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e\Desktop\Consolidated OSR\"/>
    </mc:Choice>
  </mc:AlternateContent>
  <xr:revisionPtr revIDLastSave="0" documentId="13_ncr:1_{FB33A47F-E6DD-4368-8B0F-D86010C2170C}" xr6:coauthVersionLast="47" xr6:coauthVersionMax="47" xr10:uidLastSave="{00000000-0000-0000-0000-000000000000}"/>
  <bookViews>
    <workbookView xWindow="-57720" yWindow="-120" windowWidth="29040" windowHeight="15840" activeTab="1" xr2:uid="{83195ED7-FFF8-444F-A3AB-5598050ECB68}"/>
  </bookViews>
  <sheets>
    <sheet name="Modules" sheetId="6" r:id="rId1"/>
    <sheet name="NEW PO" sheetId="7" r:id="rId2"/>
    <sheet name="Q.HOME" sheetId="8" r:id="rId3"/>
    <sheet name="C&amp;I ESS" sheetId="2" r:id="rId4"/>
    <sheet name="ESS_Item_Code" sheetId="3" r:id="rId5"/>
    <sheet name="Item Master Data" sheetId="4" r:id="rId6"/>
  </sheets>
  <externalReferences>
    <externalReference r:id="rId7"/>
  </externalReferences>
  <definedNames>
    <definedName name="_xlnm._FilterDatabase" localSheetId="3" hidden="1">'C&amp;I ESS'!$A$2:$AL$31</definedName>
    <definedName name="_xlnm._FilterDatabase" localSheetId="4" hidden="1">ESS_Item_Code!$A$1:$N$320</definedName>
    <definedName name="_xlnm._FilterDatabase" localSheetId="5" hidden="1">'Item Master Data'!$A$1:$K$1094</definedName>
    <definedName name="_xlnm._FilterDatabase" localSheetId="0" hidden="1">Modules!$A$2:$BC$1795</definedName>
    <definedName name="_xlnm._FilterDatabase" localSheetId="1" hidden="1">'NEW PO'!$D$2:$BA$2</definedName>
    <definedName name="_xlnm._FilterDatabase" localSheetId="2" hidden="1">Q.HOME!$A$1:$AO$1</definedName>
    <definedName name="Albany1">[1]Albany!$AX:$AX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Y1482" i="7" l="1"/>
  <c r="AC1482" i="7" s="1"/>
  <c r="Y1481" i="7"/>
  <c r="AC1481" i="7" s="1"/>
  <c r="Y1480" i="7"/>
  <c r="AC1480" i="7" s="1"/>
  <c r="Y1479" i="7"/>
  <c r="Y1478" i="7"/>
  <c r="AC1478" i="7" s="1"/>
  <c r="Y1477" i="7"/>
  <c r="AC1477" i="7" s="1"/>
  <c r="Y1476" i="7"/>
  <c r="AC1476" i="7" s="1"/>
  <c r="Y1475" i="7"/>
  <c r="Y1474" i="7"/>
  <c r="AC1474" i="7" s="1"/>
  <c r="Y1473" i="7"/>
  <c r="AC1473" i="7" s="1"/>
  <c r="Y1472" i="7"/>
  <c r="AC1472" i="7" s="1"/>
  <c r="Y1471" i="7"/>
  <c r="Y1470" i="7"/>
  <c r="AC1470" i="7" s="1"/>
  <c r="Y1469" i="7"/>
  <c r="AC1469" i="7" s="1"/>
  <c r="Y1468" i="7"/>
  <c r="AC1468" i="7" s="1"/>
  <c r="Y1467" i="7"/>
  <c r="Y1466" i="7"/>
  <c r="AC1466" i="7" s="1"/>
  <c r="Y1465" i="7"/>
  <c r="AC1465" i="7" s="1"/>
  <c r="Y1464" i="7"/>
  <c r="AC1464" i="7" s="1"/>
  <c r="Y1463" i="7"/>
  <c r="Y1462" i="7"/>
  <c r="AC1462" i="7" s="1"/>
  <c r="Y1461" i="7"/>
  <c r="AC1461" i="7" s="1"/>
  <c r="Y1460" i="7"/>
  <c r="AC1460" i="7" s="1"/>
  <c r="Y1459" i="7"/>
  <c r="Y1458" i="7"/>
  <c r="AC1458" i="7" s="1"/>
  <c r="Y1457" i="7"/>
  <c r="AC1457" i="7" s="1"/>
  <c r="Y1456" i="7"/>
  <c r="AC1456" i="7" s="1"/>
  <c r="Y1455" i="7"/>
  <c r="Y1454" i="7"/>
  <c r="AC1454" i="7" s="1"/>
  <c r="Y1453" i="7"/>
  <c r="AC1453" i="7" s="1"/>
  <c r="Y1452" i="7"/>
  <c r="AC1452" i="7" s="1"/>
  <c r="Y1451" i="7"/>
  <c r="Y1450" i="7"/>
  <c r="AC1450" i="7" s="1"/>
  <c r="Y1449" i="7"/>
  <c r="AC1449" i="7" s="1"/>
  <c r="Y1448" i="7"/>
  <c r="AC1448" i="7" s="1"/>
  <c r="Y1447" i="7"/>
  <c r="Y1446" i="7"/>
  <c r="AC1446" i="7" s="1"/>
  <c r="Y1445" i="7"/>
  <c r="AC1445" i="7" s="1"/>
  <c r="Y1444" i="7"/>
  <c r="AC1444" i="7" s="1"/>
  <c r="Y1443" i="7"/>
  <c r="Y1442" i="7"/>
  <c r="AC1442" i="7" s="1"/>
  <c r="Y1441" i="7"/>
  <c r="AC1441" i="7" s="1"/>
  <c r="Y1440" i="7"/>
  <c r="AC1440" i="7" s="1"/>
  <c r="Y1439" i="7"/>
  <c r="Y1438" i="7"/>
  <c r="AC1438" i="7" s="1"/>
  <c r="Y1437" i="7"/>
  <c r="AC1437" i="7" s="1"/>
  <c r="Y1436" i="7"/>
  <c r="AC1436" i="7" s="1"/>
  <c r="Y1435" i="7"/>
  <c r="Y1434" i="7"/>
  <c r="AC1434" i="7" s="1"/>
  <c r="Y1433" i="7"/>
  <c r="AC1433" i="7" s="1"/>
  <c r="Y1432" i="7"/>
  <c r="AC1432" i="7" s="1"/>
  <c r="Y1431" i="7"/>
  <c r="Y1430" i="7"/>
  <c r="AC1430" i="7" s="1"/>
  <c r="Y1429" i="7"/>
  <c r="AC1429" i="7" s="1"/>
  <c r="Y1428" i="7"/>
  <c r="AC1428" i="7" s="1"/>
  <c r="Y1427" i="7"/>
  <c r="Y1426" i="7"/>
  <c r="AC1426" i="7" s="1"/>
  <c r="Y1425" i="7"/>
  <c r="Y1424" i="7"/>
  <c r="AC1424" i="7" s="1"/>
  <c r="Y1423" i="7"/>
  <c r="Y1422" i="7"/>
  <c r="AC1422" i="7" s="1"/>
  <c r="Y1421" i="7"/>
  <c r="Y1420" i="7"/>
  <c r="AA1419" i="7"/>
  <c r="AF1419" i="7" s="1"/>
  <c r="Y1419" i="7"/>
  <c r="AC1419" i="7" s="1"/>
  <c r="Y1418" i="7"/>
  <c r="Y1417" i="7"/>
  <c r="Y1416" i="7"/>
  <c r="Y1415" i="7"/>
  <c r="AC1415" i="7" s="1"/>
  <c r="Y1414" i="7"/>
  <c r="Y1413" i="7"/>
  <c r="Y1412" i="7"/>
  <c r="AA1411" i="7"/>
  <c r="AF1411" i="7" s="1"/>
  <c r="Y1411" i="7"/>
  <c r="AC1411" i="7" s="1"/>
  <c r="Y1410" i="7"/>
  <c r="Y1409" i="7"/>
  <c r="Y1408" i="7"/>
  <c r="Y1407" i="7"/>
  <c r="AC1407" i="7" s="1"/>
  <c r="Y1406" i="7"/>
  <c r="Y1405" i="7"/>
  <c r="Y1404" i="7"/>
  <c r="AA1403" i="7"/>
  <c r="AF1403" i="7" s="1"/>
  <c r="Y1403" i="7"/>
  <c r="AC1403" i="7" s="1"/>
  <c r="Y1402" i="7"/>
  <c r="Y1401" i="7"/>
  <c r="Y1400" i="7"/>
  <c r="AA1399" i="7"/>
  <c r="AF1399" i="7" s="1"/>
  <c r="Y1399" i="7"/>
  <c r="AC1399" i="7" s="1"/>
  <c r="Y1398" i="7"/>
  <c r="Y1397" i="7"/>
  <c r="Y1396" i="7"/>
  <c r="Y1395" i="7"/>
  <c r="AC1395" i="7" s="1"/>
  <c r="Y1394" i="7"/>
  <c r="Y1393" i="7"/>
  <c r="Y1392" i="7"/>
  <c r="Y1391" i="7"/>
  <c r="AC1391" i="7" s="1"/>
  <c r="Y1390" i="7"/>
  <c r="Y1389" i="7"/>
  <c r="Y1388" i="7"/>
  <c r="AA1387" i="7"/>
  <c r="AF1387" i="7" s="1"/>
  <c r="Y1387" i="7"/>
  <c r="AC1387" i="7" s="1"/>
  <c r="Y1386" i="7"/>
  <c r="Y1385" i="7"/>
  <c r="Y1384" i="7"/>
  <c r="Y1383" i="7"/>
  <c r="AC1383" i="7" s="1"/>
  <c r="Y1382" i="7"/>
  <c r="Y1381" i="7"/>
  <c r="Y1380" i="7"/>
  <c r="Y1379" i="7"/>
  <c r="AC1379" i="7" s="1"/>
  <c r="Y1378" i="7"/>
  <c r="Y1377" i="7"/>
  <c r="Y1376" i="7"/>
  <c r="Y1375" i="7"/>
  <c r="AC1375" i="7" s="1"/>
  <c r="Y1374" i="7"/>
  <c r="Y1373" i="7"/>
  <c r="Y1372" i="7"/>
  <c r="AA1371" i="7"/>
  <c r="AF1371" i="7" s="1"/>
  <c r="Y1371" i="7"/>
  <c r="AC1371" i="7" s="1"/>
  <c r="Y1370" i="7"/>
  <c r="Y1369" i="7"/>
  <c r="Y1368" i="7"/>
  <c r="AA1367" i="7"/>
  <c r="AF1367" i="7" s="1"/>
  <c r="Y1367" i="7"/>
  <c r="AC1367" i="7" s="1"/>
  <c r="Y1366" i="7"/>
  <c r="Y1365" i="7"/>
  <c r="Y1364" i="7"/>
  <c r="Y1363" i="7"/>
  <c r="AC1363" i="7" s="1"/>
  <c r="Y1362" i="7"/>
  <c r="Y1361" i="7"/>
  <c r="Y1360" i="7"/>
  <c r="Y1359" i="7"/>
  <c r="AC1359" i="7" s="1"/>
  <c r="Y1358" i="7"/>
  <c r="AV1357" i="7"/>
  <c r="AC1357" i="7"/>
  <c r="AA1357" i="7"/>
  <c r="AF1357" i="7" s="1"/>
  <c r="Y1357" i="7"/>
  <c r="AV1356" i="7"/>
  <c r="AC1356" i="7"/>
  <c r="Y1356" i="7"/>
  <c r="AA1356" i="7" s="1"/>
  <c r="AF1356" i="7" s="1"/>
  <c r="AV1355" i="7"/>
  <c r="AF1355" i="7"/>
  <c r="AC1355" i="7"/>
  <c r="AA1355" i="7"/>
  <c r="Y1355" i="7"/>
  <c r="AV1354" i="7"/>
  <c r="AC1354" i="7"/>
  <c r="Y1354" i="7"/>
  <c r="AA1354" i="7" s="1"/>
  <c r="AF1354" i="7" s="1"/>
  <c r="AV1353" i="7"/>
  <c r="AA1353" i="7"/>
  <c r="AF1353" i="7" s="1"/>
  <c r="Y1353" i="7"/>
  <c r="AC1353" i="7" s="1"/>
  <c r="AV1352" i="7"/>
  <c r="AF1352" i="7"/>
  <c r="AC1352" i="7"/>
  <c r="AA1352" i="7"/>
  <c r="Y1352" i="7"/>
  <c r="AV1351" i="7"/>
  <c r="Y1351" i="7"/>
  <c r="AC1351" i="7" s="1"/>
  <c r="AV1350" i="7"/>
  <c r="Y1350" i="7"/>
  <c r="AV1349" i="7"/>
  <c r="AC1349" i="7"/>
  <c r="AA1349" i="7"/>
  <c r="AF1349" i="7" s="1"/>
  <c r="Y1349" i="7"/>
  <c r="AV1348" i="7"/>
  <c r="Y1348" i="7"/>
  <c r="AA1348" i="7" s="1"/>
  <c r="AF1348" i="7" s="1"/>
  <c r="AV1347" i="7"/>
  <c r="AF1347" i="7"/>
  <c r="AC1347" i="7"/>
  <c r="AA1347" i="7"/>
  <c r="Y1347" i="7"/>
  <c r="AV1346" i="7"/>
  <c r="AC1346" i="7"/>
  <c r="AA1346" i="7"/>
  <c r="AF1346" i="7" s="1"/>
  <c r="Y1346" i="7"/>
  <c r="AV1345" i="7"/>
  <c r="AA1345" i="7"/>
  <c r="AF1345" i="7" s="1"/>
  <c r="Y1345" i="7"/>
  <c r="AC1345" i="7" s="1"/>
  <c r="AC1344" i="7"/>
  <c r="AA1344" i="7"/>
  <c r="AF1344" i="7" s="1"/>
  <c r="Y1344" i="7"/>
  <c r="AA1343" i="7"/>
  <c r="AF1343" i="7" s="1"/>
  <c r="Y1343" i="7"/>
  <c r="AC1343" i="7" s="1"/>
  <c r="AF1342" i="7"/>
  <c r="AC1342" i="7"/>
  <c r="AA1342" i="7"/>
  <c r="Y1342" i="7"/>
  <c r="AA1341" i="7"/>
  <c r="AF1341" i="7" s="1"/>
  <c r="Y1341" i="7"/>
  <c r="AC1341" i="7" s="1"/>
  <c r="AC1340" i="7"/>
  <c r="AA1340" i="7"/>
  <c r="AF1340" i="7" s="1"/>
  <c r="Y1340" i="7"/>
  <c r="AA1339" i="7"/>
  <c r="AF1339" i="7" s="1"/>
  <c r="Y1339" i="7"/>
  <c r="AC1339" i="7" s="1"/>
  <c r="AF1338" i="7"/>
  <c r="AC1338" i="7"/>
  <c r="AA1338" i="7"/>
  <c r="Y1338" i="7"/>
  <c r="AA1337" i="7"/>
  <c r="AF1337" i="7" s="1"/>
  <c r="Y1337" i="7"/>
  <c r="AC1337" i="7" s="1"/>
  <c r="AC1336" i="7"/>
  <c r="AA1336" i="7"/>
  <c r="AF1336" i="7" s="1"/>
  <c r="Y1336" i="7"/>
  <c r="AA1335" i="7"/>
  <c r="AF1335" i="7" s="1"/>
  <c r="Y1335" i="7"/>
  <c r="AC1335" i="7" s="1"/>
  <c r="AF1334" i="7"/>
  <c r="AC1334" i="7"/>
  <c r="AA1334" i="7"/>
  <c r="Y1334" i="7"/>
  <c r="AA1333" i="7"/>
  <c r="AF1333" i="7" s="1"/>
  <c r="Y1333" i="7"/>
  <c r="AC1333" i="7" s="1"/>
  <c r="AC1332" i="7"/>
  <c r="AA1332" i="7"/>
  <c r="AF1332" i="7" s="1"/>
  <c r="Y1332" i="7"/>
  <c r="AA1331" i="7"/>
  <c r="AF1331" i="7" s="1"/>
  <c r="Y1331" i="7"/>
  <c r="AC1331" i="7" s="1"/>
  <c r="AF1330" i="7"/>
  <c r="AC1330" i="7"/>
  <c r="AA1330" i="7"/>
  <c r="Y1330" i="7"/>
  <c r="AA1329" i="7"/>
  <c r="AF1329" i="7" s="1"/>
  <c r="Y1329" i="7"/>
  <c r="AC1329" i="7" s="1"/>
  <c r="AC1328" i="7"/>
  <c r="AA1328" i="7"/>
  <c r="AF1328" i="7" s="1"/>
  <c r="Y1328" i="7"/>
  <c r="AC1327" i="7"/>
  <c r="AA1327" i="7"/>
  <c r="AF1327" i="7" s="1"/>
  <c r="Y1327" i="7"/>
  <c r="AF1326" i="7"/>
  <c r="AC1326" i="7"/>
  <c r="AA1326" i="7"/>
  <c r="Y1326" i="7"/>
  <c r="AC1325" i="7"/>
  <c r="AA1325" i="7"/>
  <c r="AF1325" i="7" s="1"/>
  <c r="Y1325" i="7"/>
  <c r="AF1324" i="7"/>
  <c r="AC1324" i="7"/>
  <c r="AA1324" i="7"/>
  <c r="Y1324" i="7"/>
  <c r="AA1323" i="7"/>
  <c r="AF1323" i="7" s="1"/>
  <c r="Y1323" i="7"/>
  <c r="AC1323" i="7" s="1"/>
  <c r="AC1322" i="7"/>
  <c r="AA1322" i="7"/>
  <c r="AF1322" i="7" s="1"/>
  <c r="Y1322" i="7"/>
  <c r="AA1321" i="7"/>
  <c r="AF1321" i="7" s="1"/>
  <c r="Y1321" i="7"/>
  <c r="AC1321" i="7" s="1"/>
  <c r="AF1320" i="7"/>
  <c r="AC1320" i="7"/>
  <c r="AA1320" i="7"/>
  <c r="Y1320" i="7"/>
  <c r="AA1319" i="7"/>
  <c r="AF1319" i="7" s="1"/>
  <c r="Y1319" i="7"/>
  <c r="AC1319" i="7" s="1"/>
  <c r="AC1318" i="7"/>
  <c r="AA1318" i="7"/>
  <c r="AF1318" i="7" s="1"/>
  <c r="Y1318" i="7"/>
  <c r="AA1317" i="7"/>
  <c r="AF1317" i="7" s="1"/>
  <c r="Y1317" i="7"/>
  <c r="AC1317" i="7" s="1"/>
  <c r="AF1316" i="7"/>
  <c r="AC1316" i="7"/>
  <c r="AA1316" i="7"/>
  <c r="Y1316" i="7"/>
  <c r="AA1315" i="7"/>
  <c r="AF1315" i="7" s="1"/>
  <c r="Y1315" i="7"/>
  <c r="AC1315" i="7" s="1"/>
  <c r="AC1314" i="7"/>
  <c r="AA1314" i="7"/>
  <c r="AF1314" i="7" s="1"/>
  <c r="Y1314" i="7"/>
  <c r="AA1313" i="7"/>
  <c r="AF1313" i="7" s="1"/>
  <c r="Y1313" i="7"/>
  <c r="AC1313" i="7" s="1"/>
  <c r="AF1312" i="7"/>
  <c r="AC1312" i="7"/>
  <c r="AA1312" i="7"/>
  <c r="Y1312" i="7"/>
  <c r="AA1311" i="7"/>
  <c r="AF1311" i="7" s="1"/>
  <c r="Y1311" i="7"/>
  <c r="AC1311" i="7" s="1"/>
  <c r="AC1310" i="7"/>
  <c r="AA1310" i="7"/>
  <c r="AF1310" i="7" s="1"/>
  <c r="Y1310" i="7"/>
  <c r="AA1309" i="7"/>
  <c r="AF1309" i="7" s="1"/>
  <c r="Y1309" i="7"/>
  <c r="AC1309" i="7" s="1"/>
  <c r="AF1308" i="7"/>
  <c r="AC1308" i="7"/>
  <c r="AA1308" i="7"/>
  <c r="Y1308" i="7"/>
  <c r="AA1307" i="7"/>
  <c r="AF1307" i="7" s="1"/>
  <c r="Y1307" i="7"/>
  <c r="AC1307" i="7" s="1"/>
  <c r="AC1306" i="7"/>
  <c r="AA1306" i="7"/>
  <c r="AF1306" i="7" s="1"/>
  <c r="Y1306" i="7"/>
  <c r="Y1305" i="7"/>
  <c r="AC1305" i="7" s="1"/>
  <c r="Y1304" i="7"/>
  <c r="Y1303" i="7"/>
  <c r="AC1303" i="7" s="1"/>
  <c r="Y1302" i="7"/>
  <c r="AA1301" i="7"/>
  <c r="AF1301" i="7" s="1"/>
  <c r="Y1301" i="7"/>
  <c r="AC1301" i="7" s="1"/>
  <c r="Y1300" i="7"/>
  <c r="AA1299" i="7"/>
  <c r="AF1299" i="7" s="1"/>
  <c r="Y1299" i="7"/>
  <c r="AC1299" i="7" s="1"/>
  <c r="Y1298" i="7"/>
  <c r="Y1297" i="7"/>
  <c r="AC1297" i="7" s="1"/>
  <c r="Y1296" i="7"/>
  <c r="Y1295" i="7"/>
  <c r="AC1295" i="7" s="1"/>
  <c r="Y1294" i="7"/>
  <c r="Y1293" i="7"/>
  <c r="AC1293" i="7" s="1"/>
  <c r="Y1292" i="7"/>
  <c r="AA1291" i="7"/>
  <c r="AF1291" i="7" s="1"/>
  <c r="Y1291" i="7"/>
  <c r="AC1291" i="7" s="1"/>
  <c r="Y1290" i="7"/>
  <c r="Y1289" i="7"/>
  <c r="AC1289" i="7" s="1"/>
  <c r="Y1288" i="7"/>
  <c r="Y1287" i="7"/>
  <c r="AC1287" i="7" s="1"/>
  <c r="Y1286" i="7"/>
  <c r="AA1285" i="7"/>
  <c r="AF1285" i="7" s="1"/>
  <c r="Y1285" i="7"/>
  <c r="AC1285" i="7" s="1"/>
  <c r="Y1284" i="7"/>
  <c r="AA1283" i="7"/>
  <c r="AF1283" i="7" s="1"/>
  <c r="Y1283" i="7"/>
  <c r="AC1283" i="7" s="1"/>
  <c r="Y1282" i="7"/>
  <c r="Y1281" i="7"/>
  <c r="AC1281" i="7" s="1"/>
  <c r="Y1280" i="7"/>
  <c r="Y1279" i="7"/>
  <c r="AC1279" i="7" s="1"/>
  <c r="Y1278" i="7"/>
  <c r="Y1277" i="7"/>
  <c r="AC1277" i="7" s="1"/>
  <c r="Y1276" i="7"/>
  <c r="AA1275" i="7"/>
  <c r="AF1275" i="7" s="1"/>
  <c r="Y1275" i="7"/>
  <c r="AC1275" i="7" s="1"/>
  <c r="Y1274" i="7"/>
  <c r="Y1273" i="7"/>
  <c r="AC1273" i="7" s="1"/>
  <c r="Y1272" i="7"/>
  <c r="Y1271" i="7"/>
  <c r="AC1271" i="7" s="1"/>
  <c r="Y1270" i="7"/>
  <c r="AA1269" i="7"/>
  <c r="AF1269" i="7" s="1"/>
  <c r="Y1269" i="7"/>
  <c r="AC1269" i="7" s="1"/>
  <c r="Y1268" i="7"/>
  <c r="AA1267" i="7"/>
  <c r="AF1267" i="7" s="1"/>
  <c r="Y1267" i="7"/>
  <c r="AC1267" i="7" s="1"/>
  <c r="Y1266" i="7"/>
  <c r="Y1265" i="7"/>
  <c r="AC1265" i="7" s="1"/>
  <c r="Y1264" i="7"/>
  <c r="Y1263" i="7"/>
  <c r="AC1263" i="7" s="1"/>
  <c r="Y1262" i="7"/>
  <c r="Y1261" i="7"/>
  <c r="AC1261" i="7" s="1"/>
  <c r="Y1260" i="7"/>
  <c r="AA1259" i="7"/>
  <c r="AF1259" i="7" s="1"/>
  <c r="Y1259" i="7"/>
  <c r="AC1259" i="7" s="1"/>
  <c r="Y1258" i="7"/>
  <c r="Y1257" i="7"/>
  <c r="AC1257" i="7" s="1"/>
  <c r="Y1256" i="7"/>
  <c r="Y1255" i="7"/>
  <c r="AC1255" i="7" s="1"/>
  <c r="Y1254" i="7"/>
  <c r="AA1253" i="7"/>
  <c r="AF1253" i="7" s="1"/>
  <c r="Y1253" i="7"/>
  <c r="AC1253" i="7" s="1"/>
  <c r="Y1252" i="7"/>
  <c r="AA1251" i="7"/>
  <c r="AF1251" i="7" s="1"/>
  <c r="Y1251" i="7"/>
  <c r="AC1251" i="7" s="1"/>
  <c r="Y1250" i="7"/>
  <c r="Y1249" i="7"/>
  <c r="AC1249" i="7" s="1"/>
  <c r="Y1248" i="7"/>
  <c r="Y1247" i="7"/>
  <c r="AC1247" i="7" s="1"/>
  <c r="Y1246" i="7"/>
  <c r="Y1245" i="7"/>
  <c r="AC1245" i="7" s="1"/>
  <c r="Y1244" i="7"/>
  <c r="AA1243" i="7"/>
  <c r="AF1243" i="7" s="1"/>
  <c r="Y1243" i="7"/>
  <c r="AC1243" i="7" s="1"/>
  <c r="Y1242" i="7"/>
  <c r="Y1241" i="7"/>
  <c r="AC1241" i="7" s="1"/>
  <c r="Y1240" i="7"/>
  <c r="Y1239" i="7"/>
  <c r="AC1239" i="7" s="1"/>
  <c r="Y1238" i="7"/>
  <c r="AA1237" i="7"/>
  <c r="AF1237" i="7" s="1"/>
  <c r="Y1237" i="7"/>
  <c r="AC1237" i="7" s="1"/>
  <c r="Y1236" i="7"/>
  <c r="AA1235" i="7"/>
  <c r="AF1235" i="7" s="1"/>
  <c r="Y1235" i="7"/>
  <c r="AC1235" i="7" s="1"/>
  <c r="Y1234" i="7"/>
  <c r="Y1233" i="7"/>
  <c r="AC1233" i="7" s="1"/>
  <c r="Y1232" i="7"/>
  <c r="Y1231" i="7"/>
  <c r="AC1231" i="7" s="1"/>
  <c r="Y1230" i="7"/>
  <c r="Y1229" i="7"/>
  <c r="AC1229" i="7" s="1"/>
  <c r="Y1228" i="7"/>
  <c r="AA1227" i="7"/>
  <c r="AF1227" i="7" s="1"/>
  <c r="Y1227" i="7"/>
  <c r="AC1227" i="7" s="1"/>
  <c r="Y1226" i="7"/>
  <c r="Y1225" i="7"/>
  <c r="AC1225" i="7" s="1"/>
  <c r="Y1224" i="7"/>
  <c r="Y1223" i="7"/>
  <c r="AC1223" i="7" s="1"/>
  <c r="Y1222" i="7"/>
  <c r="AA1221" i="7"/>
  <c r="AF1221" i="7" s="1"/>
  <c r="Y1221" i="7"/>
  <c r="AC1221" i="7" s="1"/>
  <c r="Y1220" i="7"/>
  <c r="AA1219" i="7"/>
  <c r="AF1219" i="7" s="1"/>
  <c r="Y1219" i="7"/>
  <c r="AC1219" i="7" s="1"/>
  <c r="Y1218" i="7"/>
  <c r="Y1217" i="7"/>
  <c r="AC1217" i="7" s="1"/>
  <c r="Y1216" i="7"/>
  <c r="Y1215" i="7"/>
  <c r="AC1215" i="7" s="1"/>
  <c r="Y1214" i="7"/>
  <c r="Y1213" i="7"/>
  <c r="AC1213" i="7" s="1"/>
  <c r="Y1212" i="7"/>
  <c r="AA1211" i="7"/>
  <c r="AF1211" i="7" s="1"/>
  <c r="Y1211" i="7"/>
  <c r="AC1211" i="7" s="1"/>
  <c r="Y1210" i="7"/>
  <c r="Y1209" i="7"/>
  <c r="AC1209" i="7" s="1"/>
  <c r="Y1208" i="7"/>
  <c r="AC1855" i="6"/>
  <c r="Y1855" i="6"/>
  <c r="AA1855" i="6" s="1"/>
  <c r="AF1855" i="6" s="1"/>
  <c r="Y1854" i="6"/>
  <c r="AA1854" i="6" s="1"/>
  <c r="AF1854" i="6" s="1"/>
  <c r="AC1853" i="6"/>
  <c r="Y1853" i="6"/>
  <c r="AA1853" i="6" s="1"/>
  <c r="AF1853" i="6" s="1"/>
  <c r="Y1852" i="6"/>
  <c r="AC1851" i="6"/>
  <c r="Y1851" i="6"/>
  <c r="AA1851" i="6" s="1"/>
  <c r="AF1851" i="6" s="1"/>
  <c r="Y1850" i="6"/>
  <c r="AA1850" i="6" s="1"/>
  <c r="AF1850" i="6" s="1"/>
  <c r="AC1849" i="6"/>
  <c r="Y1849" i="6"/>
  <c r="AA1849" i="6" s="1"/>
  <c r="AF1849" i="6" s="1"/>
  <c r="Y1848" i="6"/>
  <c r="AC1847" i="6"/>
  <c r="Y1847" i="6"/>
  <c r="AA1847" i="6" s="1"/>
  <c r="AF1847" i="6" s="1"/>
  <c r="Y1846" i="6"/>
  <c r="AA1846" i="6" s="1"/>
  <c r="AF1846" i="6" s="1"/>
  <c r="AC1845" i="6"/>
  <c r="Y1845" i="6"/>
  <c r="AA1845" i="6" s="1"/>
  <c r="AF1845" i="6" s="1"/>
  <c r="Y1844" i="6"/>
  <c r="AC1843" i="6"/>
  <c r="Y1843" i="6"/>
  <c r="AA1843" i="6" s="1"/>
  <c r="AF1843" i="6" s="1"/>
  <c r="Y1842" i="6"/>
  <c r="AA1842" i="6" s="1"/>
  <c r="AF1842" i="6" s="1"/>
  <c r="Z1841" i="6"/>
  <c r="AA1841" i="6" s="1"/>
  <c r="AF1841" i="6" s="1"/>
  <c r="X1841" i="6"/>
  <c r="Y1841" i="6" s="1"/>
  <c r="AC1841" i="6" s="1"/>
  <c r="AC1840" i="6"/>
  <c r="Y1840" i="6"/>
  <c r="AA1840" i="6" s="1"/>
  <c r="AF1840" i="6" s="1"/>
  <c r="Y1839" i="6"/>
  <c r="Y1838" i="6"/>
  <c r="AA1838" i="6" s="1"/>
  <c r="AF1838" i="6" s="1"/>
  <c r="Y1837" i="6"/>
  <c r="AC1836" i="6"/>
  <c r="Y1836" i="6"/>
  <c r="AA1836" i="6" s="1"/>
  <c r="AF1836" i="6" s="1"/>
  <c r="Y1835" i="6"/>
  <c r="Y1834" i="6"/>
  <c r="AA1834" i="6" s="1"/>
  <c r="AF1834" i="6" s="1"/>
  <c r="Y1833" i="6"/>
  <c r="AC1832" i="6"/>
  <c r="Y1832" i="6"/>
  <c r="AA1832" i="6" s="1"/>
  <c r="AF1832" i="6" s="1"/>
  <c r="Y1831" i="6"/>
  <c r="Y1830" i="6"/>
  <c r="Y1829" i="6"/>
  <c r="AC1828" i="6"/>
  <c r="Y1828" i="6"/>
  <c r="AA1828" i="6" s="1"/>
  <c r="AF1828" i="6" s="1"/>
  <c r="Y1827" i="6"/>
  <c r="Y1826" i="6"/>
  <c r="AA1826" i="6" s="1"/>
  <c r="AF1826" i="6" s="1"/>
  <c r="Y1825" i="6"/>
  <c r="AC1824" i="6"/>
  <c r="Y1824" i="6"/>
  <c r="AA1824" i="6" s="1"/>
  <c r="AF1824" i="6" s="1"/>
  <c r="Y1823" i="6"/>
  <c r="Y1822" i="6"/>
  <c r="AA1822" i="6" s="1"/>
  <c r="AF1822" i="6" s="1"/>
  <c r="Y1821" i="6"/>
  <c r="AC1820" i="6"/>
  <c r="Y1820" i="6"/>
  <c r="AA1820" i="6" s="1"/>
  <c r="AF1820" i="6" s="1"/>
  <c r="Y1819" i="6"/>
  <c r="Y1818" i="6"/>
  <c r="Y1817" i="6"/>
  <c r="AC1816" i="6"/>
  <c r="Y1816" i="6"/>
  <c r="AA1816" i="6" s="1"/>
  <c r="AF1816" i="6" s="1"/>
  <c r="Y1815" i="6"/>
  <c r="Y1814" i="6"/>
  <c r="Y1813" i="6"/>
  <c r="AC1812" i="6"/>
  <c r="Y1812" i="6"/>
  <c r="AA1812" i="6" s="1"/>
  <c r="AF1812" i="6" s="1"/>
  <c r="Y1811" i="6"/>
  <c r="Y1810" i="6"/>
  <c r="X1810" i="6"/>
  <c r="AA1809" i="6"/>
  <c r="AF1809" i="6" s="1"/>
  <c r="X1809" i="6"/>
  <c r="Y1809" i="6" s="1"/>
  <c r="AC1809" i="6" s="1"/>
  <c r="AC1808" i="6"/>
  <c r="Y1808" i="6"/>
  <c r="AA1808" i="6" s="1"/>
  <c r="AF1808" i="6" s="1"/>
  <c r="X1808" i="6"/>
  <c r="AA1807" i="6"/>
  <c r="AF1807" i="6" s="1"/>
  <c r="X1807" i="6"/>
  <c r="Y1807" i="6" s="1"/>
  <c r="AC1807" i="6" s="1"/>
  <c r="Y1806" i="6"/>
  <c r="Y1805" i="6"/>
  <c r="Y1804" i="6"/>
  <c r="AC1803" i="6"/>
  <c r="Y1803" i="6"/>
  <c r="AA1803" i="6" s="1"/>
  <c r="AF1803" i="6" s="1"/>
  <c r="Y1802" i="6"/>
  <c r="Y1801" i="6"/>
  <c r="Y1800" i="6"/>
  <c r="AC1799" i="6"/>
  <c r="Y1799" i="6"/>
  <c r="AA1799" i="6" s="1"/>
  <c r="AF1799" i="6" s="1"/>
  <c r="Y1798" i="6"/>
  <c r="Y1797" i="6"/>
  <c r="Y1796" i="6"/>
  <c r="AC1795" i="6"/>
  <c r="Y1795" i="6"/>
  <c r="AA1795" i="6" s="1"/>
  <c r="AF1795" i="6" s="1"/>
  <c r="Y1794" i="6"/>
  <c r="Y1793" i="6"/>
  <c r="AA1793" i="6" s="1"/>
  <c r="AF1793" i="6" s="1"/>
  <c r="Y1784" i="6"/>
  <c r="AA1784" i="6" s="1"/>
  <c r="AC1783" i="6"/>
  <c r="Y1783" i="6"/>
  <c r="AA1783" i="6" s="1"/>
  <c r="AF1783" i="6" s="1"/>
  <c r="AC1782" i="6"/>
  <c r="Y1782" i="6"/>
  <c r="AA1782" i="6" s="1"/>
  <c r="AF1782" i="6" s="1"/>
  <c r="AC1781" i="6"/>
  <c r="Y1781" i="6"/>
  <c r="AA1781" i="6" s="1"/>
  <c r="AF1781" i="6" s="1"/>
  <c r="AC1780" i="6"/>
  <c r="Y1780" i="6"/>
  <c r="AA1780" i="6" s="1"/>
  <c r="AF1780" i="6" s="1"/>
  <c r="AC1779" i="6"/>
  <c r="Y1779" i="6"/>
  <c r="AA1779" i="6" s="1"/>
  <c r="AF1779" i="6" s="1"/>
  <c r="AC1778" i="6"/>
  <c r="Y1778" i="6"/>
  <c r="AA1778" i="6" s="1"/>
  <c r="AF1778" i="6" s="1"/>
  <c r="AC1777" i="6"/>
  <c r="Y1777" i="6"/>
  <c r="AA1777" i="6" s="1"/>
  <c r="AF1777" i="6" s="1"/>
  <c r="AC1776" i="6"/>
  <c r="Y1776" i="6"/>
  <c r="AA1776" i="6" s="1"/>
  <c r="AF1776" i="6" s="1"/>
  <c r="AC1775" i="6"/>
  <c r="Y1775" i="6"/>
  <c r="AA1775" i="6" s="1"/>
  <c r="AF1775" i="6" s="1"/>
  <c r="Y1774" i="6"/>
  <c r="AA1774" i="6" s="1"/>
  <c r="Y1773" i="6"/>
  <c r="AA1773" i="6" s="1"/>
  <c r="AC1772" i="6"/>
  <c r="Z1772" i="6"/>
  <c r="AA1772" i="6" s="1"/>
  <c r="AF1772" i="6" s="1"/>
  <c r="Y1772" i="6"/>
  <c r="Z1771" i="6"/>
  <c r="Y1771" i="6"/>
  <c r="AC1770" i="6"/>
  <c r="Z1770" i="6"/>
  <c r="AA1770" i="6" s="1"/>
  <c r="AF1770" i="6" s="1"/>
  <c r="Y1770" i="6"/>
  <c r="AF1769" i="6"/>
  <c r="AA1769" i="6"/>
  <c r="Z1769" i="6"/>
  <c r="Y1769" i="6"/>
  <c r="AC1769" i="6" s="1"/>
  <c r="Y1768" i="6"/>
  <c r="Y1767" i="6"/>
  <c r="AA1767" i="6" s="1"/>
  <c r="AF1767" i="6" s="1"/>
  <c r="AC1766" i="6"/>
  <c r="Y1766" i="6"/>
  <c r="AA1766" i="6" s="1"/>
  <c r="AF1766" i="6" s="1"/>
  <c r="AC1765" i="6"/>
  <c r="Y1765" i="6"/>
  <c r="AA1765" i="6" s="1"/>
  <c r="AF1765" i="6" s="1"/>
  <c r="AF1764" i="6"/>
  <c r="Y1764" i="6"/>
  <c r="AA1764" i="6" s="1"/>
  <c r="Y1763" i="6"/>
  <c r="AC1762" i="6"/>
  <c r="Y1762" i="6"/>
  <c r="AA1762" i="6" s="1"/>
  <c r="AF1762" i="6" s="1"/>
  <c r="AC1761" i="6"/>
  <c r="Y1761" i="6"/>
  <c r="AA1761" i="6" s="1"/>
  <c r="AF1761" i="6" s="1"/>
  <c r="Y1760" i="6"/>
  <c r="Y1759" i="6"/>
  <c r="AA1759" i="6" s="1"/>
  <c r="Y1758" i="6"/>
  <c r="AA1758" i="6" s="1"/>
  <c r="Y1757" i="6"/>
  <c r="AA1757" i="6" s="1"/>
  <c r="Y1756" i="6"/>
  <c r="AA1756" i="6" s="1"/>
  <c r="AF1756" i="6" s="1"/>
  <c r="AA1755" i="6"/>
  <c r="AF1755" i="6" s="1"/>
  <c r="Y1755" i="6"/>
  <c r="AC1755" i="6" s="1"/>
  <c r="AC1754" i="6"/>
  <c r="Y1754" i="6"/>
  <c r="AA1754" i="6" s="1"/>
  <c r="AF1754" i="6" s="1"/>
  <c r="Y1753" i="6"/>
  <c r="AC1752" i="6"/>
  <c r="Z1752" i="6"/>
  <c r="Y1752" i="6"/>
  <c r="AA1752" i="6" s="1"/>
  <c r="AF1752" i="6" s="1"/>
  <c r="Z1751" i="6"/>
  <c r="Y1751" i="6"/>
  <c r="AC1751" i="6" s="1"/>
  <c r="Z1750" i="6"/>
  <c r="Y1750" i="6"/>
  <c r="AA1749" i="6"/>
  <c r="AF1749" i="6" s="1"/>
  <c r="Y1749" i="6"/>
  <c r="AC1749" i="6" s="1"/>
  <c r="AC1748" i="6"/>
  <c r="Y1748" i="6"/>
  <c r="AA1748" i="6" s="1"/>
  <c r="AF1748" i="6" s="1"/>
  <c r="Y1747" i="6"/>
  <c r="Y1746" i="6"/>
  <c r="AC1745" i="6"/>
  <c r="AA1745" i="6"/>
  <c r="AF1745" i="6" s="1"/>
  <c r="Y1745" i="6"/>
  <c r="AC1744" i="6"/>
  <c r="Y1744" i="6"/>
  <c r="AA1744" i="6" s="1"/>
  <c r="AF1744" i="6" s="1"/>
  <c r="Y1743" i="6"/>
  <c r="AA1743" i="6" s="1"/>
  <c r="AF1743" i="6" s="1"/>
  <c r="Y1742" i="6"/>
  <c r="AA1741" i="6"/>
  <c r="AF1741" i="6" s="1"/>
  <c r="Y1741" i="6"/>
  <c r="AC1741" i="6" s="1"/>
  <c r="AC1740" i="6"/>
  <c r="Y1740" i="6"/>
  <c r="AA1740" i="6" s="1"/>
  <c r="AF1740" i="6" s="1"/>
  <c r="Y1739" i="6"/>
  <c r="AA1739" i="6" s="1"/>
  <c r="AF1739" i="6" s="1"/>
  <c r="Y1738" i="6"/>
  <c r="AA1738" i="6" s="1"/>
  <c r="AF1738" i="6" s="1"/>
  <c r="Y1737" i="6"/>
  <c r="AA1736" i="6"/>
  <c r="AF1736" i="6" s="1"/>
  <c r="Z1736" i="6"/>
  <c r="Y1736" i="6"/>
  <c r="AC1736" i="6" s="1"/>
  <c r="Z1735" i="6"/>
  <c r="AA1735" i="6" s="1"/>
  <c r="AF1735" i="6" s="1"/>
  <c r="Y1735" i="6"/>
  <c r="AC1735" i="6" s="1"/>
  <c r="Z1734" i="6"/>
  <c r="Y1734" i="6"/>
  <c r="AC1734" i="6" s="1"/>
  <c r="AC1733" i="6"/>
  <c r="Z1733" i="6"/>
  <c r="AA1733" i="6" s="1"/>
  <c r="AF1733" i="6" s="1"/>
  <c r="Y1733" i="6"/>
  <c r="AF1732" i="6"/>
  <c r="AA1732" i="6"/>
  <c r="Y1732" i="6"/>
  <c r="AC1732" i="6" s="1"/>
  <c r="AF1731" i="6"/>
  <c r="AC1731" i="6"/>
  <c r="AA1731" i="6"/>
  <c r="Y1731" i="6"/>
  <c r="AA1730" i="6"/>
  <c r="AF1730" i="6" s="1"/>
  <c r="X1730" i="6"/>
  <c r="Y1730" i="6" s="1"/>
  <c r="AC1730" i="6" s="1"/>
  <c r="Y1729" i="6"/>
  <c r="X1729" i="6"/>
  <c r="Y1728" i="6"/>
  <c r="AA1727" i="6"/>
  <c r="AF1727" i="6" s="1"/>
  <c r="X1727" i="6"/>
  <c r="Y1727" i="6" s="1"/>
  <c r="AC1727" i="6" s="1"/>
  <c r="AC1726" i="6"/>
  <c r="Y1726" i="6"/>
  <c r="AA1726" i="6" s="1"/>
  <c r="AF1726" i="6" s="1"/>
  <c r="Y1725" i="6"/>
  <c r="AA1724" i="6"/>
  <c r="AF1724" i="6" s="1"/>
  <c r="Y1724" i="6"/>
  <c r="AC1724" i="6" s="1"/>
  <c r="AC1723" i="6"/>
  <c r="Y1723" i="6"/>
  <c r="AA1723" i="6" s="1"/>
  <c r="AF1723" i="6" s="1"/>
  <c r="Y1722" i="6"/>
  <c r="Y1721" i="6"/>
  <c r="AC1720" i="6"/>
  <c r="AA1720" i="6"/>
  <c r="AF1720" i="6" s="1"/>
  <c r="Y1720" i="6"/>
  <c r="AC1719" i="6"/>
  <c r="Y1719" i="6"/>
  <c r="AA1719" i="6" s="1"/>
  <c r="AF1719" i="6" s="1"/>
  <c r="AC1718" i="6"/>
  <c r="Y1718" i="6"/>
  <c r="AA1718" i="6" s="1"/>
  <c r="AF1718" i="6" s="1"/>
  <c r="X1718" i="6"/>
  <c r="AF1717" i="6"/>
  <c r="AA1717" i="6"/>
  <c r="Y1717" i="6"/>
  <c r="AC1717" i="6" s="1"/>
  <c r="AC1716" i="6"/>
  <c r="X1716" i="6"/>
  <c r="Y1716" i="6" s="1"/>
  <c r="AA1716" i="6" s="1"/>
  <c r="AF1716" i="6" s="1"/>
  <c r="Y1715" i="6"/>
  <c r="AC1714" i="6"/>
  <c r="Y1714" i="6"/>
  <c r="AA1714" i="6" s="1"/>
  <c r="AF1714" i="6" s="1"/>
  <c r="AC1713" i="6"/>
  <c r="Y1713" i="6"/>
  <c r="AA1713" i="6" s="1"/>
  <c r="AF1713" i="6" s="1"/>
  <c r="Y1712" i="6"/>
  <c r="X1712" i="6"/>
  <c r="Y1711" i="6"/>
  <c r="AA1710" i="6"/>
  <c r="AF1710" i="6" s="1"/>
  <c r="Y1710" i="6"/>
  <c r="AC1710" i="6" s="1"/>
  <c r="Y1709" i="6"/>
  <c r="AC1709" i="6" s="1"/>
  <c r="AA1708" i="6"/>
  <c r="AF1708" i="6" s="1"/>
  <c r="Y1708" i="6"/>
  <c r="AC1708" i="6" s="1"/>
  <c r="Y1707" i="6"/>
  <c r="X1707" i="6"/>
  <c r="AC1706" i="6"/>
  <c r="Y1706" i="6"/>
  <c r="AA1706" i="6" s="1"/>
  <c r="AF1706" i="6" s="1"/>
  <c r="X1706" i="6"/>
  <c r="AC1705" i="6"/>
  <c r="AA1705" i="6"/>
  <c r="AF1705" i="6" s="1"/>
  <c r="Y1705" i="6"/>
  <c r="Y1704" i="6"/>
  <c r="AA1704" i="6" s="1"/>
  <c r="AF1704" i="6" s="1"/>
  <c r="AA1703" i="6"/>
  <c r="AF1703" i="6" s="1"/>
  <c r="Y1703" i="6"/>
  <c r="AC1703" i="6" s="1"/>
  <c r="AC1702" i="6"/>
  <c r="Y1702" i="6"/>
  <c r="AA1702" i="6" s="1"/>
  <c r="AF1702" i="6" s="1"/>
  <c r="Y1701" i="6"/>
  <c r="AA1701" i="6" s="1"/>
  <c r="AF1701" i="6" s="1"/>
  <c r="Y1700" i="6"/>
  <c r="AA1699" i="6"/>
  <c r="AF1699" i="6" s="1"/>
  <c r="Y1699" i="6"/>
  <c r="AC1699" i="6" s="1"/>
  <c r="AC1698" i="6"/>
  <c r="Y1698" i="6"/>
  <c r="AA1698" i="6" s="1"/>
  <c r="AF1698" i="6" s="1"/>
  <c r="Y1697" i="6"/>
  <c r="AA1697" i="6" s="1"/>
  <c r="AF1697" i="6" s="1"/>
  <c r="Y1696" i="6"/>
  <c r="AA1696" i="6" s="1"/>
  <c r="Y1695" i="6"/>
  <c r="AA1695" i="6" s="1"/>
  <c r="AC1694" i="6"/>
  <c r="AA1694" i="6"/>
  <c r="AF1694" i="6" s="1"/>
  <c r="Z1694" i="6"/>
  <c r="Y1694" i="6"/>
  <c r="AA1693" i="6"/>
  <c r="AF1693" i="6" s="1"/>
  <c r="Y1693" i="6"/>
  <c r="AC1693" i="6" s="1"/>
  <c r="AC1692" i="6"/>
  <c r="AA1692" i="6"/>
  <c r="AF1692" i="6" s="1"/>
  <c r="Y1692" i="6"/>
  <c r="AA1691" i="6"/>
  <c r="Y1691" i="6"/>
  <c r="Y1690" i="6"/>
  <c r="AF1689" i="6"/>
  <c r="AA1689" i="6"/>
  <c r="Y1689" i="6"/>
  <c r="AC1689" i="6" s="1"/>
  <c r="Y1688" i="6"/>
  <c r="X1688" i="6"/>
  <c r="Y1687" i="6"/>
  <c r="AA1687" i="6" s="1"/>
  <c r="AF1687" i="6" s="1"/>
  <c r="X1687" i="6"/>
  <c r="AC1686" i="6"/>
  <c r="AA1686" i="6"/>
  <c r="AF1686" i="6" s="1"/>
  <c r="Y1686" i="6"/>
  <c r="Y1685" i="6"/>
  <c r="Y1684" i="6"/>
  <c r="Y1683" i="6"/>
  <c r="Y1682" i="6"/>
  <c r="AA1682" i="6" s="1"/>
  <c r="AF1682" i="6" s="1"/>
  <c r="Y1681" i="6"/>
  <c r="AA1680" i="6"/>
  <c r="AF1680" i="6" s="1"/>
  <c r="Y1680" i="6"/>
  <c r="AC1680" i="6" s="1"/>
  <c r="AC1677" i="6"/>
  <c r="Y1677" i="6"/>
  <c r="AA1677" i="6" s="1"/>
  <c r="AF1677" i="6" s="1"/>
  <c r="AC1676" i="6"/>
  <c r="Z1676" i="6"/>
  <c r="AA1676" i="6" s="1"/>
  <c r="AF1676" i="6" s="1"/>
  <c r="Y1676" i="6"/>
  <c r="AA1675" i="6"/>
  <c r="AF1675" i="6" s="1"/>
  <c r="Z1675" i="6"/>
  <c r="Y1675" i="6"/>
  <c r="AC1675" i="6" s="1"/>
  <c r="AC1674" i="6"/>
  <c r="Z1674" i="6"/>
  <c r="AA1674" i="6" s="1"/>
  <c r="AF1674" i="6" s="1"/>
  <c r="Y1674" i="6"/>
  <c r="AA1673" i="6"/>
  <c r="AF1673" i="6" s="1"/>
  <c r="Y1673" i="6"/>
  <c r="AC1673" i="6" s="1"/>
  <c r="AA1672" i="6"/>
  <c r="AF1672" i="6" s="1"/>
  <c r="X1672" i="6"/>
  <c r="Y1672" i="6" s="1"/>
  <c r="AC1672" i="6" s="1"/>
  <c r="AA1671" i="6"/>
  <c r="AF1671" i="6" s="1"/>
  <c r="Y1671" i="6"/>
  <c r="X1670" i="6"/>
  <c r="Y1670" i="6" s="1"/>
  <c r="AC1670" i="6" s="1"/>
  <c r="AA1669" i="6"/>
  <c r="AF1669" i="6" s="1"/>
  <c r="Y1669" i="6"/>
  <c r="AC1669" i="6" s="1"/>
  <c r="AC1668" i="6"/>
  <c r="Y1668" i="6"/>
  <c r="AA1668" i="6" s="1"/>
  <c r="AF1668" i="6" s="1"/>
  <c r="AC1667" i="6"/>
  <c r="AA1667" i="6"/>
  <c r="AF1667" i="6" s="1"/>
  <c r="Y1667" i="6"/>
  <c r="Y1666" i="6"/>
  <c r="AA1665" i="6"/>
  <c r="AF1665" i="6" s="1"/>
  <c r="Y1665" i="6"/>
  <c r="AC1665" i="6" s="1"/>
  <c r="Y1664" i="6"/>
  <c r="AA1664" i="6" s="1"/>
  <c r="AF1664" i="6" s="1"/>
  <c r="Y1663" i="6"/>
  <c r="AA1663" i="6" s="1"/>
  <c r="AF1663" i="6" s="1"/>
  <c r="Y1662" i="6"/>
  <c r="AA1661" i="6"/>
  <c r="AF1661" i="6" s="1"/>
  <c r="Y1661" i="6"/>
  <c r="AC1661" i="6" s="1"/>
  <c r="AC1660" i="6"/>
  <c r="Y1660" i="6"/>
  <c r="AA1660" i="6" s="1"/>
  <c r="AF1660" i="6" s="1"/>
  <c r="Y1659" i="6"/>
  <c r="AA1659" i="6" s="1"/>
  <c r="AF1659" i="6" s="1"/>
  <c r="Y1658" i="6"/>
  <c r="AC1657" i="6"/>
  <c r="Y1657" i="6"/>
  <c r="AA1657" i="6" s="1"/>
  <c r="AF1657" i="6" s="1"/>
  <c r="Y1656" i="6"/>
  <c r="Y1655" i="6"/>
  <c r="AC1655" i="6" s="1"/>
  <c r="Y1654" i="6"/>
  <c r="Y1653" i="6"/>
  <c r="AA1653" i="6" s="1"/>
  <c r="AF1653" i="6" s="1"/>
  <c r="AC1652" i="6"/>
  <c r="Y1652" i="6"/>
  <c r="AA1652" i="6" s="1"/>
  <c r="AF1652" i="6" s="1"/>
  <c r="Y1651" i="6"/>
  <c r="AA1651" i="6" s="1"/>
  <c r="AF1651" i="6" s="1"/>
  <c r="AC1650" i="6"/>
  <c r="AA1650" i="6"/>
  <c r="AF1650" i="6" s="1"/>
  <c r="Y1650" i="6"/>
  <c r="AC1649" i="6"/>
  <c r="Y1649" i="6"/>
  <c r="AA1649" i="6" s="1"/>
  <c r="AF1649" i="6" s="1"/>
  <c r="Y1648" i="6"/>
  <c r="AC1648" i="6" s="1"/>
  <c r="X1648" i="6"/>
  <c r="AF1647" i="6"/>
  <c r="AA1647" i="6"/>
  <c r="Y1647" i="6"/>
  <c r="AC1647" i="6" s="1"/>
  <c r="AF1646" i="6"/>
  <c r="AC1646" i="6"/>
  <c r="AA1646" i="6"/>
  <c r="Y1646" i="6"/>
  <c r="AA1645" i="6"/>
  <c r="AF1645" i="6" s="1"/>
  <c r="Y1645" i="6"/>
  <c r="AC1645" i="6" s="1"/>
  <c r="AF1644" i="6"/>
  <c r="AC1644" i="6"/>
  <c r="AA1644" i="6"/>
  <c r="Y1644" i="6"/>
  <c r="AA1643" i="6"/>
  <c r="AF1643" i="6" s="1"/>
  <c r="Y1643" i="6"/>
  <c r="AC1643" i="6" s="1"/>
  <c r="AC1642" i="6"/>
  <c r="AA1642" i="6"/>
  <c r="AF1642" i="6" s="1"/>
  <c r="Y1642" i="6"/>
  <c r="AA1641" i="6"/>
  <c r="AF1641" i="6" s="1"/>
  <c r="Y1641" i="6"/>
  <c r="AC1641" i="6" s="1"/>
  <c r="AC1640" i="6"/>
  <c r="AA1640" i="6"/>
  <c r="AF1640" i="6" s="1"/>
  <c r="Y1640" i="6"/>
  <c r="Z1639" i="6"/>
  <c r="Y1639" i="6"/>
  <c r="AC1639" i="6" s="1"/>
  <c r="Y1638" i="6"/>
  <c r="AA1638" i="6" s="1"/>
  <c r="AF1638" i="6" s="1"/>
  <c r="AC1637" i="6"/>
  <c r="Y1637" i="6"/>
  <c r="AA1637" i="6" s="1"/>
  <c r="AF1637" i="6" s="1"/>
  <c r="Y1636" i="6"/>
  <c r="AA1636" i="6" s="1"/>
  <c r="AF1636" i="6" s="1"/>
  <c r="AC1635" i="6"/>
  <c r="Y1635" i="6"/>
  <c r="AA1635" i="6" s="1"/>
  <c r="AF1635" i="6" s="1"/>
  <c r="Y1634" i="6"/>
  <c r="Y1633" i="6"/>
  <c r="AC1632" i="6"/>
  <c r="Y1632" i="6"/>
  <c r="AA1632" i="6" s="1"/>
  <c r="AF1632" i="6" s="1"/>
  <c r="Y1631" i="6"/>
  <c r="AC1631" i="6" s="1"/>
  <c r="Y1630" i="6"/>
  <c r="AA1630" i="6" s="1"/>
  <c r="AF1630" i="6" s="1"/>
  <c r="AC1629" i="6"/>
  <c r="AA1629" i="6"/>
  <c r="AF1629" i="6" s="1"/>
  <c r="Y1629" i="6"/>
  <c r="Y1628" i="6"/>
  <c r="AA1628" i="6" s="1"/>
  <c r="AF1628" i="6" s="1"/>
  <c r="Y1627" i="6"/>
  <c r="AC1627" i="6" s="1"/>
  <c r="AC1626" i="6"/>
  <c r="Y1626" i="6"/>
  <c r="AA1626" i="6" s="1"/>
  <c r="AF1626" i="6" s="1"/>
  <c r="Z1625" i="6"/>
  <c r="AA1625" i="6" s="1"/>
  <c r="AF1625" i="6" s="1"/>
  <c r="X1625" i="6"/>
  <c r="Y1625" i="6" s="1"/>
  <c r="AC1625" i="6" s="1"/>
  <c r="Z1624" i="6"/>
  <c r="AA1624" i="6" s="1"/>
  <c r="AF1624" i="6" s="1"/>
  <c r="Y1624" i="6"/>
  <c r="AC1624" i="6" s="1"/>
  <c r="X1624" i="6"/>
  <c r="AC1623" i="6"/>
  <c r="Z1623" i="6"/>
  <c r="AA1623" i="6" s="1"/>
  <c r="AF1623" i="6" s="1"/>
  <c r="Y1623" i="6"/>
  <c r="AC1622" i="6"/>
  <c r="AA1622" i="6"/>
  <c r="AF1622" i="6" s="1"/>
  <c r="Z1622" i="6"/>
  <c r="Y1622" i="6"/>
  <c r="Z1621" i="6"/>
  <c r="X1621" i="6"/>
  <c r="Y1621" i="6" s="1"/>
  <c r="AC1621" i="6" s="1"/>
  <c r="AC1620" i="6"/>
  <c r="Z1620" i="6"/>
  <c r="AA1620" i="6" s="1"/>
  <c r="AF1620" i="6" s="1"/>
  <c r="Y1620" i="6"/>
  <c r="Z1619" i="6"/>
  <c r="Y1619" i="6"/>
  <c r="AC1619" i="6" s="1"/>
  <c r="Z1618" i="6"/>
  <c r="AA1618" i="6" s="1"/>
  <c r="AF1618" i="6" s="1"/>
  <c r="Y1618" i="6"/>
  <c r="AC1618" i="6" s="1"/>
  <c r="X1618" i="6"/>
  <c r="Z1617" i="6"/>
  <c r="X1617" i="6"/>
  <c r="Y1617" i="6" s="1"/>
  <c r="AC1617" i="6" s="1"/>
  <c r="AC1616" i="6"/>
  <c r="Z1616" i="6"/>
  <c r="AA1616" i="6" s="1"/>
  <c r="AF1616" i="6" s="1"/>
  <c r="Y1616" i="6"/>
  <c r="Z1615" i="6"/>
  <c r="AA1615" i="6" s="1"/>
  <c r="AF1615" i="6" s="1"/>
  <c r="Y1615" i="6"/>
  <c r="AC1615" i="6" s="1"/>
  <c r="X1615" i="6"/>
  <c r="AA1614" i="6"/>
  <c r="AF1614" i="6" s="1"/>
  <c r="Z1614" i="6"/>
  <c r="Y1614" i="6"/>
  <c r="AC1614" i="6" s="1"/>
  <c r="Z1613" i="6"/>
  <c r="X1613" i="6"/>
  <c r="Y1613" i="6" s="1"/>
  <c r="AC1613" i="6" s="1"/>
  <c r="AC1612" i="6"/>
  <c r="AA1612" i="6"/>
  <c r="AF1612" i="6" s="1"/>
  <c r="Z1612" i="6"/>
  <c r="X1612" i="6"/>
  <c r="Y1612" i="6" s="1"/>
  <c r="Z1611" i="6"/>
  <c r="Y1611" i="6"/>
  <c r="AC1611" i="6" s="1"/>
  <c r="Z1610" i="6"/>
  <c r="Y1610" i="6"/>
  <c r="AC1610" i="6" s="1"/>
  <c r="X1610" i="6"/>
  <c r="AA1609" i="6"/>
  <c r="AF1609" i="6" s="1"/>
  <c r="Z1609" i="6"/>
  <c r="Y1609" i="6"/>
  <c r="AC1609" i="6" s="1"/>
  <c r="X1609" i="6"/>
  <c r="Z1608" i="6"/>
  <c r="Y1608" i="6"/>
  <c r="AC1608" i="6" s="1"/>
  <c r="X1608" i="6"/>
  <c r="Z1607" i="6"/>
  <c r="Y1607" i="6"/>
  <c r="AC1607" i="6" s="1"/>
  <c r="X1607" i="6"/>
  <c r="Z1606" i="6"/>
  <c r="Y1606" i="6"/>
  <c r="AC1606" i="6" s="1"/>
  <c r="X1606" i="6"/>
  <c r="AC1605" i="6"/>
  <c r="Z1605" i="6"/>
  <c r="Y1605" i="6"/>
  <c r="AA1605" i="6" s="1"/>
  <c r="AF1605" i="6" s="1"/>
  <c r="X1605" i="6"/>
  <c r="Z1604" i="6"/>
  <c r="AA1604" i="6" s="1"/>
  <c r="AF1604" i="6" s="1"/>
  <c r="Y1604" i="6"/>
  <c r="AC1604" i="6" s="1"/>
  <c r="AC1603" i="6"/>
  <c r="Z1603" i="6"/>
  <c r="AA1603" i="6" s="1"/>
  <c r="AF1603" i="6" s="1"/>
  <c r="Y1603" i="6"/>
  <c r="Z1602" i="6"/>
  <c r="Y1602" i="6"/>
  <c r="AC1602" i="6" s="1"/>
  <c r="Z1601" i="6"/>
  <c r="Y1601" i="6"/>
  <c r="AC1601" i="6" s="1"/>
  <c r="Z1600" i="6"/>
  <c r="Y1600" i="6"/>
  <c r="AC1600" i="6" s="1"/>
  <c r="AC1599" i="6"/>
  <c r="AA1599" i="6"/>
  <c r="AF1599" i="6" s="1"/>
  <c r="Z1599" i="6"/>
  <c r="Y1599" i="6"/>
  <c r="Z1598" i="6"/>
  <c r="Y1598" i="6"/>
  <c r="AC1598" i="6" s="1"/>
  <c r="AF1597" i="6"/>
  <c r="AC1597" i="6"/>
  <c r="Z1597" i="6"/>
  <c r="AA1597" i="6" s="1"/>
  <c r="Y1597" i="6"/>
  <c r="Z1596" i="6"/>
  <c r="Y1596" i="6"/>
  <c r="AC1596" i="6" s="1"/>
  <c r="AC1595" i="6"/>
  <c r="Z1595" i="6"/>
  <c r="AA1595" i="6" s="1"/>
  <c r="AF1595" i="6" s="1"/>
  <c r="Y1595" i="6"/>
  <c r="Z1594" i="6"/>
  <c r="Y1594" i="6"/>
  <c r="AC1594" i="6" s="1"/>
  <c r="AC1593" i="6"/>
  <c r="Z1593" i="6"/>
  <c r="AA1593" i="6" s="1"/>
  <c r="AF1593" i="6" s="1"/>
  <c r="Y1593" i="6"/>
  <c r="AA1592" i="6"/>
  <c r="AF1592" i="6" s="1"/>
  <c r="Z1592" i="6"/>
  <c r="Y1592" i="6"/>
  <c r="AC1592" i="6" s="1"/>
  <c r="AC1591" i="6"/>
  <c r="AA1591" i="6"/>
  <c r="AF1591" i="6" s="1"/>
  <c r="Z1591" i="6"/>
  <c r="Y1591" i="6"/>
  <c r="AA1590" i="6"/>
  <c r="AF1590" i="6" s="1"/>
  <c r="Z1590" i="6"/>
  <c r="Y1590" i="6"/>
  <c r="AC1590" i="6" s="1"/>
  <c r="AF1589" i="6"/>
  <c r="AC1589" i="6"/>
  <c r="Z1589" i="6"/>
  <c r="AA1589" i="6" s="1"/>
  <c r="Y1589" i="6"/>
  <c r="Z1588" i="6"/>
  <c r="AA1588" i="6" s="1"/>
  <c r="AF1588" i="6" s="1"/>
  <c r="Y1588" i="6"/>
  <c r="AC1588" i="6" s="1"/>
  <c r="AC1587" i="6"/>
  <c r="Z1587" i="6"/>
  <c r="AA1587" i="6" s="1"/>
  <c r="AF1587" i="6" s="1"/>
  <c r="Y1587" i="6"/>
  <c r="AA1586" i="6"/>
  <c r="AF1586" i="6" s="1"/>
  <c r="Z1586" i="6"/>
  <c r="Y1586" i="6"/>
  <c r="AC1586" i="6" s="1"/>
  <c r="AC1585" i="6"/>
  <c r="Z1585" i="6"/>
  <c r="AA1585" i="6" s="1"/>
  <c r="AF1585" i="6" s="1"/>
  <c r="Y1585" i="6"/>
  <c r="Z1584" i="6"/>
  <c r="Y1584" i="6"/>
  <c r="AC1584" i="6" s="1"/>
  <c r="AC1583" i="6"/>
  <c r="AA1583" i="6"/>
  <c r="AF1583" i="6" s="1"/>
  <c r="Z1583" i="6"/>
  <c r="Y1583" i="6"/>
  <c r="Z1582" i="6"/>
  <c r="Y1582" i="6"/>
  <c r="AC1582" i="6" s="1"/>
  <c r="AC1581" i="6"/>
  <c r="Z1581" i="6"/>
  <c r="AA1581" i="6" s="1"/>
  <c r="AF1581" i="6" s="1"/>
  <c r="Y1581" i="6"/>
  <c r="Z1580" i="6"/>
  <c r="AA1580" i="6" s="1"/>
  <c r="AF1580" i="6" s="1"/>
  <c r="Y1580" i="6"/>
  <c r="AC1580" i="6" s="1"/>
  <c r="Z1579" i="6"/>
  <c r="AA1579" i="6" s="1"/>
  <c r="AF1579" i="6" s="1"/>
  <c r="X1579" i="6"/>
  <c r="Y1579" i="6" s="1"/>
  <c r="AC1579" i="6" s="1"/>
  <c r="AC1578" i="6"/>
  <c r="Z1578" i="6"/>
  <c r="AA1578" i="6" s="1"/>
  <c r="AF1578" i="6" s="1"/>
  <c r="Y1578" i="6"/>
  <c r="Z1577" i="6"/>
  <c r="AA1577" i="6" s="1"/>
  <c r="AF1577" i="6" s="1"/>
  <c r="Y1577" i="6"/>
  <c r="AC1577" i="6" s="1"/>
  <c r="AC1576" i="6"/>
  <c r="Z1576" i="6"/>
  <c r="AA1576" i="6" s="1"/>
  <c r="AF1576" i="6" s="1"/>
  <c r="Y1576" i="6"/>
  <c r="Z1575" i="6"/>
  <c r="Y1575" i="6"/>
  <c r="AC1575" i="6" s="1"/>
  <c r="Z1574" i="6"/>
  <c r="Y1574" i="6"/>
  <c r="AC1574" i="6" s="1"/>
  <c r="Z1573" i="6"/>
  <c r="Y1573" i="6"/>
  <c r="AC1573" i="6" s="1"/>
  <c r="AC1572" i="6"/>
  <c r="AA1572" i="6"/>
  <c r="AF1572" i="6" s="1"/>
  <c r="Z1572" i="6"/>
  <c r="Y1572" i="6"/>
  <c r="Z1571" i="6"/>
  <c r="Y1571" i="6"/>
  <c r="AC1571" i="6" s="1"/>
  <c r="AF1570" i="6"/>
  <c r="AC1570" i="6"/>
  <c r="Z1570" i="6"/>
  <c r="AA1570" i="6" s="1"/>
  <c r="Y1570" i="6"/>
  <c r="Z1569" i="6"/>
  <c r="Y1569" i="6"/>
  <c r="AC1569" i="6" s="1"/>
  <c r="AC1568" i="6"/>
  <c r="Z1568" i="6"/>
  <c r="AA1568" i="6" s="1"/>
  <c r="AF1568" i="6" s="1"/>
  <c r="Y1568" i="6"/>
  <c r="Z1567" i="6"/>
  <c r="Y1567" i="6"/>
  <c r="AC1567" i="6" s="1"/>
  <c r="Z1566" i="6"/>
  <c r="X1566" i="6"/>
  <c r="Y1566" i="6" s="1"/>
  <c r="AC1566" i="6" s="1"/>
  <c r="AC1565" i="6"/>
  <c r="Z1565" i="6"/>
  <c r="AA1565" i="6" s="1"/>
  <c r="AF1565" i="6" s="1"/>
  <c r="Y1565" i="6"/>
  <c r="AC1564" i="6"/>
  <c r="Z1564" i="6"/>
  <c r="Y1564" i="6"/>
  <c r="AA1564" i="6" s="1"/>
  <c r="AF1564" i="6" s="1"/>
  <c r="AC1563" i="6"/>
  <c r="Z1563" i="6"/>
  <c r="AA1563" i="6" s="1"/>
  <c r="AF1563" i="6" s="1"/>
  <c r="Y1563" i="6"/>
  <c r="AF1562" i="6"/>
  <c r="AA1562" i="6"/>
  <c r="Z1562" i="6"/>
  <c r="Y1562" i="6"/>
  <c r="AC1562" i="6" s="1"/>
  <c r="AC1561" i="6"/>
  <c r="Z1561" i="6"/>
  <c r="AA1561" i="6" s="1"/>
  <c r="AF1561" i="6" s="1"/>
  <c r="Y1561" i="6"/>
  <c r="AF1560" i="6"/>
  <c r="AA1560" i="6"/>
  <c r="Z1560" i="6"/>
  <c r="Y1560" i="6"/>
  <c r="AC1560" i="6" s="1"/>
  <c r="AC1559" i="6"/>
  <c r="Z1559" i="6"/>
  <c r="AA1559" i="6" s="1"/>
  <c r="AF1559" i="6" s="1"/>
  <c r="Y1559" i="6"/>
  <c r="AF1558" i="6"/>
  <c r="AA1558" i="6"/>
  <c r="Z1558" i="6"/>
  <c r="Y1558" i="6"/>
  <c r="AC1558" i="6" s="1"/>
  <c r="AC1557" i="6"/>
  <c r="Z1557" i="6"/>
  <c r="AA1557" i="6" s="1"/>
  <c r="AF1557" i="6" s="1"/>
  <c r="Y1557" i="6"/>
  <c r="AC1556" i="6"/>
  <c r="AA1556" i="6"/>
  <c r="AF1556" i="6" s="1"/>
  <c r="Z1556" i="6"/>
  <c r="Y1556" i="6"/>
  <c r="X1556" i="6"/>
  <c r="Z1555" i="6"/>
  <c r="Y1555" i="6"/>
  <c r="AC1555" i="6" s="1"/>
  <c r="AC1554" i="6"/>
  <c r="Z1554" i="6"/>
  <c r="X1554" i="6"/>
  <c r="Y1554" i="6" s="1"/>
  <c r="AC1553" i="6"/>
  <c r="Z1553" i="6"/>
  <c r="AA1553" i="6" s="1"/>
  <c r="AF1553" i="6" s="1"/>
  <c r="Y1553" i="6"/>
  <c r="AF1552" i="6"/>
  <c r="AA1552" i="6"/>
  <c r="Z1552" i="6"/>
  <c r="Y1552" i="6"/>
  <c r="AC1552" i="6" s="1"/>
  <c r="AC1551" i="6"/>
  <c r="Z1551" i="6"/>
  <c r="AA1551" i="6" s="1"/>
  <c r="AF1551" i="6" s="1"/>
  <c r="Y1551" i="6"/>
  <c r="AC1550" i="6"/>
  <c r="AA1550" i="6"/>
  <c r="AF1550" i="6" s="1"/>
  <c r="Z1550" i="6"/>
  <c r="Y1550" i="6"/>
  <c r="Z1549" i="6"/>
  <c r="Y1549" i="6"/>
  <c r="AC1549" i="6" s="1"/>
  <c r="AA1548" i="6"/>
  <c r="AF1548" i="6" s="1"/>
  <c r="Z1548" i="6"/>
  <c r="Y1548" i="6"/>
  <c r="AC1548" i="6" s="1"/>
  <c r="AC1547" i="6"/>
  <c r="Z1547" i="6"/>
  <c r="AA1547" i="6" s="1"/>
  <c r="AF1547" i="6" s="1"/>
  <c r="Y1547" i="6"/>
  <c r="Z1546" i="6"/>
  <c r="X1546" i="6"/>
  <c r="Y1546" i="6" s="1"/>
  <c r="AA1545" i="6"/>
  <c r="AF1545" i="6" s="1"/>
  <c r="Z1545" i="6"/>
  <c r="Y1545" i="6"/>
  <c r="AC1545" i="6" s="1"/>
  <c r="AC1544" i="6"/>
  <c r="AA1544" i="6"/>
  <c r="AF1544" i="6" s="1"/>
  <c r="Z1544" i="6"/>
  <c r="Y1544" i="6"/>
  <c r="AA1543" i="6"/>
  <c r="AF1543" i="6" s="1"/>
  <c r="Z1543" i="6"/>
  <c r="Y1543" i="6"/>
  <c r="AC1543" i="6" s="1"/>
  <c r="AF1542" i="6"/>
  <c r="AC1542" i="6"/>
  <c r="Z1542" i="6"/>
  <c r="AA1542" i="6" s="1"/>
  <c r="Y1542" i="6"/>
  <c r="Z1541" i="6"/>
  <c r="AA1541" i="6" s="1"/>
  <c r="AF1541" i="6" s="1"/>
  <c r="Y1541" i="6"/>
  <c r="AC1541" i="6" s="1"/>
  <c r="AC1540" i="6"/>
  <c r="Z1540" i="6"/>
  <c r="AA1540" i="6" s="1"/>
  <c r="AF1540" i="6" s="1"/>
  <c r="Y1540" i="6"/>
  <c r="AA1539" i="6"/>
  <c r="AF1539" i="6" s="1"/>
  <c r="Z1539" i="6"/>
  <c r="Y1539" i="6"/>
  <c r="AC1539" i="6" s="1"/>
  <c r="X1539" i="6"/>
  <c r="Z1538" i="6"/>
  <c r="AA1538" i="6" s="1"/>
  <c r="AF1538" i="6" s="1"/>
  <c r="Y1538" i="6"/>
  <c r="AC1538" i="6" s="1"/>
  <c r="AC1537" i="6"/>
  <c r="Z1537" i="6"/>
  <c r="AA1537" i="6" s="1"/>
  <c r="AF1537" i="6" s="1"/>
  <c r="Y1537" i="6"/>
  <c r="AC1536" i="6"/>
  <c r="Z1536" i="6"/>
  <c r="Y1536" i="6"/>
  <c r="AA1536" i="6" s="1"/>
  <c r="AF1536" i="6" s="1"/>
  <c r="AC1535" i="6"/>
  <c r="Z1535" i="6"/>
  <c r="AA1535" i="6" s="1"/>
  <c r="AF1535" i="6" s="1"/>
  <c r="Y1535" i="6"/>
  <c r="AF1534" i="6"/>
  <c r="AA1534" i="6"/>
  <c r="Z1534" i="6"/>
  <c r="Y1534" i="6"/>
  <c r="AC1534" i="6" s="1"/>
  <c r="AC1533" i="6"/>
  <c r="Z1533" i="6"/>
  <c r="AA1533" i="6" s="1"/>
  <c r="AF1533" i="6" s="1"/>
  <c r="Y1533" i="6"/>
  <c r="AF1532" i="6"/>
  <c r="AA1532" i="6"/>
  <c r="Z1532" i="6"/>
  <c r="Y1532" i="6"/>
  <c r="AC1532" i="6" s="1"/>
  <c r="AC1531" i="6"/>
  <c r="Z1531" i="6"/>
  <c r="AA1531" i="6" s="1"/>
  <c r="AF1531" i="6" s="1"/>
  <c r="Y1531" i="6"/>
  <c r="AF1530" i="6"/>
  <c r="AA1530" i="6"/>
  <c r="Z1530" i="6"/>
  <c r="Y1530" i="6"/>
  <c r="AC1530" i="6" s="1"/>
  <c r="AA1529" i="6"/>
  <c r="AF1529" i="6" s="1"/>
  <c r="Y1529" i="6"/>
  <c r="AA1528" i="6"/>
  <c r="AF1528" i="6" s="1"/>
  <c r="Y1528" i="6"/>
  <c r="AC1528" i="6" s="1"/>
  <c r="AA1527" i="6"/>
  <c r="AF1527" i="6" s="1"/>
  <c r="Y1527" i="6"/>
  <c r="AC1527" i="6" s="1"/>
  <c r="Y1526" i="6"/>
  <c r="AC1526" i="6" s="1"/>
  <c r="X1526" i="6"/>
  <c r="Y1525" i="6"/>
  <c r="AA1525" i="6" s="1"/>
  <c r="AF1525" i="6" s="1"/>
  <c r="AC1524" i="6"/>
  <c r="AA1524" i="6"/>
  <c r="AF1524" i="6" s="1"/>
  <c r="Y1524" i="6"/>
  <c r="AC1523" i="6"/>
  <c r="Y1523" i="6"/>
  <c r="AA1523" i="6" s="1"/>
  <c r="AF1523" i="6" s="1"/>
  <c r="Y1522" i="6"/>
  <c r="AC1522" i="6" s="1"/>
  <c r="Y1521" i="6"/>
  <c r="AC1521" i="6" s="1"/>
  <c r="X1521" i="6"/>
  <c r="X1520" i="6"/>
  <c r="Y1520" i="6" s="1"/>
  <c r="AC1520" i="6" s="1"/>
  <c r="AA1519" i="6"/>
  <c r="AF1519" i="6" s="1"/>
  <c r="Y1519" i="6"/>
  <c r="AC1519" i="6" s="1"/>
  <c r="X1519" i="6"/>
  <c r="X1518" i="6"/>
  <c r="Y1518" i="6" s="1"/>
  <c r="AC1517" i="6"/>
  <c r="AA1517" i="6"/>
  <c r="AF1517" i="6" s="1"/>
  <c r="Y1517" i="6"/>
  <c r="X1517" i="6"/>
  <c r="AC1516" i="6"/>
  <c r="AA1516" i="6"/>
  <c r="AF1516" i="6" s="1"/>
  <c r="Y1516" i="6"/>
  <c r="AC1515" i="6"/>
  <c r="X1515" i="6"/>
  <c r="Y1515" i="6" s="1"/>
  <c r="AA1515" i="6" s="1"/>
  <c r="AF1515" i="6" s="1"/>
  <c r="AC1514" i="6"/>
  <c r="AA1514" i="6"/>
  <c r="AF1514" i="6" s="1"/>
  <c r="Y1514" i="6"/>
  <c r="AF1513" i="6"/>
  <c r="AC1513" i="6"/>
  <c r="Y1513" i="6"/>
  <c r="AA1513" i="6" s="1"/>
  <c r="Y1512" i="6"/>
  <c r="AC1512" i="6" s="1"/>
  <c r="X1512" i="6"/>
  <c r="AF1511" i="6"/>
  <c r="AA1511" i="6"/>
  <c r="Y1511" i="6"/>
  <c r="AC1511" i="6" s="1"/>
  <c r="Y1510" i="6"/>
  <c r="AC1510" i="6" s="1"/>
  <c r="AC1509" i="6"/>
  <c r="AA1509" i="6"/>
  <c r="AF1509" i="6" s="1"/>
  <c r="Y1509" i="6"/>
  <c r="Y1508" i="6"/>
  <c r="AC1508" i="6" s="1"/>
  <c r="AC1507" i="6"/>
  <c r="AA1507" i="6"/>
  <c r="AF1507" i="6" s="1"/>
  <c r="Y1507" i="6"/>
  <c r="Y1506" i="6"/>
  <c r="AC1506" i="6" s="1"/>
  <c r="X1506" i="6"/>
  <c r="AC1505" i="6"/>
  <c r="Y1505" i="6"/>
  <c r="AA1505" i="6" s="1"/>
  <c r="AF1505" i="6" s="1"/>
  <c r="AC1504" i="6"/>
  <c r="AA1504" i="6"/>
  <c r="AF1504" i="6" s="1"/>
  <c r="Y1504" i="6"/>
  <c r="AC1503" i="6"/>
  <c r="Y1503" i="6"/>
  <c r="AA1503" i="6" s="1"/>
  <c r="AF1503" i="6" s="1"/>
  <c r="X1502" i="6"/>
  <c r="Y1502" i="6" s="1"/>
  <c r="Y1501" i="6"/>
  <c r="AC1501" i="6" s="1"/>
  <c r="Y1500" i="6"/>
  <c r="AC1500" i="6" s="1"/>
  <c r="X1500" i="6"/>
  <c r="Y1499" i="6"/>
  <c r="AC1499" i="6" s="1"/>
  <c r="AA1498" i="6"/>
  <c r="AF1498" i="6" s="1"/>
  <c r="Y1498" i="6"/>
  <c r="AC1498" i="6" s="1"/>
  <c r="Y1497" i="6"/>
  <c r="AC1497" i="6" s="1"/>
  <c r="AA1496" i="6"/>
  <c r="AF1496" i="6" s="1"/>
  <c r="Y1496" i="6"/>
  <c r="AC1496" i="6" s="1"/>
  <c r="X1495" i="6"/>
  <c r="Y1495" i="6" s="1"/>
  <c r="AC1494" i="6"/>
  <c r="AA1494" i="6"/>
  <c r="AF1494" i="6" s="1"/>
  <c r="Y1494" i="6"/>
  <c r="Y1493" i="6"/>
  <c r="AC1493" i="6" s="1"/>
  <c r="AC1492" i="6"/>
  <c r="AA1492" i="6"/>
  <c r="AF1492" i="6" s="1"/>
  <c r="Y1492" i="6"/>
  <c r="Y1491" i="6"/>
  <c r="AC1491" i="6" s="1"/>
  <c r="AC1490" i="6"/>
  <c r="AA1490" i="6"/>
  <c r="AF1490" i="6" s="1"/>
  <c r="Y1490" i="6"/>
  <c r="Y1489" i="6"/>
  <c r="AC1489" i="6" s="1"/>
  <c r="AC1488" i="6"/>
  <c r="AA1488" i="6"/>
  <c r="AF1488" i="6" s="1"/>
  <c r="Y1488" i="6"/>
  <c r="Y1487" i="6"/>
  <c r="AC1487" i="6" s="1"/>
  <c r="AC1486" i="6"/>
  <c r="AA1486" i="6"/>
  <c r="AF1486" i="6" s="1"/>
  <c r="Y1486" i="6"/>
  <c r="Y1485" i="6"/>
  <c r="AC1485" i="6" s="1"/>
  <c r="AC1484" i="6"/>
  <c r="AA1484" i="6"/>
  <c r="AF1484" i="6" s="1"/>
  <c r="Y1484" i="6"/>
  <c r="Y1483" i="6"/>
  <c r="AC1483" i="6" s="1"/>
  <c r="AC1482" i="6"/>
  <c r="AA1482" i="6"/>
  <c r="AF1482" i="6" s="1"/>
  <c r="Y1482" i="6"/>
  <c r="Y1481" i="6"/>
  <c r="AC1481" i="6" s="1"/>
  <c r="AC1480" i="6"/>
  <c r="AA1480" i="6"/>
  <c r="AF1480" i="6" s="1"/>
  <c r="Y1480" i="6"/>
  <c r="Y1479" i="6"/>
  <c r="AC1479" i="6" s="1"/>
  <c r="AC1478" i="6"/>
  <c r="AA1478" i="6"/>
  <c r="AF1478" i="6" s="1"/>
  <c r="Y1478" i="6"/>
  <c r="Y1477" i="6"/>
  <c r="AC1477" i="6" s="1"/>
  <c r="AC1476" i="6"/>
  <c r="AA1476" i="6"/>
  <c r="AF1476" i="6" s="1"/>
  <c r="Y1476" i="6"/>
  <c r="Y1475" i="6"/>
  <c r="AC1475" i="6" s="1"/>
  <c r="Z1207" i="7"/>
  <c r="AA1207" i="7" s="1"/>
  <c r="AF1207" i="7" s="1"/>
  <c r="Y1207" i="7"/>
  <c r="AC1207" i="7" s="1"/>
  <c r="Y1206" i="7"/>
  <c r="AA1206" i="7" s="1"/>
  <c r="AF1206" i="7" s="1"/>
  <c r="Y1205" i="7"/>
  <c r="AA1205" i="7" s="1"/>
  <c r="AF1205" i="7" s="1"/>
  <c r="AA1204" i="7"/>
  <c r="AF1204" i="7" s="1"/>
  <c r="Y1204" i="7"/>
  <c r="AF1203" i="7"/>
  <c r="AA1203" i="7"/>
  <c r="Y1203" i="7"/>
  <c r="Y1202" i="7"/>
  <c r="AA1202" i="7" s="1"/>
  <c r="AF1202" i="7" s="1"/>
  <c r="Y1201" i="7"/>
  <c r="AA1201" i="7" s="1"/>
  <c r="AF1201" i="7" s="1"/>
  <c r="AF1200" i="7"/>
  <c r="AA1200" i="7"/>
  <c r="Y1200" i="7"/>
  <c r="AA1199" i="7"/>
  <c r="AF1199" i="7" s="1"/>
  <c r="Y1199" i="7"/>
  <c r="Y1198" i="7"/>
  <c r="AA1198" i="7" s="1"/>
  <c r="AF1198" i="7" s="1"/>
  <c r="Y1197" i="7"/>
  <c r="AA1197" i="7" s="1"/>
  <c r="AF1197" i="7" s="1"/>
  <c r="AF1196" i="7"/>
  <c r="AA1196" i="7"/>
  <c r="Y1196" i="7"/>
  <c r="AF1195" i="7"/>
  <c r="AA1195" i="7"/>
  <c r="Y1195" i="7"/>
  <c r="Y1194" i="7"/>
  <c r="AA1194" i="7" s="1"/>
  <c r="AF1194" i="7" s="1"/>
  <c r="Y1193" i="7"/>
  <c r="AA1193" i="7" s="1"/>
  <c r="AF1193" i="7" s="1"/>
  <c r="AF1192" i="7"/>
  <c r="AA1192" i="7"/>
  <c r="Y1192" i="7"/>
  <c r="AA1191" i="7"/>
  <c r="AF1191" i="7" s="1"/>
  <c r="Y1191" i="7"/>
  <c r="Y1190" i="7"/>
  <c r="AA1190" i="7" s="1"/>
  <c r="AF1190" i="7" s="1"/>
  <c r="Y1189" i="7"/>
  <c r="AA1189" i="7" s="1"/>
  <c r="AF1189" i="7" s="1"/>
  <c r="Y1188" i="7"/>
  <c r="AA1188" i="7" s="1"/>
  <c r="AF1188" i="7" s="1"/>
  <c r="AA1187" i="7"/>
  <c r="AF1187" i="7" s="1"/>
  <c r="Y1187" i="7"/>
  <c r="AA1186" i="7"/>
  <c r="AF1186" i="7" s="1"/>
  <c r="Z1186" i="7"/>
  <c r="Y1186" i="7"/>
  <c r="AC1186" i="7" s="1"/>
  <c r="AF1185" i="7"/>
  <c r="AC1185" i="7"/>
  <c r="Z1185" i="7"/>
  <c r="Y1185" i="7"/>
  <c r="AA1185" i="7" s="1"/>
  <c r="Z1184" i="7"/>
  <c r="AA1184" i="7" s="1"/>
  <c r="AF1184" i="7" s="1"/>
  <c r="Y1184" i="7"/>
  <c r="AC1184" i="7" s="1"/>
  <c r="Z1183" i="7"/>
  <c r="AA1183" i="7" s="1"/>
  <c r="AF1183" i="7" s="1"/>
  <c r="Y1183" i="7"/>
  <c r="AC1183" i="7" s="1"/>
  <c r="AC1182" i="7"/>
  <c r="AA1182" i="7"/>
  <c r="AF1182" i="7" s="1"/>
  <c r="Z1182" i="7"/>
  <c r="Y1182" i="7"/>
  <c r="AA1181" i="7"/>
  <c r="AF1181" i="7" s="1"/>
  <c r="Y1181" i="7"/>
  <c r="Y1180" i="7"/>
  <c r="AA1180" i="7" s="1"/>
  <c r="AF1180" i="7" s="1"/>
  <c r="AA1179" i="7"/>
  <c r="AF1179" i="7" s="1"/>
  <c r="Y1179" i="7"/>
  <c r="AF1178" i="7"/>
  <c r="AA1178" i="7"/>
  <c r="Y1178" i="7"/>
  <c r="AA1177" i="7"/>
  <c r="AF1177" i="7" s="1"/>
  <c r="Y1177" i="7"/>
  <c r="Y1176" i="7"/>
  <c r="AA1176" i="7" s="1"/>
  <c r="AF1176" i="7" s="1"/>
  <c r="Y1175" i="7"/>
  <c r="AA1175" i="7" s="1"/>
  <c r="AF1175" i="7" s="1"/>
  <c r="Y1174" i="7"/>
  <c r="AA1174" i="7" s="1"/>
  <c r="AF1174" i="7" s="1"/>
  <c r="AA1173" i="7"/>
  <c r="AF1173" i="7" s="1"/>
  <c r="Y1173" i="7"/>
  <c r="Y1172" i="7"/>
  <c r="AA1172" i="7" s="1"/>
  <c r="AF1172" i="7" s="1"/>
  <c r="AA1171" i="7"/>
  <c r="AF1171" i="7" s="1"/>
  <c r="Y1171" i="7"/>
  <c r="Y1170" i="7"/>
  <c r="AA1170" i="7" s="1"/>
  <c r="AF1170" i="7" s="1"/>
  <c r="AA1169" i="7"/>
  <c r="AF1169" i="7" s="1"/>
  <c r="Y1169" i="7"/>
  <c r="Y1168" i="7"/>
  <c r="AA1168" i="7" s="1"/>
  <c r="AF1168" i="7" s="1"/>
  <c r="Y1167" i="7"/>
  <c r="AA1167" i="7" s="1"/>
  <c r="AF1167" i="7" s="1"/>
  <c r="AF1166" i="7"/>
  <c r="Y1166" i="7"/>
  <c r="AA1166" i="7" s="1"/>
  <c r="AA1165" i="7"/>
  <c r="AF1165" i="7" s="1"/>
  <c r="Y1165" i="7"/>
  <c r="AA1164" i="7"/>
  <c r="AF1164" i="7" s="1"/>
  <c r="Y1164" i="7"/>
  <c r="AA1163" i="7"/>
  <c r="AF1163" i="7" s="1"/>
  <c r="Y1163" i="7"/>
  <c r="Y1162" i="7"/>
  <c r="AA1162" i="7" s="1"/>
  <c r="AF1162" i="7" s="1"/>
  <c r="AF1161" i="7"/>
  <c r="AA1161" i="7"/>
  <c r="Y1161" i="7"/>
  <c r="Y1160" i="7"/>
  <c r="AA1160" i="7" s="1"/>
  <c r="AF1160" i="7" s="1"/>
  <c r="Y1159" i="7"/>
  <c r="AA1159" i="7" s="1"/>
  <c r="AF1159" i="7" s="1"/>
  <c r="Y1158" i="7"/>
  <c r="AA1158" i="7" s="1"/>
  <c r="AF1158" i="7" s="1"/>
  <c r="AA1157" i="7"/>
  <c r="AF1157" i="7" s="1"/>
  <c r="Y1157" i="7"/>
  <c r="Y1156" i="7"/>
  <c r="AA1156" i="7" s="1"/>
  <c r="AF1156" i="7" s="1"/>
  <c r="AA1155" i="7"/>
  <c r="AF1155" i="7" s="1"/>
  <c r="Y1155" i="7"/>
  <c r="Y1154" i="7"/>
  <c r="AA1154" i="7" s="1"/>
  <c r="AF1154" i="7" s="1"/>
  <c r="AA1153" i="7"/>
  <c r="AF1153" i="7" s="1"/>
  <c r="Y1153" i="7"/>
  <c r="Y1152" i="7"/>
  <c r="AA1152" i="7" s="1"/>
  <c r="AF1152" i="7" s="1"/>
  <c r="Y1151" i="7"/>
  <c r="AA1151" i="7" s="1"/>
  <c r="AF1151" i="7" s="1"/>
  <c r="AF1150" i="7"/>
  <c r="Y1150" i="7"/>
  <c r="AA1150" i="7" s="1"/>
  <c r="AA1149" i="7"/>
  <c r="AF1149" i="7" s="1"/>
  <c r="Y1149" i="7"/>
  <c r="AA1148" i="7"/>
  <c r="AF1148" i="7" s="1"/>
  <c r="Y1148" i="7"/>
  <c r="AA1147" i="7"/>
  <c r="AF1147" i="7" s="1"/>
  <c r="Y1147" i="7"/>
  <c r="Y1146" i="7"/>
  <c r="AA1146" i="7" s="1"/>
  <c r="AF1146" i="7" s="1"/>
  <c r="AA1145" i="7"/>
  <c r="AF1145" i="7" s="1"/>
  <c r="Y1145" i="7"/>
  <c r="Y1144" i="7"/>
  <c r="AA1144" i="7" s="1"/>
  <c r="AF1144" i="7" s="1"/>
  <c r="Y1143" i="7"/>
  <c r="AA1143" i="7" s="1"/>
  <c r="AF1143" i="7" s="1"/>
  <c r="Y1142" i="7"/>
  <c r="AA1142" i="7" s="1"/>
  <c r="AF1142" i="7" s="1"/>
  <c r="AA1141" i="7"/>
  <c r="AF1141" i="7" s="1"/>
  <c r="Y1141" i="7"/>
  <c r="AA1140" i="7"/>
  <c r="AF1140" i="7" s="1"/>
  <c r="Y1140" i="7"/>
  <c r="AA1139" i="7"/>
  <c r="AF1139" i="7" s="1"/>
  <c r="Y1139" i="7"/>
  <c r="Y1138" i="7"/>
  <c r="AA1138" i="7" s="1"/>
  <c r="AF1138" i="7" s="1"/>
  <c r="AF1137" i="7"/>
  <c r="AC1137" i="7"/>
  <c r="Z1137" i="7"/>
  <c r="AA1137" i="7" s="1"/>
  <c r="Y1137" i="7"/>
  <c r="Y1136" i="7"/>
  <c r="AF1135" i="7"/>
  <c r="AA1135" i="7"/>
  <c r="Y1135" i="7"/>
  <c r="AC1135" i="7" s="1"/>
  <c r="Y1134" i="7"/>
  <c r="Z1133" i="7"/>
  <c r="Y1133" i="7"/>
  <c r="AC1133" i="7" s="1"/>
  <c r="Z1132" i="7"/>
  <c r="AA1132" i="7" s="1"/>
  <c r="AF1132" i="7" s="1"/>
  <c r="Y1132" i="7"/>
  <c r="AC1132" i="7" s="1"/>
  <c r="AA1131" i="7"/>
  <c r="AF1131" i="7" s="1"/>
  <c r="Z1131" i="7"/>
  <c r="Y1131" i="7"/>
  <c r="AC1131" i="7" s="1"/>
  <c r="AC1130" i="7"/>
  <c r="Z1130" i="7"/>
  <c r="AA1130" i="7" s="1"/>
  <c r="AF1130" i="7" s="1"/>
  <c r="Y1130" i="7"/>
  <c r="Z1129" i="7"/>
  <c r="AA1129" i="7" s="1"/>
  <c r="AF1129" i="7" s="1"/>
  <c r="Y1129" i="7"/>
  <c r="AC1129" i="7" s="1"/>
  <c r="AC1128" i="7"/>
  <c r="Z1128" i="7"/>
  <c r="AA1128" i="7" s="1"/>
  <c r="AF1128" i="7" s="1"/>
  <c r="Y1128" i="7"/>
  <c r="AC1127" i="7"/>
  <c r="AA1127" i="7"/>
  <c r="AF1127" i="7" s="1"/>
  <c r="Z1127" i="7"/>
  <c r="Y1127" i="7"/>
  <c r="Z1126" i="7"/>
  <c r="Y1126" i="7"/>
  <c r="AC1126" i="7" s="1"/>
  <c r="Z1125" i="7"/>
  <c r="Y1125" i="7"/>
  <c r="AC1125" i="7" s="1"/>
  <c r="Z1124" i="7"/>
  <c r="AA1124" i="7" s="1"/>
  <c r="AF1124" i="7" s="1"/>
  <c r="Y1124" i="7"/>
  <c r="AC1124" i="7" s="1"/>
  <c r="AA1123" i="7"/>
  <c r="AF1123" i="7" s="1"/>
  <c r="Z1123" i="7"/>
  <c r="Y1123" i="7"/>
  <c r="AC1123" i="7" s="1"/>
  <c r="AC1122" i="7"/>
  <c r="Z1122" i="7"/>
  <c r="AA1122" i="7" s="1"/>
  <c r="AF1122" i="7" s="1"/>
  <c r="Y1122" i="7"/>
  <c r="Z1121" i="7"/>
  <c r="AA1121" i="7" s="1"/>
  <c r="AF1121" i="7" s="1"/>
  <c r="Y1121" i="7"/>
  <c r="AC1121" i="7" s="1"/>
  <c r="AC1120" i="7"/>
  <c r="Z1120" i="7"/>
  <c r="AA1120" i="7" s="1"/>
  <c r="AF1120" i="7" s="1"/>
  <c r="Y1120" i="7"/>
  <c r="AC1119" i="7"/>
  <c r="AA1119" i="7"/>
  <c r="AF1119" i="7" s="1"/>
  <c r="Z1119" i="7"/>
  <c r="Y1119" i="7"/>
  <c r="Z1118" i="7"/>
  <c r="Y1118" i="7"/>
  <c r="AC1118" i="7" s="1"/>
  <c r="Z1117" i="7"/>
  <c r="Y1117" i="7"/>
  <c r="AC1117" i="7" s="1"/>
  <c r="Z1116" i="7"/>
  <c r="AA1116" i="7" s="1"/>
  <c r="AF1116" i="7" s="1"/>
  <c r="Y1116" i="7"/>
  <c r="AC1116" i="7" s="1"/>
  <c r="AA1115" i="7"/>
  <c r="AF1115" i="7" s="1"/>
  <c r="Z1115" i="7"/>
  <c r="Y1115" i="7"/>
  <c r="AC1115" i="7" s="1"/>
  <c r="AC1114" i="7"/>
  <c r="Z1114" i="7"/>
  <c r="AA1114" i="7" s="1"/>
  <c r="AF1114" i="7" s="1"/>
  <c r="Y1114" i="7"/>
  <c r="Z1113" i="7"/>
  <c r="AA1113" i="7" s="1"/>
  <c r="AF1113" i="7" s="1"/>
  <c r="Y1113" i="7"/>
  <c r="AC1113" i="7" s="1"/>
  <c r="AC1112" i="7"/>
  <c r="Z1112" i="7"/>
  <c r="AA1112" i="7" s="1"/>
  <c r="AF1112" i="7" s="1"/>
  <c r="Y1112" i="7"/>
  <c r="AC1111" i="7"/>
  <c r="AA1111" i="7"/>
  <c r="AF1111" i="7" s="1"/>
  <c r="Z1111" i="7"/>
  <c r="Y1111" i="7"/>
  <c r="Z1110" i="7"/>
  <c r="Y1110" i="7"/>
  <c r="AC1110" i="7" s="1"/>
  <c r="Z1109" i="7"/>
  <c r="Y1109" i="7"/>
  <c r="AC1109" i="7" s="1"/>
  <c r="Z1108" i="7"/>
  <c r="AA1108" i="7" s="1"/>
  <c r="AF1108" i="7" s="1"/>
  <c r="Y1108" i="7"/>
  <c r="AC1108" i="7" s="1"/>
  <c r="AA1107" i="7"/>
  <c r="AF1107" i="7" s="1"/>
  <c r="Z1107" i="7"/>
  <c r="Y1107" i="7"/>
  <c r="AC1107" i="7" s="1"/>
  <c r="AC1106" i="7"/>
  <c r="Z1106" i="7"/>
  <c r="AA1106" i="7" s="1"/>
  <c r="AF1106" i="7" s="1"/>
  <c r="Y1106" i="7"/>
  <c r="Z1105" i="7"/>
  <c r="AA1105" i="7" s="1"/>
  <c r="AF1105" i="7" s="1"/>
  <c r="Y1105" i="7"/>
  <c r="AC1105" i="7" s="1"/>
  <c r="AC1104" i="7"/>
  <c r="Z1104" i="7"/>
  <c r="AA1104" i="7" s="1"/>
  <c r="AF1104" i="7" s="1"/>
  <c r="Y1104" i="7"/>
  <c r="AC1103" i="7"/>
  <c r="AA1103" i="7"/>
  <c r="AF1103" i="7" s="1"/>
  <c r="Z1103" i="7"/>
  <c r="Y1103" i="7"/>
  <c r="Z1102" i="7"/>
  <c r="Y1102" i="7"/>
  <c r="AC1102" i="7" s="1"/>
  <c r="Z1101" i="7"/>
  <c r="Y1101" i="7"/>
  <c r="AC1101" i="7" s="1"/>
  <c r="Y1100" i="7"/>
  <c r="AC1100" i="7" s="1"/>
  <c r="AC1099" i="7"/>
  <c r="Z1099" i="7"/>
  <c r="AA1099" i="7" s="1"/>
  <c r="AF1099" i="7" s="1"/>
  <c r="Y1099" i="7"/>
  <c r="AC1098" i="7"/>
  <c r="AA1098" i="7"/>
  <c r="AF1098" i="7" s="1"/>
  <c r="Z1098" i="7"/>
  <c r="Y1098" i="7"/>
  <c r="Z1097" i="7"/>
  <c r="AA1097" i="7" s="1"/>
  <c r="AF1097" i="7" s="1"/>
  <c r="Y1097" i="7"/>
  <c r="AC1097" i="7" s="1"/>
  <c r="AF1096" i="7"/>
  <c r="AA1096" i="7"/>
  <c r="Z1096" i="7"/>
  <c r="Y1096" i="7"/>
  <c r="AC1096" i="7" s="1"/>
  <c r="AC1095" i="7"/>
  <c r="Z1095" i="7"/>
  <c r="AA1095" i="7" s="1"/>
  <c r="AF1095" i="7" s="1"/>
  <c r="Y1095" i="7"/>
  <c r="AF1094" i="7"/>
  <c r="AA1094" i="7"/>
  <c r="Z1094" i="7"/>
  <c r="Y1094" i="7"/>
  <c r="AC1094" i="7" s="1"/>
  <c r="AC1093" i="7"/>
  <c r="Z1093" i="7"/>
  <c r="AA1093" i="7" s="1"/>
  <c r="AF1093" i="7" s="1"/>
  <c r="Y1093" i="7"/>
  <c r="Z1092" i="7"/>
  <c r="Y1092" i="7"/>
  <c r="AC1092" i="7" s="1"/>
  <c r="AC1091" i="7"/>
  <c r="Z1091" i="7"/>
  <c r="AA1091" i="7" s="1"/>
  <c r="AF1091" i="7" s="1"/>
  <c r="Y1091" i="7"/>
  <c r="AC1090" i="7"/>
  <c r="AA1090" i="7"/>
  <c r="AF1090" i="7" s="1"/>
  <c r="Z1090" i="7"/>
  <c r="Y1090" i="7"/>
  <c r="Z1089" i="7"/>
  <c r="Y1089" i="7"/>
  <c r="AC1089" i="7" s="1"/>
  <c r="Z1088" i="7"/>
  <c r="Y1088" i="7"/>
  <c r="AC1088" i="7" s="1"/>
  <c r="AC1087" i="7"/>
  <c r="AA1087" i="7"/>
  <c r="AF1087" i="7" s="1"/>
  <c r="Z1087" i="7"/>
  <c r="Y1087" i="7"/>
  <c r="AA1086" i="7"/>
  <c r="AF1086" i="7" s="1"/>
  <c r="Z1086" i="7"/>
  <c r="Y1086" i="7"/>
  <c r="AC1086" i="7" s="1"/>
  <c r="AC1085" i="7"/>
  <c r="Z1085" i="7"/>
  <c r="AA1085" i="7" s="1"/>
  <c r="AF1085" i="7" s="1"/>
  <c r="Y1085" i="7"/>
  <c r="Z1084" i="7"/>
  <c r="Y1084" i="7"/>
  <c r="AC1084" i="7" s="1"/>
  <c r="AC1083" i="7"/>
  <c r="Z1083" i="7"/>
  <c r="AA1083" i="7" s="1"/>
  <c r="AF1083" i="7" s="1"/>
  <c r="Y1083" i="7"/>
  <c r="AC1082" i="7"/>
  <c r="AA1082" i="7"/>
  <c r="AF1082" i="7" s="1"/>
  <c r="Z1082" i="7"/>
  <c r="Y1082" i="7"/>
  <c r="Z1081" i="7"/>
  <c r="AA1081" i="7" s="1"/>
  <c r="AF1081" i="7" s="1"/>
  <c r="Y1081" i="7"/>
  <c r="AC1081" i="7" s="1"/>
  <c r="Z1080" i="7"/>
  <c r="Y1080" i="7"/>
  <c r="AC1080" i="7" s="1"/>
  <c r="AC1079" i="7"/>
  <c r="Z1079" i="7"/>
  <c r="AA1079" i="7" s="1"/>
  <c r="AF1079" i="7" s="1"/>
  <c r="Y1079" i="7"/>
  <c r="AA1078" i="7"/>
  <c r="AF1078" i="7" s="1"/>
  <c r="Z1078" i="7"/>
  <c r="Y1078" i="7"/>
  <c r="AC1078" i="7" s="1"/>
  <c r="AF1077" i="7"/>
  <c r="AC1077" i="7"/>
  <c r="Z1077" i="7"/>
  <c r="AA1077" i="7" s="1"/>
  <c r="Y1077" i="7"/>
  <c r="Z1076" i="7"/>
  <c r="AA1076" i="7" s="1"/>
  <c r="AF1076" i="7" s="1"/>
  <c r="Y1076" i="7"/>
  <c r="AC1076" i="7" s="1"/>
  <c r="AC1075" i="7"/>
  <c r="Z1075" i="7"/>
  <c r="AA1075" i="7" s="1"/>
  <c r="AF1075" i="7" s="1"/>
  <c r="Y1075" i="7"/>
  <c r="AC1074" i="7"/>
  <c r="AA1074" i="7"/>
  <c r="AF1074" i="7" s="1"/>
  <c r="Z1074" i="7"/>
  <c r="Y1074" i="7"/>
  <c r="Z1073" i="7"/>
  <c r="Y1073" i="7"/>
  <c r="AC1073" i="7" s="1"/>
  <c r="Z1072" i="7"/>
  <c r="Y1072" i="7"/>
  <c r="AC1072" i="7" s="1"/>
  <c r="AC1071" i="7"/>
  <c r="Z1071" i="7"/>
  <c r="AA1071" i="7" s="1"/>
  <c r="AF1071" i="7" s="1"/>
  <c r="Y1071" i="7"/>
  <c r="AA1070" i="7"/>
  <c r="AF1070" i="7" s="1"/>
  <c r="Z1070" i="7"/>
  <c r="Y1070" i="7"/>
  <c r="AC1070" i="7" s="1"/>
  <c r="AC1069" i="7"/>
  <c r="Z1069" i="7"/>
  <c r="AA1069" i="7" s="1"/>
  <c r="AF1069" i="7" s="1"/>
  <c r="Y1069" i="7"/>
  <c r="Z1068" i="7"/>
  <c r="Y1068" i="7"/>
  <c r="AC1068" i="7" s="1"/>
  <c r="AC1067" i="7"/>
  <c r="Z1067" i="7"/>
  <c r="AA1067" i="7" s="1"/>
  <c r="AF1067" i="7" s="1"/>
  <c r="Y1067" i="7"/>
  <c r="AC1066" i="7"/>
  <c r="AA1066" i="7"/>
  <c r="AF1066" i="7" s="1"/>
  <c r="Z1066" i="7"/>
  <c r="Y1066" i="7"/>
  <c r="Z1065" i="7"/>
  <c r="AA1065" i="7" s="1"/>
  <c r="AF1065" i="7" s="1"/>
  <c r="Y1065" i="7"/>
  <c r="AC1065" i="7" s="1"/>
  <c r="Z1064" i="7"/>
  <c r="Y1064" i="7"/>
  <c r="AC1064" i="7" s="1"/>
  <c r="Y1063" i="7"/>
  <c r="AC1063" i="7" s="1"/>
  <c r="Y1062" i="7"/>
  <c r="AC1062" i="7" s="1"/>
  <c r="AA1061" i="7"/>
  <c r="AF1061" i="7" s="1"/>
  <c r="Y1061" i="7"/>
  <c r="AC1061" i="7" s="1"/>
  <c r="Y1060" i="7"/>
  <c r="AC1060" i="7" s="1"/>
  <c r="AC1059" i="7"/>
  <c r="Z1059" i="7"/>
  <c r="AA1059" i="7" s="1"/>
  <c r="AF1059" i="7" s="1"/>
  <c r="Y1059" i="7"/>
  <c r="AA1058" i="7"/>
  <c r="AF1058" i="7" s="1"/>
  <c r="Z1058" i="7"/>
  <c r="Y1058" i="7"/>
  <c r="AC1058" i="7" s="1"/>
  <c r="AF1057" i="7"/>
  <c r="AC1057" i="7"/>
  <c r="Y1057" i="7"/>
  <c r="AA1057" i="7" s="1"/>
  <c r="AC1056" i="7"/>
  <c r="Y1056" i="7"/>
  <c r="AA1056" i="7" s="1"/>
  <c r="AF1056" i="7" s="1"/>
  <c r="AC1055" i="7"/>
  <c r="Y1055" i="7"/>
  <c r="AA1055" i="7" s="1"/>
  <c r="AF1055" i="7" s="1"/>
  <c r="AC1054" i="7"/>
  <c r="Y1054" i="7"/>
  <c r="AA1054" i="7" s="1"/>
  <c r="AF1054" i="7" s="1"/>
  <c r="AC1053" i="7"/>
  <c r="Y1053" i="7"/>
  <c r="AA1053" i="7" s="1"/>
  <c r="AF1053" i="7" s="1"/>
  <c r="Z1052" i="7"/>
  <c r="Y1052" i="7"/>
  <c r="AC1052" i="7" s="1"/>
  <c r="Z1051" i="7"/>
  <c r="Y1051" i="7"/>
  <c r="AC1051" i="7" s="1"/>
  <c r="AC1050" i="7"/>
  <c r="Z1050" i="7"/>
  <c r="AA1050" i="7" s="1"/>
  <c r="AF1050" i="7" s="1"/>
  <c r="Y1050" i="7"/>
  <c r="AA1049" i="7"/>
  <c r="AF1049" i="7" s="1"/>
  <c r="Z1049" i="7"/>
  <c r="Y1049" i="7"/>
  <c r="AC1049" i="7" s="1"/>
  <c r="AC1048" i="7"/>
  <c r="Y1048" i="7"/>
  <c r="AA1048" i="7" s="1"/>
  <c r="AF1048" i="7" s="1"/>
  <c r="AC1047" i="7"/>
  <c r="Y1047" i="7"/>
  <c r="AA1047" i="7" s="1"/>
  <c r="AF1047" i="7" s="1"/>
  <c r="AC1046" i="7"/>
  <c r="Y1046" i="7"/>
  <c r="AA1046" i="7" s="1"/>
  <c r="AF1046" i="7" s="1"/>
  <c r="Z1045" i="7"/>
  <c r="AA1045" i="7" s="1"/>
  <c r="AF1045" i="7" s="1"/>
  <c r="Y1045" i="7"/>
  <c r="AC1045" i="7" s="1"/>
  <c r="AF1044" i="7"/>
  <c r="AA1044" i="7"/>
  <c r="Y1044" i="7"/>
  <c r="AC1044" i="7" s="1"/>
  <c r="Y1043" i="7"/>
  <c r="AF1042" i="7"/>
  <c r="AA1042" i="7"/>
  <c r="Y1042" i="7"/>
  <c r="AC1042" i="7" s="1"/>
  <c r="Y1041" i="7"/>
  <c r="AF1040" i="7"/>
  <c r="AA1040" i="7"/>
  <c r="Y1040" i="7"/>
  <c r="AC1040" i="7" s="1"/>
  <c r="Y1039" i="7"/>
  <c r="AF1038" i="7"/>
  <c r="AA1038" i="7"/>
  <c r="Y1038" i="7"/>
  <c r="AC1038" i="7" s="1"/>
  <c r="Y1037" i="7"/>
  <c r="AF1036" i="7"/>
  <c r="AA1036" i="7"/>
  <c r="Y1036" i="7"/>
  <c r="AC1036" i="7" s="1"/>
  <c r="Y1035" i="7"/>
  <c r="AF1034" i="7"/>
  <c r="AA1034" i="7"/>
  <c r="Y1034" i="7"/>
  <c r="AC1034" i="7" s="1"/>
  <c r="Y1033" i="7"/>
  <c r="AF1032" i="7"/>
  <c r="AA1032" i="7"/>
  <c r="Y1032" i="7"/>
  <c r="AC1032" i="7" s="1"/>
  <c r="Z1031" i="7"/>
  <c r="AA1031" i="7" s="1"/>
  <c r="AF1031" i="7" s="1"/>
  <c r="Y1031" i="7"/>
  <c r="AC1031" i="7" s="1"/>
  <c r="AC1030" i="7"/>
  <c r="Z1030" i="7"/>
  <c r="AA1030" i="7" s="1"/>
  <c r="AF1030" i="7" s="1"/>
  <c r="Y1030" i="7"/>
  <c r="AC1029" i="7"/>
  <c r="AA1029" i="7"/>
  <c r="AF1029" i="7" s="1"/>
  <c r="Z1029" i="7"/>
  <c r="Y1029" i="7"/>
  <c r="Z1028" i="7"/>
  <c r="Y1028" i="7"/>
  <c r="AC1028" i="7" s="1"/>
  <c r="Z1027" i="7"/>
  <c r="Y1027" i="7"/>
  <c r="AC1027" i="7" s="1"/>
  <c r="AC1026" i="7"/>
  <c r="Z1026" i="7"/>
  <c r="AA1026" i="7" s="1"/>
  <c r="AF1026" i="7" s="1"/>
  <c r="Y1026" i="7"/>
  <c r="AA1025" i="7"/>
  <c r="AF1025" i="7" s="1"/>
  <c r="Y1025" i="7"/>
  <c r="AC1025" i="7" s="1"/>
  <c r="AC1024" i="7"/>
  <c r="AA1024" i="7"/>
  <c r="AF1024" i="7" s="1"/>
  <c r="Y1024" i="7"/>
  <c r="AA1023" i="7"/>
  <c r="AF1023" i="7" s="1"/>
  <c r="Y1023" i="7"/>
  <c r="AC1023" i="7" s="1"/>
  <c r="AC1022" i="7"/>
  <c r="AA1022" i="7"/>
  <c r="AF1022" i="7" s="1"/>
  <c r="Y1022" i="7"/>
  <c r="AA1021" i="7"/>
  <c r="AF1021" i="7" s="1"/>
  <c r="Y1021" i="7"/>
  <c r="AC1021" i="7" s="1"/>
  <c r="AC1020" i="7"/>
  <c r="AA1020" i="7"/>
  <c r="AF1020" i="7" s="1"/>
  <c r="Y1020" i="7"/>
  <c r="AA1019" i="7"/>
  <c r="AF1019" i="7" s="1"/>
  <c r="Y1019" i="7"/>
  <c r="AC1019" i="7" s="1"/>
  <c r="AC1018" i="7"/>
  <c r="AA1018" i="7"/>
  <c r="AF1018" i="7" s="1"/>
  <c r="Y1018" i="7"/>
  <c r="AA1017" i="7"/>
  <c r="AF1017" i="7" s="1"/>
  <c r="Y1017" i="7"/>
  <c r="AC1017" i="7" s="1"/>
  <c r="AC1016" i="7"/>
  <c r="AA1016" i="7"/>
  <c r="AF1016" i="7" s="1"/>
  <c r="Y1016" i="7"/>
  <c r="AA1015" i="7"/>
  <c r="AF1015" i="7" s="1"/>
  <c r="Y1015" i="7"/>
  <c r="AC1015" i="7" s="1"/>
  <c r="AC1014" i="7"/>
  <c r="AA1014" i="7"/>
  <c r="AF1014" i="7" s="1"/>
  <c r="Y1014" i="7"/>
  <c r="AA1013" i="7"/>
  <c r="AF1013" i="7" s="1"/>
  <c r="Y1013" i="7"/>
  <c r="AC1013" i="7" s="1"/>
  <c r="AC1012" i="7"/>
  <c r="AA1012" i="7"/>
  <c r="AF1012" i="7" s="1"/>
  <c r="Y1012" i="7"/>
  <c r="AA1011" i="7"/>
  <c r="AF1011" i="7" s="1"/>
  <c r="Y1011" i="7"/>
  <c r="AC1011" i="7" s="1"/>
  <c r="AC1010" i="7"/>
  <c r="AA1010" i="7"/>
  <c r="AF1010" i="7" s="1"/>
  <c r="Y1010" i="7"/>
  <c r="AA1009" i="7"/>
  <c r="AF1009" i="7" s="1"/>
  <c r="Y1009" i="7"/>
  <c r="AC1009" i="7" s="1"/>
  <c r="AC1008" i="7"/>
  <c r="AA1008" i="7"/>
  <c r="AF1008" i="7" s="1"/>
  <c r="Y1008" i="7"/>
  <c r="AA1007" i="7"/>
  <c r="AF1007" i="7" s="1"/>
  <c r="Y1007" i="7"/>
  <c r="AC1007" i="7" s="1"/>
  <c r="AC1006" i="7"/>
  <c r="AA1006" i="7"/>
  <c r="AF1006" i="7" s="1"/>
  <c r="Y1006" i="7"/>
  <c r="AA1005" i="7"/>
  <c r="AF1005" i="7" s="1"/>
  <c r="Y1005" i="7"/>
  <c r="AC1005" i="7" s="1"/>
  <c r="AC1004" i="7"/>
  <c r="AA1004" i="7"/>
  <c r="AF1004" i="7" s="1"/>
  <c r="Y1004" i="7"/>
  <c r="AA1003" i="7"/>
  <c r="AF1003" i="7" s="1"/>
  <c r="Y1003" i="7"/>
  <c r="AC1003" i="7" s="1"/>
  <c r="AC1002" i="7"/>
  <c r="AA1002" i="7"/>
  <c r="AF1002" i="7" s="1"/>
  <c r="Y1002" i="7"/>
  <c r="AA1001" i="7"/>
  <c r="AF1001" i="7" s="1"/>
  <c r="Y1001" i="7"/>
  <c r="AC1001" i="7" s="1"/>
  <c r="AC1000" i="7"/>
  <c r="AA1000" i="7"/>
  <c r="AF1000" i="7" s="1"/>
  <c r="Y1000" i="7"/>
  <c r="AA999" i="7"/>
  <c r="AF999" i="7" s="1"/>
  <c r="Y999" i="7"/>
  <c r="AC999" i="7" s="1"/>
  <c r="AC998" i="7"/>
  <c r="AA998" i="7"/>
  <c r="AF998" i="7" s="1"/>
  <c r="Y998" i="7"/>
  <c r="AA997" i="7"/>
  <c r="AF997" i="7" s="1"/>
  <c r="Y997" i="7"/>
  <c r="AC997" i="7" s="1"/>
  <c r="AC996" i="7"/>
  <c r="AA996" i="7"/>
  <c r="AF996" i="7" s="1"/>
  <c r="Y996" i="7"/>
  <c r="AA995" i="7"/>
  <c r="AF995" i="7" s="1"/>
  <c r="Y995" i="7"/>
  <c r="AC995" i="7" s="1"/>
  <c r="AC994" i="7"/>
  <c r="AA994" i="7"/>
  <c r="AF994" i="7" s="1"/>
  <c r="Y994" i="7"/>
  <c r="AA993" i="7"/>
  <c r="AF993" i="7" s="1"/>
  <c r="Y993" i="7"/>
  <c r="AC993" i="7" s="1"/>
  <c r="AC992" i="7"/>
  <c r="AA992" i="7"/>
  <c r="AF992" i="7" s="1"/>
  <c r="Y992" i="7"/>
  <c r="AA991" i="7"/>
  <c r="AF991" i="7" s="1"/>
  <c r="Y991" i="7"/>
  <c r="AC991" i="7" s="1"/>
  <c r="AC990" i="7"/>
  <c r="AA990" i="7"/>
  <c r="AF990" i="7" s="1"/>
  <c r="Y990" i="7"/>
  <c r="AA989" i="7"/>
  <c r="AF989" i="7" s="1"/>
  <c r="Y989" i="7"/>
  <c r="AC989" i="7" s="1"/>
  <c r="AC988" i="7"/>
  <c r="AA988" i="7"/>
  <c r="AF988" i="7" s="1"/>
  <c r="Y988" i="7"/>
  <c r="AA987" i="7"/>
  <c r="AF987" i="7" s="1"/>
  <c r="Y987" i="7"/>
  <c r="AC987" i="7" s="1"/>
  <c r="AC986" i="7"/>
  <c r="AA986" i="7"/>
  <c r="AF986" i="7" s="1"/>
  <c r="Y986" i="7"/>
  <c r="AA985" i="7"/>
  <c r="AF985" i="7" s="1"/>
  <c r="Y985" i="7"/>
  <c r="AC985" i="7" s="1"/>
  <c r="AC984" i="7"/>
  <c r="AA984" i="7"/>
  <c r="AF984" i="7" s="1"/>
  <c r="Y984" i="7"/>
  <c r="AA983" i="7"/>
  <c r="AF983" i="7" s="1"/>
  <c r="Y983" i="7"/>
  <c r="AC983" i="7" s="1"/>
  <c r="AF982" i="7"/>
  <c r="AC982" i="7"/>
  <c r="AA982" i="7"/>
  <c r="Y982" i="7"/>
  <c r="AA981" i="7"/>
  <c r="AF981" i="7" s="1"/>
  <c r="Y981" i="7"/>
  <c r="AC981" i="7" s="1"/>
  <c r="AC980" i="7"/>
  <c r="AA980" i="7"/>
  <c r="AF980" i="7" s="1"/>
  <c r="Y980" i="7"/>
  <c r="AA979" i="7"/>
  <c r="AF979" i="7" s="1"/>
  <c r="Y979" i="7"/>
  <c r="AC979" i="7" s="1"/>
  <c r="AC978" i="7"/>
  <c r="AA978" i="7"/>
  <c r="AF978" i="7" s="1"/>
  <c r="Y978" i="7"/>
  <c r="AA977" i="7"/>
  <c r="AF977" i="7" s="1"/>
  <c r="Y977" i="7"/>
  <c r="AC977" i="7" s="1"/>
  <c r="AC976" i="7"/>
  <c r="AA976" i="7"/>
  <c r="AF976" i="7" s="1"/>
  <c r="Y976" i="7"/>
  <c r="AA975" i="7"/>
  <c r="AF975" i="7" s="1"/>
  <c r="Y975" i="7"/>
  <c r="AC975" i="7" s="1"/>
  <c r="AF974" i="7"/>
  <c r="AC974" i="7"/>
  <c r="AA974" i="7"/>
  <c r="Y974" i="7"/>
  <c r="AA973" i="7"/>
  <c r="AF973" i="7" s="1"/>
  <c r="Y973" i="7"/>
  <c r="AC973" i="7" s="1"/>
  <c r="Y972" i="7"/>
  <c r="AC972" i="7" s="1"/>
  <c r="Y971" i="7"/>
  <c r="AC971" i="7" s="1"/>
  <c r="AC970" i="7"/>
  <c r="AA970" i="7"/>
  <c r="AF970" i="7" s="1"/>
  <c r="Y970" i="7"/>
  <c r="Y969" i="7"/>
  <c r="AC969" i="7" s="1"/>
  <c r="Y968" i="7"/>
  <c r="AC968" i="7" s="1"/>
  <c r="Z967" i="7"/>
  <c r="Y967" i="7"/>
  <c r="AC967" i="7" s="1"/>
  <c r="Z966" i="7"/>
  <c r="Y966" i="7"/>
  <c r="AC966" i="7" s="1"/>
  <c r="AC965" i="7"/>
  <c r="Z965" i="7"/>
  <c r="AA965" i="7" s="1"/>
  <c r="AF965" i="7" s="1"/>
  <c r="Y965" i="7"/>
  <c r="AA964" i="7"/>
  <c r="AF964" i="7" s="1"/>
  <c r="Z964" i="7"/>
  <c r="Y964" i="7"/>
  <c r="AC964" i="7" s="1"/>
  <c r="AC963" i="7"/>
  <c r="Z963" i="7"/>
  <c r="AA963" i="7" s="1"/>
  <c r="AF963" i="7" s="1"/>
  <c r="Y963" i="7"/>
  <c r="Z962" i="7"/>
  <c r="AA962" i="7" s="1"/>
  <c r="AF962" i="7" s="1"/>
  <c r="Y962" i="7"/>
  <c r="AC962" i="7" s="1"/>
  <c r="Z961" i="7"/>
  <c r="AA961" i="7" s="1"/>
  <c r="AF961" i="7" s="1"/>
  <c r="Y961" i="7"/>
  <c r="AC961" i="7" s="1"/>
  <c r="AC960" i="7"/>
  <c r="AA960" i="7"/>
  <c r="AF960" i="7" s="1"/>
  <c r="Z960" i="7"/>
  <c r="Y960" i="7"/>
  <c r="AC959" i="7"/>
  <c r="AA959" i="7"/>
  <c r="AF959" i="7" s="1"/>
  <c r="Y959" i="7"/>
  <c r="AC958" i="7"/>
  <c r="Y958" i="7"/>
  <c r="AA958" i="7" s="1"/>
  <c r="AF958" i="7" s="1"/>
  <c r="AC957" i="7"/>
  <c r="AA957" i="7"/>
  <c r="AF957" i="7" s="1"/>
  <c r="Y957" i="7"/>
  <c r="AC956" i="7"/>
  <c r="Y956" i="7"/>
  <c r="AA956" i="7" s="1"/>
  <c r="AF956" i="7" s="1"/>
  <c r="AC955" i="7"/>
  <c r="AA955" i="7"/>
  <c r="AF955" i="7" s="1"/>
  <c r="Y955" i="7"/>
  <c r="AC954" i="7"/>
  <c r="Y954" i="7"/>
  <c r="AA954" i="7" s="1"/>
  <c r="AF954" i="7" s="1"/>
  <c r="AC953" i="7"/>
  <c r="AA953" i="7"/>
  <c r="AF953" i="7" s="1"/>
  <c r="Y953" i="7"/>
  <c r="AC952" i="7"/>
  <c r="Y952" i="7"/>
  <c r="AA952" i="7" s="1"/>
  <c r="AF952" i="7" s="1"/>
  <c r="AC951" i="7"/>
  <c r="AA951" i="7"/>
  <c r="AF951" i="7" s="1"/>
  <c r="Y951" i="7"/>
  <c r="AC950" i="7"/>
  <c r="Y950" i="7"/>
  <c r="AA950" i="7" s="1"/>
  <c r="AF950" i="7" s="1"/>
  <c r="AC949" i="7"/>
  <c r="AA949" i="7"/>
  <c r="AF949" i="7" s="1"/>
  <c r="Y949" i="7"/>
  <c r="AC948" i="7"/>
  <c r="Y948" i="7"/>
  <c r="AA948" i="7" s="1"/>
  <c r="AF948" i="7" s="1"/>
  <c r="AC947" i="7"/>
  <c r="AA947" i="7"/>
  <c r="AF947" i="7" s="1"/>
  <c r="Y947" i="7"/>
  <c r="AC946" i="7"/>
  <c r="Y946" i="7"/>
  <c r="AA946" i="7" s="1"/>
  <c r="AF946" i="7" s="1"/>
  <c r="AC945" i="7"/>
  <c r="AA945" i="7"/>
  <c r="AF945" i="7" s="1"/>
  <c r="Y945" i="7"/>
  <c r="AC944" i="7"/>
  <c r="Y944" i="7"/>
  <c r="AA944" i="7" s="1"/>
  <c r="AF944" i="7" s="1"/>
  <c r="AC943" i="7"/>
  <c r="AA943" i="7"/>
  <c r="AF943" i="7" s="1"/>
  <c r="Y943" i="7"/>
  <c r="AC942" i="7"/>
  <c r="Y942" i="7"/>
  <c r="AA942" i="7" s="1"/>
  <c r="AF942" i="7" s="1"/>
  <c r="AC941" i="7"/>
  <c r="AA941" i="7"/>
  <c r="AF941" i="7" s="1"/>
  <c r="Y941" i="7"/>
  <c r="AC940" i="7"/>
  <c r="Y940" i="7"/>
  <c r="AA940" i="7" s="1"/>
  <c r="AF940" i="7" s="1"/>
  <c r="AC939" i="7"/>
  <c r="AA939" i="7"/>
  <c r="AF939" i="7" s="1"/>
  <c r="Y939" i="7"/>
  <c r="AC938" i="7"/>
  <c r="Y938" i="7"/>
  <c r="AA938" i="7" s="1"/>
  <c r="AF938" i="7" s="1"/>
  <c r="AC937" i="7"/>
  <c r="AA937" i="7"/>
  <c r="AF937" i="7" s="1"/>
  <c r="Y937" i="7"/>
  <c r="AC936" i="7"/>
  <c r="Y936" i="7"/>
  <c r="AA936" i="7" s="1"/>
  <c r="AF936" i="7" s="1"/>
  <c r="AC935" i="7"/>
  <c r="AA935" i="7"/>
  <c r="AF935" i="7" s="1"/>
  <c r="Y935" i="7"/>
  <c r="AC934" i="7"/>
  <c r="Y934" i="7"/>
  <c r="AA934" i="7" s="1"/>
  <c r="AF934" i="7" s="1"/>
  <c r="AC933" i="7"/>
  <c r="AA933" i="7"/>
  <c r="AF933" i="7" s="1"/>
  <c r="Y933" i="7"/>
  <c r="AC932" i="7"/>
  <c r="Z932" i="7"/>
  <c r="AA932" i="7" s="1"/>
  <c r="AF932" i="7" s="1"/>
  <c r="Y932" i="7"/>
  <c r="Y931" i="7"/>
  <c r="AC931" i="7" s="1"/>
  <c r="AF930" i="7"/>
  <c r="AA930" i="7"/>
  <c r="Y930" i="7"/>
  <c r="AC930" i="7" s="1"/>
  <c r="Y929" i="7"/>
  <c r="AC929" i="7" s="1"/>
  <c r="AF928" i="7"/>
  <c r="AA928" i="7"/>
  <c r="Y928" i="7"/>
  <c r="AC928" i="7" s="1"/>
  <c r="Z927" i="7"/>
  <c r="AA927" i="7" s="1"/>
  <c r="AF927" i="7" s="1"/>
  <c r="Y927" i="7"/>
  <c r="AC927" i="7" s="1"/>
  <c r="Z926" i="7"/>
  <c r="AA926" i="7" s="1"/>
  <c r="AF926" i="7" s="1"/>
  <c r="Y926" i="7"/>
  <c r="AC926" i="7" s="1"/>
  <c r="AC925" i="7"/>
  <c r="AA925" i="7"/>
  <c r="AF925" i="7" s="1"/>
  <c r="Y925" i="7"/>
  <c r="AA924" i="7"/>
  <c r="AF924" i="7" s="1"/>
  <c r="Y924" i="7"/>
  <c r="AC924" i="7" s="1"/>
  <c r="AC923" i="7"/>
  <c r="AA923" i="7"/>
  <c r="AF923" i="7" s="1"/>
  <c r="Y923" i="7"/>
  <c r="AA922" i="7"/>
  <c r="AF922" i="7" s="1"/>
  <c r="Z922" i="7"/>
  <c r="Y922" i="7"/>
  <c r="AC922" i="7" s="1"/>
  <c r="AC921" i="7"/>
  <c r="Z921" i="7"/>
  <c r="AA921" i="7" s="1"/>
  <c r="AF921" i="7" s="1"/>
  <c r="Y921" i="7"/>
  <c r="Z920" i="7"/>
  <c r="AA920" i="7" s="1"/>
  <c r="AF920" i="7" s="1"/>
  <c r="Y920" i="7"/>
  <c r="AC920" i="7" s="1"/>
  <c r="Z919" i="7"/>
  <c r="AA919" i="7" s="1"/>
  <c r="AF919" i="7" s="1"/>
  <c r="Y919" i="7"/>
  <c r="AC919" i="7" s="1"/>
  <c r="AC918" i="7"/>
  <c r="AA918" i="7"/>
  <c r="AF918" i="7" s="1"/>
  <c r="Z918" i="7"/>
  <c r="Y918" i="7"/>
  <c r="AC917" i="7"/>
  <c r="Z917" i="7"/>
  <c r="Y917" i="7"/>
  <c r="AA917" i="7" s="1"/>
  <c r="AF917" i="7" s="1"/>
  <c r="Z916" i="7"/>
  <c r="Y916" i="7"/>
  <c r="AC916" i="7" s="1"/>
  <c r="AC915" i="7"/>
  <c r="Z915" i="7"/>
  <c r="AA915" i="7" s="1"/>
  <c r="AF915" i="7" s="1"/>
  <c r="Y915" i="7"/>
  <c r="AA914" i="7"/>
  <c r="AF914" i="7" s="1"/>
  <c r="Z914" i="7"/>
  <c r="Y914" i="7"/>
  <c r="AC914" i="7" s="1"/>
  <c r="AC913" i="7"/>
  <c r="Y913" i="7"/>
  <c r="AA913" i="7" s="1"/>
  <c r="AF913" i="7" s="1"/>
  <c r="AC912" i="7"/>
  <c r="AA912" i="7"/>
  <c r="AF912" i="7" s="1"/>
  <c r="Y912" i="7"/>
  <c r="AC911" i="7"/>
  <c r="Y911" i="7"/>
  <c r="AA911" i="7" s="1"/>
  <c r="AF911" i="7" s="1"/>
  <c r="AC910" i="7"/>
  <c r="AA910" i="7"/>
  <c r="AF910" i="7" s="1"/>
  <c r="Y910" i="7"/>
  <c r="AC909" i="7"/>
  <c r="Y909" i="7"/>
  <c r="AA909" i="7" s="1"/>
  <c r="AF909" i="7" s="1"/>
  <c r="AC908" i="7"/>
  <c r="AA908" i="7"/>
  <c r="AF908" i="7" s="1"/>
  <c r="Y908" i="7"/>
  <c r="AC907" i="7"/>
  <c r="Y907" i="7"/>
  <c r="AA907" i="7" s="1"/>
  <c r="AF907" i="7" s="1"/>
  <c r="AC906" i="7"/>
  <c r="AA906" i="7"/>
  <c r="AF906" i="7" s="1"/>
  <c r="Y906" i="7"/>
  <c r="AC905" i="7"/>
  <c r="Y905" i="7"/>
  <c r="AA905" i="7" s="1"/>
  <c r="AF905" i="7" s="1"/>
  <c r="AC904" i="7"/>
  <c r="AA904" i="7"/>
  <c r="AF904" i="7" s="1"/>
  <c r="Y904" i="7"/>
  <c r="AC903" i="7"/>
  <c r="Y903" i="7"/>
  <c r="AA903" i="7" s="1"/>
  <c r="AF903" i="7" s="1"/>
  <c r="AC902" i="7"/>
  <c r="AA902" i="7"/>
  <c r="AF902" i="7" s="1"/>
  <c r="Y902" i="7"/>
  <c r="AC901" i="7"/>
  <c r="Y901" i="7"/>
  <c r="AA901" i="7" s="1"/>
  <c r="AF901" i="7" s="1"/>
  <c r="AC900" i="7"/>
  <c r="AA900" i="7"/>
  <c r="AF900" i="7" s="1"/>
  <c r="Y900" i="7"/>
  <c r="AC899" i="7"/>
  <c r="Y899" i="7"/>
  <c r="AA899" i="7" s="1"/>
  <c r="AF899" i="7" s="1"/>
  <c r="AC898" i="7"/>
  <c r="AA898" i="7"/>
  <c r="AF898" i="7" s="1"/>
  <c r="Y898" i="7"/>
  <c r="AC897" i="7"/>
  <c r="Y897" i="7"/>
  <c r="AA897" i="7" s="1"/>
  <c r="AF897" i="7" s="1"/>
  <c r="AC896" i="7"/>
  <c r="AA896" i="7"/>
  <c r="AF896" i="7" s="1"/>
  <c r="Y896" i="7"/>
  <c r="AC895" i="7"/>
  <c r="Y895" i="7"/>
  <c r="AA895" i="7" s="1"/>
  <c r="AF895" i="7" s="1"/>
  <c r="AC894" i="7"/>
  <c r="AA894" i="7"/>
  <c r="AF894" i="7" s="1"/>
  <c r="Y894" i="7"/>
  <c r="AC893" i="7"/>
  <c r="Y893" i="7"/>
  <c r="AA893" i="7" s="1"/>
  <c r="AF893" i="7" s="1"/>
  <c r="AC892" i="7"/>
  <c r="AA892" i="7"/>
  <c r="AF892" i="7" s="1"/>
  <c r="Y892" i="7"/>
  <c r="AC891" i="7"/>
  <c r="Y891" i="7"/>
  <c r="AA891" i="7" s="1"/>
  <c r="AF891" i="7" s="1"/>
  <c r="AC890" i="7"/>
  <c r="AA890" i="7"/>
  <c r="AF890" i="7" s="1"/>
  <c r="Y890" i="7"/>
  <c r="AC889" i="7"/>
  <c r="Y889" i="7"/>
  <c r="AA889" i="7" s="1"/>
  <c r="AF889" i="7" s="1"/>
  <c r="AC888" i="7"/>
  <c r="AA888" i="7"/>
  <c r="AF888" i="7" s="1"/>
  <c r="Y888" i="7"/>
  <c r="AC887" i="7"/>
  <c r="Y887" i="7"/>
  <c r="AA887" i="7" s="1"/>
  <c r="AF887" i="7" s="1"/>
  <c r="AC886" i="7"/>
  <c r="AA886" i="7"/>
  <c r="AF886" i="7" s="1"/>
  <c r="Y886" i="7"/>
  <c r="AC885" i="7"/>
  <c r="Y885" i="7"/>
  <c r="AA885" i="7" s="1"/>
  <c r="AF885" i="7" s="1"/>
  <c r="AC884" i="7"/>
  <c r="AA884" i="7"/>
  <c r="AF884" i="7" s="1"/>
  <c r="Y884" i="7"/>
  <c r="AC883" i="7"/>
  <c r="Y883" i="7"/>
  <c r="AA883" i="7" s="1"/>
  <c r="AF883" i="7" s="1"/>
  <c r="AC882" i="7"/>
  <c r="AA882" i="7"/>
  <c r="AF882" i="7" s="1"/>
  <c r="Y882" i="7"/>
  <c r="AC881" i="7"/>
  <c r="Y881" i="7"/>
  <c r="AA881" i="7" s="1"/>
  <c r="AF881" i="7" s="1"/>
  <c r="AC880" i="7"/>
  <c r="Z880" i="7"/>
  <c r="Y880" i="7"/>
  <c r="AA880" i="7" s="1"/>
  <c r="AF880" i="7" s="1"/>
  <c r="Z879" i="7"/>
  <c r="Y879" i="7"/>
  <c r="AC879" i="7" s="1"/>
  <c r="AC878" i="7"/>
  <c r="Z878" i="7"/>
  <c r="AA878" i="7" s="1"/>
  <c r="AF878" i="7" s="1"/>
  <c r="Y878" i="7"/>
  <c r="AA877" i="7"/>
  <c r="AF877" i="7" s="1"/>
  <c r="Z877" i="7"/>
  <c r="Y877" i="7"/>
  <c r="AC877" i="7" s="1"/>
  <c r="AC876" i="7"/>
  <c r="Z876" i="7"/>
  <c r="AA876" i="7" s="1"/>
  <c r="AF876" i="7" s="1"/>
  <c r="Y876" i="7"/>
  <c r="Y875" i="7"/>
  <c r="AC875" i="7" s="1"/>
  <c r="AF874" i="7"/>
  <c r="AA874" i="7"/>
  <c r="Y874" i="7"/>
  <c r="AC874" i="7" s="1"/>
  <c r="Y873" i="7"/>
  <c r="AC873" i="7" s="1"/>
  <c r="AF872" i="7"/>
  <c r="AA872" i="7"/>
  <c r="Y872" i="7"/>
  <c r="AC872" i="7" s="1"/>
  <c r="Y871" i="7"/>
  <c r="AC871" i="7" s="1"/>
  <c r="AF870" i="7"/>
  <c r="AA870" i="7"/>
  <c r="Y870" i="7"/>
  <c r="AC870" i="7" s="1"/>
  <c r="Y869" i="7"/>
  <c r="AC869" i="7" s="1"/>
  <c r="AF868" i="7"/>
  <c r="AA868" i="7"/>
  <c r="Y868" i="7"/>
  <c r="AC868" i="7" s="1"/>
  <c r="Y867" i="7"/>
  <c r="AC867" i="7" s="1"/>
  <c r="AF866" i="7"/>
  <c r="AA866" i="7"/>
  <c r="Y866" i="7"/>
  <c r="AC866" i="7" s="1"/>
  <c r="Y865" i="7"/>
  <c r="AC865" i="7" s="1"/>
  <c r="Z864" i="7"/>
  <c r="Y864" i="7"/>
  <c r="AC864" i="7" s="1"/>
  <c r="AC863" i="7"/>
  <c r="Z863" i="7"/>
  <c r="AA863" i="7" s="1"/>
  <c r="AF863" i="7" s="1"/>
  <c r="Y863" i="7"/>
  <c r="AA862" i="7"/>
  <c r="AF862" i="7" s="1"/>
  <c r="Z862" i="7"/>
  <c r="Y862" i="7"/>
  <c r="AC862" i="7" s="1"/>
  <c r="AC861" i="7"/>
  <c r="Z861" i="7"/>
  <c r="AA861" i="7" s="1"/>
  <c r="AF861" i="7" s="1"/>
  <c r="Y861" i="7"/>
  <c r="Z860" i="7"/>
  <c r="AA860" i="7" s="1"/>
  <c r="AF860" i="7" s="1"/>
  <c r="Y860" i="7"/>
  <c r="AC860" i="7" s="1"/>
  <c r="Z859" i="7"/>
  <c r="AA859" i="7" s="1"/>
  <c r="AF859" i="7" s="1"/>
  <c r="Y859" i="7"/>
  <c r="AC859" i="7" s="1"/>
  <c r="AC858" i="7"/>
  <c r="AA858" i="7"/>
  <c r="AF858" i="7" s="1"/>
  <c r="Y858" i="7"/>
  <c r="AA857" i="7"/>
  <c r="AF857" i="7" s="1"/>
  <c r="Z857" i="7"/>
  <c r="Y857" i="7"/>
  <c r="AC857" i="7" s="1"/>
  <c r="AC856" i="7"/>
  <c r="Y856" i="7"/>
  <c r="AA856" i="7" s="1"/>
  <c r="AF856" i="7" s="1"/>
  <c r="AC855" i="7"/>
  <c r="Z855" i="7"/>
  <c r="Y855" i="7"/>
  <c r="AA855" i="7" s="1"/>
  <c r="AF855" i="7" s="1"/>
  <c r="Z854" i="7"/>
  <c r="Y854" i="7"/>
  <c r="AC854" i="7" s="1"/>
  <c r="AC853" i="7"/>
  <c r="Z853" i="7"/>
  <c r="AA853" i="7" s="1"/>
  <c r="AF853" i="7" s="1"/>
  <c r="Y853" i="7"/>
  <c r="AA852" i="7"/>
  <c r="AF852" i="7" s="1"/>
  <c r="Y852" i="7"/>
  <c r="AC852" i="7" s="1"/>
  <c r="AC851" i="7"/>
  <c r="AA851" i="7"/>
  <c r="AF851" i="7" s="1"/>
  <c r="Y851" i="7"/>
  <c r="AA850" i="7"/>
  <c r="AF850" i="7" s="1"/>
  <c r="Z850" i="7"/>
  <c r="Y850" i="7"/>
  <c r="AC850" i="7" s="1"/>
  <c r="AC849" i="7"/>
  <c r="Z849" i="7"/>
  <c r="AA849" i="7" s="1"/>
  <c r="AF849" i="7" s="1"/>
  <c r="Y849" i="7"/>
  <c r="Z1474" i="6"/>
  <c r="Y1474" i="6"/>
  <c r="AC1474" i="6" s="1"/>
  <c r="Z1473" i="6"/>
  <c r="AA1473" i="6" s="1"/>
  <c r="AF1473" i="6" s="1"/>
  <c r="Y1473" i="6"/>
  <c r="AC1473" i="6" s="1"/>
  <c r="Z1472" i="6"/>
  <c r="AA1472" i="6" s="1"/>
  <c r="AF1472" i="6" s="1"/>
  <c r="Y1472" i="6"/>
  <c r="AC1472" i="6" s="1"/>
  <c r="Z1471" i="6"/>
  <c r="X1471" i="6"/>
  <c r="Y1471" i="6" s="1"/>
  <c r="Z1470" i="6"/>
  <c r="AA1470" i="6" s="1"/>
  <c r="AF1470" i="6" s="1"/>
  <c r="Y1470" i="6"/>
  <c r="AC1470" i="6" s="1"/>
  <c r="Z1469" i="6"/>
  <c r="AA1469" i="6" s="1"/>
  <c r="AF1469" i="6" s="1"/>
  <c r="Y1469" i="6"/>
  <c r="AC1469" i="6" s="1"/>
  <c r="Z1468" i="6"/>
  <c r="X1468" i="6"/>
  <c r="Y1468" i="6" s="1"/>
  <c r="Z1467" i="6"/>
  <c r="AA1467" i="6" s="1"/>
  <c r="AF1467" i="6" s="1"/>
  <c r="Y1467" i="6"/>
  <c r="AC1467" i="6" s="1"/>
  <c r="Z1466" i="6"/>
  <c r="Y1466" i="6"/>
  <c r="Z1465" i="6"/>
  <c r="AA1465" i="6" s="1"/>
  <c r="AF1465" i="6" s="1"/>
  <c r="Y1465" i="6"/>
  <c r="Z1464" i="6"/>
  <c r="Y1464" i="6"/>
  <c r="Y1463" i="6"/>
  <c r="AA1463" i="6" s="1"/>
  <c r="AF1463" i="6" s="1"/>
  <c r="Y1462" i="6"/>
  <c r="AA1462" i="6" s="1"/>
  <c r="AF1462" i="6" s="1"/>
  <c r="AA1461" i="6"/>
  <c r="AF1461" i="6" s="1"/>
  <c r="Y1461" i="6"/>
  <c r="Y1460" i="6"/>
  <c r="AA1460" i="6" s="1"/>
  <c r="AF1460" i="6" s="1"/>
  <c r="Z1459" i="6"/>
  <c r="Y1459" i="6"/>
  <c r="Z1458" i="6"/>
  <c r="AA1458" i="6" s="1"/>
  <c r="AF1458" i="6" s="1"/>
  <c r="Y1458" i="6"/>
  <c r="Y1457" i="6"/>
  <c r="AC1457" i="6" s="1"/>
  <c r="Y1456" i="6"/>
  <c r="AA1456" i="6" s="1"/>
  <c r="AF1456" i="6" s="1"/>
  <c r="Y1455" i="6"/>
  <c r="AC1455" i="6" s="1"/>
  <c r="Y1454" i="6"/>
  <c r="AA1454" i="6" s="1"/>
  <c r="AF1454" i="6" s="1"/>
  <c r="AA1453" i="6"/>
  <c r="AF1453" i="6" s="1"/>
  <c r="Y1453" i="6"/>
  <c r="AC1453" i="6" s="1"/>
  <c r="Y1452" i="6"/>
  <c r="AA1452" i="6" s="1"/>
  <c r="AF1452" i="6" s="1"/>
  <c r="Y1451" i="6"/>
  <c r="AC1451" i="6" s="1"/>
  <c r="Y1450" i="6"/>
  <c r="AA1450" i="6" s="1"/>
  <c r="AF1450" i="6" s="1"/>
  <c r="Y1449" i="6"/>
  <c r="AC1449" i="6" s="1"/>
  <c r="Y1448" i="6"/>
  <c r="AA1448" i="6" s="1"/>
  <c r="AF1448" i="6" s="1"/>
  <c r="Z1447" i="6"/>
  <c r="Y1447" i="6"/>
  <c r="Z1446" i="6"/>
  <c r="AA1446" i="6" s="1"/>
  <c r="AF1446" i="6" s="1"/>
  <c r="Y1446" i="6"/>
  <c r="Y1445" i="6"/>
  <c r="AA1445" i="6" s="1"/>
  <c r="AF1445" i="6" s="1"/>
  <c r="Y1444" i="6"/>
  <c r="AA1444" i="6" s="1"/>
  <c r="AF1444" i="6" s="1"/>
  <c r="AA1443" i="6"/>
  <c r="AF1443" i="6" s="1"/>
  <c r="Y1443" i="6"/>
  <c r="AC1442" i="6"/>
  <c r="AA1442" i="6"/>
  <c r="AF1442" i="6" s="1"/>
  <c r="Z1442" i="6"/>
  <c r="Y1442" i="6"/>
  <c r="AA1441" i="6"/>
  <c r="AF1441" i="6" s="1"/>
  <c r="Y1441" i="6"/>
  <c r="AA1440" i="6"/>
  <c r="AF1440" i="6" s="1"/>
  <c r="Y1440" i="6"/>
  <c r="AA1439" i="6"/>
  <c r="AF1439" i="6" s="1"/>
  <c r="Y1439" i="6"/>
  <c r="Y1438" i="6"/>
  <c r="AA1438" i="6" s="1"/>
  <c r="AF1438" i="6" s="1"/>
  <c r="AA1437" i="6"/>
  <c r="AF1437" i="6" s="1"/>
  <c r="Y1437" i="6"/>
  <c r="Y1436" i="6"/>
  <c r="AA1436" i="6" s="1"/>
  <c r="AF1436" i="6" s="1"/>
  <c r="Y1435" i="6"/>
  <c r="AA1435" i="6" s="1"/>
  <c r="AF1435" i="6" s="1"/>
  <c r="Y1434" i="6"/>
  <c r="AA1434" i="6" s="1"/>
  <c r="AF1434" i="6" s="1"/>
  <c r="AA1433" i="6"/>
  <c r="AF1433" i="6" s="1"/>
  <c r="Y1433" i="6"/>
  <c r="Y1432" i="6"/>
  <c r="AA1432" i="6" s="1"/>
  <c r="AF1432" i="6" s="1"/>
  <c r="AA1431" i="6"/>
  <c r="AF1431" i="6" s="1"/>
  <c r="Y1431" i="6"/>
  <c r="Y1430" i="6"/>
  <c r="AA1430" i="6" s="1"/>
  <c r="AF1430" i="6" s="1"/>
  <c r="AA1429" i="6"/>
  <c r="AF1429" i="6" s="1"/>
  <c r="Y1429" i="6"/>
  <c r="Z1428" i="6"/>
  <c r="AA1428" i="6" s="1"/>
  <c r="AF1428" i="6" s="1"/>
  <c r="Y1428" i="6"/>
  <c r="AC1427" i="6"/>
  <c r="AA1427" i="6"/>
  <c r="AF1427" i="6" s="1"/>
  <c r="Y1427" i="6"/>
  <c r="AA1426" i="6"/>
  <c r="AF1426" i="6" s="1"/>
  <c r="Y1426" i="6"/>
  <c r="AC1426" i="6" s="1"/>
  <c r="AC1425" i="6"/>
  <c r="AA1425" i="6"/>
  <c r="AF1425" i="6" s="1"/>
  <c r="Y1425" i="6"/>
  <c r="AA1424" i="6"/>
  <c r="AF1424" i="6" s="1"/>
  <c r="Y1424" i="6"/>
  <c r="AC1424" i="6" s="1"/>
  <c r="AC1423" i="6"/>
  <c r="AA1423" i="6"/>
  <c r="AF1423" i="6" s="1"/>
  <c r="Y1423" i="6"/>
  <c r="AA1422" i="6"/>
  <c r="AF1422" i="6" s="1"/>
  <c r="Y1422" i="6"/>
  <c r="AC1422" i="6" s="1"/>
  <c r="AC1421" i="6"/>
  <c r="AA1421" i="6"/>
  <c r="AF1421" i="6" s="1"/>
  <c r="Y1421" i="6"/>
  <c r="AA1420" i="6"/>
  <c r="AF1420" i="6" s="1"/>
  <c r="Y1420" i="6"/>
  <c r="AC1420" i="6" s="1"/>
  <c r="AA1419" i="6"/>
  <c r="AF1419" i="6" s="1"/>
  <c r="Y1419" i="6"/>
  <c r="Y1418" i="6"/>
  <c r="AA1418" i="6" s="1"/>
  <c r="AF1418" i="6" s="1"/>
  <c r="Y1417" i="6"/>
  <c r="AA1417" i="6" s="1"/>
  <c r="AF1417" i="6" s="1"/>
  <c r="AF1416" i="6"/>
  <c r="AA1416" i="6"/>
  <c r="Y1416" i="6"/>
  <c r="Y1415" i="6"/>
  <c r="AA1415" i="6" s="1"/>
  <c r="AF1415" i="6" s="1"/>
  <c r="Y1414" i="6"/>
  <c r="AA1414" i="6" s="1"/>
  <c r="AF1414" i="6" s="1"/>
  <c r="Y1413" i="6"/>
  <c r="AA1413" i="6" s="1"/>
  <c r="AF1413" i="6" s="1"/>
  <c r="Y1412" i="6"/>
  <c r="AA1412" i="6" s="1"/>
  <c r="AF1412" i="6" s="1"/>
  <c r="AC1411" i="6"/>
  <c r="AA1411" i="6"/>
  <c r="AF1411" i="6" s="1"/>
  <c r="Y1411" i="6"/>
  <c r="Y1410" i="6"/>
  <c r="AC1410" i="6" s="1"/>
  <c r="AC1409" i="6"/>
  <c r="AA1409" i="6"/>
  <c r="AF1409" i="6" s="1"/>
  <c r="Y1409" i="6"/>
  <c r="Y1408" i="6"/>
  <c r="AA1408" i="6" s="1"/>
  <c r="AF1408" i="6" s="1"/>
  <c r="AA1407" i="6"/>
  <c r="AF1407" i="6" s="1"/>
  <c r="Y1407" i="6"/>
  <c r="AC1407" i="6" s="1"/>
  <c r="Y1406" i="6"/>
  <c r="AA1406" i="6" s="1"/>
  <c r="AF1406" i="6" s="1"/>
  <c r="Y1405" i="6"/>
  <c r="AF1404" i="6"/>
  <c r="Y1404" i="6"/>
  <c r="AA1404" i="6" s="1"/>
  <c r="Y1403" i="6"/>
  <c r="AC1403" i="6" s="1"/>
  <c r="AA1402" i="6"/>
  <c r="AF1402" i="6" s="1"/>
  <c r="Y1402" i="6"/>
  <c r="Y1401" i="6"/>
  <c r="AC1401" i="6" s="1"/>
  <c r="AC1400" i="6"/>
  <c r="AA1400" i="6"/>
  <c r="AF1400" i="6" s="1"/>
  <c r="Y1400" i="6"/>
  <c r="Z1399" i="6"/>
  <c r="AA1399" i="6" s="1"/>
  <c r="AF1399" i="6" s="1"/>
  <c r="Y1399" i="6"/>
  <c r="AC1399" i="6" s="1"/>
  <c r="AC1398" i="6"/>
  <c r="Z1398" i="6"/>
  <c r="AA1398" i="6" s="1"/>
  <c r="AF1398" i="6" s="1"/>
  <c r="Y1398" i="6"/>
  <c r="Y1397" i="6"/>
  <c r="AA1397" i="6" s="1"/>
  <c r="AF1397" i="6" s="1"/>
  <c r="AA1396" i="6"/>
  <c r="AF1396" i="6" s="1"/>
  <c r="Y1396" i="6"/>
  <c r="Y1395" i="6"/>
  <c r="AA1395" i="6" s="1"/>
  <c r="AF1395" i="6" s="1"/>
  <c r="Y1394" i="6"/>
  <c r="AA1394" i="6" s="1"/>
  <c r="AF1394" i="6" s="1"/>
  <c r="Y1393" i="6"/>
  <c r="AA1393" i="6" s="1"/>
  <c r="AF1393" i="6" s="1"/>
  <c r="Y1392" i="6"/>
  <c r="AA1392" i="6" s="1"/>
  <c r="AF1392" i="6" s="1"/>
  <c r="Z1391" i="6"/>
  <c r="AA1391" i="6" s="1"/>
  <c r="AF1391" i="6" s="1"/>
  <c r="Y1391" i="6"/>
  <c r="Y1390" i="6"/>
  <c r="AC1390" i="6" s="1"/>
  <c r="AC1389" i="6"/>
  <c r="AA1389" i="6"/>
  <c r="AF1389" i="6" s="1"/>
  <c r="Y1389" i="6"/>
  <c r="Y1388" i="6"/>
  <c r="AC1388" i="6" s="1"/>
  <c r="AC1387" i="6"/>
  <c r="AA1387" i="6"/>
  <c r="AF1387" i="6" s="1"/>
  <c r="Y1387" i="6"/>
  <c r="AA1386" i="6"/>
  <c r="AF1386" i="6" s="1"/>
  <c r="Y1386" i="6"/>
  <c r="AC1386" i="6" s="1"/>
  <c r="AC1385" i="6"/>
  <c r="AA1385" i="6"/>
  <c r="AF1385" i="6" s="1"/>
  <c r="Y1385" i="6"/>
  <c r="Z1384" i="6"/>
  <c r="Y1384" i="6"/>
  <c r="AC1384" i="6" s="1"/>
  <c r="AF1383" i="6"/>
  <c r="AC1383" i="6"/>
  <c r="AA1383" i="6"/>
  <c r="Z1383" i="6"/>
  <c r="Y1383" i="6"/>
  <c r="Z1382" i="6"/>
  <c r="AA1382" i="6" s="1"/>
  <c r="AF1382" i="6" s="1"/>
  <c r="Y1382" i="6"/>
  <c r="AC1382" i="6" s="1"/>
  <c r="Z1381" i="6"/>
  <c r="AA1381" i="6" s="1"/>
  <c r="AF1381" i="6" s="1"/>
  <c r="Y1381" i="6"/>
  <c r="AC1381" i="6" s="1"/>
  <c r="AC1380" i="6"/>
  <c r="AA1380" i="6"/>
  <c r="AF1380" i="6" s="1"/>
  <c r="Z1380" i="6"/>
  <c r="Y1380" i="6"/>
  <c r="Z1379" i="6"/>
  <c r="AA1379" i="6" s="1"/>
  <c r="AF1379" i="6" s="1"/>
  <c r="Y1379" i="6"/>
  <c r="AC1379" i="6" s="1"/>
  <c r="AF1378" i="6"/>
  <c r="Z1378" i="6"/>
  <c r="AA1378" i="6" s="1"/>
  <c r="Y1378" i="6"/>
  <c r="AC1378" i="6" s="1"/>
  <c r="Y1377" i="6"/>
  <c r="AA1377" i="6" s="1"/>
  <c r="AF1377" i="6" s="1"/>
  <c r="AF1376" i="6"/>
  <c r="AA1376" i="6"/>
  <c r="Y1376" i="6"/>
  <c r="AA1375" i="6"/>
  <c r="AF1375" i="6" s="1"/>
  <c r="Y1375" i="6"/>
  <c r="Y1374" i="6"/>
  <c r="AA1374" i="6" s="1"/>
  <c r="AF1374" i="6" s="1"/>
  <c r="Y1373" i="6"/>
  <c r="AA1373" i="6" s="1"/>
  <c r="AF1373" i="6" s="1"/>
  <c r="Y1372" i="6"/>
  <c r="AA1372" i="6" s="1"/>
  <c r="AF1372" i="6" s="1"/>
  <c r="AA1371" i="6"/>
  <c r="AF1371" i="6" s="1"/>
  <c r="Y1371" i="6"/>
  <c r="AA1370" i="6"/>
  <c r="AF1370" i="6" s="1"/>
  <c r="Y1370" i="6"/>
  <c r="AC1370" i="6" s="1"/>
  <c r="AC1369" i="6"/>
  <c r="AA1369" i="6"/>
  <c r="AF1369" i="6" s="1"/>
  <c r="Y1369" i="6"/>
  <c r="Y1368" i="6"/>
  <c r="AA1368" i="6" s="1"/>
  <c r="AF1368" i="6" s="1"/>
  <c r="Y1367" i="6"/>
  <c r="AA1367" i="6" s="1"/>
  <c r="AF1367" i="6" s="1"/>
  <c r="AF1366" i="6"/>
  <c r="AA1366" i="6"/>
  <c r="Y1366" i="6"/>
  <c r="Y1365" i="6"/>
  <c r="AC1365" i="6" s="1"/>
  <c r="AF1364" i="6"/>
  <c r="AC1364" i="6"/>
  <c r="AA1364" i="6"/>
  <c r="Y1364" i="6"/>
  <c r="Y1363" i="6"/>
  <c r="AC1363" i="6" s="1"/>
  <c r="AF1362" i="6"/>
  <c r="AC1362" i="6"/>
  <c r="AA1362" i="6"/>
  <c r="Y1362" i="6"/>
  <c r="Y1361" i="6"/>
  <c r="AC1361" i="6" s="1"/>
  <c r="AF1360" i="6"/>
  <c r="AC1360" i="6"/>
  <c r="AA1360" i="6"/>
  <c r="Y1360" i="6"/>
  <c r="Z1359" i="6"/>
  <c r="Y1359" i="6"/>
  <c r="AC1359" i="6" s="1"/>
  <c r="Z1358" i="6"/>
  <c r="Y1358" i="6"/>
  <c r="AC1358" i="6" s="1"/>
  <c r="X1358" i="6"/>
  <c r="Y1357" i="6"/>
  <c r="AA1357" i="6" s="1"/>
  <c r="AF1357" i="6" s="1"/>
  <c r="Y1356" i="6"/>
  <c r="AA1356" i="6" s="1"/>
  <c r="AF1356" i="6" s="1"/>
  <c r="Y1355" i="6"/>
  <c r="AA1355" i="6" s="1"/>
  <c r="AF1355" i="6" s="1"/>
  <c r="AA1354" i="6"/>
  <c r="AF1354" i="6" s="1"/>
  <c r="Y1354" i="6"/>
  <c r="Y1353" i="6"/>
  <c r="AA1353" i="6" s="1"/>
  <c r="AF1353" i="6" s="1"/>
  <c r="AA1352" i="6"/>
  <c r="AF1352" i="6" s="1"/>
  <c r="AA1351" i="6"/>
  <c r="AF1351" i="6" s="1"/>
  <c r="Z1350" i="6"/>
  <c r="AA1350" i="6" s="1"/>
  <c r="AF1350" i="6" s="1"/>
  <c r="Y1350" i="6"/>
  <c r="Z1349" i="6"/>
  <c r="Y1349" i="6"/>
  <c r="Z1348" i="6"/>
  <c r="AA1348" i="6" s="1"/>
  <c r="AF1348" i="6" s="1"/>
  <c r="Y1348" i="6"/>
  <c r="AA1347" i="6"/>
  <c r="AF1347" i="6" s="1"/>
  <c r="AC1346" i="6"/>
  <c r="Z1346" i="6"/>
  <c r="Y1346" i="6"/>
  <c r="AA1346" i="6" s="1"/>
  <c r="AF1346" i="6" s="1"/>
  <c r="Z1345" i="6"/>
  <c r="Y1345" i="6"/>
  <c r="AC1345" i="6" s="1"/>
  <c r="Z1344" i="6"/>
  <c r="AA1344" i="6" s="1"/>
  <c r="AF1344" i="6" s="1"/>
  <c r="Y1344" i="6"/>
  <c r="AC1344" i="6" s="1"/>
  <c r="AC1343" i="6"/>
  <c r="AA1343" i="6"/>
  <c r="AF1343" i="6" s="1"/>
  <c r="Z1343" i="6"/>
  <c r="Y1343" i="6"/>
  <c r="Z1342" i="6"/>
  <c r="Y1342" i="6"/>
  <c r="AC1342" i="6" s="1"/>
  <c r="Y1341" i="6"/>
  <c r="AA1341" i="6" s="1"/>
  <c r="AF1341" i="6" s="1"/>
  <c r="AA1340" i="6"/>
  <c r="AF1340" i="6" s="1"/>
  <c r="Y1340" i="6"/>
  <c r="Y1339" i="6"/>
  <c r="AA1339" i="6" s="1"/>
  <c r="AF1339" i="6" s="1"/>
  <c r="AA1338" i="6"/>
  <c r="AF1338" i="6" s="1"/>
  <c r="Y1338" i="6"/>
  <c r="Y1337" i="6"/>
  <c r="AA1337" i="6" s="1"/>
  <c r="AF1337" i="6" s="1"/>
  <c r="AA1336" i="6"/>
  <c r="AF1336" i="6" s="1"/>
  <c r="Y1336" i="6"/>
  <c r="Y1335" i="6"/>
  <c r="AA1335" i="6" s="1"/>
  <c r="AF1335" i="6" s="1"/>
  <c r="Y1334" i="6"/>
  <c r="AA1334" i="6" s="1"/>
  <c r="AF1334" i="6" s="1"/>
  <c r="Y1333" i="6"/>
  <c r="AA1333" i="6" s="1"/>
  <c r="AF1333" i="6" s="1"/>
  <c r="AA1332" i="6"/>
  <c r="AF1332" i="6" s="1"/>
  <c r="Y1332" i="6"/>
  <c r="AC1331" i="6"/>
  <c r="AA1331" i="6"/>
  <c r="AF1331" i="6" s="1"/>
  <c r="Z1331" i="6"/>
  <c r="Y1331" i="6"/>
  <c r="Z1330" i="6"/>
  <c r="Y1330" i="6"/>
  <c r="AC1330" i="6" s="1"/>
  <c r="Z1329" i="6"/>
  <c r="Y1329" i="6"/>
  <c r="AA1329" i="6" s="1"/>
  <c r="AF1329" i="6" s="1"/>
  <c r="Z1328" i="6"/>
  <c r="AA1328" i="6" s="1"/>
  <c r="AF1328" i="6" s="1"/>
  <c r="Y1328" i="6"/>
  <c r="AC1328" i="6" s="1"/>
  <c r="Z1327" i="6"/>
  <c r="AA1327" i="6" s="1"/>
  <c r="AF1327" i="6" s="1"/>
  <c r="Y1327" i="6"/>
  <c r="AC1327" i="6" s="1"/>
  <c r="AC1326" i="6"/>
  <c r="AA1326" i="6"/>
  <c r="AF1326" i="6" s="1"/>
  <c r="Z1326" i="6"/>
  <c r="Y1326" i="6"/>
  <c r="AA1325" i="6"/>
  <c r="AF1325" i="6" s="1"/>
  <c r="Y1325" i="6"/>
  <c r="Y1324" i="6"/>
  <c r="AA1324" i="6" s="1"/>
  <c r="AF1324" i="6" s="1"/>
  <c r="AA1323" i="6"/>
  <c r="AF1323" i="6" s="1"/>
  <c r="Y1323" i="6"/>
  <c r="Y1322" i="6"/>
  <c r="AA1322" i="6" s="1"/>
  <c r="AF1322" i="6" s="1"/>
  <c r="AA1321" i="6"/>
  <c r="AF1321" i="6" s="1"/>
  <c r="Y1321" i="6"/>
  <c r="Z1320" i="6"/>
  <c r="AA1320" i="6" s="1"/>
  <c r="AF1320" i="6" s="1"/>
  <c r="Y1320" i="6"/>
  <c r="AA1319" i="6"/>
  <c r="AF1319" i="6" s="1"/>
  <c r="Z1319" i="6"/>
  <c r="Y1319" i="6"/>
  <c r="Z1318" i="6"/>
  <c r="AA1318" i="6" s="1"/>
  <c r="AF1318" i="6" s="1"/>
  <c r="Y1318" i="6"/>
  <c r="Z1317" i="6"/>
  <c r="AA1317" i="6" s="1"/>
  <c r="AF1317" i="6" s="1"/>
  <c r="Y1317" i="6"/>
  <c r="Z1316" i="6"/>
  <c r="AA1316" i="6" s="1"/>
  <c r="AF1316" i="6" s="1"/>
  <c r="Y1316" i="6"/>
  <c r="AA1315" i="6"/>
  <c r="AF1315" i="6" s="1"/>
  <c r="AF1314" i="6"/>
  <c r="AA1314" i="6"/>
  <c r="AA1313" i="6"/>
  <c r="AF1313" i="6" s="1"/>
  <c r="Y1312" i="6"/>
  <c r="AA1312" i="6" s="1"/>
  <c r="AF1312" i="6" s="1"/>
  <c r="AA1311" i="6"/>
  <c r="AF1311" i="6" s="1"/>
  <c r="Y1311" i="6"/>
  <c r="Y1310" i="6"/>
  <c r="AA1310" i="6" s="1"/>
  <c r="AF1310" i="6" s="1"/>
  <c r="Y1309" i="6"/>
  <c r="AA1309" i="6" s="1"/>
  <c r="AF1309" i="6" s="1"/>
  <c r="AF1308" i="6"/>
  <c r="AA1308" i="6"/>
  <c r="Y1308" i="6"/>
  <c r="AA1307" i="6"/>
  <c r="AF1307" i="6" s="1"/>
  <c r="Y1307" i="6"/>
  <c r="AA1306" i="6"/>
  <c r="AF1306" i="6" s="1"/>
  <c r="Y1306" i="6"/>
  <c r="Y1305" i="6"/>
  <c r="AA1305" i="6" s="1"/>
  <c r="AF1305" i="6" s="1"/>
  <c r="Y1304" i="6"/>
  <c r="AA1304" i="6" s="1"/>
  <c r="AF1304" i="6" s="1"/>
  <c r="AA1303" i="6"/>
  <c r="AF1303" i="6" s="1"/>
  <c r="Y1303" i="6"/>
  <c r="Z1302" i="6"/>
  <c r="AA1302" i="6" s="1"/>
  <c r="AF1302" i="6" s="1"/>
  <c r="Y1302" i="6"/>
  <c r="Z1301" i="6"/>
  <c r="AA1301" i="6" s="1"/>
  <c r="AF1301" i="6" s="1"/>
  <c r="Y1301" i="6"/>
  <c r="Y1300" i="6"/>
  <c r="AA1300" i="6" s="1"/>
  <c r="AF1300" i="6" s="1"/>
  <c r="AC1299" i="6"/>
  <c r="Z1299" i="6"/>
  <c r="AA1299" i="6" s="1"/>
  <c r="AF1299" i="6" s="1"/>
  <c r="Y1299" i="6"/>
  <c r="X1299" i="6"/>
  <c r="Z1298" i="6"/>
  <c r="Y1298" i="6"/>
  <c r="AC1298" i="6" s="1"/>
  <c r="AF1297" i="6"/>
  <c r="AA1297" i="6"/>
  <c r="Z1297" i="6"/>
  <c r="Y1297" i="6"/>
  <c r="Z1296" i="6"/>
  <c r="AA1296" i="6" s="1"/>
  <c r="AF1296" i="6" s="1"/>
  <c r="Y1296" i="6"/>
  <c r="AC1296" i="6" s="1"/>
  <c r="Z1295" i="6"/>
  <c r="AA1295" i="6" s="1"/>
  <c r="AF1295" i="6" s="1"/>
  <c r="Y1295" i="6"/>
  <c r="AC1295" i="6" s="1"/>
  <c r="AC1294" i="6"/>
  <c r="AA1294" i="6"/>
  <c r="AF1294" i="6" s="1"/>
  <c r="Z1294" i="6"/>
  <c r="Y1294" i="6"/>
  <c r="AA1293" i="6"/>
  <c r="AF1293" i="6" s="1"/>
  <c r="Y1293" i="6"/>
  <c r="Y1292" i="6"/>
  <c r="AA1292" i="6" s="1"/>
  <c r="AF1292" i="6" s="1"/>
  <c r="AA1291" i="6"/>
  <c r="AF1291" i="6" s="1"/>
  <c r="AA1290" i="6"/>
  <c r="AF1290" i="6" s="1"/>
  <c r="Y1290" i="6"/>
  <c r="AA1289" i="6"/>
  <c r="AF1289" i="6" s="1"/>
  <c r="Z1289" i="6"/>
  <c r="Y1289" i="6"/>
  <c r="Z1288" i="6"/>
  <c r="AA1288" i="6" s="1"/>
  <c r="AF1288" i="6" s="1"/>
  <c r="Y1288" i="6"/>
  <c r="Z1287" i="6"/>
  <c r="AA1287" i="6" s="1"/>
  <c r="AF1287" i="6" s="1"/>
  <c r="Y1287" i="6"/>
  <c r="Z1286" i="6"/>
  <c r="AA1286" i="6" s="1"/>
  <c r="AF1286" i="6" s="1"/>
  <c r="Y1286" i="6"/>
  <c r="Z1285" i="6"/>
  <c r="AA1285" i="6" s="1"/>
  <c r="AF1285" i="6" s="1"/>
  <c r="Y1285" i="6"/>
  <c r="Z1284" i="6"/>
  <c r="AA1284" i="6" s="1"/>
  <c r="AF1284" i="6" s="1"/>
  <c r="Y1284" i="6"/>
  <c r="Z1283" i="6"/>
  <c r="AA1283" i="6" s="1"/>
  <c r="AF1283" i="6" s="1"/>
  <c r="Y1283" i="6"/>
  <c r="Z1282" i="6"/>
  <c r="AA1282" i="6" s="1"/>
  <c r="AF1282" i="6" s="1"/>
  <c r="Y1282" i="6"/>
  <c r="AA1281" i="6"/>
  <c r="AF1281" i="6" s="1"/>
  <c r="Z1281" i="6"/>
  <c r="Y1281" i="6"/>
  <c r="Y1280" i="6"/>
  <c r="AA1280" i="6" s="1"/>
  <c r="AF1280" i="6" s="1"/>
  <c r="Y1279" i="6"/>
  <c r="AA1279" i="6" s="1"/>
  <c r="AF1279" i="6" s="1"/>
  <c r="AF1278" i="6"/>
  <c r="AA1278" i="6"/>
  <c r="AA1277" i="6"/>
  <c r="AF1277" i="6" s="1"/>
  <c r="AF1276" i="6"/>
  <c r="AA1276" i="6"/>
  <c r="Z1275" i="6"/>
  <c r="AA1275" i="6" s="1"/>
  <c r="AF1275" i="6" s="1"/>
  <c r="Y1275" i="6"/>
  <c r="Z1274" i="6"/>
  <c r="AA1274" i="6" s="1"/>
  <c r="AF1274" i="6" s="1"/>
  <c r="Y1274" i="6"/>
  <c r="Z1273" i="6"/>
  <c r="AA1273" i="6" s="1"/>
  <c r="AF1273" i="6" s="1"/>
  <c r="Y1273" i="6"/>
  <c r="Y1272" i="6"/>
  <c r="AA1272" i="6" s="1"/>
  <c r="AF1272" i="6" s="1"/>
  <c r="Y1271" i="6"/>
  <c r="AA1271" i="6" s="1"/>
  <c r="AF1271" i="6" s="1"/>
  <c r="AF1270" i="6"/>
  <c r="AA1270" i="6"/>
  <c r="Y1270" i="6"/>
  <c r="AA1269" i="6"/>
  <c r="AF1269" i="6" s="1"/>
  <c r="Y1269" i="6"/>
  <c r="Y1268" i="6"/>
  <c r="AA1268" i="6" s="1"/>
  <c r="AF1268" i="6" s="1"/>
  <c r="Y1267" i="6"/>
  <c r="AA1267" i="6" s="1"/>
  <c r="AF1267" i="6" s="1"/>
  <c r="Y1266" i="6"/>
  <c r="AA1266" i="6" s="1"/>
  <c r="AF1266" i="6" s="1"/>
  <c r="AF1265" i="6"/>
  <c r="AA1265" i="6"/>
  <c r="Y1265" i="6"/>
  <c r="Y1264" i="6"/>
  <c r="AA1264" i="6" s="1"/>
  <c r="AF1264" i="6" s="1"/>
  <c r="Y1263" i="6"/>
  <c r="AA1263" i="6" s="1"/>
  <c r="AF1263" i="6" s="1"/>
  <c r="AF1262" i="6"/>
  <c r="AA1262" i="6"/>
  <c r="Z1262" i="6"/>
  <c r="Y1262" i="6"/>
  <c r="Z1261" i="6"/>
  <c r="Y1261" i="6"/>
  <c r="AF1260" i="6"/>
  <c r="AA1260" i="6"/>
  <c r="Z1260" i="6"/>
  <c r="Y1260" i="6"/>
  <c r="Z1259" i="6"/>
  <c r="AA1259" i="6" s="1"/>
  <c r="AF1259" i="6" s="1"/>
  <c r="AF1258" i="6"/>
  <c r="AA1258" i="6"/>
  <c r="Z1258" i="6"/>
  <c r="Y1258" i="6"/>
  <c r="Z1257" i="6"/>
  <c r="Y1257" i="6"/>
  <c r="AC1257" i="6" s="1"/>
  <c r="AF1256" i="6"/>
  <c r="AC1256" i="6"/>
  <c r="Z1256" i="6"/>
  <c r="AA1256" i="6" s="1"/>
  <c r="Y1256" i="6"/>
  <c r="AC1255" i="6"/>
  <c r="AA1255" i="6"/>
  <c r="AF1255" i="6" s="1"/>
  <c r="Z1255" i="6"/>
  <c r="Y1255" i="6"/>
  <c r="Y1254" i="6"/>
  <c r="AA1254" i="6" s="1"/>
  <c r="AF1254" i="6" s="1"/>
  <c r="Y1253" i="6"/>
  <c r="AA1253" i="6" s="1"/>
  <c r="AF1253" i="6" s="1"/>
  <c r="AF1252" i="6"/>
  <c r="AA1252" i="6"/>
  <c r="Y1252" i="6"/>
  <c r="AA1251" i="6"/>
  <c r="AF1251" i="6" s="1"/>
  <c r="Y1251" i="6"/>
  <c r="Y1250" i="6"/>
  <c r="AA1250" i="6" s="1"/>
  <c r="AF1250" i="6" s="1"/>
  <c r="Y1249" i="6"/>
  <c r="AA1249" i="6" s="1"/>
  <c r="AF1249" i="6" s="1"/>
  <c r="Y1248" i="6"/>
  <c r="AA1248" i="6" s="1"/>
  <c r="AF1248" i="6" s="1"/>
  <c r="AA1247" i="6"/>
  <c r="AF1247" i="6" s="1"/>
  <c r="Y1247" i="6"/>
  <c r="AA1246" i="6"/>
  <c r="AF1246" i="6" s="1"/>
  <c r="Y1246" i="6"/>
  <c r="AC1246" i="6" s="1"/>
  <c r="Z1245" i="6"/>
  <c r="AA1245" i="6" s="1"/>
  <c r="AF1245" i="6" s="1"/>
  <c r="Y1245" i="6"/>
  <c r="Z1244" i="6"/>
  <c r="AA1244" i="6" s="1"/>
  <c r="AF1244" i="6" s="1"/>
  <c r="Y1244" i="6"/>
  <c r="AA1243" i="6"/>
  <c r="AF1243" i="6" s="1"/>
  <c r="Z1243" i="6"/>
  <c r="Y1243" i="6"/>
  <c r="Z1242" i="6"/>
  <c r="AA1242" i="6" s="1"/>
  <c r="AF1242" i="6" s="1"/>
  <c r="Y1242" i="6"/>
  <c r="AA1241" i="6"/>
  <c r="AF1241" i="6" s="1"/>
  <c r="Z1241" i="6"/>
  <c r="Y1241" i="6"/>
  <c r="Z1240" i="6"/>
  <c r="AA1240" i="6" s="1"/>
  <c r="AF1240" i="6" s="1"/>
  <c r="Y1240" i="6"/>
  <c r="Z1239" i="6"/>
  <c r="AA1239" i="6" s="1"/>
  <c r="AF1239" i="6" s="1"/>
  <c r="Y1239" i="6"/>
  <c r="Z1238" i="6"/>
  <c r="AA1238" i="6" s="1"/>
  <c r="AF1238" i="6" s="1"/>
  <c r="Y1238" i="6"/>
  <c r="Z1237" i="6"/>
  <c r="AA1237" i="6" s="1"/>
  <c r="AF1237" i="6" s="1"/>
  <c r="Y1237" i="6"/>
  <c r="Z1236" i="6"/>
  <c r="AA1236" i="6" s="1"/>
  <c r="AF1236" i="6" s="1"/>
  <c r="Y1236" i="6"/>
  <c r="AA1235" i="6"/>
  <c r="AF1235" i="6" s="1"/>
  <c r="Z1235" i="6"/>
  <c r="Y1235" i="6"/>
  <c r="Z1234" i="6"/>
  <c r="AA1234" i="6" s="1"/>
  <c r="AF1234" i="6" s="1"/>
  <c r="Y1234" i="6"/>
  <c r="Z1233" i="6"/>
  <c r="AA1233" i="6" s="1"/>
  <c r="AF1233" i="6" s="1"/>
  <c r="Y1233" i="6"/>
  <c r="Z1232" i="6"/>
  <c r="AA1232" i="6" s="1"/>
  <c r="AF1232" i="6" s="1"/>
  <c r="Y1232" i="6"/>
  <c r="AA1231" i="6"/>
  <c r="AF1231" i="6" s="1"/>
  <c r="Z1231" i="6"/>
  <c r="Y1231" i="6"/>
  <c r="Z1230" i="6"/>
  <c r="AA1230" i="6" s="1"/>
  <c r="AF1230" i="6" s="1"/>
  <c r="Y1230" i="6"/>
  <c r="Z1229" i="6"/>
  <c r="AA1229" i="6" s="1"/>
  <c r="AF1229" i="6" s="1"/>
  <c r="Y1229" i="6"/>
  <c r="Z1228" i="6"/>
  <c r="AA1228" i="6" s="1"/>
  <c r="AF1228" i="6" s="1"/>
  <c r="Y1228" i="6"/>
  <c r="AA1227" i="6"/>
  <c r="AF1227" i="6" s="1"/>
  <c r="Z1227" i="6"/>
  <c r="Y1227" i="6"/>
  <c r="Z1226" i="6"/>
  <c r="AA1226" i="6" s="1"/>
  <c r="AF1226" i="6" s="1"/>
  <c r="Y1226" i="6"/>
  <c r="Z1225" i="6"/>
  <c r="AA1225" i="6" s="1"/>
  <c r="AF1225" i="6" s="1"/>
  <c r="Y1225" i="6"/>
  <c r="Z1224" i="6"/>
  <c r="AA1224" i="6" s="1"/>
  <c r="AF1224" i="6" s="1"/>
  <c r="Y1224" i="6"/>
  <c r="AA1223" i="6"/>
  <c r="AF1223" i="6" s="1"/>
  <c r="Y1223" i="6"/>
  <c r="Z1222" i="6"/>
  <c r="AA1222" i="6" s="1"/>
  <c r="AF1222" i="6" s="1"/>
  <c r="Y1222" i="6"/>
  <c r="AA1221" i="6"/>
  <c r="AF1221" i="6" s="1"/>
  <c r="Z1221" i="6"/>
  <c r="Y1221" i="6"/>
  <c r="AF1220" i="6"/>
  <c r="Z1220" i="6"/>
  <c r="AA1220" i="6" s="1"/>
  <c r="Y1220" i="6"/>
  <c r="Z1219" i="6"/>
  <c r="AA1219" i="6" s="1"/>
  <c r="AF1219" i="6" s="1"/>
  <c r="Y1219" i="6"/>
  <c r="Z1218" i="6"/>
  <c r="AA1218" i="6" s="1"/>
  <c r="AF1218" i="6" s="1"/>
  <c r="Y1218" i="6"/>
  <c r="Z1217" i="6"/>
  <c r="AA1217" i="6" s="1"/>
  <c r="AF1217" i="6" s="1"/>
  <c r="Y1217" i="6"/>
  <c r="AF1216" i="6"/>
  <c r="Z1216" i="6"/>
  <c r="Y1216" i="6"/>
  <c r="AA1216" i="6" s="1"/>
  <c r="Z1215" i="6"/>
  <c r="AA1215" i="6" s="1"/>
  <c r="AF1215" i="6" s="1"/>
  <c r="Y1215" i="6"/>
  <c r="AF1214" i="6"/>
  <c r="Z1214" i="6"/>
  <c r="Y1214" i="6"/>
  <c r="AA1214" i="6" s="1"/>
  <c r="AA1213" i="6"/>
  <c r="AF1213" i="6" s="1"/>
  <c r="Z1213" i="6"/>
  <c r="Y1213" i="6"/>
  <c r="AA1212" i="6"/>
  <c r="AF1212" i="6" s="1"/>
  <c r="Z1212" i="6"/>
  <c r="Y1212" i="6"/>
  <c r="AA1211" i="6"/>
  <c r="AF1211" i="6" s="1"/>
  <c r="Z1211" i="6"/>
  <c r="Y1211" i="6"/>
  <c r="AA1210" i="6"/>
  <c r="AF1210" i="6" s="1"/>
  <c r="Z1210" i="6"/>
  <c r="Y1210" i="6"/>
  <c r="AA1209" i="6"/>
  <c r="AF1209" i="6" s="1"/>
  <c r="Z1209" i="6"/>
  <c r="Y1209" i="6"/>
  <c r="AA1208" i="6"/>
  <c r="AF1208" i="6" s="1"/>
  <c r="Z1208" i="6"/>
  <c r="Y1208" i="6"/>
  <c r="AA1207" i="6"/>
  <c r="AF1207" i="6" s="1"/>
  <c r="Z1207" i="6"/>
  <c r="Y1207" i="6"/>
  <c r="AA1206" i="6"/>
  <c r="AF1206" i="6" s="1"/>
  <c r="Z1206" i="6"/>
  <c r="Y1206" i="6"/>
  <c r="AA1205" i="6"/>
  <c r="AF1205" i="6" s="1"/>
  <c r="Z1205" i="6"/>
  <c r="Y1205" i="6"/>
  <c r="AA1204" i="6"/>
  <c r="AF1204" i="6" s="1"/>
  <c r="Z1204" i="6"/>
  <c r="Y1204" i="6"/>
  <c r="AA1203" i="6"/>
  <c r="AF1203" i="6" s="1"/>
  <c r="Z1203" i="6"/>
  <c r="Y1203" i="6"/>
  <c r="AA1202" i="6"/>
  <c r="AF1202" i="6" s="1"/>
  <c r="Z1202" i="6"/>
  <c r="Y1202" i="6"/>
  <c r="AA1201" i="6"/>
  <c r="AF1201" i="6" s="1"/>
  <c r="Z1201" i="6"/>
  <c r="Y1201" i="6"/>
  <c r="AA1200" i="6"/>
  <c r="AF1200" i="6" s="1"/>
  <c r="Z1200" i="6"/>
  <c r="Y1200" i="6"/>
  <c r="AA1199" i="6"/>
  <c r="AF1199" i="6" s="1"/>
  <c r="Z1199" i="6"/>
  <c r="Y1199" i="6"/>
  <c r="AA1198" i="6"/>
  <c r="AF1198" i="6" s="1"/>
  <c r="Y1198" i="6"/>
  <c r="Y1197" i="6"/>
  <c r="AA1197" i="6" s="1"/>
  <c r="AF1197" i="6" s="1"/>
  <c r="Z1196" i="6"/>
  <c r="AA1196" i="6" s="1"/>
  <c r="AF1196" i="6" s="1"/>
  <c r="Y1196" i="6"/>
  <c r="Z1195" i="6"/>
  <c r="AA1195" i="6" s="1"/>
  <c r="AF1195" i="6" s="1"/>
  <c r="Y1195" i="6"/>
  <c r="AA1194" i="6"/>
  <c r="AF1194" i="6" s="1"/>
  <c r="AA1193" i="6"/>
  <c r="AF1193" i="6" s="1"/>
  <c r="AU1192" i="6"/>
  <c r="Z1192" i="6"/>
  <c r="AA1192" i="6" s="1"/>
  <c r="AF1192" i="6" s="1"/>
  <c r="Y1192" i="6"/>
  <c r="Z1191" i="6"/>
  <c r="AA1191" i="6" s="1"/>
  <c r="AF1191" i="6" s="1"/>
  <c r="Z1190" i="6"/>
  <c r="AA1190" i="6" s="1"/>
  <c r="AF1190" i="6" s="1"/>
  <c r="Y1190" i="6"/>
  <c r="AC1190" i="6" s="1"/>
  <c r="Z1189" i="6"/>
  <c r="AA1189" i="6" s="1"/>
  <c r="AF1189" i="6" s="1"/>
  <c r="Y1189" i="6"/>
  <c r="AA1188" i="6"/>
  <c r="AF1188" i="6" s="1"/>
  <c r="Z1188" i="6"/>
  <c r="Y1188" i="6"/>
  <c r="AC1188" i="6" s="1"/>
  <c r="AF1187" i="6"/>
  <c r="AC1187" i="6"/>
  <c r="AA1187" i="6"/>
  <c r="Z1187" i="6"/>
  <c r="Y1187" i="6"/>
  <c r="Z1186" i="6"/>
  <c r="AA1186" i="6" s="1"/>
  <c r="AF1186" i="6" s="1"/>
  <c r="Y1186" i="6"/>
  <c r="AC1186" i="6" s="1"/>
  <c r="X1186" i="6"/>
  <c r="AA1185" i="6"/>
  <c r="AF1185" i="6" s="1"/>
  <c r="Z1185" i="6"/>
  <c r="Y1185" i="6"/>
  <c r="AC1185" i="6" s="1"/>
  <c r="AF1184" i="6"/>
  <c r="AC1184" i="6"/>
  <c r="AA1184" i="6"/>
  <c r="Z1184" i="6"/>
  <c r="Y1184" i="6"/>
  <c r="Y1183" i="6"/>
  <c r="AA1183" i="6" s="1"/>
  <c r="AF1183" i="6" s="1"/>
  <c r="AA1182" i="6"/>
  <c r="AF1182" i="6" s="1"/>
  <c r="Y1182" i="6"/>
  <c r="Y1181" i="6"/>
  <c r="AA1181" i="6" s="1"/>
  <c r="AF1181" i="6" s="1"/>
  <c r="Y1180" i="6"/>
  <c r="AA1180" i="6" s="1"/>
  <c r="AF1180" i="6" s="1"/>
  <c r="AF1179" i="6"/>
  <c r="AA1179" i="6"/>
  <c r="Y1179" i="6"/>
  <c r="AA1178" i="6"/>
  <c r="AF1178" i="6" s="1"/>
  <c r="Y1178" i="6"/>
  <c r="AC1177" i="6"/>
  <c r="AA1177" i="6"/>
  <c r="AF1177" i="6" s="1"/>
  <c r="Z1177" i="6"/>
  <c r="Y1177" i="6"/>
  <c r="Z1176" i="6"/>
  <c r="AA1176" i="6" s="1"/>
  <c r="AF1176" i="6" s="1"/>
  <c r="Y1176" i="6"/>
  <c r="AC1176" i="6" s="1"/>
  <c r="Z1175" i="6"/>
  <c r="AA1175" i="6" s="1"/>
  <c r="AF1175" i="6" s="1"/>
  <c r="Y1175" i="6"/>
  <c r="AC1175" i="6" s="1"/>
  <c r="AC1174" i="6"/>
  <c r="Z1174" i="6"/>
  <c r="AA1174" i="6" s="1"/>
  <c r="AF1174" i="6" s="1"/>
  <c r="Y1174" i="6"/>
  <c r="AA1173" i="6"/>
  <c r="AF1173" i="6" s="1"/>
  <c r="Z1173" i="6"/>
  <c r="Y1173" i="6"/>
  <c r="AC1173" i="6" s="1"/>
  <c r="AA1172" i="6"/>
  <c r="AF1172" i="6" s="1"/>
  <c r="Y1172" i="6"/>
  <c r="Y1171" i="6"/>
  <c r="AA1171" i="6" s="1"/>
  <c r="AF1171" i="6" s="1"/>
  <c r="Y1170" i="6"/>
  <c r="AA1170" i="6" s="1"/>
  <c r="AF1170" i="6" s="1"/>
  <c r="AF1169" i="6"/>
  <c r="AA1169" i="6"/>
  <c r="Y1169" i="6"/>
  <c r="AA1168" i="6"/>
  <c r="AF1168" i="6" s="1"/>
  <c r="Y1168" i="6"/>
  <c r="Y1167" i="6"/>
  <c r="AA1167" i="6" s="1"/>
  <c r="AF1167" i="6" s="1"/>
  <c r="Z1166" i="6"/>
  <c r="AA1166" i="6" s="1"/>
  <c r="AF1166" i="6" s="1"/>
  <c r="Y1166" i="6"/>
  <c r="Z1165" i="6"/>
  <c r="AA1165" i="6" s="1"/>
  <c r="AF1165" i="6" s="1"/>
  <c r="Y1165" i="6"/>
  <c r="Z1164" i="6"/>
  <c r="AA1164" i="6" s="1"/>
  <c r="AF1164" i="6" s="1"/>
  <c r="Y1164" i="6"/>
  <c r="Y1163" i="6"/>
  <c r="AA1163" i="6" s="1"/>
  <c r="AF1163" i="6" s="1"/>
  <c r="Z1162" i="6"/>
  <c r="AA1162" i="6" s="1"/>
  <c r="AF1162" i="6" s="1"/>
  <c r="Y1162" i="6"/>
  <c r="AC1162" i="6" s="1"/>
  <c r="Z1161" i="6"/>
  <c r="AA1161" i="6" s="1"/>
  <c r="AF1161" i="6" s="1"/>
  <c r="Y1161" i="6"/>
  <c r="AF1160" i="6"/>
  <c r="AA1160" i="6"/>
  <c r="AA1159" i="6"/>
  <c r="AF1159" i="6" s="1"/>
  <c r="AA1158" i="6"/>
  <c r="AF1158" i="6" s="1"/>
  <c r="AA1157" i="6"/>
  <c r="AF1157" i="6" s="1"/>
  <c r="Z1156" i="6"/>
  <c r="AA1156" i="6" s="1"/>
  <c r="AF1156" i="6" s="1"/>
  <c r="Y1156" i="6"/>
  <c r="Z1155" i="6"/>
  <c r="AA1155" i="6" s="1"/>
  <c r="AF1155" i="6" s="1"/>
  <c r="Y1155" i="6"/>
  <c r="Z1154" i="6"/>
  <c r="AA1154" i="6" s="1"/>
  <c r="AF1154" i="6" s="1"/>
  <c r="Y1154" i="6"/>
  <c r="Z1153" i="6"/>
  <c r="AA1153" i="6" s="1"/>
  <c r="AF1153" i="6" s="1"/>
  <c r="Y1153" i="6"/>
  <c r="AF1152" i="6"/>
  <c r="AA1152" i="6"/>
  <c r="AA1151" i="6"/>
  <c r="AF1151" i="6" s="1"/>
  <c r="AA1150" i="6"/>
  <c r="AF1150" i="6" s="1"/>
  <c r="AA1149" i="6"/>
  <c r="AF1149" i="6" s="1"/>
  <c r="AF1148" i="6"/>
  <c r="AA1148" i="6"/>
  <c r="AA1147" i="6"/>
  <c r="AF1147" i="6" s="1"/>
  <c r="AA1146" i="6"/>
  <c r="AF1146" i="6" s="1"/>
  <c r="AA1145" i="6"/>
  <c r="AF1145" i="6" s="1"/>
  <c r="Y1144" i="6"/>
  <c r="AC1144" i="6" s="1"/>
  <c r="Y1143" i="6"/>
  <c r="AA1143" i="6" s="1"/>
  <c r="AF1143" i="6" s="1"/>
  <c r="Y1142" i="6"/>
  <c r="AC1142" i="6" s="1"/>
  <c r="Y1141" i="6"/>
  <c r="AC1141" i="6" s="1"/>
  <c r="Y1140" i="6"/>
  <c r="AC1140" i="6" s="1"/>
  <c r="Y1139" i="6"/>
  <c r="AC1139" i="6" s="1"/>
  <c r="Y1138" i="6"/>
  <c r="AA1138" i="6" s="1"/>
  <c r="AF1138" i="6" s="1"/>
  <c r="Y1137" i="6"/>
  <c r="AA1137" i="6" s="1"/>
  <c r="AF1137" i="6" s="1"/>
  <c r="AA1136" i="6"/>
  <c r="AF1136" i="6" s="1"/>
  <c r="Z1136" i="6"/>
  <c r="Y1136" i="6"/>
  <c r="AA1135" i="6"/>
  <c r="AF1135" i="6" s="1"/>
  <c r="Z1135" i="6"/>
  <c r="Y1135" i="6"/>
  <c r="AA1134" i="6"/>
  <c r="AF1134" i="6" s="1"/>
  <c r="Z1134" i="6"/>
  <c r="Y1134" i="6"/>
  <c r="AA1133" i="6"/>
  <c r="AF1133" i="6" s="1"/>
  <c r="Y1133" i="6"/>
  <c r="Y1132" i="6"/>
  <c r="AA1132" i="6" s="1"/>
  <c r="AF1132" i="6" s="1"/>
  <c r="Y1131" i="6"/>
  <c r="AA1131" i="6" s="1"/>
  <c r="AF1131" i="6" s="1"/>
  <c r="Y1130" i="6"/>
  <c r="AA1130" i="6" s="1"/>
  <c r="AF1130" i="6" s="1"/>
  <c r="AA1129" i="6"/>
  <c r="AF1129" i="6" s="1"/>
  <c r="Y1129" i="6"/>
  <c r="Z1128" i="6"/>
  <c r="AA1128" i="6" s="1"/>
  <c r="AF1128" i="6" s="1"/>
  <c r="Y1128" i="6"/>
  <c r="Z1127" i="6"/>
  <c r="AA1127" i="6" s="1"/>
  <c r="AF1127" i="6" s="1"/>
  <c r="Y1127" i="6"/>
  <c r="Y1126" i="6"/>
  <c r="AA1126" i="6" s="1"/>
  <c r="AF1126" i="6" s="1"/>
  <c r="AU1125" i="6"/>
  <c r="Z1125" i="6"/>
  <c r="AA1125" i="6" s="1"/>
  <c r="AF1125" i="6" s="1"/>
  <c r="Y1125" i="6"/>
  <c r="X1125" i="6"/>
  <c r="AU1124" i="6"/>
  <c r="Z1124" i="6"/>
  <c r="AA1124" i="6" s="1"/>
  <c r="AF1124" i="6" s="1"/>
  <c r="Y1124" i="6"/>
  <c r="Z1123" i="6"/>
  <c r="X1123" i="6"/>
  <c r="Y1123" i="6" s="1"/>
  <c r="AA1123" i="6" s="1"/>
  <c r="AF1123" i="6" s="1"/>
  <c r="Z1122" i="6"/>
  <c r="AA1122" i="6" s="1"/>
  <c r="AF1122" i="6" s="1"/>
  <c r="Y1122" i="6"/>
  <c r="X1121" i="6"/>
  <c r="Y1121" i="6" s="1"/>
  <c r="AA1121" i="6" s="1"/>
  <c r="AF1121" i="6" s="1"/>
  <c r="Y1120" i="6"/>
  <c r="AA1120" i="6" s="1"/>
  <c r="AF1120" i="6" s="1"/>
  <c r="Z1119" i="6"/>
  <c r="Y1119" i="6"/>
  <c r="AC1119" i="6" s="1"/>
  <c r="AC1118" i="6"/>
  <c r="Z1118" i="6"/>
  <c r="AA1118" i="6" s="1"/>
  <c r="AF1118" i="6" s="1"/>
  <c r="Y1118" i="6"/>
  <c r="AA1117" i="6"/>
  <c r="AF1117" i="6" s="1"/>
  <c r="Z1117" i="6"/>
  <c r="Y1117" i="6"/>
  <c r="AC1117" i="6" s="1"/>
  <c r="AA1116" i="6"/>
  <c r="AF1116" i="6" s="1"/>
  <c r="Y1116" i="6"/>
  <c r="Y1115" i="6"/>
  <c r="AA1115" i="6" s="1"/>
  <c r="AF1115" i="6" s="1"/>
  <c r="AC1114" i="6"/>
  <c r="Z1114" i="6"/>
  <c r="AA1114" i="6" s="1"/>
  <c r="AF1114" i="6" s="1"/>
  <c r="Y1114" i="6"/>
  <c r="AA1113" i="6"/>
  <c r="AF1113" i="6" s="1"/>
  <c r="Z1113" i="6"/>
  <c r="Y1113" i="6"/>
  <c r="AC1113" i="6" s="1"/>
  <c r="AF1112" i="6"/>
  <c r="AC1112" i="6"/>
  <c r="AA1112" i="6"/>
  <c r="Z1112" i="6"/>
  <c r="Y1112" i="6"/>
  <c r="Y1111" i="6"/>
  <c r="AA1111" i="6" s="1"/>
  <c r="AF1111" i="6" s="1"/>
  <c r="AF1110" i="6"/>
  <c r="AC1110" i="6"/>
  <c r="AA1110" i="6"/>
  <c r="Z1110" i="6"/>
  <c r="Y1110" i="6"/>
  <c r="Z1109" i="6"/>
  <c r="AA1109" i="6" s="1"/>
  <c r="AF1109" i="6" s="1"/>
  <c r="Y1109" i="6"/>
  <c r="AC1109" i="6" s="1"/>
  <c r="Y1108" i="6"/>
  <c r="AA1108" i="6" s="1"/>
  <c r="AF1108" i="6" s="1"/>
  <c r="Y1107" i="6"/>
  <c r="AA1107" i="6" s="1"/>
  <c r="AF1107" i="6" s="1"/>
  <c r="AA1106" i="6"/>
  <c r="AF1106" i="6" s="1"/>
  <c r="Y1106" i="6"/>
  <c r="Y1105" i="6"/>
  <c r="AA1105" i="6" s="1"/>
  <c r="AF1105" i="6" s="1"/>
  <c r="Y1104" i="6"/>
  <c r="AA1104" i="6" s="1"/>
  <c r="AF1104" i="6" s="1"/>
  <c r="AF1103" i="6"/>
  <c r="AA1103" i="6"/>
  <c r="Y1103" i="6"/>
  <c r="AA1102" i="6"/>
  <c r="AF1102" i="6" s="1"/>
  <c r="Z1102" i="6"/>
  <c r="Y1102" i="6"/>
  <c r="AA1101" i="6"/>
  <c r="AF1101" i="6" s="1"/>
  <c r="Z1101" i="6"/>
  <c r="Y1101" i="6"/>
  <c r="Z1100" i="6"/>
  <c r="AA1100" i="6" s="1"/>
  <c r="AE1100" i="6" s="1"/>
  <c r="AF1100" i="6" s="1"/>
  <c r="Y1100" i="6"/>
  <c r="AC1100" i="6" s="1"/>
  <c r="AU1099" i="6"/>
  <c r="Z1099" i="6"/>
  <c r="AA1099" i="6" s="1"/>
  <c r="AE1099" i="6" s="1"/>
  <c r="AF1099" i="6" s="1"/>
  <c r="Y1099" i="6"/>
  <c r="AC1099" i="6" s="1"/>
  <c r="AU1098" i="6"/>
  <c r="AF1098" i="6"/>
  <c r="AC1098" i="6"/>
  <c r="Z1098" i="6"/>
  <c r="AA1098" i="6" s="1"/>
  <c r="Y1098" i="6"/>
  <c r="AU1097" i="6"/>
  <c r="Z1097" i="6"/>
  <c r="AA1097" i="6" s="1"/>
  <c r="AF1097" i="6" s="1"/>
  <c r="Y1097" i="6"/>
  <c r="AC1097" i="6" s="1"/>
  <c r="Z1095" i="6"/>
  <c r="AA1095" i="6" s="1"/>
  <c r="AF1095" i="6" s="1"/>
  <c r="Y1095" i="6"/>
  <c r="AC1095" i="6" s="1"/>
  <c r="AF1094" i="6"/>
  <c r="AA1094" i="6"/>
  <c r="Y1094" i="6"/>
  <c r="Z1093" i="6"/>
  <c r="AA1093" i="6" s="1"/>
  <c r="AF1093" i="6" s="1"/>
  <c r="Y1093" i="6"/>
  <c r="AC1093" i="6" s="1"/>
  <c r="AU1092" i="6"/>
  <c r="AF1092" i="6"/>
  <c r="Z1092" i="6"/>
  <c r="AA1092" i="6" s="1"/>
  <c r="Y1092" i="6"/>
  <c r="AC1092" i="6" s="1"/>
  <c r="Z1091" i="6"/>
  <c r="AA1091" i="6" s="1"/>
  <c r="AF1091" i="6" s="1"/>
  <c r="Y1091" i="6"/>
  <c r="Z1090" i="6"/>
  <c r="AA1090" i="6" s="1"/>
  <c r="AF1090" i="6" s="1"/>
  <c r="Y1090" i="6"/>
  <c r="Z1089" i="6"/>
  <c r="Y1089" i="6"/>
  <c r="AU1088" i="6"/>
  <c r="Z1088" i="6"/>
  <c r="Y1088" i="6"/>
  <c r="AA1088" i="6" s="1"/>
  <c r="AF1088" i="6" s="1"/>
  <c r="AU1087" i="6"/>
  <c r="AA1087" i="6"/>
  <c r="AF1087" i="6" s="1"/>
  <c r="Z1087" i="6"/>
  <c r="Y1087" i="6"/>
  <c r="AU1086" i="6"/>
  <c r="Z1086" i="6"/>
  <c r="Y1086" i="6"/>
  <c r="AA1086" i="6" s="1"/>
  <c r="AF1086" i="6" s="1"/>
  <c r="Z1085" i="6"/>
  <c r="Y1085" i="6"/>
  <c r="AC1085" i="6" s="1"/>
  <c r="Z1084" i="6"/>
  <c r="AA1084" i="6" s="1"/>
  <c r="AF1084" i="6" s="1"/>
  <c r="Y1084" i="6"/>
  <c r="AC1084" i="6" s="1"/>
  <c r="Z1081" i="6"/>
  <c r="Y1081" i="6"/>
  <c r="AC1081" i="6" s="1"/>
  <c r="AC1080" i="6"/>
  <c r="Z1080" i="6"/>
  <c r="Y1080" i="6"/>
  <c r="AA1080" i="6" s="1"/>
  <c r="AF1080" i="6" s="1"/>
  <c r="Y1079" i="6"/>
  <c r="AA1079" i="6" s="1"/>
  <c r="AF1079" i="6" s="1"/>
  <c r="AC1078" i="6"/>
  <c r="Z1078" i="6"/>
  <c r="Y1078" i="6"/>
  <c r="AA1078" i="6" s="1"/>
  <c r="AF1078" i="6" s="1"/>
  <c r="Z1077" i="6"/>
  <c r="Y1077" i="6"/>
  <c r="AC1077" i="6" s="1"/>
  <c r="Z1076" i="6"/>
  <c r="AA1076" i="6" s="1"/>
  <c r="AF1076" i="6" s="1"/>
  <c r="Y1076" i="6"/>
  <c r="AC1076" i="6" s="1"/>
  <c r="AU1075" i="6"/>
  <c r="AC1075" i="6"/>
  <c r="Z1075" i="6"/>
  <c r="Y1075" i="6"/>
  <c r="AA1075" i="6" s="1"/>
  <c r="AF1075" i="6" s="1"/>
  <c r="Z1074" i="6"/>
  <c r="Y1074" i="6"/>
  <c r="AA1074" i="6" s="1"/>
  <c r="AF1074" i="6" s="1"/>
  <c r="AF1073" i="6"/>
  <c r="Z1073" i="6"/>
  <c r="Y1073" i="6"/>
  <c r="AA1073" i="6" s="1"/>
  <c r="Z1072" i="6"/>
  <c r="Y1072" i="6"/>
  <c r="AA1072" i="6" s="1"/>
  <c r="AF1072" i="6" s="1"/>
  <c r="AU1071" i="6"/>
  <c r="Z1071" i="6"/>
  <c r="Y1071" i="6"/>
  <c r="AA1071" i="6" s="1"/>
  <c r="AF1071" i="6" s="1"/>
  <c r="AU1070" i="6"/>
  <c r="AA1070" i="6"/>
  <c r="AF1070" i="6" s="1"/>
  <c r="Z1070" i="6"/>
  <c r="Y1070" i="6"/>
  <c r="AU1069" i="6"/>
  <c r="Z1069" i="6"/>
  <c r="AA1069" i="6" s="1"/>
  <c r="AF1069" i="6" s="1"/>
  <c r="Y1069" i="6"/>
  <c r="AU1068" i="6"/>
  <c r="AF1068" i="6"/>
  <c r="Z1068" i="6"/>
  <c r="AA1068" i="6" s="1"/>
  <c r="Y1068" i="6"/>
  <c r="Z1067" i="6"/>
  <c r="AA1067" i="6" s="1"/>
  <c r="AF1067" i="6" s="1"/>
  <c r="Y1067" i="6"/>
  <c r="AC1067" i="6" s="1"/>
  <c r="Z1066" i="6"/>
  <c r="AA1066" i="6" s="1"/>
  <c r="AF1066" i="6" s="1"/>
  <c r="Y1066" i="6"/>
  <c r="AC1066" i="6" s="1"/>
  <c r="AC1065" i="6"/>
  <c r="AA1065" i="6"/>
  <c r="AF1065" i="6" s="1"/>
  <c r="Z1065" i="6"/>
  <c r="Y1065" i="6"/>
  <c r="Z1064" i="6"/>
  <c r="Y1064" i="6"/>
  <c r="AC1064" i="6" s="1"/>
  <c r="Z1061" i="6"/>
  <c r="AA1061" i="6" s="1"/>
  <c r="AF1061" i="6" s="1"/>
  <c r="Y1061" i="6"/>
  <c r="AC1061" i="6" s="1"/>
  <c r="Y1060" i="6"/>
  <c r="AA1060" i="6" s="1"/>
  <c r="AF1060" i="6" s="1"/>
  <c r="Z1059" i="6"/>
  <c r="Y1059" i="6"/>
  <c r="AC1059" i="6" s="1"/>
  <c r="AC1058" i="6"/>
  <c r="Z1058" i="6"/>
  <c r="AA1058" i="6" s="1"/>
  <c r="AF1058" i="6" s="1"/>
  <c r="Y1058" i="6"/>
  <c r="AU1057" i="6"/>
  <c r="Z1057" i="6"/>
  <c r="AA1057" i="6" s="1"/>
  <c r="AF1057" i="6" s="1"/>
  <c r="Y1057" i="6"/>
  <c r="AC1057" i="6" s="1"/>
  <c r="AU1056" i="6"/>
  <c r="Z1056" i="6"/>
  <c r="AA1056" i="6" s="1"/>
  <c r="AF1056" i="6" s="1"/>
  <c r="Y1056" i="6"/>
  <c r="AC1056" i="6" s="1"/>
  <c r="AA1055" i="6"/>
  <c r="AF1055" i="6" s="1"/>
  <c r="Z1055" i="6"/>
  <c r="Y1055" i="6"/>
  <c r="AA1054" i="6"/>
  <c r="AF1054" i="6" s="1"/>
  <c r="Z1054" i="6"/>
  <c r="Y1054" i="6"/>
  <c r="Z1053" i="6"/>
  <c r="AA1053" i="6" s="1"/>
  <c r="AF1053" i="6" s="1"/>
  <c r="Y1053" i="6"/>
  <c r="AU1052" i="6"/>
  <c r="Z1052" i="6"/>
  <c r="Y1052" i="6"/>
  <c r="AA1052" i="6" s="1"/>
  <c r="AF1052" i="6" s="1"/>
  <c r="AU1051" i="6"/>
  <c r="AF1051" i="6"/>
  <c r="AA1051" i="6"/>
  <c r="Z1051" i="6"/>
  <c r="Y1051" i="6"/>
  <c r="AU1050" i="6"/>
  <c r="Z1050" i="6"/>
  <c r="Y1050" i="6"/>
  <c r="Z1049" i="6"/>
  <c r="AA1049" i="6" s="1"/>
  <c r="AF1049" i="6" s="1"/>
  <c r="Y1049" i="6"/>
  <c r="AC1049" i="6" s="1"/>
  <c r="AC1048" i="6"/>
  <c r="AA1048" i="6"/>
  <c r="AF1048" i="6" s="1"/>
  <c r="Z1048" i="6"/>
  <c r="Y1048" i="6"/>
  <c r="Z1047" i="6"/>
  <c r="AA1047" i="6" s="1"/>
  <c r="AF1047" i="6" s="1"/>
  <c r="Y1047" i="6"/>
  <c r="AC1047" i="6" s="1"/>
  <c r="Z1046" i="6"/>
  <c r="AA1046" i="6" s="1"/>
  <c r="AF1046" i="6" s="1"/>
  <c r="Y1046" i="6"/>
  <c r="AC1046" i="6" s="1"/>
  <c r="Z1043" i="6"/>
  <c r="Y1043" i="6"/>
  <c r="AU1042" i="6"/>
  <c r="Z1042" i="6"/>
  <c r="Y1042" i="6"/>
  <c r="AC1042" i="6" s="1"/>
  <c r="Y1041" i="6"/>
  <c r="AA1041" i="6" s="1"/>
  <c r="AF1041" i="6" s="1"/>
  <c r="Z1040" i="6"/>
  <c r="Y1040" i="6"/>
  <c r="AC1040" i="6" s="1"/>
  <c r="AC1039" i="6"/>
  <c r="AA1039" i="6"/>
  <c r="AF1039" i="6" s="1"/>
  <c r="Z1039" i="6"/>
  <c r="Y1039" i="6"/>
  <c r="AU1038" i="6"/>
  <c r="Z1038" i="6"/>
  <c r="AA1038" i="6" s="1"/>
  <c r="AF1038" i="6" s="1"/>
  <c r="Y1038" i="6"/>
  <c r="AC1038" i="6" s="1"/>
  <c r="AU1037" i="6"/>
  <c r="Z1037" i="6"/>
  <c r="Y1037" i="6"/>
  <c r="AC1037" i="6" s="1"/>
  <c r="AU1036" i="6"/>
  <c r="AF1036" i="6"/>
  <c r="AC1036" i="6"/>
  <c r="AA1036" i="6"/>
  <c r="Z1036" i="6"/>
  <c r="Y1036" i="6"/>
  <c r="AA1035" i="6"/>
  <c r="AF1035" i="6" s="1"/>
  <c r="Z1035" i="6"/>
  <c r="Y1035" i="6"/>
  <c r="AC1035" i="6" s="1"/>
  <c r="Y1034" i="6"/>
  <c r="AA1034" i="6" s="1"/>
  <c r="AF1034" i="6" s="1"/>
  <c r="Z1033" i="6"/>
  <c r="Y1033" i="6"/>
  <c r="Z1032" i="6"/>
  <c r="AA1032" i="6" s="1"/>
  <c r="AF1032" i="6" s="1"/>
  <c r="Y1032" i="6"/>
  <c r="Z1031" i="6"/>
  <c r="AA1031" i="6" s="1"/>
  <c r="AF1031" i="6" s="1"/>
  <c r="Y1031" i="6"/>
  <c r="AU1030" i="6"/>
  <c r="Z1030" i="6"/>
  <c r="AA1030" i="6" s="1"/>
  <c r="AF1030" i="6" s="1"/>
  <c r="Y1030" i="6"/>
  <c r="AU1029" i="6"/>
  <c r="AF1029" i="6"/>
  <c r="AA1029" i="6"/>
  <c r="Z1029" i="6"/>
  <c r="Y1029" i="6"/>
  <c r="AU1028" i="6"/>
  <c r="Z1028" i="6"/>
  <c r="Y1028" i="6"/>
  <c r="AA1028" i="6" s="1"/>
  <c r="AF1028" i="6" s="1"/>
  <c r="AF1027" i="6"/>
  <c r="Z1027" i="6"/>
  <c r="Y1027" i="6"/>
  <c r="AA1027" i="6" s="1"/>
  <c r="Z1026" i="6"/>
  <c r="AA1026" i="6" s="1"/>
  <c r="AF1026" i="6" s="1"/>
  <c r="Y1026" i="6"/>
  <c r="Z1025" i="6"/>
  <c r="AA1025" i="6" s="1"/>
  <c r="AF1025" i="6" s="1"/>
  <c r="Y1025" i="6"/>
  <c r="AC1025" i="6" s="1"/>
  <c r="Z1024" i="6"/>
  <c r="AA1024" i="6" s="1"/>
  <c r="AF1024" i="6" s="1"/>
  <c r="Y1024" i="6"/>
  <c r="AC1024" i="6" s="1"/>
  <c r="Z1023" i="6"/>
  <c r="AA1023" i="6" s="1"/>
  <c r="AF1023" i="6" s="1"/>
  <c r="Y1023" i="6"/>
  <c r="AC1023" i="6" s="1"/>
  <c r="AF1022" i="6"/>
  <c r="AC1022" i="6"/>
  <c r="Z1022" i="6"/>
  <c r="AA1022" i="6" s="1"/>
  <c r="Y1022" i="6"/>
  <c r="Z1019" i="6"/>
  <c r="Y1019" i="6"/>
  <c r="AA1019" i="6" s="1"/>
  <c r="AF1018" i="6"/>
  <c r="AC1018" i="6"/>
  <c r="Z1018" i="6"/>
  <c r="AA1018" i="6" s="1"/>
  <c r="Y1018" i="6"/>
  <c r="AU1017" i="6"/>
  <c r="Z1017" i="6"/>
  <c r="AA1017" i="6" s="1"/>
  <c r="AF1017" i="6" s="1"/>
  <c r="Y1017" i="6"/>
  <c r="AC1017" i="6" s="1"/>
  <c r="Y1016" i="6"/>
  <c r="AA1016" i="6" s="1"/>
  <c r="AF1016" i="6" s="1"/>
  <c r="Z1015" i="6"/>
  <c r="AA1015" i="6" s="1"/>
  <c r="AF1015" i="6" s="1"/>
  <c r="Y1015" i="6"/>
  <c r="AC1015" i="6" s="1"/>
  <c r="Z1014" i="6"/>
  <c r="Y1014" i="6"/>
  <c r="AC1014" i="6" s="1"/>
  <c r="AU1013" i="6"/>
  <c r="Z1013" i="6"/>
  <c r="Y1013" i="6"/>
  <c r="AC1013" i="6" s="1"/>
  <c r="AU1012" i="6"/>
  <c r="AC1012" i="6"/>
  <c r="AA1012" i="6"/>
  <c r="AF1012" i="6" s="1"/>
  <c r="Z1012" i="6"/>
  <c r="Y1012" i="6"/>
  <c r="AU1011" i="6"/>
  <c r="Z1011" i="6"/>
  <c r="AA1011" i="6" s="1"/>
  <c r="AF1011" i="6" s="1"/>
  <c r="Y1011" i="6"/>
  <c r="AC1011" i="6" s="1"/>
  <c r="AU1010" i="6"/>
  <c r="Z1010" i="6"/>
  <c r="Y1010" i="6"/>
  <c r="AC1010" i="6" s="1"/>
  <c r="AU1009" i="6"/>
  <c r="Z1009" i="6"/>
  <c r="Y1009" i="6"/>
  <c r="AC1009" i="6" s="1"/>
  <c r="AU1008" i="6"/>
  <c r="AC1008" i="6"/>
  <c r="AA1008" i="6"/>
  <c r="AF1008" i="6" s="1"/>
  <c r="Z1008" i="6"/>
  <c r="Y1008" i="6"/>
  <c r="Y1007" i="6"/>
  <c r="AA1007" i="6" s="1"/>
  <c r="AF1007" i="6" s="1"/>
  <c r="Z1006" i="6"/>
  <c r="AA1006" i="6" s="1"/>
  <c r="AF1006" i="6" s="1"/>
  <c r="Y1006" i="6"/>
  <c r="AA1005" i="6"/>
  <c r="AF1005" i="6" s="1"/>
  <c r="Z1005" i="6"/>
  <c r="Y1005" i="6"/>
  <c r="Z1004" i="6"/>
  <c r="AA1004" i="6" s="1"/>
  <c r="AF1004" i="6" s="1"/>
  <c r="Y1004" i="6"/>
  <c r="AU1003" i="6"/>
  <c r="Z1003" i="6"/>
  <c r="AA1003" i="6" s="1"/>
  <c r="AF1003" i="6" s="1"/>
  <c r="Y1003" i="6"/>
  <c r="AU1002" i="6"/>
  <c r="Z1002" i="6"/>
  <c r="Y1002" i="6"/>
  <c r="AA1002" i="6" s="1"/>
  <c r="AF1002" i="6" s="1"/>
  <c r="AU1001" i="6"/>
  <c r="Z1001" i="6"/>
  <c r="AA1001" i="6" s="1"/>
  <c r="AF1001" i="6" s="1"/>
  <c r="Y1001" i="6"/>
  <c r="AU1000" i="6"/>
  <c r="AA1000" i="6"/>
  <c r="AF1000" i="6" s="1"/>
  <c r="Z1000" i="6"/>
  <c r="Y1000" i="6"/>
  <c r="AU999" i="6"/>
  <c r="AA999" i="6"/>
  <c r="AF999" i="6" s="1"/>
  <c r="Z999" i="6"/>
  <c r="Y999" i="6"/>
  <c r="Z998" i="6"/>
  <c r="AA998" i="6" s="1"/>
  <c r="AF998" i="6" s="1"/>
  <c r="Y998" i="6"/>
  <c r="AU997" i="6"/>
  <c r="AF997" i="6"/>
  <c r="Z997" i="6"/>
  <c r="AA997" i="6" s="1"/>
  <c r="Y997" i="6"/>
  <c r="AA996" i="6"/>
  <c r="AE996" i="6" s="1"/>
  <c r="AF996" i="6" s="1"/>
  <c r="Z996" i="6"/>
  <c r="Y996" i="6"/>
  <c r="AC996" i="6" s="1"/>
  <c r="AC995" i="6"/>
  <c r="Z995" i="6"/>
  <c r="AA995" i="6" s="1"/>
  <c r="AF995" i="6" s="1"/>
  <c r="Y995" i="6"/>
  <c r="AA994" i="6"/>
  <c r="AF994" i="6" s="1"/>
  <c r="Y994" i="6"/>
  <c r="AA993" i="6"/>
  <c r="AF993" i="6" s="1"/>
  <c r="Z993" i="6"/>
  <c r="Y993" i="6"/>
  <c r="AC992" i="6"/>
  <c r="AA992" i="6"/>
  <c r="AF992" i="6" s="1"/>
  <c r="Z992" i="6"/>
  <c r="Y992" i="6"/>
  <c r="Z991" i="6"/>
  <c r="AA991" i="6" s="1"/>
  <c r="AF991" i="6" s="1"/>
  <c r="Y991" i="6"/>
  <c r="AC991" i="6" s="1"/>
  <c r="AF990" i="6"/>
  <c r="AA990" i="6"/>
  <c r="Z990" i="6"/>
  <c r="Y990" i="6"/>
  <c r="AC990" i="6" s="1"/>
  <c r="Z989" i="6"/>
  <c r="AA989" i="6" s="1"/>
  <c r="AF989" i="6" s="1"/>
  <c r="Y989" i="6"/>
  <c r="AC989" i="6" s="1"/>
  <c r="Y988" i="6"/>
  <c r="AC988" i="6" s="1"/>
  <c r="AF987" i="6"/>
  <c r="AE987" i="6"/>
  <c r="AA987" i="6"/>
  <c r="Y987" i="6"/>
  <c r="AC987" i="6" s="1"/>
  <c r="Y986" i="6"/>
  <c r="AC986" i="6" s="1"/>
  <c r="AC985" i="6"/>
  <c r="Y985" i="6"/>
  <c r="AA985" i="6" s="1"/>
  <c r="AE985" i="6" s="1"/>
  <c r="AF985" i="6" s="1"/>
  <c r="AE984" i="6"/>
  <c r="AF984" i="6" s="1"/>
  <c r="AC984" i="6"/>
  <c r="Y984" i="6"/>
  <c r="AA984" i="6" s="1"/>
  <c r="Y983" i="6"/>
  <c r="AC982" i="6"/>
  <c r="AA982" i="6"/>
  <c r="AE982" i="6" s="1"/>
  <c r="AF982" i="6" s="1"/>
  <c r="Y982" i="6"/>
  <c r="AC981" i="6"/>
  <c r="AA981" i="6"/>
  <c r="AE981" i="6" s="1"/>
  <c r="AF981" i="6" s="1"/>
  <c r="Y981" i="6"/>
  <c r="AF980" i="6"/>
  <c r="AE980" i="6"/>
  <c r="AC980" i="6"/>
  <c r="AA980" i="6"/>
  <c r="Y980" i="6"/>
  <c r="AF979" i="6"/>
  <c r="AE979" i="6"/>
  <c r="AA979" i="6"/>
  <c r="Y979" i="6"/>
  <c r="AC979" i="6" s="1"/>
  <c r="Y978" i="6"/>
  <c r="AC978" i="6" s="1"/>
  <c r="AC977" i="6"/>
  <c r="Z977" i="6"/>
  <c r="AA977" i="6" s="1"/>
  <c r="AF977" i="6" s="1"/>
  <c r="Y977" i="6"/>
  <c r="AC976" i="6"/>
  <c r="AA976" i="6"/>
  <c r="AF976" i="6" s="1"/>
  <c r="Z976" i="6"/>
  <c r="Y976" i="6"/>
  <c r="AA973" i="6"/>
  <c r="Z973" i="6"/>
  <c r="Y973" i="6"/>
  <c r="AA972" i="6"/>
  <c r="AF972" i="6" s="1"/>
  <c r="Y972" i="6"/>
  <c r="AC971" i="6"/>
  <c r="AA971" i="6"/>
  <c r="AF971" i="6" s="1"/>
  <c r="Z971" i="6"/>
  <c r="Y971" i="6"/>
  <c r="AU970" i="6"/>
  <c r="AA970" i="6"/>
  <c r="AF970" i="6" s="1"/>
  <c r="Z970" i="6"/>
  <c r="Y970" i="6"/>
  <c r="AU969" i="6"/>
  <c r="Z969" i="6"/>
  <c r="Y969" i="6"/>
  <c r="AC969" i="6" s="1"/>
  <c r="AU968" i="6"/>
  <c r="AC968" i="6"/>
  <c r="Z968" i="6"/>
  <c r="Y968" i="6"/>
  <c r="AA968" i="6" s="1"/>
  <c r="AF968" i="6" s="1"/>
  <c r="AU967" i="6"/>
  <c r="AF967" i="6"/>
  <c r="AA967" i="6"/>
  <c r="Z967" i="6"/>
  <c r="Y967" i="6"/>
  <c r="AC967" i="6" s="1"/>
  <c r="AU966" i="6"/>
  <c r="AC966" i="6"/>
  <c r="AA966" i="6"/>
  <c r="AF966" i="6" s="1"/>
  <c r="Z966" i="6"/>
  <c r="Y966" i="6"/>
  <c r="AU965" i="6"/>
  <c r="Z965" i="6"/>
  <c r="AA965" i="6" s="1"/>
  <c r="AF965" i="6" s="1"/>
  <c r="Y965" i="6"/>
  <c r="AC965" i="6" s="1"/>
  <c r="AU964" i="6"/>
  <c r="Z964" i="6"/>
  <c r="AA964" i="6" s="1"/>
  <c r="AF964" i="6" s="1"/>
  <c r="Y964" i="6"/>
  <c r="AC964" i="6" s="1"/>
  <c r="AU963" i="6"/>
  <c r="Z963" i="6"/>
  <c r="AA963" i="6" s="1"/>
  <c r="AF963" i="6" s="1"/>
  <c r="Y963" i="6"/>
  <c r="Z962" i="6"/>
  <c r="AA962" i="6" s="1"/>
  <c r="AF962" i="6" s="1"/>
  <c r="Y962" i="6"/>
  <c r="AC962" i="6" s="1"/>
  <c r="AU961" i="6"/>
  <c r="Z961" i="6"/>
  <c r="AA961" i="6" s="1"/>
  <c r="AF961" i="6" s="1"/>
  <c r="Y961" i="6"/>
  <c r="AC961" i="6" s="1"/>
  <c r="AU960" i="6"/>
  <c r="AF960" i="6"/>
  <c r="AA960" i="6"/>
  <c r="Z960" i="6"/>
  <c r="Y960" i="6"/>
  <c r="AC960" i="6" s="1"/>
  <c r="AU959" i="6"/>
  <c r="AC959" i="6"/>
  <c r="AA959" i="6"/>
  <c r="AF959" i="6" s="1"/>
  <c r="Z959" i="6"/>
  <c r="Y959" i="6"/>
  <c r="Y958" i="6"/>
  <c r="AA958" i="6" s="1"/>
  <c r="AF958" i="6" s="1"/>
  <c r="Z957" i="6"/>
  <c r="AA957" i="6" s="1"/>
  <c r="AF957" i="6" s="1"/>
  <c r="Y957" i="6"/>
  <c r="AU956" i="6"/>
  <c r="Z956" i="6"/>
  <c r="AA956" i="6" s="1"/>
  <c r="AF956" i="6" s="1"/>
  <c r="Y956" i="6"/>
  <c r="AC956" i="6" s="1"/>
  <c r="Z955" i="6"/>
  <c r="AA955" i="6" s="1"/>
  <c r="AF955" i="6" s="1"/>
  <c r="Y955" i="6"/>
  <c r="Z954" i="6"/>
  <c r="Y954" i="6"/>
  <c r="Z953" i="6"/>
  <c r="AA953" i="6" s="1"/>
  <c r="AF953" i="6" s="1"/>
  <c r="Y953" i="6"/>
  <c r="AU952" i="6"/>
  <c r="Z952" i="6"/>
  <c r="AA952" i="6" s="1"/>
  <c r="AF952" i="6" s="1"/>
  <c r="Y952" i="6"/>
  <c r="Z951" i="6"/>
  <c r="AA951" i="6" s="1"/>
  <c r="AF951" i="6" s="1"/>
  <c r="Y951" i="6"/>
  <c r="AC950" i="6"/>
  <c r="AA950" i="6"/>
  <c r="AE950" i="6" s="1"/>
  <c r="AF950" i="6" s="1"/>
  <c r="Z950" i="6"/>
  <c r="Y950" i="6"/>
  <c r="Z949" i="6"/>
  <c r="AA949" i="6" s="1"/>
  <c r="AE949" i="6" s="1"/>
  <c r="AF949" i="6" s="1"/>
  <c r="Y949" i="6"/>
  <c r="AC949" i="6" s="1"/>
  <c r="Z948" i="6"/>
  <c r="Y948" i="6"/>
  <c r="AC948" i="6" s="1"/>
  <c r="AF947" i="6"/>
  <c r="AC947" i="6"/>
  <c r="Z947" i="6"/>
  <c r="AA947" i="6" s="1"/>
  <c r="Y947" i="6"/>
  <c r="Z946" i="6"/>
  <c r="AA946" i="6" s="1"/>
  <c r="AF946" i="6" s="1"/>
  <c r="Y946" i="6"/>
  <c r="AC946" i="6" s="1"/>
  <c r="Z945" i="6"/>
  <c r="AA945" i="6" s="1"/>
  <c r="AF945" i="6" s="1"/>
  <c r="Y945" i="6"/>
  <c r="Z944" i="6"/>
  <c r="Y944" i="6"/>
  <c r="Z943" i="6"/>
  <c r="AA943" i="6" s="1"/>
  <c r="Y943" i="6"/>
  <c r="Z942" i="6"/>
  <c r="AA942" i="6" s="1"/>
  <c r="AF942" i="6" s="1"/>
  <c r="Y942" i="6"/>
  <c r="AC942" i="6" s="1"/>
  <c r="Z941" i="6"/>
  <c r="AA941" i="6" s="1"/>
  <c r="AF941" i="6" s="1"/>
  <c r="Y941" i="6"/>
  <c r="AC941" i="6" s="1"/>
  <c r="AC940" i="6"/>
  <c r="AA940" i="6"/>
  <c r="AF940" i="6" s="1"/>
  <c r="Z940" i="6"/>
  <c r="Y940" i="6"/>
  <c r="Y939" i="6"/>
  <c r="Y938" i="6"/>
  <c r="AC938" i="6" s="1"/>
  <c r="AC937" i="6"/>
  <c r="AA937" i="6"/>
  <c r="AE937" i="6" s="1"/>
  <c r="AF937" i="6" s="1"/>
  <c r="Y937" i="6"/>
  <c r="Y936" i="6"/>
  <c r="AC936" i="6" s="1"/>
  <c r="Y935" i="6"/>
  <c r="AC935" i="6" s="1"/>
  <c r="AA934" i="6"/>
  <c r="AE934" i="6" s="1"/>
  <c r="AF934" i="6" s="1"/>
  <c r="Y934" i="6"/>
  <c r="AC934" i="6" s="1"/>
  <c r="Z933" i="6"/>
  <c r="AA933" i="6" s="1"/>
  <c r="AE933" i="6" s="1"/>
  <c r="AF933" i="6" s="1"/>
  <c r="Y933" i="6"/>
  <c r="AC933" i="6" s="1"/>
  <c r="Z932" i="6"/>
  <c r="Y932" i="6"/>
  <c r="AC932" i="6" s="1"/>
  <c r="AC931" i="6"/>
  <c r="AA931" i="6"/>
  <c r="AE931" i="6" s="1"/>
  <c r="AF931" i="6" s="1"/>
  <c r="Z931" i="6"/>
  <c r="Y931" i="6"/>
  <c r="Z930" i="6"/>
  <c r="AA930" i="6" s="1"/>
  <c r="AE930" i="6" s="1"/>
  <c r="AF930" i="6" s="1"/>
  <c r="Y930" i="6"/>
  <c r="AC930" i="6" s="1"/>
  <c r="Z929" i="6"/>
  <c r="AA929" i="6" s="1"/>
  <c r="AE929" i="6" s="1"/>
  <c r="AF929" i="6" s="1"/>
  <c r="Y929" i="6"/>
  <c r="AC929" i="6" s="1"/>
  <c r="Z928" i="6"/>
  <c r="Y928" i="6"/>
  <c r="AC928" i="6" s="1"/>
  <c r="AC927" i="6"/>
  <c r="AA927" i="6"/>
  <c r="AE927" i="6" s="1"/>
  <c r="AF927" i="6" s="1"/>
  <c r="Z927" i="6"/>
  <c r="Y927" i="6"/>
  <c r="Z926" i="6"/>
  <c r="Y926" i="6"/>
  <c r="AC926" i="6" s="1"/>
  <c r="Z925" i="6"/>
  <c r="AA925" i="6" s="1"/>
  <c r="AE925" i="6" s="1"/>
  <c r="AF925" i="6" s="1"/>
  <c r="Y925" i="6"/>
  <c r="AC925" i="6" s="1"/>
  <c r="Z924" i="6"/>
  <c r="Y924" i="6"/>
  <c r="AC924" i="6" s="1"/>
  <c r="AC923" i="6"/>
  <c r="AA923" i="6"/>
  <c r="AE923" i="6" s="1"/>
  <c r="AF923" i="6" s="1"/>
  <c r="Z923" i="6"/>
  <c r="Y923" i="6"/>
  <c r="Z922" i="6"/>
  <c r="Y922" i="6"/>
  <c r="AC922" i="6" s="1"/>
  <c r="AF921" i="6"/>
  <c r="Z921" i="6"/>
  <c r="AA921" i="6" s="1"/>
  <c r="Y921" i="6"/>
  <c r="AC921" i="6" s="1"/>
  <c r="AA920" i="6"/>
  <c r="AF920" i="6" s="1"/>
  <c r="Z920" i="6"/>
  <c r="Y920" i="6"/>
  <c r="AC920" i="6" s="1"/>
  <c r="AU919" i="6"/>
  <c r="Z919" i="6"/>
  <c r="AA919" i="6" s="1"/>
  <c r="Z918" i="6"/>
  <c r="Y918" i="6"/>
  <c r="AU917" i="6"/>
  <c r="Z917" i="6"/>
  <c r="Y917" i="6"/>
  <c r="AC917" i="6" s="1"/>
  <c r="AU916" i="6"/>
  <c r="AF916" i="6"/>
  <c r="AC916" i="6"/>
  <c r="AA916" i="6"/>
  <c r="Z916" i="6"/>
  <c r="Y916" i="6"/>
  <c r="Z915" i="6"/>
  <c r="AA915" i="6" s="1"/>
  <c r="AF915" i="6" s="1"/>
  <c r="Y915" i="6"/>
  <c r="AU914" i="6"/>
  <c r="Z914" i="6"/>
  <c r="AA914" i="6" s="1"/>
  <c r="AF914" i="6" s="1"/>
  <c r="Y914" i="6"/>
  <c r="AC914" i="6" s="1"/>
  <c r="AU913" i="6"/>
  <c r="Z913" i="6"/>
  <c r="Y913" i="6"/>
  <c r="AC913" i="6" s="1"/>
  <c r="AA912" i="6"/>
  <c r="AF912" i="6" s="1"/>
  <c r="Z912" i="6"/>
  <c r="Y912" i="6"/>
  <c r="AC912" i="6" s="1"/>
  <c r="AU911" i="6"/>
  <c r="Z911" i="6"/>
  <c r="AA911" i="6" s="1"/>
  <c r="AF911" i="6" s="1"/>
  <c r="Y911" i="6"/>
  <c r="AC911" i="6" s="1"/>
  <c r="Y910" i="6"/>
  <c r="AA910" i="6" s="1"/>
  <c r="AF910" i="6" s="1"/>
  <c r="Z909" i="6"/>
  <c r="AA909" i="6" s="1"/>
  <c r="AF909" i="6" s="1"/>
  <c r="Y909" i="6"/>
  <c r="AC909" i="6" s="1"/>
  <c r="AU908" i="6"/>
  <c r="Z908" i="6"/>
  <c r="Y908" i="6"/>
  <c r="AA908" i="6" s="1"/>
  <c r="AF908" i="6" s="1"/>
  <c r="AU907" i="6"/>
  <c r="Z907" i="6"/>
  <c r="AA907" i="6" s="1"/>
  <c r="AF907" i="6" s="1"/>
  <c r="Y907" i="6"/>
  <c r="AU906" i="6"/>
  <c r="Z906" i="6"/>
  <c r="AA906" i="6" s="1"/>
  <c r="AF906" i="6" s="1"/>
  <c r="Y906" i="6"/>
  <c r="AU905" i="6"/>
  <c r="Z905" i="6"/>
  <c r="AA905" i="6" s="1"/>
  <c r="AF905" i="6" s="1"/>
  <c r="Y905" i="6"/>
  <c r="AC905" i="6" s="1"/>
  <c r="AU904" i="6"/>
  <c r="AC904" i="6"/>
  <c r="AA904" i="6"/>
  <c r="AF904" i="6" s="1"/>
  <c r="Z904" i="6"/>
  <c r="Y904" i="6"/>
  <c r="AU903" i="6"/>
  <c r="Z903" i="6"/>
  <c r="Y903" i="6"/>
  <c r="AU902" i="6"/>
  <c r="Z902" i="6"/>
  <c r="AA902" i="6" s="1"/>
  <c r="AF902" i="6" s="1"/>
  <c r="Y902" i="6"/>
  <c r="AU901" i="6"/>
  <c r="AC901" i="6"/>
  <c r="AA901" i="6"/>
  <c r="AF901" i="6" s="1"/>
  <c r="Z901" i="6"/>
  <c r="Y901" i="6"/>
  <c r="Y900" i="6"/>
  <c r="Y899" i="6"/>
  <c r="AU898" i="6"/>
  <c r="Z898" i="6"/>
  <c r="AA898" i="6" s="1"/>
  <c r="AF898" i="6" s="1"/>
  <c r="Y898" i="6"/>
  <c r="AA897" i="6"/>
  <c r="AF897" i="6" s="1"/>
  <c r="Z897" i="6"/>
  <c r="Y897" i="6"/>
  <c r="AC897" i="6" s="1"/>
  <c r="AC896" i="6"/>
  <c r="Z896" i="6"/>
  <c r="Y896" i="6"/>
  <c r="AA896" i="6" s="1"/>
  <c r="AF896" i="6" s="1"/>
  <c r="AU895" i="6"/>
  <c r="Z895" i="6"/>
  <c r="AA895" i="6" s="1"/>
  <c r="AF895" i="6" s="1"/>
  <c r="Y895" i="6"/>
  <c r="AC895" i="6" s="1"/>
  <c r="Z894" i="6"/>
  <c r="AA894" i="6" s="1"/>
  <c r="AF894" i="6" s="1"/>
  <c r="Y894" i="6"/>
  <c r="Z893" i="6"/>
  <c r="AA893" i="6" s="1"/>
  <c r="AF893" i="6" s="1"/>
  <c r="Y893" i="6"/>
  <c r="AU892" i="6"/>
  <c r="Z892" i="6"/>
  <c r="AA892" i="6" s="1"/>
  <c r="AF892" i="6" s="1"/>
  <c r="Y892" i="6"/>
  <c r="AC892" i="6" s="1"/>
  <c r="AF891" i="6"/>
  <c r="Z891" i="6"/>
  <c r="AA891" i="6" s="1"/>
  <c r="Y891" i="6"/>
  <c r="AC891" i="6" s="1"/>
  <c r="AA890" i="6"/>
  <c r="AF890" i="6" s="1"/>
  <c r="Z890" i="6"/>
  <c r="Y890" i="6"/>
  <c r="AC890" i="6" s="1"/>
  <c r="AU889" i="6"/>
  <c r="Z889" i="6"/>
  <c r="Y889" i="6"/>
  <c r="AU888" i="6"/>
  <c r="Z888" i="6"/>
  <c r="AA888" i="6" s="1"/>
  <c r="AF888" i="6" s="1"/>
  <c r="Y888" i="6"/>
  <c r="AC888" i="6" s="1"/>
  <c r="Z887" i="6"/>
  <c r="AA887" i="6" s="1"/>
  <c r="AF887" i="6" s="1"/>
  <c r="Y887" i="6"/>
  <c r="AU886" i="6"/>
  <c r="Z886" i="6"/>
  <c r="AA886" i="6" s="1"/>
  <c r="AF886" i="6" s="1"/>
  <c r="Y886" i="6"/>
  <c r="AC886" i="6" s="1"/>
  <c r="AU885" i="6"/>
  <c r="Z885" i="6"/>
  <c r="Y885" i="6"/>
  <c r="AA885" i="6" s="1"/>
  <c r="AF885" i="6" s="1"/>
  <c r="AU884" i="6"/>
  <c r="AA884" i="6"/>
  <c r="AF884" i="6" s="1"/>
  <c r="Z884" i="6"/>
  <c r="Y884" i="6"/>
  <c r="AU883" i="6"/>
  <c r="Z883" i="6"/>
  <c r="Y883" i="6"/>
  <c r="Z882" i="6"/>
  <c r="Y882" i="6"/>
  <c r="AA882" i="6" s="1"/>
  <c r="AF882" i="6" s="1"/>
  <c r="Z881" i="6"/>
  <c r="Y881" i="6"/>
  <c r="Z880" i="6"/>
  <c r="Y880" i="6"/>
  <c r="AA880" i="6" s="1"/>
  <c r="AF880" i="6" s="1"/>
  <c r="AU879" i="6"/>
  <c r="Z879" i="6"/>
  <c r="Y879" i="6"/>
  <c r="AU878" i="6"/>
  <c r="Z878" i="6"/>
  <c r="AA878" i="6" s="1"/>
  <c r="AF878" i="6" s="1"/>
  <c r="Y878" i="6"/>
  <c r="Z877" i="6"/>
  <c r="AA877" i="6" s="1"/>
  <c r="AF877" i="6" s="1"/>
  <c r="Y877" i="6"/>
  <c r="Y876" i="6"/>
  <c r="AA876" i="6" s="1"/>
  <c r="Z875" i="6"/>
  <c r="AA875" i="6" s="1"/>
  <c r="AF875" i="6" s="1"/>
  <c r="Y875" i="6"/>
  <c r="AC875" i="6" s="1"/>
  <c r="Z874" i="6"/>
  <c r="AA874" i="6" s="1"/>
  <c r="AF874" i="6" s="1"/>
  <c r="Y874" i="6"/>
  <c r="AC874" i="6" s="1"/>
  <c r="AC873" i="6"/>
  <c r="AA873" i="6"/>
  <c r="AF873" i="6" s="1"/>
  <c r="Z873" i="6"/>
  <c r="Y873" i="6"/>
  <c r="Z872" i="6"/>
  <c r="AA872" i="6" s="1"/>
  <c r="AF872" i="6" s="1"/>
  <c r="Y872" i="6"/>
  <c r="AC872" i="6" s="1"/>
  <c r="Z871" i="6"/>
  <c r="AA870" i="6"/>
  <c r="AF870" i="6" s="1"/>
  <c r="Z870" i="6"/>
  <c r="Y870" i="6"/>
  <c r="AC870" i="6" s="1"/>
  <c r="AC869" i="6"/>
  <c r="AA869" i="6"/>
  <c r="AF869" i="6" s="1"/>
  <c r="Z869" i="6"/>
  <c r="Y869" i="6"/>
  <c r="Z868" i="6"/>
  <c r="Y868" i="6"/>
  <c r="Z867" i="6"/>
  <c r="AA867" i="6" s="1"/>
  <c r="AF867" i="6" s="1"/>
  <c r="Y867" i="6"/>
  <c r="AC867" i="6" s="1"/>
  <c r="Z866" i="6"/>
  <c r="AA866" i="6" s="1"/>
  <c r="AF866" i="6" s="1"/>
  <c r="Y866" i="6"/>
  <c r="AC866" i="6" s="1"/>
  <c r="Z865" i="6"/>
  <c r="AA865" i="6" s="1"/>
  <c r="AF865" i="6" s="1"/>
  <c r="Y865" i="6"/>
  <c r="AC865" i="6" s="1"/>
  <c r="AU864" i="6"/>
  <c r="Z864" i="6"/>
  <c r="Y864" i="6"/>
  <c r="AC864" i="6" s="1"/>
  <c r="Z863" i="6"/>
  <c r="Y863" i="6"/>
  <c r="AA863" i="6" s="1"/>
  <c r="AA862" i="6"/>
  <c r="Z862" i="6"/>
  <c r="Y862" i="6"/>
  <c r="Z861" i="6"/>
  <c r="AA861" i="6" s="1"/>
  <c r="AF861" i="6" s="1"/>
  <c r="Y861" i="6"/>
  <c r="AU860" i="6"/>
  <c r="Z860" i="6"/>
  <c r="Y860" i="6"/>
  <c r="AC860" i="6" s="1"/>
  <c r="AA859" i="6"/>
  <c r="AF859" i="6" s="1"/>
  <c r="Z859" i="6"/>
  <c r="Y859" i="6"/>
  <c r="AC859" i="6" s="1"/>
  <c r="AU858" i="6"/>
  <c r="Z858" i="6"/>
  <c r="Y858" i="6"/>
  <c r="AU857" i="6"/>
  <c r="AA857" i="6"/>
  <c r="AF857" i="6" s="1"/>
  <c r="Z857" i="6"/>
  <c r="Y857" i="6"/>
  <c r="AC857" i="6" s="1"/>
  <c r="Z856" i="6"/>
  <c r="AA856" i="6" s="1"/>
  <c r="Y856" i="6"/>
  <c r="Z855" i="6"/>
  <c r="Y855" i="6"/>
  <c r="AA855" i="6" s="1"/>
  <c r="AU854" i="6"/>
  <c r="Z854" i="6"/>
  <c r="AA854" i="6" s="1"/>
  <c r="AF854" i="6" s="1"/>
  <c r="Y854" i="6"/>
  <c r="AU853" i="6"/>
  <c r="Z853" i="6"/>
  <c r="Y853" i="6"/>
  <c r="AA853" i="6" s="1"/>
  <c r="AF853" i="6" s="1"/>
  <c r="Z852" i="6"/>
  <c r="Y852" i="6"/>
  <c r="Z851" i="6"/>
  <c r="AA851" i="6" s="1"/>
  <c r="AF851" i="6" s="1"/>
  <c r="Y851" i="6"/>
  <c r="AA850" i="6"/>
  <c r="AF850" i="6" s="1"/>
  <c r="Z850" i="6"/>
  <c r="Y850" i="6"/>
  <c r="AC850" i="6" s="1"/>
  <c r="Z849" i="6"/>
  <c r="AA849" i="6" s="1"/>
  <c r="AF849" i="6" s="1"/>
  <c r="Y849" i="6"/>
  <c r="AC849" i="6" s="1"/>
  <c r="AF848" i="6"/>
  <c r="AC848" i="6"/>
  <c r="AA848" i="6"/>
  <c r="Z848" i="6"/>
  <c r="Y848" i="6"/>
  <c r="Z847" i="6"/>
  <c r="AA847" i="6" s="1"/>
  <c r="AF847" i="6" s="1"/>
  <c r="Y847" i="6"/>
  <c r="AC847" i="6" s="1"/>
  <c r="Z846" i="6"/>
  <c r="AA846" i="6" s="1"/>
  <c r="AF846" i="6" s="1"/>
  <c r="Y846" i="6"/>
  <c r="AC846" i="6" s="1"/>
  <c r="AE845" i="6"/>
  <c r="AF845" i="6" s="1"/>
  <c r="AC845" i="6"/>
  <c r="Z845" i="6"/>
  <c r="Y845" i="6"/>
  <c r="AA845" i="6" s="1"/>
  <c r="Y844" i="6"/>
  <c r="AC844" i="6" s="1"/>
  <c r="Y843" i="6"/>
  <c r="AC843" i="6" s="1"/>
  <c r="AA842" i="6"/>
  <c r="AE842" i="6" s="1"/>
  <c r="AF842" i="6" s="1"/>
  <c r="Y842" i="6"/>
  <c r="AC842" i="6" s="1"/>
  <c r="AC841" i="6"/>
  <c r="Y841" i="6"/>
  <c r="AA841" i="6" s="1"/>
  <c r="AE841" i="6" s="1"/>
  <c r="AF841" i="6" s="1"/>
  <c r="AE840" i="6"/>
  <c r="AF840" i="6" s="1"/>
  <c r="AC840" i="6"/>
  <c r="AA840" i="6"/>
  <c r="Y840" i="6"/>
  <c r="Y839" i="6"/>
  <c r="AA839" i="6" s="1"/>
  <c r="AE839" i="6" s="1"/>
  <c r="AF839" i="6" s="1"/>
  <c r="AA838" i="6"/>
  <c r="AE838" i="6" s="1"/>
  <c r="AF838" i="6" s="1"/>
  <c r="Z838" i="6"/>
  <c r="Y838" i="6"/>
  <c r="AC838" i="6" s="1"/>
  <c r="AC837" i="6"/>
  <c r="Y837" i="6"/>
  <c r="AA837" i="6" s="1"/>
  <c r="AE837" i="6" s="1"/>
  <c r="AF837" i="6" s="1"/>
  <c r="Y836" i="6"/>
  <c r="AA836" i="6" s="1"/>
  <c r="AE836" i="6" s="1"/>
  <c r="AF836" i="6" s="1"/>
  <c r="Y835" i="6"/>
  <c r="AC835" i="6" s="1"/>
  <c r="AA834" i="6"/>
  <c r="AE834" i="6" s="1"/>
  <c r="AF834" i="6" s="1"/>
  <c r="Y834" i="6"/>
  <c r="AC834" i="6" s="1"/>
  <c r="AC833" i="6"/>
  <c r="Y833" i="6"/>
  <c r="AA833" i="6" s="1"/>
  <c r="AE833" i="6" s="1"/>
  <c r="AF833" i="6" s="1"/>
  <c r="AC832" i="6"/>
  <c r="Y832" i="6"/>
  <c r="AA832" i="6" s="1"/>
  <c r="AE832" i="6" s="1"/>
  <c r="AF832" i="6" s="1"/>
  <c r="Y831" i="6"/>
  <c r="AA831" i="6" s="1"/>
  <c r="AE831" i="6" s="1"/>
  <c r="AF831" i="6" s="1"/>
  <c r="AA830" i="6"/>
  <c r="AE830" i="6" s="1"/>
  <c r="AF830" i="6" s="1"/>
  <c r="Y830" i="6"/>
  <c r="AC830" i="6" s="1"/>
  <c r="AU829" i="6"/>
  <c r="AC829" i="6"/>
  <c r="Z829" i="6"/>
  <c r="Y829" i="6"/>
  <c r="AA829" i="6" s="1"/>
  <c r="AF829" i="6" s="1"/>
  <c r="Z828" i="6"/>
  <c r="AA828" i="6" s="1"/>
  <c r="AF828" i="6" s="1"/>
  <c r="Y828" i="6"/>
  <c r="AC828" i="6" s="1"/>
  <c r="Z827" i="6"/>
  <c r="AA827" i="6" s="1"/>
  <c r="AF827" i="6" s="1"/>
  <c r="Y827" i="6"/>
  <c r="AC827" i="6" s="1"/>
  <c r="AU826" i="6"/>
  <c r="Z826" i="6"/>
  <c r="Y826" i="6"/>
  <c r="AC826" i="6" s="1"/>
  <c r="Z825" i="6"/>
  <c r="AA825" i="6" s="1"/>
  <c r="AF825" i="6" s="1"/>
  <c r="Y825" i="6"/>
  <c r="AC825" i="6" s="1"/>
  <c r="AU822" i="6"/>
  <c r="AA822" i="6"/>
  <c r="AF822" i="6" s="1"/>
  <c r="Z822" i="6"/>
  <c r="Y822" i="6"/>
  <c r="AC822" i="6" s="1"/>
  <c r="AU821" i="6"/>
  <c r="Z821" i="6"/>
  <c r="AA821" i="6" s="1"/>
  <c r="AF821" i="6" s="1"/>
  <c r="Y821" i="6"/>
  <c r="AC821" i="6" s="1"/>
  <c r="AU820" i="6"/>
  <c r="Z820" i="6"/>
  <c r="Y820" i="6"/>
  <c r="AC820" i="6" s="1"/>
  <c r="AU819" i="6"/>
  <c r="Z819" i="6"/>
  <c r="AA819" i="6" s="1"/>
  <c r="AF819" i="6" s="1"/>
  <c r="Y819" i="6"/>
  <c r="AC819" i="6" s="1"/>
  <c r="AU818" i="6"/>
  <c r="AA818" i="6"/>
  <c r="AF818" i="6" s="1"/>
  <c r="Z818" i="6"/>
  <c r="Y818" i="6"/>
  <c r="AC818" i="6" s="1"/>
  <c r="Z817" i="6"/>
  <c r="AA817" i="6" s="1"/>
  <c r="AF817" i="6" s="1"/>
  <c r="Y817" i="6"/>
  <c r="AC817" i="6" s="1"/>
  <c r="Z816" i="6"/>
  <c r="AA816" i="6" s="1"/>
  <c r="AF816" i="6" s="1"/>
  <c r="Y816" i="6"/>
  <c r="AC816" i="6" s="1"/>
  <c r="AU815" i="6"/>
  <c r="AA815" i="6"/>
  <c r="AF815" i="6" s="1"/>
  <c r="Z815" i="6"/>
  <c r="Y815" i="6"/>
  <c r="AC815" i="6" s="1"/>
  <c r="AU814" i="6"/>
  <c r="Z814" i="6"/>
  <c r="Y814" i="6"/>
  <c r="AC814" i="6" s="1"/>
  <c r="AC813" i="6"/>
  <c r="Z813" i="6"/>
  <c r="AA813" i="6" s="1"/>
  <c r="AF813" i="6" s="1"/>
  <c r="Y813" i="6"/>
  <c r="AU812" i="6"/>
  <c r="AC812" i="6"/>
  <c r="Z812" i="6"/>
  <c r="AA812" i="6" s="1"/>
  <c r="AF812" i="6" s="1"/>
  <c r="Y812" i="6"/>
  <c r="AU811" i="6"/>
  <c r="Z811" i="6"/>
  <c r="Y811" i="6"/>
  <c r="AA811" i="6" s="1"/>
  <c r="AF811" i="6" s="1"/>
  <c r="AC810" i="6"/>
  <c r="Z810" i="6"/>
  <c r="AA810" i="6" s="1"/>
  <c r="AF810" i="6" s="1"/>
  <c r="Y810" i="6"/>
  <c r="AA809" i="6"/>
  <c r="AF809" i="6" s="1"/>
  <c r="Z809" i="6"/>
  <c r="Y809" i="6"/>
  <c r="AC809" i="6" s="1"/>
  <c r="Z808" i="6"/>
  <c r="AA808" i="6" s="1"/>
  <c r="AF808" i="6" s="1"/>
  <c r="Y808" i="6"/>
  <c r="AC808" i="6" s="1"/>
  <c r="AU807" i="6"/>
  <c r="Z807" i="6"/>
  <c r="AA807" i="6" s="1"/>
  <c r="AF807" i="6" s="1"/>
  <c r="Y807" i="6"/>
  <c r="AU806" i="6"/>
  <c r="Z806" i="6"/>
  <c r="AA806" i="6" s="1"/>
  <c r="AF806" i="6" s="1"/>
  <c r="Y806" i="6"/>
  <c r="Z805" i="6"/>
  <c r="AA805" i="6" s="1"/>
  <c r="AF805" i="6" s="1"/>
  <c r="Y805" i="6"/>
  <c r="AU804" i="6"/>
  <c r="AA804" i="6"/>
  <c r="AF804" i="6" s="1"/>
  <c r="Z804" i="6"/>
  <c r="Y804" i="6"/>
  <c r="Z803" i="6"/>
  <c r="AA803" i="6" s="1"/>
  <c r="AF803" i="6" s="1"/>
  <c r="Y803" i="6"/>
  <c r="AC803" i="6" s="1"/>
  <c r="AU802" i="6"/>
  <c r="Y802" i="6"/>
  <c r="AA802" i="6" s="1"/>
  <c r="AF802" i="6" s="1"/>
  <c r="AU801" i="6"/>
  <c r="AC801" i="6"/>
  <c r="Z801" i="6"/>
  <c r="AA801" i="6" s="1"/>
  <c r="AF801" i="6" s="1"/>
  <c r="Y801" i="6"/>
  <c r="AU800" i="6"/>
  <c r="Z800" i="6"/>
  <c r="AA800" i="6" s="1"/>
  <c r="AF800" i="6" s="1"/>
  <c r="Y800" i="6"/>
  <c r="AC800" i="6" s="1"/>
  <c r="AU799" i="6"/>
  <c r="AA799" i="6"/>
  <c r="AF799" i="6" s="1"/>
  <c r="Z799" i="6"/>
  <c r="Y799" i="6"/>
  <c r="AC799" i="6" s="1"/>
  <c r="AU798" i="6"/>
  <c r="AA798" i="6"/>
  <c r="AF798" i="6" s="1"/>
  <c r="Z798" i="6"/>
  <c r="Y798" i="6"/>
  <c r="AU797" i="6"/>
  <c r="Z797" i="6"/>
  <c r="AA797" i="6" s="1"/>
  <c r="AF797" i="6" s="1"/>
  <c r="Y797" i="6"/>
  <c r="AU796" i="6"/>
  <c r="Z796" i="6"/>
  <c r="AA796" i="6" s="1"/>
  <c r="AF796" i="6" s="1"/>
  <c r="Y796" i="6"/>
  <c r="Y795" i="6"/>
  <c r="Y794" i="6"/>
  <c r="Y793" i="6"/>
  <c r="AU792" i="6"/>
  <c r="Z792" i="6"/>
  <c r="AA792" i="6" s="1"/>
  <c r="AF792" i="6" s="1"/>
  <c r="Y792" i="6"/>
  <c r="AU791" i="6"/>
  <c r="AA791" i="6"/>
  <c r="AF791" i="6" s="1"/>
  <c r="Z791" i="6"/>
  <c r="Y791" i="6"/>
  <c r="AC791" i="6" s="1"/>
  <c r="AU790" i="6"/>
  <c r="Z790" i="6"/>
  <c r="AA790" i="6" s="1"/>
  <c r="AF790" i="6" s="1"/>
  <c r="Y790" i="6"/>
  <c r="AC790" i="6" s="1"/>
  <c r="AU789" i="6"/>
  <c r="Z789" i="6"/>
  <c r="Y789" i="6"/>
  <c r="AC789" i="6" s="1"/>
  <c r="AA788" i="6"/>
  <c r="AF788" i="6" s="1"/>
  <c r="Z788" i="6"/>
  <c r="Y788" i="6"/>
  <c r="Z787" i="6"/>
  <c r="Y787" i="6"/>
  <c r="AA787" i="6" s="1"/>
  <c r="AF787" i="6" s="1"/>
  <c r="AU786" i="6"/>
  <c r="Z786" i="6"/>
  <c r="AA786" i="6" s="1"/>
  <c r="AF786" i="6" s="1"/>
  <c r="Y786" i="6"/>
  <c r="AC786" i="6" s="1"/>
  <c r="AU785" i="6"/>
  <c r="AC785" i="6"/>
  <c r="AA785" i="6"/>
  <c r="AF785" i="6" s="1"/>
  <c r="Z785" i="6"/>
  <c r="Y785" i="6"/>
  <c r="AU784" i="6"/>
  <c r="Z784" i="6"/>
  <c r="AA784" i="6" s="1"/>
  <c r="AF784" i="6" s="1"/>
  <c r="Y784" i="6"/>
  <c r="AC784" i="6" s="1"/>
  <c r="AU783" i="6"/>
  <c r="AC783" i="6"/>
  <c r="Z783" i="6"/>
  <c r="Y783" i="6"/>
  <c r="AA783" i="6" s="1"/>
  <c r="AF783" i="6" s="1"/>
  <c r="Z782" i="6"/>
  <c r="X782" i="6"/>
  <c r="Y782" i="6" s="1"/>
  <c r="AA782" i="6" s="1"/>
  <c r="AF782" i="6" s="1"/>
  <c r="Z781" i="6"/>
  <c r="AA781" i="6" s="1"/>
  <c r="AF781" i="6" s="1"/>
  <c r="Y781" i="6"/>
  <c r="Z780" i="6"/>
  <c r="AA780" i="6" s="1"/>
  <c r="AF780" i="6" s="1"/>
  <c r="Y780" i="6"/>
  <c r="AC780" i="6" s="1"/>
  <c r="Z779" i="6"/>
  <c r="AA779" i="6" s="1"/>
  <c r="AF779" i="6" s="1"/>
  <c r="Y779" i="6"/>
  <c r="AC779" i="6" s="1"/>
  <c r="Z778" i="6"/>
  <c r="Y778" i="6"/>
  <c r="AC778" i="6" s="1"/>
  <c r="AA777" i="6"/>
  <c r="AF777" i="6" s="1"/>
  <c r="Z777" i="6"/>
  <c r="Y777" i="6"/>
  <c r="AU776" i="6"/>
  <c r="Z776" i="6"/>
  <c r="AA776" i="6" s="1"/>
  <c r="AF776" i="6" s="1"/>
  <c r="Y776" i="6"/>
  <c r="AU775" i="6"/>
  <c r="AC775" i="6"/>
  <c r="Z775" i="6"/>
  <c r="AA775" i="6" s="1"/>
  <c r="AF775" i="6" s="1"/>
  <c r="Y775" i="6"/>
  <c r="Z774" i="6"/>
  <c r="AA774" i="6" s="1"/>
  <c r="AF774" i="6" s="1"/>
  <c r="Y774" i="6"/>
  <c r="Z773" i="6"/>
  <c r="Y773" i="6"/>
  <c r="AC773" i="6" s="1"/>
  <c r="AC772" i="6"/>
  <c r="Z772" i="6"/>
  <c r="AA772" i="6" s="1"/>
  <c r="AF772" i="6" s="1"/>
  <c r="Y772" i="6"/>
  <c r="AU771" i="6"/>
  <c r="Z771" i="6"/>
  <c r="AA771" i="6" s="1"/>
  <c r="AF771" i="6" s="1"/>
  <c r="Y771" i="6"/>
  <c r="AU770" i="6"/>
  <c r="AA770" i="6"/>
  <c r="AF770" i="6" s="1"/>
  <c r="Z770" i="6"/>
  <c r="Y770" i="6"/>
  <c r="Z769" i="6"/>
  <c r="AA769" i="6" s="1"/>
  <c r="AF769" i="6" s="1"/>
  <c r="Y769" i="6"/>
  <c r="AU768" i="6"/>
  <c r="Z768" i="6"/>
  <c r="Y768" i="6"/>
  <c r="AC768" i="6" s="1"/>
  <c r="Z767" i="6"/>
  <c r="AA767" i="6" s="1"/>
  <c r="AF767" i="6" s="1"/>
  <c r="Y767" i="6"/>
  <c r="AC767" i="6" s="1"/>
  <c r="AU846" i="7"/>
  <c r="Z846" i="7"/>
  <c r="AA846" i="7" s="1"/>
  <c r="AF846" i="7" s="1"/>
  <c r="Y846" i="7"/>
  <c r="AC846" i="7" s="1"/>
  <c r="AU845" i="7"/>
  <c r="Z845" i="7"/>
  <c r="AA845" i="7" s="1"/>
  <c r="AF845" i="7" s="1"/>
  <c r="Y845" i="7"/>
  <c r="AC845" i="7" s="1"/>
  <c r="AU844" i="7"/>
  <c r="AC844" i="7"/>
  <c r="AA844" i="7"/>
  <c r="AF844" i="7" s="1"/>
  <c r="Z844" i="7"/>
  <c r="Y844" i="7"/>
  <c r="AU843" i="7"/>
  <c r="Z843" i="7"/>
  <c r="Y843" i="7"/>
  <c r="AC843" i="7" s="1"/>
  <c r="AU842" i="7"/>
  <c r="Z842" i="7"/>
  <c r="AA842" i="7" s="1"/>
  <c r="AF842" i="7" s="1"/>
  <c r="Y842" i="7"/>
  <c r="AC842" i="7" s="1"/>
  <c r="AU841" i="7"/>
  <c r="Z841" i="7"/>
  <c r="AA841" i="7" s="1"/>
  <c r="AF841" i="7" s="1"/>
  <c r="Y841" i="7"/>
  <c r="AC841" i="7" s="1"/>
  <c r="AU840" i="7"/>
  <c r="AC840" i="7"/>
  <c r="AA840" i="7"/>
  <c r="AF840" i="7" s="1"/>
  <c r="Z840" i="7"/>
  <c r="Y840" i="7"/>
  <c r="AU839" i="7"/>
  <c r="Z839" i="7"/>
  <c r="Y839" i="7"/>
  <c r="AC839" i="7" s="1"/>
  <c r="AU838" i="7"/>
  <c r="Z838" i="7"/>
  <c r="AA838" i="7" s="1"/>
  <c r="AF838" i="7" s="1"/>
  <c r="Y838" i="7"/>
  <c r="AC838" i="7" s="1"/>
  <c r="AF837" i="7"/>
  <c r="AC837" i="7"/>
  <c r="Z837" i="7"/>
  <c r="AA837" i="7" s="1"/>
  <c r="Y837" i="7"/>
  <c r="AU836" i="7"/>
  <c r="Z836" i="7"/>
  <c r="Y836" i="7"/>
  <c r="AU835" i="7"/>
  <c r="Z835" i="7"/>
  <c r="AA835" i="7" s="1"/>
  <c r="AF835" i="7" s="1"/>
  <c r="Y835" i="7"/>
  <c r="AU834" i="7"/>
  <c r="AA834" i="7"/>
  <c r="AF834" i="7" s="1"/>
  <c r="Z834" i="7"/>
  <c r="Y834" i="7"/>
  <c r="AU833" i="7"/>
  <c r="Z833" i="7"/>
  <c r="Y833" i="7"/>
  <c r="AA833" i="7" s="1"/>
  <c r="AF833" i="7" s="1"/>
  <c r="AU832" i="7"/>
  <c r="Z832" i="7"/>
  <c r="AA832" i="7" s="1"/>
  <c r="AF832" i="7" s="1"/>
  <c r="Y832" i="7"/>
  <c r="AC832" i="7" s="1"/>
  <c r="AU831" i="7"/>
  <c r="AF831" i="7"/>
  <c r="AC831" i="7"/>
  <c r="Z831" i="7"/>
  <c r="AA831" i="7" s="1"/>
  <c r="Y831" i="7"/>
  <c r="AU830" i="7"/>
  <c r="Z830" i="7"/>
  <c r="AA830" i="7" s="1"/>
  <c r="AF830" i="7" s="1"/>
  <c r="Y830" i="7"/>
  <c r="AC830" i="7" s="1"/>
  <c r="AU829" i="7"/>
  <c r="Z829" i="7"/>
  <c r="Y829" i="7"/>
  <c r="AU828" i="7"/>
  <c r="Z828" i="7"/>
  <c r="AA828" i="7" s="1"/>
  <c r="AF828" i="7" s="1"/>
  <c r="Y828" i="7"/>
  <c r="AC828" i="7" s="1"/>
  <c r="AU827" i="7"/>
  <c r="AF827" i="7"/>
  <c r="AC827" i="7"/>
  <c r="Z827" i="7"/>
  <c r="AA827" i="7" s="1"/>
  <c r="Y827" i="7"/>
  <c r="AU826" i="7"/>
  <c r="Z826" i="7"/>
  <c r="AA826" i="7" s="1"/>
  <c r="AF826" i="7" s="1"/>
  <c r="Y826" i="7"/>
  <c r="AC826" i="7" s="1"/>
  <c r="AU825" i="7"/>
  <c r="Z825" i="7"/>
  <c r="Y825" i="7"/>
  <c r="AF824" i="7"/>
  <c r="Z824" i="7"/>
  <c r="AA824" i="7" s="1"/>
  <c r="Y824" i="7"/>
  <c r="Z823" i="7"/>
  <c r="Y823" i="7"/>
  <c r="AA823" i="7" s="1"/>
  <c r="AF823" i="7" s="1"/>
  <c r="AU822" i="7"/>
  <c r="Z822" i="7"/>
  <c r="AA822" i="7" s="1"/>
  <c r="AF822" i="7" s="1"/>
  <c r="Y822" i="7"/>
  <c r="AC822" i="7" s="1"/>
  <c r="AU821" i="7"/>
  <c r="AC821" i="7"/>
  <c r="Z821" i="7"/>
  <c r="AA821" i="7" s="1"/>
  <c r="AF821" i="7" s="1"/>
  <c r="Y821" i="7"/>
  <c r="AU820" i="7"/>
  <c r="AA820" i="7"/>
  <c r="AF820" i="7" s="1"/>
  <c r="Z820" i="7"/>
  <c r="Y820" i="7"/>
  <c r="AC820" i="7" s="1"/>
  <c r="AU819" i="7"/>
  <c r="Z819" i="7"/>
  <c r="Y819" i="7"/>
  <c r="AU818" i="7"/>
  <c r="Z818" i="7"/>
  <c r="AA818" i="7" s="1"/>
  <c r="AF818" i="7" s="1"/>
  <c r="Y818" i="7"/>
  <c r="AC818" i="7" s="1"/>
  <c r="AU817" i="7"/>
  <c r="AC817" i="7"/>
  <c r="Z817" i="7"/>
  <c r="Y817" i="7"/>
  <c r="AA817" i="7" s="1"/>
  <c r="AF817" i="7" s="1"/>
  <c r="AU816" i="7"/>
  <c r="Z816" i="7"/>
  <c r="AA816" i="7" s="1"/>
  <c r="AF816" i="7" s="1"/>
  <c r="Y816" i="7"/>
  <c r="AC816" i="7" s="1"/>
  <c r="AU815" i="7"/>
  <c r="Z815" i="7"/>
  <c r="Y815" i="7"/>
  <c r="AU814" i="7"/>
  <c r="Z814" i="7"/>
  <c r="AA814" i="7" s="1"/>
  <c r="AF814" i="7" s="1"/>
  <c r="Y814" i="7"/>
  <c r="AC814" i="7" s="1"/>
  <c r="AU813" i="7"/>
  <c r="AF813" i="7"/>
  <c r="AC813" i="7"/>
  <c r="Z813" i="7"/>
  <c r="AA813" i="7" s="1"/>
  <c r="Y813" i="7"/>
  <c r="AU812" i="7"/>
  <c r="Z812" i="7"/>
  <c r="AA812" i="7" s="1"/>
  <c r="AF812" i="7" s="1"/>
  <c r="Y812" i="7"/>
  <c r="AC812" i="7" s="1"/>
  <c r="AU811" i="7"/>
  <c r="Z811" i="7"/>
  <c r="Y811" i="7"/>
  <c r="AU810" i="7"/>
  <c r="Z810" i="7"/>
  <c r="Y810" i="7"/>
  <c r="AC810" i="7" s="1"/>
  <c r="AU809" i="7"/>
  <c r="AF809" i="7"/>
  <c r="AC809" i="7"/>
  <c r="Z809" i="7"/>
  <c r="AA809" i="7" s="1"/>
  <c r="Y809" i="7"/>
  <c r="AU808" i="7"/>
  <c r="AC808" i="7"/>
  <c r="AA808" i="7"/>
  <c r="AE808" i="7" s="1"/>
  <c r="AF808" i="7" s="1"/>
  <c r="Z808" i="7"/>
  <c r="Y808" i="7"/>
  <c r="AU807" i="7"/>
  <c r="AA807" i="7"/>
  <c r="AE807" i="7" s="1"/>
  <c r="AF807" i="7" s="1"/>
  <c r="Z807" i="7"/>
  <c r="Y807" i="7"/>
  <c r="AC807" i="7" s="1"/>
  <c r="AU806" i="7"/>
  <c r="Z806" i="7"/>
  <c r="Y806" i="7"/>
  <c r="AC806" i="7" s="1"/>
  <c r="AU805" i="7"/>
  <c r="Z805" i="7"/>
  <c r="Y805" i="7"/>
  <c r="AA805" i="7" s="1"/>
  <c r="AF805" i="7" s="1"/>
  <c r="AU804" i="7"/>
  <c r="AA804" i="7"/>
  <c r="AF804" i="7" s="1"/>
  <c r="Z804" i="7"/>
  <c r="Y804" i="7"/>
  <c r="AU803" i="7"/>
  <c r="Z803" i="7"/>
  <c r="Y803" i="7"/>
  <c r="AA803" i="7" s="1"/>
  <c r="AF803" i="7" s="1"/>
  <c r="AU802" i="7"/>
  <c r="AA802" i="7"/>
  <c r="AF802" i="7" s="1"/>
  <c r="Z802" i="7"/>
  <c r="Y802" i="7"/>
  <c r="AU801" i="7"/>
  <c r="AA801" i="7"/>
  <c r="AF801" i="7" s="1"/>
  <c r="Z801" i="7"/>
  <c r="Y801" i="7"/>
  <c r="AU800" i="7"/>
  <c r="Z800" i="7"/>
  <c r="AA800" i="7" s="1"/>
  <c r="AF800" i="7" s="1"/>
  <c r="Y800" i="7"/>
  <c r="AU799" i="7"/>
  <c r="Z799" i="7"/>
  <c r="AA799" i="7" s="1"/>
  <c r="AF799" i="7" s="1"/>
  <c r="Y799" i="7"/>
  <c r="AU798" i="7"/>
  <c r="Z798" i="7"/>
  <c r="AA798" i="7" s="1"/>
  <c r="AF798" i="7" s="1"/>
  <c r="Y798" i="7"/>
  <c r="AU797" i="7"/>
  <c r="Z797" i="7"/>
  <c r="Y797" i="7"/>
  <c r="AA797" i="7" s="1"/>
  <c r="AF797" i="7" s="1"/>
  <c r="AU796" i="7"/>
  <c r="AA796" i="7"/>
  <c r="AF796" i="7" s="1"/>
  <c r="Z796" i="7"/>
  <c r="Y796" i="7"/>
  <c r="AU795" i="7"/>
  <c r="Z795" i="7"/>
  <c r="Y795" i="7"/>
  <c r="AA795" i="7" s="1"/>
  <c r="AF795" i="7" s="1"/>
  <c r="AU794" i="7"/>
  <c r="Z794" i="7"/>
  <c r="AA794" i="7" s="1"/>
  <c r="AF794" i="7" s="1"/>
  <c r="Y794" i="7"/>
  <c r="AU793" i="7"/>
  <c r="Z793" i="7"/>
  <c r="AA793" i="7" s="1"/>
  <c r="AF793" i="7" s="1"/>
  <c r="Y793" i="7"/>
  <c r="AU792" i="7"/>
  <c r="Z792" i="7"/>
  <c r="AA792" i="7" s="1"/>
  <c r="AF792" i="7" s="1"/>
  <c r="Y792" i="7"/>
  <c r="AU791" i="7"/>
  <c r="AF791" i="7"/>
  <c r="Z791" i="7"/>
  <c r="AA791" i="7" s="1"/>
  <c r="Y791" i="7"/>
  <c r="AU790" i="7"/>
  <c r="Z790" i="7"/>
  <c r="AA790" i="7" s="1"/>
  <c r="AF790" i="7" s="1"/>
  <c r="Y790" i="7"/>
  <c r="AC790" i="7" s="1"/>
  <c r="AU789" i="7"/>
  <c r="Z789" i="7"/>
  <c r="AA789" i="7" s="1"/>
  <c r="AF789" i="7" s="1"/>
  <c r="Y789" i="7"/>
  <c r="AC789" i="7" s="1"/>
  <c r="AU788" i="7"/>
  <c r="Z788" i="7"/>
  <c r="AA788" i="7" s="1"/>
  <c r="AF788" i="7" s="1"/>
  <c r="Y788" i="7"/>
  <c r="AC788" i="7" s="1"/>
  <c r="AU787" i="7"/>
  <c r="AC787" i="7"/>
  <c r="Z787" i="7"/>
  <c r="AA787" i="7" s="1"/>
  <c r="AF787" i="7" s="1"/>
  <c r="Y787" i="7"/>
  <c r="AU786" i="7"/>
  <c r="Z786" i="7"/>
  <c r="AA786" i="7" s="1"/>
  <c r="AF786" i="7" s="1"/>
  <c r="Y786" i="7"/>
  <c r="AC786" i="7" s="1"/>
  <c r="AU785" i="7"/>
  <c r="Z785" i="7"/>
  <c r="Y785" i="7"/>
  <c r="AC785" i="7" s="1"/>
  <c r="AU784" i="7"/>
  <c r="Z784" i="7"/>
  <c r="Y784" i="7"/>
  <c r="AC784" i="7" s="1"/>
  <c r="AU783" i="7"/>
  <c r="AF783" i="7"/>
  <c r="AC783" i="7"/>
  <c r="Z783" i="7"/>
  <c r="AA783" i="7" s="1"/>
  <c r="Y783" i="7"/>
  <c r="AU782" i="7"/>
  <c r="Z782" i="7"/>
  <c r="AA782" i="7" s="1"/>
  <c r="AF782" i="7" s="1"/>
  <c r="Y782" i="7"/>
  <c r="AC782" i="7" s="1"/>
  <c r="AU781" i="7"/>
  <c r="Z781" i="7"/>
  <c r="Y781" i="7"/>
  <c r="AU780" i="7"/>
  <c r="Z780" i="7"/>
  <c r="AA780" i="7" s="1"/>
  <c r="AF780" i="7" s="1"/>
  <c r="Y780" i="7"/>
  <c r="AC780" i="7" s="1"/>
  <c r="AU779" i="7"/>
  <c r="AF779" i="7"/>
  <c r="AC779" i="7"/>
  <c r="Z779" i="7"/>
  <c r="AA779" i="7" s="1"/>
  <c r="Y779" i="7"/>
  <c r="AU778" i="7"/>
  <c r="Z778" i="7"/>
  <c r="AA778" i="7" s="1"/>
  <c r="AF778" i="7" s="1"/>
  <c r="Y778" i="7"/>
  <c r="AC778" i="7" s="1"/>
  <c r="AU777" i="7"/>
  <c r="Z777" i="7"/>
  <c r="Y777" i="7"/>
  <c r="AU776" i="7"/>
  <c r="Z776" i="7"/>
  <c r="AA776" i="7" s="1"/>
  <c r="AF776" i="7" s="1"/>
  <c r="Y776" i="7"/>
  <c r="AC776" i="7" s="1"/>
  <c r="AU775" i="7"/>
  <c r="AC775" i="7"/>
  <c r="Z775" i="7"/>
  <c r="AA775" i="7" s="1"/>
  <c r="AF775" i="7" s="1"/>
  <c r="Y775" i="7"/>
  <c r="AU774" i="7"/>
  <c r="AA774" i="7"/>
  <c r="AF774" i="7" s="1"/>
  <c r="Z774" i="7"/>
  <c r="Y774" i="7"/>
  <c r="AC774" i="7" s="1"/>
  <c r="AU773" i="7"/>
  <c r="Z773" i="7"/>
  <c r="Y773" i="7"/>
  <c r="AU772" i="7"/>
  <c r="Z772" i="7"/>
  <c r="AA772" i="7" s="1"/>
  <c r="AF772" i="7" s="1"/>
  <c r="Y772" i="7"/>
  <c r="AC772" i="7" s="1"/>
  <c r="AU771" i="7"/>
  <c r="AC771" i="7"/>
  <c r="Z771" i="7"/>
  <c r="Y771" i="7"/>
  <c r="AA771" i="7" s="1"/>
  <c r="AF771" i="7" s="1"/>
  <c r="AU770" i="7"/>
  <c r="Z770" i="7"/>
  <c r="AA770" i="7" s="1"/>
  <c r="AF770" i="7" s="1"/>
  <c r="Y770" i="7"/>
  <c r="AC770" i="7" s="1"/>
  <c r="AU769" i="7"/>
  <c r="Z769" i="7"/>
  <c r="Y769" i="7"/>
  <c r="AU768" i="7"/>
  <c r="Z768" i="7"/>
  <c r="AA768" i="7" s="1"/>
  <c r="AF768" i="7" s="1"/>
  <c r="Y768" i="7"/>
  <c r="AC768" i="7" s="1"/>
  <c r="AU767" i="7"/>
  <c r="AA767" i="7"/>
  <c r="AF767" i="7" s="1"/>
  <c r="Z767" i="7"/>
  <c r="Y767" i="7"/>
  <c r="AU766" i="7"/>
  <c r="Z766" i="7"/>
  <c r="Y766" i="7"/>
  <c r="AA766" i="7" s="1"/>
  <c r="AF766" i="7" s="1"/>
  <c r="AU765" i="7"/>
  <c r="Z765" i="7"/>
  <c r="AA765" i="7" s="1"/>
  <c r="AF765" i="7" s="1"/>
  <c r="Y765" i="7"/>
  <c r="AU764" i="7"/>
  <c r="Z764" i="7"/>
  <c r="AA764" i="7" s="1"/>
  <c r="AF764" i="7" s="1"/>
  <c r="Y764" i="7"/>
  <c r="AU763" i="7"/>
  <c r="AA763" i="7"/>
  <c r="AF763" i="7" s="1"/>
  <c r="Z763" i="7"/>
  <c r="Y763" i="7"/>
  <c r="AU762" i="7"/>
  <c r="Z762" i="7"/>
  <c r="AA762" i="7" s="1"/>
  <c r="AF762" i="7" s="1"/>
  <c r="Y762" i="7"/>
  <c r="AU761" i="7"/>
  <c r="Z761" i="7"/>
  <c r="AA761" i="7" s="1"/>
  <c r="AF761" i="7" s="1"/>
  <c r="Y761" i="7"/>
  <c r="AU760" i="7"/>
  <c r="Z760" i="7"/>
  <c r="AA760" i="7" s="1"/>
  <c r="AF760" i="7" s="1"/>
  <c r="Y760" i="7"/>
  <c r="AU759" i="7"/>
  <c r="AC759" i="7"/>
  <c r="Z759" i="7"/>
  <c r="AA759" i="7" s="1"/>
  <c r="AF759" i="7" s="1"/>
  <c r="Y759" i="7"/>
  <c r="AU758" i="7"/>
  <c r="Z758" i="7"/>
  <c r="AA758" i="7" s="1"/>
  <c r="AF758" i="7" s="1"/>
  <c r="Y758" i="7"/>
  <c r="AC758" i="7" s="1"/>
  <c r="AU757" i="7"/>
  <c r="Z757" i="7"/>
  <c r="Y757" i="7"/>
  <c r="AU756" i="7"/>
  <c r="Z756" i="7"/>
  <c r="AA756" i="7" s="1"/>
  <c r="AF756" i="7" s="1"/>
  <c r="Y756" i="7"/>
  <c r="AC756" i="7" s="1"/>
  <c r="AU755" i="7"/>
  <c r="AF755" i="7"/>
  <c r="AC755" i="7"/>
  <c r="Z755" i="7"/>
  <c r="AA755" i="7" s="1"/>
  <c r="Y755" i="7"/>
  <c r="AU754" i="7"/>
  <c r="Z754" i="7"/>
  <c r="AA754" i="7" s="1"/>
  <c r="AF754" i="7" s="1"/>
  <c r="Y754" i="7"/>
  <c r="AC754" i="7" s="1"/>
  <c r="AU753" i="7"/>
  <c r="Z753" i="7"/>
  <c r="Y753" i="7"/>
  <c r="AU752" i="7"/>
  <c r="Z752" i="7"/>
  <c r="AA752" i="7" s="1"/>
  <c r="AF752" i="7" s="1"/>
  <c r="Y752" i="7"/>
  <c r="AC752" i="7" s="1"/>
  <c r="AU751" i="7"/>
  <c r="AA751" i="7"/>
  <c r="AF751" i="7" s="1"/>
  <c r="Z751" i="7"/>
  <c r="Y751" i="7"/>
  <c r="AU750" i="7"/>
  <c r="Z750" i="7"/>
  <c r="Y750" i="7"/>
  <c r="AA750" i="7" s="1"/>
  <c r="AF750" i="7" s="1"/>
  <c r="AU749" i="7"/>
  <c r="Z749" i="7"/>
  <c r="AA749" i="7" s="1"/>
  <c r="AF749" i="7" s="1"/>
  <c r="Y749" i="7"/>
  <c r="AU748" i="7"/>
  <c r="Z748" i="7"/>
  <c r="AA748" i="7" s="1"/>
  <c r="AF748" i="7" s="1"/>
  <c r="Y748" i="7"/>
  <c r="AU747" i="7"/>
  <c r="AA747" i="7"/>
  <c r="AF747" i="7" s="1"/>
  <c r="Z747" i="7"/>
  <c r="Y747" i="7"/>
  <c r="AU746" i="7"/>
  <c r="Z746" i="7"/>
  <c r="AA746" i="7" s="1"/>
  <c r="AF746" i="7" s="1"/>
  <c r="Y746" i="7"/>
  <c r="AU745" i="7"/>
  <c r="Z745" i="7"/>
  <c r="AA745" i="7" s="1"/>
  <c r="AF745" i="7" s="1"/>
  <c r="Y745" i="7"/>
  <c r="AC745" i="7" s="1"/>
  <c r="AU744" i="7"/>
  <c r="Z744" i="7"/>
  <c r="Y744" i="7"/>
  <c r="AU743" i="7"/>
  <c r="Z743" i="7"/>
  <c r="AA743" i="7" s="1"/>
  <c r="AF743" i="7" s="1"/>
  <c r="Y743" i="7"/>
  <c r="AC743" i="7" s="1"/>
  <c r="AU742" i="7"/>
  <c r="AF742" i="7"/>
  <c r="AC742" i="7"/>
  <c r="Z742" i="7"/>
  <c r="AA742" i="7" s="1"/>
  <c r="Y742" i="7"/>
  <c r="AU741" i="7"/>
  <c r="Z741" i="7"/>
  <c r="AA741" i="7" s="1"/>
  <c r="AF741" i="7" s="1"/>
  <c r="Y741" i="7"/>
  <c r="AC741" i="7" s="1"/>
  <c r="AU740" i="7"/>
  <c r="Z740" i="7"/>
  <c r="Y740" i="7"/>
  <c r="AU739" i="7"/>
  <c r="Z739" i="7"/>
  <c r="AA739" i="7" s="1"/>
  <c r="AF739" i="7" s="1"/>
  <c r="Y739" i="7"/>
  <c r="AC739" i="7" s="1"/>
  <c r="AU738" i="7"/>
  <c r="AF738" i="7"/>
  <c r="AC738" i="7"/>
  <c r="Z738" i="7"/>
  <c r="AA738" i="7" s="1"/>
  <c r="Y738" i="7"/>
  <c r="AU737" i="7"/>
  <c r="AA737" i="7"/>
  <c r="AF737" i="7" s="1"/>
  <c r="Z737" i="7"/>
  <c r="Y737" i="7"/>
  <c r="AC737" i="7" s="1"/>
  <c r="AU736" i="7"/>
  <c r="Z736" i="7"/>
  <c r="AA736" i="7" s="1"/>
  <c r="AF736" i="7" s="1"/>
  <c r="Y736" i="7"/>
  <c r="AU735" i="7"/>
  <c r="AF735" i="7"/>
  <c r="Z735" i="7"/>
  <c r="Y735" i="7"/>
  <c r="AA735" i="7" s="1"/>
  <c r="AU734" i="7"/>
  <c r="Z734" i="7"/>
  <c r="Y734" i="7"/>
  <c r="AU733" i="7"/>
  <c r="Z733" i="7"/>
  <c r="Y733" i="7"/>
  <c r="AA733" i="7" s="1"/>
  <c r="AF733" i="7" s="1"/>
  <c r="AU732" i="7"/>
  <c r="AA732" i="7"/>
  <c r="AF732" i="7" s="1"/>
  <c r="Z732" i="7"/>
  <c r="Y732" i="7"/>
  <c r="AU731" i="7"/>
  <c r="Z731" i="7"/>
  <c r="Y731" i="7"/>
  <c r="AA731" i="7" s="1"/>
  <c r="AF731" i="7" s="1"/>
  <c r="AU730" i="7"/>
  <c r="Z730" i="7"/>
  <c r="AA730" i="7" s="1"/>
  <c r="AF730" i="7" s="1"/>
  <c r="Y730" i="7"/>
  <c r="AU729" i="7"/>
  <c r="AA729" i="7"/>
  <c r="AF729" i="7" s="1"/>
  <c r="Z729" i="7"/>
  <c r="Y729" i="7"/>
  <c r="AU728" i="7"/>
  <c r="Z728" i="7"/>
  <c r="Y728" i="7"/>
  <c r="AA728" i="7" s="1"/>
  <c r="AF728" i="7" s="1"/>
  <c r="AU727" i="7"/>
  <c r="AF727" i="7"/>
  <c r="Z727" i="7"/>
  <c r="Y727" i="7"/>
  <c r="AA727" i="7" s="1"/>
  <c r="AU726" i="7"/>
  <c r="Z726" i="7"/>
  <c r="AA726" i="7" s="1"/>
  <c r="AF726" i="7" s="1"/>
  <c r="Y726" i="7"/>
  <c r="AU725" i="7"/>
  <c r="AA725" i="7"/>
  <c r="AF725" i="7" s="1"/>
  <c r="Z725" i="7"/>
  <c r="Y725" i="7"/>
  <c r="AU724" i="7"/>
  <c r="AA724" i="7"/>
  <c r="AF724" i="7" s="1"/>
  <c r="Z724" i="7"/>
  <c r="Y724" i="7"/>
  <c r="AU723" i="7"/>
  <c r="Z723" i="7"/>
  <c r="Y723" i="7"/>
  <c r="AC723" i="7" s="1"/>
  <c r="AU722" i="7"/>
  <c r="Z722" i="7"/>
  <c r="Y722" i="7"/>
  <c r="AC722" i="7" s="1"/>
  <c r="AU721" i="7"/>
  <c r="Z721" i="7"/>
  <c r="AA721" i="7" s="1"/>
  <c r="AF721" i="7" s="1"/>
  <c r="Y721" i="7"/>
  <c r="AC721" i="7" s="1"/>
  <c r="AU720" i="7"/>
  <c r="Z720" i="7"/>
  <c r="AA720" i="7" s="1"/>
  <c r="AF720" i="7" s="1"/>
  <c r="Y720" i="7"/>
  <c r="AU719" i="7"/>
  <c r="Z719" i="7"/>
  <c r="Y719" i="7"/>
  <c r="AA719" i="7" s="1"/>
  <c r="AF719" i="7" s="1"/>
  <c r="AU718" i="7"/>
  <c r="AF718" i="7"/>
  <c r="Z718" i="7"/>
  <c r="Y718" i="7"/>
  <c r="AA718" i="7" s="1"/>
  <c r="AU717" i="7"/>
  <c r="AA717" i="7"/>
  <c r="AF717" i="7" s="1"/>
  <c r="Z717" i="7"/>
  <c r="Y717" i="7"/>
  <c r="AC717" i="7" s="1"/>
  <c r="AU716" i="7"/>
  <c r="Z716" i="7"/>
  <c r="AA716" i="7" s="1"/>
  <c r="AF716" i="7" s="1"/>
  <c r="Y716" i="7"/>
  <c r="AC716" i="7" s="1"/>
  <c r="AU715" i="7"/>
  <c r="Z715" i="7"/>
  <c r="AA715" i="7" s="1"/>
  <c r="AF715" i="7" s="1"/>
  <c r="Y715" i="7"/>
  <c r="AC715" i="7" s="1"/>
  <c r="AU714" i="7"/>
  <c r="AC714" i="7"/>
  <c r="Z714" i="7"/>
  <c r="AA714" i="7" s="1"/>
  <c r="AF714" i="7" s="1"/>
  <c r="Y714" i="7"/>
  <c r="AU713" i="7"/>
  <c r="AA713" i="7"/>
  <c r="AF713" i="7" s="1"/>
  <c r="Z713" i="7"/>
  <c r="Y713" i="7"/>
  <c r="AC713" i="7" s="1"/>
  <c r="AU712" i="7"/>
  <c r="Z712" i="7"/>
  <c r="Y712" i="7"/>
  <c r="AU711" i="7"/>
  <c r="Z711" i="7"/>
  <c r="AA711" i="7" s="1"/>
  <c r="AF711" i="7" s="1"/>
  <c r="Y711" i="7"/>
  <c r="AC711" i="7" s="1"/>
  <c r="AU710" i="7"/>
  <c r="AC710" i="7"/>
  <c r="Z710" i="7"/>
  <c r="Y710" i="7"/>
  <c r="AA710" i="7" s="1"/>
  <c r="AF710" i="7" s="1"/>
  <c r="AU709" i="7"/>
  <c r="AC709" i="7"/>
  <c r="AA709" i="7"/>
  <c r="AE709" i="7" s="1"/>
  <c r="AF709" i="7" s="1"/>
  <c r="Z709" i="7"/>
  <c r="Y709" i="7"/>
  <c r="AU708" i="7"/>
  <c r="Z708" i="7"/>
  <c r="AA708" i="7" s="1"/>
  <c r="AE708" i="7" s="1"/>
  <c r="AF708" i="7" s="1"/>
  <c r="Y708" i="7"/>
  <c r="AC708" i="7" s="1"/>
  <c r="AU707" i="7"/>
  <c r="Z707" i="7"/>
  <c r="AA707" i="7" s="1"/>
  <c r="AE707" i="7" s="1"/>
  <c r="AF707" i="7" s="1"/>
  <c r="Y707" i="7"/>
  <c r="AC707" i="7" s="1"/>
  <c r="AU706" i="7"/>
  <c r="Z706" i="7"/>
  <c r="Y706" i="7"/>
  <c r="AU705" i="7"/>
  <c r="Z705" i="7"/>
  <c r="AA705" i="7" s="1"/>
  <c r="AE705" i="7" s="1"/>
  <c r="AF705" i="7" s="1"/>
  <c r="Y705" i="7"/>
  <c r="AC705" i="7" s="1"/>
  <c r="AU704" i="7"/>
  <c r="AF704" i="7"/>
  <c r="Z704" i="7"/>
  <c r="AA704" i="7" s="1"/>
  <c r="AE704" i="7" s="1"/>
  <c r="Y704" i="7"/>
  <c r="AC704" i="7" s="1"/>
  <c r="AU703" i="7"/>
  <c r="Z703" i="7"/>
  <c r="Y703" i="7"/>
  <c r="AC703" i="7" s="1"/>
  <c r="AU702" i="7"/>
  <c r="AC702" i="7"/>
  <c r="Z702" i="7"/>
  <c r="AA702" i="7" s="1"/>
  <c r="AE702" i="7" s="1"/>
  <c r="AF702" i="7" s="1"/>
  <c r="Y702" i="7"/>
  <c r="AU701" i="7"/>
  <c r="AC701" i="7"/>
  <c r="AA701" i="7"/>
  <c r="AE701" i="7" s="1"/>
  <c r="AF701" i="7" s="1"/>
  <c r="Z701" i="7"/>
  <c r="Y701" i="7"/>
  <c r="AU700" i="7"/>
  <c r="Z700" i="7"/>
  <c r="AA700" i="7" s="1"/>
  <c r="AE700" i="7" s="1"/>
  <c r="AF700" i="7" s="1"/>
  <c r="Y700" i="7"/>
  <c r="AC700" i="7" s="1"/>
  <c r="AU699" i="7"/>
  <c r="Z699" i="7"/>
  <c r="AA699" i="7" s="1"/>
  <c r="AE699" i="7" s="1"/>
  <c r="AF699" i="7" s="1"/>
  <c r="Y699" i="7"/>
  <c r="AC699" i="7" s="1"/>
  <c r="AU698" i="7"/>
  <c r="Z698" i="7"/>
  <c r="Y698" i="7"/>
  <c r="AU697" i="7"/>
  <c r="Z697" i="7"/>
  <c r="AA697" i="7" s="1"/>
  <c r="AE697" i="7" s="1"/>
  <c r="AF697" i="7" s="1"/>
  <c r="Y697" i="7"/>
  <c r="AC697" i="7" s="1"/>
  <c r="AU696" i="7"/>
  <c r="AF696" i="7"/>
  <c r="Z696" i="7"/>
  <c r="AA696" i="7" s="1"/>
  <c r="AE696" i="7" s="1"/>
  <c r="Y696" i="7"/>
  <c r="AC696" i="7" s="1"/>
  <c r="AU695" i="7"/>
  <c r="Z695" i="7"/>
  <c r="AA695" i="7" s="1"/>
  <c r="AE695" i="7" s="1"/>
  <c r="AF695" i="7" s="1"/>
  <c r="Y695" i="7"/>
  <c r="AC695" i="7" s="1"/>
  <c r="AU694" i="7"/>
  <c r="AC694" i="7"/>
  <c r="Z694" i="7"/>
  <c r="AA694" i="7" s="1"/>
  <c r="AE694" i="7" s="1"/>
  <c r="AF694" i="7" s="1"/>
  <c r="Y694" i="7"/>
  <c r="AU693" i="7"/>
  <c r="AC693" i="7"/>
  <c r="AA693" i="7"/>
  <c r="AE693" i="7" s="1"/>
  <c r="AF693" i="7" s="1"/>
  <c r="Z693" i="7"/>
  <c r="Y693" i="7"/>
  <c r="AU692" i="7"/>
  <c r="AC692" i="7"/>
  <c r="AA692" i="7"/>
  <c r="AE692" i="7" s="1"/>
  <c r="AF692" i="7" s="1"/>
  <c r="Z692" i="7"/>
  <c r="Y692" i="7"/>
  <c r="AU691" i="7"/>
  <c r="Z691" i="7"/>
  <c r="AA691" i="7" s="1"/>
  <c r="AE691" i="7" s="1"/>
  <c r="AF691" i="7" s="1"/>
  <c r="Y691" i="7"/>
  <c r="AC691" i="7" s="1"/>
  <c r="AU690" i="7"/>
  <c r="Z690" i="7"/>
  <c r="Y690" i="7"/>
  <c r="AC690" i="7" s="1"/>
  <c r="AU689" i="7"/>
  <c r="Z689" i="7"/>
  <c r="Y689" i="7"/>
  <c r="AC689" i="7" s="1"/>
  <c r="AU688" i="7"/>
  <c r="Z688" i="7"/>
  <c r="AA688" i="7" s="1"/>
  <c r="AF688" i="7" s="1"/>
  <c r="Y688" i="7"/>
  <c r="AC688" i="7" s="1"/>
  <c r="AU687" i="7"/>
  <c r="AC687" i="7"/>
  <c r="AA687" i="7"/>
  <c r="AF687" i="7" s="1"/>
  <c r="Z687" i="7"/>
  <c r="Y687" i="7"/>
  <c r="AU686" i="7"/>
  <c r="Z686" i="7"/>
  <c r="AA686" i="7" s="1"/>
  <c r="AF686" i="7" s="1"/>
  <c r="Y686" i="7"/>
  <c r="AC686" i="7" s="1"/>
  <c r="AU685" i="7"/>
  <c r="Z685" i="7"/>
  <c r="Y685" i="7"/>
  <c r="AC685" i="7" s="1"/>
  <c r="AU684" i="7"/>
  <c r="AF684" i="7"/>
  <c r="Z684" i="7"/>
  <c r="AA684" i="7" s="1"/>
  <c r="Y684" i="7"/>
  <c r="AC684" i="7" s="1"/>
  <c r="AU683" i="7"/>
  <c r="AC683" i="7"/>
  <c r="AA683" i="7"/>
  <c r="AF683" i="7" s="1"/>
  <c r="Z683" i="7"/>
  <c r="Y683" i="7"/>
  <c r="AU682" i="7"/>
  <c r="Z682" i="7"/>
  <c r="Y682" i="7"/>
  <c r="AC682" i="7" s="1"/>
  <c r="AU681" i="7"/>
  <c r="Z681" i="7"/>
  <c r="Y681" i="7"/>
  <c r="AC681" i="7" s="1"/>
  <c r="AU680" i="7"/>
  <c r="AF680" i="7"/>
  <c r="Z680" i="7"/>
  <c r="AA680" i="7" s="1"/>
  <c r="Y680" i="7"/>
  <c r="AC680" i="7" s="1"/>
  <c r="AU679" i="7"/>
  <c r="AC679" i="7"/>
  <c r="AA679" i="7"/>
  <c r="AF679" i="7" s="1"/>
  <c r="Z679" i="7"/>
  <c r="Y679" i="7"/>
  <c r="AU678" i="7"/>
  <c r="Z678" i="7"/>
  <c r="AA678" i="7" s="1"/>
  <c r="AF678" i="7" s="1"/>
  <c r="Y678" i="7"/>
  <c r="AC678" i="7" s="1"/>
  <c r="AU677" i="7"/>
  <c r="Z677" i="7"/>
  <c r="Y677" i="7"/>
  <c r="AC677" i="7" s="1"/>
  <c r="AU676" i="7"/>
  <c r="Z676" i="7"/>
  <c r="Y676" i="7"/>
  <c r="AC676" i="7" s="1"/>
  <c r="AU675" i="7"/>
  <c r="AC675" i="7"/>
  <c r="AA675" i="7"/>
  <c r="AF675" i="7" s="1"/>
  <c r="Z675" i="7"/>
  <c r="Y675" i="7"/>
  <c r="AU674" i="7"/>
  <c r="Z674" i="7"/>
  <c r="AA674" i="7" s="1"/>
  <c r="AF674" i="7" s="1"/>
  <c r="Y674" i="7"/>
  <c r="AC674" i="7" s="1"/>
  <c r="AU673" i="7"/>
  <c r="Z673" i="7"/>
  <c r="Y673" i="7"/>
  <c r="AC673" i="7" s="1"/>
  <c r="AU672" i="7"/>
  <c r="Z672" i="7"/>
  <c r="Y672" i="7"/>
  <c r="AC672" i="7" s="1"/>
  <c r="AU671" i="7"/>
  <c r="AC671" i="7"/>
  <c r="AA671" i="7"/>
  <c r="AF671" i="7" s="1"/>
  <c r="Z671" i="7"/>
  <c r="Y671" i="7"/>
  <c r="AU670" i="7"/>
  <c r="Z670" i="7"/>
  <c r="Y670" i="7"/>
  <c r="AC670" i="7" s="1"/>
  <c r="AU669" i="7"/>
  <c r="Z669" i="7"/>
  <c r="AA669" i="7" s="1"/>
  <c r="AF669" i="7" s="1"/>
  <c r="Y669" i="7"/>
  <c r="AC669" i="7" s="1"/>
  <c r="AU668" i="7"/>
  <c r="Z668" i="7"/>
  <c r="Y668" i="7"/>
  <c r="AC668" i="7" s="1"/>
  <c r="AU667" i="7"/>
  <c r="AC667" i="7"/>
  <c r="AA667" i="7"/>
  <c r="AF667" i="7" s="1"/>
  <c r="Z667" i="7"/>
  <c r="Y667" i="7"/>
  <c r="AU666" i="7"/>
  <c r="Z666" i="7"/>
  <c r="Y666" i="7"/>
  <c r="AC666" i="7" s="1"/>
  <c r="AU665" i="7"/>
  <c r="Z665" i="7"/>
  <c r="AA665" i="7" s="1"/>
  <c r="AF665" i="7" s="1"/>
  <c r="Y665" i="7"/>
  <c r="AC665" i="7" s="1"/>
  <c r="AU664" i="7"/>
  <c r="Z664" i="7"/>
  <c r="Y664" i="7"/>
  <c r="AC664" i="7" s="1"/>
  <c r="AU663" i="7"/>
  <c r="AC663" i="7"/>
  <c r="AA663" i="7"/>
  <c r="AF663" i="7" s="1"/>
  <c r="Z663" i="7"/>
  <c r="Y663" i="7"/>
  <c r="AU662" i="7"/>
  <c r="Z662" i="7"/>
  <c r="AA662" i="7" s="1"/>
  <c r="AF662" i="7" s="1"/>
  <c r="Y662" i="7"/>
  <c r="AC662" i="7" s="1"/>
  <c r="AU661" i="7"/>
  <c r="Z661" i="7"/>
  <c r="AA661" i="7" s="1"/>
  <c r="AF661" i="7" s="1"/>
  <c r="Y661" i="7"/>
  <c r="AC661" i="7" s="1"/>
  <c r="AU660" i="7"/>
  <c r="Z660" i="7"/>
  <c r="Y660" i="7"/>
  <c r="AC660" i="7" s="1"/>
  <c r="AU659" i="7"/>
  <c r="AC659" i="7"/>
  <c r="AA659" i="7"/>
  <c r="AF659" i="7" s="1"/>
  <c r="Z659" i="7"/>
  <c r="Y659" i="7"/>
  <c r="AU658" i="7"/>
  <c r="Z658" i="7"/>
  <c r="Y658" i="7"/>
  <c r="AC658" i="7" s="1"/>
  <c r="AU657" i="7"/>
  <c r="Y657" i="7"/>
  <c r="AC657" i="7" s="1"/>
  <c r="AU656" i="7"/>
  <c r="AC656" i="7"/>
  <c r="Z656" i="7"/>
  <c r="AA656" i="7" s="1"/>
  <c r="AF656" i="7" s="1"/>
  <c r="Y656" i="7"/>
  <c r="AU655" i="7"/>
  <c r="Z655" i="7"/>
  <c r="AA655" i="7" s="1"/>
  <c r="AF655" i="7" s="1"/>
  <c r="Y655" i="7"/>
  <c r="AC655" i="7" s="1"/>
  <c r="AU654" i="7"/>
  <c r="Z654" i="7"/>
  <c r="Y654" i="7"/>
  <c r="AC654" i="7" s="1"/>
  <c r="AU653" i="7"/>
  <c r="Z653" i="7"/>
  <c r="AA653" i="7" s="1"/>
  <c r="AF653" i="7" s="1"/>
  <c r="Y653" i="7"/>
  <c r="AC653" i="7" s="1"/>
  <c r="AU652" i="7"/>
  <c r="AF652" i="7"/>
  <c r="AC652" i="7"/>
  <c r="Z652" i="7"/>
  <c r="AA652" i="7" s="1"/>
  <c r="Y652" i="7"/>
  <c r="AU651" i="7"/>
  <c r="AC651" i="7"/>
  <c r="Z651" i="7"/>
  <c r="AA651" i="7" s="1"/>
  <c r="AF651" i="7" s="1"/>
  <c r="Y651" i="7"/>
  <c r="AU650" i="7"/>
  <c r="Z650" i="7"/>
  <c r="Y650" i="7"/>
  <c r="AC650" i="7" s="1"/>
  <c r="AU649" i="7"/>
  <c r="Z649" i="7"/>
  <c r="AA649" i="7" s="1"/>
  <c r="AF649" i="7" s="1"/>
  <c r="Y649" i="7"/>
  <c r="AC649" i="7" s="1"/>
  <c r="AU648" i="7"/>
  <c r="AF648" i="7"/>
  <c r="AC648" i="7"/>
  <c r="Z648" i="7"/>
  <c r="AA648" i="7" s="1"/>
  <c r="Y648" i="7"/>
  <c r="AU647" i="7"/>
  <c r="AC647" i="7"/>
  <c r="Z647" i="7"/>
  <c r="AA647" i="7" s="1"/>
  <c r="AF647" i="7" s="1"/>
  <c r="Y647" i="7"/>
  <c r="AU646" i="7"/>
  <c r="Z646" i="7"/>
  <c r="Y646" i="7"/>
  <c r="AC646" i="7" s="1"/>
  <c r="AU645" i="7"/>
  <c r="Z645" i="7"/>
  <c r="AA645" i="7" s="1"/>
  <c r="AF645" i="7" s="1"/>
  <c r="Y645" i="7"/>
  <c r="AC645" i="7" s="1"/>
  <c r="AU644" i="7"/>
  <c r="AF644" i="7"/>
  <c r="AC644" i="7"/>
  <c r="AA644" i="7"/>
  <c r="Z644" i="7"/>
  <c r="Y644" i="7"/>
  <c r="AU643" i="7"/>
  <c r="Z643" i="7"/>
  <c r="AA643" i="7" s="1"/>
  <c r="AF643" i="7" s="1"/>
  <c r="Y643" i="7"/>
  <c r="AC643" i="7" s="1"/>
  <c r="AU642" i="7"/>
  <c r="Z642" i="7"/>
  <c r="Y642" i="7"/>
  <c r="AU641" i="7"/>
  <c r="Z641" i="7"/>
  <c r="AA641" i="7" s="1"/>
  <c r="AF641" i="7" s="1"/>
  <c r="Y641" i="7"/>
  <c r="AC641" i="7" s="1"/>
  <c r="AU640" i="7"/>
  <c r="AF640" i="7"/>
  <c r="AC640" i="7"/>
  <c r="AA640" i="7"/>
  <c r="Z640" i="7"/>
  <c r="Y640" i="7"/>
  <c r="AU639" i="7"/>
  <c r="Z639" i="7"/>
  <c r="AA639" i="7" s="1"/>
  <c r="AF639" i="7" s="1"/>
  <c r="Y639" i="7"/>
  <c r="AC639" i="7" s="1"/>
  <c r="AU638" i="7"/>
  <c r="Z638" i="7"/>
  <c r="Y638" i="7"/>
  <c r="AU637" i="7"/>
  <c r="Y637" i="7"/>
  <c r="AC637" i="7" s="1"/>
  <c r="AU636" i="7"/>
  <c r="AC636" i="7"/>
  <c r="AA636" i="7"/>
  <c r="AF636" i="7" s="1"/>
  <c r="Z636" i="7"/>
  <c r="Y636" i="7"/>
  <c r="AU635" i="7"/>
  <c r="Z635" i="7"/>
  <c r="AA635" i="7" s="1"/>
  <c r="AU634" i="7"/>
  <c r="AF634" i="7"/>
  <c r="AC634" i="7"/>
  <c r="AA634" i="7"/>
  <c r="Z634" i="7"/>
  <c r="Y634" i="7"/>
  <c r="AU633" i="7"/>
  <c r="Z633" i="7"/>
  <c r="AA633" i="7" s="1"/>
  <c r="AF633" i="7" s="1"/>
  <c r="Y633" i="7"/>
  <c r="AC633" i="7" s="1"/>
  <c r="AU632" i="7"/>
  <c r="Z632" i="7"/>
  <c r="Y632" i="7"/>
  <c r="AU631" i="7"/>
  <c r="Z631" i="7"/>
  <c r="AA631" i="7" s="1"/>
  <c r="AF631" i="7" s="1"/>
  <c r="Y631" i="7"/>
  <c r="AC631" i="7" s="1"/>
  <c r="AU630" i="7"/>
  <c r="AC630" i="7"/>
  <c r="AA630" i="7"/>
  <c r="AF630" i="7" s="1"/>
  <c r="Z630" i="7"/>
  <c r="Y630" i="7"/>
  <c r="Z629" i="7"/>
  <c r="AA629" i="7" s="1"/>
  <c r="AU628" i="7"/>
  <c r="AA628" i="7"/>
  <c r="Z628" i="7"/>
  <c r="AU627" i="7"/>
  <c r="Z627" i="7"/>
  <c r="AA627" i="7" s="1"/>
  <c r="AF627" i="7" s="1"/>
  <c r="Y627" i="7"/>
  <c r="AC627" i="7" s="1"/>
  <c r="AU626" i="7"/>
  <c r="AA626" i="7"/>
  <c r="Z626" i="7"/>
  <c r="AU625" i="7"/>
  <c r="Z625" i="7"/>
  <c r="AA625" i="7" s="1"/>
  <c r="AF625" i="7" s="1"/>
  <c r="Y625" i="7"/>
  <c r="AC625" i="7" s="1"/>
  <c r="AU624" i="7"/>
  <c r="AC624" i="7"/>
  <c r="Z624" i="7"/>
  <c r="AA624" i="7" s="1"/>
  <c r="AF624" i="7" s="1"/>
  <c r="Y624" i="7"/>
  <c r="AU623" i="7"/>
  <c r="Z623" i="7"/>
  <c r="AA623" i="7" s="1"/>
  <c r="AF623" i="7" s="1"/>
  <c r="Y623" i="7"/>
  <c r="AC623" i="7" s="1"/>
  <c r="AU622" i="7"/>
  <c r="AC622" i="7"/>
  <c r="AA622" i="7"/>
  <c r="AF622" i="7" s="1"/>
  <c r="Z622" i="7"/>
  <c r="Y622" i="7"/>
  <c r="AC621" i="7"/>
  <c r="AA621" i="7"/>
  <c r="AF621" i="7" s="1"/>
  <c r="Z621" i="7"/>
  <c r="Y621" i="7"/>
  <c r="Z620" i="7"/>
  <c r="AA620" i="7" s="1"/>
  <c r="AF620" i="7" s="1"/>
  <c r="Y620" i="7"/>
  <c r="AC620" i="7" s="1"/>
  <c r="Z619" i="7"/>
  <c r="AA619" i="7" s="1"/>
  <c r="AF619" i="7" s="1"/>
  <c r="Y619" i="7"/>
  <c r="AC619" i="7" s="1"/>
  <c r="AC618" i="7"/>
  <c r="Z618" i="7"/>
  <c r="AA618" i="7" s="1"/>
  <c r="AF618" i="7" s="1"/>
  <c r="Y618" i="7"/>
  <c r="Z617" i="7"/>
  <c r="Y617" i="7"/>
  <c r="AC617" i="7" s="1"/>
  <c r="AC616" i="7"/>
  <c r="Z616" i="7"/>
  <c r="AA616" i="7" s="1"/>
  <c r="AF616" i="7" s="1"/>
  <c r="Y616" i="7"/>
  <c r="AA615" i="7"/>
  <c r="AF615" i="7" s="1"/>
  <c r="Y615" i="7"/>
  <c r="AC615" i="7" s="1"/>
  <c r="Z614" i="7"/>
  <c r="AA614" i="7" s="1"/>
  <c r="AF614" i="7" s="1"/>
  <c r="Y614" i="7"/>
  <c r="AC614" i="7" s="1"/>
  <c r="AU613" i="7"/>
  <c r="AC613" i="7"/>
  <c r="AA613" i="7"/>
  <c r="AF613" i="7" s="1"/>
  <c r="Z613" i="7"/>
  <c r="Y613" i="7"/>
  <c r="AU612" i="7"/>
  <c r="Z612" i="7"/>
  <c r="Y612" i="7"/>
  <c r="AC612" i="7" s="1"/>
  <c r="AU611" i="7"/>
  <c r="Z611" i="7"/>
  <c r="Y611" i="7"/>
  <c r="AC611" i="7" s="1"/>
  <c r="AU610" i="7"/>
  <c r="Z610" i="7"/>
  <c r="AA610" i="7" s="1"/>
  <c r="AF610" i="7" s="1"/>
  <c r="Y610" i="7"/>
  <c r="AC610" i="7" s="1"/>
  <c r="AU609" i="7"/>
  <c r="AC609" i="7"/>
  <c r="AA609" i="7"/>
  <c r="AF609" i="7" s="1"/>
  <c r="Z609" i="7"/>
  <c r="Y609" i="7"/>
  <c r="AU608" i="7"/>
  <c r="Z608" i="7"/>
  <c r="Y608" i="7"/>
  <c r="AC608" i="7" s="1"/>
  <c r="AU607" i="7"/>
  <c r="Z607" i="7"/>
  <c r="Y607" i="7"/>
  <c r="AC607" i="7" s="1"/>
  <c r="AU606" i="7"/>
  <c r="Z606" i="7"/>
  <c r="AA606" i="7" s="1"/>
  <c r="AF606" i="7" s="1"/>
  <c r="Y606" i="7"/>
  <c r="AC606" i="7" s="1"/>
  <c r="AU605" i="7"/>
  <c r="AC605" i="7"/>
  <c r="AA605" i="7"/>
  <c r="AF605" i="7" s="1"/>
  <c r="Z605" i="7"/>
  <c r="Y605" i="7"/>
  <c r="AU604" i="7"/>
  <c r="Z604" i="7"/>
  <c r="Y604" i="7"/>
  <c r="AC604" i="7" s="1"/>
  <c r="AU603" i="7"/>
  <c r="Z603" i="7"/>
  <c r="Y603" i="7"/>
  <c r="AC603" i="7" s="1"/>
  <c r="AU602" i="7"/>
  <c r="Z602" i="7"/>
  <c r="AA602" i="7" s="1"/>
  <c r="AF602" i="7" s="1"/>
  <c r="Y602" i="7"/>
  <c r="AC602" i="7" s="1"/>
  <c r="AU601" i="7"/>
  <c r="AC601" i="7"/>
  <c r="AA601" i="7"/>
  <c r="AF601" i="7" s="1"/>
  <c r="Z601" i="7"/>
  <c r="Y601" i="7"/>
  <c r="AU600" i="7"/>
  <c r="Z600" i="7"/>
  <c r="Y600" i="7"/>
  <c r="AC600" i="7" s="1"/>
  <c r="AU599" i="7"/>
  <c r="Z599" i="7"/>
  <c r="Y599" i="7"/>
  <c r="AC599" i="7" s="1"/>
  <c r="AU598" i="7"/>
  <c r="Z598" i="7"/>
  <c r="AA598" i="7" s="1"/>
  <c r="AF598" i="7" s="1"/>
  <c r="Y598" i="7"/>
  <c r="AC598" i="7" s="1"/>
  <c r="AU597" i="7"/>
  <c r="AC597" i="7"/>
  <c r="AA597" i="7"/>
  <c r="AF597" i="7" s="1"/>
  <c r="Z597" i="7"/>
  <c r="Y597" i="7"/>
  <c r="AU596" i="7"/>
  <c r="Z596" i="7"/>
  <c r="Y596" i="7"/>
  <c r="AC596" i="7" s="1"/>
  <c r="AU595" i="7"/>
  <c r="Z595" i="7"/>
  <c r="Y595" i="7"/>
  <c r="AC595" i="7" s="1"/>
  <c r="AU594" i="7"/>
  <c r="Z594" i="7"/>
  <c r="AA594" i="7" s="1"/>
  <c r="AF594" i="7" s="1"/>
  <c r="Y594" i="7"/>
  <c r="AC594" i="7" s="1"/>
  <c r="AU593" i="7"/>
  <c r="AC593" i="7"/>
  <c r="AA593" i="7"/>
  <c r="AF593" i="7" s="1"/>
  <c r="Z593" i="7"/>
  <c r="Y593" i="7"/>
  <c r="AU592" i="7"/>
  <c r="Z592" i="7"/>
  <c r="Y592" i="7"/>
  <c r="AC592" i="7" s="1"/>
  <c r="AU591" i="7"/>
  <c r="Z591" i="7"/>
  <c r="Y591" i="7"/>
  <c r="AC591" i="7" s="1"/>
  <c r="AU590" i="7"/>
  <c r="Z590" i="7"/>
  <c r="AA590" i="7" s="1"/>
  <c r="AF590" i="7" s="1"/>
  <c r="Y590" i="7"/>
  <c r="AC590" i="7" s="1"/>
  <c r="AU589" i="7"/>
  <c r="Z589" i="7"/>
  <c r="AA589" i="7" s="1"/>
  <c r="AF589" i="7" s="1"/>
  <c r="Y589" i="7"/>
  <c r="AU588" i="7"/>
  <c r="Z588" i="7"/>
  <c r="Y588" i="7"/>
  <c r="AA588" i="7" s="1"/>
  <c r="AF588" i="7" s="1"/>
  <c r="AU587" i="7"/>
  <c r="Z587" i="7"/>
  <c r="AA587" i="7" s="1"/>
  <c r="AF587" i="7" s="1"/>
  <c r="Y587" i="7"/>
  <c r="AU586" i="7"/>
  <c r="Z586" i="7"/>
  <c r="Y586" i="7"/>
  <c r="AA586" i="7" s="1"/>
  <c r="AF586" i="7" s="1"/>
  <c r="AU585" i="7"/>
  <c r="Z585" i="7"/>
  <c r="AA585" i="7" s="1"/>
  <c r="AF585" i="7" s="1"/>
  <c r="Y585" i="7"/>
  <c r="AU584" i="7"/>
  <c r="AA584" i="7"/>
  <c r="AF584" i="7" s="1"/>
  <c r="Z584" i="7"/>
  <c r="Y584" i="7"/>
  <c r="AU583" i="7"/>
  <c r="Z583" i="7"/>
  <c r="AA583" i="7" s="1"/>
  <c r="AF583" i="7" s="1"/>
  <c r="Y583" i="7"/>
  <c r="AU582" i="7"/>
  <c r="Z582" i="7"/>
  <c r="AA582" i="7" s="1"/>
  <c r="AF582" i="7" s="1"/>
  <c r="Y582" i="7"/>
  <c r="AU581" i="7"/>
  <c r="Z581" i="7"/>
  <c r="AA581" i="7" s="1"/>
  <c r="AF581" i="7" s="1"/>
  <c r="Y581" i="7"/>
  <c r="AU580" i="7"/>
  <c r="Z580" i="7"/>
  <c r="Y580" i="7"/>
  <c r="AA580" i="7" s="1"/>
  <c r="AF580" i="7" s="1"/>
  <c r="AU579" i="7"/>
  <c r="Z579" i="7"/>
  <c r="AA579" i="7" s="1"/>
  <c r="AF579" i="7" s="1"/>
  <c r="Y579" i="7"/>
  <c r="AC579" i="7" s="1"/>
  <c r="AU578" i="7"/>
  <c r="AC578" i="7"/>
  <c r="AA578" i="7"/>
  <c r="AF578" i="7" s="1"/>
  <c r="Z578" i="7"/>
  <c r="Y578" i="7"/>
  <c r="AU577" i="7"/>
  <c r="Z577" i="7"/>
  <c r="Y577" i="7"/>
  <c r="AC577" i="7" s="1"/>
  <c r="AU576" i="7"/>
  <c r="Z576" i="7"/>
  <c r="Y576" i="7"/>
  <c r="AA576" i="7" s="1"/>
  <c r="AF576" i="7" s="1"/>
  <c r="AU575" i="7"/>
  <c r="Z575" i="7"/>
  <c r="AA575" i="7" s="1"/>
  <c r="AF575" i="7" s="1"/>
  <c r="Y575" i="7"/>
  <c r="AC575" i="7" s="1"/>
  <c r="AU574" i="7"/>
  <c r="AC574" i="7"/>
  <c r="AA574" i="7"/>
  <c r="AF574" i="7" s="1"/>
  <c r="Z574" i="7"/>
  <c r="Y574" i="7"/>
  <c r="AU573" i="7"/>
  <c r="Z573" i="7"/>
  <c r="Y573" i="7"/>
  <c r="AC573" i="7" s="1"/>
  <c r="AU572" i="7"/>
  <c r="Z572" i="7"/>
  <c r="Y572" i="7"/>
  <c r="AA572" i="7" s="1"/>
  <c r="AF572" i="7" s="1"/>
  <c r="AU571" i="7"/>
  <c r="Z571" i="7"/>
  <c r="AA571" i="7" s="1"/>
  <c r="AF571" i="7" s="1"/>
  <c r="Y571" i="7"/>
  <c r="AC571" i="7" s="1"/>
  <c r="AU570" i="7"/>
  <c r="AC570" i="7"/>
  <c r="AA570" i="7"/>
  <c r="AF570" i="7" s="1"/>
  <c r="Z570" i="7"/>
  <c r="Y570" i="7"/>
  <c r="AU569" i="7"/>
  <c r="Z569" i="7"/>
  <c r="Y569" i="7"/>
  <c r="AC569" i="7" s="1"/>
  <c r="AU568" i="7"/>
  <c r="Z568" i="7"/>
  <c r="AA568" i="7" s="1"/>
  <c r="AF568" i="7" s="1"/>
  <c r="Y568" i="7"/>
  <c r="AU567" i="7"/>
  <c r="AA567" i="7"/>
  <c r="AF567" i="7" s="1"/>
  <c r="Z567" i="7"/>
  <c r="Y567" i="7"/>
  <c r="AU566" i="7"/>
  <c r="Z566" i="7"/>
  <c r="AA566" i="7" s="1"/>
  <c r="AF566" i="7" s="1"/>
  <c r="Y566" i="7"/>
  <c r="AU565" i="7"/>
  <c r="Z565" i="7"/>
  <c r="AA565" i="7" s="1"/>
  <c r="AF565" i="7" s="1"/>
  <c r="Y565" i="7"/>
  <c r="AU564" i="7"/>
  <c r="Z564" i="7"/>
  <c r="AA564" i="7" s="1"/>
  <c r="AF564" i="7" s="1"/>
  <c r="Y564" i="7"/>
  <c r="AU563" i="7"/>
  <c r="Z563" i="7"/>
  <c r="Y563" i="7"/>
  <c r="AA563" i="7" s="1"/>
  <c r="AF563" i="7" s="1"/>
  <c r="AU562" i="7"/>
  <c r="Z562" i="7"/>
  <c r="AA562" i="7" s="1"/>
  <c r="AF562" i="7" s="1"/>
  <c r="Y562" i="7"/>
  <c r="AU561" i="7"/>
  <c r="AC561" i="7"/>
  <c r="Z561" i="7"/>
  <c r="AA561" i="7" s="1"/>
  <c r="AF561" i="7" s="1"/>
  <c r="Y561" i="7"/>
  <c r="AU560" i="7"/>
  <c r="AC560" i="7"/>
  <c r="Z560" i="7"/>
  <c r="AA560" i="7" s="1"/>
  <c r="AF560" i="7" s="1"/>
  <c r="Y560" i="7"/>
  <c r="AU559" i="7"/>
  <c r="AC559" i="7"/>
  <c r="Z559" i="7"/>
  <c r="AA559" i="7" s="1"/>
  <c r="AF559" i="7" s="1"/>
  <c r="Y559" i="7"/>
  <c r="AU558" i="7"/>
  <c r="AC558" i="7"/>
  <c r="Z558" i="7"/>
  <c r="AA558" i="7" s="1"/>
  <c r="AF558" i="7" s="1"/>
  <c r="Y558" i="7"/>
  <c r="AU557" i="7"/>
  <c r="AC557" i="7"/>
  <c r="Z557" i="7"/>
  <c r="AA557" i="7" s="1"/>
  <c r="AF557" i="7" s="1"/>
  <c r="Y557" i="7"/>
  <c r="AU556" i="7"/>
  <c r="AC556" i="7"/>
  <c r="Z556" i="7"/>
  <c r="AA556" i="7" s="1"/>
  <c r="AF556" i="7" s="1"/>
  <c r="Y556" i="7"/>
  <c r="AU555" i="7"/>
  <c r="AC555" i="7"/>
  <c r="Z555" i="7"/>
  <c r="AA555" i="7" s="1"/>
  <c r="AF555" i="7" s="1"/>
  <c r="Y555" i="7"/>
  <c r="AU554" i="7"/>
  <c r="AC554" i="7"/>
  <c r="Z554" i="7"/>
  <c r="AA554" i="7" s="1"/>
  <c r="AF554" i="7" s="1"/>
  <c r="Y554" i="7"/>
  <c r="AU553" i="7"/>
  <c r="AC553" i="7"/>
  <c r="Z553" i="7"/>
  <c r="AA553" i="7" s="1"/>
  <c r="AF553" i="7" s="1"/>
  <c r="Y553" i="7"/>
  <c r="AU552" i="7"/>
  <c r="AC552" i="7"/>
  <c r="Z552" i="7"/>
  <c r="AA552" i="7" s="1"/>
  <c r="AF552" i="7" s="1"/>
  <c r="Y552" i="7"/>
  <c r="AU551" i="7"/>
  <c r="Z551" i="7"/>
  <c r="AA551" i="7" s="1"/>
  <c r="AF551" i="7" s="1"/>
  <c r="Y551" i="7"/>
  <c r="AC551" i="7" s="1"/>
  <c r="AU550" i="7"/>
  <c r="AC550" i="7"/>
  <c r="Z550" i="7"/>
  <c r="AA550" i="7" s="1"/>
  <c r="AF550" i="7" s="1"/>
  <c r="Y550" i="7"/>
  <c r="AU549" i="7"/>
  <c r="AC549" i="7"/>
  <c r="Z549" i="7"/>
  <c r="AA549" i="7" s="1"/>
  <c r="AF549" i="7" s="1"/>
  <c r="Y549" i="7"/>
  <c r="AU548" i="7"/>
  <c r="AC548" i="7"/>
  <c r="Z548" i="7"/>
  <c r="AA548" i="7" s="1"/>
  <c r="AF548" i="7" s="1"/>
  <c r="Y548" i="7"/>
  <c r="AU547" i="7"/>
  <c r="AC547" i="7"/>
  <c r="Z547" i="7"/>
  <c r="AA547" i="7" s="1"/>
  <c r="AF547" i="7" s="1"/>
  <c r="Y547" i="7"/>
  <c r="AU546" i="7"/>
  <c r="AC546" i="7"/>
  <c r="Z546" i="7"/>
  <c r="AA546" i="7" s="1"/>
  <c r="AF546" i="7" s="1"/>
  <c r="Y546" i="7"/>
  <c r="AU545" i="7"/>
  <c r="AC545" i="7"/>
  <c r="Z545" i="7"/>
  <c r="AA545" i="7" s="1"/>
  <c r="AF545" i="7" s="1"/>
  <c r="Y545" i="7"/>
  <c r="AU544" i="7"/>
  <c r="AC544" i="7"/>
  <c r="Z544" i="7"/>
  <c r="AA544" i="7" s="1"/>
  <c r="AF544" i="7" s="1"/>
  <c r="Y544" i="7"/>
  <c r="AU543" i="7"/>
  <c r="AC543" i="7"/>
  <c r="Z543" i="7"/>
  <c r="AA543" i="7" s="1"/>
  <c r="AF543" i="7" s="1"/>
  <c r="Y543" i="7"/>
  <c r="AU542" i="7"/>
  <c r="AA542" i="7"/>
  <c r="AF542" i="7" s="1"/>
  <c r="Z542" i="7"/>
  <c r="Y542" i="7"/>
  <c r="AU541" i="7"/>
  <c r="Z541" i="7"/>
  <c r="AA541" i="7" s="1"/>
  <c r="AF541" i="7" s="1"/>
  <c r="Y541" i="7"/>
  <c r="AU540" i="7"/>
  <c r="Z540" i="7"/>
  <c r="AA540" i="7" s="1"/>
  <c r="AF540" i="7" s="1"/>
  <c r="Y540" i="7"/>
  <c r="AU539" i="7"/>
  <c r="Z539" i="7"/>
  <c r="AA539" i="7" s="1"/>
  <c r="AF539" i="7" s="1"/>
  <c r="Y539" i="7"/>
  <c r="AU538" i="7"/>
  <c r="AC538" i="7"/>
  <c r="Z538" i="7"/>
  <c r="AA538" i="7" s="1"/>
  <c r="AF538" i="7" s="1"/>
  <c r="Y538" i="7"/>
  <c r="AU537" i="7"/>
  <c r="AC537" i="7"/>
  <c r="Z537" i="7"/>
  <c r="AA537" i="7" s="1"/>
  <c r="AF537" i="7" s="1"/>
  <c r="Y537" i="7"/>
  <c r="AU536" i="7"/>
  <c r="AC536" i="7"/>
  <c r="Z536" i="7"/>
  <c r="AA536" i="7" s="1"/>
  <c r="AF536" i="7" s="1"/>
  <c r="Y536" i="7"/>
  <c r="AU535" i="7"/>
  <c r="AC535" i="7"/>
  <c r="Z535" i="7"/>
  <c r="AA535" i="7" s="1"/>
  <c r="AF535" i="7" s="1"/>
  <c r="Y535" i="7"/>
  <c r="AU534" i="7"/>
  <c r="AC534" i="7"/>
  <c r="Z534" i="7"/>
  <c r="AA534" i="7" s="1"/>
  <c r="AF534" i="7" s="1"/>
  <c r="Y534" i="7"/>
  <c r="AU533" i="7"/>
  <c r="AC533" i="7"/>
  <c r="Z533" i="7"/>
  <c r="AA533" i="7" s="1"/>
  <c r="AF533" i="7" s="1"/>
  <c r="Y533" i="7"/>
  <c r="AU532" i="7"/>
  <c r="AC532" i="7"/>
  <c r="Z532" i="7"/>
  <c r="AA532" i="7" s="1"/>
  <c r="AF532" i="7" s="1"/>
  <c r="Y532" i="7"/>
  <c r="AU531" i="7"/>
  <c r="Z531" i="7"/>
  <c r="Y531" i="7"/>
  <c r="AA531" i="7" s="1"/>
  <c r="AF531" i="7" s="1"/>
  <c r="AU530" i="7"/>
  <c r="Z530" i="7"/>
  <c r="AA530" i="7" s="1"/>
  <c r="AF530" i="7" s="1"/>
  <c r="Y530" i="7"/>
  <c r="AU529" i="7"/>
  <c r="AA529" i="7"/>
  <c r="AF529" i="7" s="1"/>
  <c r="Z529" i="7"/>
  <c r="Y529" i="7"/>
  <c r="AU528" i="7"/>
  <c r="Z528" i="7"/>
  <c r="AA528" i="7" s="1"/>
  <c r="AF528" i="7" s="1"/>
  <c r="Y528" i="7"/>
  <c r="AU527" i="7"/>
  <c r="Z527" i="7"/>
  <c r="AA527" i="7" s="1"/>
  <c r="AF527" i="7" s="1"/>
  <c r="Y527" i="7"/>
  <c r="AU526" i="7"/>
  <c r="Z526" i="7"/>
  <c r="AA526" i="7" s="1"/>
  <c r="AF526" i="7" s="1"/>
  <c r="Y526" i="7"/>
  <c r="AU525" i="7"/>
  <c r="AC525" i="7"/>
  <c r="Z525" i="7"/>
  <c r="AA525" i="7" s="1"/>
  <c r="AF525" i="7" s="1"/>
  <c r="Y525" i="7"/>
  <c r="AU524" i="7"/>
  <c r="AC524" i="7"/>
  <c r="Z524" i="7"/>
  <c r="AA524" i="7" s="1"/>
  <c r="AF524" i="7" s="1"/>
  <c r="Y524" i="7"/>
  <c r="AU523" i="7"/>
  <c r="AC523" i="7"/>
  <c r="Z523" i="7"/>
  <c r="AA523" i="7" s="1"/>
  <c r="AF523" i="7" s="1"/>
  <c r="Y523" i="7"/>
  <c r="AU522" i="7"/>
  <c r="AC522" i="7"/>
  <c r="Z522" i="7"/>
  <c r="AA522" i="7" s="1"/>
  <c r="AF522" i="7" s="1"/>
  <c r="Y522" i="7"/>
  <c r="AU521" i="7"/>
  <c r="AC521" i="7"/>
  <c r="Z521" i="7"/>
  <c r="AA521" i="7" s="1"/>
  <c r="AF521" i="7" s="1"/>
  <c r="Y521" i="7"/>
  <c r="AU520" i="7"/>
  <c r="Z520" i="7"/>
  <c r="AA520" i="7" s="1"/>
  <c r="AF520" i="7" s="1"/>
  <c r="Y520" i="7"/>
  <c r="AC520" i="7" s="1"/>
  <c r="AU519" i="7"/>
  <c r="AC519" i="7"/>
  <c r="Z519" i="7"/>
  <c r="AA519" i="7" s="1"/>
  <c r="AF519" i="7" s="1"/>
  <c r="Y519" i="7"/>
  <c r="AU518" i="7"/>
  <c r="AC518" i="7"/>
  <c r="Z518" i="7"/>
  <c r="AA518" i="7" s="1"/>
  <c r="AF518" i="7" s="1"/>
  <c r="Y518" i="7"/>
  <c r="AU517" i="7"/>
  <c r="AC517" i="7"/>
  <c r="Z517" i="7"/>
  <c r="AA517" i="7" s="1"/>
  <c r="AF517" i="7" s="1"/>
  <c r="Y517" i="7"/>
  <c r="AU516" i="7"/>
  <c r="Z516" i="7"/>
  <c r="AA516" i="7" s="1"/>
  <c r="AF516" i="7" s="1"/>
  <c r="Y516" i="7"/>
  <c r="AC516" i="7" s="1"/>
  <c r="AU515" i="7"/>
  <c r="AC515" i="7"/>
  <c r="Z515" i="7"/>
  <c r="AA515" i="7" s="1"/>
  <c r="AF515" i="7" s="1"/>
  <c r="Y515" i="7"/>
  <c r="AU514" i="7"/>
  <c r="AC514" i="7"/>
  <c r="Z514" i="7"/>
  <c r="AA514" i="7" s="1"/>
  <c r="AF514" i="7" s="1"/>
  <c r="Y514" i="7"/>
  <c r="AU513" i="7"/>
  <c r="AC513" i="7"/>
  <c r="Z513" i="7"/>
  <c r="AA513" i="7" s="1"/>
  <c r="AF513" i="7" s="1"/>
  <c r="Y513" i="7"/>
  <c r="AU512" i="7"/>
  <c r="Z512" i="7"/>
  <c r="AA512" i="7" s="1"/>
  <c r="AF512" i="7" s="1"/>
  <c r="Y512" i="7"/>
  <c r="AC512" i="7" s="1"/>
  <c r="AU511" i="7"/>
  <c r="AC511" i="7"/>
  <c r="Z511" i="7"/>
  <c r="AA511" i="7" s="1"/>
  <c r="AF511" i="7" s="1"/>
  <c r="Y511" i="7"/>
  <c r="AU510" i="7"/>
  <c r="AC510" i="7"/>
  <c r="Z510" i="7"/>
  <c r="AA510" i="7" s="1"/>
  <c r="AF510" i="7" s="1"/>
  <c r="Y510" i="7"/>
  <c r="AU509" i="7"/>
  <c r="AC509" i="7"/>
  <c r="Z509" i="7"/>
  <c r="AA509" i="7" s="1"/>
  <c r="AF509" i="7" s="1"/>
  <c r="Y509" i="7"/>
  <c r="AU508" i="7"/>
  <c r="Z508" i="7"/>
  <c r="AA508" i="7" s="1"/>
  <c r="AF508" i="7" s="1"/>
  <c r="Y508" i="7"/>
  <c r="AC508" i="7" s="1"/>
  <c r="AU507" i="7"/>
  <c r="AC507" i="7"/>
  <c r="Z507" i="7"/>
  <c r="Y507" i="7"/>
  <c r="AA507" i="7" s="1"/>
  <c r="AF507" i="7" s="1"/>
  <c r="AU506" i="7"/>
  <c r="AC506" i="7"/>
  <c r="Z506" i="7"/>
  <c r="AA506" i="7" s="1"/>
  <c r="AF506" i="7" s="1"/>
  <c r="Y506" i="7"/>
  <c r="Y505" i="7"/>
  <c r="AA505" i="7" s="1"/>
  <c r="AF505" i="7" s="1"/>
  <c r="Y504" i="7"/>
  <c r="AA504" i="7" s="1"/>
  <c r="AF504" i="7" s="1"/>
  <c r="AA503" i="7"/>
  <c r="AF503" i="7" s="1"/>
  <c r="Y503" i="7"/>
  <c r="AA502" i="7"/>
  <c r="AF502" i="7" s="1"/>
  <c r="Y502" i="7"/>
  <c r="Y501" i="7"/>
  <c r="AA501" i="7" s="1"/>
  <c r="AF501" i="7" s="1"/>
  <c r="Y500" i="7"/>
  <c r="AA500" i="7" s="1"/>
  <c r="AF500" i="7" s="1"/>
  <c r="AF499" i="7"/>
  <c r="AA499" i="7"/>
  <c r="Y499" i="7"/>
  <c r="Y498" i="7"/>
  <c r="AA498" i="7" s="1"/>
  <c r="AF498" i="7" s="1"/>
  <c r="Y497" i="7"/>
  <c r="AA497" i="7" s="1"/>
  <c r="AF497" i="7" s="1"/>
  <c r="Y496" i="7"/>
  <c r="AA496" i="7" s="1"/>
  <c r="AF496" i="7" s="1"/>
  <c r="AA495" i="7"/>
  <c r="AF495" i="7" s="1"/>
  <c r="Y495" i="7"/>
  <c r="AA494" i="7"/>
  <c r="AF494" i="7" s="1"/>
  <c r="Y494" i="7"/>
  <c r="Y493" i="7"/>
  <c r="AA493" i="7" s="1"/>
  <c r="AF493" i="7" s="1"/>
  <c r="Y492" i="7"/>
  <c r="AA492" i="7" s="1"/>
  <c r="AF492" i="7" s="1"/>
  <c r="Y491" i="7"/>
  <c r="AA491" i="7" s="1"/>
  <c r="AF491" i="7" s="1"/>
  <c r="Y490" i="7"/>
  <c r="AA490" i="7" s="1"/>
  <c r="AF490" i="7" s="1"/>
  <c r="Y489" i="7"/>
  <c r="AA489" i="7" s="1"/>
  <c r="AF489" i="7" s="1"/>
  <c r="Y488" i="7"/>
  <c r="AA488" i="7" s="1"/>
  <c r="AF488" i="7" s="1"/>
  <c r="AA487" i="7"/>
  <c r="AF487" i="7" s="1"/>
  <c r="Y487" i="7"/>
  <c r="AA486" i="7"/>
  <c r="AF486" i="7" s="1"/>
  <c r="Y486" i="7"/>
  <c r="Y485" i="7"/>
  <c r="AA485" i="7" s="1"/>
  <c r="AF485" i="7" s="1"/>
  <c r="Y484" i="7"/>
  <c r="AA484" i="7" s="1"/>
  <c r="AF484" i="7" s="1"/>
  <c r="Y483" i="7"/>
  <c r="AA483" i="7" s="1"/>
  <c r="AF483" i="7" s="1"/>
  <c r="Y482" i="7"/>
  <c r="AA482" i="7" s="1"/>
  <c r="AF482" i="7" s="1"/>
  <c r="Y481" i="7"/>
  <c r="AA481" i="7" s="1"/>
  <c r="AF481" i="7" s="1"/>
  <c r="Y480" i="7"/>
  <c r="AA480" i="7" s="1"/>
  <c r="AF480" i="7" s="1"/>
  <c r="AA479" i="7"/>
  <c r="AF479" i="7" s="1"/>
  <c r="Y479" i="7"/>
  <c r="AA478" i="7"/>
  <c r="AF478" i="7" s="1"/>
  <c r="Y478" i="7"/>
  <c r="Y477" i="7"/>
  <c r="AA477" i="7" s="1"/>
  <c r="AF477" i="7" s="1"/>
  <c r="Y476" i="7"/>
  <c r="AA476" i="7" s="1"/>
  <c r="AF476" i="7" s="1"/>
  <c r="Y475" i="7"/>
  <c r="AA475" i="7" s="1"/>
  <c r="AF475" i="7" s="1"/>
  <c r="Y474" i="7"/>
  <c r="AA474" i="7" s="1"/>
  <c r="AF474" i="7" s="1"/>
  <c r="Y473" i="7"/>
  <c r="AA473" i="7" s="1"/>
  <c r="AF473" i="7" s="1"/>
  <c r="Y472" i="7"/>
  <c r="AA472" i="7" s="1"/>
  <c r="AF472" i="7" s="1"/>
  <c r="AA471" i="7"/>
  <c r="AF471" i="7" s="1"/>
  <c r="Y471" i="7"/>
  <c r="AA470" i="7"/>
  <c r="AF470" i="7" s="1"/>
  <c r="Y470" i="7"/>
  <c r="Y469" i="7"/>
  <c r="AA469" i="7" s="1"/>
  <c r="AF469" i="7" s="1"/>
  <c r="Y468" i="7"/>
  <c r="AA468" i="7" s="1"/>
  <c r="AF468" i="7" s="1"/>
  <c r="Y467" i="7"/>
  <c r="AA467" i="7" s="1"/>
  <c r="AF467" i="7" s="1"/>
  <c r="Y466" i="7"/>
  <c r="AA466" i="7" s="1"/>
  <c r="AF466" i="7" s="1"/>
  <c r="Y465" i="7"/>
  <c r="AA465" i="7" s="1"/>
  <c r="AF465" i="7" s="1"/>
  <c r="Y464" i="7"/>
  <c r="AA464" i="7" s="1"/>
  <c r="AF464" i="7" s="1"/>
  <c r="AA463" i="7"/>
  <c r="AF463" i="7" s="1"/>
  <c r="Y463" i="7"/>
  <c r="AA462" i="7"/>
  <c r="AF462" i="7" s="1"/>
  <c r="Y462" i="7"/>
  <c r="Y461" i="7"/>
  <c r="AA461" i="7" s="1"/>
  <c r="AF461" i="7" s="1"/>
  <c r="Y460" i="7"/>
  <c r="AA460" i="7" s="1"/>
  <c r="AF460" i="7" s="1"/>
  <c r="Y459" i="7"/>
  <c r="AA459" i="7" s="1"/>
  <c r="AF459" i="7" s="1"/>
  <c r="Y458" i="7"/>
  <c r="AA458" i="7" s="1"/>
  <c r="AF458" i="7" s="1"/>
  <c r="Y457" i="7"/>
  <c r="AA457" i="7" s="1"/>
  <c r="AF457" i="7" s="1"/>
  <c r="Y456" i="7"/>
  <c r="AA456" i="7" s="1"/>
  <c r="AF456" i="7" s="1"/>
  <c r="AA455" i="7"/>
  <c r="AF455" i="7" s="1"/>
  <c r="Y455" i="7"/>
  <c r="AA454" i="7"/>
  <c r="AF454" i="7" s="1"/>
  <c r="Y454" i="7"/>
  <c r="Y453" i="7"/>
  <c r="AA453" i="7" s="1"/>
  <c r="AF453" i="7" s="1"/>
  <c r="Y452" i="7"/>
  <c r="AA452" i="7" s="1"/>
  <c r="AF452" i="7" s="1"/>
  <c r="Y451" i="7"/>
  <c r="AA451" i="7" s="1"/>
  <c r="AF451" i="7" s="1"/>
  <c r="Y450" i="7"/>
  <c r="AA450" i="7" s="1"/>
  <c r="AF450" i="7" s="1"/>
  <c r="Y449" i="7"/>
  <c r="AA449" i="7" s="1"/>
  <c r="AF449" i="7" s="1"/>
  <c r="Y448" i="7"/>
  <c r="AA448" i="7" s="1"/>
  <c r="AF448" i="7" s="1"/>
  <c r="AA447" i="7"/>
  <c r="AF447" i="7" s="1"/>
  <c r="Y447" i="7"/>
  <c r="Y446" i="7"/>
  <c r="AA446" i="7" s="1"/>
  <c r="AF446" i="7" s="1"/>
  <c r="Y445" i="7"/>
  <c r="AA445" i="7" s="1"/>
  <c r="AF445" i="7" s="1"/>
  <c r="Y444" i="7"/>
  <c r="AA444" i="7" s="1"/>
  <c r="AF444" i="7" s="1"/>
  <c r="Y443" i="7"/>
  <c r="AA443" i="7" s="1"/>
  <c r="AF443" i="7" s="1"/>
  <c r="Y442" i="7"/>
  <c r="AA442" i="7" s="1"/>
  <c r="AF442" i="7" s="1"/>
  <c r="Y441" i="7"/>
  <c r="AA441" i="7" s="1"/>
  <c r="AF441" i="7" s="1"/>
  <c r="Y440" i="7"/>
  <c r="AA440" i="7" s="1"/>
  <c r="AF440" i="7" s="1"/>
  <c r="AA439" i="7"/>
  <c r="AF439" i="7" s="1"/>
  <c r="Y439" i="7"/>
  <c r="Y438" i="7"/>
  <c r="AA438" i="7" s="1"/>
  <c r="AF438" i="7" s="1"/>
  <c r="Y437" i="7"/>
  <c r="AA437" i="7" s="1"/>
  <c r="AF437" i="7" s="1"/>
  <c r="Y436" i="7"/>
  <c r="AA436" i="7" s="1"/>
  <c r="AF436" i="7" s="1"/>
  <c r="Y435" i="7"/>
  <c r="AA435" i="7" s="1"/>
  <c r="AF435" i="7" s="1"/>
  <c r="Y434" i="7"/>
  <c r="AA434" i="7" s="1"/>
  <c r="AF434" i="7" s="1"/>
  <c r="Y433" i="7"/>
  <c r="AA433" i="7" s="1"/>
  <c r="AF433" i="7" s="1"/>
  <c r="Y432" i="7"/>
  <c r="AA432" i="7" s="1"/>
  <c r="AF432" i="7" s="1"/>
  <c r="AA431" i="7"/>
  <c r="AF431" i="7" s="1"/>
  <c r="Y431" i="7"/>
  <c r="Y430" i="7"/>
  <c r="AA430" i="7" s="1"/>
  <c r="AF430" i="7" s="1"/>
  <c r="Y429" i="7"/>
  <c r="AA429" i="7" s="1"/>
  <c r="AF429" i="7" s="1"/>
  <c r="Y428" i="7"/>
  <c r="AA428" i="7" s="1"/>
  <c r="AF428" i="7" s="1"/>
  <c r="Y427" i="7"/>
  <c r="AA427" i="7" s="1"/>
  <c r="AF427" i="7" s="1"/>
  <c r="Y426" i="7"/>
  <c r="AA426" i="7" s="1"/>
  <c r="AF426" i="7" s="1"/>
  <c r="Y425" i="7"/>
  <c r="AA425" i="7" s="1"/>
  <c r="AF425" i="7" s="1"/>
  <c r="Y424" i="7"/>
  <c r="AA424" i="7" s="1"/>
  <c r="AF424" i="7" s="1"/>
  <c r="AA423" i="7"/>
  <c r="AF423" i="7" s="1"/>
  <c r="Y423" i="7"/>
  <c r="Y422" i="7"/>
  <c r="AA422" i="7" s="1"/>
  <c r="AF422" i="7" s="1"/>
  <c r="Y421" i="7"/>
  <c r="AA421" i="7" s="1"/>
  <c r="AF421" i="7" s="1"/>
  <c r="Y420" i="7"/>
  <c r="AA420" i="7" s="1"/>
  <c r="AF420" i="7" s="1"/>
  <c r="Y419" i="7"/>
  <c r="AA419" i="7" s="1"/>
  <c r="AF419" i="7" s="1"/>
  <c r="Y418" i="7"/>
  <c r="AA418" i="7" s="1"/>
  <c r="AF418" i="7" s="1"/>
  <c r="Y417" i="7"/>
  <c r="AA417" i="7" s="1"/>
  <c r="AF417" i="7" s="1"/>
  <c r="Y416" i="7"/>
  <c r="AA416" i="7" s="1"/>
  <c r="AF416" i="7" s="1"/>
  <c r="AA415" i="7"/>
  <c r="AF415" i="7" s="1"/>
  <c r="Y415" i="7"/>
  <c r="Y414" i="7"/>
  <c r="AA414" i="7" s="1"/>
  <c r="AF414" i="7" s="1"/>
  <c r="Y413" i="7"/>
  <c r="AA413" i="7" s="1"/>
  <c r="AF413" i="7" s="1"/>
  <c r="Y412" i="7"/>
  <c r="AA412" i="7" s="1"/>
  <c r="AF412" i="7" s="1"/>
  <c r="Y411" i="7"/>
  <c r="AA411" i="7" s="1"/>
  <c r="AF411" i="7" s="1"/>
  <c r="Y410" i="7"/>
  <c r="AA410" i="7" s="1"/>
  <c r="AF410" i="7" s="1"/>
  <c r="Y409" i="7"/>
  <c r="AA409" i="7" s="1"/>
  <c r="AF409" i="7" s="1"/>
  <c r="Y408" i="7"/>
  <c r="AA408" i="7" s="1"/>
  <c r="AF408" i="7" s="1"/>
  <c r="AA407" i="7"/>
  <c r="AF407" i="7" s="1"/>
  <c r="Y407" i="7"/>
  <c r="Y406" i="7"/>
  <c r="AA406" i="7" s="1"/>
  <c r="AF406" i="7" s="1"/>
  <c r="Y405" i="7"/>
  <c r="AA405" i="7" s="1"/>
  <c r="AF405" i="7" s="1"/>
  <c r="Y404" i="7"/>
  <c r="AA404" i="7" s="1"/>
  <c r="AF404" i="7" s="1"/>
  <c r="Y403" i="7"/>
  <c r="AA403" i="7" s="1"/>
  <c r="AF403" i="7" s="1"/>
  <c r="Y402" i="7"/>
  <c r="AA402" i="7" s="1"/>
  <c r="AF402" i="7" s="1"/>
  <c r="Y401" i="7"/>
  <c r="AA401" i="7" s="1"/>
  <c r="AF401" i="7" s="1"/>
  <c r="Y400" i="7"/>
  <c r="AA400" i="7" s="1"/>
  <c r="AF400" i="7" s="1"/>
  <c r="AA399" i="7"/>
  <c r="AF399" i="7" s="1"/>
  <c r="Y399" i="7"/>
  <c r="Y398" i="7"/>
  <c r="AA398" i="7" s="1"/>
  <c r="AF398" i="7" s="1"/>
  <c r="Y397" i="7"/>
  <c r="AA397" i="7" s="1"/>
  <c r="AF397" i="7" s="1"/>
  <c r="Y396" i="7"/>
  <c r="AA396" i="7" s="1"/>
  <c r="AF396" i="7" s="1"/>
  <c r="Y395" i="7"/>
  <c r="AA395" i="7" s="1"/>
  <c r="AF395" i="7" s="1"/>
  <c r="Y394" i="7"/>
  <c r="AA394" i="7" s="1"/>
  <c r="AF394" i="7" s="1"/>
  <c r="Y393" i="7"/>
  <c r="AA393" i="7" s="1"/>
  <c r="AF393" i="7" s="1"/>
  <c r="Y392" i="7"/>
  <c r="AA392" i="7" s="1"/>
  <c r="AF392" i="7" s="1"/>
  <c r="AA391" i="7"/>
  <c r="AF391" i="7" s="1"/>
  <c r="Y391" i="7"/>
  <c r="Y390" i="7"/>
  <c r="AA390" i="7" s="1"/>
  <c r="AF390" i="7" s="1"/>
  <c r="Y389" i="7"/>
  <c r="AA389" i="7" s="1"/>
  <c r="AF389" i="7" s="1"/>
  <c r="Y388" i="7"/>
  <c r="AA388" i="7" s="1"/>
  <c r="AF388" i="7" s="1"/>
  <c r="Y387" i="7"/>
  <c r="AA387" i="7" s="1"/>
  <c r="AF387" i="7" s="1"/>
  <c r="Y386" i="7"/>
  <c r="AA386" i="7" s="1"/>
  <c r="AF386" i="7" s="1"/>
  <c r="Y385" i="7"/>
  <c r="AA385" i="7" s="1"/>
  <c r="AF385" i="7" s="1"/>
  <c r="Y384" i="7"/>
  <c r="AA384" i="7" s="1"/>
  <c r="AF384" i="7" s="1"/>
  <c r="AA383" i="7"/>
  <c r="AF383" i="7" s="1"/>
  <c r="Y383" i="7"/>
  <c r="AA382" i="7"/>
  <c r="AF382" i="7" s="1"/>
  <c r="Y382" i="7"/>
  <c r="Y381" i="7"/>
  <c r="AA381" i="7" s="1"/>
  <c r="AF381" i="7" s="1"/>
  <c r="Y380" i="7"/>
  <c r="AA380" i="7" s="1"/>
  <c r="AF380" i="7" s="1"/>
  <c r="Y379" i="7"/>
  <c r="AA379" i="7" s="1"/>
  <c r="AF379" i="7" s="1"/>
  <c r="Y378" i="7"/>
  <c r="AA378" i="7" s="1"/>
  <c r="AF378" i="7" s="1"/>
  <c r="Y766" i="6"/>
  <c r="AA766" i="6" s="1"/>
  <c r="AF766" i="6" s="1"/>
  <c r="Y765" i="6"/>
  <c r="AA765" i="6" s="1"/>
  <c r="AF765" i="6" s="1"/>
  <c r="AA764" i="6"/>
  <c r="AF764" i="6" s="1"/>
  <c r="Y764" i="6"/>
  <c r="AA763" i="6"/>
  <c r="AF763" i="6" s="1"/>
  <c r="Y763" i="6"/>
  <c r="Y762" i="6"/>
  <c r="AA762" i="6" s="1"/>
  <c r="AA761" i="6"/>
  <c r="AF761" i="6" s="1"/>
  <c r="Y761" i="6"/>
  <c r="AA760" i="6"/>
  <c r="AF760" i="6" s="1"/>
  <c r="Y760" i="6"/>
  <c r="AA759" i="6"/>
  <c r="AF759" i="6" s="1"/>
  <c r="Y759" i="6"/>
  <c r="AF758" i="6"/>
  <c r="AA758" i="6"/>
  <c r="Y758" i="6"/>
  <c r="AA757" i="6"/>
  <c r="Y757" i="6"/>
  <c r="AA756" i="6"/>
  <c r="AF756" i="6" s="1"/>
  <c r="Y756" i="6"/>
  <c r="AF755" i="6"/>
  <c r="AA755" i="6"/>
  <c r="Y755" i="6"/>
  <c r="AF754" i="6"/>
  <c r="AA754" i="6"/>
  <c r="Y754" i="6"/>
  <c r="Y753" i="6"/>
  <c r="AA753" i="6" s="1"/>
  <c r="AF753" i="6" s="1"/>
  <c r="AA752" i="6"/>
  <c r="Y752" i="6"/>
  <c r="AF751" i="6"/>
  <c r="AA751" i="6"/>
  <c r="Y751" i="6"/>
  <c r="Y750" i="6"/>
  <c r="AA750" i="6" s="1"/>
  <c r="AF750" i="6" s="1"/>
  <c r="Y749" i="6"/>
  <c r="AA749" i="6" s="1"/>
  <c r="AF749" i="6" s="1"/>
  <c r="Y748" i="6"/>
  <c r="AA748" i="6" s="1"/>
  <c r="AF748" i="6" s="1"/>
  <c r="Y747" i="6"/>
  <c r="AA747" i="6" s="1"/>
  <c r="AA746" i="6"/>
  <c r="Y746" i="6"/>
  <c r="Y745" i="6"/>
  <c r="AA745" i="6" s="1"/>
  <c r="AF745" i="6" s="1"/>
  <c r="Y744" i="6"/>
  <c r="AA744" i="6" s="1"/>
  <c r="AF744" i="6" s="1"/>
  <c r="Y743" i="6"/>
  <c r="AA743" i="6" s="1"/>
  <c r="AF743" i="6" s="1"/>
  <c r="Y742" i="6"/>
  <c r="AA742" i="6" s="1"/>
  <c r="AF742" i="6" s="1"/>
  <c r="Y741" i="6"/>
  <c r="AA741" i="6" s="1"/>
  <c r="Y740" i="6"/>
  <c r="AA740" i="6" s="1"/>
  <c r="Y739" i="6"/>
  <c r="AA739" i="6" s="1"/>
  <c r="AF739" i="6" s="1"/>
  <c r="Y738" i="6"/>
  <c r="AA738" i="6" s="1"/>
  <c r="AF738" i="6" s="1"/>
  <c r="Y737" i="6"/>
  <c r="AA737" i="6" s="1"/>
  <c r="AF737" i="6" s="1"/>
  <c r="Y736" i="6"/>
  <c r="AA736" i="6" s="1"/>
  <c r="AF736" i="6" s="1"/>
  <c r="AA735" i="6"/>
  <c r="AF735" i="6" s="1"/>
  <c r="Y735" i="6"/>
  <c r="AA734" i="6"/>
  <c r="AF734" i="6" s="1"/>
  <c r="Y734" i="6"/>
  <c r="AA733" i="6"/>
  <c r="AF733" i="6" s="1"/>
  <c r="Y733" i="6"/>
  <c r="Y732" i="6"/>
  <c r="AA732" i="6" s="1"/>
  <c r="AF732" i="6" s="1"/>
  <c r="AF731" i="6"/>
  <c r="AA731" i="6"/>
  <c r="Y731" i="6"/>
  <c r="Y730" i="6"/>
  <c r="AA730" i="6" s="1"/>
  <c r="AF730" i="6" s="1"/>
  <c r="Y729" i="6"/>
  <c r="AA729" i="6" s="1"/>
  <c r="AF729" i="6" s="1"/>
  <c r="Y728" i="6"/>
  <c r="AA728" i="6" s="1"/>
  <c r="AA727" i="6"/>
  <c r="Y727" i="6"/>
  <c r="Y726" i="6"/>
  <c r="AA726" i="6" s="1"/>
  <c r="AF726" i="6" s="1"/>
  <c r="Y725" i="6"/>
  <c r="AA725" i="6" s="1"/>
  <c r="AF725" i="6" s="1"/>
  <c r="Y724" i="6"/>
  <c r="AA724" i="6" s="1"/>
  <c r="AF724" i="6" s="1"/>
  <c r="Y723" i="6"/>
  <c r="AA723" i="6" s="1"/>
  <c r="AF723" i="6" s="1"/>
  <c r="Y722" i="6"/>
  <c r="AA722" i="6" s="1"/>
  <c r="AF722" i="6" s="1"/>
  <c r="AA721" i="6"/>
  <c r="AF721" i="6" s="1"/>
  <c r="Y721" i="6"/>
  <c r="AA720" i="6"/>
  <c r="AF720" i="6" s="1"/>
  <c r="Y720" i="6"/>
  <c r="AA719" i="6"/>
  <c r="AF719" i="6" s="1"/>
  <c r="Y719" i="6"/>
  <c r="Y718" i="6"/>
  <c r="AA718" i="6" s="1"/>
  <c r="AF718" i="6" s="1"/>
  <c r="Y717" i="6"/>
  <c r="AA717" i="6" s="1"/>
  <c r="AF717" i="6" s="1"/>
  <c r="Y716" i="6"/>
  <c r="AA716" i="6" s="1"/>
  <c r="AF716" i="6" s="1"/>
  <c r="Y715" i="6"/>
  <c r="AA715" i="6" s="1"/>
  <c r="AF715" i="6" s="1"/>
  <c r="Y714" i="6"/>
  <c r="AA714" i="6" s="1"/>
  <c r="AF714" i="6" s="1"/>
  <c r="AA713" i="6"/>
  <c r="AF713" i="6" s="1"/>
  <c r="Y713" i="6"/>
  <c r="AA712" i="6"/>
  <c r="AF712" i="6" s="1"/>
  <c r="Y712" i="6"/>
  <c r="AA711" i="6"/>
  <c r="AF711" i="6" s="1"/>
  <c r="Y711" i="6"/>
  <c r="Y710" i="6"/>
  <c r="AA710" i="6" s="1"/>
  <c r="AF710" i="6" s="1"/>
  <c r="Y709" i="6"/>
  <c r="AA709" i="6" s="1"/>
  <c r="AF709" i="6" s="1"/>
  <c r="Y708" i="6"/>
  <c r="AA708" i="6" s="1"/>
  <c r="AF708" i="6" s="1"/>
  <c r="Y707" i="6"/>
  <c r="AA707" i="6" s="1"/>
  <c r="AF707" i="6" s="1"/>
  <c r="Y706" i="6"/>
  <c r="AA706" i="6" s="1"/>
  <c r="AF706" i="6" s="1"/>
  <c r="AA705" i="6"/>
  <c r="AF705" i="6" s="1"/>
  <c r="Y705" i="6"/>
  <c r="Y704" i="6"/>
  <c r="AA704" i="6" s="1"/>
  <c r="AF704" i="6" s="1"/>
  <c r="AA703" i="6"/>
  <c r="AF703" i="6" s="1"/>
  <c r="Y703" i="6"/>
  <c r="Y702" i="6"/>
  <c r="AA702" i="6" s="1"/>
  <c r="AF702" i="6" s="1"/>
  <c r="Y701" i="6"/>
  <c r="AA701" i="6" s="1"/>
  <c r="AF701" i="6" s="1"/>
  <c r="Y700" i="6"/>
  <c r="AA700" i="6" s="1"/>
  <c r="AF700" i="6" s="1"/>
  <c r="Y699" i="6"/>
  <c r="AA699" i="6" s="1"/>
  <c r="AF699" i="6" s="1"/>
  <c r="Y698" i="6"/>
  <c r="AA698" i="6" s="1"/>
  <c r="AF698" i="6" s="1"/>
  <c r="AA697" i="6"/>
  <c r="AF697" i="6" s="1"/>
  <c r="Y697" i="6"/>
  <c r="AA696" i="6"/>
  <c r="AF696" i="6" s="1"/>
  <c r="Y696" i="6"/>
  <c r="AA695" i="6"/>
  <c r="AF695" i="6" s="1"/>
  <c r="Y695" i="6"/>
  <c r="Y694" i="6"/>
  <c r="AA694" i="6" s="1"/>
  <c r="AF694" i="6" s="1"/>
  <c r="AF693" i="6"/>
  <c r="AA693" i="6"/>
  <c r="Y693" i="6"/>
  <c r="Y692" i="6"/>
  <c r="AA692" i="6" s="1"/>
  <c r="AF692" i="6" s="1"/>
  <c r="Y691" i="6"/>
  <c r="AA691" i="6" s="1"/>
  <c r="AF691" i="6" s="1"/>
  <c r="Y690" i="6"/>
  <c r="AA690" i="6" s="1"/>
  <c r="AF690" i="6" s="1"/>
  <c r="AA689" i="6"/>
  <c r="AF689" i="6" s="1"/>
  <c r="Y689" i="6"/>
  <c r="Y688" i="6"/>
  <c r="AA688" i="6" s="1"/>
  <c r="Y687" i="6"/>
  <c r="AA687" i="6" s="1"/>
  <c r="AF687" i="6" s="1"/>
  <c r="X686" i="6"/>
  <c r="Y686" i="6" s="1"/>
  <c r="AA686" i="6" s="1"/>
  <c r="AF686" i="6" s="1"/>
  <c r="AF685" i="6"/>
  <c r="AA685" i="6"/>
  <c r="Y685" i="6"/>
  <c r="Y684" i="6"/>
  <c r="AA684" i="6" s="1"/>
  <c r="AF684" i="6" s="1"/>
  <c r="X684" i="6"/>
  <c r="AA683" i="6"/>
  <c r="AF683" i="6" s="1"/>
  <c r="Y683" i="6"/>
  <c r="AA682" i="6"/>
  <c r="AF682" i="6" s="1"/>
  <c r="Y682" i="6"/>
  <c r="Y681" i="6"/>
  <c r="AA681" i="6" s="1"/>
  <c r="AF681" i="6" s="1"/>
  <c r="AF680" i="6"/>
  <c r="AA680" i="6"/>
  <c r="Y680" i="6"/>
  <c r="Y679" i="6"/>
  <c r="AA679" i="6" s="1"/>
  <c r="AF679" i="6" s="1"/>
  <c r="Y678" i="6"/>
  <c r="AA678" i="6" s="1"/>
  <c r="AF678" i="6" s="1"/>
  <c r="Y677" i="6"/>
  <c r="AA677" i="6" s="1"/>
  <c r="AF677" i="6" s="1"/>
  <c r="AA676" i="6"/>
  <c r="AF676" i="6" s="1"/>
  <c r="Y676" i="6"/>
  <c r="AA675" i="6"/>
  <c r="AF675" i="6" s="1"/>
  <c r="Y675" i="6"/>
  <c r="AA674" i="6"/>
  <c r="AF674" i="6" s="1"/>
  <c r="Y674" i="6"/>
  <c r="Y673" i="6"/>
  <c r="AA673" i="6" s="1"/>
  <c r="AF673" i="6" s="1"/>
  <c r="AF672" i="6"/>
  <c r="AA672" i="6"/>
  <c r="Y672" i="6"/>
  <c r="Y671" i="6"/>
  <c r="AA671" i="6" s="1"/>
  <c r="AF671" i="6" s="1"/>
  <c r="Y670" i="6"/>
  <c r="AA670" i="6" s="1"/>
  <c r="AF670" i="6" s="1"/>
  <c r="Y669" i="6"/>
  <c r="AA669" i="6" s="1"/>
  <c r="AF669" i="6" s="1"/>
  <c r="AA668" i="6"/>
  <c r="AF668" i="6" s="1"/>
  <c r="Y668" i="6"/>
  <c r="AA667" i="6"/>
  <c r="AF667" i="6" s="1"/>
  <c r="Y667" i="6"/>
  <c r="AA666" i="6"/>
  <c r="AF666" i="6" s="1"/>
  <c r="Y666" i="6"/>
  <c r="AF665" i="6"/>
  <c r="AA665" i="6"/>
  <c r="Y665" i="6"/>
  <c r="AF664" i="6"/>
  <c r="AA664" i="6"/>
  <c r="Y664" i="6"/>
  <c r="Y663" i="6"/>
  <c r="AA663" i="6" s="1"/>
  <c r="AF663" i="6" s="1"/>
  <c r="Y662" i="6"/>
  <c r="AA662" i="6" s="1"/>
  <c r="AF662" i="6" s="1"/>
  <c r="Y661" i="6"/>
  <c r="AA661" i="6" s="1"/>
  <c r="AF661" i="6" s="1"/>
  <c r="AA660" i="6"/>
  <c r="AF660" i="6" s="1"/>
  <c r="Y660" i="6"/>
  <c r="AA659" i="6"/>
  <c r="AF659" i="6" s="1"/>
  <c r="Y659" i="6"/>
  <c r="AA658" i="6"/>
  <c r="AF658" i="6" s="1"/>
  <c r="Y658" i="6"/>
  <c r="Y657" i="6"/>
  <c r="AA657" i="6" s="1"/>
  <c r="AF657" i="6" s="1"/>
  <c r="X656" i="6"/>
  <c r="Y656" i="6" s="1"/>
  <c r="AA656" i="6" s="1"/>
  <c r="AF656" i="6" s="1"/>
  <c r="AA655" i="6"/>
  <c r="AF655" i="6" s="1"/>
  <c r="Y655" i="6"/>
  <c r="AA654" i="6"/>
  <c r="AF654" i="6" s="1"/>
  <c r="Y654" i="6"/>
  <c r="X653" i="6"/>
  <c r="Y653" i="6" s="1"/>
  <c r="AA653" i="6" s="1"/>
  <c r="AF653" i="6" s="1"/>
  <c r="Y652" i="6"/>
  <c r="AA652" i="6" s="1"/>
  <c r="AF652" i="6" s="1"/>
  <c r="Y651" i="6"/>
  <c r="AA651" i="6" s="1"/>
  <c r="AF651" i="6" s="1"/>
  <c r="AA650" i="6"/>
  <c r="AF650" i="6" s="1"/>
  <c r="Y650" i="6"/>
  <c r="AA649" i="6"/>
  <c r="AF649" i="6" s="1"/>
  <c r="Y649" i="6"/>
  <c r="AA648" i="6"/>
  <c r="AF648" i="6" s="1"/>
  <c r="Y648" i="6"/>
  <c r="Y647" i="6"/>
  <c r="AA647" i="6" s="1"/>
  <c r="AF647" i="6" s="1"/>
  <c r="Y646" i="6"/>
  <c r="AA646" i="6" s="1"/>
  <c r="AF646" i="6" s="1"/>
  <c r="Y645" i="6"/>
  <c r="AA645" i="6" s="1"/>
  <c r="AF645" i="6" s="1"/>
  <c r="X645" i="6"/>
  <c r="AA644" i="6"/>
  <c r="AF644" i="6" s="1"/>
  <c r="Y644" i="6"/>
  <c r="AA643" i="6"/>
  <c r="AF643" i="6" s="1"/>
  <c r="Y643" i="6"/>
  <c r="Y642" i="6"/>
  <c r="AA642" i="6" s="1"/>
  <c r="AF642" i="6" s="1"/>
  <c r="AF641" i="6"/>
  <c r="AA641" i="6"/>
  <c r="Y641" i="6"/>
  <c r="Y640" i="6"/>
  <c r="AA640" i="6" s="1"/>
  <c r="AF640" i="6" s="1"/>
  <c r="Y639" i="6"/>
  <c r="AA639" i="6" s="1"/>
  <c r="AF639" i="6" s="1"/>
  <c r="Y638" i="6"/>
  <c r="AA638" i="6" s="1"/>
  <c r="AF638" i="6" s="1"/>
  <c r="AA637" i="6"/>
  <c r="AF637" i="6" s="1"/>
  <c r="Y637" i="6"/>
  <c r="Y636" i="6"/>
  <c r="AA636" i="6" s="1"/>
  <c r="AF636" i="6" s="1"/>
  <c r="AA635" i="6"/>
  <c r="AF635" i="6" s="1"/>
  <c r="Y635" i="6"/>
  <c r="Y634" i="6"/>
  <c r="AA634" i="6" s="1"/>
  <c r="AF634" i="6" s="1"/>
  <c r="Y633" i="6"/>
  <c r="AA633" i="6" s="1"/>
  <c r="AF633" i="6" s="1"/>
  <c r="Y632" i="6"/>
  <c r="AA632" i="6" s="1"/>
  <c r="AF632" i="6" s="1"/>
  <c r="Y631" i="6"/>
  <c r="AA631" i="6" s="1"/>
  <c r="AF631" i="6" s="1"/>
  <c r="Y630" i="6"/>
  <c r="AA630" i="6" s="1"/>
  <c r="AF630" i="6" s="1"/>
  <c r="AA629" i="6"/>
  <c r="AF629" i="6" s="1"/>
  <c r="Y629" i="6"/>
  <c r="Y628" i="6"/>
  <c r="AA628" i="6" s="1"/>
  <c r="AF628" i="6" s="1"/>
  <c r="AA627" i="6"/>
  <c r="AF627" i="6" s="1"/>
  <c r="Y627" i="6"/>
  <c r="Y377" i="7"/>
  <c r="AC377" i="7" s="1"/>
  <c r="Y376" i="7"/>
  <c r="Y375" i="7"/>
  <c r="AC375" i="7" s="1"/>
  <c r="Y374" i="7"/>
  <c r="X374" i="7"/>
  <c r="AA373" i="7"/>
  <c r="AF373" i="7" s="1"/>
  <c r="Y373" i="7"/>
  <c r="AC373" i="7" s="1"/>
  <c r="AC372" i="7"/>
  <c r="AA372" i="7"/>
  <c r="AF372" i="7" s="1"/>
  <c r="Y372" i="7"/>
  <c r="AA371" i="7"/>
  <c r="AF371" i="7" s="1"/>
  <c r="Y371" i="7"/>
  <c r="AC371" i="7" s="1"/>
  <c r="AC370" i="7"/>
  <c r="AA370" i="7"/>
  <c r="AF370" i="7" s="1"/>
  <c r="Y370" i="7"/>
  <c r="AA369" i="7"/>
  <c r="AF369" i="7" s="1"/>
  <c r="Y369" i="7"/>
  <c r="AC369" i="7" s="1"/>
  <c r="AC368" i="7"/>
  <c r="AA368" i="7"/>
  <c r="AF368" i="7" s="1"/>
  <c r="Y368" i="7"/>
  <c r="AA367" i="7"/>
  <c r="AF367" i="7" s="1"/>
  <c r="Y367" i="7"/>
  <c r="AC367" i="7" s="1"/>
  <c r="Y366" i="7"/>
  <c r="AA366" i="7" s="1"/>
  <c r="AF366" i="7" s="1"/>
  <c r="Y365" i="7"/>
  <c r="AA365" i="7" s="1"/>
  <c r="AF365" i="7" s="1"/>
  <c r="Y364" i="7"/>
  <c r="AA364" i="7" s="1"/>
  <c r="AF364" i="7" s="1"/>
  <c r="AA363" i="7"/>
  <c r="AF363" i="7" s="1"/>
  <c r="Y363" i="7"/>
  <c r="Y362" i="7"/>
  <c r="AA362" i="7" s="1"/>
  <c r="AF362" i="7" s="1"/>
  <c r="Y361" i="7"/>
  <c r="AA361" i="7" s="1"/>
  <c r="AF361" i="7" s="1"/>
  <c r="Y360" i="7"/>
  <c r="AA360" i="7" s="1"/>
  <c r="AF360" i="7" s="1"/>
  <c r="AA359" i="7"/>
  <c r="AF359" i="7" s="1"/>
  <c r="Y359" i="7"/>
  <c r="Y358" i="7"/>
  <c r="AA358" i="7" s="1"/>
  <c r="AF358" i="7" s="1"/>
  <c r="AA357" i="7"/>
  <c r="AF357" i="7" s="1"/>
  <c r="Y357" i="7"/>
  <c r="Y356" i="7"/>
  <c r="AA356" i="7" s="1"/>
  <c r="AF356" i="7" s="1"/>
  <c r="AA355" i="7"/>
  <c r="AF355" i="7" s="1"/>
  <c r="Y355" i="7"/>
  <c r="Y354" i="7"/>
  <c r="AA354" i="7" s="1"/>
  <c r="AF354" i="7" s="1"/>
  <c r="Y353" i="7"/>
  <c r="AA353" i="7" s="1"/>
  <c r="AF353" i="7" s="1"/>
  <c r="Y352" i="7"/>
  <c r="AA352" i="7" s="1"/>
  <c r="AF352" i="7" s="1"/>
  <c r="Y351" i="7"/>
  <c r="AA351" i="7" s="1"/>
  <c r="AF351" i="7" s="1"/>
  <c r="Y350" i="7"/>
  <c r="AA350" i="7" s="1"/>
  <c r="AF350" i="7" s="1"/>
  <c r="Y349" i="7"/>
  <c r="AA349" i="7" s="1"/>
  <c r="AF349" i="7" s="1"/>
  <c r="Y348" i="7"/>
  <c r="AA348" i="7" s="1"/>
  <c r="AF348" i="7" s="1"/>
  <c r="AA347" i="7"/>
  <c r="AF347" i="7" s="1"/>
  <c r="Y347" i="7"/>
  <c r="Y346" i="7"/>
  <c r="AA346" i="7" s="1"/>
  <c r="AF346" i="7" s="1"/>
  <c r="Y345" i="7"/>
  <c r="AA345" i="7" s="1"/>
  <c r="AF345" i="7" s="1"/>
  <c r="Y344" i="7"/>
  <c r="AA344" i="7" s="1"/>
  <c r="AF344" i="7" s="1"/>
  <c r="Y343" i="7"/>
  <c r="AA343" i="7" s="1"/>
  <c r="AF343" i="7" s="1"/>
  <c r="Y342" i="7"/>
  <c r="AA342" i="7" s="1"/>
  <c r="AF342" i="7" s="1"/>
  <c r="Y341" i="7"/>
  <c r="AA341" i="7" s="1"/>
  <c r="AF341" i="7" s="1"/>
  <c r="Y340" i="7"/>
  <c r="AA340" i="7" s="1"/>
  <c r="AF340" i="7" s="1"/>
  <c r="AA339" i="7"/>
  <c r="AF339" i="7" s="1"/>
  <c r="Y339" i="7"/>
  <c r="Y338" i="7"/>
  <c r="AA338" i="7" s="1"/>
  <c r="AF338" i="7" s="1"/>
  <c r="Y337" i="7"/>
  <c r="AA337" i="7" s="1"/>
  <c r="AF337" i="7" s="1"/>
  <c r="Y336" i="7"/>
  <c r="AA336" i="7" s="1"/>
  <c r="AF336" i="7" s="1"/>
  <c r="Y335" i="7"/>
  <c r="AA335" i="7" s="1"/>
  <c r="AF335" i="7" s="1"/>
  <c r="Y334" i="7"/>
  <c r="AA334" i="7" s="1"/>
  <c r="AF334" i="7" s="1"/>
  <c r="Y333" i="7"/>
  <c r="AA333" i="7" s="1"/>
  <c r="AF333" i="7" s="1"/>
  <c r="Y332" i="7"/>
  <c r="AA332" i="7" s="1"/>
  <c r="AF332" i="7" s="1"/>
  <c r="AA331" i="7"/>
  <c r="AF331" i="7" s="1"/>
  <c r="Y331" i="7"/>
  <c r="Y330" i="7"/>
  <c r="AA330" i="7" s="1"/>
  <c r="AF330" i="7" s="1"/>
  <c r="Y329" i="7"/>
  <c r="AA329" i="7" s="1"/>
  <c r="AF329" i="7" s="1"/>
  <c r="AF328" i="7"/>
  <c r="Y328" i="7"/>
  <c r="AA328" i="7" s="1"/>
  <c r="Y327" i="7"/>
  <c r="AA327" i="7" s="1"/>
  <c r="AF327" i="7" s="1"/>
  <c r="Y326" i="7"/>
  <c r="AA326" i="7" s="1"/>
  <c r="AF326" i="7" s="1"/>
  <c r="Y325" i="7"/>
  <c r="AA325" i="7" s="1"/>
  <c r="AF325" i="7" s="1"/>
  <c r="Y324" i="7"/>
  <c r="AA324" i="7" s="1"/>
  <c r="AF324" i="7" s="1"/>
  <c r="AA323" i="7"/>
  <c r="AF323" i="7" s="1"/>
  <c r="Y323" i="7"/>
  <c r="Y322" i="7"/>
  <c r="AA322" i="7" s="1"/>
  <c r="AF322" i="7" s="1"/>
  <c r="Y321" i="7"/>
  <c r="AA321" i="7" s="1"/>
  <c r="AF321" i="7" s="1"/>
  <c r="Y320" i="7"/>
  <c r="AC320" i="7" s="1"/>
  <c r="Y319" i="7"/>
  <c r="AC319" i="7" s="1"/>
  <c r="Y318" i="7"/>
  <c r="AC318" i="7" s="1"/>
  <c r="Y317" i="7"/>
  <c r="AC317" i="7" s="1"/>
  <c r="Y316" i="7"/>
  <c r="AC316" i="7" s="1"/>
  <c r="Y315" i="7"/>
  <c r="AC315" i="7" s="1"/>
  <c r="Y314" i="7"/>
  <c r="AC314" i="7" s="1"/>
  <c r="Y313" i="7"/>
  <c r="AC313" i="7" s="1"/>
  <c r="Y312" i="7"/>
  <c r="AC312" i="7" s="1"/>
  <c r="Y311" i="7"/>
  <c r="AA311" i="7" s="1"/>
  <c r="AF311" i="7" s="1"/>
  <c r="AC310" i="7"/>
  <c r="Y310" i="7"/>
  <c r="AA310" i="7" s="1"/>
  <c r="AF310" i="7" s="1"/>
  <c r="AC309" i="7"/>
  <c r="Y309" i="7"/>
  <c r="AA309" i="7" s="1"/>
  <c r="AF309" i="7" s="1"/>
  <c r="AC308" i="7"/>
  <c r="Y308" i="7"/>
  <c r="AA308" i="7" s="1"/>
  <c r="AF308" i="7" s="1"/>
  <c r="AA307" i="7"/>
  <c r="AF307" i="7" s="1"/>
  <c r="Y307" i="7"/>
  <c r="Y306" i="7"/>
  <c r="AA306" i="7" s="1"/>
  <c r="AF306" i="7" s="1"/>
  <c r="Y305" i="7"/>
  <c r="AA305" i="7" s="1"/>
  <c r="AF305" i="7" s="1"/>
  <c r="Y304" i="7"/>
  <c r="AA304" i="7" s="1"/>
  <c r="AF304" i="7" s="1"/>
  <c r="AA303" i="7"/>
  <c r="AF303" i="7" s="1"/>
  <c r="Y303" i="7"/>
  <c r="Y302" i="7"/>
  <c r="AA302" i="7" s="1"/>
  <c r="AF302" i="7" s="1"/>
  <c r="Y301" i="7"/>
  <c r="Y300" i="7"/>
  <c r="AC300" i="7" s="1"/>
  <c r="Y299" i="7"/>
  <c r="Y298" i="7"/>
  <c r="AC298" i="7" s="1"/>
  <c r="Y297" i="7"/>
  <c r="Y296" i="7"/>
  <c r="AC296" i="7" s="1"/>
  <c r="Y295" i="7"/>
  <c r="Y294" i="7"/>
  <c r="AC294" i="7" s="1"/>
  <c r="Y293" i="7"/>
  <c r="Y292" i="7"/>
  <c r="AC292" i="7" s="1"/>
  <c r="Y291" i="7"/>
  <c r="Y290" i="7"/>
  <c r="AA290" i="7" s="1"/>
  <c r="AF290" i="7" s="1"/>
  <c r="AA289" i="7"/>
  <c r="AF289" i="7" s="1"/>
  <c r="Y289" i="7"/>
  <c r="AA288" i="7"/>
  <c r="AF288" i="7" s="1"/>
  <c r="Y288" i="7"/>
  <c r="Y287" i="7"/>
  <c r="AA287" i="7" s="1"/>
  <c r="AF287" i="7" s="1"/>
  <c r="Y286" i="7"/>
  <c r="AA286" i="7" s="1"/>
  <c r="AF286" i="7" s="1"/>
  <c r="Y285" i="7"/>
  <c r="AA285" i="7" s="1"/>
  <c r="AF285" i="7" s="1"/>
  <c r="Y284" i="7"/>
  <c r="AA284" i="7" s="1"/>
  <c r="AF284" i="7" s="1"/>
  <c r="Y283" i="7"/>
  <c r="AA283" i="7" s="1"/>
  <c r="AF283" i="7" s="1"/>
  <c r="Y282" i="7"/>
  <c r="AA282" i="7" s="1"/>
  <c r="AF282" i="7" s="1"/>
  <c r="AA281" i="7"/>
  <c r="AF281" i="7" s="1"/>
  <c r="Y281" i="7"/>
  <c r="AA280" i="7"/>
  <c r="AF280" i="7" s="1"/>
  <c r="Y280" i="7"/>
  <c r="Y279" i="7"/>
  <c r="AA279" i="7" s="1"/>
  <c r="AF279" i="7" s="1"/>
  <c r="Y278" i="7"/>
  <c r="AA278" i="7" s="1"/>
  <c r="AF278" i="7" s="1"/>
  <c r="AF277" i="7"/>
  <c r="AC277" i="7"/>
  <c r="AA277" i="7"/>
  <c r="Y277" i="7"/>
  <c r="AA276" i="7"/>
  <c r="AF276" i="7" s="1"/>
  <c r="Y276" i="7"/>
  <c r="AA275" i="7"/>
  <c r="AF275" i="7" s="1"/>
  <c r="Y275" i="7"/>
  <c r="Y274" i="7"/>
  <c r="AA274" i="7" s="1"/>
  <c r="AF274" i="7" s="1"/>
  <c r="Y273" i="7"/>
  <c r="AA273" i="7" s="1"/>
  <c r="AF273" i="7" s="1"/>
  <c r="Y272" i="7"/>
  <c r="AA272" i="7" s="1"/>
  <c r="AF272" i="7" s="1"/>
  <c r="Y271" i="7"/>
  <c r="AA271" i="7" s="1"/>
  <c r="AF271" i="7" s="1"/>
  <c r="Y270" i="7"/>
  <c r="AA270" i="7" s="1"/>
  <c r="AF270" i="7" s="1"/>
  <c r="Y269" i="7"/>
  <c r="AA269" i="7" s="1"/>
  <c r="AF269" i="7" s="1"/>
  <c r="AA268" i="7"/>
  <c r="AF268" i="7" s="1"/>
  <c r="Y268" i="7"/>
  <c r="AA267" i="7"/>
  <c r="AF267" i="7" s="1"/>
  <c r="Y267" i="7"/>
  <c r="Y266" i="7"/>
  <c r="AA266" i="7" s="1"/>
  <c r="AF266" i="7" s="1"/>
  <c r="Y265" i="7"/>
  <c r="AA265" i="7" s="1"/>
  <c r="AF265" i="7" s="1"/>
  <c r="AC264" i="7"/>
  <c r="Y264" i="7"/>
  <c r="AA264" i="7" s="1"/>
  <c r="AF264" i="7" s="1"/>
  <c r="Y263" i="7"/>
  <c r="AC263" i="7" s="1"/>
  <c r="Y262" i="7"/>
  <c r="AC262" i="7" s="1"/>
  <c r="Y261" i="7"/>
  <c r="AC261" i="7" s="1"/>
  <c r="Y260" i="7"/>
  <c r="AC260" i="7" s="1"/>
  <c r="AA259" i="7"/>
  <c r="AF259" i="7" s="1"/>
  <c r="Y259" i="7"/>
  <c r="AA258" i="7"/>
  <c r="AF258" i="7" s="1"/>
  <c r="Y258" i="7"/>
  <c r="Y257" i="7"/>
  <c r="AA257" i="7" s="1"/>
  <c r="AF257" i="7" s="1"/>
  <c r="Y256" i="7"/>
  <c r="AA256" i="7" s="1"/>
  <c r="AF256" i="7" s="1"/>
  <c r="AF255" i="7"/>
  <c r="Y255" i="7"/>
  <c r="AA255" i="7" s="1"/>
  <c r="Y254" i="7"/>
  <c r="AA254" i="7" s="1"/>
  <c r="AF254" i="7" s="1"/>
  <c r="Y253" i="7"/>
  <c r="AA253" i="7" s="1"/>
  <c r="AF253" i="7" s="1"/>
  <c r="Y252" i="7"/>
  <c r="AA252" i="7" s="1"/>
  <c r="AF252" i="7" s="1"/>
  <c r="AA251" i="7"/>
  <c r="AF251" i="7" s="1"/>
  <c r="Y251" i="7"/>
  <c r="AA250" i="7"/>
  <c r="AF250" i="7" s="1"/>
  <c r="Y250" i="7"/>
  <c r="Y249" i="7"/>
  <c r="AA249" i="7" s="1"/>
  <c r="AF249" i="7" s="1"/>
  <c r="Y248" i="7"/>
  <c r="AA248" i="7" s="1"/>
  <c r="AF248" i="7" s="1"/>
  <c r="AF247" i="7"/>
  <c r="Y247" i="7"/>
  <c r="AA247" i="7" s="1"/>
  <c r="Y246" i="7"/>
  <c r="AA246" i="7" s="1"/>
  <c r="AF246" i="7" s="1"/>
  <c r="Y245" i="7"/>
  <c r="AA245" i="7" s="1"/>
  <c r="AF245" i="7" s="1"/>
  <c r="Y244" i="7"/>
  <c r="AA244" i="7" s="1"/>
  <c r="AF244" i="7" s="1"/>
  <c r="AA243" i="7"/>
  <c r="AF243" i="7" s="1"/>
  <c r="Y243" i="7"/>
  <c r="AA242" i="7"/>
  <c r="AF242" i="7" s="1"/>
  <c r="Y242" i="7"/>
  <c r="Y241" i="7"/>
  <c r="AA241" i="7" s="1"/>
  <c r="AF241" i="7" s="1"/>
  <c r="Y240" i="7"/>
  <c r="AA240" i="7" s="1"/>
  <c r="AF240" i="7" s="1"/>
  <c r="Y239" i="7"/>
  <c r="AA239" i="7" s="1"/>
  <c r="AF239" i="7" s="1"/>
  <c r="Y238" i="7"/>
  <c r="AA238" i="7" s="1"/>
  <c r="AF238" i="7" s="1"/>
  <c r="Y237" i="7"/>
  <c r="AA237" i="7" s="1"/>
  <c r="AF237" i="7" s="1"/>
  <c r="Y236" i="7"/>
  <c r="AA236" i="7" s="1"/>
  <c r="AF236" i="7" s="1"/>
  <c r="AA235" i="7"/>
  <c r="AF235" i="7" s="1"/>
  <c r="Y235" i="7"/>
  <c r="AA234" i="7"/>
  <c r="AF234" i="7" s="1"/>
  <c r="Y234" i="7"/>
  <c r="Y233" i="7"/>
  <c r="AA233" i="7" s="1"/>
  <c r="AF233" i="7" s="1"/>
  <c r="Y232" i="7"/>
  <c r="AA232" i="7" s="1"/>
  <c r="AF232" i="7" s="1"/>
  <c r="Y231" i="7"/>
  <c r="AA231" i="7" s="1"/>
  <c r="AF231" i="7" s="1"/>
  <c r="Y230" i="7"/>
  <c r="AA230" i="7" s="1"/>
  <c r="AF230" i="7" s="1"/>
  <c r="Y229" i="7"/>
  <c r="AA229" i="7" s="1"/>
  <c r="AF229" i="7" s="1"/>
  <c r="Y228" i="7"/>
  <c r="AA228" i="7" s="1"/>
  <c r="AF228" i="7" s="1"/>
  <c r="AA227" i="7"/>
  <c r="AF227" i="7" s="1"/>
  <c r="Y227" i="7"/>
  <c r="AA226" i="7"/>
  <c r="AF226" i="7" s="1"/>
  <c r="Y226" i="7"/>
  <c r="Y225" i="7"/>
  <c r="AA225" i="7" s="1"/>
  <c r="AF225" i="7" s="1"/>
  <c r="Y224" i="7"/>
  <c r="AA224" i="7" s="1"/>
  <c r="AF224" i="7" s="1"/>
  <c r="AF223" i="7"/>
  <c r="Y223" i="7"/>
  <c r="AA223" i="7" s="1"/>
  <c r="Y222" i="7"/>
  <c r="AA222" i="7" s="1"/>
  <c r="AF222" i="7" s="1"/>
  <c r="Y221" i="7"/>
  <c r="AA221" i="7" s="1"/>
  <c r="AF221" i="7" s="1"/>
  <c r="Y220" i="7"/>
  <c r="AA220" i="7" s="1"/>
  <c r="AF220" i="7" s="1"/>
  <c r="AA219" i="7"/>
  <c r="AF219" i="7" s="1"/>
  <c r="Y219" i="7"/>
  <c r="AA218" i="7"/>
  <c r="AF218" i="7" s="1"/>
  <c r="Y218" i="7"/>
  <c r="Y217" i="7"/>
  <c r="AA217" i="7" s="1"/>
  <c r="AF217" i="7" s="1"/>
  <c r="Y216" i="7"/>
  <c r="AA216" i="7" s="1"/>
  <c r="AF216" i="7" s="1"/>
  <c r="Y215" i="7"/>
  <c r="AA215" i="7" s="1"/>
  <c r="AF215" i="7" s="1"/>
  <c r="Y214" i="7"/>
  <c r="AA214" i="7" s="1"/>
  <c r="AF214" i="7" s="1"/>
  <c r="Y213" i="7"/>
  <c r="AA213" i="7" s="1"/>
  <c r="AF213" i="7" s="1"/>
  <c r="Y212" i="7"/>
  <c r="AA212" i="7" s="1"/>
  <c r="AF212" i="7" s="1"/>
  <c r="AA211" i="7"/>
  <c r="AF211" i="7" s="1"/>
  <c r="Y211" i="7"/>
  <c r="AA210" i="7"/>
  <c r="AF210" i="7" s="1"/>
  <c r="Y210" i="7"/>
  <c r="AA209" i="7"/>
  <c r="AF209" i="7" s="1"/>
  <c r="Y209" i="7"/>
  <c r="Y208" i="7"/>
  <c r="AA208" i="7" s="1"/>
  <c r="AF208" i="7" s="1"/>
  <c r="AF207" i="7"/>
  <c r="Y207" i="7"/>
  <c r="AA207" i="7" s="1"/>
  <c r="Y206" i="7"/>
  <c r="AA206" i="7" s="1"/>
  <c r="AF206" i="7" s="1"/>
  <c r="Y205" i="7"/>
  <c r="AA205" i="7" s="1"/>
  <c r="AF205" i="7" s="1"/>
  <c r="Y204" i="7"/>
  <c r="AA204" i="7" s="1"/>
  <c r="AF204" i="7" s="1"/>
  <c r="AA203" i="7"/>
  <c r="AF203" i="7" s="1"/>
  <c r="Y203" i="7"/>
  <c r="AA202" i="7"/>
  <c r="AF202" i="7" s="1"/>
  <c r="Y202" i="7"/>
  <c r="Y201" i="7"/>
  <c r="AA201" i="7" s="1"/>
  <c r="AF201" i="7" s="1"/>
  <c r="Y200" i="7"/>
  <c r="AA200" i="7" s="1"/>
  <c r="AF200" i="7" s="1"/>
  <c r="AF199" i="7"/>
  <c r="AA199" i="7"/>
  <c r="Y199" i="7"/>
  <c r="AA198" i="7"/>
  <c r="AF198" i="7" s="1"/>
  <c r="Y198" i="7"/>
  <c r="AC198" i="7" s="1"/>
  <c r="AA197" i="7"/>
  <c r="AF197" i="7" s="1"/>
  <c r="Y197" i="7"/>
  <c r="Y196" i="7"/>
  <c r="AA196" i="7" s="1"/>
  <c r="AF196" i="7" s="1"/>
  <c r="Y195" i="7"/>
  <c r="AA195" i="7" s="1"/>
  <c r="AF195" i="7" s="1"/>
  <c r="Y194" i="7"/>
  <c r="AA194" i="7" s="1"/>
  <c r="AF194" i="7" s="1"/>
  <c r="Y193" i="7"/>
  <c r="AA193" i="7" s="1"/>
  <c r="AF193" i="7" s="1"/>
  <c r="Y192" i="7"/>
  <c r="AA192" i="7" s="1"/>
  <c r="AF192" i="7" s="1"/>
  <c r="Y191" i="7"/>
  <c r="AA191" i="7" s="1"/>
  <c r="AF191" i="7" s="1"/>
  <c r="AA190" i="7"/>
  <c r="AF190" i="7" s="1"/>
  <c r="Y190" i="7"/>
  <c r="AA189" i="7"/>
  <c r="AF189" i="7" s="1"/>
  <c r="Y189" i="7"/>
  <c r="AA188" i="7"/>
  <c r="AF188" i="7" s="1"/>
  <c r="Y188" i="7"/>
  <c r="Y187" i="7"/>
  <c r="AA187" i="7" s="1"/>
  <c r="AF187" i="7" s="1"/>
  <c r="AF186" i="7"/>
  <c r="AA186" i="7"/>
  <c r="Y186" i="7"/>
  <c r="Y185" i="7"/>
  <c r="AA185" i="7" s="1"/>
  <c r="AF185" i="7" s="1"/>
  <c r="Y184" i="7"/>
  <c r="AA184" i="7" s="1"/>
  <c r="AF184" i="7" s="1"/>
  <c r="Y183" i="7"/>
  <c r="AA183" i="7" s="1"/>
  <c r="AF183" i="7" s="1"/>
  <c r="AA182" i="7"/>
  <c r="AF182" i="7" s="1"/>
  <c r="Y182" i="7"/>
  <c r="AA181" i="7"/>
  <c r="AF181" i="7" s="1"/>
  <c r="Y181" i="7"/>
  <c r="Y180" i="7"/>
  <c r="AC180" i="7" s="1"/>
  <c r="Y179" i="7"/>
  <c r="AA179" i="7" s="1"/>
  <c r="AF179" i="7" s="1"/>
  <c r="Y178" i="7"/>
  <c r="AA178" i="7" s="1"/>
  <c r="AF178" i="7" s="1"/>
  <c r="AA177" i="7"/>
  <c r="AF177" i="7" s="1"/>
  <c r="Y177" i="7"/>
  <c r="AA176" i="7"/>
  <c r="AF176" i="7" s="1"/>
  <c r="Y176" i="7"/>
  <c r="Y175" i="7"/>
  <c r="AA175" i="7" s="1"/>
  <c r="AF175" i="7" s="1"/>
  <c r="Y174" i="7"/>
  <c r="AA174" i="7" s="1"/>
  <c r="AF174" i="7" s="1"/>
  <c r="AF173" i="7"/>
  <c r="AA173" i="7"/>
  <c r="Y173" i="7"/>
  <c r="Y172" i="7"/>
  <c r="AA172" i="7" s="1"/>
  <c r="AF172" i="7" s="1"/>
  <c r="Y171" i="7"/>
  <c r="AA171" i="7" s="1"/>
  <c r="AF171" i="7" s="1"/>
  <c r="Y170" i="7"/>
  <c r="AA170" i="7" s="1"/>
  <c r="AF170" i="7" s="1"/>
  <c r="AA169" i="7"/>
  <c r="AF169" i="7" s="1"/>
  <c r="Y169" i="7"/>
  <c r="AA168" i="7"/>
  <c r="AF168" i="7" s="1"/>
  <c r="Y168" i="7"/>
  <c r="Y167" i="7"/>
  <c r="AA167" i="7" s="1"/>
  <c r="AF167" i="7" s="1"/>
  <c r="Y166" i="7"/>
  <c r="AA166" i="7" s="1"/>
  <c r="AF166" i="7" s="1"/>
  <c r="AF165" i="7"/>
  <c r="AA165" i="7"/>
  <c r="Y165" i="7"/>
  <c r="Y164" i="7"/>
  <c r="AA164" i="7" s="1"/>
  <c r="AF164" i="7" s="1"/>
  <c r="Y163" i="7"/>
  <c r="AA163" i="7" s="1"/>
  <c r="AF163" i="7" s="1"/>
  <c r="Y162" i="7"/>
  <c r="AA162" i="7" s="1"/>
  <c r="AF162" i="7" s="1"/>
  <c r="AA161" i="7"/>
  <c r="AF161" i="7" s="1"/>
  <c r="Y161" i="7"/>
  <c r="AF160" i="7"/>
  <c r="AC160" i="7"/>
  <c r="AA160" i="7"/>
  <c r="Y160" i="7"/>
  <c r="Y159" i="7"/>
  <c r="AA159" i="7" s="1"/>
  <c r="AF159" i="7" s="1"/>
  <c r="Y158" i="7"/>
  <c r="AA158" i="7" s="1"/>
  <c r="AF158" i="7" s="1"/>
  <c r="Y157" i="7"/>
  <c r="AA157" i="7" s="1"/>
  <c r="AF157" i="7" s="1"/>
  <c r="AA156" i="7"/>
  <c r="AF156" i="7" s="1"/>
  <c r="Y156" i="7"/>
  <c r="AA155" i="7"/>
  <c r="AF155" i="7" s="1"/>
  <c r="Y155" i="7"/>
  <c r="Y154" i="7"/>
  <c r="AA154" i="7" s="1"/>
  <c r="AF154" i="7" s="1"/>
  <c r="Y153" i="7"/>
  <c r="AA153" i="7" s="1"/>
  <c r="AF153" i="7" s="1"/>
  <c r="AF152" i="7"/>
  <c r="AA152" i="7"/>
  <c r="Y152" i="7"/>
  <c r="Y151" i="7"/>
  <c r="AA151" i="7" s="1"/>
  <c r="AF151" i="7" s="1"/>
  <c r="Y150" i="7"/>
  <c r="AA150" i="7" s="1"/>
  <c r="AF150" i="7" s="1"/>
  <c r="Y149" i="7"/>
  <c r="AA149" i="7" s="1"/>
  <c r="AF149" i="7" s="1"/>
  <c r="AA148" i="7"/>
  <c r="AF148" i="7" s="1"/>
  <c r="Y148" i="7"/>
  <c r="AA147" i="7"/>
  <c r="AF147" i="7" s="1"/>
  <c r="Y147" i="7"/>
  <c r="Y146" i="7"/>
  <c r="AA146" i="7" s="1"/>
  <c r="AF146" i="7" s="1"/>
  <c r="Y145" i="7"/>
  <c r="AA145" i="7" s="1"/>
  <c r="AF145" i="7" s="1"/>
  <c r="AF144" i="7"/>
  <c r="AA144" i="7"/>
  <c r="Y144" i="7"/>
  <c r="Y143" i="7"/>
  <c r="AA143" i="7" s="1"/>
  <c r="AF143" i="7" s="1"/>
  <c r="Y142" i="7"/>
  <c r="AA142" i="7" s="1"/>
  <c r="AF142" i="7" s="1"/>
  <c r="Y141" i="7"/>
  <c r="AA141" i="7" s="1"/>
  <c r="AF141" i="7" s="1"/>
  <c r="AA140" i="7"/>
  <c r="AF140" i="7" s="1"/>
  <c r="Y140" i="7"/>
  <c r="AA139" i="7"/>
  <c r="AF139" i="7" s="1"/>
  <c r="Y139" i="7"/>
  <c r="Y138" i="7"/>
  <c r="AA138" i="7" s="1"/>
  <c r="AF138" i="7" s="1"/>
  <c r="Y137" i="7"/>
  <c r="AC137" i="7" s="1"/>
  <c r="Y136" i="7"/>
  <c r="AA136" i="7" s="1"/>
  <c r="AF136" i="7" s="1"/>
  <c r="AA135" i="7"/>
  <c r="AF135" i="7" s="1"/>
  <c r="Y135" i="7"/>
  <c r="AF134" i="7"/>
  <c r="AA134" i="7"/>
  <c r="Y134" i="7"/>
  <c r="Y133" i="7"/>
  <c r="AA133" i="7" s="1"/>
  <c r="AF133" i="7" s="1"/>
  <c r="Y132" i="7"/>
  <c r="AA132" i="7" s="1"/>
  <c r="AF132" i="7" s="1"/>
  <c r="AF131" i="7"/>
  <c r="AA131" i="7"/>
  <c r="Y131" i="7"/>
  <c r="Y130" i="7"/>
  <c r="AA130" i="7" s="1"/>
  <c r="AF130" i="7" s="1"/>
  <c r="Y626" i="6"/>
  <c r="AC626" i="6" s="1"/>
  <c r="Y625" i="6"/>
  <c r="AC625" i="6" s="1"/>
  <c r="Y624" i="6"/>
  <c r="AC624" i="6" s="1"/>
  <c r="Y623" i="6"/>
  <c r="AC623" i="6" s="1"/>
  <c r="Y622" i="6"/>
  <c r="AC622" i="6" s="1"/>
  <c r="Y621" i="6"/>
  <c r="AC621" i="6" s="1"/>
  <c r="Y620" i="6"/>
  <c r="AC620" i="6" s="1"/>
  <c r="Y619" i="6"/>
  <c r="AC619" i="6" s="1"/>
  <c r="Y618" i="6"/>
  <c r="AA618" i="6" s="1"/>
  <c r="AF618" i="6" s="1"/>
  <c r="Y617" i="6"/>
  <c r="AA617" i="6" s="1"/>
  <c r="AF617" i="6" s="1"/>
  <c r="AC616" i="6"/>
  <c r="Y616" i="6"/>
  <c r="AA616" i="6" s="1"/>
  <c r="AF616" i="6" s="1"/>
  <c r="Y615" i="6"/>
  <c r="AC615" i="6" s="1"/>
  <c r="AC614" i="6"/>
  <c r="Y614" i="6"/>
  <c r="AA614" i="6" s="1"/>
  <c r="AF614" i="6" s="1"/>
  <c r="Y613" i="6"/>
  <c r="AA613" i="6" s="1"/>
  <c r="AF613" i="6" s="1"/>
  <c r="AA612" i="6"/>
  <c r="AF612" i="6" s="1"/>
  <c r="Y612" i="6"/>
  <c r="AC612" i="6" s="1"/>
  <c r="Y611" i="6"/>
  <c r="AC611" i="6" s="1"/>
  <c r="AA610" i="6"/>
  <c r="AF610" i="6" s="1"/>
  <c r="Y610" i="6"/>
  <c r="AC610" i="6" s="1"/>
  <c r="Y609" i="6"/>
  <c r="AC609" i="6" s="1"/>
  <c r="X608" i="6"/>
  <c r="Y608" i="6" s="1"/>
  <c r="Y607" i="6"/>
  <c r="AC607" i="6" s="1"/>
  <c r="AC606" i="6"/>
  <c r="Y606" i="6"/>
  <c r="AA606" i="6" s="1"/>
  <c r="AF606" i="6" s="1"/>
  <c r="Y605" i="6"/>
  <c r="AA605" i="6" s="1"/>
  <c r="AF605" i="6" s="1"/>
  <c r="Y604" i="6"/>
  <c r="AA604" i="6" s="1"/>
  <c r="AF604" i="6" s="1"/>
  <c r="AA603" i="6"/>
  <c r="AF603" i="6" s="1"/>
  <c r="Y603" i="6"/>
  <c r="Y602" i="6"/>
  <c r="AA602" i="6" s="1"/>
  <c r="AF602" i="6" s="1"/>
  <c r="X601" i="6"/>
  <c r="Y601" i="6" s="1"/>
  <c r="AA601" i="6" s="1"/>
  <c r="AF601" i="6" s="1"/>
  <c r="Y600" i="6"/>
  <c r="AA600" i="6" s="1"/>
  <c r="AF600" i="6" s="1"/>
  <c r="Y599" i="6"/>
  <c r="AA599" i="6" s="1"/>
  <c r="AF599" i="6" s="1"/>
  <c r="AA598" i="6"/>
  <c r="AF598" i="6" s="1"/>
  <c r="Y598" i="6"/>
  <c r="Y597" i="6"/>
  <c r="AA597" i="6" s="1"/>
  <c r="AF597" i="6" s="1"/>
  <c r="X597" i="6"/>
  <c r="Y596" i="6"/>
  <c r="AA596" i="6" s="1"/>
  <c r="AF596" i="6" s="1"/>
  <c r="Y595" i="6"/>
  <c r="AA595" i="6" s="1"/>
  <c r="AF595" i="6" s="1"/>
  <c r="Y594" i="6"/>
  <c r="AA594" i="6" s="1"/>
  <c r="AF594" i="6" s="1"/>
  <c r="X593" i="6"/>
  <c r="Y593" i="6" s="1"/>
  <c r="AA593" i="6" s="1"/>
  <c r="AF593" i="6" s="1"/>
  <c r="AA592" i="6"/>
  <c r="AF592" i="6" s="1"/>
  <c r="Y592" i="6"/>
  <c r="AF591" i="6"/>
  <c r="AA591" i="6"/>
  <c r="Y591" i="6"/>
  <c r="AC591" i="6" s="1"/>
  <c r="AA590" i="6"/>
  <c r="AF590" i="6" s="1"/>
  <c r="Y590" i="6"/>
  <c r="AC590" i="6" s="1"/>
  <c r="AF589" i="6"/>
  <c r="AA589" i="6"/>
  <c r="Y589" i="6"/>
  <c r="AC589" i="6" s="1"/>
  <c r="AA588" i="6"/>
  <c r="AF588" i="6" s="1"/>
  <c r="Y588" i="6"/>
  <c r="AC588" i="6" s="1"/>
  <c r="AF587" i="6"/>
  <c r="AA587" i="6"/>
  <c r="Y587" i="6"/>
  <c r="AC587" i="6" s="1"/>
  <c r="Y586" i="6"/>
  <c r="AA586" i="6" s="1"/>
  <c r="AF586" i="6" s="1"/>
  <c r="AC585" i="6"/>
  <c r="Y585" i="6"/>
  <c r="AA585" i="6" s="1"/>
  <c r="AF585" i="6" s="1"/>
  <c r="X585" i="6"/>
  <c r="AA584" i="6"/>
  <c r="AF584" i="6" s="1"/>
  <c r="Y584" i="6"/>
  <c r="AC584" i="6" s="1"/>
  <c r="AF583" i="6"/>
  <c r="AA583" i="6"/>
  <c r="Y583" i="6"/>
  <c r="AC583" i="6" s="1"/>
  <c r="AA582" i="6"/>
  <c r="AF582" i="6" s="1"/>
  <c r="Y582" i="6"/>
  <c r="AC582" i="6" s="1"/>
  <c r="AF581" i="6"/>
  <c r="AA581" i="6"/>
  <c r="Y581" i="6"/>
  <c r="AC581" i="6" s="1"/>
  <c r="X580" i="6"/>
  <c r="Y580" i="6" s="1"/>
  <c r="X579" i="6"/>
  <c r="Y579" i="6" s="1"/>
  <c r="AC578" i="6"/>
  <c r="AA578" i="6"/>
  <c r="AF578" i="6" s="1"/>
  <c r="Y578" i="6"/>
  <c r="Y577" i="6"/>
  <c r="AC577" i="6" s="1"/>
  <c r="Y576" i="6"/>
  <c r="AA576" i="6" s="1"/>
  <c r="AF576" i="6" s="1"/>
  <c r="X576" i="6"/>
  <c r="Y575" i="6"/>
  <c r="AA575" i="6" s="1"/>
  <c r="AF575" i="6" s="1"/>
  <c r="Y574" i="6"/>
  <c r="AC574" i="6" s="1"/>
  <c r="X574" i="6"/>
  <c r="Y573" i="6"/>
  <c r="AC573" i="6" s="1"/>
  <c r="AC572" i="6"/>
  <c r="AA572" i="6"/>
  <c r="AF572" i="6" s="1"/>
  <c r="Y572" i="6"/>
  <c r="Y571" i="6"/>
  <c r="AC571" i="6" s="1"/>
  <c r="AC570" i="6"/>
  <c r="AA570" i="6"/>
  <c r="AF570" i="6" s="1"/>
  <c r="Y570" i="6"/>
  <c r="Y569" i="6"/>
  <c r="AC569" i="6" s="1"/>
  <c r="Y568" i="6"/>
  <c r="AA568" i="6" s="1"/>
  <c r="AF568" i="6" s="1"/>
  <c r="Y567" i="6"/>
  <c r="AA567" i="6" s="1"/>
  <c r="AF567" i="6" s="1"/>
  <c r="Y566" i="6"/>
  <c r="AA566" i="6" s="1"/>
  <c r="AF566" i="6" s="1"/>
  <c r="AA565" i="6"/>
  <c r="AF565" i="6" s="1"/>
  <c r="Y565" i="6"/>
  <c r="Y564" i="6"/>
  <c r="AA564" i="6" s="1"/>
  <c r="AF564" i="6" s="1"/>
  <c r="AA563" i="6"/>
  <c r="AF563" i="6" s="1"/>
  <c r="Y563" i="6"/>
  <c r="Y562" i="6"/>
  <c r="AA562" i="6" s="1"/>
  <c r="AF562" i="6" s="1"/>
  <c r="Y561" i="6"/>
  <c r="AA561" i="6" s="1"/>
  <c r="AF561" i="6" s="1"/>
  <c r="Y560" i="6"/>
  <c r="AA560" i="6" s="1"/>
  <c r="AF560" i="6" s="1"/>
  <c r="X560" i="6"/>
  <c r="Y559" i="6"/>
  <c r="AA559" i="6" s="1"/>
  <c r="AF559" i="6" s="1"/>
  <c r="Y558" i="6"/>
  <c r="AC558" i="6" s="1"/>
  <c r="Y557" i="6"/>
  <c r="AA557" i="6" s="1"/>
  <c r="AF557" i="6" s="1"/>
  <c r="AA556" i="6"/>
  <c r="AF556" i="6" s="1"/>
  <c r="Y556" i="6"/>
  <c r="AC556" i="6" s="1"/>
  <c r="Y555" i="6"/>
  <c r="AC555" i="6" s="1"/>
  <c r="Y554" i="6"/>
  <c r="AA554" i="6" s="1"/>
  <c r="AA553" i="6"/>
  <c r="Y553" i="6"/>
  <c r="AA552" i="6"/>
  <c r="Y552" i="6"/>
  <c r="Y551" i="6"/>
  <c r="AA551" i="6" s="1"/>
  <c r="Y550" i="6"/>
  <c r="AA550" i="6" s="1"/>
  <c r="AA549" i="6"/>
  <c r="Y549" i="6"/>
  <c r="Y548" i="6"/>
  <c r="AA548" i="6" s="1"/>
  <c r="AF548" i="6" s="1"/>
  <c r="AA547" i="6"/>
  <c r="AF547" i="6" s="1"/>
  <c r="Y547" i="6"/>
  <c r="Y546" i="6"/>
  <c r="AA546" i="6" s="1"/>
  <c r="AF546" i="6" s="1"/>
  <c r="Y545" i="6"/>
  <c r="AA545" i="6" s="1"/>
  <c r="AF545" i="6" s="1"/>
  <c r="Y544" i="6"/>
  <c r="AA544" i="6" s="1"/>
  <c r="AF544" i="6" s="1"/>
  <c r="AA543" i="6"/>
  <c r="AF543" i="6" s="1"/>
  <c r="Y543" i="6"/>
  <c r="AA542" i="6"/>
  <c r="AF542" i="6" s="1"/>
  <c r="Y542" i="6"/>
  <c r="AC542" i="6" s="1"/>
  <c r="Y541" i="6"/>
  <c r="AA541" i="6" s="1"/>
  <c r="AF541" i="6" s="1"/>
  <c r="Y540" i="6"/>
  <c r="AA540" i="6" s="1"/>
  <c r="AF540" i="6" s="1"/>
  <c r="Y539" i="6"/>
  <c r="AA539" i="6" s="1"/>
  <c r="AF539" i="6" s="1"/>
  <c r="AA538" i="6"/>
  <c r="AF538" i="6" s="1"/>
  <c r="Y538" i="6"/>
  <c r="Y537" i="6"/>
  <c r="AA537" i="6" s="1"/>
  <c r="AF537" i="6" s="1"/>
  <c r="Y536" i="6"/>
  <c r="AA536" i="6" s="1"/>
  <c r="AF536" i="6" s="1"/>
  <c r="Y535" i="6"/>
  <c r="AC535" i="6" s="1"/>
  <c r="X534" i="6"/>
  <c r="Y534" i="6" s="1"/>
  <c r="Y533" i="6"/>
  <c r="AC533" i="6" s="1"/>
  <c r="X533" i="6"/>
  <c r="AA532" i="6"/>
  <c r="AF532" i="6" s="1"/>
  <c r="Y532" i="6"/>
  <c r="AC532" i="6" s="1"/>
  <c r="AA531" i="6"/>
  <c r="AF531" i="6" s="1"/>
  <c r="Y531" i="6"/>
  <c r="AC531" i="6" s="1"/>
  <c r="AA530" i="6"/>
  <c r="AF530" i="6" s="1"/>
  <c r="Y530" i="6"/>
  <c r="AC530" i="6" s="1"/>
  <c r="AA529" i="6"/>
  <c r="AF529" i="6" s="1"/>
  <c r="Y529" i="6"/>
  <c r="AC529" i="6" s="1"/>
  <c r="AA528" i="6"/>
  <c r="AF528" i="6" s="1"/>
  <c r="Y528" i="6"/>
  <c r="AC528" i="6" s="1"/>
  <c r="AA527" i="6"/>
  <c r="AF527" i="6" s="1"/>
  <c r="Y527" i="6"/>
  <c r="AC527" i="6" s="1"/>
  <c r="X526" i="6"/>
  <c r="Y526" i="6" s="1"/>
  <c r="AC525" i="6"/>
  <c r="Y525" i="6"/>
  <c r="AA525" i="6" s="1"/>
  <c r="AF525" i="6" s="1"/>
  <c r="AC524" i="6"/>
  <c r="Y524" i="6"/>
  <c r="AA524" i="6" s="1"/>
  <c r="AF524" i="6" s="1"/>
  <c r="AC523" i="6"/>
  <c r="Y523" i="6"/>
  <c r="AA523" i="6" s="1"/>
  <c r="AF523" i="6" s="1"/>
  <c r="AC522" i="6"/>
  <c r="Y522" i="6"/>
  <c r="AA522" i="6" s="1"/>
  <c r="AF522" i="6" s="1"/>
  <c r="AA521" i="6"/>
  <c r="Y521" i="6"/>
  <c r="AC521" i="6" s="1"/>
  <c r="AA520" i="6"/>
  <c r="AF520" i="6" s="1"/>
  <c r="Y520" i="6"/>
  <c r="AC520" i="6" s="1"/>
  <c r="AA519" i="6"/>
  <c r="AF519" i="6" s="1"/>
  <c r="Y519" i="6"/>
  <c r="AC519" i="6" s="1"/>
  <c r="AA518" i="6"/>
  <c r="AF518" i="6" s="1"/>
  <c r="Y518" i="6"/>
  <c r="AC518" i="6" s="1"/>
  <c r="AA517" i="6"/>
  <c r="AF517" i="6" s="1"/>
  <c r="Y517" i="6"/>
  <c r="AC517" i="6" s="1"/>
  <c r="AA516" i="6"/>
  <c r="AF516" i="6" s="1"/>
  <c r="Y516" i="6"/>
  <c r="AC516" i="6" s="1"/>
  <c r="AA515" i="6"/>
  <c r="AF515" i="6" s="1"/>
  <c r="Y515" i="6"/>
  <c r="AC515" i="6" s="1"/>
  <c r="AA514" i="6"/>
  <c r="AF514" i="6" s="1"/>
  <c r="Y514" i="6"/>
  <c r="AC514" i="6" s="1"/>
  <c r="AA513" i="6"/>
  <c r="AF513" i="6" s="1"/>
  <c r="Y513" i="6"/>
  <c r="AC513" i="6" s="1"/>
  <c r="AA512" i="6"/>
  <c r="AF512" i="6" s="1"/>
  <c r="Y512" i="6"/>
  <c r="AC512" i="6" s="1"/>
  <c r="AA511" i="6"/>
  <c r="AF511" i="6" s="1"/>
  <c r="Y511" i="6"/>
  <c r="AC511" i="6" s="1"/>
  <c r="AA510" i="6"/>
  <c r="AF510" i="6" s="1"/>
  <c r="Y510" i="6"/>
  <c r="AC510" i="6" s="1"/>
  <c r="AA509" i="6"/>
  <c r="AF509" i="6" s="1"/>
  <c r="Y509" i="6"/>
  <c r="AC509" i="6" s="1"/>
  <c r="AA508" i="6"/>
  <c r="AF508" i="6" s="1"/>
  <c r="Y508" i="6"/>
  <c r="AC508" i="6" s="1"/>
  <c r="AA507" i="6"/>
  <c r="AF507" i="6" s="1"/>
  <c r="Y507" i="6"/>
  <c r="AC507" i="6" s="1"/>
  <c r="AA506" i="6"/>
  <c r="AF506" i="6" s="1"/>
  <c r="Y506" i="6"/>
  <c r="AC506" i="6" s="1"/>
  <c r="X505" i="6"/>
  <c r="Y505" i="6" s="1"/>
  <c r="AC504" i="6"/>
  <c r="Y504" i="6"/>
  <c r="AA504" i="6" s="1"/>
  <c r="AF504" i="6" s="1"/>
  <c r="AA503" i="6"/>
  <c r="AF503" i="6" s="1"/>
  <c r="Y503" i="6"/>
  <c r="Y502" i="6"/>
  <c r="AA502" i="6" s="1"/>
  <c r="AF502" i="6" s="1"/>
  <c r="Y501" i="6"/>
  <c r="AC501" i="6" s="1"/>
  <c r="Y500" i="6"/>
  <c r="AC500" i="6" s="1"/>
  <c r="Y499" i="6"/>
  <c r="AC499" i="6" s="1"/>
  <c r="Y498" i="6"/>
  <c r="AC498" i="6" s="1"/>
  <c r="Y497" i="6"/>
  <c r="AC497" i="6" s="1"/>
  <c r="Y496" i="6"/>
  <c r="AC496" i="6" s="1"/>
  <c r="Y495" i="6"/>
  <c r="AC495" i="6" s="1"/>
  <c r="Y494" i="6"/>
  <c r="AC494" i="6" s="1"/>
  <c r="Y493" i="6"/>
  <c r="AC493" i="6" s="1"/>
  <c r="Y492" i="6"/>
  <c r="AC492" i="6" s="1"/>
  <c r="Y491" i="6"/>
  <c r="AC491" i="6" s="1"/>
  <c r="Y490" i="6"/>
  <c r="AC490" i="6" s="1"/>
  <c r="Y489" i="6"/>
  <c r="AC489" i="6" s="1"/>
  <c r="Y488" i="6"/>
  <c r="AC488" i="6" s="1"/>
  <c r="X487" i="6"/>
  <c r="Y487" i="6" s="1"/>
  <c r="AA487" i="6" s="1"/>
  <c r="AF487" i="6" s="1"/>
  <c r="Y486" i="6"/>
  <c r="AA486" i="6" s="1"/>
  <c r="AF486" i="6" s="1"/>
  <c r="AF485" i="6"/>
  <c r="AA485" i="6"/>
  <c r="Y485" i="6"/>
  <c r="AA484" i="6"/>
  <c r="AF484" i="6" s="1"/>
  <c r="Y484" i="6"/>
  <c r="AA483" i="6"/>
  <c r="AF483" i="6" s="1"/>
  <c r="Y483" i="6"/>
  <c r="AC483" i="6" s="1"/>
  <c r="Y482" i="6"/>
  <c r="AA482" i="6" s="1"/>
  <c r="AF482" i="6" s="1"/>
  <c r="Y481" i="6"/>
  <c r="AA481" i="6" s="1"/>
  <c r="AF481" i="6" s="1"/>
  <c r="AF480" i="6"/>
  <c r="AA480" i="6"/>
  <c r="Y480" i="6"/>
  <c r="AA479" i="6"/>
  <c r="AF479" i="6" s="1"/>
  <c r="Y479" i="6"/>
  <c r="Y478" i="6"/>
  <c r="AA478" i="6" s="1"/>
  <c r="AF478" i="6" s="1"/>
  <c r="Y477" i="6"/>
  <c r="AA477" i="6" s="1"/>
  <c r="AF477" i="6" s="1"/>
  <c r="Y476" i="6"/>
  <c r="AA476" i="6" s="1"/>
  <c r="AF476" i="6" s="1"/>
  <c r="AA475" i="6"/>
  <c r="AF475" i="6" s="1"/>
  <c r="Y475" i="6"/>
  <c r="AC474" i="6"/>
  <c r="AA474" i="6"/>
  <c r="AF474" i="6" s="1"/>
  <c r="Y474" i="6"/>
  <c r="Y473" i="6"/>
  <c r="AA473" i="6" s="1"/>
  <c r="AF473" i="6" s="1"/>
  <c r="Y472" i="6"/>
  <c r="AA472" i="6" s="1"/>
  <c r="AF472" i="6" s="1"/>
  <c r="AA471" i="6"/>
  <c r="AF471" i="6" s="1"/>
  <c r="Y471" i="6"/>
  <c r="AC471" i="6" s="1"/>
  <c r="Y470" i="6"/>
  <c r="AC470" i="6" s="1"/>
  <c r="Y469" i="6"/>
  <c r="AA469" i="6" s="1"/>
  <c r="AF469" i="6" s="1"/>
  <c r="AA468" i="6"/>
  <c r="AF468" i="6" s="1"/>
  <c r="Y468" i="6"/>
  <c r="X468" i="6"/>
  <c r="Y467" i="6"/>
  <c r="AA467" i="6" s="1"/>
  <c r="AF467" i="6" s="1"/>
  <c r="AA466" i="6"/>
  <c r="AF466" i="6" s="1"/>
  <c r="Y466" i="6"/>
  <c r="AC466" i="6" s="1"/>
  <c r="Y465" i="6"/>
  <c r="AC465" i="6" s="1"/>
  <c r="AA464" i="6"/>
  <c r="AF464" i="6" s="1"/>
  <c r="Y464" i="6"/>
  <c r="AC464" i="6" s="1"/>
  <c r="Y463" i="6"/>
  <c r="AC463" i="6" s="1"/>
  <c r="AA462" i="6"/>
  <c r="AF462" i="6" s="1"/>
  <c r="Y462" i="6"/>
  <c r="AC462" i="6" s="1"/>
  <c r="Y461" i="6"/>
  <c r="AC461" i="6" s="1"/>
  <c r="AA460" i="6"/>
  <c r="AF460" i="6" s="1"/>
  <c r="Y460" i="6"/>
  <c r="AC460" i="6" s="1"/>
  <c r="Y459" i="6"/>
  <c r="AC459" i="6" s="1"/>
  <c r="AA458" i="6"/>
  <c r="AF458" i="6" s="1"/>
  <c r="Y458" i="6"/>
  <c r="AC458" i="6" s="1"/>
  <c r="Y457" i="6"/>
  <c r="AC457" i="6" s="1"/>
  <c r="AA456" i="6"/>
  <c r="AF456" i="6" s="1"/>
  <c r="Y456" i="6"/>
  <c r="AC456" i="6" s="1"/>
  <c r="Y455" i="6"/>
  <c r="AC455" i="6" s="1"/>
  <c r="AA454" i="6"/>
  <c r="AF454" i="6" s="1"/>
  <c r="Y454" i="6"/>
  <c r="AC454" i="6" s="1"/>
  <c r="Y453" i="6"/>
  <c r="AC453" i="6" s="1"/>
  <c r="AA452" i="6"/>
  <c r="AF452" i="6" s="1"/>
  <c r="Y452" i="6"/>
  <c r="AC452" i="6" s="1"/>
  <c r="Y451" i="6"/>
  <c r="AC451" i="6" s="1"/>
  <c r="AA450" i="6"/>
  <c r="AF450" i="6" s="1"/>
  <c r="Y450" i="6"/>
  <c r="AC450" i="6" s="1"/>
  <c r="Y449" i="6"/>
  <c r="AC449" i="6" s="1"/>
  <c r="AA448" i="6"/>
  <c r="AF448" i="6" s="1"/>
  <c r="Y448" i="6"/>
  <c r="AC448" i="6" s="1"/>
  <c r="Y447" i="6"/>
  <c r="AC447" i="6" s="1"/>
  <c r="AA446" i="6"/>
  <c r="AF446" i="6" s="1"/>
  <c r="Y446" i="6"/>
  <c r="AC446" i="6" s="1"/>
  <c r="Y445" i="6"/>
  <c r="AC445" i="6" s="1"/>
  <c r="AA444" i="6"/>
  <c r="AF444" i="6" s="1"/>
  <c r="Y444" i="6"/>
  <c r="AC444" i="6" s="1"/>
  <c r="Y443" i="6"/>
  <c r="AC443" i="6" s="1"/>
  <c r="AA442" i="6"/>
  <c r="AF442" i="6" s="1"/>
  <c r="Y442" i="6"/>
  <c r="AC442" i="6" s="1"/>
  <c r="Y441" i="6"/>
  <c r="AA441" i="6" s="1"/>
  <c r="AF441" i="6" s="1"/>
  <c r="AA440" i="6"/>
  <c r="AF440" i="6" s="1"/>
  <c r="Y440" i="6"/>
  <c r="AF439" i="6"/>
  <c r="AA439" i="6"/>
  <c r="Y439" i="6"/>
  <c r="Y438" i="6"/>
  <c r="AA438" i="6" s="1"/>
  <c r="AF438" i="6" s="1"/>
  <c r="Z437" i="6"/>
  <c r="Y437" i="6"/>
  <c r="AA437" i="6" s="1"/>
  <c r="AF437" i="6" s="1"/>
  <c r="Z436" i="6"/>
  <c r="Y436" i="6"/>
  <c r="AA436" i="6" s="1"/>
  <c r="AF436" i="6" s="1"/>
  <c r="Z435" i="6"/>
  <c r="Y435" i="6"/>
  <c r="AA435" i="6" s="1"/>
  <c r="AF435" i="6" s="1"/>
  <c r="Y434" i="6"/>
  <c r="AC434" i="6" s="1"/>
  <c r="AA433" i="6"/>
  <c r="AF433" i="6" s="1"/>
  <c r="Y433" i="6"/>
  <c r="AC433" i="6" s="1"/>
  <c r="Y432" i="6"/>
  <c r="AA432" i="6" s="1"/>
  <c r="Y431" i="6"/>
  <c r="AA431" i="6" s="1"/>
  <c r="AA430" i="6"/>
  <c r="Y430" i="6"/>
  <c r="AF429" i="6"/>
  <c r="AA429" i="6"/>
  <c r="Y429" i="6"/>
  <c r="AA428" i="6"/>
  <c r="Y428" i="6"/>
  <c r="Y427" i="6"/>
  <c r="AC427" i="6" s="1"/>
  <c r="Y426" i="6"/>
  <c r="AA426" i="6" s="1"/>
  <c r="AF426" i="6" s="1"/>
  <c r="Y425" i="6"/>
  <c r="AA425" i="6" s="1"/>
  <c r="AF425" i="6" s="1"/>
  <c r="AA424" i="6"/>
  <c r="AF424" i="6" s="1"/>
  <c r="Y424" i="6"/>
  <c r="Y423" i="6"/>
  <c r="AA423" i="6" s="1"/>
  <c r="Y422" i="6"/>
  <c r="AA422" i="6" s="1"/>
  <c r="AF422" i="6" s="1"/>
  <c r="Y421" i="6"/>
  <c r="AA421" i="6" s="1"/>
  <c r="Y129" i="7"/>
  <c r="AC129" i="7" s="1"/>
  <c r="Y128" i="7"/>
  <c r="Y127" i="7"/>
  <c r="AC127" i="7" s="1"/>
  <c r="Y126" i="7"/>
  <c r="Y125" i="7"/>
  <c r="AC125" i="7" s="1"/>
  <c r="Y124" i="7"/>
  <c r="Y123" i="7"/>
  <c r="AC123" i="7" s="1"/>
  <c r="Y122" i="7"/>
  <c r="Y121" i="7"/>
  <c r="AC121" i="7" s="1"/>
  <c r="Y120" i="7"/>
  <c r="Y119" i="7"/>
  <c r="AC119" i="7" s="1"/>
  <c r="Y118" i="7"/>
  <c r="Y117" i="7"/>
  <c r="AC117" i="7" s="1"/>
  <c r="Y116" i="7"/>
  <c r="Y115" i="7"/>
  <c r="AC115" i="7" s="1"/>
  <c r="Y114" i="7"/>
  <c r="Y113" i="7"/>
  <c r="AC113" i="7" s="1"/>
  <c r="Y112" i="7"/>
  <c r="Y111" i="7"/>
  <c r="AC111" i="7" s="1"/>
  <c r="Y110" i="7"/>
  <c r="Y109" i="7"/>
  <c r="AC109" i="7" s="1"/>
  <c r="Y108" i="7"/>
  <c r="Y107" i="7"/>
  <c r="AC107" i="7" s="1"/>
  <c r="Y106" i="7"/>
  <c r="Y105" i="7"/>
  <c r="AC105" i="7" s="1"/>
  <c r="Y104" i="7"/>
  <c r="Y103" i="7"/>
  <c r="AC103" i="7" s="1"/>
  <c r="Y102" i="7"/>
  <c r="Y101" i="7"/>
  <c r="AC101" i="7" s="1"/>
  <c r="Y100" i="7"/>
  <c r="Y99" i="7"/>
  <c r="AC99" i="7" s="1"/>
  <c r="Y98" i="7"/>
  <c r="Y97" i="7"/>
  <c r="AC97" i="7" s="1"/>
  <c r="Y96" i="7"/>
  <c r="Y95" i="7"/>
  <c r="AC95" i="7" s="1"/>
  <c r="Y94" i="7"/>
  <c r="Y93" i="7"/>
  <c r="AC93" i="7" s="1"/>
  <c r="Y92" i="7"/>
  <c r="Y91" i="7"/>
  <c r="AC91" i="7" s="1"/>
  <c r="Y90" i="7"/>
  <c r="Y89" i="7"/>
  <c r="AC89" i="7" s="1"/>
  <c r="Y88" i="7"/>
  <c r="Y87" i="7"/>
  <c r="AC87" i="7" s="1"/>
  <c r="Y86" i="7"/>
  <c r="Y85" i="7"/>
  <c r="AC85" i="7" s="1"/>
  <c r="Y84" i="7"/>
  <c r="Y83" i="7"/>
  <c r="AC83" i="7" s="1"/>
  <c r="Y82" i="7"/>
  <c r="Y81" i="7"/>
  <c r="AC81" i="7" s="1"/>
  <c r="Y80" i="7"/>
  <c r="Y79" i="7"/>
  <c r="AC79" i="7" s="1"/>
  <c r="Y78" i="7"/>
  <c r="Y77" i="7"/>
  <c r="AC77" i="7" s="1"/>
  <c r="Y76" i="7"/>
  <c r="Y75" i="7"/>
  <c r="AC75" i="7" s="1"/>
  <c r="Y74" i="7"/>
  <c r="Y73" i="7"/>
  <c r="AC73" i="7" s="1"/>
  <c r="Y72" i="7"/>
  <c r="Y71" i="7"/>
  <c r="AC71" i="7" s="1"/>
  <c r="Y70" i="7"/>
  <c r="Y69" i="7"/>
  <c r="AC69" i="7" s="1"/>
  <c r="Y68" i="7"/>
  <c r="Y67" i="7"/>
  <c r="AC67" i="7" s="1"/>
  <c r="Y66" i="7"/>
  <c r="Y65" i="7"/>
  <c r="AC65" i="7" s="1"/>
  <c r="Y64" i="7"/>
  <c r="Y63" i="7"/>
  <c r="AC63" i="7" s="1"/>
  <c r="Y62" i="7"/>
  <c r="Y61" i="7"/>
  <c r="AC61" i="7" s="1"/>
  <c r="Y60" i="7"/>
  <c r="Y59" i="7"/>
  <c r="AC59" i="7" s="1"/>
  <c r="AA58" i="7"/>
  <c r="AF58" i="7" s="1"/>
  <c r="Y58" i="7"/>
  <c r="AC58" i="7" s="1"/>
  <c r="Y57" i="7"/>
  <c r="AC57" i="7" s="1"/>
  <c r="AA56" i="7"/>
  <c r="AF56" i="7" s="1"/>
  <c r="Y56" i="7"/>
  <c r="AC56" i="7" s="1"/>
  <c r="Y55" i="7"/>
  <c r="AC55" i="7" s="1"/>
  <c r="Y54" i="7"/>
  <c r="AC54" i="7" s="1"/>
  <c r="Y53" i="7"/>
  <c r="AC53" i="7" s="1"/>
  <c r="Y52" i="7"/>
  <c r="AC52" i="7" s="1"/>
  <c r="Y51" i="7"/>
  <c r="AC51" i="7" s="1"/>
  <c r="Y50" i="7"/>
  <c r="AC50" i="7" s="1"/>
  <c r="Y49" i="7"/>
  <c r="AC49" i="7" s="1"/>
  <c r="Y48" i="7"/>
  <c r="AC48" i="7" s="1"/>
  <c r="Y47" i="7"/>
  <c r="AC47" i="7" s="1"/>
  <c r="Y46" i="7"/>
  <c r="AC46" i="7" s="1"/>
  <c r="Y45" i="7"/>
  <c r="AC45" i="7" s="1"/>
  <c r="Y44" i="7"/>
  <c r="AC44" i="7" s="1"/>
  <c r="Y43" i="7"/>
  <c r="AC43" i="7" s="1"/>
  <c r="AA42" i="7"/>
  <c r="AF42" i="7" s="1"/>
  <c r="Y42" i="7"/>
  <c r="AC42" i="7" s="1"/>
  <c r="Y41" i="7"/>
  <c r="AC41" i="7" s="1"/>
  <c r="Y40" i="7"/>
  <c r="AC40" i="7" s="1"/>
  <c r="Y39" i="7"/>
  <c r="AC39" i="7" s="1"/>
  <c r="Y38" i="7"/>
  <c r="AC38" i="7" s="1"/>
  <c r="Y37" i="7"/>
  <c r="AC37" i="7" s="1"/>
  <c r="Y36" i="7"/>
  <c r="AC36" i="7" s="1"/>
  <c r="Y35" i="7"/>
  <c r="AC35" i="7" s="1"/>
  <c r="Y34" i="7"/>
  <c r="AC34" i="7" s="1"/>
  <c r="Y33" i="7"/>
  <c r="AC33" i="7" s="1"/>
  <c r="Y32" i="7"/>
  <c r="AC32" i="7" s="1"/>
  <c r="Y31" i="7"/>
  <c r="AC31" i="7" s="1"/>
  <c r="Y30" i="7"/>
  <c r="AC30" i="7" s="1"/>
  <c r="Y29" i="7"/>
  <c r="AC29" i="7" s="1"/>
  <c r="Y28" i="7"/>
  <c r="AC28" i="7" s="1"/>
  <c r="Y27" i="7"/>
  <c r="AC27" i="7" s="1"/>
  <c r="Y26" i="7"/>
  <c r="AC26" i="7" s="1"/>
  <c r="Y25" i="7"/>
  <c r="AC25" i="7" s="1"/>
  <c r="AA24" i="7"/>
  <c r="AF24" i="7" s="1"/>
  <c r="Y24" i="7"/>
  <c r="AC24" i="7" s="1"/>
  <c r="Y23" i="7"/>
  <c r="Y22" i="7"/>
  <c r="AC22" i="7" s="1"/>
  <c r="Y21" i="7"/>
  <c r="AC21" i="7" s="1"/>
  <c r="Y20" i="7"/>
  <c r="AC20" i="7" s="1"/>
  <c r="Y19" i="7"/>
  <c r="AA18" i="7"/>
  <c r="AF18" i="7" s="1"/>
  <c r="Y18" i="7"/>
  <c r="AC18" i="7" s="1"/>
  <c r="Y17" i="7"/>
  <c r="Y16" i="7"/>
  <c r="AC16" i="7" s="1"/>
  <c r="X16" i="7"/>
  <c r="Y15" i="7"/>
  <c r="AC15" i="7" s="1"/>
  <c r="AA14" i="7"/>
  <c r="AF14" i="7" s="1"/>
  <c r="Y14" i="7"/>
  <c r="AC14" i="7" s="1"/>
  <c r="Y13" i="7"/>
  <c r="AC13" i="7" s="1"/>
  <c r="AC12" i="7"/>
  <c r="Y12" i="7"/>
  <c r="AA12" i="7" s="1"/>
  <c r="AF12" i="7" s="1"/>
  <c r="Y11" i="7"/>
  <c r="AC11" i="7" s="1"/>
  <c r="Y10" i="7"/>
  <c r="AA10" i="7" s="1"/>
  <c r="AF10" i="7" s="1"/>
  <c r="Y9" i="7"/>
  <c r="AA9" i="7" s="1"/>
  <c r="AF9" i="7" s="1"/>
  <c r="AF8" i="7"/>
  <c r="AA8" i="7"/>
  <c r="Y8" i="7"/>
  <c r="Y7" i="7"/>
  <c r="AA7" i="7" s="1"/>
  <c r="AF7" i="7" s="1"/>
  <c r="Y6" i="7"/>
  <c r="AA6" i="7" s="1"/>
  <c r="AF6" i="7" s="1"/>
  <c r="Y5" i="7"/>
  <c r="AA4" i="7"/>
  <c r="AF4" i="7" s="1"/>
  <c r="Y4" i="7"/>
  <c r="Y3" i="7"/>
  <c r="AA3" i="7" s="1"/>
  <c r="Y420" i="6"/>
  <c r="AC420" i="6" s="1"/>
  <c r="Y419" i="6"/>
  <c r="AC419" i="6" s="1"/>
  <c r="Y418" i="6"/>
  <c r="AC418" i="6" s="1"/>
  <c r="Y417" i="6"/>
  <c r="Y416" i="6"/>
  <c r="AC416" i="6" s="1"/>
  <c r="Y415" i="6"/>
  <c r="AC415" i="6" s="1"/>
  <c r="Y414" i="6"/>
  <c r="AC414" i="6" s="1"/>
  <c r="Y413" i="6"/>
  <c r="Y412" i="6"/>
  <c r="AC412" i="6" s="1"/>
  <c r="Y411" i="6"/>
  <c r="AC411" i="6" s="1"/>
  <c r="Y410" i="6"/>
  <c r="AC410" i="6" s="1"/>
  <c r="X410" i="6"/>
  <c r="AF409" i="6"/>
  <c r="AC409" i="6"/>
  <c r="AA409" i="6"/>
  <c r="Y409" i="6"/>
  <c r="X408" i="6"/>
  <c r="Y408" i="6" s="1"/>
  <c r="AF407" i="6"/>
  <c r="AC407" i="6"/>
  <c r="AA407" i="6"/>
  <c r="Y407" i="6"/>
  <c r="Y406" i="6"/>
  <c r="AF405" i="6"/>
  <c r="AC405" i="6"/>
  <c r="AA405" i="6"/>
  <c r="Y405" i="6"/>
  <c r="Y404" i="6"/>
  <c r="AF403" i="6"/>
  <c r="AC403" i="6"/>
  <c r="AA403" i="6"/>
  <c r="Y403" i="6"/>
  <c r="Y402" i="6"/>
  <c r="AC401" i="6"/>
  <c r="Y401" i="6"/>
  <c r="AA401" i="6" s="1"/>
  <c r="AF401" i="6" s="1"/>
  <c r="Y400" i="6"/>
  <c r="AF399" i="6"/>
  <c r="AC399" i="6"/>
  <c r="AA399" i="6"/>
  <c r="Y399" i="6"/>
  <c r="Y398" i="6"/>
  <c r="AF397" i="6"/>
  <c r="AC397" i="6"/>
  <c r="AA397" i="6"/>
  <c r="Y397" i="6"/>
  <c r="Y396" i="6"/>
  <c r="AF395" i="6"/>
  <c r="AC395" i="6"/>
  <c r="Y395" i="6"/>
  <c r="AA395" i="6" s="1"/>
  <c r="Y394" i="6"/>
  <c r="AC393" i="6"/>
  <c r="Y393" i="6"/>
  <c r="AA393" i="6" s="1"/>
  <c r="AF393" i="6" s="1"/>
  <c r="Y392" i="6"/>
  <c r="AF391" i="6"/>
  <c r="AC391" i="6"/>
  <c r="Y391" i="6"/>
  <c r="AA391" i="6" s="1"/>
  <c r="Y390" i="6"/>
  <c r="AA389" i="6"/>
  <c r="AF389" i="6" s="1"/>
  <c r="Y389" i="6"/>
  <c r="X388" i="6"/>
  <c r="Y388" i="6" s="1"/>
  <c r="AF387" i="6"/>
  <c r="AC387" i="6"/>
  <c r="Y387" i="6"/>
  <c r="AA387" i="6" s="1"/>
  <c r="Y386" i="6"/>
  <c r="AA385" i="6"/>
  <c r="AF385" i="6" s="1"/>
  <c r="Y385" i="6"/>
  <c r="Y384" i="6"/>
  <c r="AC384" i="6" s="1"/>
  <c r="AF383" i="6"/>
  <c r="AC383" i="6"/>
  <c r="AA383" i="6"/>
  <c r="Y383" i="6"/>
  <c r="Y382" i="6"/>
  <c r="AC382" i="6" s="1"/>
  <c r="AC381" i="6"/>
  <c r="AA381" i="6"/>
  <c r="AF381" i="6" s="1"/>
  <c r="Y381" i="6"/>
  <c r="Y380" i="6"/>
  <c r="AC380" i="6" s="1"/>
  <c r="AC379" i="6"/>
  <c r="AA379" i="6"/>
  <c r="AF379" i="6" s="1"/>
  <c r="Y379" i="6"/>
  <c r="Y378" i="6"/>
  <c r="AC378" i="6" s="1"/>
  <c r="AF377" i="6"/>
  <c r="AA377" i="6"/>
  <c r="Y377" i="6"/>
  <c r="Y376" i="6"/>
  <c r="AC376" i="6" s="1"/>
  <c r="Y375" i="6"/>
  <c r="AC375" i="6" s="1"/>
  <c r="Y374" i="6"/>
  <c r="AC374" i="6" s="1"/>
  <c r="AC373" i="6"/>
  <c r="AA373" i="6"/>
  <c r="AF373" i="6" s="1"/>
  <c r="Y373" i="6"/>
  <c r="Y372" i="6"/>
  <c r="AC372" i="6" s="1"/>
  <c r="Y371" i="6"/>
  <c r="AC371" i="6" s="1"/>
  <c r="Y370" i="6"/>
  <c r="AC370" i="6" s="1"/>
  <c r="AC369" i="6"/>
  <c r="AA369" i="6"/>
  <c r="AF369" i="6" s="1"/>
  <c r="Y369" i="6"/>
  <c r="Y368" i="6"/>
  <c r="AC368" i="6" s="1"/>
  <c r="Y367" i="6"/>
  <c r="AC367" i="6" s="1"/>
  <c r="X367" i="6"/>
  <c r="Y366" i="6"/>
  <c r="AC366" i="6" s="1"/>
  <c r="AF365" i="6"/>
  <c r="AC365" i="6"/>
  <c r="AA365" i="6"/>
  <c r="Y365" i="6"/>
  <c r="Y364" i="6"/>
  <c r="AA364" i="6" s="1"/>
  <c r="AF364" i="6" s="1"/>
  <c r="Y363" i="6"/>
  <c r="AA363" i="6" s="1"/>
  <c r="AF363" i="6" s="1"/>
  <c r="AF362" i="6"/>
  <c r="Y362" i="6"/>
  <c r="AA362" i="6" s="1"/>
  <c r="Y361" i="6"/>
  <c r="AA361" i="6" s="1"/>
  <c r="AF361" i="6" s="1"/>
  <c r="Y360" i="6"/>
  <c r="AA360" i="6" s="1"/>
  <c r="AF360" i="6" s="1"/>
  <c r="AC359" i="6"/>
  <c r="Y359" i="6"/>
  <c r="AA359" i="6" s="1"/>
  <c r="AF359" i="6" s="1"/>
  <c r="AC358" i="6"/>
  <c r="AA358" i="6"/>
  <c r="AF358" i="6" s="1"/>
  <c r="Y358" i="6"/>
  <c r="AC357" i="6"/>
  <c r="Y357" i="6"/>
  <c r="AA357" i="6" s="1"/>
  <c r="AF357" i="6" s="1"/>
  <c r="Y356" i="6"/>
  <c r="AC356" i="6" s="1"/>
  <c r="AC355" i="6"/>
  <c r="Y355" i="6"/>
  <c r="AA355" i="6" s="1"/>
  <c r="AF355" i="6" s="1"/>
  <c r="Y354" i="6"/>
  <c r="AC354" i="6" s="1"/>
  <c r="AC353" i="6"/>
  <c r="Y353" i="6"/>
  <c r="AA353" i="6" s="1"/>
  <c r="AF353" i="6" s="1"/>
  <c r="AC352" i="6"/>
  <c r="AA352" i="6"/>
  <c r="AF352" i="6" s="1"/>
  <c r="Y352" i="6"/>
  <c r="AC351" i="6"/>
  <c r="Y351" i="6"/>
  <c r="AA351" i="6" s="1"/>
  <c r="AF351" i="6" s="1"/>
  <c r="Y350" i="6"/>
  <c r="AC350" i="6" s="1"/>
  <c r="AC349" i="6"/>
  <c r="Y349" i="6"/>
  <c r="AA349" i="6" s="1"/>
  <c r="AF349" i="6" s="1"/>
  <c r="AC348" i="6"/>
  <c r="Y348" i="6"/>
  <c r="AA348" i="6" s="1"/>
  <c r="AF348" i="6" s="1"/>
  <c r="AC347" i="6"/>
  <c r="Y347" i="6"/>
  <c r="AA347" i="6" s="1"/>
  <c r="AF347" i="6" s="1"/>
  <c r="AC346" i="6"/>
  <c r="AA346" i="6"/>
  <c r="AE346" i="6" s="1"/>
  <c r="AF346" i="6" s="1"/>
  <c r="Y346" i="6"/>
  <c r="Y345" i="6"/>
  <c r="AA344" i="6"/>
  <c r="AF344" i="6" s="1"/>
  <c r="Y344" i="6"/>
  <c r="Y343" i="6"/>
  <c r="AC343" i="6" s="1"/>
  <c r="AF342" i="6"/>
  <c r="AC342" i="6"/>
  <c r="AA342" i="6"/>
  <c r="Y342" i="6"/>
  <c r="Y341" i="6"/>
  <c r="AC341" i="6" s="1"/>
  <c r="AC340" i="6"/>
  <c r="AA340" i="6"/>
  <c r="AF340" i="6" s="1"/>
  <c r="Y340" i="6"/>
  <c r="Y339" i="6"/>
  <c r="AC339" i="6" s="1"/>
  <c r="AF338" i="6"/>
  <c r="AC338" i="6"/>
  <c r="AA338" i="6"/>
  <c r="Y338" i="6"/>
  <c r="X338" i="6"/>
  <c r="Y337" i="6"/>
  <c r="AF336" i="6"/>
  <c r="AC336" i="6"/>
  <c r="Y336" i="6"/>
  <c r="AA336" i="6" s="1"/>
  <c r="Y335" i="6"/>
  <c r="AC334" i="6"/>
  <c r="Y334" i="6"/>
  <c r="AA334" i="6" s="1"/>
  <c r="AF334" i="6" s="1"/>
  <c r="Y333" i="6"/>
  <c r="AF332" i="6"/>
  <c r="AC332" i="6"/>
  <c r="Y332" i="6"/>
  <c r="AA332" i="6" s="1"/>
  <c r="Y331" i="6"/>
  <c r="X330" i="6"/>
  <c r="Y330" i="6" s="1"/>
  <c r="AA330" i="6" s="1"/>
  <c r="AF330" i="6" s="1"/>
  <c r="Y329" i="6"/>
  <c r="AC329" i="6" s="1"/>
  <c r="Y328" i="6"/>
  <c r="AC328" i="6" s="1"/>
  <c r="X328" i="6"/>
  <c r="Y327" i="6"/>
  <c r="AC327" i="6" s="1"/>
  <c r="X327" i="6"/>
  <c r="AC326" i="6"/>
  <c r="Y326" i="6"/>
  <c r="AA326" i="6" s="1"/>
  <c r="AF326" i="6" s="1"/>
  <c r="AF325" i="6"/>
  <c r="AC325" i="6"/>
  <c r="AA325" i="6"/>
  <c r="Y325" i="6"/>
  <c r="AC324" i="6"/>
  <c r="Y324" i="6"/>
  <c r="AA324" i="6" s="1"/>
  <c r="AF324" i="6" s="1"/>
  <c r="AF323" i="6"/>
  <c r="AC323" i="6"/>
  <c r="AA323" i="6"/>
  <c r="Y323" i="6"/>
  <c r="AC322" i="6"/>
  <c r="Y322" i="6"/>
  <c r="AA322" i="6" s="1"/>
  <c r="AF322" i="6" s="1"/>
  <c r="AC321" i="6"/>
  <c r="AA321" i="6"/>
  <c r="AF321" i="6" s="1"/>
  <c r="Y321" i="6"/>
  <c r="AC320" i="6"/>
  <c r="Y320" i="6"/>
  <c r="AA320" i="6" s="1"/>
  <c r="AF320" i="6" s="1"/>
  <c r="AC319" i="6"/>
  <c r="AA319" i="6"/>
  <c r="AF319" i="6" s="1"/>
  <c r="Y319" i="6"/>
  <c r="AC318" i="6"/>
  <c r="Y318" i="6"/>
  <c r="AA318" i="6" s="1"/>
  <c r="AF318" i="6" s="1"/>
  <c r="AF317" i="6"/>
  <c r="AC317" i="6"/>
  <c r="AA317" i="6"/>
  <c r="Y317" i="6"/>
  <c r="AC316" i="6"/>
  <c r="Y316" i="6"/>
  <c r="AA316" i="6" s="1"/>
  <c r="AF316" i="6" s="1"/>
  <c r="AF315" i="6"/>
  <c r="AC315" i="6"/>
  <c r="AA315" i="6"/>
  <c r="Y315" i="6"/>
  <c r="AA314" i="6"/>
  <c r="AF314" i="6" s="1"/>
  <c r="Y314" i="6"/>
  <c r="Y313" i="6"/>
  <c r="AC313" i="6" s="1"/>
  <c r="AA312" i="6"/>
  <c r="AF312" i="6" s="1"/>
  <c r="Y312" i="6"/>
  <c r="AC312" i="6" s="1"/>
  <c r="AA311" i="6"/>
  <c r="AF311" i="6" s="1"/>
  <c r="Y311" i="6"/>
  <c r="Y310" i="6"/>
  <c r="AA310" i="6" s="1"/>
  <c r="AF310" i="6" s="1"/>
  <c r="Y309" i="6"/>
  <c r="AA308" i="6"/>
  <c r="AF308" i="6" s="1"/>
  <c r="Y308" i="6"/>
  <c r="AA307" i="6"/>
  <c r="AF307" i="6" s="1"/>
  <c r="Y307" i="6"/>
  <c r="Y306" i="6"/>
  <c r="AA306" i="6" s="1"/>
  <c r="AF306" i="6" s="1"/>
  <c r="Y305" i="6"/>
  <c r="AC305" i="6" s="1"/>
  <c r="AA304" i="6"/>
  <c r="AF304" i="6" s="1"/>
  <c r="Y304" i="6"/>
  <c r="AC304" i="6" s="1"/>
  <c r="AF303" i="6"/>
  <c r="Y303" i="6"/>
  <c r="AA303" i="6" s="1"/>
  <c r="Y302" i="6"/>
  <c r="AA302" i="6" s="1"/>
  <c r="AF302" i="6" s="1"/>
  <c r="Y301" i="6"/>
  <c r="AA301" i="6" s="1"/>
  <c r="AF301" i="6" s="1"/>
  <c r="AA300" i="6"/>
  <c r="AF300" i="6" s="1"/>
  <c r="Y300" i="6"/>
  <c r="AC300" i="6" s="1"/>
  <c r="AA299" i="6"/>
  <c r="AF299" i="6" s="1"/>
  <c r="Y299" i="6"/>
  <c r="Y298" i="6"/>
  <c r="AA298" i="6" s="1"/>
  <c r="AF298" i="6" s="1"/>
  <c r="Y297" i="6"/>
  <c r="AA296" i="6"/>
  <c r="AF296" i="6" s="1"/>
  <c r="Y296" i="6"/>
  <c r="X295" i="6"/>
  <c r="Y295" i="6" s="1"/>
  <c r="AA295" i="6" s="1"/>
  <c r="AF295" i="6" s="1"/>
  <c r="Y294" i="6"/>
  <c r="AA294" i="6" s="1"/>
  <c r="AF294" i="6" s="1"/>
  <c r="Y293" i="6"/>
  <c r="AA293" i="6" s="1"/>
  <c r="AF293" i="6" s="1"/>
  <c r="Y292" i="6"/>
  <c r="AA292" i="6" s="1"/>
  <c r="AF292" i="6" s="1"/>
  <c r="AF291" i="6"/>
  <c r="AA291" i="6"/>
  <c r="Y291" i="6"/>
  <c r="Y290" i="6"/>
  <c r="AA290" i="6" s="1"/>
  <c r="AF290" i="6" s="1"/>
  <c r="Y289" i="6"/>
  <c r="AC289" i="6" s="1"/>
  <c r="Y288" i="6"/>
  <c r="AC288" i="6" s="1"/>
  <c r="AA287" i="6"/>
  <c r="AF287" i="6" s="1"/>
  <c r="Y287" i="6"/>
  <c r="AF286" i="6"/>
  <c r="AA286" i="6"/>
  <c r="Y286" i="6"/>
  <c r="Y285" i="6"/>
  <c r="AA285" i="6" s="1"/>
  <c r="AF285" i="6" s="1"/>
  <c r="Y284" i="6"/>
  <c r="AA284" i="6" s="1"/>
  <c r="AF284" i="6" s="1"/>
  <c r="X284" i="6"/>
  <c r="Y283" i="6"/>
  <c r="AA283" i="6" s="1"/>
  <c r="AF283" i="6" s="1"/>
  <c r="Y282" i="6"/>
  <c r="AC282" i="6" s="1"/>
  <c r="Y281" i="6"/>
  <c r="AC281" i="6" s="1"/>
  <c r="AC280" i="6"/>
  <c r="AA280" i="6"/>
  <c r="AF280" i="6" s="1"/>
  <c r="Y280" i="6"/>
  <c r="Y279" i="6"/>
  <c r="AC279" i="6" s="1"/>
  <c r="Y278" i="6"/>
  <c r="AA278" i="6" s="1"/>
  <c r="AF278" i="6" s="1"/>
  <c r="Y277" i="6"/>
  <c r="AA277" i="6" s="1"/>
  <c r="AF277" i="6" s="1"/>
  <c r="Y276" i="6"/>
  <c r="AF275" i="6"/>
  <c r="AA275" i="6"/>
  <c r="Y275" i="6"/>
  <c r="Y274" i="6"/>
  <c r="AA274" i="6" s="1"/>
  <c r="AF274" i="6" s="1"/>
  <c r="Y273" i="6"/>
  <c r="AA273" i="6" s="1"/>
  <c r="AF273" i="6" s="1"/>
  <c r="Y272" i="6"/>
  <c r="AA272" i="6" s="1"/>
  <c r="AF272" i="6" s="1"/>
  <c r="Y271" i="6"/>
  <c r="AA271" i="6" s="1"/>
  <c r="AF271" i="6" s="1"/>
  <c r="AA270" i="6"/>
  <c r="AF270" i="6" s="1"/>
  <c r="Y270" i="6"/>
  <c r="Y269" i="6"/>
  <c r="AC269" i="6" s="1"/>
  <c r="Y268" i="6"/>
  <c r="AA268" i="6" s="1"/>
  <c r="AF268" i="6" s="1"/>
  <c r="Y267" i="6"/>
  <c r="AC267" i="6" s="1"/>
  <c r="Y266" i="6"/>
  <c r="AC266" i="6" s="1"/>
  <c r="X266" i="6"/>
  <c r="Y265" i="6"/>
  <c r="AC265" i="6" s="1"/>
  <c r="Y264" i="6"/>
  <c r="AC264" i="6" s="1"/>
  <c r="Y263" i="6"/>
  <c r="AC263" i="6" s="1"/>
  <c r="AC262" i="6"/>
  <c r="AA262" i="6"/>
  <c r="AF262" i="6" s="1"/>
  <c r="Y262" i="6"/>
  <c r="Y261" i="6"/>
  <c r="AA261" i="6" s="1"/>
  <c r="AF261" i="6" s="1"/>
  <c r="Y260" i="6"/>
  <c r="AC260" i="6" s="1"/>
  <c r="Y259" i="6"/>
  <c r="AA259" i="6" s="1"/>
  <c r="AF259" i="6" s="1"/>
  <c r="Z258" i="6"/>
  <c r="Y258" i="6"/>
  <c r="AA258" i="6" s="1"/>
  <c r="AF258" i="6" s="1"/>
  <c r="AC257" i="6"/>
  <c r="Y257" i="6"/>
  <c r="AA257" i="6" s="1"/>
  <c r="AF257" i="6" s="1"/>
  <c r="Y256" i="6"/>
  <c r="AF255" i="6"/>
  <c r="AC255" i="6"/>
  <c r="Y255" i="6"/>
  <c r="AA255" i="6" s="1"/>
  <c r="Y254" i="6"/>
  <c r="AA254" i="6" s="1"/>
  <c r="AF254" i="6" s="1"/>
  <c r="X253" i="6"/>
  <c r="Y253" i="6" s="1"/>
  <c r="AC253" i="6" s="1"/>
  <c r="Y252" i="6"/>
  <c r="AA252" i="6" s="1"/>
  <c r="AF252" i="6" s="1"/>
  <c r="AF251" i="6"/>
  <c r="AC251" i="6"/>
  <c r="AA251" i="6"/>
  <c r="X251" i="6"/>
  <c r="Y251" i="6" s="1"/>
  <c r="Y250" i="6"/>
  <c r="AA249" i="6"/>
  <c r="AF249" i="6" s="1"/>
  <c r="Y249" i="6"/>
  <c r="Y248" i="6"/>
  <c r="AA248" i="6" s="1"/>
  <c r="AF248" i="6" s="1"/>
  <c r="Y247" i="6"/>
  <c r="AA247" i="6" s="1"/>
  <c r="AF247" i="6" s="1"/>
  <c r="Y246" i="6"/>
  <c r="AC246" i="6" s="1"/>
  <c r="X245" i="6"/>
  <c r="Y245" i="6" s="1"/>
  <c r="Z244" i="6"/>
  <c r="Y244" i="6"/>
  <c r="AA244" i="6" s="1"/>
  <c r="AF244" i="6" s="1"/>
  <c r="AA243" i="6"/>
  <c r="AF243" i="6" s="1"/>
  <c r="Z243" i="6"/>
  <c r="Y243" i="6"/>
  <c r="Y242" i="6"/>
  <c r="AA242" i="6" s="1"/>
  <c r="AF242" i="6" s="1"/>
  <c r="Y241" i="6"/>
  <c r="AA241" i="6" s="1"/>
  <c r="AF241" i="6" s="1"/>
  <c r="AF240" i="6"/>
  <c r="AC240" i="6"/>
  <c r="Y240" i="6"/>
  <c r="AA240" i="6" s="1"/>
  <c r="Y239" i="6"/>
  <c r="AA238" i="6"/>
  <c r="AF238" i="6" s="1"/>
  <c r="Y238" i="6"/>
  <c r="AC237" i="6"/>
  <c r="AA237" i="6"/>
  <c r="AF237" i="6" s="1"/>
  <c r="Y237" i="6"/>
  <c r="AF236" i="6"/>
  <c r="AC236" i="6"/>
  <c r="AA236" i="6"/>
  <c r="Y236" i="6"/>
  <c r="AA235" i="6"/>
  <c r="AF235" i="6" s="1"/>
  <c r="Y235" i="6"/>
  <c r="AC235" i="6" s="1"/>
  <c r="AF234" i="6"/>
  <c r="AC234" i="6"/>
  <c r="AA234" i="6"/>
  <c r="Y234" i="6"/>
  <c r="AA233" i="6"/>
  <c r="AF233" i="6" s="1"/>
  <c r="Y233" i="6"/>
  <c r="AC233" i="6" s="1"/>
  <c r="AC232" i="6"/>
  <c r="AA232" i="6"/>
  <c r="AF232" i="6" s="1"/>
  <c r="Y232" i="6"/>
  <c r="AA231" i="6"/>
  <c r="AF231" i="6" s="1"/>
  <c r="Y231" i="6"/>
  <c r="AC231" i="6" s="1"/>
  <c r="Y230" i="6"/>
  <c r="AA230" i="6" s="1"/>
  <c r="AF230" i="6" s="1"/>
  <c r="Y229" i="6"/>
  <c r="AA229" i="6" s="1"/>
  <c r="AF229" i="6" s="1"/>
  <c r="Y228" i="6"/>
  <c r="AA228" i="6" s="1"/>
  <c r="AF228" i="6" s="1"/>
  <c r="X227" i="6"/>
  <c r="Y227" i="6" s="1"/>
  <c r="AA227" i="6" s="1"/>
  <c r="AF227" i="6" s="1"/>
  <c r="AA226" i="6"/>
  <c r="AF226" i="6" s="1"/>
  <c r="Y226" i="6"/>
  <c r="Y225" i="6"/>
  <c r="AA225" i="6" s="1"/>
  <c r="AF225" i="6" s="1"/>
  <c r="Y224" i="6"/>
  <c r="AC224" i="6" s="1"/>
  <c r="AC223" i="6"/>
  <c r="AA223" i="6"/>
  <c r="AF223" i="6" s="1"/>
  <c r="Y223" i="6"/>
  <c r="Y222" i="6"/>
  <c r="AC222" i="6" s="1"/>
  <c r="Y221" i="6"/>
  <c r="AA221" i="6" s="1"/>
  <c r="AF221" i="6" s="1"/>
  <c r="Y220" i="6"/>
  <c r="AA220" i="6" s="1"/>
  <c r="AF220" i="6" s="1"/>
  <c r="AA219" i="6"/>
  <c r="AF219" i="6" s="1"/>
  <c r="Y219" i="6"/>
  <c r="Y218" i="6"/>
  <c r="AA218" i="6" s="1"/>
  <c r="AF218" i="6" s="1"/>
  <c r="Y217" i="6"/>
  <c r="AC217" i="6" s="1"/>
  <c r="X216" i="6"/>
  <c r="Y216" i="6" s="1"/>
  <c r="AC216" i="6" s="1"/>
  <c r="Y215" i="6"/>
  <c r="AC215" i="6" s="1"/>
  <c r="Y214" i="6"/>
  <c r="AA214" i="6" s="1"/>
  <c r="AF214" i="6" s="1"/>
  <c r="Y213" i="6"/>
  <c r="AA213" i="6" s="1"/>
  <c r="AF213" i="6" s="1"/>
  <c r="Y212" i="6"/>
  <c r="AC212" i="6" s="1"/>
  <c r="X211" i="6"/>
  <c r="Y211" i="6" s="1"/>
  <c r="AA211" i="6" s="1"/>
  <c r="AF211" i="6" s="1"/>
  <c r="Y210" i="6"/>
  <c r="Y209" i="6"/>
  <c r="AA209" i="6" s="1"/>
  <c r="AF209" i="6" s="1"/>
  <c r="Y208" i="6"/>
  <c r="AA208" i="6" s="1"/>
  <c r="AF208" i="6" s="1"/>
  <c r="Y207" i="6"/>
  <c r="AA207" i="6" s="1"/>
  <c r="AF207" i="6" s="1"/>
  <c r="Y206" i="6"/>
  <c r="AA206" i="6" s="1"/>
  <c r="AF206" i="6" s="1"/>
  <c r="AC205" i="6"/>
  <c r="Y205" i="6"/>
  <c r="AA205" i="6" s="1"/>
  <c r="AF205" i="6" s="1"/>
  <c r="Y204" i="6"/>
  <c r="AC204" i="6" s="1"/>
  <c r="Y203" i="6"/>
  <c r="AC203" i="6" s="1"/>
  <c r="AF202" i="6"/>
  <c r="Y202" i="6"/>
  <c r="AA202" i="6" s="1"/>
  <c r="AA201" i="6"/>
  <c r="AF201" i="6" s="1"/>
  <c r="Y201" i="6"/>
  <c r="AC201" i="6" s="1"/>
  <c r="AA200" i="6"/>
  <c r="AF200" i="6" s="1"/>
  <c r="Y200" i="6"/>
  <c r="Y199" i="6"/>
  <c r="AF198" i="6"/>
  <c r="AC198" i="6"/>
  <c r="AA198" i="6"/>
  <c r="Y198" i="6"/>
  <c r="Y197" i="6"/>
  <c r="AA197" i="6" s="1"/>
  <c r="AF197" i="6" s="1"/>
  <c r="AC196" i="6"/>
  <c r="AA196" i="6"/>
  <c r="AE196" i="6" s="1"/>
  <c r="AF196" i="6" s="1"/>
  <c r="Y196" i="6"/>
  <c r="AA195" i="6"/>
  <c r="AE195" i="6" s="1"/>
  <c r="AF195" i="6" s="1"/>
  <c r="Y195" i="6"/>
  <c r="AC195" i="6" s="1"/>
  <c r="AF194" i="6"/>
  <c r="AC194" i="6"/>
  <c r="AA194" i="6"/>
  <c r="Y194" i="6"/>
  <c r="AA193" i="6"/>
  <c r="AF193" i="6" s="1"/>
  <c r="Y193" i="6"/>
  <c r="AC193" i="6" s="1"/>
  <c r="AF192" i="6"/>
  <c r="AC192" i="6"/>
  <c r="Y192" i="6"/>
  <c r="AA192" i="6" s="1"/>
  <c r="Y191" i="6"/>
  <c r="AC191" i="6" s="1"/>
  <c r="AF190" i="6"/>
  <c r="AC190" i="6"/>
  <c r="Y190" i="6"/>
  <c r="AA190" i="6" s="1"/>
  <c r="AC189" i="6"/>
  <c r="AA189" i="6"/>
  <c r="AE189" i="6" s="1"/>
  <c r="AF189" i="6" s="1"/>
  <c r="Y189" i="6"/>
  <c r="AF188" i="6"/>
  <c r="AE188" i="6"/>
  <c r="AC188" i="6"/>
  <c r="AA188" i="6"/>
  <c r="Y188" i="6"/>
  <c r="AC187" i="6"/>
  <c r="AA187" i="6"/>
  <c r="AE187" i="6" s="1"/>
  <c r="AF187" i="6" s="1"/>
  <c r="Y187" i="6"/>
  <c r="Y186" i="6"/>
  <c r="Y185" i="6"/>
  <c r="AC185" i="6" s="1"/>
  <c r="Y184" i="6"/>
  <c r="AC184" i="6" s="1"/>
  <c r="AC183" i="6"/>
  <c r="Y183" i="6"/>
  <c r="AA183" i="6" s="1"/>
  <c r="AF183" i="6" s="1"/>
  <c r="Y182" i="6"/>
  <c r="AC182" i="6" s="1"/>
  <c r="AC181" i="6"/>
  <c r="AA181" i="6"/>
  <c r="AF181" i="6" s="1"/>
  <c r="Y181" i="6"/>
  <c r="Y180" i="6"/>
  <c r="AC180" i="6" s="1"/>
  <c r="AC179" i="6"/>
  <c r="AA179" i="6"/>
  <c r="AF179" i="6" s="1"/>
  <c r="Y179" i="6"/>
  <c r="AF178" i="6"/>
  <c r="AA178" i="6"/>
  <c r="Y178" i="6"/>
  <c r="Y177" i="6"/>
  <c r="AA177" i="6" s="1"/>
  <c r="AF177" i="6" s="1"/>
  <c r="Y176" i="6"/>
  <c r="AA176" i="6" s="1"/>
  <c r="AF176" i="6" s="1"/>
  <c r="Y175" i="6"/>
  <c r="AA175" i="6" s="1"/>
  <c r="AF175" i="6" s="1"/>
  <c r="Y174" i="6"/>
  <c r="AA174" i="6" s="1"/>
  <c r="AF174" i="6" s="1"/>
  <c r="AA173" i="6"/>
  <c r="AF173" i="6" s="1"/>
  <c r="Y173" i="6"/>
  <c r="Y172" i="6"/>
  <c r="AA172" i="6" s="1"/>
  <c r="AF172" i="6" s="1"/>
  <c r="AA171" i="6"/>
  <c r="AF171" i="6" s="1"/>
  <c r="Y171" i="6"/>
  <c r="AF170" i="6"/>
  <c r="AA170" i="6"/>
  <c r="Y170" i="6"/>
  <c r="Y169" i="6"/>
  <c r="AA169" i="6" s="1"/>
  <c r="AF169" i="6" s="1"/>
  <c r="AF168" i="6"/>
  <c r="Y168" i="6"/>
  <c r="AA168" i="6" s="1"/>
  <c r="Y167" i="6"/>
  <c r="AF166" i="6"/>
  <c r="AA166" i="6"/>
  <c r="Y166" i="6"/>
  <c r="AC166" i="6" s="1"/>
  <c r="Y165" i="6"/>
  <c r="AF164" i="6"/>
  <c r="Y164" i="6"/>
  <c r="AA164" i="6" s="1"/>
  <c r="X164" i="6"/>
  <c r="Y163" i="6"/>
  <c r="AA163" i="6" s="1"/>
  <c r="AF163" i="6" s="1"/>
  <c r="AA162" i="6"/>
  <c r="AF162" i="6" s="1"/>
  <c r="Y162" i="6"/>
  <c r="AF161" i="6"/>
  <c r="AA161" i="6"/>
  <c r="Y161" i="6"/>
  <c r="Y160" i="6"/>
  <c r="AA160" i="6" s="1"/>
  <c r="AF160" i="6" s="1"/>
  <c r="AF159" i="6"/>
  <c r="Y159" i="6"/>
  <c r="AA159" i="6" s="1"/>
  <c r="Y158" i="6"/>
  <c r="AA158" i="6" s="1"/>
  <c r="AF158" i="6" s="1"/>
  <c r="Y157" i="6"/>
  <c r="AA157" i="6" s="1"/>
  <c r="AF157" i="6" s="1"/>
  <c r="AA156" i="6"/>
  <c r="AF156" i="6" s="1"/>
  <c r="Y156" i="6"/>
  <c r="X155" i="6"/>
  <c r="Y155" i="6" s="1"/>
  <c r="AA155" i="6" s="1"/>
  <c r="AF155" i="6" s="1"/>
  <c r="AF154" i="6"/>
  <c r="Y154" i="6"/>
  <c r="AA154" i="6" s="1"/>
  <c r="Y153" i="6"/>
  <c r="AA153" i="6" s="1"/>
  <c r="AF153" i="6" s="1"/>
  <c r="Y152" i="6"/>
  <c r="AA152" i="6" s="1"/>
  <c r="AF152" i="6" s="1"/>
  <c r="AA151" i="6"/>
  <c r="AF151" i="6" s="1"/>
  <c r="Y151" i="6"/>
  <c r="Y150" i="6"/>
  <c r="AA150" i="6" s="1"/>
  <c r="AF150" i="6" s="1"/>
  <c r="AF149" i="6"/>
  <c r="AA149" i="6"/>
  <c r="Y149" i="6"/>
  <c r="AF148" i="6"/>
  <c r="AA148" i="6"/>
  <c r="Y148" i="6"/>
  <c r="Y147" i="6"/>
  <c r="AA147" i="6" s="1"/>
  <c r="AF147" i="6" s="1"/>
  <c r="Y146" i="6"/>
  <c r="AA146" i="6" s="1"/>
  <c r="AF146" i="6" s="1"/>
  <c r="Y145" i="6"/>
  <c r="AA145" i="6" s="1"/>
  <c r="AF145" i="6" s="1"/>
  <c r="AA144" i="6"/>
  <c r="AF144" i="6" s="1"/>
  <c r="Y144" i="6"/>
  <c r="AA143" i="6"/>
  <c r="AF143" i="6" s="1"/>
  <c r="Y143" i="6"/>
  <c r="Y142" i="6"/>
  <c r="AA142" i="6" s="1"/>
  <c r="AF142" i="6" s="1"/>
  <c r="AA141" i="6"/>
  <c r="AF141" i="6" s="1"/>
  <c r="Y141" i="6"/>
  <c r="AF140" i="6"/>
  <c r="AA140" i="6"/>
  <c r="Y140" i="6"/>
  <c r="Y139" i="6"/>
  <c r="AA139" i="6" s="1"/>
  <c r="AF139" i="6" s="1"/>
  <c r="AF138" i="6"/>
  <c r="Y138" i="6"/>
  <c r="AA138" i="6" s="1"/>
  <c r="Y137" i="6"/>
  <c r="AA137" i="6" s="1"/>
  <c r="AF137" i="6" s="1"/>
  <c r="Y136" i="6"/>
  <c r="AA136" i="6" s="1"/>
  <c r="AF136" i="6" s="1"/>
  <c r="AA135" i="6"/>
  <c r="AF135" i="6" s="1"/>
  <c r="Y135" i="6"/>
  <c r="Y134" i="6"/>
  <c r="AA134" i="6" s="1"/>
  <c r="AF134" i="6" s="1"/>
  <c r="AF133" i="6"/>
  <c r="AA133" i="6"/>
  <c r="Y133" i="6"/>
  <c r="AF132" i="6"/>
  <c r="AA132" i="6"/>
  <c r="Y132" i="6"/>
  <c r="Y131" i="6"/>
  <c r="AA131" i="6" s="1"/>
  <c r="AF131" i="6" s="1"/>
  <c r="AF130" i="6"/>
  <c r="Y130" i="6"/>
  <c r="AA130" i="6" s="1"/>
  <c r="AF129" i="6"/>
  <c r="AA129" i="6"/>
  <c r="Y129" i="6"/>
  <c r="Y128" i="6"/>
  <c r="AA128" i="6" s="1"/>
  <c r="AF128" i="6" s="1"/>
  <c r="AA127" i="6"/>
  <c r="AF127" i="6" s="1"/>
  <c r="Y127" i="6"/>
  <c r="Y126" i="6"/>
  <c r="AA126" i="6" s="1"/>
  <c r="AF126" i="6" s="1"/>
  <c r="AA125" i="6"/>
  <c r="AF125" i="6" s="1"/>
  <c r="Y125" i="6"/>
  <c r="AF124" i="6"/>
  <c r="AA124" i="6"/>
  <c r="Y124" i="6"/>
  <c r="Y123" i="6"/>
  <c r="AA123" i="6" s="1"/>
  <c r="AF123" i="6" s="1"/>
  <c r="AF122" i="6"/>
  <c r="Y122" i="6"/>
  <c r="AA122" i="6" s="1"/>
  <c r="Y121" i="6"/>
  <c r="AA121" i="6" s="1"/>
  <c r="AF121" i="6" s="1"/>
  <c r="Y120" i="6"/>
  <c r="AA120" i="6" s="1"/>
  <c r="AF120" i="6" s="1"/>
  <c r="X120" i="6"/>
  <c r="AF119" i="6"/>
  <c r="AA119" i="6"/>
  <c r="Y119" i="6"/>
  <c r="Y118" i="6"/>
  <c r="AA118" i="6" s="1"/>
  <c r="AF118" i="6" s="1"/>
  <c r="AF117" i="6"/>
  <c r="Y117" i="6"/>
  <c r="AA117" i="6" s="1"/>
  <c r="Y116" i="6"/>
  <c r="AA116" i="6" s="1"/>
  <c r="AF116" i="6" s="1"/>
  <c r="Y115" i="6"/>
  <c r="AA115" i="6" s="1"/>
  <c r="AF115" i="6" s="1"/>
  <c r="AA114" i="6"/>
  <c r="AF114" i="6" s="1"/>
  <c r="Y114" i="6"/>
  <c r="Y113" i="6"/>
  <c r="AA113" i="6" s="1"/>
  <c r="AF113" i="6" s="1"/>
  <c r="AF112" i="6"/>
  <c r="AA112" i="6"/>
  <c r="Y112" i="6"/>
  <c r="Y111" i="6"/>
  <c r="AA111" i="6" s="1"/>
  <c r="AF111" i="6" s="1"/>
  <c r="Y110" i="6"/>
  <c r="AA110" i="6" s="1"/>
  <c r="AF110" i="6" s="1"/>
  <c r="AF109" i="6"/>
  <c r="Y109" i="6"/>
  <c r="AA109" i="6" s="1"/>
  <c r="Y108" i="6"/>
  <c r="AA108" i="6" s="1"/>
  <c r="AF108" i="6" s="1"/>
  <c r="AA107" i="6"/>
  <c r="AF107" i="6" s="1"/>
  <c r="Y107" i="6"/>
  <c r="AA106" i="6"/>
  <c r="AF106" i="6" s="1"/>
  <c r="Y106" i="6"/>
  <c r="Y105" i="6"/>
  <c r="AA105" i="6" s="1"/>
  <c r="AF105" i="6" s="1"/>
  <c r="AF104" i="6"/>
  <c r="AA104" i="6"/>
  <c r="Y104" i="6"/>
  <c r="AF103" i="6"/>
  <c r="AA103" i="6"/>
  <c r="Y103" i="6"/>
  <c r="Y102" i="6"/>
  <c r="AA102" i="6" s="1"/>
  <c r="AF102" i="6" s="1"/>
  <c r="Y101" i="6"/>
  <c r="AA101" i="6" s="1"/>
  <c r="AF101" i="6" s="1"/>
  <c r="Y100" i="6"/>
  <c r="AA100" i="6" s="1"/>
  <c r="AF100" i="6" s="1"/>
  <c r="Y99" i="6"/>
  <c r="AA99" i="6" s="1"/>
  <c r="AF99" i="6" s="1"/>
  <c r="AA98" i="6"/>
  <c r="AF98" i="6" s="1"/>
  <c r="Y98" i="6"/>
  <c r="Y97" i="6"/>
  <c r="AA97" i="6" s="1"/>
  <c r="AF97" i="6" s="1"/>
  <c r="AA96" i="6"/>
  <c r="AF96" i="6" s="1"/>
  <c r="Y96" i="6"/>
  <c r="X95" i="6"/>
  <c r="Y95" i="6" s="1"/>
  <c r="AA95" i="6" s="1"/>
  <c r="AF95" i="6" s="1"/>
  <c r="AA94" i="6"/>
  <c r="AF94" i="6" s="1"/>
  <c r="Y94" i="6"/>
  <c r="AA93" i="6"/>
  <c r="AF93" i="6" s="1"/>
  <c r="Y93" i="6"/>
  <c r="Y92" i="6"/>
  <c r="AA92" i="6" s="1"/>
  <c r="AF92" i="6" s="1"/>
  <c r="AF91" i="6"/>
  <c r="AA91" i="6"/>
  <c r="Y91" i="6"/>
  <c r="AF90" i="6"/>
  <c r="AA90" i="6"/>
  <c r="Y90" i="6"/>
  <c r="Y89" i="6"/>
  <c r="AA89" i="6" s="1"/>
  <c r="AF89" i="6" s="1"/>
  <c r="Y88" i="6"/>
  <c r="AA88" i="6" s="1"/>
  <c r="AF88" i="6" s="1"/>
  <c r="Y87" i="6"/>
  <c r="AA87" i="6" s="1"/>
  <c r="AF87" i="6" s="1"/>
  <c r="Y86" i="6"/>
  <c r="AA86" i="6" s="1"/>
  <c r="AF86" i="6" s="1"/>
  <c r="AA85" i="6"/>
  <c r="AF85" i="6" s="1"/>
  <c r="Y85" i="6"/>
  <c r="Y84" i="6"/>
  <c r="AA84" i="6" s="1"/>
  <c r="AF84" i="6" s="1"/>
  <c r="AA83" i="6"/>
  <c r="AF83" i="6" s="1"/>
  <c r="Y83" i="6"/>
  <c r="Y82" i="6"/>
  <c r="AA82" i="6" s="1"/>
  <c r="AF82" i="6" s="1"/>
  <c r="Y81" i="6"/>
  <c r="AA81" i="6" s="1"/>
  <c r="AF81" i="6" s="1"/>
  <c r="Y80" i="6"/>
  <c r="AA80" i="6" s="1"/>
  <c r="AF80" i="6" s="1"/>
  <c r="Y79" i="6"/>
  <c r="AA79" i="6" s="1"/>
  <c r="AF79" i="6" s="1"/>
  <c r="Y78" i="6"/>
  <c r="AA78" i="6" s="1"/>
  <c r="AF78" i="6" s="1"/>
  <c r="AA77" i="6"/>
  <c r="AF77" i="6" s="1"/>
  <c r="Y77" i="6"/>
  <c r="Y76" i="6"/>
  <c r="AA76" i="6" s="1"/>
  <c r="AF76" i="6" s="1"/>
  <c r="AA75" i="6"/>
  <c r="AF75" i="6" s="1"/>
  <c r="Y75" i="6"/>
  <c r="Y74" i="6"/>
  <c r="AA74" i="6" s="1"/>
  <c r="AF74" i="6" s="1"/>
  <c r="Y73" i="6"/>
  <c r="AA73" i="6" s="1"/>
  <c r="AF73" i="6" s="1"/>
  <c r="AF72" i="6"/>
  <c r="Y72" i="6"/>
  <c r="AA72" i="6" s="1"/>
  <c r="Y71" i="6"/>
  <c r="AA71" i="6" s="1"/>
  <c r="AF71" i="6" s="1"/>
  <c r="Y70" i="6"/>
  <c r="AA70" i="6" s="1"/>
  <c r="AF70" i="6" s="1"/>
  <c r="AA69" i="6"/>
  <c r="AF69" i="6" s="1"/>
  <c r="Y69" i="6"/>
  <c r="Y68" i="6"/>
  <c r="AA68" i="6" s="1"/>
  <c r="AF68" i="6" s="1"/>
  <c r="AF67" i="6"/>
  <c r="AA67" i="6"/>
  <c r="Y67" i="6"/>
  <c r="Y66" i="6"/>
  <c r="AA66" i="6" s="1"/>
  <c r="AF66" i="6" s="1"/>
  <c r="Y65" i="6"/>
  <c r="AA65" i="6" s="1"/>
  <c r="AF65" i="6" s="1"/>
  <c r="Y64" i="6"/>
  <c r="AA64" i="6" s="1"/>
  <c r="AF64" i="6" s="1"/>
  <c r="Y63" i="6"/>
  <c r="AA63" i="6" s="1"/>
  <c r="AF63" i="6" s="1"/>
  <c r="AA62" i="6"/>
  <c r="AF62" i="6" s="1"/>
  <c r="Y62" i="6"/>
  <c r="AA61" i="6"/>
  <c r="AF61" i="6" s="1"/>
  <c r="Y61" i="6"/>
  <c r="Y60" i="6"/>
  <c r="AA60" i="6" s="1"/>
  <c r="AF60" i="6" s="1"/>
  <c r="AA59" i="6"/>
  <c r="AF59" i="6" s="1"/>
  <c r="Y59" i="6"/>
  <c r="Y58" i="6"/>
  <c r="AA58" i="6" s="1"/>
  <c r="AF58" i="6" s="1"/>
  <c r="Y57" i="6"/>
  <c r="AA57" i="6" s="1"/>
  <c r="AF57" i="6" s="1"/>
  <c r="AF56" i="6"/>
  <c r="Y56" i="6"/>
  <c r="AA56" i="6" s="1"/>
  <c r="Y55" i="6"/>
  <c r="AA55" i="6" s="1"/>
  <c r="AF55" i="6" s="1"/>
  <c r="Y54" i="6"/>
  <c r="AA54" i="6" s="1"/>
  <c r="AF54" i="6" s="1"/>
  <c r="X54" i="6"/>
  <c r="Y53" i="6"/>
  <c r="AA53" i="6" s="1"/>
  <c r="AF53" i="6" s="1"/>
  <c r="Y52" i="6"/>
  <c r="AA52" i="6" s="1"/>
  <c r="AF52" i="6" s="1"/>
  <c r="AF51" i="6"/>
  <c r="Y51" i="6"/>
  <c r="AA51" i="6" s="1"/>
  <c r="Y50" i="6"/>
  <c r="AA50" i="6" s="1"/>
  <c r="AF50" i="6" s="1"/>
  <c r="Y49" i="6"/>
  <c r="AA49" i="6" s="1"/>
  <c r="AF49" i="6" s="1"/>
  <c r="AA48" i="6"/>
  <c r="AF48" i="6" s="1"/>
  <c r="Y48" i="6"/>
  <c r="Y47" i="6"/>
  <c r="AC47" i="6" s="1"/>
  <c r="AC46" i="6"/>
  <c r="Y46" i="6"/>
  <c r="AA46" i="6" s="1"/>
  <c r="AF46" i="6" s="1"/>
  <c r="Y45" i="6"/>
  <c r="AA45" i="6" s="1"/>
  <c r="AF45" i="6" s="1"/>
  <c r="AF44" i="6"/>
  <c r="AC44" i="6"/>
  <c r="AA44" i="6"/>
  <c r="Y44" i="6"/>
  <c r="Y43" i="6"/>
  <c r="AF42" i="6"/>
  <c r="AC42" i="6"/>
  <c r="AA42" i="6"/>
  <c r="Y42" i="6"/>
  <c r="AE41" i="6"/>
  <c r="AF41" i="6" s="1"/>
  <c r="AA41" i="6"/>
  <c r="Y41" i="6"/>
  <c r="AC41" i="6" s="1"/>
  <c r="AA40" i="6"/>
  <c r="AF40" i="6" s="1"/>
  <c r="Y40" i="6"/>
  <c r="Y39" i="6"/>
  <c r="AF38" i="6"/>
  <c r="AC38" i="6"/>
  <c r="AA38" i="6"/>
  <c r="Y38" i="6"/>
  <c r="Y37" i="6"/>
  <c r="AF36" i="6"/>
  <c r="AC36" i="6"/>
  <c r="AA36" i="6"/>
  <c r="Y36" i="6"/>
  <c r="Y35" i="6"/>
  <c r="AF34" i="6"/>
  <c r="AC34" i="6"/>
  <c r="AA34" i="6"/>
  <c r="Y34" i="6"/>
  <c r="X33" i="6"/>
  <c r="Y33" i="6" s="1"/>
  <c r="AA32" i="6"/>
  <c r="AF32" i="6" s="1"/>
  <c r="Z32" i="6"/>
  <c r="Y32" i="6"/>
  <c r="Z31" i="6"/>
  <c r="Y31" i="6"/>
  <c r="AA30" i="6"/>
  <c r="AF30" i="6" s="1"/>
  <c r="Z30" i="6"/>
  <c r="Y30" i="6"/>
  <c r="Z29" i="6"/>
  <c r="Y29" i="6"/>
  <c r="AA29" i="6" s="1"/>
  <c r="AF29" i="6" s="1"/>
  <c r="AA28" i="6"/>
  <c r="AF28" i="6" s="1"/>
  <c r="Z28" i="6"/>
  <c r="Y28" i="6"/>
  <c r="Z27" i="6"/>
  <c r="Y27" i="6"/>
  <c r="AA26" i="6"/>
  <c r="AF26" i="6" s="1"/>
  <c r="Z26" i="6"/>
  <c r="Y26" i="6"/>
  <c r="Z25" i="6"/>
  <c r="Y25" i="6"/>
  <c r="AA24" i="6"/>
  <c r="AF24" i="6" s="1"/>
  <c r="Z24" i="6"/>
  <c r="Y24" i="6"/>
  <c r="Z23" i="6"/>
  <c r="Y23" i="6"/>
  <c r="AA23" i="6" s="1"/>
  <c r="AF23" i="6" s="1"/>
  <c r="AA22" i="6"/>
  <c r="AF22" i="6" s="1"/>
  <c r="Z22" i="6"/>
  <c r="Y22" i="6"/>
  <c r="Y21" i="6"/>
  <c r="AA21" i="6" s="1"/>
  <c r="AF21" i="6" s="1"/>
  <c r="AF20" i="6"/>
  <c r="AC20" i="6"/>
  <c r="AA20" i="6"/>
  <c r="Y20" i="6"/>
  <c r="Y19" i="6"/>
  <c r="AF18" i="6"/>
  <c r="AC18" i="6"/>
  <c r="AA18" i="6"/>
  <c r="Y18" i="6"/>
  <c r="Y17" i="6"/>
  <c r="Y16" i="6"/>
  <c r="AA16" i="6" s="1"/>
  <c r="AF16" i="6" s="1"/>
  <c r="Y15" i="6"/>
  <c r="AA15" i="6" s="1"/>
  <c r="AF15" i="6" s="1"/>
  <c r="AC14" i="6"/>
  <c r="AA14" i="6"/>
  <c r="AF14" i="6" s="1"/>
  <c r="Y14" i="6"/>
  <c r="Y13" i="6"/>
  <c r="AC13" i="6" s="1"/>
  <c r="AC12" i="6"/>
  <c r="AA12" i="6"/>
  <c r="AF12" i="6" s="1"/>
  <c r="Y12" i="6"/>
  <c r="Y11" i="6"/>
  <c r="AC11" i="6" s="1"/>
  <c r="AC10" i="6"/>
  <c r="AA10" i="6"/>
  <c r="AF10" i="6" s="1"/>
  <c r="Y10" i="6"/>
  <c r="Y9" i="6"/>
  <c r="AC9" i="6" s="1"/>
  <c r="AC8" i="6"/>
  <c r="AA8" i="6"/>
  <c r="AF8" i="6" s="1"/>
  <c r="Y8" i="6"/>
  <c r="Y7" i="6"/>
  <c r="AC7" i="6" s="1"/>
  <c r="AC6" i="6"/>
  <c r="AA6" i="6"/>
  <c r="AF6" i="6" s="1"/>
  <c r="Y6" i="6"/>
  <c r="Y5" i="6"/>
  <c r="AC5" i="6" s="1"/>
  <c r="AC4" i="6"/>
  <c r="AA4" i="6"/>
  <c r="AF4" i="6" s="1"/>
  <c r="Y4" i="6"/>
  <c r="Y3" i="6"/>
  <c r="AC3" i="6" s="1"/>
  <c r="AV1794" i="6"/>
  <c r="AW1794" i="6" s="1" a="1"/>
  <c r="AW1794" i="6" s="1"/>
  <c r="AV1793" i="6"/>
  <c r="AW1793" i="6" s="1" a="1"/>
  <c r="AW1793" i="6" s="1"/>
  <c r="AV1792" i="6"/>
  <c r="AW1792" i="6" s="1" a="1"/>
  <c r="AW1792" i="6" s="1"/>
  <c r="AV1791" i="6"/>
  <c r="AW1791" i="6" s="1" a="1"/>
  <c r="AW1791" i="6" s="1"/>
  <c r="AV1790" i="6"/>
  <c r="AW1790" i="6" s="1" a="1"/>
  <c r="AW1790" i="6" s="1"/>
  <c r="AV1789" i="6"/>
  <c r="AW1789" i="6" s="1" a="1"/>
  <c r="AW1789" i="6" s="1"/>
  <c r="AV1788" i="6"/>
  <c r="AW1788" i="6" s="1" a="1"/>
  <c r="AW1788" i="6" s="1"/>
  <c r="AX1788" i="6" s="1"/>
  <c r="AV1787" i="6"/>
  <c r="AW1787" i="6" s="1" a="1"/>
  <c r="AW1787" i="6" s="1"/>
  <c r="AV1785" i="6"/>
  <c r="AW1785" i="6" s="1" a="1"/>
  <c r="AW1785" i="6" s="1"/>
  <c r="AV1784" i="6"/>
  <c r="AW1784" i="6" s="1" a="1"/>
  <c r="AW1784" i="6" s="1"/>
  <c r="AX1784" i="6" s="1"/>
  <c r="AV1783" i="6"/>
  <c r="AW1783" i="6" s="1" a="1"/>
  <c r="AW1783" i="6" s="1"/>
  <c r="AV1782" i="6"/>
  <c r="AW1782" i="6" s="1" a="1"/>
  <c r="AW1782" i="6" s="1"/>
  <c r="AX1782" i="6" s="1"/>
  <c r="AV1781" i="6"/>
  <c r="AW1781" i="6" s="1" a="1"/>
  <c r="AW1781" i="6" s="1"/>
  <c r="AV1780" i="6"/>
  <c r="AW1780" i="6" s="1" a="1"/>
  <c r="AW1780" i="6" s="1"/>
  <c r="AX1780" i="6" s="1"/>
  <c r="AV1779" i="6"/>
  <c r="AW1779" i="6" s="1" a="1"/>
  <c r="AW1779" i="6" s="1"/>
  <c r="AX1779" i="6" s="1"/>
  <c r="AV1778" i="6"/>
  <c r="AW1778" i="6" s="1" a="1"/>
  <c r="AW1778" i="6" s="1"/>
  <c r="AX1778" i="6" s="1"/>
  <c r="AV1777" i="6"/>
  <c r="AW1777" i="6" s="1" a="1"/>
  <c r="AW1777" i="6" s="1"/>
  <c r="AX1777" i="6" s="1"/>
  <c r="AV1776" i="6"/>
  <c r="AW1776" i="6" s="1" a="1"/>
  <c r="AW1776" i="6" s="1"/>
  <c r="AX1776" i="6" s="1"/>
  <c r="AV1775" i="6"/>
  <c r="AW1775" i="6" s="1" a="1"/>
  <c r="AW1775" i="6" s="1"/>
  <c r="AX1775" i="6" s="1"/>
  <c r="AV1774" i="6"/>
  <c r="AW1774" i="6" s="1" a="1"/>
  <c r="AW1774" i="6" s="1"/>
  <c r="AV1773" i="6"/>
  <c r="AW1773" i="6" s="1" a="1"/>
  <c r="AW1773" i="6" s="1"/>
  <c r="AV1772" i="6"/>
  <c r="AW1772" i="6" s="1" a="1"/>
  <c r="AW1772" i="6" s="1"/>
  <c r="AV1771" i="6"/>
  <c r="AW1771" i="6" s="1" a="1"/>
  <c r="AW1771" i="6" s="1"/>
  <c r="AV1770" i="6"/>
  <c r="AW1770" i="6" s="1" a="1"/>
  <c r="AW1770" i="6" s="1"/>
  <c r="AV1769" i="6"/>
  <c r="AW1769" i="6" s="1" a="1"/>
  <c r="AW1769" i="6" s="1"/>
  <c r="AV1768" i="6"/>
  <c r="AW1768" i="6" s="1" a="1"/>
  <c r="AW1768" i="6" s="1"/>
  <c r="AV1767" i="6"/>
  <c r="AW1767" i="6" s="1" a="1"/>
  <c r="AW1767" i="6" s="1"/>
  <c r="AV1766" i="6"/>
  <c r="AW1766" i="6" s="1" a="1"/>
  <c r="AW1766" i="6" s="1"/>
  <c r="AV1765" i="6"/>
  <c r="AW1765" i="6" s="1" a="1"/>
  <c r="AW1765" i="6" s="1"/>
  <c r="AV1764" i="6"/>
  <c r="AW1764" i="6" s="1" a="1"/>
  <c r="AW1764" i="6" s="1"/>
  <c r="AV1762" i="6"/>
  <c r="AW1762" i="6" s="1" a="1"/>
  <c r="AW1762" i="6" s="1"/>
  <c r="AV1761" i="6"/>
  <c r="AW1761" i="6" s="1" a="1"/>
  <c r="AW1761" i="6" s="1"/>
  <c r="AV1760" i="6"/>
  <c r="AW1760" i="6" s="1" a="1"/>
  <c r="AW1760" i="6" s="1"/>
  <c r="BA1760" i="6" s="1"/>
  <c r="AZ1760" i="6" s="1"/>
  <c r="AV1759" i="6"/>
  <c r="AW1759" i="6" s="1" a="1"/>
  <c r="AW1759" i="6" s="1"/>
  <c r="AV1753" i="6"/>
  <c r="AW1753" i="6" s="1" a="1"/>
  <c r="AW1753" i="6" s="1"/>
  <c r="AV1752" i="6"/>
  <c r="AW1752" i="6" s="1" a="1"/>
  <c r="AW1752" i="6" s="1"/>
  <c r="AV1751" i="6"/>
  <c r="AW1751" i="6" s="1" a="1"/>
  <c r="AW1751" i="6" s="1"/>
  <c r="AV1750" i="6"/>
  <c r="AW1750" i="6" s="1" a="1"/>
  <c r="AW1750" i="6" s="1"/>
  <c r="BA1750" i="6" s="1"/>
  <c r="AZ1750" i="6" s="1"/>
  <c r="AV1749" i="6"/>
  <c r="AW1749" i="6" s="1" a="1"/>
  <c r="AW1749" i="6" s="1"/>
  <c r="AV1748" i="6"/>
  <c r="AW1748" i="6" s="1" a="1"/>
  <c r="AW1748" i="6" s="1"/>
  <c r="BA1748" i="6" s="1"/>
  <c r="AZ1748" i="6" s="1"/>
  <c r="AV1747" i="6"/>
  <c r="AW1747" i="6" s="1" a="1"/>
  <c r="AW1747" i="6" s="1"/>
  <c r="AV1746" i="6"/>
  <c r="AW1746" i="6" s="1" a="1"/>
  <c r="AW1746" i="6" s="1"/>
  <c r="BA1746" i="6" s="1"/>
  <c r="AZ1746" i="6" s="1"/>
  <c r="AV1745" i="6"/>
  <c r="AW1745" i="6" s="1" a="1"/>
  <c r="AW1745" i="6" s="1"/>
  <c r="AV1744" i="6"/>
  <c r="AW1744" i="6" s="1" a="1"/>
  <c r="AW1744" i="6" s="1"/>
  <c r="AV1743" i="6"/>
  <c r="AW1743" i="6" s="1" a="1"/>
  <c r="AW1743" i="6" s="1"/>
  <c r="AY1743" i="6" s="1"/>
  <c r="BC1743" i="6" s="1"/>
  <c r="AV1742" i="6"/>
  <c r="AW1742" i="6" s="1" a="1"/>
  <c r="AW1742" i="6" s="1"/>
  <c r="AX1742" i="6" s="1"/>
  <c r="AV1741" i="6"/>
  <c r="AW1741" i="6" s="1" a="1"/>
  <c r="AW1741" i="6" s="1"/>
  <c r="AV1740" i="6"/>
  <c r="AW1740" i="6" s="1" a="1"/>
  <c r="AW1740" i="6" s="1"/>
  <c r="AV1739" i="6"/>
  <c r="AW1739" i="6" s="1" a="1"/>
  <c r="AW1739" i="6" s="1"/>
  <c r="AE1" i="7"/>
  <c r="X1" i="7"/>
  <c r="AC1222" i="7" l="1"/>
  <c r="AA1222" i="7"/>
  <c r="AF1222" i="7" s="1"/>
  <c r="AC1270" i="7"/>
  <c r="AA1270" i="7"/>
  <c r="AF1270" i="7" s="1"/>
  <c r="AC1302" i="7"/>
  <c r="AA1302" i="7"/>
  <c r="AF1302" i="7" s="1"/>
  <c r="AC1413" i="7"/>
  <c r="AA1413" i="7"/>
  <c r="AF1413" i="7" s="1"/>
  <c r="AA1427" i="7"/>
  <c r="AF1427" i="7" s="1"/>
  <c r="AC1427" i="7"/>
  <c r="AA1435" i="7"/>
  <c r="AF1435" i="7" s="1"/>
  <c r="AC1435" i="7"/>
  <c r="AA1467" i="7"/>
  <c r="AF1467" i="7" s="1"/>
  <c r="AC1467" i="7"/>
  <c r="AA1217" i="7"/>
  <c r="AF1217" i="7" s="1"/>
  <c r="AA1265" i="7"/>
  <c r="AF1265" i="7" s="1"/>
  <c r="AC1276" i="7"/>
  <c r="AA1276" i="7"/>
  <c r="AF1276" i="7" s="1"/>
  <c r="AA1281" i="7"/>
  <c r="AF1281" i="7" s="1"/>
  <c r="AA1407" i="7"/>
  <c r="AF1407" i="7" s="1"/>
  <c r="AC1218" i="7"/>
  <c r="AA1218" i="7"/>
  <c r="AF1218" i="7" s="1"/>
  <c r="AA1223" i="7"/>
  <c r="AF1223" i="7" s="1"/>
  <c r="AC1234" i="7"/>
  <c r="AA1234" i="7"/>
  <c r="AF1234" i="7" s="1"/>
  <c r="AA1239" i="7"/>
  <c r="AF1239" i="7" s="1"/>
  <c r="AC1250" i="7"/>
  <c r="AA1250" i="7"/>
  <c r="AF1250" i="7" s="1"/>
  <c r="AA1255" i="7"/>
  <c r="AF1255" i="7" s="1"/>
  <c r="AC1266" i="7"/>
  <c r="AA1266" i="7"/>
  <c r="AF1266" i="7" s="1"/>
  <c r="AA1271" i="7"/>
  <c r="AF1271" i="7" s="1"/>
  <c r="AC1282" i="7"/>
  <c r="AA1282" i="7"/>
  <c r="AF1282" i="7" s="1"/>
  <c r="AA1287" i="7"/>
  <c r="AF1287" i="7" s="1"/>
  <c r="AC1298" i="7"/>
  <c r="AA1298" i="7"/>
  <c r="AF1298" i="7" s="1"/>
  <c r="AA1303" i="7"/>
  <c r="AF1303" i="7" s="1"/>
  <c r="AA1363" i="7"/>
  <c r="AF1363" i="7" s="1"/>
  <c r="AC1389" i="7"/>
  <c r="AA1389" i="7"/>
  <c r="AF1389" i="7" s="1"/>
  <c r="AA1395" i="7"/>
  <c r="AF1395" i="7" s="1"/>
  <c r="AC1421" i="7"/>
  <c r="AA1421" i="7"/>
  <c r="AF1421" i="7" s="1"/>
  <c r="AC1238" i="7"/>
  <c r="AA1238" i="7"/>
  <c r="AF1238" i="7" s="1"/>
  <c r="AC1254" i="7"/>
  <c r="AA1254" i="7"/>
  <c r="AF1254" i="7" s="1"/>
  <c r="AC1286" i="7"/>
  <c r="AA1286" i="7"/>
  <c r="AF1286" i="7" s="1"/>
  <c r="AC1381" i="7"/>
  <c r="AA1381" i="7"/>
  <c r="AF1381" i="7" s="1"/>
  <c r="AA1475" i="7"/>
  <c r="AF1475" i="7" s="1"/>
  <c r="AC1475" i="7"/>
  <c r="AC1212" i="7"/>
  <c r="AA1212" i="7"/>
  <c r="AF1212" i="7" s="1"/>
  <c r="AC1228" i="7"/>
  <c r="AA1228" i="7"/>
  <c r="AF1228" i="7" s="1"/>
  <c r="AA1233" i="7"/>
  <c r="AF1233" i="7" s="1"/>
  <c r="AC1244" i="7"/>
  <c r="AA1244" i="7"/>
  <c r="AF1244" i="7" s="1"/>
  <c r="AA1249" i="7"/>
  <c r="AF1249" i="7" s="1"/>
  <c r="AC1260" i="7"/>
  <c r="AA1260" i="7"/>
  <c r="AF1260" i="7" s="1"/>
  <c r="AC1292" i="7"/>
  <c r="AA1292" i="7"/>
  <c r="AF1292" i="7" s="1"/>
  <c r="AA1297" i="7"/>
  <c r="AF1297" i="7" s="1"/>
  <c r="AC1348" i="7"/>
  <c r="AC1369" i="7"/>
  <c r="AA1369" i="7"/>
  <c r="AF1369" i="7" s="1"/>
  <c r="AA1375" i="7"/>
  <c r="AF1375" i="7" s="1"/>
  <c r="AC1401" i="7"/>
  <c r="AA1401" i="7"/>
  <c r="AF1401" i="7" s="1"/>
  <c r="AC1208" i="7"/>
  <c r="AA1208" i="7"/>
  <c r="AF1208" i="7" s="1"/>
  <c r="AA1213" i="7"/>
  <c r="AF1213" i="7" s="1"/>
  <c r="AC1224" i="7"/>
  <c r="AA1224" i="7"/>
  <c r="AF1224" i="7" s="1"/>
  <c r="AA1229" i="7"/>
  <c r="AF1229" i="7" s="1"/>
  <c r="AC1240" i="7"/>
  <c r="AA1240" i="7"/>
  <c r="AF1240" i="7" s="1"/>
  <c r="AA1245" i="7"/>
  <c r="AF1245" i="7" s="1"/>
  <c r="AC1256" i="7"/>
  <c r="AA1256" i="7"/>
  <c r="AF1256" i="7" s="1"/>
  <c r="AA1261" i="7"/>
  <c r="AF1261" i="7" s="1"/>
  <c r="AC1272" i="7"/>
  <c r="AA1272" i="7"/>
  <c r="AF1272" i="7" s="1"/>
  <c r="AA1277" i="7"/>
  <c r="AF1277" i="7" s="1"/>
  <c r="AC1288" i="7"/>
  <c r="AA1288" i="7"/>
  <c r="AF1288" i="7" s="1"/>
  <c r="AA1293" i="7"/>
  <c r="AF1293" i="7" s="1"/>
  <c r="AC1304" i="7"/>
  <c r="AA1304" i="7"/>
  <c r="AF1304" i="7" s="1"/>
  <c r="AC1377" i="7"/>
  <c r="AA1377" i="7"/>
  <c r="AF1377" i="7" s="1"/>
  <c r="AA1383" i="7"/>
  <c r="AF1383" i="7" s="1"/>
  <c r="AC1409" i="7"/>
  <c r="AA1409" i="7"/>
  <c r="AF1409" i="7" s="1"/>
  <c r="AA1415" i="7"/>
  <c r="AF1415" i="7" s="1"/>
  <c r="AC1443" i="7"/>
  <c r="AA1443" i="7"/>
  <c r="AF1443" i="7" s="1"/>
  <c r="AC1214" i="7"/>
  <c r="AA1214" i="7"/>
  <c r="AF1214" i="7" s="1"/>
  <c r="AC1230" i="7"/>
  <c r="AA1230" i="7"/>
  <c r="AF1230" i="7" s="1"/>
  <c r="AC1246" i="7"/>
  <c r="AA1246" i="7"/>
  <c r="AF1246" i="7" s="1"/>
  <c r="AC1262" i="7"/>
  <c r="AA1262" i="7"/>
  <c r="AF1262" i="7" s="1"/>
  <c r="AC1278" i="7"/>
  <c r="AA1278" i="7"/>
  <c r="AF1278" i="7" s="1"/>
  <c r="AC1294" i="7"/>
  <c r="AA1294" i="7"/>
  <c r="AF1294" i="7" s="1"/>
  <c r="AC1365" i="7"/>
  <c r="AA1365" i="7"/>
  <c r="AF1365" i="7" s="1"/>
  <c r="AC1397" i="7"/>
  <c r="AA1397" i="7"/>
  <c r="AF1397" i="7" s="1"/>
  <c r="AC1423" i="7"/>
  <c r="AA1423" i="7"/>
  <c r="AF1423" i="7" s="1"/>
  <c r="AC1431" i="7"/>
  <c r="AA1431" i="7"/>
  <c r="AF1431" i="7" s="1"/>
  <c r="AA1439" i="7"/>
  <c r="AF1439" i="7" s="1"/>
  <c r="AC1439" i="7"/>
  <c r="AA1447" i="7"/>
  <c r="AF1447" i="7" s="1"/>
  <c r="AC1447" i="7"/>
  <c r="AA1455" i="7"/>
  <c r="AF1455" i="7" s="1"/>
  <c r="AC1455" i="7"/>
  <c r="AA1463" i="7"/>
  <c r="AF1463" i="7" s="1"/>
  <c r="AC1463" i="7"/>
  <c r="AA1451" i="7"/>
  <c r="AF1451" i="7" s="1"/>
  <c r="AC1451" i="7"/>
  <c r="AC1479" i="7"/>
  <c r="AA1479" i="7"/>
  <c r="AF1479" i="7" s="1"/>
  <c r="AA1209" i="7"/>
  <c r="AF1209" i="7" s="1"/>
  <c r="AC1220" i="7"/>
  <c r="AA1220" i="7"/>
  <c r="AF1220" i="7" s="1"/>
  <c r="AA1225" i="7"/>
  <c r="AF1225" i="7" s="1"/>
  <c r="AC1236" i="7"/>
  <c r="AA1236" i="7"/>
  <c r="AF1236" i="7" s="1"/>
  <c r="AA1241" i="7"/>
  <c r="AF1241" i="7" s="1"/>
  <c r="AC1252" i="7"/>
  <c r="AA1252" i="7"/>
  <c r="AF1252" i="7" s="1"/>
  <c r="AA1257" i="7"/>
  <c r="AF1257" i="7" s="1"/>
  <c r="AC1268" i="7"/>
  <c r="AA1268" i="7"/>
  <c r="AF1268" i="7" s="1"/>
  <c r="AA1273" i="7"/>
  <c r="AF1273" i="7" s="1"/>
  <c r="AC1284" i="7"/>
  <c r="AA1284" i="7"/>
  <c r="AF1284" i="7" s="1"/>
  <c r="AA1289" i="7"/>
  <c r="AF1289" i="7" s="1"/>
  <c r="AC1300" i="7"/>
  <c r="AA1300" i="7"/>
  <c r="AF1300" i="7" s="1"/>
  <c r="AA1305" i="7"/>
  <c r="AF1305" i="7" s="1"/>
  <c r="AA1359" i="7"/>
  <c r="AF1359" i="7" s="1"/>
  <c r="AC1385" i="7"/>
  <c r="AA1385" i="7"/>
  <c r="AF1385" i="7" s="1"/>
  <c r="AA1391" i="7"/>
  <c r="AF1391" i="7" s="1"/>
  <c r="AC1417" i="7"/>
  <c r="AA1417" i="7"/>
  <c r="AF1417" i="7" s="1"/>
  <c r="AC1210" i="7"/>
  <c r="AA1210" i="7"/>
  <c r="AF1210" i="7" s="1"/>
  <c r="AA1215" i="7"/>
  <c r="AF1215" i="7" s="1"/>
  <c r="AC1226" i="7"/>
  <c r="AA1226" i="7"/>
  <c r="AF1226" i="7" s="1"/>
  <c r="AA1231" i="7"/>
  <c r="AF1231" i="7" s="1"/>
  <c r="AC1242" i="7"/>
  <c r="AA1242" i="7"/>
  <c r="AF1242" i="7" s="1"/>
  <c r="AA1247" i="7"/>
  <c r="AF1247" i="7" s="1"/>
  <c r="AC1258" i="7"/>
  <c r="AA1258" i="7"/>
  <c r="AF1258" i="7" s="1"/>
  <c r="AA1263" i="7"/>
  <c r="AF1263" i="7" s="1"/>
  <c r="AC1274" i="7"/>
  <c r="AA1274" i="7"/>
  <c r="AF1274" i="7" s="1"/>
  <c r="AA1279" i="7"/>
  <c r="AF1279" i="7" s="1"/>
  <c r="AC1290" i="7"/>
  <c r="AA1290" i="7"/>
  <c r="AF1290" i="7" s="1"/>
  <c r="AA1295" i="7"/>
  <c r="AF1295" i="7" s="1"/>
  <c r="AC1373" i="7"/>
  <c r="AA1373" i="7"/>
  <c r="AF1373" i="7" s="1"/>
  <c r="AA1379" i="7"/>
  <c r="AF1379" i="7" s="1"/>
  <c r="AC1405" i="7"/>
  <c r="AA1405" i="7"/>
  <c r="AF1405" i="7" s="1"/>
  <c r="AC1425" i="7"/>
  <c r="AA1425" i="7"/>
  <c r="AF1425" i="7" s="1"/>
  <c r="AC1459" i="7"/>
  <c r="AA1459" i="7"/>
  <c r="AF1459" i="7" s="1"/>
  <c r="AA1471" i="7"/>
  <c r="AF1471" i="7" s="1"/>
  <c r="AC1471" i="7"/>
  <c r="AC1216" i="7"/>
  <c r="AA1216" i="7"/>
  <c r="AF1216" i="7" s="1"/>
  <c r="AC1232" i="7"/>
  <c r="AA1232" i="7"/>
  <c r="AF1232" i="7" s="1"/>
  <c r="AC1248" i="7"/>
  <c r="AA1248" i="7"/>
  <c r="AF1248" i="7" s="1"/>
  <c r="AC1264" i="7"/>
  <c r="AA1264" i="7"/>
  <c r="AF1264" i="7" s="1"/>
  <c r="AC1280" i="7"/>
  <c r="AA1280" i="7"/>
  <c r="AF1280" i="7" s="1"/>
  <c r="AC1296" i="7"/>
  <c r="AA1296" i="7"/>
  <c r="AF1296" i="7" s="1"/>
  <c r="AC1350" i="7"/>
  <c r="AA1350" i="7"/>
  <c r="AF1350" i="7" s="1"/>
  <c r="AC1361" i="7"/>
  <c r="AA1361" i="7"/>
  <c r="AF1361" i="7" s="1"/>
  <c r="AC1393" i="7"/>
  <c r="AA1393" i="7"/>
  <c r="AF1393" i="7" s="1"/>
  <c r="AA1351" i="7"/>
  <c r="AF1351" i="7" s="1"/>
  <c r="AC1360" i="7"/>
  <c r="AA1360" i="7"/>
  <c r="AF1360" i="7" s="1"/>
  <c r="AC1364" i="7"/>
  <c r="AA1364" i="7"/>
  <c r="AF1364" i="7" s="1"/>
  <c r="AC1368" i="7"/>
  <c r="AA1368" i="7"/>
  <c r="AF1368" i="7" s="1"/>
  <c r="AC1372" i="7"/>
  <c r="AA1372" i="7"/>
  <c r="AF1372" i="7" s="1"/>
  <c r="AC1376" i="7"/>
  <c r="AA1376" i="7"/>
  <c r="AF1376" i="7" s="1"/>
  <c r="AC1380" i="7"/>
  <c r="AA1380" i="7"/>
  <c r="AF1380" i="7" s="1"/>
  <c r="AC1384" i="7"/>
  <c r="AA1384" i="7"/>
  <c r="AF1384" i="7" s="1"/>
  <c r="AC1388" i="7"/>
  <c r="AA1388" i="7"/>
  <c r="AF1388" i="7" s="1"/>
  <c r="AC1392" i="7"/>
  <c r="AA1392" i="7"/>
  <c r="AF1392" i="7" s="1"/>
  <c r="AC1396" i="7"/>
  <c r="AA1396" i="7"/>
  <c r="AF1396" i="7" s="1"/>
  <c r="AC1400" i="7"/>
  <c r="AA1400" i="7"/>
  <c r="AF1400" i="7" s="1"/>
  <c r="AC1404" i="7"/>
  <c r="AA1404" i="7"/>
  <c r="AF1404" i="7" s="1"/>
  <c r="AC1408" i="7"/>
  <c r="AA1408" i="7"/>
  <c r="AF1408" i="7" s="1"/>
  <c r="AC1412" i="7"/>
  <c r="AA1412" i="7"/>
  <c r="AF1412" i="7" s="1"/>
  <c r="AC1416" i="7"/>
  <c r="AA1416" i="7"/>
  <c r="AF1416" i="7" s="1"/>
  <c r="AC1420" i="7"/>
  <c r="AA1420" i="7"/>
  <c r="AF1420" i="7" s="1"/>
  <c r="AA1429" i="7"/>
  <c r="AF1429" i="7" s="1"/>
  <c r="AA1433" i="7"/>
  <c r="AF1433" i="7" s="1"/>
  <c r="AA1437" i="7"/>
  <c r="AF1437" i="7" s="1"/>
  <c r="AA1441" i="7"/>
  <c r="AF1441" i="7" s="1"/>
  <c r="AA1445" i="7"/>
  <c r="AF1445" i="7" s="1"/>
  <c r="AA1449" i="7"/>
  <c r="AF1449" i="7" s="1"/>
  <c r="AA1453" i="7"/>
  <c r="AF1453" i="7" s="1"/>
  <c r="AA1457" i="7"/>
  <c r="AF1457" i="7" s="1"/>
  <c r="AA1461" i="7"/>
  <c r="AF1461" i="7" s="1"/>
  <c r="AA1465" i="7"/>
  <c r="AF1465" i="7" s="1"/>
  <c r="AA1469" i="7"/>
  <c r="AF1469" i="7" s="1"/>
  <c r="AA1473" i="7"/>
  <c r="AF1473" i="7" s="1"/>
  <c r="AA1477" i="7"/>
  <c r="AF1477" i="7" s="1"/>
  <c r="AA1481" i="7"/>
  <c r="AF1481" i="7" s="1"/>
  <c r="AC1358" i="7"/>
  <c r="AA1358" i="7"/>
  <c r="AF1358" i="7" s="1"/>
  <c r="AC1362" i="7"/>
  <c r="AA1362" i="7"/>
  <c r="AF1362" i="7" s="1"/>
  <c r="AC1366" i="7"/>
  <c r="AA1366" i="7"/>
  <c r="AF1366" i="7" s="1"/>
  <c r="AC1370" i="7"/>
  <c r="AA1370" i="7"/>
  <c r="AF1370" i="7" s="1"/>
  <c r="AC1374" i="7"/>
  <c r="AA1374" i="7"/>
  <c r="AF1374" i="7" s="1"/>
  <c r="AC1378" i="7"/>
  <c r="AA1378" i="7"/>
  <c r="AF1378" i="7" s="1"/>
  <c r="AC1382" i="7"/>
  <c r="AA1382" i="7"/>
  <c r="AF1382" i="7" s="1"/>
  <c r="AC1386" i="7"/>
  <c r="AA1386" i="7"/>
  <c r="AF1386" i="7" s="1"/>
  <c r="AC1390" i="7"/>
  <c r="AA1390" i="7"/>
  <c r="AF1390" i="7" s="1"/>
  <c r="AC1394" i="7"/>
  <c r="AA1394" i="7"/>
  <c r="AF1394" i="7" s="1"/>
  <c r="AC1398" i="7"/>
  <c r="AA1398" i="7"/>
  <c r="AF1398" i="7" s="1"/>
  <c r="AC1402" i="7"/>
  <c r="AA1402" i="7"/>
  <c r="AF1402" i="7" s="1"/>
  <c r="AC1406" i="7"/>
  <c r="AA1406" i="7"/>
  <c r="AF1406" i="7" s="1"/>
  <c r="AC1410" i="7"/>
  <c r="AA1410" i="7"/>
  <c r="AF1410" i="7" s="1"/>
  <c r="AC1414" i="7"/>
  <c r="AA1414" i="7"/>
  <c r="AF1414" i="7" s="1"/>
  <c r="AC1418" i="7"/>
  <c r="AA1418" i="7"/>
  <c r="AF1418" i="7" s="1"/>
  <c r="AA1422" i="7"/>
  <c r="AF1422" i="7" s="1"/>
  <c r="AA1424" i="7"/>
  <c r="AF1424" i="7" s="1"/>
  <c r="AA1426" i="7"/>
  <c r="AF1426" i="7" s="1"/>
  <c r="AA1428" i="7"/>
  <c r="AF1428" i="7" s="1"/>
  <c r="AA1430" i="7"/>
  <c r="AF1430" i="7" s="1"/>
  <c r="AA1432" i="7"/>
  <c r="AF1432" i="7" s="1"/>
  <c r="AA1434" i="7"/>
  <c r="AF1434" i="7" s="1"/>
  <c r="AA1436" i="7"/>
  <c r="AF1436" i="7" s="1"/>
  <c r="AA1438" i="7"/>
  <c r="AF1438" i="7" s="1"/>
  <c r="AA1440" i="7"/>
  <c r="AF1440" i="7" s="1"/>
  <c r="AA1442" i="7"/>
  <c r="AF1442" i="7" s="1"/>
  <c r="AA1444" i="7"/>
  <c r="AF1444" i="7" s="1"/>
  <c r="AA1446" i="7"/>
  <c r="AF1446" i="7" s="1"/>
  <c r="AA1448" i="7"/>
  <c r="AF1448" i="7" s="1"/>
  <c r="AA1450" i="7"/>
  <c r="AF1450" i="7" s="1"/>
  <c r="AA1452" i="7"/>
  <c r="AF1452" i="7" s="1"/>
  <c r="AA1454" i="7"/>
  <c r="AF1454" i="7" s="1"/>
  <c r="AA1456" i="7"/>
  <c r="AF1456" i="7" s="1"/>
  <c r="AA1458" i="7"/>
  <c r="AF1458" i="7" s="1"/>
  <c r="AA1460" i="7"/>
  <c r="AF1460" i="7" s="1"/>
  <c r="AA1462" i="7"/>
  <c r="AF1462" i="7" s="1"/>
  <c r="AA1464" i="7"/>
  <c r="AF1464" i="7" s="1"/>
  <c r="AA1466" i="7"/>
  <c r="AF1466" i="7" s="1"/>
  <c r="AA1468" i="7"/>
  <c r="AF1468" i="7" s="1"/>
  <c r="AA1470" i="7"/>
  <c r="AF1470" i="7" s="1"/>
  <c r="AA1472" i="7"/>
  <c r="AF1472" i="7" s="1"/>
  <c r="AA1474" i="7"/>
  <c r="AF1474" i="7" s="1"/>
  <c r="AA1476" i="7"/>
  <c r="AF1476" i="7" s="1"/>
  <c r="AA1478" i="7"/>
  <c r="AF1478" i="7" s="1"/>
  <c r="AA1480" i="7"/>
  <c r="AF1480" i="7" s="1"/>
  <c r="AA1482" i="7"/>
  <c r="AF1482" i="7" s="1"/>
  <c r="AC1495" i="6"/>
  <c r="AA1495" i="6"/>
  <c r="AF1495" i="6" s="1"/>
  <c r="AC1518" i="6"/>
  <c r="AA1518" i="6"/>
  <c r="AF1518" i="6" s="1"/>
  <c r="AC1502" i="6"/>
  <c r="AA1502" i="6"/>
  <c r="AF1502" i="6" s="1"/>
  <c r="AC1546" i="6"/>
  <c r="AA1546" i="6"/>
  <c r="AF1546" i="6" s="1"/>
  <c r="AA1500" i="6"/>
  <c r="AF1500" i="6" s="1"/>
  <c r="AA1521" i="6"/>
  <c r="AF1521" i="6" s="1"/>
  <c r="AA1526" i="6"/>
  <c r="AF1526" i="6" s="1"/>
  <c r="AA1575" i="6"/>
  <c r="AF1575" i="6" s="1"/>
  <c r="AA1602" i="6"/>
  <c r="AF1602" i="6" s="1"/>
  <c r="AA1607" i="6"/>
  <c r="AF1607" i="6" s="1"/>
  <c r="AA1610" i="6"/>
  <c r="AF1610" i="6" s="1"/>
  <c r="AA1627" i="6"/>
  <c r="AF1627" i="6" s="1"/>
  <c r="AC1630" i="6"/>
  <c r="AC1638" i="6"/>
  <c r="AC1653" i="6"/>
  <c r="AA1662" i="6"/>
  <c r="AF1662" i="6" s="1"/>
  <c r="AC1662" i="6"/>
  <c r="AA1670" i="6"/>
  <c r="AF1670" i="6" s="1"/>
  <c r="AA1681" i="6"/>
  <c r="AF1681" i="6" s="1"/>
  <c r="AC1681" i="6"/>
  <c r="AA1700" i="6"/>
  <c r="AF1700" i="6" s="1"/>
  <c r="AC1700" i="6"/>
  <c r="AC1728" i="6"/>
  <c r="AA1728" i="6"/>
  <c r="AF1728" i="6" s="1"/>
  <c r="AA1760" i="6"/>
  <c r="AF1760" i="6" s="1"/>
  <c r="AC1760" i="6"/>
  <c r="AC1806" i="6"/>
  <c r="AA1806" i="6"/>
  <c r="AF1806" i="6" s="1"/>
  <c r="AC1835" i="6"/>
  <c r="AA1835" i="6"/>
  <c r="AF1835" i="6" s="1"/>
  <c r="AA1805" i="6"/>
  <c r="AF1805" i="6" s="1"/>
  <c r="AC1805" i="6"/>
  <c r="AA1555" i="6"/>
  <c r="AF1555" i="6" s="1"/>
  <c r="AA1567" i="6"/>
  <c r="AF1567" i="6" s="1"/>
  <c r="AA1569" i="6"/>
  <c r="AF1569" i="6" s="1"/>
  <c r="AA1571" i="6"/>
  <c r="AF1571" i="6" s="1"/>
  <c r="AA1573" i="6"/>
  <c r="AF1573" i="6" s="1"/>
  <c r="AA1594" i="6"/>
  <c r="AF1594" i="6" s="1"/>
  <c r="AA1596" i="6"/>
  <c r="AF1596" i="6" s="1"/>
  <c r="AA1598" i="6"/>
  <c r="AF1598" i="6" s="1"/>
  <c r="AA1600" i="6"/>
  <c r="AF1600" i="6" s="1"/>
  <c r="AA1654" i="6"/>
  <c r="AF1654" i="6" s="1"/>
  <c r="AC1654" i="6"/>
  <c r="AA1658" i="6"/>
  <c r="AF1658" i="6" s="1"/>
  <c r="AC1658" i="6"/>
  <c r="AA1712" i="6"/>
  <c r="AF1712" i="6" s="1"/>
  <c r="AC1712" i="6"/>
  <c r="AA1742" i="6"/>
  <c r="AF1742" i="6" s="1"/>
  <c r="AC1742" i="6"/>
  <c r="AA1746" i="6"/>
  <c r="AF1746" i="6" s="1"/>
  <c r="AC1746" i="6"/>
  <c r="AC1794" i="6"/>
  <c r="AA1794" i="6"/>
  <c r="AF1794" i="6" s="1"/>
  <c r="AA1810" i="6"/>
  <c r="AF1810" i="6" s="1"/>
  <c r="AC1810" i="6"/>
  <c r="AC1823" i="6"/>
  <c r="AA1823" i="6"/>
  <c r="AF1823" i="6" s="1"/>
  <c r="AA1852" i="6"/>
  <c r="AF1852" i="6" s="1"/>
  <c r="AC1852" i="6"/>
  <c r="AA1715" i="6"/>
  <c r="AF1715" i="6" s="1"/>
  <c r="AC1715" i="6"/>
  <c r="AA1475" i="6"/>
  <c r="AF1475" i="6" s="1"/>
  <c r="AA1477" i="6"/>
  <c r="AF1477" i="6" s="1"/>
  <c r="AA1479" i="6"/>
  <c r="AF1479" i="6" s="1"/>
  <c r="AA1481" i="6"/>
  <c r="AF1481" i="6" s="1"/>
  <c r="AA1483" i="6"/>
  <c r="AF1483" i="6" s="1"/>
  <c r="AA1485" i="6"/>
  <c r="AF1485" i="6" s="1"/>
  <c r="AA1487" i="6"/>
  <c r="AF1487" i="6" s="1"/>
  <c r="AA1489" i="6"/>
  <c r="AF1489" i="6" s="1"/>
  <c r="AA1491" i="6"/>
  <c r="AF1491" i="6" s="1"/>
  <c r="AA1493" i="6"/>
  <c r="AF1493" i="6" s="1"/>
  <c r="AA1506" i="6"/>
  <c r="AF1506" i="6" s="1"/>
  <c r="AA1508" i="6"/>
  <c r="AF1508" i="6" s="1"/>
  <c r="AA1510" i="6"/>
  <c r="AF1510" i="6" s="1"/>
  <c r="AA1512" i="6"/>
  <c r="AF1512" i="6" s="1"/>
  <c r="AA1549" i="6"/>
  <c r="AF1549" i="6" s="1"/>
  <c r="AA1613" i="6"/>
  <c r="AF1613" i="6" s="1"/>
  <c r="AA1631" i="6"/>
  <c r="AF1631" i="6" s="1"/>
  <c r="AC1663" i="6"/>
  <c r="AC1682" i="6"/>
  <c r="AC1690" i="6"/>
  <c r="AA1690" i="6"/>
  <c r="AF1690" i="6" s="1"/>
  <c r="AC1701" i="6"/>
  <c r="AA1729" i="6"/>
  <c r="AF1729" i="6" s="1"/>
  <c r="AC1729" i="6"/>
  <c r="AC1747" i="6"/>
  <c r="AA1747" i="6"/>
  <c r="AF1747" i="6" s="1"/>
  <c r="AA1801" i="6"/>
  <c r="AF1801" i="6" s="1"/>
  <c r="AC1801" i="6"/>
  <c r="AA1830" i="6"/>
  <c r="AF1830" i="6" s="1"/>
  <c r="AC1830" i="6"/>
  <c r="AA1497" i="6"/>
  <c r="AF1497" i="6" s="1"/>
  <c r="AA1499" i="6"/>
  <c r="AF1499" i="6" s="1"/>
  <c r="AA1520" i="6"/>
  <c r="AF1520" i="6" s="1"/>
  <c r="AA1522" i="6"/>
  <c r="AF1522" i="6" s="1"/>
  <c r="AA1582" i="6"/>
  <c r="AF1582" i="6" s="1"/>
  <c r="AA1584" i="6"/>
  <c r="AF1584" i="6" s="1"/>
  <c r="AA1606" i="6"/>
  <c r="AF1606" i="6" s="1"/>
  <c r="AA1611" i="6"/>
  <c r="AF1611" i="6" s="1"/>
  <c r="AA1617" i="6"/>
  <c r="AF1617" i="6" s="1"/>
  <c r="AA1619" i="6"/>
  <c r="AF1619" i="6" s="1"/>
  <c r="AA1621" i="6"/>
  <c r="AF1621" i="6" s="1"/>
  <c r="AC1628" i="6"/>
  <c r="AC1636" i="6"/>
  <c r="AA1655" i="6"/>
  <c r="AF1655" i="6" s="1"/>
  <c r="AC1659" i="6"/>
  <c r="AC1687" i="6"/>
  <c r="AC1697" i="6"/>
  <c r="AA1725" i="6"/>
  <c r="AF1725" i="6" s="1"/>
  <c r="AC1725" i="6"/>
  <c r="AC1743" i="6"/>
  <c r="AC1802" i="6"/>
  <c r="AA1802" i="6"/>
  <c r="AF1802" i="6" s="1"/>
  <c r="AA1818" i="6"/>
  <c r="AF1818" i="6" s="1"/>
  <c r="AC1818" i="6"/>
  <c r="AA1848" i="6"/>
  <c r="AF1848" i="6" s="1"/>
  <c r="AC1848" i="6"/>
  <c r="AC1815" i="6"/>
  <c r="AA1815" i="6"/>
  <c r="AF1815" i="6" s="1"/>
  <c r="AA1501" i="6"/>
  <c r="AF1501" i="6" s="1"/>
  <c r="AA1574" i="6"/>
  <c r="AF1574" i="6" s="1"/>
  <c r="AA1601" i="6"/>
  <c r="AF1601" i="6" s="1"/>
  <c r="AA1639" i="6"/>
  <c r="AF1639" i="6" s="1"/>
  <c r="AA1648" i="6"/>
  <c r="AF1648" i="6" s="1"/>
  <c r="AC1651" i="6"/>
  <c r="AC1664" i="6"/>
  <c r="AC1739" i="6"/>
  <c r="AC1819" i="6"/>
  <c r="AA1819" i="6"/>
  <c r="AF1819" i="6" s="1"/>
  <c r="AA1666" i="6"/>
  <c r="AF1666" i="6" s="1"/>
  <c r="AC1666" i="6"/>
  <c r="AC1707" i="6"/>
  <c r="AA1707" i="6"/>
  <c r="AF1707" i="6" s="1"/>
  <c r="AC1525" i="6"/>
  <c r="AA1554" i="6"/>
  <c r="AF1554" i="6" s="1"/>
  <c r="AA1566" i="6"/>
  <c r="AF1566" i="6" s="1"/>
  <c r="AA1608" i="6"/>
  <c r="AF1608" i="6" s="1"/>
  <c r="AA1656" i="6"/>
  <c r="AF1656" i="6" s="1"/>
  <c r="AC1656" i="6"/>
  <c r="AC1688" i="6"/>
  <c r="AA1688" i="6"/>
  <c r="AF1688" i="6" s="1"/>
  <c r="AA1721" i="6"/>
  <c r="AF1721" i="6" s="1"/>
  <c r="AC1721" i="6"/>
  <c r="AA1763" i="6"/>
  <c r="AF1763" i="6" s="1"/>
  <c r="AC1763" i="6"/>
  <c r="AA1768" i="6"/>
  <c r="AF1768" i="6" s="1"/>
  <c r="AC1768" i="6"/>
  <c r="AA1797" i="6"/>
  <c r="AF1797" i="6" s="1"/>
  <c r="AC1797" i="6"/>
  <c r="AA1844" i="6"/>
  <c r="AF1844" i="6" s="1"/>
  <c r="AC1844" i="6"/>
  <c r="AC1711" i="6"/>
  <c r="AA1711" i="6"/>
  <c r="AF1711" i="6" s="1"/>
  <c r="AC1750" i="6"/>
  <c r="AA1750" i="6"/>
  <c r="AF1750" i="6" s="1"/>
  <c r="AC1722" i="6"/>
  <c r="AA1722" i="6"/>
  <c r="AF1722" i="6" s="1"/>
  <c r="AA1814" i="6"/>
  <c r="AF1814" i="6" s="1"/>
  <c r="AC1814" i="6"/>
  <c r="AA1734" i="6"/>
  <c r="AF1734" i="6" s="1"/>
  <c r="AC1771" i="6"/>
  <c r="AA1771" i="6"/>
  <c r="AF1771" i="6" s="1"/>
  <c r="AC1796" i="6"/>
  <c r="AA1796" i="6"/>
  <c r="AF1796" i="6" s="1"/>
  <c r="AC1825" i="6"/>
  <c r="AA1825" i="6"/>
  <c r="AF1825" i="6" s="1"/>
  <c r="AC1831" i="6"/>
  <c r="AA1831" i="6"/>
  <c r="AF1831" i="6" s="1"/>
  <c r="AC1821" i="6"/>
  <c r="AA1821" i="6"/>
  <c r="AF1821" i="6" s="1"/>
  <c r="AC1826" i="6"/>
  <c r="AC1837" i="6"/>
  <c r="AA1837" i="6"/>
  <c r="AF1837" i="6" s="1"/>
  <c r="AC1798" i="6"/>
  <c r="AA1798" i="6"/>
  <c r="AF1798" i="6" s="1"/>
  <c r="AC1811" i="6"/>
  <c r="AA1811" i="6"/>
  <c r="AF1811" i="6" s="1"/>
  <c r="AC1827" i="6"/>
  <c r="AA1827" i="6"/>
  <c r="AF1827" i="6" s="1"/>
  <c r="AA1709" i="6"/>
  <c r="AF1709" i="6" s="1"/>
  <c r="AC1738" i="6"/>
  <c r="AC1756" i="6"/>
  <c r="AC1764" i="6"/>
  <c r="AC1767" i="6"/>
  <c r="AC1793" i="6"/>
  <c r="AC1804" i="6"/>
  <c r="AA1804" i="6"/>
  <c r="AF1804" i="6" s="1"/>
  <c r="AC1817" i="6"/>
  <c r="AA1817" i="6"/>
  <c r="AF1817" i="6" s="1"/>
  <c r="AC1822" i="6"/>
  <c r="AC1833" i="6"/>
  <c r="AA1833" i="6"/>
  <c r="AF1833" i="6" s="1"/>
  <c r="AC1838" i="6"/>
  <c r="AC1842" i="6"/>
  <c r="AC1846" i="6"/>
  <c r="AC1850" i="6"/>
  <c r="AC1854" i="6"/>
  <c r="AC1839" i="6"/>
  <c r="AA1839" i="6"/>
  <c r="AF1839" i="6" s="1"/>
  <c r="AA1751" i="6"/>
  <c r="AF1751" i="6" s="1"/>
  <c r="AC1800" i="6"/>
  <c r="AA1800" i="6"/>
  <c r="AF1800" i="6" s="1"/>
  <c r="AC1813" i="6"/>
  <c r="AA1813" i="6"/>
  <c r="AF1813" i="6" s="1"/>
  <c r="AC1829" i="6"/>
  <c r="AA1829" i="6"/>
  <c r="AF1829" i="6" s="1"/>
  <c r="AC1834" i="6"/>
  <c r="AA969" i="7"/>
  <c r="AF969" i="7" s="1"/>
  <c r="AA972" i="7"/>
  <c r="AF972" i="7" s="1"/>
  <c r="AA1084" i="7"/>
  <c r="AF1084" i="7" s="1"/>
  <c r="AC1134" i="7"/>
  <c r="AA1134" i="7"/>
  <c r="AF1134" i="7" s="1"/>
  <c r="AA865" i="7"/>
  <c r="AF865" i="7" s="1"/>
  <c r="AA867" i="7"/>
  <c r="AF867" i="7" s="1"/>
  <c r="AA869" i="7"/>
  <c r="AF869" i="7" s="1"/>
  <c r="AA871" i="7"/>
  <c r="AF871" i="7" s="1"/>
  <c r="AA873" i="7"/>
  <c r="AF873" i="7" s="1"/>
  <c r="AA875" i="7"/>
  <c r="AF875" i="7" s="1"/>
  <c r="AA929" i="7"/>
  <c r="AF929" i="7" s="1"/>
  <c r="AA931" i="7"/>
  <c r="AF931" i="7" s="1"/>
  <c r="AC1033" i="7"/>
  <c r="AA1033" i="7"/>
  <c r="AF1033" i="7" s="1"/>
  <c r="AC1037" i="7"/>
  <c r="AA1037" i="7"/>
  <c r="AF1037" i="7" s="1"/>
  <c r="AC1041" i="7"/>
  <c r="AA1041" i="7"/>
  <c r="AF1041" i="7" s="1"/>
  <c r="AA1092" i="7"/>
  <c r="AF1092" i="7" s="1"/>
  <c r="AA1102" i="7"/>
  <c r="AF1102" i="7" s="1"/>
  <c r="AA1110" i="7"/>
  <c r="AF1110" i="7" s="1"/>
  <c r="AA1118" i="7"/>
  <c r="AF1118" i="7" s="1"/>
  <c r="AA1126" i="7"/>
  <c r="AF1126" i="7" s="1"/>
  <c r="AA1063" i="7"/>
  <c r="AF1063" i="7" s="1"/>
  <c r="AA1089" i="7"/>
  <c r="AF1089" i="7" s="1"/>
  <c r="AA967" i="7"/>
  <c r="AF967" i="7" s="1"/>
  <c r="AA968" i="7"/>
  <c r="AF968" i="7" s="1"/>
  <c r="AA1028" i="7"/>
  <c r="AF1028" i="7" s="1"/>
  <c r="AA1100" i="7"/>
  <c r="AF1100" i="7" s="1"/>
  <c r="AC1136" i="7"/>
  <c r="AA1136" i="7"/>
  <c r="AF1136" i="7" s="1"/>
  <c r="AA854" i="7"/>
  <c r="AF854" i="7" s="1"/>
  <c r="AA864" i="7"/>
  <c r="AF864" i="7" s="1"/>
  <c r="AA879" i="7"/>
  <c r="AF879" i="7" s="1"/>
  <c r="AA916" i="7"/>
  <c r="AF916" i="7" s="1"/>
  <c r="AA966" i="7"/>
  <c r="AF966" i="7" s="1"/>
  <c r="AC1035" i="7"/>
  <c r="AA1035" i="7"/>
  <c r="AF1035" i="7" s="1"/>
  <c r="AC1039" i="7"/>
  <c r="AA1039" i="7"/>
  <c r="AF1039" i="7" s="1"/>
  <c r="AC1043" i="7"/>
  <c r="AA1043" i="7"/>
  <c r="AF1043" i="7" s="1"/>
  <c r="AA971" i="7"/>
  <c r="AF971" i="7" s="1"/>
  <c r="AA1052" i="7"/>
  <c r="AF1052" i="7" s="1"/>
  <c r="AA1068" i="7"/>
  <c r="AF1068" i="7" s="1"/>
  <c r="AA1073" i="7"/>
  <c r="AF1073" i="7" s="1"/>
  <c r="AA1060" i="7"/>
  <c r="AF1060" i="7" s="1"/>
  <c r="AA1062" i="7"/>
  <c r="AF1062" i="7" s="1"/>
  <c r="AA1027" i="7"/>
  <c r="AF1027" i="7" s="1"/>
  <c r="AA1051" i="7"/>
  <c r="AF1051" i="7" s="1"/>
  <c r="AA1064" i="7"/>
  <c r="AF1064" i="7" s="1"/>
  <c r="AA1072" i="7"/>
  <c r="AF1072" i="7" s="1"/>
  <c r="AA1080" i="7"/>
  <c r="AF1080" i="7" s="1"/>
  <c r="AA1088" i="7"/>
  <c r="AF1088" i="7" s="1"/>
  <c r="AA1101" i="7"/>
  <c r="AF1101" i="7" s="1"/>
  <c r="AA1109" i="7"/>
  <c r="AF1109" i="7" s="1"/>
  <c r="AA1117" i="7"/>
  <c r="AF1117" i="7" s="1"/>
  <c r="AA1125" i="7"/>
  <c r="AF1125" i="7" s="1"/>
  <c r="AA1133" i="7"/>
  <c r="AF1133" i="7" s="1"/>
  <c r="AA1139" i="6"/>
  <c r="AF1139" i="6" s="1"/>
  <c r="AA1141" i="6"/>
  <c r="AF1141" i="6" s="1"/>
  <c r="AA1342" i="6"/>
  <c r="AF1342" i="6" s="1"/>
  <c r="AC1405" i="6"/>
  <c r="AA1405" i="6"/>
  <c r="AF1405" i="6" s="1"/>
  <c r="AC1143" i="6"/>
  <c r="AA1349" i="6"/>
  <c r="AF1349" i="6" s="1"/>
  <c r="AA1457" i="6"/>
  <c r="AF1457" i="6" s="1"/>
  <c r="AA1466" i="6"/>
  <c r="AF1466" i="6" s="1"/>
  <c r="AA1330" i="6"/>
  <c r="AF1330" i="6" s="1"/>
  <c r="AA1345" i="6"/>
  <c r="AF1345" i="6" s="1"/>
  <c r="AA1451" i="6"/>
  <c r="AF1451" i="6" s="1"/>
  <c r="AA1257" i="6"/>
  <c r="AF1257" i="6" s="1"/>
  <c r="AA1447" i="6"/>
  <c r="AF1447" i="6" s="1"/>
  <c r="AA1140" i="6"/>
  <c r="AF1140" i="6" s="1"/>
  <c r="AA1142" i="6"/>
  <c r="AF1142" i="6" s="1"/>
  <c r="AA1144" i="6"/>
  <c r="AF1144" i="6" s="1"/>
  <c r="AA1298" i="6"/>
  <c r="AF1298" i="6" s="1"/>
  <c r="AA1359" i="6"/>
  <c r="AF1359" i="6" s="1"/>
  <c r="AA1119" i="6"/>
  <c r="AF1119" i="6" s="1"/>
  <c r="AA1261" i="6"/>
  <c r="AF1261" i="6" s="1"/>
  <c r="AA1449" i="6"/>
  <c r="AF1449" i="6" s="1"/>
  <c r="AA1459" i="6"/>
  <c r="AF1459" i="6" s="1"/>
  <c r="AA1464" i="6"/>
  <c r="AF1464" i="6" s="1"/>
  <c r="AC1468" i="6"/>
  <c r="AA1468" i="6"/>
  <c r="AF1468" i="6" s="1"/>
  <c r="AC1471" i="6"/>
  <c r="AA1471" i="6"/>
  <c r="AF1471" i="6" s="1"/>
  <c r="AA1455" i="6"/>
  <c r="AF1455" i="6" s="1"/>
  <c r="AA1474" i="6"/>
  <c r="AF1474" i="6" s="1"/>
  <c r="AA1358" i="6"/>
  <c r="AF1358" i="6" s="1"/>
  <c r="AC1448" i="6"/>
  <c r="AC1450" i="6"/>
  <c r="AC1452" i="6"/>
  <c r="AC1454" i="6"/>
  <c r="AC1456" i="6"/>
  <c r="AA1361" i="6"/>
  <c r="AF1361" i="6" s="1"/>
  <c r="AA1363" i="6"/>
  <c r="AF1363" i="6" s="1"/>
  <c r="AA1365" i="6"/>
  <c r="AF1365" i="6" s="1"/>
  <c r="AA1403" i="6"/>
  <c r="AF1403" i="6" s="1"/>
  <c r="AA1384" i="6"/>
  <c r="AF1384" i="6" s="1"/>
  <c r="AA1388" i="6"/>
  <c r="AF1388" i="6" s="1"/>
  <c r="AA1390" i="6"/>
  <c r="AF1390" i="6" s="1"/>
  <c r="AA1401" i="6"/>
  <c r="AF1401" i="6" s="1"/>
  <c r="AA1410" i="6"/>
  <c r="AF1410" i="6" s="1"/>
  <c r="AC831" i="6"/>
  <c r="AC836" i="6"/>
  <c r="AC839" i="6"/>
  <c r="AA844" i="6"/>
  <c r="AE844" i="6" s="1"/>
  <c r="AF844" i="6" s="1"/>
  <c r="AA852" i="6"/>
  <c r="AA879" i="6"/>
  <c r="AF879" i="6" s="1"/>
  <c r="AA903" i="6"/>
  <c r="AF903" i="6" s="1"/>
  <c r="AA926" i="6"/>
  <c r="AE926" i="6" s="1"/>
  <c r="AF926" i="6" s="1"/>
  <c r="AA954" i="6"/>
  <c r="AF954" i="6" s="1"/>
  <c r="AA1050" i="6"/>
  <c r="AF1050" i="6" s="1"/>
  <c r="AA918" i="6"/>
  <c r="AF918" i="6" s="1"/>
  <c r="AA1089" i="6"/>
  <c r="AF1089" i="6" s="1"/>
  <c r="AC883" i="6"/>
  <c r="AA883" i="6"/>
  <c r="AF883" i="6" s="1"/>
  <c r="AC939" i="6"/>
  <c r="AA939" i="6"/>
  <c r="AE939" i="6" s="1"/>
  <c r="AF939" i="6" s="1"/>
  <c r="AA835" i="6"/>
  <c r="AF835" i="6" s="1"/>
  <c r="AA843" i="6"/>
  <c r="AE843" i="6" s="1"/>
  <c r="AF843" i="6" s="1"/>
  <c r="AA969" i="6"/>
  <c r="AF969" i="6" s="1"/>
  <c r="AA978" i="6"/>
  <c r="AE978" i="6" s="1"/>
  <c r="AF978" i="6" s="1"/>
  <c r="AA986" i="6"/>
  <c r="AE986" i="6" s="1"/>
  <c r="AF986" i="6" s="1"/>
  <c r="AA1043" i="6"/>
  <c r="AA1077" i="6"/>
  <c r="AF1077" i="6" s="1"/>
  <c r="AA814" i="6"/>
  <c r="AF814" i="6" s="1"/>
  <c r="AC868" i="6"/>
  <c r="AA868" i="6"/>
  <c r="AF868" i="6" s="1"/>
  <c r="AA922" i="6"/>
  <c r="AF922" i="6" s="1"/>
  <c r="AC983" i="6"/>
  <c r="AA983" i="6"/>
  <c r="AE983" i="6" s="1"/>
  <c r="AF983" i="6" s="1"/>
  <c r="AA768" i="6"/>
  <c r="AF768" i="6" s="1"/>
  <c r="AA826" i="6"/>
  <c r="AF826" i="6" s="1"/>
  <c r="AC889" i="6"/>
  <c r="AA889" i="6"/>
  <c r="AF889" i="6" s="1"/>
  <c r="AA1064" i="6"/>
  <c r="AF1064" i="6" s="1"/>
  <c r="AA773" i="6"/>
  <c r="AF773" i="6" s="1"/>
  <c r="AA778" i="6"/>
  <c r="AF778" i="6" s="1"/>
  <c r="AA789" i="6"/>
  <c r="AF789" i="6" s="1"/>
  <c r="AA820" i="6"/>
  <c r="AF820" i="6" s="1"/>
  <c r="AA881" i="6"/>
  <c r="AF881" i="6" s="1"/>
  <c r="AA944" i="6"/>
  <c r="AF944" i="6" s="1"/>
  <c r="AA1033" i="6"/>
  <c r="AF1033" i="6" s="1"/>
  <c r="AC858" i="6"/>
  <c r="AA858" i="6"/>
  <c r="AF858" i="6" s="1"/>
  <c r="AA936" i="6"/>
  <c r="AE936" i="6" s="1"/>
  <c r="AF936" i="6" s="1"/>
  <c r="AA988" i="6"/>
  <c r="AE988" i="6" s="1"/>
  <c r="AF988" i="6" s="1"/>
  <c r="AA917" i="6"/>
  <c r="AF917" i="6" s="1"/>
  <c r="AA948" i="6"/>
  <c r="AE948" i="6" s="1"/>
  <c r="AF948" i="6" s="1"/>
  <c r="AA1010" i="6"/>
  <c r="AF1010" i="6" s="1"/>
  <c r="AA1014" i="6"/>
  <c r="AF1014" i="6" s="1"/>
  <c r="AA1037" i="6"/>
  <c r="AF1037" i="6" s="1"/>
  <c r="AA1081" i="6"/>
  <c r="AF1081" i="6" s="1"/>
  <c r="AA938" i="6"/>
  <c r="AE938" i="6" s="1"/>
  <c r="AF938" i="6" s="1"/>
  <c r="AA1040" i="6"/>
  <c r="AF1040" i="6" s="1"/>
  <c r="AA1042" i="6"/>
  <c r="AF1042" i="6" s="1"/>
  <c r="AA860" i="6"/>
  <c r="AF860" i="6" s="1"/>
  <c r="AA864" i="6"/>
  <c r="AF864" i="6" s="1"/>
  <c r="AA913" i="6"/>
  <c r="AF913" i="6" s="1"/>
  <c r="AA924" i="6"/>
  <c r="AE924" i="6" s="1"/>
  <c r="AF924" i="6" s="1"/>
  <c r="AA928" i="6"/>
  <c r="AE928" i="6" s="1"/>
  <c r="AF928" i="6" s="1"/>
  <c r="AA932" i="6"/>
  <c r="AE932" i="6" s="1"/>
  <c r="AF932" i="6" s="1"/>
  <c r="AA935" i="6"/>
  <c r="AE935" i="6" s="1"/>
  <c r="AF935" i="6" s="1"/>
  <c r="AA1009" i="6"/>
  <c r="AF1009" i="6" s="1"/>
  <c r="AA1013" i="6"/>
  <c r="AF1013" i="6" s="1"/>
  <c r="AA1059" i="6"/>
  <c r="AF1059" i="6" s="1"/>
  <c r="AA1085" i="6"/>
  <c r="AF1085" i="6" s="1"/>
  <c r="AC712" i="7"/>
  <c r="AA712" i="7"/>
  <c r="AF712" i="7" s="1"/>
  <c r="AC773" i="7"/>
  <c r="AA773" i="7"/>
  <c r="AF773" i="7" s="1"/>
  <c r="AA658" i="7"/>
  <c r="AF658" i="7" s="1"/>
  <c r="AA690" i="7"/>
  <c r="AE690" i="7" s="1"/>
  <c r="AF690" i="7" s="1"/>
  <c r="AC698" i="7"/>
  <c r="AA698" i="7"/>
  <c r="AE698" i="7" s="1"/>
  <c r="AF698" i="7" s="1"/>
  <c r="AC706" i="7"/>
  <c r="AA706" i="7"/>
  <c r="AE706" i="7" s="1"/>
  <c r="AF706" i="7" s="1"/>
  <c r="AA723" i="7"/>
  <c r="AF723" i="7" s="1"/>
  <c r="AA734" i="7"/>
  <c r="AF734" i="7" s="1"/>
  <c r="AC769" i="7"/>
  <c r="AA769" i="7"/>
  <c r="AF769" i="7" s="1"/>
  <c r="AA836" i="7"/>
  <c r="AF836" i="7" s="1"/>
  <c r="AA569" i="7"/>
  <c r="AF569" i="7" s="1"/>
  <c r="AA573" i="7"/>
  <c r="AF573" i="7" s="1"/>
  <c r="AA577" i="7"/>
  <c r="AF577" i="7" s="1"/>
  <c r="AA592" i="7"/>
  <c r="AF592" i="7" s="1"/>
  <c r="AA596" i="7"/>
  <c r="AF596" i="7" s="1"/>
  <c r="AA600" i="7"/>
  <c r="AF600" i="7" s="1"/>
  <c r="AA604" i="7"/>
  <c r="AF604" i="7" s="1"/>
  <c r="AA608" i="7"/>
  <c r="AF608" i="7" s="1"/>
  <c r="AA612" i="7"/>
  <c r="AF612" i="7" s="1"/>
  <c r="AC638" i="7"/>
  <c r="AA638" i="7"/>
  <c r="AF638" i="7" s="1"/>
  <c r="AC642" i="7"/>
  <c r="AA642" i="7"/>
  <c r="AF642" i="7" s="1"/>
  <c r="AA806" i="7"/>
  <c r="AE806" i="7" s="1"/>
  <c r="AF806" i="7" s="1"/>
  <c r="AA843" i="7"/>
  <c r="AF843" i="7" s="1"/>
  <c r="AA646" i="7"/>
  <c r="AF646" i="7" s="1"/>
  <c r="AA650" i="7"/>
  <c r="AF650" i="7" s="1"/>
  <c r="AA654" i="7"/>
  <c r="AF654" i="7" s="1"/>
  <c r="AA682" i="7"/>
  <c r="AF682" i="7" s="1"/>
  <c r="AC819" i="7"/>
  <c r="AA819" i="7"/>
  <c r="AF819" i="7" s="1"/>
  <c r="AA839" i="7"/>
  <c r="AF839" i="7" s="1"/>
  <c r="AA591" i="7"/>
  <c r="AF591" i="7" s="1"/>
  <c r="AA595" i="7"/>
  <c r="AF595" i="7" s="1"/>
  <c r="AA599" i="7"/>
  <c r="AF599" i="7" s="1"/>
  <c r="AA603" i="7"/>
  <c r="AF603" i="7" s="1"/>
  <c r="AA607" i="7"/>
  <c r="AF607" i="7" s="1"/>
  <c r="AA611" i="7"/>
  <c r="AF611" i="7" s="1"/>
  <c r="AA617" i="7"/>
  <c r="AF617" i="7" s="1"/>
  <c r="AC632" i="7"/>
  <c r="AA632" i="7"/>
  <c r="AF632" i="7" s="1"/>
  <c r="AC815" i="7"/>
  <c r="AA815" i="7"/>
  <c r="AF815" i="7" s="1"/>
  <c r="AC572" i="7"/>
  <c r="AC576" i="7"/>
  <c r="AC744" i="7"/>
  <c r="AA744" i="7"/>
  <c r="AF744" i="7" s="1"/>
  <c r="AC757" i="7"/>
  <c r="AA757" i="7"/>
  <c r="AF757" i="7" s="1"/>
  <c r="AC811" i="7"/>
  <c r="AA811" i="7"/>
  <c r="AF811" i="7" s="1"/>
  <c r="AA670" i="7"/>
  <c r="AF670" i="7" s="1"/>
  <c r="AC740" i="7"/>
  <c r="AA740" i="7"/>
  <c r="AF740" i="7" s="1"/>
  <c r="AC753" i="7"/>
  <c r="AA753" i="7"/>
  <c r="AF753" i="7" s="1"/>
  <c r="AC781" i="7"/>
  <c r="AA781" i="7"/>
  <c r="AF781" i="7" s="1"/>
  <c r="AA785" i="7"/>
  <c r="AF785" i="7" s="1"/>
  <c r="AC829" i="7"/>
  <c r="AA829" i="7"/>
  <c r="AF829" i="7" s="1"/>
  <c r="AA666" i="7"/>
  <c r="AF666" i="7" s="1"/>
  <c r="AC777" i="7"/>
  <c r="AA777" i="7"/>
  <c r="AF777" i="7" s="1"/>
  <c r="AC825" i="7"/>
  <c r="AA825" i="7"/>
  <c r="AF825" i="7" s="1"/>
  <c r="AA657" i="7"/>
  <c r="AF657" i="7" s="1"/>
  <c r="AA673" i="7"/>
  <c r="AF673" i="7" s="1"/>
  <c r="AA677" i="7"/>
  <c r="AF677" i="7" s="1"/>
  <c r="AA681" i="7"/>
  <c r="AF681" i="7" s="1"/>
  <c r="AA685" i="7"/>
  <c r="AF685" i="7" s="1"/>
  <c r="AA689" i="7"/>
  <c r="AE689" i="7" s="1"/>
  <c r="AF689" i="7" s="1"/>
  <c r="AA722" i="7"/>
  <c r="AF722" i="7" s="1"/>
  <c r="AA637" i="7"/>
  <c r="AF637" i="7" s="1"/>
  <c r="AA784" i="7"/>
  <c r="AF784" i="7" s="1"/>
  <c r="AA810" i="7"/>
  <c r="AF810" i="7" s="1"/>
  <c r="AA660" i="7"/>
  <c r="AF660" i="7" s="1"/>
  <c r="AA664" i="7"/>
  <c r="AF664" i="7" s="1"/>
  <c r="AA668" i="7"/>
  <c r="AF668" i="7" s="1"/>
  <c r="AA672" i="7"/>
  <c r="AF672" i="7" s="1"/>
  <c r="AA676" i="7"/>
  <c r="AF676" i="7" s="1"/>
  <c r="AA703" i="7"/>
  <c r="AE703" i="7" s="1"/>
  <c r="AF703" i="7" s="1"/>
  <c r="AC293" i="7"/>
  <c r="AA293" i="7"/>
  <c r="AF293" i="7" s="1"/>
  <c r="AA301" i="7"/>
  <c r="AF301" i="7" s="1"/>
  <c r="AC301" i="7"/>
  <c r="AA137" i="7"/>
  <c r="AF137" i="7" s="1"/>
  <c r="AA295" i="7"/>
  <c r="AF295" i="7" s="1"/>
  <c r="AC295" i="7"/>
  <c r="AA374" i="7"/>
  <c r="AF374" i="7" s="1"/>
  <c r="AC374" i="7"/>
  <c r="AA297" i="7"/>
  <c r="AF297" i="7" s="1"/>
  <c r="AC297" i="7"/>
  <c r="AC376" i="7"/>
  <c r="AA376" i="7"/>
  <c r="AF376" i="7" s="1"/>
  <c r="AA291" i="7"/>
  <c r="AF291" i="7" s="1"/>
  <c r="AC291" i="7"/>
  <c r="AA299" i="7"/>
  <c r="AF299" i="7" s="1"/>
  <c r="AC299" i="7"/>
  <c r="AA261" i="7"/>
  <c r="AF261" i="7" s="1"/>
  <c r="AA263" i="7"/>
  <c r="AF263" i="7" s="1"/>
  <c r="AA313" i="7"/>
  <c r="AF313" i="7" s="1"/>
  <c r="AA315" i="7"/>
  <c r="AF315" i="7" s="1"/>
  <c r="AA317" i="7"/>
  <c r="AF317" i="7" s="1"/>
  <c r="AA319" i="7"/>
  <c r="AF319" i="7" s="1"/>
  <c r="AA180" i="7"/>
  <c r="AF180" i="7" s="1"/>
  <c r="AA292" i="7"/>
  <c r="AF292" i="7" s="1"/>
  <c r="AA294" i="7"/>
  <c r="AF294" i="7" s="1"/>
  <c r="AA296" i="7"/>
  <c r="AF296" i="7" s="1"/>
  <c r="AA298" i="7"/>
  <c r="AF298" i="7" s="1"/>
  <c r="AA300" i="7"/>
  <c r="AF300" i="7" s="1"/>
  <c r="AA375" i="7"/>
  <c r="AF375" i="7" s="1"/>
  <c r="AA377" i="7"/>
  <c r="AF377" i="7" s="1"/>
  <c r="AA260" i="7"/>
  <c r="AF260" i="7" s="1"/>
  <c r="AA262" i="7"/>
  <c r="AF262" i="7" s="1"/>
  <c r="AA312" i="7"/>
  <c r="AF312" i="7" s="1"/>
  <c r="AA314" i="7"/>
  <c r="AF314" i="7" s="1"/>
  <c r="AA316" i="7"/>
  <c r="AF316" i="7" s="1"/>
  <c r="AA318" i="7"/>
  <c r="AF318" i="7" s="1"/>
  <c r="AA320" i="7"/>
  <c r="AF320" i="7" s="1"/>
  <c r="AA608" i="6"/>
  <c r="AF608" i="6" s="1"/>
  <c r="AC608" i="6"/>
  <c r="AA526" i="6"/>
  <c r="AF526" i="6" s="1"/>
  <c r="AC526" i="6"/>
  <c r="AC580" i="6"/>
  <c r="AA580" i="6"/>
  <c r="AF580" i="6" s="1"/>
  <c r="AC505" i="6"/>
  <c r="AA505" i="6"/>
  <c r="AF505" i="6" s="1"/>
  <c r="AC534" i="6"/>
  <c r="AA534" i="6"/>
  <c r="AF534" i="6" s="1"/>
  <c r="AC579" i="6"/>
  <c r="AA579" i="6"/>
  <c r="AF579" i="6" s="1"/>
  <c r="AA427" i="6"/>
  <c r="AF427" i="6" s="1"/>
  <c r="AA488" i="6"/>
  <c r="AF488" i="6" s="1"/>
  <c r="AA490" i="6"/>
  <c r="AF490" i="6" s="1"/>
  <c r="AA492" i="6"/>
  <c r="AF492" i="6" s="1"/>
  <c r="AA494" i="6"/>
  <c r="AF494" i="6" s="1"/>
  <c r="AA496" i="6"/>
  <c r="AF496" i="6" s="1"/>
  <c r="AA498" i="6"/>
  <c r="AF498" i="6" s="1"/>
  <c r="AA500" i="6"/>
  <c r="AF500" i="6" s="1"/>
  <c r="AA558" i="6"/>
  <c r="AF558" i="6" s="1"/>
  <c r="AA574" i="6"/>
  <c r="AF574" i="6" s="1"/>
  <c r="AA619" i="6"/>
  <c r="AF619" i="6" s="1"/>
  <c r="AA621" i="6"/>
  <c r="AF621" i="6" s="1"/>
  <c r="AA623" i="6"/>
  <c r="AF623" i="6" s="1"/>
  <c r="AA625" i="6"/>
  <c r="AF625" i="6" s="1"/>
  <c r="AA607" i="6"/>
  <c r="AF607" i="6" s="1"/>
  <c r="AA615" i="6"/>
  <c r="AF615" i="6" s="1"/>
  <c r="AA434" i="6"/>
  <c r="AF434" i="6" s="1"/>
  <c r="AA443" i="6"/>
  <c r="AF443" i="6" s="1"/>
  <c r="AA445" i="6"/>
  <c r="AF445" i="6" s="1"/>
  <c r="AA447" i="6"/>
  <c r="AF447" i="6" s="1"/>
  <c r="AA449" i="6"/>
  <c r="AF449" i="6" s="1"/>
  <c r="AA451" i="6"/>
  <c r="AF451" i="6" s="1"/>
  <c r="AA453" i="6"/>
  <c r="AF453" i="6" s="1"/>
  <c r="AA455" i="6"/>
  <c r="AF455" i="6" s="1"/>
  <c r="AA457" i="6"/>
  <c r="AF457" i="6" s="1"/>
  <c r="AA459" i="6"/>
  <c r="AF459" i="6" s="1"/>
  <c r="AA461" i="6"/>
  <c r="AF461" i="6" s="1"/>
  <c r="AA463" i="6"/>
  <c r="AF463" i="6" s="1"/>
  <c r="AA465" i="6"/>
  <c r="AF465" i="6" s="1"/>
  <c r="AA569" i="6"/>
  <c r="AF569" i="6" s="1"/>
  <c r="AA571" i="6"/>
  <c r="AF571" i="6" s="1"/>
  <c r="AA573" i="6"/>
  <c r="AF573" i="6" s="1"/>
  <c r="AA577" i="6"/>
  <c r="AF577" i="6" s="1"/>
  <c r="AA609" i="6"/>
  <c r="AF609" i="6" s="1"/>
  <c r="AA611" i="6"/>
  <c r="AF611" i="6" s="1"/>
  <c r="AA489" i="6"/>
  <c r="AF489" i="6" s="1"/>
  <c r="AA491" i="6"/>
  <c r="AF491" i="6" s="1"/>
  <c r="AA493" i="6"/>
  <c r="AF493" i="6" s="1"/>
  <c r="AA495" i="6"/>
  <c r="AF495" i="6" s="1"/>
  <c r="AA497" i="6"/>
  <c r="AF497" i="6" s="1"/>
  <c r="AA499" i="6"/>
  <c r="AF499" i="6" s="1"/>
  <c r="AA501" i="6"/>
  <c r="AF501" i="6" s="1"/>
  <c r="AA533" i="6"/>
  <c r="AF533" i="6" s="1"/>
  <c r="AA620" i="6"/>
  <c r="AF620" i="6" s="1"/>
  <c r="AA622" i="6"/>
  <c r="AF622" i="6" s="1"/>
  <c r="AA624" i="6"/>
  <c r="AF624" i="6" s="1"/>
  <c r="AA626" i="6"/>
  <c r="AF626" i="6" s="1"/>
  <c r="AA470" i="6"/>
  <c r="AF470" i="6" s="1"/>
  <c r="AA535" i="6"/>
  <c r="AF535" i="6" s="1"/>
  <c r="AA555" i="6"/>
  <c r="AF555" i="6" s="1"/>
  <c r="AA11" i="7"/>
  <c r="AF11" i="7" s="1"/>
  <c r="AA26" i="7"/>
  <c r="AF26" i="7" s="1"/>
  <c r="AA40" i="7"/>
  <c r="AF40" i="7" s="1"/>
  <c r="AA15" i="7"/>
  <c r="AF15" i="7" s="1"/>
  <c r="AA34" i="7"/>
  <c r="AF34" i="7" s="1"/>
  <c r="AA13" i="7"/>
  <c r="AF13" i="7" s="1"/>
  <c r="AA50" i="7"/>
  <c r="AF50" i="7" s="1"/>
  <c r="AA16" i="7"/>
  <c r="AF16" i="7" s="1"/>
  <c r="AA32" i="7"/>
  <c r="AF32" i="7" s="1"/>
  <c r="AA48" i="7"/>
  <c r="AF48" i="7" s="1"/>
  <c r="Y1" i="7"/>
  <c r="AA5" i="7"/>
  <c r="AF5" i="7" s="1"/>
  <c r="AA122" i="7"/>
  <c r="AF122" i="7" s="1"/>
  <c r="AC122" i="7"/>
  <c r="AC17" i="7"/>
  <c r="AA17" i="7"/>
  <c r="AF17" i="7" s="1"/>
  <c r="AA22" i="7"/>
  <c r="AF22" i="7" s="1"/>
  <c r="AA38" i="7"/>
  <c r="AF38" i="7" s="1"/>
  <c r="AA54" i="7"/>
  <c r="AF54" i="7" s="1"/>
  <c r="AA60" i="7"/>
  <c r="AF60" i="7" s="1"/>
  <c r="AC60" i="7"/>
  <c r="AA68" i="7"/>
  <c r="AF68" i="7" s="1"/>
  <c r="AC68" i="7"/>
  <c r="AA76" i="7"/>
  <c r="AF76" i="7" s="1"/>
  <c r="AC76" i="7"/>
  <c r="AA84" i="7"/>
  <c r="AF84" i="7" s="1"/>
  <c r="AC84" i="7"/>
  <c r="AA92" i="7"/>
  <c r="AF92" i="7" s="1"/>
  <c r="AC92" i="7"/>
  <c r="AC100" i="7"/>
  <c r="AA100" i="7"/>
  <c r="AF100" i="7" s="1"/>
  <c r="AC108" i="7"/>
  <c r="AA108" i="7"/>
  <c r="AF108" i="7" s="1"/>
  <c r="AA116" i="7"/>
  <c r="AF116" i="7" s="1"/>
  <c r="AC116" i="7"/>
  <c r="AA124" i="7"/>
  <c r="AF124" i="7" s="1"/>
  <c r="AC124" i="7"/>
  <c r="AA74" i="7"/>
  <c r="AF74" i="7" s="1"/>
  <c r="AC74" i="7"/>
  <c r="AA106" i="7"/>
  <c r="AF106" i="7" s="1"/>
  <c r="AC106" i="7"/>
  <c r="AC23" i="7"/>
  <c r="AA23" i="7"/>
  <c r="AF23" i="7" s="1"/>
  <c r="AA28" i="7"/>
  <c r="AF28" i="7" s="1"/>
  <c r="AA44" i="7"/>
  <c r="AF44" i="7" s="1"/>
  <c r="AC98" i="7"/>
  <c r="AA98" i="7"/>
  <c r="AF98" i="7" s="1"/>
  <c r="AF3" i="7"/>
  <c r="AA62" i="7"/>
  <c r="AF62" i="7" s="1"/>
  <c r="AC62" i="7"/>
  <c r="AA70" i="7"/>
  <c r="AF70" i="7" s="1"/>
  <c r="AC70" i="7"/>
  <c r="AA78" i="7"/>
  <c r="AF78" i="7" s="1"/>
  <c r="AC78" i="7"/>
  <c r="AA86" i="7"/>
  <c r="AF86" i="7" s="1"/>
  <c r="AC86" i="7"/>
  <c r="AA94" i="7"/>
  <c r="AF94" i="7" s="1"/>
  <c r="AC94" i="7"/>
  <c r="AA102" i="7"/>
  <c r="AF102" i="7" s="1"/>
  <c r="AC102" i="7"/>
  <c r="AA110" i="7"/>
  <c r="AF110" i="7" s="1"/>
  <c r="AC110" i="7"/>
  <c r="AA118" i="7"/>
  <c r="AF118" i="7" s="1"/>
  <c r="AC118" i="7"/>
  <c r="AA126" i="7"/>
  <c r="AF126" i="7" s="1"/>
  <c r="AC126" i="7"/>
  <c r="AA82" i="7"/>
  <c r="AF82" i="7" s="1"/>
  <c r="AC82" i="7"/>
  <c r="AC19" i="7"/>
  <c r="AA19" i="7"/>
  <c r="AF19" i="7" s="1"/>
  <c r="AA90" i="7"/>
  <c r="AF90" i="7" s="1"/>
  <c r="AC90" i="7"/>
  <c r="AA30" i="7"/>
  <c r="AF30" i="7" s="1"/>
  <c r="AA46" i="7"/>
  <c r="AF46" i="7" s="1"/>
  <c r="AA64" i="7"/>
  <c r="AF64" i="7" s="1"/>
  <c r="AC64" i="7"/>
  <c r="AA72" i="7"/>
  <c r="AF72" i="7" s="1"/>
  <c r="AC72" i="7"/>
  <c r="AA80" i="7"/>
  <c r="AF80" i="7" s="1"/>
  <c r="AC80" i="7"/>
  <c r="AA88" i="7"/>
  <c r="AF88" i="7" s="1"/>
  <c r="AC88" i="7"/>
  <c r="AA96" i="7"/>
  <c r="AF96" i="7" s="1"/>
  <c r="AC96" i="7"/>
  <c r="AC104" i="7"/>
  <c r="AA104" i="7"/>
  <c r="AF104" i="7" s="1"/>
  <c r="AC112" i="7"/>
  <c r="AA112" i="7"/>
  <c r="AF112" i="7" s="1"/>
  <c r="AC120" i="7"/>
  <c r="AA120" i="7"/>
  <c r="AF120" i="7" s="1"/>
  <c r="AC128" i="7"/>
  <c r="AA128" i="7"/>
  <c r="AF128" i="7" s="1"/>
  <c r="AA66" i="7"/>
  <c r="AF66" i="7" s="1"/>
  <c r="AC66" i="7"/>
  <c r="AC114" i="7"/>
  <c r="AA114" i="7"/>
  <c r="AF114" i="7" s="1"/>
  <c r="AA20" i="7"/>
  <c r="AF20" i="7" s="1"/>
  <c r="AA36" i="7"/>
  <c r="AF36" i="7" s="1"/>
  <c r="AA52" i="7"/>
  <c r="AF52" i="7" s="1"/>
  <c r="AA21" i="7"/>
  <c r="AF21" i="7" s="1"/>
  <c r="AA25" i="7"/>
  <c r="AF25" i="7" s="1"/>
  <c r="AA27" i="7"/>
  <c r="AF27" i="7" s="1"/>
  <c r="AA29" i="7"/>
  <c r="AF29" i="7" s="1"/>
  <c r="AA31" i="7"/>
  <c r="AF31" i="7" s="1"/>
  <c r="AA33" i="7"/>
  <c r="AF33" i="7" s="1"/>
  <c r="AA35" i="7"/>
  <c r="AF35" i="7" s="1"/>
  <c r="AA37" i="7"/>
  <c r="AF37" i="7" s="1"/>
  <c r="AA39" i="7"/>
  <c r="AF39" i="7" s="1"/>
  <c r="AA41" i="7"/>
  <c r="AF41" i="7" s="1"/>
  <c r="AA43" i="7"/>
  <c r="AF43" i="7" s="1"/>
  <c r="AA45" i="7"/>
  <c r="AF45" i="7" s="1"/>
  <c r="AA47" i="7"/>
  <c r="AF47" i="7" s="1"/>
  <c r="AA49" i="7"/>
  <c r="AF49" i="7" s="1"/>
  <c r="AA51" i="7"/>
  <c r="AF51" i="7" s="1"/>
  <c r="AA53" i="7"/>
  <c r="AF53" i="7" s="1"/>
  <c r="AA55" i="7"/>
  <c r="AF55" i="7" s="1"/>
  <c r="AA57" i="7"/>
  <c r="AF57" i="7" s="1"/>
  <c r="AA59" i="7"/>
  <c r="AF59" i="7" s="1"/>
  <c r="AA61" i="7"/>
  <c r="AF61" i="7" s="1"/>
  <c r="AA63" i="7"/>
  <c r="AF63" i="7" s="1"/>
  <c r="AA65" i="7"/>
  <c r="AF65" i="7" s="1"/>
  <c r="AA67" i="7"/>
  <c r="AF67" i="7" s="1"/>
  <c r="AA69" i="7"/>
  <c r="AF69" i="7" s="1"/>
  <c r="AA71" i="7"/>
  <c r="AF71" i="7" s="1"/>
  <c r="AA73" i="7"/>
  <c r="AF73" i="7" s="1"/>
  <c r="AA75" i="7"/>
  <c r="AF75" i="7" s="1"/>
  <c r="AA77" i="7"/>
  <c r="AF77" i="7" s="1"/>
  <c r="AA79" i="7"/>
  <c r="AF79" i="7" s="1"/>
  <c r="AA81" i="7"/>
  <c r="AF81" i="7" s="1"/>
  <c r="AA83" i="7"/>
  <c r="AF83" i="7" s="1"/>
  <c r="AA85" i="7"/>
  <c r="AF85" i="7" s="1"/>
  <c r="AA87" i="7"/>
  <c r="AF87" i="7" s="1"/>
  <c r="AA89" i="7"/>
  <c r="AF89" i="7" s="1"/>
  <c r="AA91" i="7"/>
  <c r="AF91" i="7" s="1"/>
  <c r="AA93" i="7"/>
  <c r="AF93" i="7" s="1"/>
  <c r="AA95" i="7"/>
  <c r="AF95" i="7" s="1"/>
  <c r="AA97" i="7"/>
  <c r="AF97" i="7" s="1"/>
  <c r="AA99" i="7"/>
  <c r="AF99" i="7" s="1"/>
  <c r="AA101" i="7"/>
  <c r="AF101" i="7" s="1"/>
  <c r="AA103" i="7"/>
  <c r="AF103" i="7" s="1"/>
  <c r="AA105" i="7"/>
  <c r="AF105" i="7" s="1"/>
  <c r="AA107" i="7"/>
  <c r="AF107" i="7" s="1"/>
  <c r="AA109" i="7"/>
  <c r="AF109" i="7" s="1"/>
  <c r="AA111" i="7"/>
  <c r="AF111" i="7" s="1"/>
  <c r="AA113" i="7"/>
  <c r="AF113" i="7" s="1"/>
  <c r="AA115" i="7"/>
  <c r="AF115" i="7" s="1"/>
  <c r="AA117" i="7"/>
  <c r="AF117" i="7" s="1"/>
  <c r="AA119" i="7"/>
  <c r="AF119" i="7" s="1"/>
  <c r="AA121" i="7"/>
  <c r="AF121" i="7" s="1"/>
  <c r="AA123" i="7"/>
  <c r="AF123" i="7" s="1"/>
  <c r="AA125" i="7"/>
  <c r="AF125" i="7" s="1"/>
  <c r="AA127" i="7"/>
  <c r="AF127" i="7" s="1"/>
  <c r="AA129" i="7"/>
  <c r="AF129" i="7" s="1"/>
  <c r="AC33" i="6"/>
  <c r="AA33" i="6"/>
  <c r="AF33" i="6" s="1"/>
  <c r="AA413" i="6"/>
  <c r="AF413" i="6" s="1"/>
  <c r="AC413" i="6"/>
  <c r="AC19" i="6"/>
  <c r="AA19" i="6"/>
  <c r="AF19" i="6" s="1"/>
  <c r="AC406" i="6"/>
  <c r="AA406" i="6"/>
  <c r="AF406" i="6" s="1"/>
  <c r="AC35" i="6"/>
  <c r="AA35" i="6"/>
  <c r="AF35" i="6" s="1"/>
  <c r="AC165" i="6"/>
  <c r="AA165" i="6"/>
  <c r="AF165" i="6" s="1"/>
  <c r="AC39" i="6"/>
  <c r="AA39" i="6"/>
  <c r="AF39" i="6" s="1"/>
  <c r="AC245" i="6"/>
  <c r="AA245" i="6"/>
  <c r="AF245" i="6" s="1"/>
  <c r="AC396" i="6"/>
  <c r="AA396" i="6"/>
  <c r="AF396" i="6" s="1"/>
  <c r="AC17" i="6"/>
  <c r="AA17" i="6"/>
  <c r="AF17" i="6" s="1"/>
  <c r="AA27" i="6"/>
  <c r="AF27" i="6" s="1"/>
  <c r="AC392" i="6"/>
  <c r="AA392" i="6"/>
  <c r="AF392" i="6" s="1"/>
  <c r="AC417" i="6"/>
  <c r="AA417" i="6"/>
  <c r="AF417" i="6" s="1"/>
  <c r="AC43" i="6"/>
  <c r="AA43" i="6"/>
  <c r="AF43" i="6" s="1"/>
  <c r="AC167" i="6"/>
  <c r="AA167" i="6"/>
  <c r="AE167" i="6" s="1"/>
  <c r="AF167" i="6" s="1"/>
  <c r="AC186" i="6"/>
  <c r="AA186" i="6"/>
  <c r="AE186" i="6" s="1"/>
  <c r="AF186" i="6" s="1"/>
  <c r="AC388" i="6"/>
  <c r="AA388" i="6"/>
  <c r="AF388" i="6" s="1"/>
  <c r="AA31" i="6"/>
  <c r="AF31" i="6" s="1"/>
  <c r="AC37" i="6"/>
  <c r="AA37" i="6"/>
  <c r="AF37" i="6" s="1"/>
  <c r="AA47" i="6"/>
  <c r="AE47" i="6" s="1"/>
  <c r="AF47" i="6" s="1"/>
  <c r="AA216" i="6"/>
  <c r="AF216" i="6" s="1"/>
  <c r="AA25" i="6"/>
  <c r="AF25" i="6" s="1"/>
  <c r="AC210" i="6"/>
  <c r="AA210" i="6"/>
  <c r="AF210" i="6" s="1"/>
  <c r="AA203" i="6"/>
  <c r="AF203" i="6" s="1"/>
  <c r="AC256" i="6"/>
  <c r="AA256" i="6"/>
  <c r="AF256" i="6" s="1"/>
  <c r="AA264" i="6"/>
  <c r="AF264" i="6" s="1"/>
  <c r="AC297" i="6"/>
  <c r="AA297" i="6"/>
  <c r="AF297" i="6" s="1"/>
  <c r="AC309" i="6"/>
  <c r="AA309" i="6"/>
  <c r="AF309" i="6" s="1"/>
  <c r="AA313" i="6"/>
  <c r="AF313" i="6" s="1"/>
  <c r="AA329" i="6"/>
  <c r="AF329" i="6" s="1"/>
  <c r="AC333" i="6"/>
  <c r="AA333" i="6"/>
  <c r="AF333" i="6" s="1"/>
  <c r="AC337" i="6"/>
  <c r="AA337" i="6"/>
  <c r="AF337" i="6" s="1"/>
  <c r="AA356" i="6"/>
  <c r="AF356" i="6" s="1"/>
  <c r="AC400" i="6"/>
  <c r="AA400" i="6"/>
  <c r="AF400" i="6" s="1"/>
  <c r="AA184" i="6"/>
  <c r="AF184" i="6" s="1"/>
  <c r="AA191" i="6"/>
  <c r="AF191" i="6" s="1"/>
  <c r="AA253" i="6"/>
  <c r="AF253" i="6" s="1"/>
  <c r="AA260" i="6"/>
  <c r="AF260" i="6" s="1"/>
  <c r="AA289" i="6"/>
  <c r="AF289" i="6" s="1"/>
  <c r="AA350" i="6"/>
  <c r="AF350" i="6" s="1"/>
  <c r="AA367" i="6"/>
  <c r="AF367" i="6" s="1"/>
  <c r="AA371" i="6"/>
  <c r="AF371" i="6" s="1"/>
  <c r="AA375" i="6"/>
  <c r="AF375" i="6" s="1"/>
  <c r="AC404" i="6"/>
  <c r="AA404" i="6"/>
  <c r="AF404" i="6" s="1"/>
  <c r="AA3" i="6"/>
  <c r="AF3" i="6" s="1"/>
  <c r="AA5" i="6"/>
  <c r="AF5" i="6" s="1"/>
  <c r="AA7" i="6"/>
  <c r="AF7" i="6" s="1"/>
  <c r="AA9" i="6"/>
  <c r="AF9" i="6" s="1"/>
  <c r="AA11" i="6"/>
  <c r="AF11" i="6" s="1"/>
  <c r="AA13" i="6"/>
  <c r="AF13" i="6" s="1"/>
  <c r="AA180" i="6"/>
  <c r="AF180" i="6" s="1"/>
  <c r="AA182" i="6"/>
  <c r="AF182" i="6" s="1"/>
  <c r="AC211" i="6"/>
  <c r="AC250" i="6"/>
  <c r="AA250" i="6"/>
  <c r="AF250" i="6" s="1"/>
  <c r="AA282" i="6"/>
  <c r="AF282" i="6" s="1"/>
  <c r="AA327" i="6"/>
  <c r="AF327" i="6" s="1"/>
  <c r="AC330" i="6"/>
  <c r="AC386" i="6"/>
  <c r="AA386" i="6"/>
  <c r="AF386" i="6" s="1"/>
  <c r="AC390" i="6"/>
  <c r="AA390" i="6"/>
  <c r="AF390" i="6" s="1"/>
  <c r="AC394" i="6"/>
  <c r="AA394" i="6"/>
  <c r="AF394" i="6" s="1"/>
  <c r="AC199" i="6"/>
  <c r="AA199" i="6"/>
  <c r="AF199" i="6" s="1"/>
  <c r="AC276" i="6"/>
  <c r="AA276" i="6"/>
  <c r="AF276" i="6" s="1"/>
  <c r="AA354" i="6"/>
  <c r="AF354" i="6" s="1"/>
  <c r="AC398" i="6"/>
  <c r="AA398" i="6"/>
  <c r="AF398" i="6" s="1"/>
  <c r="AC408" i="6"/>
  <c r="AA408" i="6"/>
  <c r="AF408" i="6" s="1"/>
  <c r="AA411" i="6"/>
  <c r="AF411" i="6" s="1"/>
  <c r="AA415" i="6"/>
  <c r="AF415" i="6" s="1"/>
  <c r="AA419" i="6"/>
  <c r="AF419" i="6" s="1"/>
  <c r="AC239" i="6"/>
  <c r="AA239" i="6"/>
  <c r="AF239" i="6" s="1"/>
  <c r="AC331" i="6"/>
  <c r="AA331" i="6"/>
  <c r="AF331" i="6" s="1"/>
  <c r="AC335" i="6"/>
  <c r="AA335" i="6"/>
  <c r="AF335" i="6" s="1"/>
  <c r="AC345" i="6"/>
  <c r="AA345" i="6"/>
  <c r="AE345" i="6" s="1"/>
  <c r="AF345" i="6" s="1"/>
  <c r="AC402" i="6"/>
  <c r="AA402" i="6"/>
  <c r="AF402" i="6" s="1"/>
  <c r="AA212" i="6"/>
  <c r="AF212" i="6" s="1"/>
  <c r="AA266" i="6"/>
  <c r="AF266" i="6" s="1"/>
  <c r="AA215" i="6"/>
  <c r="AF215" i="6" s="1"/>
  <c r="AA339" i="6"/>
  <c r="AF339" i="6" s="1"/>
  <c r="AA341" i="6"/>
  <c r="AF341" i="6" s="1"/>
  <c r="AA343" i="6"/>
  <c r="AF343" i="6" s="1"/>
  <c r="AA366" i="6"/>
  <c r="AF366" i="6" s="1"/>
  <c r="AA378" i="6"/>
  <c r="AF378" i="6" s="1"/>
  <c r="AA380" i="6"/>
  <c r="AF380" i="6" s="1"/>
  <c r="AA382" i="6"/>
  <c r="AF382" i="6" s="1"/>
  <c r="AA384" i="6"/>
  <c r="AF384" i="6" s="1"/>
  <c r="AA185" i="6"/>
  <c r="AE185" i="6" s="1"/>
  <c r="AF185" i="6" s="1"/>
  <c r="AA204" i="6"/>
  <c r="AF204" i="6" s="1"/>
  <c r="AA217" i="6"/>
  <c r="AF217" i="6" s="1"/>
  <c r="AA222" i="6"/>
  <c r="AF222" i="6" s="1"/>
  <c r="AA224" i="6"/>
  <c r="AF224" i="6" s="1"/>
  <c r="AA263" i="6"/>
  <c r="AF263" i="6" s="1"/>
  <c r="AA265" i="6"/>
  <c r="AF265" i="6" s="1"/>
  <c r="AA269" i="6"/>
  <c r="AF269" i="6" s="1"/>
  <c r="AA279" i="6"/>
  <c r="AF279" i="6" s="1"/>
  <c r="AA281" i="6"/>
  <c r="AF281" i="6" s="1"/>
  <c r="AA288" i="6"/>
  <c r="AF288" i="6" s="1"/>
  <c r="AA368" i="6"/>
  <c r="AF368" i="6" s="1"/>
  <c r="AA370" i="6"/>
  <c r="AF370" i="6" s="1"/>
  <c r="AA372" i="6"/>
  <c r="AF372" i="6" s="1"/>
  <c r="AA374" i="6"/>
  <c r="AF374" i="6" s="1"/>
  <c r="AA376" i="6"/>
  <c r="AF376" i="6" s="1"/>
  <c r="AA410" i="6"/>
  <c r="AF410" i="6" s="1"/>
  <c r="AA412" i="6"/>
  <c r="AF412" i="6" s="1"/>
  <c r="AA414" i="6"/>
  <c r="AF414" i="6" s="1"/>
  <c r="AA416" i="6"/>
  <c r="AF416" i="6" s="1"/>
  <c r="AA418" i="6"/>
  <c r="AF418" i="6" s="1"/>
  <c r="AA420" i="6"/>
  <c r="AF420" i="6" s="1"/>
  <c r="AA246" i="6"/>
  <c r="AF246" i="6" s="1"/>
  <c r="AA267" i="6"/>
  <c r="AF267" i="6" s="1"/>
  <c r="AA305" i="6"/>
  <c r="AF305" i="6" s="1"/>
  <c r="AA328" i="6"/>
  <c r="AF328" i="6" s="1"/>
  <c r="BA1740" i="6"/>
  <c r="AZ1740" i="6" s="1"/>
  <c r="AY1740" i="6"/>
  <c r="BC1740" i="6" s="1"/>
  <c r="AX1740" i="6"/>
  <c r="BA1747" i="6"/>
  <c r="AZ1747" i="6" s="1"/>
  <c r="AY1747" i="6"/>
  <c r="BC1747" i="6" s="1"/>
  <c r="AX1747" i="6"/>
  <c r="BA1759" i="6"/>
  <c r="AZ1759" i="6" s="1"/>
  <c r="AY1759" i="6"/>
  <c r="BC1759" i="6" s="1"/>
  <c r="AX1759" i="6"/>
  <c r="AX1741" i="6"/>
  <c r="BA1741" i="6"/>
  <c r="AZ1741" i="6" s="1"/>
  <c r="BA1767" i="6"/>
  <c r="AZ1767" i="6" s="1"/>
  <c r="AY1767" i="6"/>
  <c r="BC1767" i="6" s="1"/>
  <c r="AX1767" i="6"/>
  <c r="AY1741" i="6"/>
  <c r="BC1741" i="6" s="1"/>
  <c r="BA1781" i="6"/>
  <c r="AZ1781" i="6" s="1"/>
  <c r="AY1781" i="6"/>
  <c r="BC1781" i="6" s="1"/>
  <c r="AY1746" i="6"/>
  <c r="BC1746" i="6" s="1"/>
  <c r="AX1746" i="6"/>
  <c r="AY1766" i="6"/>
  <c r="BC1766" i="6" s="1"/>
  <c r="AX1766" i="6"/>
  <c r="BA1766" i="6"/>
  <c r="AZ1766" i="6" s="1"/>
  <c r="AY1770" i="6"/>
  <c r="BC1770" i="6" s="1"/>
  <c r="AX1770" i="6"/>
  <c r="BA1770" i="6"/>
  <c r="AZ1770" i="6" s="1"/>
  <c r="AY1774" i="6"/>
  <c r="BC1774" i="6" s="1"/>
  <c r="AX1774" i="6"/>
  <c r="BA1774" i="6"/>
  <c r="AZ1774" i="6" s="1"/>
  <c r="AX1781" i="6"/>
  <c r="AY1748" i="6"/>
  <c r="BC1748" i="6" s="1"/>
  <c r="AX1748" i="6"/>
  <c r="BA1749" i="6"/>
  <c r="AZ1749" i="6" s="1"/>
  <c r="AY1749" i="6"/>
  <c r="BC1749" i="6" s="1"/>
  <c r="AX1749" i="6"/>
  <c r="BA1771" i="6"/>
  <c r="AZ1771" i="6" s="1"/>
  <c r="AY1771" i="6"/>
  <c r="BC1771" i="6" s="1"/>
  <c r="AX1771" i="6"/>
  <c r="BA1778" i="6"/>
  <c r="AZ1778" i="6" s="1"/>
  <c r="AY1778" i="6"/>
  <c r="BC1778" i="6" s="1"/>
  <c r="BA1784" i="6"/>
  <c r="AZ1784" i="6" s="1"/>
  <c r="AY1784" i="6"/>
  <c r="BC1784" i="6" s="1"/>
  <c r="AY1791" i="6"/>
  <c r="BC1791" i="6" s="1"/>
  <c r="AX1791" i="6"/>
  <c r="BA1791" i="6"/>
  <c r="AZ1791" i="6" s="1"/>
  <c r="BA1777" i="6"/>
  <c r="AZ1777" i="6" s="1"/>
  <c r="AY1777" i="6"/>
  <c r="BC1777" i="6" s="1"/>
  <c r="BA1780" i="6"/>
  <c r="AZ1780" i="6" s="1"/>
  <c r="AY1780" i="6"/>
  <c r="BC1780" i="6" s="1"/>
  <c r="BA1790" i="6"/>
  <c r="AZ1790" i="6" s="1"/>
  <c r="AY1790" i="6"/>
  <c r="BC1790" i="6" s="1"/>
  <c r="AX1790" i="6"/>
  <c r="AY1739" i="6"/>
  <c r="BC1739" i="6" s="1"/>
  <c r="AX1739" i="6"/>
  <c r="AY1752" i="6"/>
  <c r="BC1752" i="6" s="1"/>
  <c r="AX1752" i="6"/>
  <c r="BA1753" i="6"/>
  <c r="AZ1753" i="6" s="1"/>
  <c r="AY1753" i="6"/>
  <c r="BC1753" i="6" s="1"/>
  <c r="AX1753" i="6"/>
  <c r="BA1765" i="6"/>
  <c r="AZ1765" i="6" s="1"/>
  <c r="AY1765" i="6"/>
  <c r="BC1765" i="6" s="1"/>
  <c r="AX1765" i="6"/>
  <c r="BA1769" i="6"/>
  <c r="AZ1769" i="6" s="1"/>
  <c r="AY1769" i="6"/>
  <c r="BC1769" i="6" s="1"/>
  <c r="AX1769" i="6"/>
  <c r="BA1773" i="6"/>
  <c r="AZ1773" i="6" s="1"/>
  <c r="AY1773" i="6"/>
  <c r="BC1773" i="6" s="1"/>
  <c r="AX1773" i="6"/>
  <c r="BA1783" i="6"/>
  <c r="AZ1783" i="6" s="1"/>
  <c r="AY1783" i="6"/>
  <c r="BC1783" i="6" s="1"/>
  <c r="AY1794" i="6"/>
  <c r="BC1794" i="6" s="1"/>
  <c r="AX1794" i="6"/>
  <c r="BA1794" i="6"/>
  <c r="AZ1794" i="6" s="1"/>
  <c r="BA1742" i="6"/>
  <c r="AZ1742" i="6" s="1"/>
  <c r="AY1742" i="6"/>
  <c r="BC1742" i="6" s="1"/>
  <c r="AX1743" i="6"/>
  <c r="AY1762" i="6"/>
  <c r="BC1762" i="6" s="1"/>
  <c r="AX1762" i="6"/>
  <c r="BA1762" i="6"/>
  <c r="AZ1762" i="6" s="1"/>
  <c r="BA1776" i="6"/>
  <c r="AZ1776" i="6" s="1"/>
  <c r="AY1776" i="6"/>
  <c r="BC1776" i="6" s="1"/>
  <c r="AX1783" i="6"/>
  <c r="BA1775" i="6"/>
  <c r="AZ1775" i="6" s="1"/>
  <c r="AY1775" i="6"/>
  <c r="BC1775" i="6" s="1"/>
  <c r="AY1744" i="6"/>
  <c r="BC1744" i="6" s="1"/>
  <c r="AX1744" i="6"/>
  <c r="BA1745" i="6"/>
  <c r="AZ1745" i="6" s="1"/>
  <c r="AY1745" i="6"/>
  <c r="BC1745" i="6" s="1"/>
  <c r="AX1745" i="6"/>
  <c r="BA1789" i="6"/>
  <c r="AZ1789" i="6" s="1"/>
  <c r="AX1789" i="6"/>
  <c r="AY1789" i="6"/>
  <c r="BC1789" i="6" s="1"/>
  <c r="BA1739" i="6"/>
  <c r="AZ1739" i="6" s="1"/>
  <c r="BA1743" i="6"/>
  <c r="AZ1743" i="6" s="1"/>
  <c r="BA1744" i="6"/>
  <c r="AZ1744" i="6" s="1"/>
  <c r="AY1750" i="6"/>
  <c r="BC1750" i="6" s="1"/>
  <c r="AX1750" i="6"/>
  <c r="BA1751" i="6"/>
  <c r="AZ1751" i="6" s="1"/>
  <c r="AY1751" i="6"/>
  <c r="BC1751" i="6" s="1"/>
  <c r="AX1751" i="6"/>
  <c r="BA1752" i="6"/>
  <c r="AZ1752" i="6" s="1"/>
  <c r="AY1764" i="6"/>
  <c r="BC1764" i="6" s="1"/>
  <c r="AX1764" i="6"/>
  <c r="BA1764" i="6"/>
  <c r="AZ1764" i="6" s="1"/>
  <c r="AY1768" i="6"/>
  <c r="BC1768" i="6" s="1"/>
  <c r="AX1768" i="6"/>
  <c r="BA1768" i="6"/>
  <c r="AZ1768" i="6" s="1"/>
  <c r="AY1772" i="6"/>
  <c r="BC1772" i="6" s="1"/>
  <c r="AX1772" i="6"/>
  <c r="BA1772" i="6"/>
  <c r="AZ1772" i="6" s="1"/>
  <c r="BA1779" i="6"/>
  <c r="AZ1779" i="6" s="1"/>
  <c r="AY1779" i="6"/>
  <c r="BC1779" i="6" s="1"/>
  <c r="BA1782" i="6"/>
  <c r="AZ1782" i="6" s="1"/>
  <c r="AY1782" i="6"/>
  <c r="BC1782" i="6" s="1"/>
  <c r="BA1785" i="6"/>
  <c r="AZ1785" i="6" s="1"/>
  <c r="AX1785" i="6"/>
  <c r="AY1785" i="6"/>
  <c r="BC1785" i="6" s="1"/>
  <c r="BA1793" i="6"/>
  <c r="AZ1793" i="6" s="1"/>
  <c r="AX1793" i="6"/>
  <c r="AY1793" i="6"/>
  <c r="BC1793" i="6" s="1"/>
  <c r="AY1760" i="6"/>
  <c r="BC1760" i="6" s="1"/>
  <c r="AX1760" i="6"/>
  <c r="BA1787" i="6"/>
  <c r="AZ1787" i="6" s="1"/>
  <c r="AX1787" i="6"/>
  <c r="AY1787" i="6"/>
  <c r="BC1787" i="6" s="1"/>
  <c r="BA1761" i="6"/>
  <c r="AZ1761" i="6" s="1"/>
  <c r="AY1761" i="6"/>
  <c r="BC1761" i="6" s="1"/>
  <c r="AX1761" i="6"/>
  <c r="BA1788" i="6"/>
  <c r="AZ1788" i="6" s="1"/>
  <c r="AY1788" i="6"/>
  <c r="BC1788" i="6" s="1"/>
  <c r="BA1792" i="6"/>
  <c r="AZ1792" i="6" s="1"/>
  <c r="AY1792" i="6"/>
  <c r="BC1792" i="6" s="1"/>
  <c r="AX1792" i="6"/>
  <c r="AF1" i="7" l="1"/>
  <c r="AA1" i="7"/>
  <c r="AE28" i="8"/>
  <c r="AF28" i="8" s="1"/>
  <c r="AE27" i="8"/>
  <c r="AF27" i="8" s="1"/>
  <c r="AE26" i="8"/>
  <c r="AF26" i="8" s="1"/>
  <c r="AE25" i="8"/>
  <c r="AF25" i="8" s="1"/>
  <c r="AE24" i="8"/>
  <c r="AF24" i="8" s="1"/>
  <c r="AE23" i="8"/>
  <c r="AF23" i="8" s="1"/>
  <c r="AE22" i="8"/>
  <c r="AF22" i="8" s="1"/>
  <c r="AE21" i="8"/>
  <c r="AF21" i="8" s="1"/>
  <c r="AE20" i="8"/>
  <c r="AF20" i="8" s="1"/>
  <c r="AE19" i="8"/>
  <c r="AF19" i="8" s="1"/>
  <c r="AE18" i="8"/>
  <c r="AF18" i="8" s="1"/>
  <c r="AE17" i="8"/>
  <c r="AF17" i="8" s="1"/>
  <c r="AE16" i="8"/>
  <c r="AF16" i="8" s="1"/>
  <c r="AE15" i="8"/>
  <c r="AF15" i="8" s="1"/>
  <c r="AE14" i="8"/>
  <c r="AF14" i="8" s="1"/>
  <c r="AE13" i="8"/>
  <c r="AF13" i="8" s="1"/>
  <c r="AE12" i="8"/>
  <c r="AF12" i="8" s="1"/>
  <c r="AE11" i="8"/>
  <c r="AF11" i="8" s="1"/>
  <c r="AE10" i="8"/>
  <c r="AF10" i="8" s="1"/>
  <c r="AF9" i="8"/>
  <c r="AE9" i="8"/>
  <c r="AE8" i="8"/>
  <c r="AF8" i="8" s="1"/>
  <c r="AE7" i="8"/>
  <c r="AF7" i="8" s="1"/>
  <c r="AE6" i="8"/>
  <c r="AF6" i="8" s="1"/>
  <c r="AE5" i="8"/>
  <c r="AF5" i="8" s="1"/>
  <c r="AE4" i="8"/>
  <c r="AF4" i="8" s="1"/>
  <c r="AE3" i="8"/>
  <c r="AF3" i="8" s="1"/>
  <c r="AE2" i="8"/>
  <c r="AF2" i="8" s="1"/>
  <c r="AA28" i="8"/>
  <c r="AD28" i="8" s="1"/>
  <c r="Z28" i="8"/>
  <c r="Y28" i="8"/>
  <c r="AA27" i="8"/>
  <c r="AD27" i="8" s="1"/>
  <c r="Z27" i="8"/>
  <c r="Y27" i="8"/>
  <c r="AA26" i="8"/>
  <c r="AD26" i="8" s="1"/>
  <c r="Z26" i="8"/>
  <c r="Y26" i="8"/>
  <c r="AA25" i="8"/>
  <c r="AD25" i="8" s="1"/>
  <c r="Z25" i="8"/>
  <c r="Y25" i="8"/>
  <c r="AA24" i="8"/>
  <c r="AD24" i="8" s="1"/>
  <c r="Z24" i="8"/>
  <c r="Y24" i="8"/>
  <c r="AA23" i="8"/>
  <c r="AD23" i="8" s="1"/>
  <c r="Z23" i="8"/>
  <c r="Y23" i="8"/>
  <c r="AA22" i="8"/>
  <c r="AD22" i="8" s="1"/>
  <c r="Z22" i="8"/>
  <c r="Y22" i="8"/>
  <c r="AA21" i="8"/>
  <c r="AD21" i="8" s="1"/>
  <c r="Z21" i="8"/>
  <c r="Y21" i="8"/>
  <c r="AA20" i="8"/>
  <c r="AD20" i="8" s="1"/>
  <c r="Z20" i="8"/>
  <c r="Y20" i="8"/>
  <c r="AA19" i="8"/>
  <c r="AD19" i="8" s="1"/>
  <c r="Z19" i="8"/>
  <c r="Y19" i="8"/>
  <c r="AA18" i="8"/>
  <c r="AD18" i="8" s="1"/>
  <c r="Z18" i="8"/>
  <c r="Y18" i="8"/>
  <c r="AA17" i="8"/>
  <c r="AD17" i="8" s="1"/>
  <c r="Z17" i="8"/>
  <c r="Y17" i="8"/>
  <c r="AA16" i="8"/>
  <c r="AD16" i="8" s="1"/>
  <c r="Z16" i="8"/>
  <c r="Y16" i="8"/>
  <c r="AA15" i="8"/>
  <c r="AD15" i="8" s="1"/>
  <c r="Z15" i="8"/>
  <c r="Y15" i="8"/>
  <c r="AA14" i="8"/>
  <c r="AD14" i="8" s="1"/>
  <c r="Z14" i="8"/>
  <c r="Y14" i="8"/>
  <c r="AA13" i="8"/>
  <c r="AD13" i="8" s="1"/>
  <c r="Z13" i="8"/>
  <c r="Y13" i="8"/>
  <c r="AA12" i="8"/>
  <c r="AD12" i="8" s="1"/>
  <c r="Z12" i="8"/>
  <c r="Y12" i="8"/>
  <c r="AA11" i="8"/>
  <c r="AD11" i="8" s="1"/>
  <c r="Z11" i="8"/>
  <c r="Y11" i="8"/>
  <c r="AA10" i="8"/>
  <c r="AD10" i="8" s="1"/>
  <c r="Z10" i="8"/>
  <c r="Y10" i="8"/>
  <c r="AA9" i="8"/>
  <c r="AD9" i="8" s="1"/>
  <c r="Z9" i="8"/>
  <c r="Y9" i="8"/>
  <c r="AA8" i="8"/>
  <c r="AD8" i="8" s="1"/>
  <c r="Z8" i="8"/>
  <c r="Y8" i="8"/>
  <c r="AA7" i="8"/>
  <c r="AD7" i="8" s="1"/>
  <c r="Z7" i="8"/>
  <c r="Y7" i="8"/>
  <c r="AA6" i="8"/>
  <c r="AD6" i="8" s="1"/>
  <c r="Z6" i="8"/>
  <c r="Y6" i="8"/>
  <c r="AA5" i="8"/>
  <c r="AD5" i="8" s="1"/>
  <c r="Z5" i="8"/>
  <c r="Y5" i="8"/>
  <c r="AA4" i="8"/>
  <c r="AD4" i="8" s="1"/>
  <c r="Z4" i="8"/>
  <c r="Y4" i="8"/>
  <c r="AA3" i="8"/>
  <c r="AD3" i="8" s="1"/>
  <c r="Z3" i="8"/>
  <c r="Y3" i="8"/>
  <c r="AA2" i="8"/>
  <c r="AD2" i="8" s="1"/>
  <c r="Z2" i="8"/>
  <c r="Y2" i="8"/>
  <c r="V28" i="8"/>
  <c r="V27" i="8"/>
  <c r="V26" i="8"/>
  <c r="V25" i="8"/>
  <c r="V24" i="8"/>
  <c r="V23" i="8"/>
  <c r="V22" i="8"/>
  <c r="V21" i="8"/>
  <c r="V20" i="8"/>
  <c r="V19" i="8"/>
  <c r="V18" i="8"/>
  <c r="V17" i="8"/>
  <c r="V16" i="8"/>
  <c r="V15" i="8"/>
  <c r="V14" i="8"/>
  <c r="V13" i="8"/>
  <c r="V12" i="8"/>
  <c r="V11" i="8"/>
  <c r="V10" i="8"/>
  <c r="V9" i="8"/>
  <c r="V8" i="8"/>
  <c r="V7" i="8"/>
  <c r="V6" i="8"/>
  <c r="V5" i="8"/>
  <c r="V4" i="8"/>
  <c r="V3" i="8"/>
  <c r="V2" i="8"/>
  <c r="T28" i="8"/>
  <c r="T27" i="8"/>
  <c r="T26" i="8"/>
  <c r="T25" i="8"/>
  <c r="T24" i="8"/>
  <c r="T23" i="8"/>
  <c r="T22" i="8"/>
  <c r="T21" i="8"/>
  <c r="T20" i="8"/>
  <c r="T19" i="8"/>
  <c r="T18" i="8"/>
  <c r="T17" i="8"/>
  <c r="T16" i="8"/>
  <c r="T15" i="8"/>
  <c r="T14" i="8"/>
  <c r="T13" i="8"/>
  <c r="T12" i="8"/>
  <c r="T11" i="8"/>
  <c r="T10" i="8"/>
  <c r="T9" i="8"/>
  <c r="T8" i="8"/>
  <c r="T7" i="8"/>
  <c r="T6" i="8"/>
  <c r="T5" i="8"/>
  <c r="T4" i="8"/>
  <c r="T3" i="8"/>
  <c r="T2" i="8"/>
  <c r="AV1539" i="6" l="1"/>
  <c r="AW1539" i="6" s="1" a="1"/>
  <c r="AW1539" i="6" s="1"/>
  <c r="BA1539" i="6" l="1"/>
  <c r="AZ1539" i="6" s="1"/>
  <c r="AY1539" i="6"/>
  <c r="BC1539" i="6" s="1"/>
  <c r="AX1539" i="6"/>
  <c r="AV166" i="6" l="1"/>
  <c r="AW166" i="6" s="1" a="1"/>
  <c r="AW166" i="6" s="1"/>
  <c r="AV53" i="6"/>
  <c r="AW53" i="6" s="1" a="1"/>
  <c r="AW53" i="6" s="1"/>
  <c r="AV589" i="6"/>
  <c r="AW589" i="6" s="1" a="1"/>
  <c r="AW589" i="6" s="1"/>
  <c r="AV1658" i="6"/>
  <c r="AW1658" i="6" s="1" a="1"/>
  <c r="AW1658" i="6" s="1"/>
  <c r="AY1658" i="6" s="1"/>
  <c r="BC1658" i="6" s="1"/>
  <c r="AV1544" i="6"/>
  <c r="AW1544" i="6" s="1" a="1"/>
  <c r="AW1544" i="6" s="1"/>
  <c r="AV779" i="6"/>
  <c r="AW779" i="6" s="1" a="1"/>
  <c r="AW779" i="6" s="1"/>
  <c r="BA779" i="6" s="1"/>
  <c r="AZ779" i="6" s="1"/>
  <c r="AV560" i="6"/>
  <c r="AW560" i="6" s="1" a="1"/>
  <c r="AW560" i="6" s="1"/>
  <c r="AV938" i="6"/>
  <c r="AW938" i="6" s="1" a="1"/>
  <c r="AW938" i="6" s="1"/>
  <c r="AX938" i="6" s="1"/>
  <c r="AV243" i="6"/>
  <c r="AW243" i="6" s="1" a="1"/>
  <c r="AW243" i="6" s="1"/>
  <c r="AV247" i="6"/>
  <c r="AW247" i="6" s="1" a="1"/>
  <c r="AW247" i="6" s="1"/>
  <c r="AV490" i="6"/>
  <c r="AW490" i="6" s="1" a="1"/>
  <c r="AW490" i="6" s="1"/>
  <c r="AV1592" i="6"/>
  <c r="AW1592" i="6" s="1" a="1"/>
  <c r="AW1592" i="6" s="1"/>
  <c r="AV766" i="6"/>
  <c r="AW766" i="6" s="1" a="1"/>
  <c r="AW766" i="6" s="1"/>
  <c r="AV1047" i="6"/>
  <c r="AW1047" i="6" s="1" a="1"/>
  <c r="AW1047" i="6" s="1"/>
  <c r="AV1046" i="6"/>
  <c r="AW1046" i="6" s="1" a="1"/>
  <c r="AW1046" i="6" s="1"/>
  <c r="AV442" i="6"/>
  <c r="AW442" i="6" s="1" a="1"/>
  <c r="AW442" i="6" s="1"/>
  <c r="AV489" i="6"/>
  <c r="AW489" i="6" s="1" a="1"/>
  <c r="AW489" i="6" s="1"/>
  <c r="AV488" i="6"/>
  <c r="AW488" i="6" s="1" a="1"/>
  <c r="AW488" i="6" s="1"/>
  <c r="AV1452" i="6"/>
  <c r="AW1452" i="6" s="1" a="1"/>
  <c r="AW1452" i="6" s="1"/>
  <c r="AV1451" i="6"/>
  <c r="AW1451" i="6" s="1" a="1"/>
  <c r="AW1451" i="6" s="1"/>
  <c r="AV1087" i="6"/>
  <c r="AW1087" i="6" s="1" a="1"/>
  <c r="AW1087" i="6" s="1"/>
  <c r="AV91" i="6"/>
  <c r="AW91" i="6" s="1" a="1"/>
  <c r="AW91" i="6" s="1"/>
  <c r="AY91" i="6" s="1"/>
  <c r="BC91" i="6" s="1"/>
  <c r="AV1208" i="6"/>
  <c r="AW1208" i="6" s="1" a="1"/>
  <c r="AW1208" i="6" s="1"/>
  <c r="AV1180" i="6"/>
  <c r="AW1180" i="6" s="1" a="1"/>
  <c r="AW1180" i="6" s="1"/>
  <c r="AV1055" i="6"/>
  <c r="AW1055" i="6" s="1" a="1"/>
  <c r="AW1055" i="6" s="1"/>
  <c r="AV978" i="6"/>
  <c r="AW978" i="6" s="1" a="1"/>
  <c r="AW978" i="6" s="1"/>
  <c r="AV1375" i="6"/>
  <c r="AW1375" i="6" s="1" a="1"/>
  <c r="AW1375" i="6" s="1"/>
  <c r="AY1375" i="6" s="1"/>
  <c r="BC1375" i="6" s="1"/>
  <c r="AV1588" i="6"/>
  <c r="AW1588" i="6" s="1" a="1"/>
  <c r="AW1588" i="6" s="1"/>
  <c r="AV342" i="6"/>
  <c r="AW342" i="6" s="1" a="1"/>
  <c r="AW342" i="6" s="1"/>
  <c r="AV392" i="6"/>
  <c r="AW392" i="6" s="1" a="1"/>
  <c r="AW392" i="6" s="1"/>
  <c r="AV1454" i="6"/>
  <c r="AW1454" i="6" s="1" a="1"/>
  <c r="AW1454" i="6" s="1"/>
  <c r="AV1453" i="6"/>
  <c r="AW1453" i="6" s="1" a="1"/>
  <c r="AW1453" i="6" s="1"/>
  <c r="AV418" i="6"/>
  <c r="AW418" i="6" s="1" a="1"/>
  <c r="AW418" i="6" s="1"/>
  <c r="AY418" i="6" s="1"/>
  <c r="BC418" i="6" s="1"/>
  <c r="AV248" i="6"/>
  <c r="AW248" i="6" s="1" a="1"/>
  <c r="AW248" i="6" s="1"/>
  <c r="AY248" i="6" s="1"/>
  <c r="BC248" i="6" s="1"/>
  <c r="AV529" i="6"/>
  <c r="AW529" i="6" s="1" a="1"/>
  <c r="AW529" i="6" s="1"/>
  <c r="AV1016" i="6"/>
  <c r="AW1016" i="6" s="1" a="1"/>
  <c r="AW1016" i="6" s="1"/>
  <c r="AV353" i="6"/>
  <c r="AW353" i="6" s="1" a="1"/>
  <c r="AW353" i="6" s="1"/>
  <c r="AV1246" i="6"/>
  <c r="AW1246" i="6" s="1" a="1"/>
  <c r="AW1246" i="6" s="1"/>
  <c r="AY1246" i="6" s="1"/>
  <c r="BC1246" i="6" s="1"/>
  <c r="AV325" i="6"/>
  <c r="AW325" i="6" s="1" a="1"/>
  <c r="AW325" i="6" s="1"/>
  <c r="AV1211" i="6"/>
  <c r="AW1211" i="6" s="1" a="1"/>
  <c r="AW1211" i="6" s="1"/>
  <c r="AV459" i="6"/>
  <c r="AW459" i="6" s="1" a="1"/>
  <c r="AW459" i="6" s="1"/>
  <c r="AV106" i="6"/>
  <c r="AW106" i="6" s="1" a="1"/>
  <c r="AW106" i="6" s="1"/>
  <c r="BA106" i="6" s="1"/>
  <c r="AZ106" i="6" s="1"/>
  <c r="AV1394" i="6"/>
  <c r="AW1394" i="6" s="1" a="1"/>
  <c r="AW1394" i="6" s="1"/>
  <c r="AV359" i="6"/>
  <c r="AW359" i="6" s="1" a="1"/>
  <c r="AW359" i="6" s="1"/>
  <c r="AY359" i="6" s="1"/>
  <c r="BC359" i="6" s="1"/>
  <c r="AV1082" i="6"/>
  <c r="AW1082" i="6" s="1" a="1"/>
  <c r="AW1082" i="6" s="1"/>
  <c r="AX1082" i="6" s="1"/>
  <c r="AV810" i="6"/>
  <c r="AW810" i="6" s="1" a="1"/>
  <c r="AW810" i="6" s="1"/>
  <c r="AY810" i="6" s="1"/>
  <c r="BC810" i="6" s="1"/>
  <c r="AV1427" i="6"/>
  <c r="AW1427" i="6" s="1" a="1"/>
  <c r="AW1427" i="6" s="1"/>
  <c r="AY1427" i="6" s="1"/>
  <c r="BC1427" i="6" s="1"/>
  <c r="AV1555" i="6"/>
  <c r="AW1555" i="6" s="1" a="1"/>
  <c r="AW1555" i="6" s="1"/>
  <c r="BA1555" i="6" s="1"/>
  <c r="AZ1555" i="6" s="1"/>
  <c r="AV341" i="6"/>
  <c r="AW341" i="6" s="1" a="1"/>
  <c r="AW341" i="6" s="1"/>
  <c r="BA341" i="6" s="1"/>
  <c r="AZ341" i="6" s="1"/>
  <c r="AV1425" i="6"/>
  <c r="AW1425" i="6" s="1" a="1"/>
  <c r="AW1425" i="6" s="1"/>
  <c r="AV661" i="6"/>
  <c r="AW661" i="6" s="1" a="1"/>
  <c r="AW661" i="6" s="1"/>
  <c r="AV817" i="6"/>
  <c r="AW817" i="6" s="1" a="1"/>
  <c r="AW817" i="6" s="1"/>
  <c r="AV1171" i="6"/>
  <c r="AW1171" i="6" s="1" a="1"/>
  <c r="AW1171" i="6" s="1"/>
  <c r="AV1033" i="6"/>
  <c r="AW1033" i="6" s="1" a="1"/>
  <c r="AW1033" i="6" s="1"/>
  <c r="AY1033" i="6" s="1"/>
  <c r="BC1033" i="6" s="1"/>
  <c r="AV230" i="6"/>
  <c r="AW230" i="6" s="1" a="1"/>
  <c r="AW230" i="6" s="1"/>
  <c r="AV229" i="6"/>
  <c r="AW229" i="6" s="1" a="1"/>
  <c r="AW229" i="6" s="1"/>
  <c r="AV228" i="6"/>
  <c r="AW228" i="6" s="1" a="1"/>
  <c r="AW228" i="6" s="1"/>
  <c r="AV911" i="6"/>
  <c r="AW911" i="6" s="1" a="1"/>
  <c r="AW911" i="6" s="1"/>
  <c r="AX911" i="6" s="1"/>
  <c r="AV496" i="6"/>
  <c r="AW496" i="6" s="1" a="1"/>
  <c r="AW496" i="6" s="1"/>
  <c r="AY496" i="6" s="1"/>
  <c r="BC496" i="6" s="1"/>
  <c r="AV227" i="6"/>
  <c r="AW227" i="6" s="1" a="1"/>
  <c r="AW227" i="6" s="1"/>
  <c r="AV224" i="6"/>
  <c r="AW224" i="6" s="1" a="1"/>
  <c r="AW224" i="6" s="1"/>
  <c r="AV1169" i="6"/>
  <c r="AW1169" i="6" s="1" a="1"/>
  <c r="AW1169" i="6" s="1"/>
  <c r="AV534" i="6"/>
  <c r="AW534" i="6" s="1" a="1"/>
  <c r="AW534" i="6" s="1"/>
  <c r="AV236" i="6"/>
  <c r="AW236" i="6" s="1" a="1"/>
  <c r="AW236" i="6" s="1"/>
  <c r="AV495" i="6"/>
  <c r="AW495" i="6" s="1" a="1"/>
  <c r="AW495" i="6" s="1"/>
  <c r="AX495" i="6" s="1"/>
  <c r="AV664" i="6"/>
  <c r="AW664" i="6" s="1" a="1"/>
  <c r="AW664" i="6" s="1"/>
  <c r="AY664" i="6" s="1"/>
  <c r="BC664" i="6" s="1"/>
  <c r="AV1024" i="6"/>
  <c r="AW1024" i="6" s="1" a="1"/>
  <c r="AW1024" i="6" s="1"/>
  <c r="AV703" i="6"/>
  <c r="AW703" i="6" s="1" a="1"/>
  <c r="AW703" i="6" s="1"/>
  <c r="BA703" i="6" s="1"/>
  <c r="AZ703" i="6" s="1"/>
  <c r="AV666" i="6"/>
  <c r="AW666" i="6" s="1" a="1"/>
  <c r="AW666" i="6" s="1"/>
  <c r="AV487" i="6"/>
  <c r="AW487" i="6" s="1" a="1"/>
  <c r="AW487" i="6" s="1"/>
  <c r="BA487" i="6" s="1"/>
  <c r="AZ487" i="6" s="1"/>
  <c r="AV679" i="6"/>
  <c r="AW679" i="6" s="1" a="1"/>
  <c r="AW679" i="6" s="1"/>
  <c r="AV691" i="6"/>
  <c r="AW691" i="6" s="1" a="1"/>
  <c r="AW691" i="6" s="1"/>
  <c r="BA691" i="6" s="1"/>
  <c r="AZ691" i="6" s="1"/>
  <c r="AV1476" i="6"/>
  <c r="AW1476" i="6" s="1" a="1"/>
  <c r="AW1476" i="6" s="1"/>
  <c r="AV1379" i="6"/>
  <c r="AW1379" i="6" s="1" a="1"/>
  <c r="AW1379" i="6" s="1"/>
  <c r="AV1345" i="6"/>
  <c r="AW1345" i="6" s="1" a="1"/>
  <c r="AW1345" i="6" s="1"/>
  <c r="AV678" i="6"/>
  <c r="AW678" i="6" s="1" a="1"/>
  <c r="AW678" i="6" s="1"/>
  <c r="AV677" i="6"/>
  <c r="AW677" i="6" s="1" a="1"/>
  <c r="AW677" i="6" s="1"/>
  <c r="AV1346" i="6"/>
  <c r="AW1346" i="6" s="1" a="1"/>
  <c r="AW1346" i="6" s="1"/>
  <c r="AV364" i="6"/>
  <c r="AW364" i="6" s="1" a="1"/>
  <c r="AW364" i="6" s="1"/>
  <c r="BA364" i="6" s="1"/>
  <c r="AZ364" i="6" s="1"/>
  <c r="AV1081" i="6"/>
  <c r="AW1081" i="6" s="1" a="1"/>
  <c r="AW1081" i="6" s="1"/>
  <c r="AV494" i="6"/>
  <c r="AW494" i="6" s="1" a="1"/>
  <c r="AW494" i="6" s="1"/>
  <c r="AV363" i="6"/>
  <c r="AW363" i="6" s="1" a="1"/>
  <c r="AW363" i="6" s="1"/>
  <c r="AV639" i="6"/>
  <c r="AW639" i="6" s="1" a="1"/>
  <c r="AW639" i="6" s="1"/>
  <c r="AV1408" i="6"/>
  <c r="AW1408" i="6" s="1" a="1"/>
  <c r="AW1408" i="6" s="1"/>
  <c r="AV1396" i="6"/>
  <c r="AW1396" i="6" s="1" a="1"/>
  <c r="AW1396" i="6" s="1"/>
  <c r="AV347" i="6"/>
  <c r="AW347" i="6" s="1" a="1"/>
  <c r="AW347" i="6" s="1"/>
  <c r="AV739" i="6"/>
  <c r="AW739" i="6" s="1" a="1"/>
  <c r="AW739" i="6" s="1"/>
  <c r="AV921" i="6"/>
  <c r="AW921" i="6" s="1" a="1"/>
  <c r="AW921" i="6" s="1"/>
  <c r="BA921" i="6" s="1"/>
  <c r="AZ921" i="6" s="1"/>
  <c r="AV1331" i="6"/>
  <c r="AW1331" i="6" s="1" a="1"/>
  <c r="AW1331" i="6" s="1"/>
  <c r="AY1331" i="6" s="1"/>
  <c r="BC1331" i="6" s="1"/>
  <c r="AV1039" i="6"/>
  <c r="AW1039" i="6" s="1" a="1"/>
  <c r="AW1039" i="6" s="1"/>
  <c r="AV503" i="6"/>
  <c r="AW503" i="6" s="1" a="1"/>
  <c r="AW503" i="6" s="1"/>
  <c r="AV809" i="6"/>
  <c r="AW809" i="6" s="1" a="1"/>
  <c r="AW809" i="6" s="1"/>
  <c r="AV502" i="6"/>
  <c r="AW502" i="6" s="1" a="1"/>
  <c r="AW502" i="6" s="1"/>
  <c r="AV501" i="6"/>
  <c r="AW501" i="6" s="1" a="1"/>
  <c r="AW501" i="6" s="1"/>
  <c r="AY501" i="6" s="1"/>
  <c r="BC501" i="6" s="1"/>
  <c r="AV1094" i="6"/>
  <c r="AW1094" i="6" s="1" a="1"/>
  <c r="AW1094" i="6" s="1"/>
  <c r="AX1094" i="6" s="1"/>
  <c r="AV963" i="6"/>
  <c r="AW963" i="6" s="1" a="1"/>
  <c r="AW963" i="6" s="1"/>
  <c r="AY963" i="6" s="1"/>
  <c r="BC963" i="6" s="1"/>
  <c r="AV505" i="6"/>
  <c r="AW505" i="6" s="1" a="1"/>
  <c r="AW505" i="6" s="1"/>
  <c r="AV980" i="6"/>
  <c r="AW980" i="6" s="1" a="1"/>
  <c r="AW980" i="6" s="1"/>
  <c r="AV13" i="6"/>
  <c r="AW13" i="6" s="1" a="1"/>
  <c r="AW13" i="6" s="1"/>
  <c r="AV833" i="6"/>
  <c r="AW833" i="6" s="1" a="1"/>
  <c r="AW833" i="6" s="1"/>
  <c r="AV835" i="6"/>
  <c r="AW835" i="6" s="1" a="1"/>
  <c r="AW835" i="6" s="1"/>
  <c r="AV933" i="6"/>
  <c r="AW933" i="6" s="1" a="1"/>
  <c r="AW933" i="6" s="1"/>
  <c r="BA933" i="6" s="1"/>
  <c r="AZ933" i="6" s="1"/>
  <c r="AV104" i="6"/>
  <c r="AW104" i="6" s="1" a="1"/>
  <c r="AW104" i="6" s="1"/>
  <c r="AY104" i="6" s="1"/>
  <c r="BC104" i="6" s="1"/>
  <c r="AV105" i="6"/>
  <c r="AW105" i="6" s="1" a="1"/>
  <c r="AW105" i="6" s="1"/>
  <c r="AV981" i="6"/>
  <c r="AW981" i="6" s="1" a="1"/>
  <c r="AW981" i="6" s="1"/>
  <c r="AV982" i="6"/>
  <c r="AW982" i="6" s="1" a="1"/>
  <c r="AW982" i="6" s="1"/>
  <c r="AV511" i="6"/>
  <c r="AW511" i="6" s="1" a="1"/>
  <c r="AW511" i="6" s="1"/>
  <c r="AY511" i="6" s="1"/>
  <c r="BC511" i="6" s="1"/>
  <c r="AV508" i="6"/>
  <c r="AW508" i="6" s="1" a="1"/>
  <c r="AW508" i="6" s="1"/>
  <c r="AV905" i="6"/>
  <c r="AW905" i="6" s="1" a="1"/>
  <c r="AW905" i="6" s="1"/>
  <c r="AV506" i="6"/>
  <c r="AW506" i="6" s="1" a="1"/>
  <c r="AW506" i="6" s="1"/>
  <c r="AX506" i="6" s="1"/>
  <c r="AV507" i="6"/>
  <c r="AW507" i="6" s="1" a="1"/>
  <c r="AW507" i="6" s="1"/>
  <c r="AV1403" i="6"/>
  <c r="AW1403" i="6" s="1" a="1"/>
  <c r="AW1403" i="6" s="1"/>
  <c r="AY1403" i="6" s="1"/>
  <c r="BC1403" i="6" s="1"/>
  <c r="AV1233" i="6"/>
  <c r="AW1233" i="6" s="1" a="1"/>
  <c r="AW1233" i="6" s="1"/>
  <c r="AV271" i="6"/>
  <c r="AW271" i="6" s="1" a="1"/>
  <c r="AW271" i="6" s="1"/>
  <c r="AY271" i="6" s="1"/>
  <c r="BC271" i="6" s="1"/>
  <c r="AV1083" i="6"/>
  <c r="AW1083" i="6" s="1" a="1"/>
  <c r="AW1083" i="6" s="1"/>
  <c r="AV48" i="6"/>
  <c r="AW48" i="6" s="1" a="1"/>
  <c r="AW48" i="6" s="1"/>
  <c r="BA48" i="6" s="1"/>
  <c r="AZ48" i="6" s="1"/>
  <c r="AV174" i="6"/>
  <c r="AW174" i="6" s="1" a="1"/>
  <c r="AW174" i="6" s="1"/>
  <c r="AV173" i="6"/>
  <c r="AW173" i="6" s="1" a="1"/>
  <c r="AW173" i="6" s="1"/>
  <c r="AV296" i="6"/>
  <c r="AW296" i="6" s="1" a="1"/>
  <c r="AW296" i="6" s="1"/>
  <c r="AV1240" i="6"/>
  <c r="AW1240" i="6" s="1" a="1"/>
  <c r="AW1240" i="6" s="1"/>
  <c r="AV295" i="6"/>
  <c r="AW295" i="6" s="1" a="1"/>
  <c r="AW295" i="6" s="1"/>
  <c r="AV1191" i="6"/>
  <c r="AW1191" i="6" s="1" a="1"/>
  <c r="AW1191" i="6" s="1"/>
  <c r="AV1048" i="6"/>
  <c r="AW1048" i="6" s="1" a="1"/>
  <c r="AW1048" i="6" s="1"/>
  <c r="BA1048" i="6" s="1"/>
  <c r="AZ1048" i="6" s="1"/>
  <c r="AV235" i="6"/>
  <c r="AW235" i="6" s="1" a="1"/>
  <c r="AW235" i="6" s="1"/>
  <c r="AV367" i="6"/>
  <c r="AW367" i="6" s="1" a="1"/>
  <c r="AW367" i="6" s="1"/>
  <c r="AV849" i="6"/>
  <c r="AW849" i="6" s="1" a="1"/>
  <c r="AW849" i="6" s="1"/>
  <c r="AY849" i="6" s="1"/>
  <c r="BC849" i="6" s="1"/>
  <c r="AV848" i="6"/>
  <c r="AW848" i="6" s="1" a="1"/>
  <c r="AW848" i="6" s="1"/>
  <c r="AV847" i="6"/>
  <c r="AW847" i="6" s="1" a="1"/>
  <c r="AW847" i="6" s="1"/>
  <c r="AV579" i="6"/>
  <c r="AW579" i="6" s="1" a="1"/>
  <c r="AW579" i="6" s="1"/>
  <c r="BA579" i="6" s="1"/>
  <c r="AZ579" i="6" s="1"/>
  <c r="AV846" i="6"/>
  <c r="AW846" i="6" s="1" a="1"/>
  <c r="AW846" i="6" s="1"/>
  <c r="AV845" i="6"/>
  <c r="AW845" i="6" s="1" a="1"/>
  <c r="AW845" i="6" s="1"/>
  <c r="AV225" i="6"/>
  <c r="AW225" i="6" s="1" a="1"/>
  <c r="AW225" i="6" s="1"/>
  <c r="AV262" i="6"/>
  <c r="AW262" i="6" s="1" a="1"/>
  <c r="AW262" i="6" s="1"/>
  <c r="AV249" i="6"/>
  <c r="AW249" i="6" s="1" a="1"/>
  <c r="AW249" i="6" s="1"/>
  <c r="AV570" i="6"/>
  <c r="AW570" i="6" s="1" a="1"/>
  <c r="AW570" i="6" s="1"/>
  <c r="AY570" i="6" s="1"/>
  <c r="BC570" i="6" s="1"/>
  <c r="AV575" i="6"/>
  <c r="AW575" i="6" s="1" a="1"/>
  <c r="AW575" i="6" s="1"/>
  <c r="AV1481" i="6"/>
  <c r="AW1481" i="6" s="1" a="1"/>
  <c r="AW1481" i="6" s="1"/>
  <c r="AV1534" i="6"/>
  <c r="AW1534" i="6" s="1" a="1"/>
  <c r="AW1534" i="6" s="1"/>
  <c r="AV246" i="6"/>
  <c r="AW246" i="6" s="1" a="1"/>
  <c r="AW246" i="6" s="1"/>
  <c r="AV619" i="6"/>
  <c r="AW619" i="6" s="1" a="1"/>
  <c r="AW619" i="6" s="1"/>
  <c r="AV1578" i="6"/>
  <c r="AW1578" i="6" s="1" a="1"/>
  <c r="AW1578" i="6" s="1"/>
  <c r="AV582" i="6"/>
  <c r="AW582" i="6" s="1" a="1"/>
  <c r="AW582" i="6" s="1"/>
  <c r="AX582" i="6" s="1"/>
  <c r="AV840" i="6"/>
  <c r="AW840" i="6" s="1" a="1"/>
  <c r="AW840" i="6" s="1"/>
  <c r="AV867" i="6"/>
  <c r="AW867" i="6" s="1" a="1"/>
  <c r="AW867" i="6" s="1"/>
  <c r="AV973" i="6"/>
  <c r="AW973" i="6" s="1" a="1"/>
  <c r="AW973" i="6" s="1"/>
  <c r="AV972" i="6"/>
  <c r="AW972" i="6" s="1" a="1"/>
  <c r="AW972" i="6" s="1"/>
  <c r="AV1485" i="6"/>
  <c r="AW1485" i="6" s="1" a="1"/>
  <c r="AW1485" i="6" s="1"/>
  <c r="AV1482" i="6"/>
  <c r="AW1482" i="6" s="1" a="1"/>
  <c r="AW1482" i="6" s="1"/>
  <c r="AV1220" i="6"/>
  <c r="AW1220" i="6" s="1" a="1"/>
  <c r="AW1220" i="6" s="1"/>
  <c r="AV1414" i="6"/>
  <c r="AW1414" i="6" s="1" a="1"/>
  <c r="AW1414" i="6" s="1"/>
  <c r="BA1414" i="6" s="1"/>
  <c r="AZ1414" i="6" s="1"/>
  <c r="AV1422" i="6"/>
  <c r="AW1422" i="6" s="1" a="1"/>
  <c r="AW1422" i="6" s="1"/>
  <c r="AV710" i="6"/>
  <c r="AW710" i="6" s="1" a="1"/>
  <c r="AW710" i="6" s="1"/>
  <c r="AV966" i="6"/>
  <c r="AW966" i="6" s="1" a="1"/>
  <c r="AW966" i="6" s="1"/>
  <c r="AV866" i="6"/>
  <c r="AW866" i="6" s="1" a="1"/>
  <c r="AW866" i="6" s="1"/>
  <c r="AV868" i="6"/>
  <c r="AW868" i="6" s="1" a="1"/>
  <c r="AW868" i="6" s="1"/>
  <c r="AV207" i="6"/>
  <c r="AW207" i="6" s="1" a="1"/>
  <c r="AW207" i="6" s="1"/>
  <c r="AV687" i="6"/>
  <c r="AW687" i="6" s="1" a="1"/>
  <c r="AW687" i="6" s="1"/>
  <c r="AX687" i="6" s="1"/>
  <c r="AV572" i="6"/>
  <c r="AW572" i="6" s="1" a="1"/>
  <c r="AW572" i="6" s="1"/>
  <c r="AV537" i="6"/>
  <c r="AW537" i="6" s="1" a="1"/>
  <c r="AW537" i="6" s="1"/>
  <c r="AV413" i="6"/>
  <c r="AW413" i="6" s="1" a="1"/>
  <c r="AW413" i="6" s="1"/>
  <c r="AV493" i="6"/>
  <c r="AW493" i="6" s="1" a="1"/>
  <c r="AW493" i="6" s="1"/>
  <c r="AV655" i="6"/>
  <c r="AW655" i="6" s="1" a="1"/>
  <c r="AW655" i="6" s="1"/>
  <c r="AV730" i="6"/>
  <c r="AW730" i="6" s="1" a="1"/>
  <c r="AW730" i="6" s="1"/>
  <c r="AV1219" i="6"/>
  <c r="AW1219" i="6" s="1" a="1"/>
  <c r="AW1219" i="6" s="1"/>
  <c r="AV1099" i="6"/>
  <c r="AW1099" i="6" s="1" a="1"/>
  <c r="AW1099" i="6" s="1"/>
  <c r="AX1099" i="6" s="1"/>
  <c r="AV1421" i="6"/>
  <c r="AW1421" i="6" s="1" a="1"/>
  <c r="AW1421" i="6" s="1"/>
  <c r="AX1421" i="6" s="1"/>
  <c r="AV690" i="6"/>
  <c r="AW690" i="6" s="1" a="1"/>
  <c r="AW690" i="6" s="1"/>
  <c r="AY690" i="6" s="1"/>
  <c r="BC690" i="6" s="1"/>
  <c r="AV1432" i="6"/>
  <c r="AW1432" i="6" s="1" a="1"/>
  <c r="AW1432" i="6" s="1"/>
  <c r="AY1432" i="6" s="1"/>
  <c r="BC1432" i="6" s="1"/>
  <c r="AV1426" i="6"/>
  <c r="AW1426" i="6" s="1" a="1"/>
  <c r="AW1426" i="6" s="1"/>
  <c r="BA1426" i="6" s="1"/>
  <c r="AZ1426" i="6" s="1"/>
  <c r="AV689" i="6"/>
  <c r="AW689" i="6" s="1" a="1"/>
  <c r="AW689" i="6" s="1"/>
  <c r="AV951" i="6"/>
  <c r="AW951" i="6" s="1" a="1"/>
  <c r="AW951" i="6" s="1"/>
  <c r="AY951" i="6" s="1"/>
  <c r="BC951" i="6" s="1"/>
  <c r="AV765" i="6"/>
  <c r="AW765" i="6" s="1" a="1"/>
  <c r="AW765" i="6" s="1"/>
  <c r="AV412" i="6"/>
  <c r="AW412" i="6" s="1" a="1"/>
  <c r="AW412" i="6" s="1"/>
  <c r="AX412" i="6" s="1"/>
  <c r="AV1260" i="6"/>
  <c r="AW1260" i="6" s="1" a="1"/>
  <c r="AW1260" i="6" s="1"/>
  <c r="BA1260" i="6" s="1"/>
  <c r="AZ1260" i="6" s="1"/>
  <c r="AV1591" i="6"/>
  <c r="AW1591" i="6" s="1" a="1"/>
  <c r="AW1591" i="6" s="1"/>
  <c r="AY1591" i="6" s="1"/>
  <c r="BC1591" i="6" s="1"/>
  <c r="AV1153" i="6"/>
  <c r="AW1153" i="6" s="1" a="1"/>
  <c r="AW1153" i="6" s="1"/>
  <c r="AY1153" i="6" s="1"/>
  <c r="BC1153" i="6" s="1"/>
  <c r="AV1152" i="6"/>
  <c r="AW1152" i="6" s="1" a="1"/>
  <c r="AW1152" i="6" s="1"/>
  <c r="AV1151" i="6"/>
  <c r="AW1151" i="6" s="1" a="1"/>
  <c r="AW1151" i="6" s="1"/>
  <c r="AY1151" i="6" s="1"/>
  <c r="BC1151" i="6" s="1"/>
  <c r="AV1195" i="6"/>
  <c r="AW1195" i="6" s="1" a="1"/>
  <c r="AW1195" i="6" s="1"/>
  <c r="AY1195" i="6" s="1"/>
  <c r="BC1195" i="6" s="1"/>
  <c r="AV1150" i="6"/>
  <c r="AW1150" i="6" s="1" a="1"/>
  <c r="AW1150" i="6" s="1"/>
  <c r="BA1150" i="6" s="1"/>
  <c r="AZ1150" i="6" s="1"/>
  <c r="AV1009" i="6"/>
  <c r="AW1009" i="6" s="1" a="1"/>
  <c r="AW1009" i="6" s="1"/>
  <c r="AV1008" i="6"/>
  <c r="AW1008" i="6" s="1" a="1"/>
  <c r="AW1008" i="6" s="1"/>
  <c r="AY1008" i="6" s="1"/>
  <c r="BC1008" i="6" s="1"/>
  <c r="AV216" i="6"/>
  <c r="AW216" i="6" s="1" a="1"/>
  <c r="AW216" i="6" s="1"/>
  <c r="AV357" i="6"/>
  <c r="AW357" i="6" s="1" a="1"/>
  <c r="AW357" i="6" s="1"/>
  <c r="AV1548" i="6"/>
  <c r="AW1548" i="6" s="1" a="1"/>
  <c r="AW1548" i="6" s="1"/>
  <c r="AV1607" i="6"/>
  <c r="AW1607" i="6" s="1" a="1"/>
  <c r="AW1607" i="6" s="1"/>
  <c r="AY1607" i="6" s="1"/>
  <c r="BC1607" i="6" s="1"/>
  <c r="AV1245" i="6"/>
  <c r="AW1245" i="6" s="1" a="1"/>
  <c r="AW1245" i="6" s="1"/>
  <c r="AV994" i="6"/>
  <c r="AW994" i="6" s="1" a="1"/>
  <c r="AW994" i="6" s="1"/>
  <c r="AV993" i="6"/>
  <c r="AW993" i="6" s="1" a="1"/>
  <c r="AW993" i="6" s="1"/>
  <c r="AY993" i="6" s="1"/>
  <c r="BC993" i="6" s="1"/>
  <c r="AV992" i="6"/>
  <c r="AW992" i="6" s="1" a="1"/>
  <c r="AW992" i="6" s="1"/>
  <c r="BA992" i="6" s="1"/>
  <c r="AZ992" i="6" s="1"/>
  <c r="AV1177" i="6"/>
  <c r="AW1177" i="6" s="1" a="1"/>
  <c r="AW1177" i="6" s="1"/>
  <c r="BA1177" i="6" s="1"/>
  <c r="AZ1177" i="6" s="1"/>
  <c r="AV8" i="6"/>
  <c r="AW8" i="6" s="1" a="1"/>
  <c r="AW8" i="6" s="1"/>
  <c r="AV1413" i="6"/>
  <c r="AW1413" i="6" s="1" a="1"/>
  <c r="AW1413" i="6" s="1"/>
  <c r="AV1412" i="6"/>
  <c r="AW1412" i="6" s="1" a="1"/>
  <c r="AW1412" i="6" s="1"/>
  <c r="AV1418" i="6"/>
  <c r="AW1418" i="6" s="1" a="1"/>
  <c r="AW1418" i="6" s="1"/>
  <c r="AV1528" i="6"/>
  <c r="AW1528" i="6" s="1" a="1"/>
  <c r="AW1528" i="6" s="1"/>
  <c r="AV970" i="6"/>
  <c r="AW970" i="6" s="1" a="1"/>
  <c r="AW970" i="6" s="1"/>
  <c r="AV1496" i="6"/>
  <c r="AW1496" i="6" s="1" a="1"/>
  <c r="AW1496" i="6" s="1"/>
  <c r="AV553" i="6"/>
  <c r="AW553" i="6" s="1" a="1"/>
  <c r="AW553" i="6" s="1"/>
  <c r="AV646" i="6"/>
  <c r="AW646" i="6" s="1" a="1"/>
  <c r="AW646" i="6" s="1"/>
  <c r="AX646" i="6" s="1"/>
  <c r="AV1477" i="6"/>
  <c r="AW1477" i="6" s="1" a="1"/>
  <c r="AW1477" i="6" s="1"/>
  <c r="AY1477" i="6" s="1"/>
  <c r="BC1477" i="6" s="1"/>
  <c r="AV1479" i="6"/>
  <c r="AW1479" i="6" s="1" a="1"/>
  <c r="AW1479" i="6" s="1"/>
  <c r="AV1420" i="6"/>
  <c r="AW1420" i="6" s="1" a="1"/>
  <c r="AW1420" i="6" s="1"/>
  <c r="AX1420" i="6" s="1"/>
  <c r="AV1419" i="6"/>
  <c r="AW1419" i="6" s="1" a="1"/>
  <c r="AW1419" i="6" s="1"/>
  <c r="AV1431" i="6"/>
  <c r="AW1431" i="6" s="1" a="1"/>
  <c r="AW1431" i="6" s="1"/>
  <c r="AY1431" i="6" s="1"/>
  <c r="BC1431" i="6" s="1"/>
  <c r="AV1690" i="6"/>
  <c r="AW1690" i="6" s="1" a="1"/>
  <c r="AW1690" i="6" s="1"/>
  <c r="AV1430" i="6"/>
  <c r="AW1430" i="6" s="1" a="1"/>
  <c r="AW1430" i="6" s="1"/>
  <c r="AY1430" i="6" s="1"/>
  <c r="BC1430" i="6" s="1"/>
  <c r="AV414" i="6"/>
  <c r="AW414" i="6" s="1" a="1"/>
  <c r="AW414" i="6" s="1"/>
  <c r="AY414" i="6" s="1"/>
  <c r="BC414" i="6" s="1"/>
  <c r="AV812" i="6"/>
  <c r="AW812" i="6" s="1" a="1"/>
  <c r="AW812" i="6" s="1"/>
  <c r="AV299" i="6"/>
  <c r="AW299" i="6" s="1" a="1"/>
  <c r="AW299" i="6" s="1"/>
  <c r="AV298" i="6"/>
  <c r="AW298" i="6" s="1" a="1"/>
  <c r="AW298" i="6" s="1"/>
  <c r="AX298" i="6" s="1"/>
  <c r="AV301" i="6"/>
  <c r="AW301" i="6" s="1" a="1"/>
  <c r="AW301" i="6" s="1"/>
  <c r="AV808" i="6"/>
  <c r="AW808" i="6" s="1" a="1"/>
  <c r="AW808" i="6" s="1"/>
  <c r="AV125" i="6"/>
  <c r="AW125" i="6" s="1" a="1"/>
  <c r="AW125" i="6" s="1"/>
  <c r="AV121" i="6"/>
  <c r="AW121" i="6" s="1" a="1"/>
  <c r="AW121" i="6" s="1"/>
  <c r="AV123" i="6"/>
  <c r="AW123" i="6" s="1" a="1"/>
  <c r="AW123" i="6" s="1"/>
  <c r="AV1244" i="6"/>
  <c r="AW1244" i="6" s="1" a="1"/>
  <c r="AW1244" i="6" s="1"/>
  <c r="AV1446" i="6"/>
  <c r="AW1446" i="6" s="1" a="1"/>
  <c r="AW1446" i="6" s="1"/>
  <c r="AV805" i="6"/>
  <c r="AW805" i="6" s="1" a="1"/>
  <c r="AW805" i="6" s="1"/>
  <c r="AY805" i="6" s="1"/>
  <c r="BC805" i="6" s="1"/>
  <c r="AV222" i="6"/>
  <c r="AW222" i="6" s="1" a="1"/>
  <c r="AW222" i="6" s="1"/>
  <c r="AV1656" i="6"/>
  <c r="AW1656" i="6" s="1" a="1"/>
  <c r="AW1656" i="6" s="1"/>
  <c r="AV180" i="6"/>
  <c r="AW180" i="6" s="1" a="1"/>
  <c r="AW180" i="6" s="1"/>
  <c r="AV561" i="6"/>
  <c r="AW561" i="6" s="1" a="1"/>
  <c r="AW561" i="6" s="1"/>
  <c r="AV1353" i="6"/>
  <c r="AW1353" i="6" s="1" a="1"/>
  <c r="AW1353" i="6" s="1"/>
  <c r="AX1353" i="6" s="1"/>
  <c r="AV85" i="6"/>
  <c r="AW85" i="6" s="1" a="1"/>
  <c r="AW85" i="6" s="1"/>
  <c r="AY85" i="6" s="1"/>
  <c r="BC85" i="6" s="1"/>
  <c r="AV1650" i="6"/>
  <c r="AW1650" i="6" s="1" a="1"/>
  <c r="AW1650" i="6" s="1"/>
  <c r="AV1649" i="6"/>
  <c r="AW1649" i="6" s="1" a="1"/>
  <c r="AW1649" i="6" s="1"/>
  <c r="AV1698" i="6"/>
  <c r="AW1698" i="6" s="1" a="1"/>
  <c r="AW1698" i="6" s="1"/>
  <c r="AV1697" i="6"/>
  <c r="AW1697" i="6" s="1" a="1"/>
  <c r="AW1697" i="6" s="1"/>
  <c r="AV1696" i="6"/>
  <c r="AW1696" i="6" s="1" a="1"/>
  <c r="AW1696" i="6" s="1"/>
  <c r="AV1695" i="6"/>
  <c r="AW1695" i="6" s="1" a="1"/>
  <c r="AW1695" i="6" s="1"/>
  <c r="AV1648" i="6"/>
  <c r="AW1648" i="6" s="1" a="1"/>
  <c r="AW1648" i="6" s="1"/>
  <c r="AV1647" i="6"/>
  <c r="AW1647" i="6" s="1" a="1"/>
  <c r="AW1647" i="6" s="1"/>
  <c r="AV1692" i="6"/>
  <c r="AW1692" i="6" s="1" a="1"/>
  <c r="AW1692" i="6" s="1"/>
  <c r="AV1691" i="6"/>
  <c r="AW1691" i="6" s="1" a="1"/>
  <c r="AW1691" i="6" s="1"/>
  <c r="AV1694" i="6"/>
  <c r="AW1694" i="6" s="1" a="1"/>
  <c r="AW1694" i="6" s="1"/>
  <c r="AV1693" i="6"/>
  <c r="AW1693" i="6" s="1" a="1"/>
  <c r="AW1693" i="6" s="1"/>
  <c r="BA1693" i="6" s="1"/>
  <c r="AZ1693" i="6" s="1"/>
  <c r="AV544" i="6"/>
  <c r="AW544" i="6" s="1" a="1"/>
  <c r="AW544" i="6" s="1"/>
  <c r="AX544" i="6" s="1"/>
  <c r="AV1116" i="6"/>
  <c r="AW1116" i="6" s="1" a="1"/>
  <c r="AW1116" i="6" s="1"/>
  <c r="AY1116" i="6" s="1"/>
  <c r="BC1116" i="6" s="1"/>
  <c r="AV1115" i="6"/>
  <c r="AW1115" i="6" s="1" a="1"/>
  <c r="AW1115" i="6" s="1"/>
  <c r="AX1115" i="6" s="1"/>
  <c r="AV1114" i="6"/>
  <c r="AW1114" i="6" s="1" a="1"/>
  <c r="AW1114" i="6" s="1"/>
  <c r="AV1113" i="6"/>
  <c r="AW1113" i="6" s="1" a="1"/>
  <c r="AW1113" i="6" s="1"/>
  <c r="AX1113" i="6" s="1"/>
  <c r="AV1112" i="6"/>
  <c r="AW1112" i="6" s="1" a="1"/>
  <c r="AW1112" i="6" s="1"/>
  <c r="AY1112" i="6" s="1"/>
  <c r="BC1112" i="6" s="1"/>
  <c r="AV1117" i="6"/>
  <c r="AW1117" i="6" s="1" a="1"/>
  <c r="AW1117" i="6" s="1"/>
  <c r="AV1118" i="6"/>
  <c r="AW1118" i="6" s="1" a="1"/>
  <c r="AW1118" i="6" s="1"/>
  <c r="AV1527" i="6"/>
  <c r="AW1527" i="6" s="1" a="1"/>
  <c r="AW1527" i="6" s="1"/>
  <c r="BA1527" i="6" s="1"/>
  <c r="AZ1527" i="6" s="1"/>
  <c r="AV1123" i="6"/>
  <c r="AW1123" i="6" s="1" a="1"/>
  <c r="AW1123" i="6" s="1"/>
  <c r="AY1123" i="6" s="1"/>
  <c r="BC1123" i="6" s="1"/>
  <c r="AV1122" i="6"/>
  <c r="AW1122" i="6" s="1" a="1"/>
  <c r="AW1122" i="6" s="1"/>
  <c r="AV1121" i="6"/>
  <c r="AW1121" i="6" s="1" a="1"/>
  <c r="AW1121" i="6" s="1"/>
  <c r="AV1120" i="6"/>
  <c r="AW1120" i="6" s="1" a="1"/>
  <c r="AW1120" i="6" s="1"/>
  <c r="AY1120" i="6" s="1"/>
  <c r="BC1120" i="6" s="1"/>
  <c r="AV1702" i="6"/>
  <c r="AW1702" i="6" s="1" a="1"/>
  <c r="AW1702" i="6" s="1"/>
  <c r="AX1702" i="6" s="1"/>
  <c r="AV1703" i="6"/>
  <c r="AW1703" i="6" s="1" a="1"/>
  <c r="AW1703" i="6" s="1"/>
  <c r="AY1703" i="6" s="1"/>
  <c r="BC1703" i="6" s="1"/>
  <c r="AV458" i="6"/>
  <c r="AW458" i="6" s="1" a="1"/>
  <c r="AW458" i="6" s="1"/>
  <c r="AX458" i="6" s="1"/>
  <c r="AV1662" i="6"/>
  <c r="AW1662" i="6" s="1" a="1"/>
  <c r="AW1662" i="6" s="1"/>
  <c r="AX1662" i="6" s="1"/>
  <c r="AV1216" i="6"/>
  <c r="AW1216" i="6" s="1" a="1"/>
  <c r="AW1216" i="6" s="1"/>
  <c r="AV1574" i="6"/>
  <c r="AW1574" i="6" s="1" a="1"/>
  <c r="AW1574" i="6" s="1"/>
  <c r="AV975" i="6"/>
  <c r="AW975" i="6" s="1" a="1"/>
  <c r="AW975" i="6" s="1"/>
  <c r="AV1213" i="6"/>
  <c r="AW1213" i="6" s="1" a="1"/>
  <c r="AW1213" i="6" s="1"/>
  <c r="AV1277" i="6"/>
  <c r="AW1277" i="6" s="1" a="1"/>
  <c r="AW1277" i="6" s="1"/>
  <c r="AV519" i="6"/>
  <c r="AW519" i="6" s="1" a="1"/>
  <c r="AW519" i="6" s="1"/>
  <c r="AV543" i="6"/>
  <c r="AW543" i="6" s="1" a="1"/>
  <c r="AW543" i="6" s="1"/>
  <c r="AY543" i="6" s="1"/>
  <c r="BC543" i="6" s="1"/>
  <c r="AV1599" i="6"/>
  <c r="AW1599" i="6" s="1" a="1"/>
  <c r="AW1599" i="6" s="1"/>
  <c r="AV1275" i="6"/>
  <c r="AW1275" i="6" s="1" a="1"/>
  <c r="AW1275" i="6" s="1"/>
  <c r="AV1274" i="6"/>
  <c r="AW1274" i="6" s="1" a="1"/>
  <c r="AW1274" i="6" s="1"/>
  <c r="AV775" i="6"/>
  <c r="AW775" i="6" s="1" a="1"/>
  <c r="AW775" i="6" s="1"/>
  <c r="AV1308" i="6"/>
  <c r="AW1308" i="6" s="1" a="1"/>
  <c r="AW1308" i="6" s="1"/>
  <c r="AV1307" i="6"/>
  <c r="AW1307" i="6" s="1" a="1"/>
  <c r="AW1307" i="6" s="1"/>
  <c r="AV1306" i="6"/>
  <c r="AW1306" i="6" s="1" a="1"/>
  <c r="AW1306" i="6" s="1"/>
  <c r="AY1306" i="6" s="1"/>
  <c r="BC1306" i="6" s="1"/>
  <c r="AV1636" i="6"/>
  <c r="AW1636" i="6" s="1" a="1"/>
  <c r="AW1636" i="6" s="1"/>
  <c r="AV1634" i="6"/>
  <c r="AW1634" i="6" s="1" a="1"/>
  <c r="AW1634" i="6" s="1"/>
  <c r="AV1305" i="6"/>
  <c r="AW1305" i="6" s="1" a="1"/>
  <c r="AW1305" i="6" s="1"/>
  <c r="AY1305" i="6" s="1"/>
  <c r="BC1305" i="6" s="1"/>
  <c r="AV1304" i="6"/>
  <c r="AW1304" i="6" s="1" a="1"/>
  <c r="AW1304" i="6" s="1"/>
  <c r="AV1400" i="6"/>
  <c r="AW1400" i="6" s="1" a="1"/>
  <c r="AW1400" i="6" s="1"/>
  <c r="AV1303" i="6"/>
  <c r="AW1303" i="6" s="1" a="1"/>
  <c r="AW1303" i="6" s="1"/>
  <c r="AV457" i="6"/>
  <c r="AW457" i="6" s="1" a="1"/>
  <c r="AW457" i="6" s="1"/>
  <c r="AV1302" i="6"/>
  <c r="AW1302" i="6" s="1" a="1"/>
  <c r="AW1302" i="6" s="1"/>
  <c r="AX1302" i="6" s="1"/>
  <c r="AV1300" i="6"/>
  <c r="AW1300" i="6" s="1" a="1"/>
  <c r="AW1300" i="6" s="1"/>
  <c r="AV1301" i="6"/>
  <c r="AW1301" i="6" s="1" a="1"/>
  <c r="AW1301" i="6" s="1"/>
  <c r="AY1301" i="6" s="1"/>
  <c r="BC1301" i="6" s="1"/>
  <c r="AV1299" i="6"/>
  <c r="AW1299" i="6" s="1" a="1"/>
  <c r="AW1299" i="6" s="1"/>
  <c r="AV1298" i="6"/>
  <c r="AW1298" i="6" s="1" a="1"/>
  <c r="AW1298" i="6" s="1"/>
  <c r="AV1297" i="6"/>
  <c r="AW1297" i="6" s="1" a="1"/>
  <c r="AW1297" i="6" s="1"/>
  <c r="AX1297" i="6" s="1"/>
  <c r="AV1296" i="6"/>
  <c r="AW1296" i="6" s="1" a="1"/>
  <c r="AW1296" i="6" s="1"/>
  <c r="AV1618" i="6"/>
  <c r="AW1618" i="6" s="1" a="1"/>
  <c r="AW1618" i="6" s="1"/>
  <c r="AY1618" i="6" s="1"/>
  <c r="BC1618" i="6" s="1"/>
  <c r="AV1617" i="6"/>
  <c r="AW1617" i="6" s="1" a="1"/>
  <c r="AW1617" i="6" s="1"/>
  <c r="AV462" i="6"/>
  <c r="AW462" i="6" s="1" a="1"/>
  <c r="AW462" i="6" s="1"/>
  <c r="AX462" i="6" s="1"/>
  <c r="AV1498" i="6"/>
  <c r="AW1498" i="6" s="1" a="1"/>
  <c r="AW1498" i="6" s="1"/>
  <c r="AV1417" i="6"/>
  <c r="AW1417" i="6" s="1" a="1"/>
  <c r="AW1417" i="6" s="1"/>
  <c r="AX1417" i="6" s="1"/>
  <c r="AV763" i="6"/>
  <c r="AW763" i="6" s="1" a="1"/>
  <c r="AW763" i="6" s="1"/>
  <c r="AV889" i="6"/>
  <c r="AW889" i="6" s="1" a="1"/>
  <c r="AW889" i="6" s="1"/>
  <c r="AV1294" i="6"/>
  <c r="AW1294" i="6" s="1" a="1"/>
  <c r="AW1294" i="6" s="1"/>
  <c r="AX1294" i="6" s="1"/>
  <c r="AV1407" i="6"/>
  <c r="AW1407" i="6" s="1" a="1"/>
  <c r="AW1407" i="6" s="1"/>
  <c r="AV1616" i="6"/>
  <c r="AW1616" i="6" s="1" a="1"/>
  <c r="AW1616" i="6" s="1"/>
  <c r="AV1137" i="6"/>
  <c r="AW1137" i="6" s="1" a="1"/>
  <c r="AW1137" i="6" s="1"/>
  <c r="AV465" i="6"/>
  <c r="AW465" i="6" s="1" a="1"/>
  <c r="AW465" i="6" s="1"/>
  <c r="AV463" i="6"/>
  <c r="AW463" i="6" s="1" a="1"/>
  <c r="AW463" i="6" s="1"/>
  <c r="AV466" i="6"/>
  <c r="AW466" i="6" s="1" a="1"/>
  <c r="AW466" i="6" s="1"/>
  <c r="AV287" i="6"/>
  <c r="AW287" i="6" s="1" a="1"/>
  <c r="AW287" i="6" s="1"/>
  <c r="AV1235" i="6"/>
  <c r="AW1235" i="6" s="1" a="1"/>
  <c r="AW1235" i="6" s="1"/>
  <c r="AV285" i="6"/>
  <c r="AW285" i="6" s="1" a="1"/>
  <c r="AW285" i="6" s="1"/>
  <c r="AV1038" i="6"/>
  <c r="AW1038" i="6" s="1" a="1"/>
  <c r="AW1038" i="6" s="1"/>
  <c r="AV888" i="6"/>
  <c r="AW888" i="6" s="1" a="1"/>
  <c r="AW888" i="6" s="1"/>
  <c r="AV1504" i="6"/>
  <c r="AW1504" i="6" s="1" a="1"/>
  <c r="AW1504" i="6" s="1"/>
  <c r="AV1406" i="6"/>
  <c r="AW1406" i="6" s="1" a="1"/>
  <c r="AW1406" i="6" s="1"/>
  <c r="AV1197" i="6"/>
  <c r="AW1197" i="6" s="1" a="1"/>
  <c r="AW1197" i="6" s="1"/>
  <c r="AV1136" i="6"/>
  <c r="AW1136" i="6" s="1" a="1"/>
  <c r="AW1136" i="6" s="1"/>
  <c r="BA1136" i="6" s="1"/>
  <c r="AZ1136" i="6" s="1"/>
  <c r="AV467" i="6"/>
  <c r="AW467" i="6" s="1" a="1"/>
  <c r="AW467" i="6" s="1"/>
  <c r="AX467" i="6" s="1"/>
  <c r="AV1135" i="6"/>
  <c r="AW1135" i="6" s="1" a="1"/>
  <c r="AW1135" i="6" s="1"/>
  <c r="AX1135" i="6" s="1"/>
  <c r="AV468" i="6"/>
  <c r="AW468" i="6" s="1" a="1"/>
  <c r="AW468" i="6" s="1"/>
  <c r="AV1134" i="6"/>
  <c r="AW1134" i="6" s="1" a="1"/>
  <c r="AW1134" i="6" s="1"/>
  <c r="BA1134" i="6" s="1"/>
  <c r="AZ1134" i="6" s="1"/>
  <c r="AV1133" i="6"/>
  <c r="AW1133" i="6" s="1" a="1"/>
  <c r="AW1133" i="6" s="1"/>
  <c r="AY1133" i="6" s="1"/>
  <c r="BC1133" i="6" s="1"/>
  <c r="AV1214" i="6"/>
  <c r="AW1214" i="6" s="1" a="1"/>
  <c r="AW1214" i="6" s="1"/>
  <c r="AV1645" i="6"/>
  <c r="AW1645" i="6" s="1" a="1"/>
  <c r="AW1645" i="6" s="1"/>
  <c r="AV5" i="6"/>
  <c r="AW5" i="6" s="1" a="1"/>
  <c r="AW5" i="6" s="1"/>
  <c r="AV232" i="6"/>
  <c r="AW232" i="6" s="1" a="1"/>
  <c r="AW232" i="6" s="1"/>
  <c r="AY232" i="6" s="1"/>
  <c r="BC232" i="6" s="1"/>
  <c r="AV555" i="6"/>
  <c r="AW555" i="6" s="1" a="1"/>
  <c r="AW555" i="6" s="1"/>
  <c r="BA555" i="6" s="1"/>
  <c r="AZ555" i="6" s="1"/>
  <c r="AV1361" i="6"/>
  <c r="AW1361" i="6" s="1" a="1"/>
  <c r="AW1361" i="6" s="1"/>
  <c r="AV876" i="6"/>
  <c r="AW876" i="6" s="1" a="1"/>
  <c r="AW876" i="6" s="1"/>
  <c r="BA876" i="6" s="1"/>
  <c r="AZ876" i="6" s="1"/>
  <c r="AV1149" i="6"/>
  <c r="AW1149" i="6" s="1" a="1"/>
  <c r="AW1149" i="6" s="1"/>
  <c r="BA1149" i="6" s="1"/>
  <c r="AZ1149" i="6" s="1"/>
  <c r="AV1363" i="6"/>
  <c r="AW1363" i="6" s="1" a="1"/>
  <c r="AW1363" i="6" s="1"/>
  <c r="AV1284" i="6"/>
  <c r="AW1284" i="6" s="1" a="1"/>
  <c r="AW1284" i="6" s="1"/>
  <c r="AV1282" i="6"/>
  <c r="AW1282" i="6" s="1" a="1"/>
  <c r="AW1282" i="6" s="1"/>
  <c r="AV1215" i="6"/>
  <c r="AW1215" i="6" s="1" a="1"/>
  <c r="AW1215" i="6" s="1"/>
  <c r="AV530" i="6"/>
  <c r="AW530" i="6" s="1" a="1"/>
  <c r="AW530" i="6" s="1"/>
  <c r="AV59" i="6"/>
  <c r="AW59" i="6" s="1" a="1"/>
  <c r="AW59" i="6" s="1"/>
  <c r="AV556" i="6"/>
  <c r="AW556" i="6" s="1" a="1"/>
  <c r="AW556" i="6" s="1"/>
  <c r="AV552" i="6"/>
  <c r="AW552" i="6" s="1" a="1"/>
  <c r="AW552" i="6" s="1"/>
  <c r="AV1166" i="6"/>
  <c r="AW1166" i="6" s="1" a="1"/>
  <c r="AW1166" i="6" s="1"/>
  <c r="AY1166" i="6" s="1"/>
  <c r="BC1166" i="6" s="1"/>
  <c r="AV474" i="6"/>
  <c r="AW474" i="6" s="1" a="1"/>
  <c r="AW474" i="6" s="1"/>
  <c r="AV1190" i="6"/>
  <c r="AW1190" i="6" s="1" a="1"/>
  <c r="AW1190" i="6" s="1"/>
  <c r="AV1567" i="6"/>
  <c r="AW1567" i="6" s="1" a="1"/>
  <c r="AW1567" i="6" s="1"/>
  <c r="BA1567" i="6" s="1"/>
  <c r="AZ1567" i="6" s="1"/>
  <c r="AV1568" i="6"/>
  <c r="AW1568" i="6" s="1" a="1"/>
  <c r="AW1568" i="6" s="1"/>
  <c r="AV397" i="6"/>
  <c r="AW397" i="6" s="1" a="1"/>
  <c r="AW397" i="6" s="1"/>
  <c r="BA397" i="6" s="1"/>
  <c r="AZ397" i="6" s="1"/>
  <c r="AV565" i="6"/>
  <c r="AW565" i="6" s="1" a="1"/>
  <c r="AW565" i="6" s="1"/>
  <c r="AY565" i="6" s="1"/>
  <c r="BC565" i="6" s="1"/>
  <c r="AV261" i="6"/>
  <c r="AW261" i="6" s="1" a="1"/>
  <c r="AW261" i="6" s="1"/>
  <c r="BA261" i="6" s="1"/>
  <c r="AZ261" i="6" s="1"/>
  <c r="AV370" i="6"/>
  <c r="AW370" i="6" s="1" a="1"/>
  <c r="AW370" i="6" s="1"/>
  <c r="AV1182" i="6"/>
  <c r="AW1182" i="6" s="1" a="1"/>
  <c r="AW1182" i="6" s="1"/>
  <c r="AV910" i="6"/>
  <c r="AW910" i="6" s="1" a="1"/>
  <c r="AW910" i="6" s="1"/>
  <c r="AV49" i="6"/>
  <c r="AW49" i="6" s="1" a="1"/>
  <c r="AW49" i="6" s="1"/>
  <c r="AV10" i="6"/>
  <c r="AW10" i="6" s="1" a="1"/>
  <c r="AW10" i="6" s="1"/>
  <c r="AV1533" i="6"/>
  <c r="AW1533" i="6" s="1" a="1"/>
  <c r="AW1533" i="6" s="1"/>
  <c r="AV234" i="6"/>
  <c r="AW234" i="6" s="1" a="1"/>
  <c r="AW234" i="6" s="1"/>
  <c r="AV684" i="6"/>
  <c r="AW684" i="6" s="1" a="1"/>
  <c r="AW684" i="6" s="1"/>
  <c r="AV922" i="6"/>
  <c r="AW922" i="6" s="1" a="1"/>
  <c r="AW922" i="6" s="1"/>
  <c r="AV541" i="6"/>
  <c r="AW541" i="6" s="1" a="1"/>
  <c r="AW541" i="6" s="1"/>
  <c r="AV692" i="6"/>
  <c r="AW692" i="6" s="1" a="1"/>
  <c r="AW692" i="6" s="1"/>
  <c r="AV1259" i="6"/>
  <c r="AW1259" i="6" s="1" a="1"/>
  <c r="AW1259" i="6" s="1"/>
  <c r="AV1258" i="6"/>
  <c r="AW1258" i="6" s="1" a="1"/>
  <c r="AW1258" i="6" s="1"/>
  <c r="AY1258" i="6" s="1"/>
  <c r="BC1258" i="6" s="1"/>
  <c r="AV852" i="6"/>
  <c r="AW852" i="6" s="1" a="1"/>
  <c r="AW852" i="6" s="1"/>
  <c r="BA852" i="6" s="1"/>
  <c r="AZ852" i="6" s="1"/>
  <c r="AV1085" i="6"/>
  <c r="AW1085" i="6" s="1" a="1"/>
  <c r="AW1085" i="6" s="1"/>
  <c r="BA1085" i="6" s="1"/>
  <c r="AZ1085" i="6" s="1"/>
  <c r="AV600" i="6"/>
  <c r="AW600" i="6" s="1" a="1"/>
  <c r="AW600" i="6" s="1"/>
  <c r="AV599" i="6"/>
  <c r="AW599" i="6" s="1" a="1"/>
  <c r="AW599" i="6" s="1"/>
  <c r="AV315" i="6"/>
  <c r="AW315" i="6" s="1" a="1"/>
  <c r="AW315" i="6" s="1"/>
  <c r="AV313" i="6"/>
  <c r="AW313" i="6" s="1" a="1"/>
  <c r="AW313" i="6" s="1"/>
  <c r="AV1323" i="6"/>
  <c r="AW1323" i="6" s="1" a="1"/>
  <c r="AW1323" i="6" s="1"/>
  <c r="AV263" i="6"/>
  <c r="AW263" i="6" s="1" a="1"/>
  <c r="AW263" i="6" s="1"/>
  <c r="AV65" i="6"/>
  <c r="AW65" i="6" s="1" a="1"/>
  <c r="AW65" i="6" s="1"/>
  <c r="AV1688" i="6"/>
  <c r="AW1688" i="6" s="1" a="1"/>
  <c r="AW1688" i="6" s="1"/>
  <c r="AX1688" i="6" s="1"/>
  <c r="AV1686" i="6"/>
  <c r="AW1686" i="6" s="1" a="1"/>
  <c r="AW1686" i="6" s="1"/>
  <c r="AV1687" i="6"/>
  <c r="AW1687" i="6" s="1" a="1"/>
  <c r="AW1687" i="6" s="1"/>
  <c r="AX1687" i="6" s="1"/>
  <c r="AV99" i="6"/>
  <c r="AW99" i="6" s="1" a="1"/>
  <c r="AW99" i="6" s="1"/>
  <c r="AV1689" i="6"/>
  <c r="AW1689" i="6" s="1" a="1"/>
  <c r="AW1689" i="6" s="1"/>
  <c r="AX1689" i="6" s="1"/>
  <c r="AV872" i="6"/>
  <c r="AW872" i="6" s="1" a="1"/>
  <c r="AW872" i="6" s="1"/>
  <c r="AV1683" i="6"/>
  <c r="AW1683" i="6" s="1" a="1"/>
  <c r="AW1683" i="6" s="1"/>
  <c r="AV1684" i="6"/>
  <c r="AW1684" i="6" s="1" a="1"/>
  <c r="AW1684" i="6" s="1"/>
  <c r="AY1684" i="6" s="1"/>
  <c r="BC1684" i="6" s="1"/>
  <c r="AV62" i="6"/>
  <c r="AW62" i="6" s="1" a="1"/>
  <c r="AW62" i="6" s="1"/>
  <c r="BA62" i="6" s="1"/>
  <c r="AZ62" i="6" s="1"/>
  <c r="AV66" i="6"/>
  <c r="AW66" i="6" s="1" a="1"/>
  <c r="AW66" i="6" s="1"/>
  <c r="BA66" i="6" s="1"/>
  <c r="AZ66" i="6" s="1"/>
  <c r="AV67" i="6"/>
  <c r="AW67" i="6" s="1" a="1"/>
  <c r="AW67" i="6" s="1"/>
  <c r="BA67" i="6" s="1"/>
  <c r="AZ67" i="6" s="1"/>
  <c r="AV539" i="6"/>
  <c r="AW539" i="6" s="1" a="1"/>
  <c r="AW539" i="6" s="1"/>
  <c r="AV1428" i="6"/>
  <c r="AW1428" i="6" s="1" a="1"/>
  <c r="AW1428" i="6" s="1"/>
  <c r="AV1230" i="6"/>
  <c r="AW1230" i="6" s="1" a="1"/>
  <c r="AW1230" i="6" s="1"/>
  <c r="AV203" i="6"/>
  <c r="AW203" i="6" s="1" a="1"/>
  <c r="AW203" i="6" s="1"/>
  <c r="AV1542" i="6"/>
  <c r="AW1542" i="6" s="1" a="1"/>
  <c r="AW1542" i="6" s="1"/>
  <c r="AV170" i="6"/>
  <c r="AW170" i="6" s="1" a="1"/>
  <c r="AW170" i="6" s="1"/>
  <c r="AV925" i="6"/>
  <c r="AW925" i="6" s="1" a="1"/>
  <c r="AW925" i="6" s="1"/>
  <c r="AV1019" i="6"/>
  <c r="AW1019" i="6" s="1" a="1"/>
  <c r="AW1019" i="6" s="1"/>
  <c r="AV1003" i="6"/>
  <c r="AW1003" i="6" s="1" a="1"/>
  <c r="AW1003" i="6" s="1"/>
  <c r="AV12" i="6"/>
  <c r="AW12" i="6" s="1" a="1"/>
  <c r="AW12" i="6" s="1"/>
  <c r="AY12" i="6" s="1"/>
  <c r="BC12" i="6" s="1"/>
  <c r="AV469" i="6"/>
  <c r="AW469" i="6" s="1" a="1"/>
  <c r="AW469" i="6" s="1"/>
  <c r="AV1562" i="6"/>
  <c r="AW1562" i="6" s="1" a="1"/>
  <c r="AW1562" i="6" s="1"/>
  <c r="AV1549" i="6"/>
  <c r="AW1549" i="6" s="1" a="1"/>
  <c r="AW1549" i="6" s="1"/>
  <c r="AV240" i="6"/>
  <c r="AW240" i="6" s="1" a="1"/>
  <c r="AW240" i="6" s="1"/>
  <c r="AV743" i="6"/>
  <c r="AW743" i="6" s="1" a="1"/>
  <c r="AW743" i="6" s="1"/>
  <c r="AV950" i="6"/>
  <c r="AW950" i="6" s="1" a="1"/>
  <c r="AW950" i="6" s="1"/>
  <c r="AV806" i="6"/>
  <c r="AW806" i="6" s="1" a="1"/>
  <c r="AW806" i="6" s="1"/>
  <c r="AV1044" i="6"/>
  <c r="AW1044" i="6" s="1" a="1"/>
  <c r="AW1044" i="6" s="1"/>
  <c r="AV137" i="6"/>
  <c r="AW137" i="6" s="1" a="1"/>
  <c r="AW137" i="6" s="1"/>
  <c r="AV768" i="6"/>
  <c r="AW768" i="6" s="1" a="1"/>
  <c r="AW768" i="6" s="1"/>
  <c r="AV136" i="6"/>
  <c r="AW136" i="6" s="1" a="1"/>
  <c r="AW136" i="6" s="1"/>
  <c r="AV746" i="6"/>
  <c r="AW746" i="6" s="1" a="1"/>
  <c r="AW746" i="6" s="1"/>
  <c r="AV747" i="6"/>
  <c r="AW747" i="6" s="1" a="1"/>
  <c r="AW747" i="6" s="1"/>
  <c r="AV1712" i="6"/>
  <c r="AW1712" i="6" s="1" a="1"/>
  <c r="AW1712" i="6" s="1"/>
  <c r="AV135" i="6"/>
  <c r="AW135" i="6" s="1" a="1"/>
  <c r="AW135" i="6" s="1"/>
  <c r="AV58" i="6"/>
  <c r="AW58" i="6" s="1" a="1"/>
  <c r="AW58" i="6" s="1"/>
  <c r="AV603" i="6"/>
  <c r="AW603" i="6" s="1" a="1"/>
  <c r="AW603" i="6" s="1"/>
  <c r="AV697" i="6"/>
  <c r="AW697" i="6" s="1" a="1"/>
  <c r="AW697" i="6" s="1"/>
  <c r="AV416" i="6"/>
  <c r="AW416" i="6" s="1" a="1"/>
  <c r="AW416" i="6" s="1"/>
  <c r="AV213" i="6"/>
  <c r="AW213" i="6" s="1" a="1"/>
  <c r="AW213" i="6" s="1"/>
  <c r="AV904" i="6"/>
  <c r="AW904" i="6" s="1" a="1"/>
  <c r="AW904" i="6" s="1"/>
  <c r="AV1410" i="6"/>
  <c r="AW1410" i="6" s="1" a="1"/>
  <c r="AW1410" i="6" s="1"/>
  <c r="AV696" i="6"/>
  <c r="AW696" i="6" s="1" a="1"/>
  <c r="AW696" i="6" s="1"/>
  <c r="AV31" i="6"/>
  <c r="AW31" i="6" s="1" a="1"/>
  <c r="AW31" i="6" s="1"/>
  <c r="AV28" i="6"/>
  <c r="AW28" i="6" s="1" a="1"/>
  <c r="AW28" i="6" s="1"/>
  <c r="AV30" i="6"/>
  <c r="AW30" i="6" s="1" a="1"/>
  <c r="AW30" i="6" s="1"/>
  <c r="AV42" i="6"/>
  <c r="AW42" i="6" s="1" a="1"/>
  <c r="AW42" i="6" s="1"/>
  <c r="AV26" i="6"/>
  <c r="AW26" i="6" s="1" a="1"/>
  <c r="AW26" i="6" s="1"/>
  <c r="AV801" i="6"/>
  <c r="AW801" i="6" s="1" a="1"/>
  <c r="AW801" i="6" s="1"/>
  <c r="AV1241" i="6"/>
  <c r="AW1241" i="6" s="1" a="1"/>
  <c r="AW1241" i="6" s="1"/>
  <c r="AV564" i="6"/>
  <c r="AW564" i="6" s="1" a="1"/>
  <c r="AW564" i="6" s="1"/>
  <c r="AV1255" i="6"/>
  <c r="AW1255" i="6" s="1" a="1"/>
  <c r="AW1255" i="6" s="1"/>
  <c r="AV598" i="6"/>
  <c r="AW598" i="6" s="1" a="1"/>
  <c r="AW598" i="6" s="1"/>
  <c r="AV90" i="6"/>
  <c r="AW90" i="6" s="1" a="1"/>
  <c r="AW90" i="6" s="1"/>
  <c r="AV1148" i="6"/>
  <c r="AW1148" i="6" s="1" a="1"/>
  <c r="AW1148" i="6" s="1"/>
  <c r="AV1685" i="6"/>
  <c r="AW1685" i="6" s="1" a="1"/>
  <c r="AW1685" i="6" s="1"/>
  <c r="AV875" i="6"/>
  <c r="AW875" i="6" s="1" a="1"/>
  <c r="AW875" i="6" s="1"/>
  <c r="AV873" i="6"/>
  <c r="AW873" i="6" s="1" a="1"/>
  <c r="AW873" i="6" s="1"/>
  <c r="AV1373" i="6"/>
  <c r="AW1373" i="6" s="1" a="1"/>
  <c r="AW1373" i="6" s="1"/>
  <c r="AV1281" i="6"/>
  <c r="AW1281" i="6" s="1" a="1"/>
  <c r="AW1281" i="6" s="1"/>
  <c r="AV580" i="6"/>
  <c r="AW580" i="6" s="1" a="1"/>
  <c r="AW580" i="6" s="1"/>
  <c r="AV912" i="6"/>
  <c r="AW912" i="6" s="1" a="1"/>
  <c r="AW912" i="6" s="1"/>
  <c r="AV909" i="6"/>
  <c r="AW909" i="6" s="1" a="1"/>
  <c r="AW909" i="6" s="1"/>
  <c r="AV1487" i="6"/>
  <c r="AW1487" i="6" s="1" a="1"/>
  <c r="AW1487" i="6" s="1"/>
  <c r="AV380" i="6"/>
  <c r="AW380" i="6" s="1" a="1"/>
  <c r="AW380" i="6" s="1"/>
  <c r="AV1147" i="6"/>
  <c r="AW1147" i="6" s="1" a="1"/>
  <c r="AW1147" i="6" s="1"/>
  <c r="AV89" i="6"/>
  <c r="AW89" i="6" s="1" a="1"/>
  <c r="AW89" i="6" s="1"/>
  <c r="AV916" i="6"/>
  <c r="AW916" i="6" s="1" a="1"/>
  <c r="AW916" i="6" s="1"/>
  <c r="AV1146" i="6"/>
  <c r="AW1146" i="6" s="1" a="1"/>
  <c r="AW1146" i="6" s="1"/>
  <c r="AV1450" i="6"/>
  <c r="AW1450" i="6" s="1" a="1"/>
  <c r="AW1450" i="6" s="1"/>
  <c r="AV597" i="6"/>
  <c r="AW597" i="6" s="1" a="1"/>
  <c r="AW597" i="6" s="1"/>
  <c r="AV1200" i="6"/>
  <c r="AW1200" i="6" s="1" a="1"/>
  <c r="AW1200" i="6" s="1"/>
  <c r="AV1356" i="6"/>
  <c r="AW1356" i="6" s="1" a="1"/>
  <c r="AW1356" i="6" s="1"/>
  <c r="AV581" i="6"/>
  <c r="AW581" i="6" s="1" a="1"/>
  <c r="AW581" i="6" s="1"/>
  <c r="AV712" i="6"/>
  <c r="AW712" i="6" s="1" a="1"/>
  <c r="AW712" i="6" s="1"/>
  <c r="AV1362" i="6"/>
  <c r="AW1362" i="6" s="1" a="1"/>
  <c r="AW1362" i="6" s="1"/>
  <c r="AV1231" i="6"/>
  <c r="AW1231" i="6" s="1" a="1"/>
  <c r="AW1231" i="6" s="1"/>
  <c r="AV242" i="6"/>
  <c r="AW242" i="6" s="1" a="1"/>
  <c r="AW242" i="6" s="1"/>
  <c r="AV267" i="6"/>
  <c r="AW267" i="6" s="1" a="1"/>
  <c r="AW267" i="6" s="1"/>
  <c r="AV918" i="6"/>
  <c r="AW918" i="6" s="1" a="1"/>
  <c r="AW918" i="6" s="1"/>
  <c r="AV682" i="6"/>
  <c r="AW682" i="6" s="1" a="1"/>
  <c r="AW682" i="6" s="1"/>
  <c r="AV587" i="6"/>
  <c r="AW587" i="6" s="1" a="1"/>
  <c r="AW587" i="6" s="1"/>
  <c r="AV1600" i="6"/>
  <c r="AW1600" i="6" s="1" a="1"/>
  <c r="AW1600" i="6" s="1"/>
  <c r="AV1089" i="6"/>
  <c r="AW1089" i="6" s="1" a="1"/>
  <c r="AW1089" i="6" s="1"/>
  <c r="AV54" i="6"/>
  <c r="AW54" i="6" s="1" a="1"/>
  <c r="AW54" i="6" s="1"/>
  <c r="AV673" i="6"/>
  <c r="AW673" i="6" s="1" a="1"/>
  <c r="AW673" i="6" s="1"/>
  <c r="AV312" i="6"/>
  <c r="AW312" i="6" s="1" a="1"/>
  <c r="AW312" i="6" s="1"/>
  <c r="AV864" i="6"/>
  <c r="AW864" i="6" s="1" a="1"/>
  <c r="AW864" i="6" s="1"/>
  <c r="AV314" i="6"/>
  <c r="AW314" i="6" s="1" a="1"/>
  <c r="AW314" i="6" s="1"/>
  <c r="AV107" i="6"/>
  <c r="AW107" i="6" s="1" a="1"/>
  <c r="AW107" i="6" s="1"/>
  <c r="AV316" i="6"/>
  <c r="AW316" i="6" s="1" a="1"/>
  <c r="AW316" i="6" s="1"/>
  <c r="AV36" i="6"/>
  <c r="AW36" i="6" s="1" a="1"/>
  <c r="AW36" i="6" s="1"/>
  <c r="AV71" i="6"/>
  <c r="AW71" i="6" s="1" a="1"/>
  <c r="AW71" i="6" s="1"/>
  <c r="AV79" i="6"/>
  <c r="AW79" i="6" s="1" a="1"/>
  <c r="AW79" i="6" s="1"/>
  <c r="AV82" i="6"/>
  <c r="AW82" i="6" s="1" a="1"/>
  <c r="AW82" i="6" s="1"/>
  <c r="AV1029" i="6"/>
  <c r="AW1029" i="6" s="1" a="1"/>
  <c r="AW1029" i="6" s="1"/>
  <c r="AV832" i="6"/>
  <c r="AW832" i="6" s="1" a="1"/>
  <c r="AW832" i="6" s="1"/>
  <c r="AV499" i="6"/>
  <c r="AW499" i="6" s="1" a="1"/>
  <c r="AW499" i="6" s="1"/>
  <c r="AV1212" i="6"/>
  <c r="AW1212" i="6" s="1" a="1"/>
  <c r="AW1212" i="6" s="1"/>
  <c r="AV360" i="6"/>
  <c r="AW360" i="6" s="1" a="1"/>
  <c r="AW360" i="6" s="1"/>
  <c r="AV72" i="6"/>
  <c r="AW72" i="6" s="1" a="1"/>
  <c r="AW72" i="6" s="1"/>
  <c r="AV78" i="6"/>
  <c r="AW78" i="6" s="1" a="1"/>
  <c r="AW78" i="6" s="1"/>
  <c r="AV80" i="6"/>
  <c r="AW80" i="6" s="1" a="1"/>
  <c r="AW80" i="6" s="1"/>
  <c r="AV77" i="6"/>
  <c r="AW77" i="6" s="1" a="1"/>
  <c r="AW77" i="6" s="1"/>
  <c r="AV1076" i="6"/>
  <c r="AW1076" i="6" s="1" a="1"/>
  <c r="AW1076" i="6" s="1"/>
  <c r="AV1503" i="6"/>
  <c r="AW1503" i="6" s="1" a="1"/>
  <c r="AW1503" i="6" s="1"/>
  <c r="AV711" i="6"/>
  <c r="AW711" i="6" s="1" a="1"/>
  <c r="AW711" i="6" s="1"/>
  <c r="AV1340" i="6"/>
  <c r="AW1340" i="6" s="1" a="1"/>
  <c r="AW1340" i="6" s="1"/>
  <c r="AV1341" i="6"/>
  <c r="AW1341" i="6" s="1" a="1"/>
  <c r="AW1341" i="6" s="1"/>
  <c r="AV331" i="6"/>
  <c r="AW331" i="6" s="1" a="1"/>
  <c r="AW331" i="6" s="1"/>
  <c r="AV1720" i="6"/>
  <c r="AW1720" i="6" s="1" a="1"/>
  <c r="AW1720" i="6" s="1"/>
  <c r="AV1719" i="6"/>
  <c r="AW1719" i="6" s="1" a="1"/>
  <c r="AW1719" i="6" s="1"/>
  <c r="AV129" i="6"/>
  <c r="AW129" i="6" s="1" a="1"/>
  <c r="AW129" i="6" s="1"/>
  <c r="AV202" i="6"/>
  <c r="AW202" i="6" s="1" a="1"/>
  <c r="AW202" i="6" s="1"/>
  <c r="AV155" i="6"/>
  <c r="AW155" i="6" s="1" a="1"/>
  <c r="AW155" i="6" s="1"/>
  <c r="AV201" i="6"/>
  <c r="AW201" i="6" s="1" a="1"/>
  <c r="AW201" i="6" s="1"/>
  <c r="AV200" i="6"/>
  <c r="AW200" i="6" s="1" a="1"/>
  <c r="AW200" i="6" s="1"/>
  <c r="AV199" i="6"/>
  <c r="AW199" i="6" s="1" a="1"/>
  <c r="AW199" i="6" s="1"/>
  <c r="AV154" i="6"/>
  <c r="AW154" i="6" s="1" a="1"/>
  <c r="AW154" i="6" s="1"/>
  <c r="AV1509" i="6"/>
  <c r="AW1509" i="6" s="1" a="1"/>
  <c r="AW1509" i="6" s="1"/>
  <c r="AV1531" i="6"/>
  <c r="AW1531" i="6" s="1" a="1"/>
  <c r="AW1531" i="6" s="1"/>
  <c r="AV1532" i="6"/>
  <c r="AW1532" i="6" s="1" a="1"/>
  <c r="AW1532" i="6" s="1"/>
  <c r="AV1053" i="6"/>
  <c r="AW1053" i="6" s="1" a="1"/>
  <c r="AW1053" i="6" s="1"/>
  <c r="AV226" i="6"/>
  <c r="AW226" i="6" s="1" a="1"/>
  <c r="AW226" i="6" s="1"/>
  <c r="AV1059" i="6"/>
  <c r="AW1059" i="6" s="1" a="1"/>
  <c r="AW1059" i="6" s="1"/>
  <c r="AV723" i="6"/>
  <c r="AW723" i="6" s="1" a="1"/>
  <c r="AW723" i="6" s="1"/>
  <c r="AV724" i="6"/>
  <c r="AW724" i="6" s="1" a="1"/>
  <c r="AW724" i="6" s="1"/>
  <c r="AX724" i="6" s="1"/>
  <c r="AV161" i="6"/>
  <c r="AW161" i="6" s="1" a="1"/>
  <c r="AW161" i="6" s="1"/>
  <c r="AV394" i="6"/>
  <c r="AW394" i="6" s="1" a="1"/>
  <c r="AW394" i="6" s="1"/>
  <c r="AX394" i="6" s="1"/>
  <c r="AV1472" i="6"/>
  <c r="AW1472" i="6" s="1" a="1"/>
  <c r="AW1472" i="6" s="1"/>
  <c r="AV1041" i="6"/>
  <c r="AW1041" i="6" s="1" a="1"/>
  <c r="AW1041" i="6" s="1"/>
  <c r="AV1541" i="6"/>
  <c r="AW1541" i="6" s="1" a="1"/>
  <c r="AW1541" i="6" s="1"/>
  <c r="AV1320" i="6"/>
  <c r="AW1320" i="6" s="1" a="1"/>
  <c r="AW1320" i="6" s="1"/>
  <c r="AV658" i="6"/>
  <c r="AW658" i="6" s="1" a="1"/>
  <c r="AW658" i="6" s="1"/>
  <c r="AV233" i="6"/>
  <c r="AW233" i="6" s="1" a="1"/>
  <c r="AW233" i="6" s="1"/>
  <c r="AV1449" i="6"/>
  <c r="AW1449" i="6" s="1" a="1"/>
  <c r="AW1449" i="6" s="1"/>
  <c r="AV1324" i="6"/>
  <c r="AW1324" i="6" s="1" a="1"/>
  <c r="AW1324" i="6" s="1"/>
  <c r="AV375" i="6"/>
  <c r="AW375" i="6" s="1" a="1"/>
  <c r="AW375" i="6" s="1"/>
  <c r="AV999" i="6"/>
  <c r="AW999" i="6" s="1" a="1"/>
  <c r="AW999" i="6" s="1"/>
  <c r="AV411" i="6"/>
  <c r="AW411" i="6" s="1" a="1"/>
  <c r="AW411" i="6" s="1"/>
  <c r="AV47" i="6"/>
  <c r="AW47" i="6" s="1" a="1"/>
  <c r="AW47" i="6" s="1"/>
  <c r="AV266" i="6"/>
  <c r="AW266" i="6" s="1" a="1"/>
  <c r="AW266" i="6" s="1"/>
  <c r="AV1028" i="6"/>
  <c r="AW1028" i="6" s="1" a="1"/>
  <c r="AW1028" i="6" s="1"/>
  <c r="AV294" i="6"/>
  <c r="AW294" i="6" s="1" a="1"/>
  <c r="AW294" i="6" s="1"/>
  <c r="AV148" i="6"/>
  <c r="AW148" i="6" s="1" a="1"/>
  <c r="AW148" i="6" s="1"/>
  <c r="AV998" i="6"/>
  <c r="AW998" i="6" s="1" a="1"/>
  <c r="AW998" i="6" s="1"/>
  <c r="AV1034" i="6"/>
  <c r="AW1034" i="6" s="1" a="1"/>
  <c r="AW1034" i="6" s="1"/>
  <c r="AV231" i="6"/>
  <c r="AW231" i="6" s="1" a="1"/>
  <c r="AW231" i="6" s="1"/>
  <c r="AV492" i="6"/>
  <c r="AW492" i="6" s="1" a="1"/>
  <c r="AW492" i="6" s="1"/>
  <c r="AV163" i="6"/>
  <c r="AW163" i="6" s="1" a="1"/>
  <c r="AW163" i="6" s="1"/>
  <c r="AV1229" i="6"/>
  <c r="AW1229" i="6" s="1" a="1"/>
  <c r="AW1229" i="6" s="1"/>
  <c r="AX1229" i="6" s="1"/>
  <c r="AV152" i="6"/>
  <c r="AW152" i="6" s="1" a="1"/>
  <c r="AW152" i="6" s="1"/>
  <c r="AV371" i="6"/>
  <c r="AW371" i="6" s="1" a="1"/>
  <c r="AW371" i="6" s="1"/>
  <c r="AV1736" i="6"/>
  <c r="AW1736" i="6" s="1" a="1"/>
  <c r="AW1736" i="6" s="1"/>
  <c r="AX1736" i="6" s="1"/>
  <c r="AV1724" i="6"/>
  <c r="AW1724" i="6" s="1" a="1"/>
  <c r="AW1724" i="6" s="1"/>
  <c r="AV400" i="6"/>
  <c r="AW400" i="6" s="1" a="1"/>
  <c r="AW400" i="6" s="1"/>
  <c r="AV781" i="6"/>
  <c r="AW781" i="6" s="1" a="1"/>
  <c r="AW781" i="6" s="1"/>
  <c r="AV762" i="6"/>
  <c r="AW762" i="6" s="1" a="1"/>
  <c r="AW762" i="6" s="1"/>
  <c r="AV1018" i="6"/>
  <c r="AW1018" i="6" s="1" a="1"/>
  <c r="AW1018" i="6" s="1"/>
  <c r="AV1593" i="6"/>
  <c r="AW1593" i="6" s="1" a="1"/>
  <c r="AW1593" i="6" s="1"/>
  <c r="AV86" i="6"/>
  <c r="AW86" i="6" s="1" a="1"/>
  <c r="AW86" i="6" s="1"/>
  <c r="AX86" i="6" s="1"/>
  <c r="AV797" i="6"/>
  <c r="AW797" i="6" s="1" a="1"/>
  <c r="AW797" i="6" s="1"/>
  <c r="AX797" i="6" s="1"/>
  <c r="AV717" i="6"/>
  <c r="AW717" i="6" s="1" a="1"/>
  <c r="AW717" i="6" s="1"/>
  <c r="AV1088" i="6"/>
  <c r="AW1088" i="6" s="1" a="1"/>
  <c r="AW1088" i="6" s="1"/>
  <c r="AX1088" i="6" s="1"/>
  <c r="AV760" i="6"/>
  <c r="AW760" i="6" s="1" a="1"/>
  <c r="AW760" i="6" s="1"/>
  <c r="AV540" i="6"/>
  <c r="AW540" i="6" s="1" a="1"/>
  <c r="AW540" i="6" s="1"/>
  <c r="AX540" i="6" s="1"/>
  <c r="AV1205" i="6"/>
  <c r="AW1205" i="6" s="1" a="1"/>
  <c r="AW1205" i="6" s="1"/>
  <c r="AX1205" i="6" s="1"/>
  <c r="AV425" i="6"/>
  <c r="AW425" i="6" s="1" a="1"/>
  <c r="AW425" i="6" s="1"/>
  <c r="AX425" i="6" s="1"/>
  <c r="AV424" i="6"/>
  <c r="AW424" i="6" s="1" a="1"/>
  <c r="AW424" i="6" s="1"/>
  <c r="AV423" i="6"/>
  <c r="AW423" i="6" s="1" a="1"/>
  <c r="AW423" i="6" s="1"/>
  <c r="AV421" i="6"/>
  <c r="AW421" i="6" s="1" a="1"/>
  <c r="AW421" i="6" s="1"/>
  <c r="AV983" i="6"/>
  <c r="AW983" i="6" s="1" a="1"/>
  <c r="AW983" i="6" s="1"/>
  <c r="AX983" i="6" s="1"/>
  <c r="AV842" i="6"/>
  <c r="AW842" i="6" s="1" a="1"/>
  <c r="AW842" i="6" s="1"/>
  <c r="AX842" i="6" s="1"/>
  <c r="AV310" i="6"/>
  <c r="AW310" i="6" s="1" a="1"/>
  <c r="AW310" i="6" s="1"/>
  <c r="AX310" i="6" s="1"/>
  <c r="AV841" i="6"/>
  <c r="AW841" i="6" s="1" a="1"/>
  <c r="AW841" i="6" s="1"/>
  <c r="AX841" i="6" s="1"/>
  <c r="AV1132" i="6"/>
  <c r="AW1132" i="6" s="1" a="1"/>
  <c r="AW1132" i="6" s="1"/>
  <c r="AV1681" i="6"/>
  <c r="AW1681" i="6" s="1" a="1"/>
  <c r="AW1681" i="6" s="1"/>
  <c r="AX1681" i="6" s="1"/>
  <c r="AV277" i="6"/>
  <c r="AW277" i="6" s="1" a="1"/>
  <c r="AW277" i="6" s="1"/>
  <c r="AX277" i="6" s="1"/>
  <c r="AV1471" i="6"/>
  <c r="AW1471" i="6" s="1" a="1"/>
  <c r="AW1471" i="6" s="1"/>
  <c r="AV1102" i="6"/>
  <c r="AW1102" i="6" s="1" a="1"/>
  <c r="AW1102" i="6" s="1"/>
  <c r="AV311" i="6"/>
  <c r="AW311" i="6" s="1" a="1"/>
  <c r="AW311" i="6" s="1"/>
  <c r="AV1181" i="6"/>
  <c r="AW1181" i="6" s="1" a="1"/>
  <c r="AW1181" i="6" s="1"/>
  <c r="AV491" i="6"/>
  <c r="AW491" i="6" s="1" a="1"/>
  <c r="AW491" i="6" s="1"/>
  <c r="AX491" i="6" s="1"/>
  <c r="AV309" i="6"/>
  <c r="AW309" i="6" s="1" a="1"/>
  <c r="AW309" i="6" s="1"/>
  <c r="AV307" i="6"/>
  <c r="AW307" i="6" s="1" a="1"/>
  <c r="AW307" i="6" s="1"/>
  <c r="AV306" i="6"/>
  <c r="AW306" i="6" s="1" a="1"/>
  <c r="AW306" i="6" s="1"/>
  <c r="AV305" i="6"/>
  <c r="AW305" i="6" s="1" a="1"/>
  <c r="AW305" i="6" s="1"/>
  <c r="AV1560" i="6"/>
  <c r="AW1560" i="6" s="1" a="1"/>
  <c r="AW1560" i="6" s="1"/>
  <c r="AX1560" i="6" s="1"/>
  <c r="AV74" i="6"/>
  <c r="AW74" i="6" s="1" a="1"/>
  <c r="AW74" i="6" s="1"/>
  <c r="AV1251" i="6"/>
  <c r="AW1251" i="6" s="1" a="1"/>
  <c r="AW1251" i="6" s="1"/>
  <c r="AX1251" i="6" s="1"/>
  <c r="AV168" i="6"/>
  <c r="AW168" i="6" s="1" a="1"/>
  <c r="AW168" i="6" s="1"/>
  <c r="AV4" i="6"/>
  <c r="AW4" i="6" s="1" a="1"/>
  <c r="AW4" i="6" s="1"/>
  <c r="AV304" i="6"/>
  <c r="AW304" i="6" s="1" a="1"/>
  <c r="AW304" i="6" s="1"/>
  <c r="AV100" i="6"/>
  <c r="AW100" i="6" s="1" a="1"/>
  <c r="AW100" i="6" s="1"/>
  <c r="AV522" i="6"/>
  <c r="AW522" i="6" s="1" a="1"/>
  <c r="AW522" i="6" s="1"/>
  <c r="AX522" i="6" s="1"/>
  <c r="AV1054" i="6"/>
  <c r="AW1054" i="6" s="1" a="1"/>
  <c r="AW1054" i="6" s="1"/>
  <c r="AV321" i="6"/>
  <c r="AW321" i="6" s="1" a="1"/>
  <c r="AW321" i="6" s="1"/>
  <c r="AX321" i="6" s="1"/>
  <c r="AV354" i="6"/>
  <c r="AW354" i="6" s="1" a="1"/>
  <c r="AW354" i="6" s="1"/>
  <c r="AV396" i="6"/>
  <c r="AW396" i="6" s="1" a="1"/>
  <c r="AW396" i="6" s="1"/>
  <c r="AV497" i="6"/>
  <c r="AW497" i="6" s="1" a="1"/>
  <c r="AW497" i="6" s="1"/>
  <c r="AV566" i="6"/>
  <c r="AW566" i="6" s="1" a="1"/>
  <c r="AW566" i="6" s="1"/>
  <c r="AV1343" i="6"/>
  <c r="AW1343" i="6" s="1" a="1"/>
  <c r="AW1343" i="6" s="1"/>
  <c r="AX1343" i="6" s="1"/>
  <c r="AV238" i="6"/>
  <c r="AW238" i="6" s="1" a="1"/>
  <c r="AW238" i="6" s="1"/>
  <c r="AV1064" i="6"/>
  <c r="AW1064" i="6" s="1" a="1"/>
  <c r="AW1064" i="6" s="1"/>
  <c r="AV1561" i="6"/>
  <c r="AW1561" i="6" s="1" a="1"/>
  <c r="AW1561" i="6" s="1"/>
  <c r="AV346" i="6"/>
  <c r="AW346" i="6" s="1" a="1"/>
  <c r="AW346" i="6" s="1"/>
  <c r="AV340" i="6"/>
  <c r="AW340" i="6" s="1" a="1"/>
  <c r="AW340" i="6" s="1"/>
  <c r="AV441" i="6"/>
  <c r="AW441" i="6" s="1" a="1"/>
  <c r="AW441" i="6" s="1"/>
  <c r="AX441" i="6" s="1"/>
  <c r="AV979" i="6"/>
  <c r="AW979" i="6" s="1" a="1"/>
  <c r="AW979" i="6" s="1"/>
  <c r="AV1248" i="6"/>
  <c r="AW1248" i="6" s="1" a="1"/>
  <c r="AW1248" i="6" s="1"/>
  <c r="AX1248" i="6" s="1"/>
  <c r="AV643" i="6"/>
  <c r="AW643" i="6" s="1" a="1"/>
  <c r="AW643" i="6" s="1"/>
  <c r="AV638" i="6"/>
  <c r="AW638" i="6" s="1" a="1"/>
  <c r="AW638" i="6" s="1"/>
  <c r="AV1015" i="6"/>
  <c r="AW1015" i="6" s="1" a="1"/>
  <c r="AW1015" i="6" s="1"/>
  <c r="AV443" i="6"/>
  <c r="AW443" i="6" s="1" a="1"/>
  <c r="AW443" i="6" s="1"/>
  <c r="AV3" i="6"/>
  <c r="AW3" i="6" s="1" a="1"/>
  <c r="AW3" i="6" s="1"/>
  <c r="AV708" i="6"/>
  <c r="AW708" i="6" s="1" a="1"/>
  <c r="AW708" i="6" s="1"/>
  <c r="AX708" i="6" s="1"/>
  <c r="AV1391" i="6"/>
  <c r="AW1391" i="6" s="1" a="1"/>
  <c r="AW1391" i="6" s="1"/>
  <c r="AV1646" i="6"/>
  <c r="AW1646" i="6" s="1" a="1"/>
  <c r="AW1646" i="6" s="1"/>
  <c r="AX1646" i="6" s="1"/>
  <c r="AV622" i="6"/>
  <c r="AW622" i="6" s="1" a="1"/>
  <c r="AW622" i="6" s="1"/>
  <c r="AV1424" i="6"/>
  <c r="AW1424" i="6" s="1" a="1"/>
  <c r="AW1424" i="6" s="1"/>
  <c r="AV1372" i="6"/>
  <c r="AW1372" i="6" s="1" a="1"/>
  <c r="AW1372" i="6" s="1"/>
  <c r="AV636" i="6"/>
  <c r="AW636" i="6" s="1" a="1"/>
  <c r="AW636" i="6" s="1"/>
  <c r="AV707" i="6"/>
  <c r="AW707" i="6" s="1" a="1"/>
  <c r="AW707" i="6" s="1"/>
  <c r="AV1423" i="6"/>
  <c r="AW1423" i="6" s="1" a="1"/>
  <c r="AW1423" i="6" s="1"/>
  <c r="AV558" i="6"/>
  <c r="AW558" i="6" s="1" a="1"/>
  <c r="AW558" i="6" s="1"/>
  <c r="AV1209" i="6"/>
  <c r="AW1209" i="6" s="1" a="1"/>
  <c r="AW1209" i="6" s="1"/>
  <c r="AV1553" i="6"/>
  <c r="AW1553" i="6" s="1" a="1"/>
  <c r="AW1553" i="6" s="1"/>
  <c r="AV1371" i="6"/>
  <c r="AW1371" i="6" s="1" a="1"/>
  <c r="AW1371" i="6" s="1"/>
  <c r="AX1371" i="6" s="1"/>
  <c r="AV947" i="6"/>
  <c r="AW947" i="6" s="1" a="1"/>
  <c r="AW947" i="6" s="1"/>
  <c r="AV1247" i="6"/>
  <c r="AW1247" i="6" s="1" a="1"/>
  <c r="AW1247" i="6" s="1"/>
  <c r="AV1493" i="6"/>
  <c r="AW1493" i="6" s="1" a="1"/>
  <c r="AW1493" i="6" s="1"/>
  <c r="AV1238" i="6"/>
  <c r="AW1238" i="6" s="1" a="1"/>
  <c r="AW1238" i="6" s="1"/>
  <c r="AV1556" i="6"/>
  <c r="AW1556" i="6" s="1" a="1"/>
  <c r="AW1556" i="6" s="1"/>
  <c r="AV1344" i="6"/>
  <c r="AW1344" i="6" s="1" a="1"/>
  <c r="AW1344" i="6" s="1"/>
  <c r="AX1344" i="6" s="1"/>
  <c r="AV571" i="6"/>
  <c r="AW571" i="6" s="1" a="1"/>
  <c r="AW571" i="6" s="1"/>
  <c r="AV308" i="6"/>
  <c r="AW308" i="6" s="1" a="1"/>
  <c r="AW308" i="6" s="1"/>
  <c r="AV1243" i="6"/>
  <c r="AW1243" i="6" s="1" a="1"/>
  <c r="AW1243" i="6" s="1"/>
  <c r="AV989" i="6"/>
  <c r="AW989" i="6" s="1" a="1"/>
  <c r="AW989" i="6" s="1"/>
  <c r="AV1401" i="6"/>
  <c r="AW1401" i="6" s="1" a="1"/>
  <c r="AW1401" i="6" s="1"/>
  <c r="AV440" i="6"/>
  <c r="AW440" i="6" s="1" a="1"/>
  <c r="AW440" i="6" s="1"/>
  <c r="AV1139" i="6"/>
  <c r="AW1139" i="6" s="1" a="1"/>
  <c r="AW1139" i="6" s="1"/>
  <c r="AV813" i="6"/>
  <c r="AW813" i="6" s="1" a="1"/>
  <c r="AW813" i="6" s="1"/>
  <c r="AV420" i="6"/>
  <c r="AW420" i="6" s="1" a="1"/>
  <c r="AW420" i="6" s="1"/>
  <c r="AV419" i="6"/>
  <c r="AW419" i="6" s="1" a="1"/>
  <c r="AW419" i="6" s="1"/>
  <c r="BA419" i="6" s="1"/>
  <c r="AZ419" i="6" s="1"/>
  <c r="AV1559" i="6"/>
  <c r="AW1559" i="6" s="1" a="1"/>
  <c r="AW1559" i="6" s="1"/>
  <c r="AV880" i="6"/>
  <c r="AW880" i="6" s="1" a="1"/>
  <c r="AW880" i="6" s="1"/>
  <c r="AX880" i="6" s="1"/>
  <c r="AV1077" i="6"/>
  <c r="AW1077" i="6" s="1" a="1"/>
  <c r="AW1077" i="6" s="1"/>
  <c r="BA1077" i="6" s="1"/>
  <c r="AZ1077" i="6" s="1"/>
  <c r="AV1043" i="6"/>
  <c r="AW1043" i="6" s="1" a="1"/>
  <c r="AW1043" i="6" s="1"/>
  <c r="BA1043" i="6" s="1"/>
  <c r="AZ1043" i="6" s="1"/>
  <c r="AV127" i="6"/>
  <c r="AW127" i="6" s="1" a="1"/>
  <c r="AW127" i="6" s="1"/>
  <c r="AY127" i="6" s="1"/>
  <c r="BC127" i="6" s="1"/>
  <c r="AV1547" i="6"/>
  <c r="AW1547" i="6" s="1" a="1"/>
  <c r="AW1547" i="6" s="1"/>
  <c r="AV251" i="6"/>
  <c r="AW251" i="6" s="1" a="1"/>
  <c r="AW251" i="6" s="1"/>
  <c r="BA251" i="6" s="1"/>
  <c r="AZ251" i="6" s="1"/>
  <c r="AV954" i="6"/>
  <c r="AW954" i="6" s="1" a="1"/>
  <c r="AW954" i="6" s="1"/>
  <c r="AV25" i="6"/>
  <c r="AW25" i="6" s="1" a="1"/>
  <c r="AW25" i="6" s="1"/>
  <c r="AV800" i="6"/>
  <c r="AW800" i="6" s="1" a="1"/>
  <c r="AW800" i="6" s="1"/>
  <c r="AX800" i="6" s="1"/>
  <c r="AV860" i="6"/>
  <c r="AW860" i="6" s="1" a="1"/>
  <c r="AW860" i="6" s="1"/>
  <c r="AV861" i="6"/>
  <c r="AW861" i="6" s="1" a="1"/>
  <c r="AW861" i="6" s="1"/>
  <c r="AX861" i="6" s="1"/>
  <c r="AV863" i="6"/>
  <c r="AW863" i="6" s="1" a="1"/>
  <c r="AW863" i="6" s="1"/>
  <c r="BA863" i="6" s="1"/>
  <c r="AZ863" i="6" s="1"/>
  <c r="AV103" i="6"/>
  <c r="AW103" i="6" s="1" a="1"/>
  <c r="AW103" i="6" s="1"/>
  <c r="AV44" i="6"/>
  <c r="AW44" i="6" s="1" a="1"/>
  <c r="AW44" i="6" s="1"/>
  <c r="BA44" i="6" s="1"/>
  <c r="AZ44" i="6" s="1"/>
  <c r="AV27" i="6"/>
  <c r="AW27" i="6" s="1" a="1"/>
  <c r="AW27" i="6" s="1"/>
  <c r="AV253" i="6"/>
  <c r="AW253" i="6" s="1" a="1"/>
  <c r="AW253" i="6" s="1"/>
  <c r="AY253" i="6" s="1"/>
  <c r="BC253" i="6" s="1"/>
  <c r="AV252" i="6"/>
  <c r="AW252" i="6" s="1" a="1"/>
  <c r="AW252" i="6" s="1"/>
  <c r="AY252" i="6" s="1"/>
  <c r="BC252" i="6" s="1"/>
  <c r="AV593" i="6"/>
  <c r="AW593" i="6" s="1" a="1"/>
  <c r="AW593" i="6" s="1"/>
  <c r="AV799" i="6"/>
  <c r="AW799" i="6" s="1" a="1"/>
  <c r="AW799" i="6" s="1"/>
  <c r="BA799" i="6" s="1"/>
  <c r="AZ799" i="6" s="1"/>
  <c r="AV784" i="6"/>
  <c r="AW784" i="6" s="1" a="1"/>
  <c r="AW784" i="6" s="1"/>
  <c r="AX784" i="6" s="1"/>
  <c r="AV698" i="6"/>
  <c r="AW698" i="6" s="1" a="1"/>
  <c r="AW698" i="6" s="1"/>
  <c r="AV782" i="6"/>
  <c r="AW782" i="6" s="1" a="1"/>
  <c r="AW782" i="6" s="1"/>
  <c r="AV1007" i="6"/>
  <c r="AW1007" i="6" s="1" a="1"/>
  <c r="AW1007" i="6" s="1"/>
  <c r="AV772" i="6"/>
  <c r="AW772" i="6" s="1" a="1"/>
  <c r="AW772" i="6" s="1"/>
  <c r="AX772" i="6" s="1"/>
  <c r="AV783" i="6"/>
  <c r="AW783" i="6" s="1" a="1"/>
  <c r="AW783" i="6" s="1"/>
  <c r="AV147" i="6"/>
  <c r="AW147" i="6" s="1" a="1"/>
  <c r="AW147" i="6" s="1"/>
  <c r="BA147" i="6" s="1"/>
  <c r="AZ147" i="6" s="1"/>
  <c r="AV1367" i="6"/>
  <c r="AW1367" i="6" s="1" a="1"/>
  <c r="AW1367" i="6" s="1"/>
  <c r="AY1367" i="6" s="1"/>
  <c r="BC1367" i="6" s="1"/>
  <c r="AV949" i="6"/>
  <c r="AW949" i="6" s="1" a="1"/>
  <c r="AW949" i="6" s="1"/>
  <c r="AY949" i="6" s="1"/>
  <c r="BC949" i="6" s="1"/>
  <c r="AV695" i="6"/>
  <c r="AW695" i="6" s="1" a="1"/>
  <c r="AW695" i="6" s="1"/>
  <c r="AV1366" i="6"/>
  <c r="AW1366" i="6" s="1" a="1"/>
  <c r="AW1366" i="6" s="1"/>
  <c r="AV917" i="6"/>
  <c r="AW917" i="6" s="1" a="1"/>
  <c r="AW917" i="6" s="1"/>
  <c r="AV1004" i="6"/>
  <c r="AW1004" i="6" s="1" a="1"/>
  <c r="AW1004" i="6" s="1"/>
  <c r="AV991" i="6"/>
  <c r="AW991" i="6" s="1" a="1"/>
  <c r="AW991" i="6" s="1"/>
  <c r="AY991" i="6" s="1"/>
  <c r="BC991" i="6" s="1"/>
  <c r="AV628" i="6"/>
  <c r="AW628" i="6" s="1" a="1"/>
  <c r="AW628" i="6" s="1"/>
  <c r="AY628" i="6" s="1"/>
  <c r="BC628" i="6" s="1"/>
  <c r="AV592" i="6"/>
  <c r="AW592" i="6" s="1" a="1"/>
  <c r="AW592" i="6" s="1"/>
  <c r="AV955" i="6"/>
  <c r="AW955" i="6" s="1" a="1"/>
  <c r="AW955" i="6" s="1"/>
  <c r="AY955" i="6" s="1"/>
  <c r="BC955" i="6" s="1"/>
  <c r="AV946" i="6"/>
  <c r="AW946" i="6" s="1" a="1"/>
  <c r="AW946" i="6" s="1"/>
  <c r="AY946" i="6" s="1"/>
  <c r="BC946" i="6" s="1"/>
  <c r="AV1023" i="6"/>
  <c r="AW1023" i="6" s="1" a="1"/>
  <c r="AW1023" i="6" s="1"/>
  <c r="AY1023" i="6" s="1"/>
  <c r="BC1023" i="6" s="1"/>
  <c r="AV1078" i="6"/>
  <c r="AW1078" i="6" s="1" a="1"/>
  <c r="AW1078" i="6" s="1"/>
  <c r="AY1078" i="6" s="1"/>
  <c r="BC1078" i="6" s="1"/>
  <c r="AV693" i="6"/>
  <c r="AW693" i="6" s="1" a="1"/>
  <c r="AW693" i="6" s="1"/>
  <c r="AV1584" i="6"/>
  <c r="AW1584" i="6" s="1" a="1"/>
  <c r="AW1584" i="6" s="1"/>
  <c r="AY1584" i="6" s="1"/>
  <c r="BC1584" i="6" s="1"/>
  <c r="AV428" i="6"/>
  <c r="AW428" i="6" s="1" a="1"/>
  <c r="AW428" i="6" s="1"/>
  <c r="AV177" i="6"/>
  <c r="AW177" i="6" s="1" a="1"/>
  <c r="AW177" i="6" s="1"/>
  <c r="AY177" i="6" s="1"/>
  <c r="BC177" i="6" s="1"/>
  <c r="AV447" i="6"/>
  <c r="AW447" i="6" s="1" a="1"/>
  <c r="AW447" i="6" s="1"/>
  <c r="AY447" i="6" s="1"/>
  <c r="BC447" i="6" s="1"/>
  <c r="AV1699" i="6"/>
  <c r="AW1699" i="6" s="1" a="1"/>
  <c r="AW1699" i="6" s="1"/>
  <c r="AV448" i="6"/>
  <c r="AW448" i="6" s="1" a="1"/>
  <c r="AW448" i="6" s="1"/>
  <c r="AY448" i="6" s="1"/>
  <c r="BC448" i="6" s="1"/>
  <c r="AV446" i="6"/>
  <c r="AW446" i="6" s="1" a="1"/>
  <c r="AW446" i="6" s="1"/>
  <c r="AV1700" i="6"/>
  <c r="AW1700" i="6" s="1" a="1"/>
  <c r="AW1700" i="6" s="1"/>
  <c r="AV46" i="6"/>
  <c r="AW46" i="6" s="1" a="1"/>
  <c r="AW46" i="6" s="1"/>
  <c r="AX46" i="6" s="1"/>
  <c r="AV1641" i="6"/>
  <c r="AW1641" i="6" s="1" a="1"/>
  <c r="AW1641" i="6" s="1"/>
  <c r="AV945" i="6"/>
  <c r="AW945" i="6" s="1" a="1"/>
  <c r="AW945" i="6" s="1"/>
  <c r="AV748" i="6"/>
  <c r="AW748" i="6" s="1" a="1"/>
  <c r="AW748" i="6" s="1"/>
  <c r="AV1011" i="6"/>
  <c r="AW1011" i="6" s="1" a="1"/>
  <c r="AW1011" i="6" s="1"/>
  <c r="AV1399" i="6"/>
  <c r="AW1399" i="6" s="1" a="1"/>
  <c r="AW1399" i="6" s="1"/>
  <c r="AV648" i="6"/>
  <c r="AW648" i="6" s="1" a="1"/>
  <c r="AW648" i="6" s="1"/>
  <c r="AV1582" i="6"/>
  <c r="AW1582" i="6" s="1" a="1"/>
  <c r="AW1582" i="6" s="1"/>
  <c r="AV181" i="6"/>
  <c r="AW181" i="6" s="1" a="1"/>
  <c r="AW181" i="6" s="1"/>
  <c r="AV182" i="6"/>
  <c r="AW182" i="6" s="1" a="1"/>
  <c r="AW182" i="6" s="1"/>
  <c r="AV1538" i="6"/>
  <c r="AW1538" i="6" s="1" a="1"/>
  <c r="AW1538" i="6" s="1"/>
  <c r="AV445" i="6"/>
  <c r="AW445" i="6" s="1" a="1"/>
  <c r="AW445" i="6" s="1"/>
  <c r="AV1640" i="6"/>
  <c r="AW1640" i="6" s="1" a="1"/>
  <c r="AW1640" i="6" s="1"/>
  <c r="AV547" i="6"/>
  <c r="AW547" i="6" s="1" a="1"/>
  <c r="AW547" i="6" s="1"/>
  <c r="AV586" i="6"/>
  <c r="AW586" i="6" s="1" a="1"/>
  <c r="AW586" i="6" s="1"/>
  <c r="AV625" i="6"/>
  <c r="AW625" i="6" s="1" a="1"/>
  <c r="AW625" i="6" s="1"/>
  <c r="AV449" i="6"/>
  <c r="AW449" i="6" s="1" a="1"/>
  <c r="AW449" i="6" s="1"/>
  <c r="AV1098" i="6"/>
  <c r="AW1098" i="6" s="1" a="1"/>
  <c r="AW1098" i="6" s="1"/>
  <c r="AV1545" i="6"/>
  <c r="AW1545" i="6" s="1" a="1"/>
  <c r="AW1545" i="6" s="1"/>
  <c r="AV1287" i="6"/>
  <c r="AW1287" i="6" s="1" a="1"/>
  <c r="AW1287" i="6" s="1"/>
  <c r="AV450" i="6"/>
  <c r="AW450" i="6" s="1" a="1"/>
  <c r="AW450" i="6" s="1"/>
  <c r="AV944" i="6"/>
  <c r="AW944" i="6" s="1" a="1"/>
  <c r="AW944" i="6" s="1"/>
  <c r="AV452" i="6"/>
  <c r="AW452" i="6" s="1" a="1"/>
  <c r="AW452" i="6" s="1"/>
  <c r="AV190" i="6"/>
  <c r="AW190" i="6" s="1" a="1"/>
  <c r="AW190" i="6" s="1"/>
  <c r="AV185" i="6"/>
  <c r="AW185" i="6" s="1" a="1"/>
  <c r="AW185" i="6" s="1"/>
  <c r="AV836" i="6"/>
  <c r="AW836" i="6" s="1" a="1"/>
  <c r="AW836" i="6" s="1"/>
  <c r="AV1061" i="6"/>
  <c r="AW1061" i="6" s="1" a="1"/>
  <c r="AW1061" i="6" s="1"/>
  <c r="AV318" i="6"/>
  <c r="AW318" i="6" s="1" a="1"/>
  <c r="AW318" i="6" s="1"/>
  <c r="AV930" i="6"/>
  <c r="AW930" i="6" s="1" a="1"/>
  <c r="AW930" i="6" s="1"/>
  <c r="AV787" i="6"/>
  <c r="AW787" i="6" s="1" a="1"/>
  <c r="AW787" i="6" s="1"/>
  <c r="AV1183" i="6"/>
  <c r="AW1183" i="6" s="1" a="1"/>
  <c r="AW1183" i="6" s="1"/>
  <c r="AV759" i="6"/>
  <c r="AW759" i="6" s="1" a="1"/>
  <c r="AW759" i="6" s="1"/>
  <c r="AV567" i="6"/>
  <c r="AW567" i="6" s="1" a="1"/>
  <c r="AW567" i="6" s="1"/>
  <c r="AV803" i="6"/>
  <c r="AW803" i="6" s="1" a="1"/>
  <c r="AW803" i="6" s="1"/>
  <c r="AV591" i="6"/>
  <c r="AW591" i="6" s="1" a="1"/>
  <c r="AW591" i="6" s="1"/>
  <c r="AV929" i="6"/>
  <c r="AW929" i="6" s="1" a="1"/>
  <c r="AW929" i="6" s="1"/>
  <c r="AV7" i="6"/>
  <c r="AW7" i="6" s="1" a="1"/>
  <c r="AW7" i="6" s="1"/>
  <c r="AV549" i="6"/>
  <c r="AW549" i="6" s="1" a="1"/>
  <c r="AW549" i="6" s="1"/>
  <c r="AV451" i="6"/>
  <c r="AW451" i="6" s="1" a="1"/>
  <c r="AW451" i="6" s="1"/>
  <c r="AV453" i="6"/>
  <c r="AW453" i="6" s="1" a="1"/>
  <c r="AW453" i="6" s="1"/>
  <c r="AV454" i="6"/>
  <c r="AW454" i="6" s="1" a="1"/>
  <c r="AW454" i="6" s="1"/>
  <c r="AV153" i="6"/>
  <c r="AW153" i="6" s="1" a="1"/>
  <c r="AW153" i="6" s="1"/>
  <c r="AV35" i="6"/>
  <c r="AW35" i="6" s="1" a="1"/>
  <c r="AW35" i="6" s="1"/>
  <c r="AV73" i="6"/>
  <c r="AW73" i="6" s="1" a="1"/>
  <c r="AW73" i="6" s="1"/>
  <c r="AV594" i="6"/>
  <c r="AW594" i="6" s="1" a="1"/>
  <c r="AW594" i="6" s="1"/>
  <c r="AV1063" i="6"/>
  <c r="AW1063" i="6" s="1" a="1"/>
  <c r="AW1063" i="6" s="1"/>
  <c r="AV883" i="6"/>
  <c r="AW883" i="6" s="1" a="1"/>
  <c r="AW883" i="6" s="1"/>
  <c r="AV881" i="6"/>
  <c r="AW881" i="6" s="1" a="1"/>
  <c r="AW881" i="6" s="1"/>
  <c r="AV893" i="6"/>
  <c r="AW893" i="6" s="1" a="1"/>
  <c r="AW893" i="6" s="1"/>
  <c r="AV886" i="6"/>
  <c r="AW886" i="6" s="1" a="1"/>
  <c r="AW886" i="6" s="1"/>
  <c r="AV1595" i="6"/>
  <c r="AW1595" i="6" s="1" a="1"/>
  <c r="AW1595" i="6" s="1"/>
  <c r="AV22" i="6"/>
  <c r="AW22" i="6" s="1" a="1"/>
  <c r="AW22" i="6" s="1"/>
  <c r="AV133" i="6"/>
  <c r="AW133" i="6" s="1" a="1"/>
  <c r="AW133" i="6" s="1"/>
  <c r="AV132" i="6"/>
  <c r="AW132" i="6" s="1" a="1"/>
  <c r="AW132" i="6" s="1"/>
  <c r="AV131" i="6"/>
  <c r="AW131" i="6" s="1" a="1"/>
  <c r="AW131" i="6" s="1"/>
  <c r="AV128" i="6"/>
  <c r="AW128" i="6" s="1" a="1"/>
  <c r="AW128" i="6" s="1"/>
  <c r="AV1250" i="6"/>
  <c r="AW1250" i="6" s="1" a="1"/>
  <c r="AW1250" i="6" s="1"/>
  <c r="AV151" i="6"/>
  <c r="AW151" i="6" s="1" a="1"/>
  <c r="AW151" i="6" s="1"/>
  <c r="AV1253" i="6"/>
  <c r="AW1253" i="6" s="1" a="1"/>
  <c r="AW1253" i="6" s="1"/>
  <c r="AV150" i="6"/>
  <c r="AW150" i="6" s="1" a="1"/>
  <c r="AW150" i="6" s="1"/>
  <c r="AV699" i="6"/>
  <c r="AW699" i="6" s="1" a="1"/>
  <c r="AW699" i="6" s="1"/>
  <c r="AV430" i="6"/>
  <c r="AW430" i="6" s="1" a="1"/>
  <c r="AW430" i="6" s="1"/>
  <c r="AV429" i="6"/>
  <c r="AW429" i="6" s="1" a="1"/>
  <c r="AW429" i="6" s="1"/>
  <c r="AV1290" i="6"/>
  <c r="AW1290" i="6" s="1" a="1"/>
  <c r="AW1290" i="6" s="1"/>
  <c r="AV535" i="6"/>
  <c r="AW535" i="6" s="1" a="1"/>
  <c r="AW535" i="6" s="1"/>
  <c r="AV804" i="6"/>
  <c r="AW804" i="6" s="1" a="1"/>
  <c r="AW804" i="6" s="1"/>
  <c r="AV1005" i="6"/>
  <c r="AW1005" i="6" s="1" a="1"/>
  <c r="AW1005" i="6" s="1"/>
  <c r="AV1084" i="6"/>
  <c r="AW1084" i="6" s="1" a="1"/>
  <c r="AW1084" i="6" s="1"/>
  <c r="AV753" i="6"/>
  <c r="AW753" i="6" s="1" a="1"/>
  <c r="AW753" i="6" s="1"/>
  <c r="AV1655" i="6"/>
  <c r="AW1655" i="6" s="1" a="1"/>
  <c r="AW1655" i="6" s="1"/>
  <c r="AV831" i="6"/>
  <c r="AW831" i="6" s="1" a="1"/>
  <c r="AW831" i="6" s="1"/>
  <c r="AV1546" i="6"/>
  <c r="AW1546" i="6" s="1" a="1"/>
  <c r="AW1546" i="6" s="1"/>
  <c r="AV102" i="6"/>
  <c r="AW102" i="6" s="1" a="1"/>
  <c r="AW102" i="6" s="1"/>
  <c r="AV98" i="6"/>
  <c r="AW98" i="6" s="1" a="1"/>
  <c r="AW98" i="6" s="1"/>
  <c r="AV256" i="6"/>
  <c r="AW256" i="6" s="1" a="1"/>
  <c r="AW256" i="6" s="1"/>
  <c r="AV95" i="6"/>
  <c r="AW95" i="6" s="1" a="1"/>
  <c r="AW95" i="6" s="1"/>
  <c r="AV767" i="6"/>
  <c r="AW767" i="6" s="1" a="1"/>
  <c r="AW767" i="6" s="1"/>
  <c r="AV1095" i="6"/>
  <c r="AW1095" i="6" s="1" a="1"/>
  <c r="AW1095" i="6" s="1"/>
  <c r="AV70" i="6"/>
  <c r="AW70" i="6" s="1" a="1"/>
  <c r="AW70" i="6" s="1"/>
  <c r="AV606" i="6"/>
  <c r="AW606" i="6" s="1" a="1"/>
  <c r="AW606" i="6" s="1"/>
  <c r="AV422" i="6"/>
  <c r="AW422" i="6" s="1" a="1"/>
  <c r="AW422" i="6" s="1"/>
  <c r="AV744" i="6"/>
  <c r="AW744" i="6" s="1" a="1"/>
  <c r="AW744" i="6" s="1"/>
  <c r="AV1484" i="6"/>
  <c r="AW1484" i="6" s="1" a="1"/>
  <c r="AW1484" i="6" s="1"/>
  <c r="AV167" i="6"/>
  <c r="AW167" i="6" s="1" a="1"/>
  <c r="AW167" i="6" s="1"/>
  <c r="AV176" i="6"/>
  <c r="AW176" i="6" s="1" a="1"/>
  <c r="AW176" i="6" s="1"/>
  <c r="AV802" i="6"/>
  <c r="AW802" i="6" s="1" a="1"/>
  <c r="AW802" i="6" s="1"/>
  <c r="AV159" i="6"/>
  <c r="AW159" i="6" s="1" a="1"/>
  <c r="AW159" i="6" s="1"/>
  <c r="AV1329" i="6"/>
  <c r="AW1329" i="6" s="1" a="1"/>
  <c r="AW1329" i="6" s="1"/>
  <c r="AV932" i="6"/>
  <c r="AW932" i="6" s="1" a="1"/>
  <c r="AW932" i="6" s="1"/>
  <c r="AV705" i="6"/>
  <c r="AW705" i="6" s="1" a="1"/>
  <c r="AW705" i="6" s="1"/>
  <c r="AV164" i="6"/>
  <c r="AW164" i="6" s="1" a="1"/>
  <c r="AW164" i="6" s="1"/>
  <c r="AV1664" i="6"/>
  <c r="AW1664" i="6" s="1" a="1"/>
  <c r="AW1664" i="6" s="1"/>
  <c r="AV960" i="6"/>
  <c r="AW960" i="6" s="1" a="1"/>
  <c r="AW960" i="6" s="1"/>
  <c r="AV1726" i="6"/>
  <c r="AW1726" i="6" s="1" a="1"/>
  <c r="AW1726" i="6" s="1"/>
  <c r="AV1014" i="6"/>
  <c r="AW1014" i="6" s="1" a="1"/>
  <c r="AW1014" i="6" s="1"/>
  <c r="AV264" i="6"/>
  <c r="AW264" i="6" s="1" a="1"/>
  <c r="AW264" i="6" s="1"/>
  <c r="AV1668" i="6"/>
  <c r="AW1668" i="6" s="1" a="1"/>
  <c r="AW1668" i="6" s="1"/>
  <c r="BA1668" i="6" s="1"/>
  <c r="AZ1668" i="6" s="1"/>
  <c r="AV1671" i="6"/>
  <c r="AW1671" i="6" s="1" a="1"/>
  <c r="AW1671" i="6" s="1"/>
  <c r="AV596" i="6"/>
  <c r="AW596" i="6" s="1" a="1"/>
  <c r="AW596" i="6" s="1"/>
  <c r="AV1581" i="6"/>
  <c r="AW1581" i="6" s="1" a="1"/>
  <c r="AW1581" i="6" s="1"/>
  <c r="AV1576" i="6"/>
  <c r="AW1576" i="6" s="1" a="1"/>
  <c r="AW1576" i="6" s="1"/>
  <c r="AV1377" i="6"/>
  <c r="AW1377" i="6" s="1" a="1"/>
  <c r="AW1377" i="6" s="1"/>
  <c r="AV1731" i="6"/>
  <c r="AW1731" i="6" s="1" a="1"/>
  <c r="AW1731" i="6" s="1"/>
  <c r="AV851" i="6"/>
  <c r="AW851" i="6" s="1" a="1"/>
  <c r="AW851" i="6" s="1"/>
  <c r="AV1012" i="6"/>
  <c r="AW1012" i="6" s="1" a="1"/>
  <c r="AW1012" i="6" s="1"/>
  <c r="AV269" i="6"/>
  <c r="AW269" i="6" s="1" a="1"/>
  <c r="AW269" i="6" s="1"/>
  <c r="AV96" i="6"/>
  <c r="AW96" i="6" s="1" a="1"/>
  <c r="AW96" i="6" s="1"/>
  <c r="AV1131" i="6"/>
  <c r="AW1131" i="6" s="1" a="1"/>
  <c r="AW1131" i="6" s="1"/>
  <c r="AV140" i="6"/>
  <c r="AW140" i="6" s="1" a="1"/>
  <c r="AW140" i="6" s="1"/>
  <c r="BA140" i="6" s="1"/>
  <c r="AZ140" i="6" s="1"/>
  <c r="AV1638" i="6"/>
  <c r="AW1638" i="6" s="1" a="1"/>
  <c r="AW1638" i="6" s="1"/>
  <c r="AV745" i="6"/>
  <c r="AW745" i="6" s="1" a="1"/>
  <c r="AW745" i="6" s="1"/>
  <c r="BA745" i="6" s="1"/>
  <c r="AZ745" i="6" s="1"/>
  <c r="AV1637" i="6"/>
  <c r="AW1637" i="6" s="1" a="1"/>
  <c r="AW1637" i="6" s="1"/>
  <c r="AV1635" i="6"/>
  <c r="AW1635" i="6" s="1" a="1"/>
  <c r="AW1635" i="6" s="1"/>
  <c r="AV1633" i="6"/>
  <c r="AW1633" i="6" s="1" a="1"/>
  <c r="AW1633" i="6" s="1"/>
  <c r="AV1130" i="6"/>
  <c r="AW1130" i="6" s="1" a="1"/>
  <c r="AW1130" i="6" s="1"/>
  <c r="AV1128" i="6"/>
  <c r="AW1128" i="6" s="1" a="1"/>
  <c r="AW1128" i="6" s="1"/>
  <c r="AV1127" i="6"/>
  <c r="AW1127" i="6" s="1" a="1"/>
  <c r="AW1127" i="6" s="1"/>
  <c r="AV1129" i="6"/>
  <c r="AW1129" i="6" s="1" a="1"/>
  <c r="AW1129" i="6" s="1"/>
  <c r="AV1709" i="6"/>
  <c r="AW1709" i="6" s="1" a="1"/>
  <c r="AW1709" i="6" s="1"/>
  <c r="AV1519" i="6"/>
  <c r="AW1519" i="6" s="1" a="1"/>
  <c r="AW1519" i="6" s="1"/>
  <c r="AV1701" i="6"/>
  <c r="AW1701" i="6" s="1" a="1"/>
  <c r="AW1701" i="6" s="1"/>
  <c r="BA1701" i="6" s="1"/>
  <c r="AZ1701" i="6" s="1"/>
  <c r="AV1437" i="6"/>
  <c r="AW1437" i="6" s="1" a="1"/>
  <c r="AW1437" i="6" s="1"/>
  <c r="AV1119" i="6"/>
  <c r="AW1119" i="6" s="1" a="1"/>
  <c r="AW1119" i="6" s="1"/>
  <c r="AV1714" i="6"/>
  <c r="AW1714" i="6" s="1" a="1"/>
  <c r="AW1714" i="6" s="1"/>
  <c r="AV470" i="6"/>
  <c r="AW470" i="6" s="1" a="1"/>
  <c r="AW470" i="6" s="1"/>
  <c r="AV1524" i="6"/>
  <c r="AW1524" i="6" s="1" a="1"/>
  <c r="AW1524" i="6" s="1"/>
  <c r="AV1525" i="6"/>
  <c r="AW1525" i="6" s="1" a="1"/>
  <c r="AW1525" i="6" s="1"/>
  <c r="AV1526" i="6"/>
  <c r="AW1526" i="6" s="1" a="1"/>
  <c r="AW1526" i="6" s="1"/>
  <c r="AV1368" i="6"/>
  <c r="AW1368" i="6" s="1" a="1"/>
  <c r="AW1368" i="6" s="1"/>
  <c r="AV952" i="6"/>
  <c r="AW952" i="6" s="1" a="1"/>
  <c r="AW952" i="6" s="1"/>
  <c r="AV632" i="6"/>
  <c r="AW632" i="6" s="1" a="1"/>
  <c r="AW632" i="6" s="1"/>
  <c r="AV629" i="6"/>
  <c r="AW629" i="6" s="1" a="1"/>
  <c r="AW629" i="6" s="1"/>
  <c r="BA629" i="6" s="1"/>
  <c r="AZ629" i="6" s="1"/>
  <c r="AV665" i="6"/>
  <c r="AW665" i="6" s="1" a="1"/>
  <c r="AW665" i="6" s="1"/>
  <c r="AV953" i="6"/>
  <c r="AW953" i="6" s="1" a="1"/>
  <c r="AW953" i="6" s="1"/>
  <c r="AX953" i="6" s="1"/>
  <c r="AV668" i="6"/>
  <c r="AW668" i="6" s="1" a="1"/>
  <c r="AW668" i="6" s="1"/>
  <c r="AV577" i="6"/>
  <c r="AW577" i="6" s="1" a="1"/>
  <c r="AW577" i="6" s="1"/>
  <c r="AX577" i="6" s="1"/>
  <c r="AV715" i="6"/>
  <c r="AW715" i="6" s="1" a="1"/>
  <c r="AW715" i="6" s="1"/>
  <c r="AV1497" i="6"/>
  <c r="AW1497" i="6" s="1" a="1"/>
  <c r="AW1497" i="6" s="1"/>
  <c r="AV1666" i="6"/>
  <c r="AW1666" i="6" s="1" a="1"/>
  <c r="AW1666" i="6" s="1"/>
  <c r="AV722" i="6"/>
  <c r="AW722" i="6" s="1" a="1"/>
  <c r="AW722" i="6" s="1"/>
  <c r="BA722" i="6" s="1"/>
  <c r="AZ722" i="6" s="1"/>
  <c r="AV626" i="6"/>
  <c r="AW626" i="6" s="1" a="1"/>
  <c r="AW626" i="6" s="1"/>
  <c r="BA626" i="6" s="1"/>
  <c r="AZ626" i="6" s="1"/>
  <c r="AV718" i="6"/>
  <c r="AW718" i="6" s="1" a="1"/>
  <c r="AW718" i="6" s="1"/>
  <c r="AV1706" i="6"/>
  <c r="AW1706" i="6" s="1" a="1"/>
  <c r="AW1706" i="6" s="1"/>
  <c r="AV967" i="6"/>
  <c r="AW967" i="6" s="1" a="1"/>
  <c r="AW967" i="6" s="1"/>
  <c r="AV649" i="6"/>
  <c r="AW649" i="6" s="1" a="1"/>
  <c r="AW649" i="6" s="1"/>
  <c r="AV653" i="6"/>
  <c r="AW653" i="6" s="1" a="1"/>
  <c r="AW653" i="6" s="1"/>
  <c r="AV644" i="6"/>
  <c r="AW644" i="6" s="1" a="1"/>
  <c r="AW644" i="6" s="1"/>
  <c r="AV706" i="6"/>
  <c r="AW706" i="6" s="1" a="1"/>
  <c r="AW706" i="6" s="1"/>
  <c r="AV1013" i="6"/>
  <c r="AW1013" i="6" s="1" a="1"/>
  <c r="AW1013" i="6" s="1"/>
  <c r="AV1196" i="6"/>
  <c r="AW1196" i="6" s="1" a="1"/>
  <c r="AW1196" i="6" s="1"/>
  <c r="AV1483" i="6"/>
  <c r="AW1483" i="6" s="1" a="1"/>
  <c r="AW1483" i="6" s="1"/>
  <c r="AV212" i="6"/>
  <c r="AW212" i="6" s="1" a="1"/>
  <c r="AW212" i="6" s="1"/>
  <c r="AV1224" i="6"/>
  <c r="AW1224" i="6" s="1" a="1"/>
  <c r="AW1224" i="6" s="1"/>
  <c r="AV843" i="6"/>
  <c r="AW843" i="6" s="1" a="1"/>
  <c r="AW843" i="6" s="1"/>
  <c r="AV1499" i="6"/>
  <c r="AW1499" i="6" s="1" a="1"/>
  <c r="AW1499" i="6" s="1"/>
  <c r="AV1673" i="6"/>
  <c r="AW1673" i="6" s="1" a="1"/>
  <c r="AW1673" i="6" s="1"/>
  <c r="AV742" i="6"/>
  <c r="AW742" i="6" s="1" a="1"/>
  <c r="AW742" i="6" s="1"/>
  <c r="AV1045" i="6"/>
  <c r="AW1045" i="6" s="1" a="1"/>
  <c r="AW1045" i="6" s="1"/>
  <c r="AV633" i="6"/>
  <c r="AW633" i="6" s="1" a="1"/>
  <c r="AW633" i="6" s="1"/>
  <c r="AV1354" i="6"/>
  <c r="AW1354" i="6" s="1" a="1"/>
  <c r="AW1354" i="6" s="1"/>
  <c r="AV1051" i="6"/>
  <c r="AW1051" i="6" s="1" a="1"/>
  <c r="AW1051" i="6" s="1"/>
  <c r="AV1052" i="6"/>
  <c r="AW1052" i="6" s="1" a="1"/>
  <c r="AW1052" i="6" s="1"/>
  <c r="AV1537" i="6"/>
  <c r="AW1537" i="6" s="1" a="1"/>
  <c r="AW1537" i="6" s="1"/>
  <c r="AV811" i="6"/>
  <c r="AW811" i="6" s="1" a="1"/>
  <c r="AW811" i="6" s="1"/>
  <c r="AV439" i="6"/>
  <c r="AW439" i="6" s="1" a="1"/>
  <c r="AW439" i="6" s="1"/>
  <c r="AV435" i="6"/>
  <c r="AW435" i="6" s="1" a="1"/>
  <c r="AW435" i="6" s="1"/>
  <c r="AV438" i="6"/>
  <c r="AW438" i="6" s="1" a="1"/>
  <c r="AW438" i="6" s="1"/>
  <c r="AV437" i="6"/>
  <c r="AW437" i="6" s="1" a="1"/>
  <c r="AW437" i="6" s="1"/>
  <c r="AV436" i="6"/>
  <c r="AW436" i="6" s="1" a="1"/>
  <c r="AW436" i="6" s="1"/>
  <c r="AV1411" i="6"/>
  <c r="AW1411" i="6" s="1" a="1"/>
  <c r="AW1411" i="6" s="1"/>
  <c r="AV434" i="6"/>
  <c r="AW434" i="6" s="1" a="1"/>
  <c r="AW434" i="6" s="1"/>
  <c r="AV433" i="6"/>
  <c r="AW433" i="6" s="1" a="1"/>
  <c r="AW433" i="6" s="1"/>
  <c r="AV432" i="6"/>
  <c r="AW432" i="6" s="1" a="1"/>
  <c r="AW432" i="6" s="1"/>
  <c r="AV431" i="6"/>
  <c r="AW431" i="6" s="1" a="1"/>
  <c r="AW431" i="6" s="1"/>
  <c r="AV1405" i="6"/>
  <c r="AW1405" i="6" s="1" a="1"/>
  <c r="AW1405" i="6" s="1"/>
  <c r="AV126" i="6"/>
  <c r="AW126" i="6" s="1" a="1"/>
  <c r="AW126" i="6" s="1"/>
  <c r="AV1049" i="6"/>
  <c r="AW1049" i="6" s="1" a="1"/>
  <c r="AW1049" i="6" s="1"/>
  <c r="AV124" i="6"/>
  <c r="AW124" i="6" s="1" a="1"/>
  <c r="AW124" i="6" s="1"/>
  <c r="AV276" i="6"/>
  <c r="AW276" i="6" s="1" a="1"/>
  <c r="AW276" i="6" s="1"/>
  <c r="AV427" i="6"/>
  <c r="AW427" i="6" s="1" a="1"/>
  <c r="AW427" i="6" s="1"/>
  <c r="AV426" i="6"/>
  <c r="AW426" i="6" s="1" a="1"/>
  <c r="AW426" i="6" s="1"/>
  <c r="AV330" i="6"/>
  <c r="AW330" i="6" s="1" a="1"/>
  <c r="AW330" i="6" s="1"/>
  <c r="AV1398" i="6"/>
  <c r="AW1398" i="6" s="1" a="1"/>
  <c r="AW1398" i="6" s="1"/>
  <c r="AV1448" i="6"/>
  <c r="AW1448" i="6" s="1" a="1"/>
  <c r="AW1448" i="6" s="1"/>
  <c r="AV460" i="6"/>
  <c r="AW460" i="6" s="1" a="1"/>
  <c r="AW460" i="6" s="1"/>
  <c r="AV770" i="6"/>
  <c r="AW770" i="6" s="1" a="1"/>
  <c r="AW770" i="6" s="1"/>
  <c r="AV351" i="6"/>
  <c r="AW351" i="6" s="1" a="1"/>
  <c r="AW351" i="6" s="1"/>
  <c r="AV741" i="6"/>
  <c r="AW741" i="6" s="1" a="1"/>
  <c r="AW741" i="6" s="1"/>
  <c r="AV1536" i="6"/>
  <c r="AW1536" i="6" s="1" a="1"/>
  <c r="AW1536" i="6" s="1"/>
  <c r="AV1469" i="6"/>
  <c r="AW1469" i="6" s="1" a="1"/>
  <c r="AW1469" i="6" s="1"/>
  <c r="AV221" i="6"/>
  <c r="AW221" i="6" s="1" a="1"/>
  <c r="AW221" i="6" s="1"/>
  <c r="AV33" i="6"/>
  <c r="AW33" i="6" s="1" a="1"/>
  <c r="AW33" i="6" s="1"/>
  <c r="AV32" i="6"/>
  <c r="AW32" i="6" s="1" a="1"/>
  <c r="AW32" i="6" s="1"/>
  <c r="AV1704" i="6"/>
  <c r="AW1704" i="6" s="1" a="1"/>
  <c r="AW1704" i="6" s="1"/>
  <c r="AV660" i="6"/>
  <c r="AW660" i="6" s="1" a="1"/>
  <c r="AW660" i="6" s="1"/>
  <c r="AV257" i="6"/>
  <c r="AW257" i="6" s="1" a="1"/>
  <c r="AW257" i="6" s="1"/>
  <c r="AV996" i="6"/>
  <c r="AW996" i="6" s="1" a="1"/>
  <c r="AW996" i="6" s="1"/>
  <c r="AV740" i="6"/>
  <c r="AW740" i="6" s="1" a="1"/>
  <c r="AW740" i="6" s="1"/>
  <c r="AV1435" i="6"/>
  <c r="AW1435" i="6" s="1" a="1"/>
  <c r="AW1435" i="6" s="1"/>
  <c r="AV1170" i="6"/>
  <c r="AW1170" i="6" s="1" a="1"/>
  <c r="AW1170" i="6" s="1"/>
  <c r="AV1433" i="6"/>
  <c r="AW1433" i="6" s="1" a="1"/>
  <c r="AW1433" i="6" s="1"/>
  <c r="AV786" i="6"/>
  <c r="AW786" i="6" s="1" a="1"/>
  <c r="AW786" i="6" s="1"/>
  <c r="AV785" i="6"/>
  <c r="AW785" i="6" s="1" a="1"/>
  <c r="AW785" i="6" s="1"/>
  <c r="AV473" i="6"/>
  <c r="AW473" i="6" s="1" a="1"/>
  <c r="AW473" i="6" s="1"/>
  <c r="AV1175" i="6"/>
  <c r="AW1175" i="6" s="1" a="1"/>
  <c r="AW1175" i="6" s="1"/>
  <c r="AV1174" i="6"/>
  <c r="AW1174" i="6" s="1" a="1"/>
  <c r="AW1174" i="6" s="1"/>
  <c r="AV844" i="6"/>
  <c r="AW844" i="6" s="1" a="1"/>
  <c r="AW844" i="6" s="1"/>
  <c r="AV964" i="6"/>
  <c r="AW964" i="6" s="1" a="1"/>
  <c r="AW964" i="6" s="1"/>
  <c r="AV1474" i="6"/>
  <c r="AW1474" i="6" s="1" a="1"/>
  <c r="AW1474" i="6" s="1"/>
  <c r="AV1002" i="6"/>
  <c r="AW1002" i="6" s="1" a="1"/>
  <c r="AW1002" i="6" s="1"/>
  <c r="AV871" i="6"/>
  <c r="AW871" i="6" s="1" a="1"/>
  <c r="AW871" i="6" s="1"/>
  <c r="AV1234" i="6"/>
  <c r="AW1234" i="6" s="1" a="1"/>
  <c r="AW1234" i="6" s="1"/>
  <c r="AV1173" i="6"/>
  <c r="AW1173" i="6" s="1" a="1"/>
  <c r="AW1173" i="6" s="1"/>
  <c r="AV1176" i="6"/>
  <c r="AW1176" i="6" s="1" a="1"/>
  <c r="AW1176" i="6" s="1"/>
  <c r="AV52" i="6"/>
  <c r="AW52" i="6" s="1" a="1"/>
  <c r="AW52" i="6" s="1"/>
  <c r="AV573" i="6"/>
  <c r="AW573" i="6" s="1" a="1"/>
  <c r="AW573" i="6" s="1"/>
  <c r="AV907" i="6"/>
  <c r="AW907" i="6" s="1" a="1"/>
  <c r="AW907" i="6" s="1"/>
  <c r="AV814" i="6"/>
  <c r="AW814" i="6" s="1" a="1"/>
  <c r="AW814" i="6" s="1"/>
  <c r="AV1165" i="6"/>
  <c r="AW1165" i="6" s="1" a="1"/>
  <c r="AW1165" i="6" s="1"/>
  <c r="AV1575" i="6"/>
  <c r="AW1575" i="6" s="1" a="1"/>
  <c r="AW1575" i="6" s="1"/>
  <c r="AV1288" i="6"/>
  <c r="AW1288" i="6" s="1" a="1"/>
  <c r="AW1288" i="6" s="1"/>
  <c r="AV516" i="6"/>
  <c r="AW516" i="6" s="1" a="1"/>
  <c r="AW516" i="6" s="1"/>
  <c r="AV1289" i="6"/>
  <c r="AW1289" i="6" s="1" a="1"/>
  <c r="AW1289" i="6" s="1"/>
  <c r="AV326" i="6"/>
  <c r="AW326" i="6" s="1" a="1"/>
  <c r="AW326" i="6" s="1"/>
  <c r="AV337" i="6"/>
  <c r="AW337" i="6" s="1" a="1"/>
  <c r="AW337" i="6" s="1"/>
  <c r="AV1280" i="6"/>
  <c r="AW1280" i="6" s="1" a="1"/>
  <c r="AW1280" i="6" s="1"/>
  <c r="AV674" i="6"/>
  <c r="AW674" i="6" s="1" a="1"/>
  <c r="AW674" i="6" s="1"/>
  <c r="AV683" i="6"/>
  <c r="AW683" i="6" s="1" a="1"/>
  <c r="AW683" i="6" s="1"/>
  <c r="AV667" i="6"/>
  <c r="AW667" i="6" s="1" a="1"/>
  <c r="AW667" i="6" s="1"/>
  <c r="AV1328" i="6"/>
  <c r="AW1328" i="6" s="1" a="1"/>
  <c r="AW1328" i="6" s="1"/>
  <c r="AV1573" i="6"/>
  <c r="AW1573" i="6" s="1" a="1"/>
  <c r="AW1573" i="6" s="1"/>
  <c r="AV1283" i="6"/>
  <c r="AW1283" i="6" s="1" a="1"/>
  <c r="AW1283" i="6" s="1"/>
  <c r="AV343" i="6"/>
  <c r="AW343" i="6" s="1" a="1"/>
  <c r="AW343" i="6" s="1"/>
  <c r="AV729" i="6"/>
  <c r="AW729" i="6" s="1" a="1"/>
  <c r="AW729" i="6" s="1"/>
  <c r="AV317" i="6"/>
  <c r="AW317" i="6" s="1" a="1"/>
  <c r="AW317" i="6" s="1"/>
  <c r="AV749" i="6"/>
  <c r="AW749" i="6" s="1" a="1"/>
  <c r="AW749" i="6" s="1"/>
  <c r="AV777" i="6"/>
  <c r="AW777" i="6" s="1" a="1"/>
  <c r="AW777" i="6" s="1"/>
  <c r="AV1644" i="6"/>
  <c r="AW1644" i="6" s="1" a="1"/>
  <c r="AW1644" i="6" s="1"/>
  <c r="AV1239" i="6"/>
  <c r="AW1239" i="6" s="1" a="1"/>
  <c r="AW1239" i="6" s="1"/>
  <c r="AV1319" i="6"/>
  <c r="AW1319" i="6" s="1" a="1"/>
  <c r="AW1319" i="6" s="1"/>
  <c r="AV1642" i="6"/>
  <c r="AW1642" i="6" s="1" a="1"/>
  <c r="AW1642" i="6" s="1"/>
  <c r="AV1325" i="6"/>
  <c r="AW1325" i="6" s="1" a="1"/>
  <c r="AW1325" i="6" s="1"/>
  <c r="AV1291" i="6"/>
  <c r="AW1291" i="6" s="1" a="1"/>
  <c r="AW1291" i="6" s="1"/>
  <c r="AV196" i="6"/>
  <c r="AW196" i="6" s="1" a="1"/>
  <c r="AW196" i="6" s="1"/>
  <c r="AV195" i="6"/>
  <c r="AW195" i="6" s="1" a="1"/>
  <c r="AW195" i="6" s="1"/>
  <c r="AV194" i="6"/>
  <c r="AW194" i="6" s="1" a="1"/>
  <c r="AW194" i="6" s="1"/>
  <c r="AV193" i="6"/>
  <c r="AW193" i="6" s="1" a="1"/>
  <c r="AW193" i="6" s="1"/>
  <c r="AV198" i="6"/>
  <c r="AW198" i="6" s="1" a="1"/>
  <c r="AW198" i="6" s="1"/>
  <c r="AV197" i="6"/>
  <c r="AW197" i="6" s="1" a="1"/>
  <c r="AW197" i="6" s="1"/>
  <c r="AV656" i="6"/>
  <c r="AW656" i="6" s="1" a="1"/>
  <c r="AW656" i="6" s="1"/>
  <c r="AV595" i="6"/>
  <c r="AW595" i="6" s="1" a="1"/>
  <c r="AW595" i="6" s="1"/>
  <c r="AV798" i="6"/>
  <c r="AW798" i="6" s="1" a="1"/>
  <c r="AW798" i="6" s="1"/>
  <c r="AV1490" i="6"/>
  <c r="AW1490" i="6" s="1" a="1"/>
  <c r="AW1490" i="6" s="1"/>
  <c r="AV191" i="6"/>
  <c r="AW191" i="6" s="1" a="1"/>
  <c r="AW191" i="6" s="1"/>
  <c r="AV1060" i="6"/>
  <c r="AW1060" i="6" s="1" a="1"/>
  <c r="AW1060" i="6" s="1"/>
  <c r="AV885" i="6"/>
  <c r="AW885" i="6" s="1" a="1"/>
  <c r="AW885" i="6" s="1"/>
  <c r="AV884" i="6"/>
  <c r="AW884" i="6" s="1" a="1"/>
  <c r="AW884" i="6" s="1"/>
  <c r="AV1040" i="6"/>
  <c r="AW1040" i="6" s="1" a="1"/>
  <c r="AW1040" i="6" s="1"/>
  <c r="AV1062" i="6"/>
  <c r="AW1062" i="6" s="1" a="1"/>
  <c r="AW1062" i="6" s="1"/>
  <c r="AV1057" i="6"/>
  <c r="AW1057" i="6" s="1" a="1"/>
  <c r="AW1057" i="6" s="1"/>
  <c r="AV681" i="6"/>
  <c r="AW681" i="6" s="1" a="1"/>
  <c r="AW681" i="6" s="1"/>
  <c r="AV624" i="6"/>
  <c r="AW624" i="6" s="1" a="1"/>
  <c r="AW624" i="6" s="1"/>
  <c r="AV621" i="6"/>
  <c r="AW621" i="6" s="1" a="1"/>
  <c r="AW621" i="6" s="1"/>
  <c r="AV618" i="6"/>
  <c r="AW618" i="6" s="1" a="1"/>
  <c r="AW618" i="6" s="1"/>
  <c r="AX618" i="6" s="1"/>
  <c r="AV617" i="6"/>
  <c r="AW617" i="6" s="1" a="1"/>
  <c r="AW617" i="6" s="1"/>
  <c r="AV605" i="6"/>
  <c r="AW605" i="6" s="1" a="1"/>
  <c r="AW605" i="6" s="1"/>
  <c r="AY605" i="6" s="1"/>
  <c r="BC605" i="6" s="1"/>
  <c r="AV613" i="6"/>
  <c r="AW613" i="6" s="1" a="1"/>
  <c r="AW613" i="6" s="1"/>
  <c r="AV612" i="6"/>
  <c r="AW612" i="6" s="1" a="1"/>
  <c r="AW612" i="6" s="1"/>
  <c r="AV611" i="6"/>
  <c r="AW611" i="6" s="1" a="1"/>
  <c r="AW611" i="6" s="1"/>
  <c r="AY611" i="6" s="1"/>
  <c r="BC611" i="6" s="1"/>
  <c r="AV609" i="6"/>
  <c r="AW609" i="6" s="1" a="1"/>
  <c r="AW609" i="6" s="1"/>
  <c r="AV608" i="6"/>
  <c r="AW608" i="6" s="1" a="1"/>
  <c r="AW608" i="6" s="1"/>
  <c r="AV934" i="6"/>
  <c r="AW934" i="6" s="1" a="1"/>
  <c r="AW934" i="6" s="1"/>
  <c r="AV607" i="6"/>
  <c r="AW607" i="6" s="1" a="1"/>
  <c r="AW607" i="6" s="1"/>
  <c r="AV557" i="6"/>
  <c r="AW557" i="6" s="1" a="1"/>
  <c r="AW557" i="6" s="1"/>
  <c r="AV350" i="6"/>
  <c r="AW350" i="6" s="1" a="1"/>
  <c r="AW350" i="6" s="1"/>
  <c r="AV1565" i="6"/>
  <c r="AW1565" i="6" s="1" a="1"/>
  <c r="AW1565" i="6" s="1"/>
  <c r="AV1669" i="6"/>
  <c r="AW1669" i="6" s="1" a="1"/>
  <c r="AW1669" i="6" s="1"/>
  <c r="AV1606" i="6"/>
  <c r="AW1606" i="6" s="1" a="1"/>
  <c r="AW1606" i="6" s="1"/>
  <c r="AV714" i="6"/>
  <c r="AW714" i="6" s="1" a="1"/>
  <c r="AW714" i="6" s="1"/>
  <c r="AV559" i="6"/>
  <c r="AW559" i="6" s="1" a="1"/>
  <c r="AW559" i="6" s="1"/>
  <c r="AX559" i="6" s="1"/>
  <c r="AV515" i="6"/>
  <c r="AW515" i="6" s="1" a="1"/>
  <c r="AW515" i="6" s="1"/>
  <c r="AV517" i="6"/>
  <c r="AW517" i="6" s="1" a="1"/>
  <c r="AW517" i="6" s="1"/>
  <c r="AV807" i="6"/>
  <c r="AW807" i="6" s="1" a="1"/>
  <c r="AW807" i="6" s="1"/>
  <c r="AV1381" i="6"/>
  <c r="AW1381" i="6" s="1" a="1"/>
  <c r="AW1381" i="6" s="1"/>
  <c r="AV961" i="6"/>
  <c r="AW961" i="6" s="1" a="1"/>
  <c r="AW961" i="6" s="1"/>
  <c r="AX961" i="6" s="1"/>
  <c r="AV958" i="6"/>
  <c r="AW958" i="6" s="1" a="1"/>
  <c r="AW958" i="6" s="1"/>
  <c r="BA958" i="6" s="1"/>
  <c r="AZ958" i="6" s="1"/>
  <c r="AV1357" i="6"/>
  <c r="AW1357" i="6" s="1" a="1"/>
  <c r="AW1357" i="6" s="1"/>
  <c r="AV545" i="6"/>
  <c r="AW545" i="6" s="1" a="1"/>
  <c r="AW545" i="6" s="1"/>
  <c r="AV657" i="6"/>
  <c r="AW657" i="6" s="1" a="1"/>
  <c r="AW657" i="6" s="1"/>
  <c r="AV659" i="6"/>
  <c r="AW659" i="6" s="1" a="1"/>
  <c r="AW659" i="6" s="1"/>
  <c r="AV647" i="6"/>
  <c r="AW647" i="6" s="1" a="1"/>
  <c r="AW647" i="6" s="1"/>
  <c r="AV650" i="6"/>
  <c r="AW650" i="6" s="1" a="1"/>
  <c r="AW650" i="6" s="1"/>
  <c r="AV641" i="6"/>
  <c r="AW641" i="6" s="1" a="1"/>
  <c r="AW641" i="6" s="1"/>
  <c r="AY641" i="6" s="1"/>
  <c r="BC641" i="6" s="1"/>
  <c r="AV14" i="6"/>
  <c r="AW14" i="6" s="1" a="1"/>
  <c r="AW14" i="6" s="1"/>
  <c r="AV642" i="6"/>
  <c r="AW642" i="6" s="1" a="1"/>
  <c r="AW642" i="6" s="1"/>
  <c r="AY642" i="6" s="1"/>
  <c r="BC642" i="6" s="1"/>
  <c r="AV640" i="6"/>
  <c r="AW640" i="6" s="1" a="1"/>
  <c r="AW640" i="6" s="1"/>
  <c r="AV1378" i="6"/>
  <c r="AW1378" i="6" s="1" a="1"/>
  <c r="AW1378" i="6" s="1"/>
  <c r="AV1707" i="6"/>
  <c r="AW1707" i="6" s="1" a="1"/>
  <c r="AW1707" i="6" s="1"/>
  <c r="AV279" i="6"/>
  <c r="AW279" i="6" s="1" a="1"/>
  <c r="AW279" i="6" s="1"/>
  <c r="AY279" i="6" s="1"/>
  <c r="BC279" i="6" s="1"/>
  <c r="AV986" i="6"/>
  <c r="AW986" i="6" s="1" a="1"/>
  <c r="AW986" i="6" s="1"/>
  <c r="AV862" i="6"/>
  <c r="AW862" i="6" s="1" a="1"/>
  <c r="AW862" i="6" s="1"/>
  <c r="AV1030" i="6"/>
  <c r="AW1030" i="6" s="1" a="1"/>
  <c r="AW1030" i="6" s="1"/>
  <c r="AV1466" i="6"/>
  <c r="AW1466" i="6" s="1" a="1"/>
  <c r="AW1466" i="6" s="1"/>
  <c r="AY1466" i="6" s="1"/>
  <c r="BC1466" i="6" s="1"/>
  <c r="AV292" i="6"/>
  <c r="AW292" i="6" s="1" a="1"/>
  <c r="AW292" i="6" s="1"/>
  <c r="AV217" i="6"/>
  <c r="AW217" i="6" s="1" a="1"/>
  <c r="AW217" i="6" s="1"/>
  <c r="AV289" i="6"/>
  <c r="AW289" i="6" s="1" a="1"/>
  <c r="AW289" i="6" s="1"/>
  <c r="AV273" i="6"/>
  <c r="AW273" i="6" s="1" a="1"/>
  <c r="AW273" i="6" s="1"/>
  <c r="AX273" i="6" s="1"/>
  <c r="AV1708" i="6"/>
  <c r="AW1708" i="6" s="1" a="1"/>
  <c r="AW1708" i="6" s="1"/>
  <c r="AV685" i="6"/>
  <c r="AW685" i="6" s="1" a="1"/>
  <c r="AW685" i="6" s="1"/>
  <c r="AV1530" i="6"/>
  <c r="AW1530" i="6" s="1" a="1"/>
  <c r="AW1530" i="6" s="1"/>
  <c r="AV731" i="6"/>
  <c r="AW731" i="6" s="1" a="1"/>
  <c r="AW731" i="6" s="1"/>
  <c r="AV734" i="6"/>
  <c r="AW734" i="6" s="1" a="1"/>
  <c r="AW734" i="6" s="1"/>
  <c r="BA734" i="6" s="1"/>
  <c r="AZ734" i="6" s="1"/>
  <c r="AV270" i="6"/>
  <c r="AW270" i="6" s="1" a="1"/>
  <c r="AW270" i="6" s="1"/>
  <c r="AV265" i="6"/>
  <c r="AW265" i="6" s="1" a="1"/>
  <c r="AW265" i="6" s="1"/>
  <c r="AV1376" i="6"/>
  <c r="AW1376" i="6" s="1" a="1"/>
  <c r="AW1376" i="6" s="1"/>
  <c r="BA1376" i="6" s="1"/>
  <c r="AZ1376" i="6" s="1"/>
  <c r="AV1090" i="6"/>
  <c r="AW1090" i="6" s="1" a="1"/>
  <c r="AW1090" i="6" s="1"/>
  <c r="AV410" i="6"/>
  <c r="AW410" i="6" s="1" a="1"/>
  <c r="AW410" i="6" s="1"/>
  <c r="AY458" i="6" l="1"/>
  <c r="BC458" i="6" s="1"/>
  <c r="AX1166" i="6"/>
  <c r="AX1567" i="6"/>
  <c r="AX1258" i="6"/>
  <c r="BA1258" i="6"/>
  <c r="AZ1258" i="6" s="1"/>
  <c r="BA772" i="6"/>
  <c r="AZ772" i="6" s="1"/>
  <c r="AY1662" i="6"/>
  <c r="BC1662" i="6" s="1"/>
  <c r="BA1166" i="6"/>
  <c r="AZ1166" i="6" s="1"/>
  <c r="AX1134" i="6"/>
  <c r="BA544" i="6"/>
  <c r="AZ544" i="6" s="1"/>
  <c r="AY1134" i="6"/>
  <c r="BC1134" i="6" s="1"/>
  <c r="AY1115" i="6"/>
  <c r="BC1115" i="6" s="1"/>
  <c r="AX1008" i="6"/>
  <c r="AX1431" i="6"/>
  <c r="BA1431" i="6"/>
  <c r="AZ1431" i="6" s="1"/>
  <c r="AY889" i="6"/>
  <c r="BC889" i="6" s="1"/>
  <c r="AX889" i="6"/>
  <c r="BA273" i="6"/>
  <c r="AZ273" i="6" s="1"/>
  <c r="AX1116" i="6"/>
  <c r="AX104" i="6"/>
  <c r="BA949" i="6"/>
  <c r="AZ949" i="6" s="1"/>
  <c r="AY1082" i="6"/>
  <c r="BC1082" i="6" s="1"/>
  <c r="AX252" i="6"/>
  <c r="BA1477" i="6"/>
  <c r="AZ1477" i="6" s="1"/>
  <c r="BA1153" i="6"/>
  <c r="AZ1153" i="6" s="1"/>
  <c r="BA252" i="6"/>
  <c r="AZ252" i="6" s="1"/>
  <c r="AY978" i="6"/>
  <c r="BC978" i="6" s="1"/>
  <c r="BA978" i="6"/>
  <c r="AZ978" i="6" s="1"/>
  <c r="BA1466" i="6"/>
  <c r="AZ1466" i="6" s="1"/>
  <c r="BA541" i="6"/>
  <c r="AZ541" i="6" s="1"/>
  <c r="AX541" i="6"/>
  <c r="AX457" i="6"/>
  <c r="AY457" i="6"/>
  <c r="BC457" i="6" s="1"/>
  <c r="AX1307" i="6"/>
  <c r="AY1307" i="6"/>
  <c r="BC1307" i="6" s="1"/>
  <c r="BA1216" i="6"/>
  <c r="AZ1216" i="6" s="1"/>
  <c r="AY1216" i="6"/>
  <c r="BC1216" i="6" s="1"/>
  <c r="AY1244" i="6"/>
  <c r="BC1244" i="6" s="1"/>
  <c r="BA1244" i="6"/>
  <c r="AZ1244" i="6" s="1"/>
  <c r="AX1244" i="6"/>
  <c r="BA812" i="6"/>
  <c r="AZ812" i="6" s="1"/>
  <c r="AX812" i="6"/>
  <c r="AY1693" i="6"/>
  <c r="BC1693" i="6" s="1"/>
  <c r="AX1693" i="6"/>
  <c r="AY1294" i="6"/>
  <c r="BC1294" i="6" s="1"/>
  <c r="AY8" i="6"/>
  <c r="BC8" i="6" s="1"/>
  <c r="AX8" i="6"/>
  <c r="BA642" i="6"/>
  <c r="AZ642" i="6" s="1"/>
  <c r="AX1277" i="6"/>
  <c r="BA1277" i="6"/>
  <c r="AZ1277" i="6" s="1"/>
  <c r="AY1277" i="6"/>
  <c r="BC1277" i="6" s="1"/>
  <c r="AY299" i="6"/>
  <c r="BC299" i="6" s="1"/>
  <c r="AX299" i="6"/>
  <c r="AY689" i="6"/>
  <c r="BC689" i="6" s="1"/>
  <c r="AX689" i="6"/>
  <c r="BA991" i="6"/>
  <c r="AZ991" i="6" s="1"/>
  <c r="AX949" i="6"/>
  <c r="AY1688" i="6"/>
  <c r="BC1688" i="6" s="1"/>
  <c r="AY216" i="6"/>
  <c r="BC216" i="6" s="1"/>
  <c r="BA216" i="6"/>
  <c r="AZ216" i="6" s="1"/>
  <c r="AX216" i="6"/>
  <c r="AY698" i="6"/>
  <c r="BC698" i="6" s="1"/>
  <c r="AX698" i="6"/>
  <c r="AY468" i="6"/>
  <c r="BC468" i="6" s="1"/>
  <c r="BA468" i="6"/>
  <c r="AZ468" i="6" s="1"/>
  <c r="AY298" i="6"/>
  <c r="BC298" i="6" s="1"/>
  <c r="AX993" i="6"/>
  <c r="AX1195" i="6"/>
  <c r="BA1195" i="6"/>
  <c r="AZ1195" i="6" s="1"/>
  <c r="BA1082" i="6"/>
  <c r="AZ1082" i="6" s="1"/>
  <c r="AX1306" i="6"/>
  <c r="BA1116" i="6"/>
  <c r="AZ1116" i="6" s="1"/>
  <c r="AX805" i="6"/>
  <c r="AX271" i="6"/>
  <c r="AX1153" i="6"/>
  <c r="BA104" i="6"/>
  <c r="AZ104" i="6" s="1"/>
  <c r="AX1331" i="6"/>
  <c r="BA911" i="6"/>
  <c r="AZ911" i="6" s="1"/>
  <c r="AY647" i="6"/>
  <c r="BC647" i="6" s="1"/>
  <c r="BA647" i="6"/>
  <c r="AZ647" i="6" s="1"/>
  <c r="BA1357" i="6"/>
  <c r="AZ1357" i="6" s="1"/>
  <c r="AX1357" i="6"/>
  <c r="BA103" i="6"/>
  <c r="AZ103" i="6" s="1"/>
  <c r="AX103" i="6"/>
  <c r="AY103" i="6"/>
  <c r="BC103" i="6" s="1"/>
  <c r="AY640" i="6"/>
  <c r="BC640" i="6" s="1"/>
  <c r="BA640" i="6"/>
  <c r="AZ640" i="6" s="1"/>
  <c r="AX640" i="6"/>
  <c r="AY545" i="6"/>
  <c r="BC545" i="6" s="1"/>
  <c r="BA545" i="6"/>
  <c r="AZ545" i="6" s="1"/>
  <c r="AX545" i="6"/>
  <c r="AY273" i="6"/>
  <c r="BC273" i="6" s="1"/>
  <c r="AY958" i="6"/>
  <c r="BC958" i="6" s="1"/>
  <c r="AX279" i="6"/>
  <c r="AY953" i="6"/>
  <c r="BC953" i="6" s="1"/>
  <c r="BA46" i="6"/>
  <c r="AZ46" i="6" s="1"/>
  <c r="BA784" i="6"/>
  <c r="AZ784" i="6" s="1"/>
  <c r="AY784" i="6"/>
  <c r="BC784" i="6" s="1"/>
  <c r="AY800" i="6"/>
  <c r="BC800" i="6" s="1"/>
  <c r="BA800" i="6"/>
  <c r="AZ800" i="6" s="1"/>
  <c r="AX1077" i="6"/>
  <c r="AY419" i="6"/>
  <c r="BC419" i="6" s="1"/>
  <c r="AX419" i="6"/>
  <c r="BA279" i="6"/>
  <c r="AZ279" i="6" s="1"/>
  <c r="BA953" i="6"/>
  <c r="AZ953" i="6" s="1"/>
  <c r="BA1004" i="6"/>
  <c r="AZ1004" i="6" s="1"/>
  <c r="AX1004" i="6"/>
  <c r="BA783" i="6"/>
  <c r="AZ783" i="6" s="1"/>
  <c r="AX783" i="6"/>
  <c r="AY1007" i="6"/>
  <c r="BC1007" i="6" s="1"/>
  <c r="BA1007" i="6"/>
  <c r="AZ1007" i="6" s="1"/>
  <c r="AY1077" i="6"/>
  <c r="BC1077" i="6" s="1"/>
  <c r="AY1004" i="6"/>
  <c r="BC1004" i="6" s="1"/>
  <c r="AY783" i="6"/>
  <c r="BC783" i="6" s="1"/>
  <c r="AX1007" i="6"/>
  <c r="AX641" i="6"/>
  <c r="BA641" i="6"/>
  <c r="AZ641" i="6" s="1"/>
  <c r="AY1038" i="6"/>
  <c r="BC1038" i="6" s="1"/>
  <c r="BA1038" i="6"/>
  <c r="AZ1038" i="6" s="1"/>
  <c r="AX1038" i="6"/>
  <c r="BA1407" i="6"/>
  <c r="AZ1407" i="6" s="1"/>
  <c r="AX1407" i="6"/>
  <c r="BA1275" i="6"/>
  <c r="AZ1275" i="6" s="1"/>
  <c r="AY1275" i="6"/>
  <c r="BC1275" i="6" s="1"/>
  <c r="AX1275" i="6"/>
  <c r="BA1528" i="6"/>
  <c r="AZ1528" i="6" s="1"/>
  <c r="AX1528" i="6"/>
  <c r="BA10" i="6"/>
  <c r="AZ10" i="6" s="1"/>
  <c r="AY10" i="6"/>
  <c r="BC10" i="6" s="1"/>
  <c r="AX555" i="6"/>
  <c r="AY1407" i="6"/>
  <c r="BC1407" i="6" s="1"/>
  <c r="AY1599" i="6"/>
  <c r="BC1599" i="6" s="1"/>
  <c r="AX1599" i="6"/>
  <c r="BA1696" i="6"/>
  <c r="AZ1696" i="6" s="1"/>
  <c r="AX1696" i="6"/>
  <c r="AY561" i="6"/>
  <c r="BC561" i="6" s="1"/>
  <c r="BA561" i="6"/>
  <c r="AZ561" i="6" s="1"/>
  <c r="AX561" i="6"/>
  <c r="AY994" i="6"/>
  <c r="BC994" i="6" s="1"/>
  <c r="AX994" i="6"/>
  <c r="AY922" i="6"/>
  <c r="BC922" i="6" s="1"/>
  <c r="AX922" i="6"/>
  <c r="BA543" i="6"/>
  <c r="AZ543" i="6" s="1"/>
  <c r="AX543" i="6"/>
  <c r="AY1118" i="6"/>
  <c r="BC1118" i="6" s="1"/>
  <c r="BA1118" i="6"/>
  <c r="AZ1118" i="6" s="1"/>
  <c r="AX1118" i="6"/>
  <c r="BA1115" i="6"/>
  <c r="AZ1115" i="6" s="1"/>
  <c r="AY1696" i="6"/>
  <c r="BC1696" i="6" s="1"/>
  <c r="AX1683" i="6"/>
  <c r="AY1683" i="6"/>
  <c r="BC1683" i="6" s="1"/>
  <c r="AY125" i="6"/>
  <c r="BC125" i="6" s="1"/>
  <c r="AX125" i="6"/>
  <c r="AY1496" i="6"/>
  <c r="BC1496" i="6" s="1"/>
  <c r="BA1496" i="6"/>
  <c r="AZ1496" i="6" s="1"/>
  <c r="AY1542" i="6"/>
  <c r="BC1542" i="6" s="1"/>
  <c r="BA1542" i="6"/>
  <c r="AZ1542" i="6" s="1"/>
  <c r="BA1282" i="6"/>
  <c r="AZ1282" i="6" s="1"/>
  <c r="AY1282" i="6"/>
  <c r="BC1282" i="6" s="1"/>
  <c r="AY5" i="6"/>
  <c r="BC5" i="6" s="1"/>
  <c r="AX5" i="6"/>
  <c r="AY285" i="6"/>
  <c r="BC285" i="6" s="1"/>
  <c r="BA285" i="6"/>
  <c r="AZ285" i="6" s="1"/>
  <c r="BA1636" i="6"/>
  <c r="AZ1636" i="6" s="1"/>
  <c r="AX1636" i="6"/>
  <c r="BA1121" i="6"/>
  <c r="AZ1121" i="6" s="1"/>
  <c r="AY1121" i="6"/>
  <c r="BC1121" i="6" s="1"/>
  <c r="BA1117" i="6"/>
  <c r="AZ1117" i="6" s="1"/>
  <c r="AY1117" i="6"/>
  <c r="BC1117" i="6" s="1"/>
  <c r="AX1117" i="6"/>
  <c r="AX1446" i="6"/>
  <c r="AY1446" i="6"/>
  <c r="BC1446" i="6" s="1"/>
  <c r="BA234" i="6"/>
  <c r="AZ234" i="6" s="1"/>
  <c r="AY234" i="6"/>
  <c r="BC234" i="6" s="1"/>
  <c r="AX234" i="6"/>
  <c r="AY552" i="6"/>
  <c r="BC552" i="6" s="1"/>
  <c r="AX552" i="6"/>
  <c r="AY876" i="6"/>
  <c r="BC876" i="6" s="1"/>
  <c r="AX876" i="6"/>
  <c r="AX285" i="6"/>
  <c r="AY1636" i="6"/>
  <c r="BC1636" i="6" s="1"/>
  <c r="AX1121" i="6"/>
  <c r="AX1009" i="6"/>
  <c r="BA1009" i="6"/>
  <c r="AZ1009" i="6" s="1"/>
  <c r="AY1009" i="6"/>
  <c r="BC1009" i="6" s="1"/>
  <c r="AY1235" i="6"/>
  <c r="BC1235" i="6" s="1"/>
  <c r="BA1235" i="6"/>
  <c r="AZ1235" i="6" s="1"/>
  <c r="BA12" i="6"/>
  <c r="AZ12" i="6" s="1"/>
  <c r="AX62" i="6"/>
  <c r="AY62" i="6"/>
  <c r="BC62" i="6" s="1"/>
  <c r="AY1114" i="6"/>
  <c r="BC1114" i="6" s="1"/>
  <c r="BA1114" i="6"/>
  <c r="AZ1114" i="6" s="1"/>
  <c r="AX1695" i="6"/>
  <c r="BA1695" i="6"/>
  <c r="AZ1695" i="6" s="1"/>
  <c r="AY1219" i="6"/>
  <c r="BC1219" i="6" s="1"/>
  <c r="AX1219" i="6"/>
  <c r="AY262" i="6"/>
  <c r="BC262" i="6" s="1"/>
  <c r="BA262" i="6"/>
  <c r="AZ262" i="6" s="1"/>
  <c r="AX262" i="6"/>
  <c r="AY541" i="6"/>
  <c r="BC541" i="6" s="1"/>
  <c r="BA457" i="6"/>
  <c r="AZ457" i="6" s="1"/>
  <c r="BA1306" i="6"/>
  <c r="AZ1306" i="6" s="1"/>
  <c r="BA805" i="6"/>
  <c r="AZ805" i="6" s="1"/>
  <c r="BA993" i="6"/>
  <c r="AZ993" i="6" s="1"/>
  <c r="BA1219" i="6"/>
  <c r="AZ1219" i="6" s="1"/>
  <c r="AY710" i="6"/>
  <c r="BC710" i="6" s="1"/>
  <c r="AX710" i="6"/>
  <c r="BA710" i="6"/>
  <c r="AZ710" i="6" s="1"/>
  <c r="BA1607" i="6"/>
  <c r="AZ1607" i="6" s="1"/>
  <c r="AY1240" i="6"/>
  <c r="BC1240" i="6" s="1"/>
  <c r="AX1240" i="6"/>
  <c r="BA1307" i="6"/>
  <c r="AZ1307" i="6" s="1"/>
  <c r="BA1662" i="6"/>
  <c r="AZ1662" i="6" s="1"/>
  <c r="AY1476" i="6"/>
  <c r="BC1476" i="6" s="1"/>
  <c r="BA1476" i="6"/>
  <c r="AZ1476" i="6" s="1"/>
  <c r="AX1476" i="6"/>
  <c r="AX1171" i="6"/>
  <c r="AY1171" i="6"/>
  <c r="BC1171" i="6" s="1"/>
  <c r="AX236" i="6"/>
  <c r="BA236" i="6"/>
  <c r="AZ236" i="6" s="1"/>
  <c r="AY236" i="6"/>
  <c r="BC236" i="6" s="1"/>
  <c r="AY1047" i="6"/>
  <c r="BC1047" i="6" s="1"/>
  <c r="BA1047" i="6"/>
  <c r="AZ1047" i="6" s="1"/>
  <c r="BA1688" i="6"/>
  <c r="AZ1688" i="6" s="1"/>
  <c r="BA889" i="6"/>
  <c r="AZ889" i="6" s="1"/>
  <c r="BA298" i="6"/>
  <c r="AZ298" i="6" s="1"/>
  <c r="AY1426" i="6"/>
  <c r="BC1426" i="6" s="1"/>
  <c r="AX1426" i="6"/>
  <c r="AY972" i="6"/>
  <c r="BC972" i="6" s="1"/>
  <c r="BA972" i="6"/>
  <c r="AZ972" i="6" s="1"/>
  <c r="AX972" i="6"/>
  <c r="BA570" i="6"/>
  <c r="AZ570" i="6" s="1"/>
  <c r="BA1331" i="6"/>
  <c r="AZ1331" i="6" s="1"/>
  <c r="BA418" i="6"/>
  <c r="AZ418" i="6" s="1"/>
  <c r="AX963" i="6"/>
  <c r="AX810" i="6"/>
  <c r="BA963" i="6"/>
  <c r="AZ963" i="6" s="1"/>
  <c r="BA501" i="6"/>
  <c r="AZ501" i="6" s="1"/>
  <c r="BA689" i="6"/>
  <c r="AZ689" i="6" s="1"/>
  <c r="AX1403" i="6"/>
  <c r="AY495" i="6"/>
  <c r="BC495" i="6" s="1"/>
  <c r="AX978" i="6"/>
  <c r="AX570" i="6"/>
  <c r="AY911" i="6"/>
  <c r="BC911" i="6" s="1"/>
  <c r="AX418" i="6"/>
  <c r="BA1173" i="6"/>
  <c r="AZ1173" i="6" s="1"/>
  <c r="AY1173" i="6"/>
  <c r="BC1173" i="6" s="1"/>
  <c r="AX1173" i="6"/>
  <c r="BA1704" i="6"/>
  <c r="AZ1704" i="6" s="1"/>
  <c r="AX1704" i="6"/>
  <c r="AY1704" i="6"/>
  <c r="BC1704" i="6" s="1"/>
  <c r="BA1013" i="6"/>
  <c r="AZ1013" i="6" s="1"/>
  <c r="AY1013" i="6"/>
  <c r="BC1013" i="6" s="1"/>
  <c r="AX1013" i="6"/>
  <c r="BA1433" i="6"/>
  <c r="AZ1433" i="6" s="1"/>
  <c r="AY1433" i="6"/>
  <c r="BC1433" i="6" s="1"/>
  <c r="AX1433" i="6"/>
  <c r="BA32" i="6"/>
  <c r="AZ32" i="6" s="1"/>
  <c r="AY32" i="6"/>
  <c r="BC32" i="6" s="1"/>
  <c r="AX32" i="6"/>
  <c r="BA1049" i="6"/>
  <c r="AZ1049" i="6" s="1"/>
  <c r="AX1049" i="6"/>
  <c r="AY1049" i="6"/>
  <c r="BC1049" i="6" s="1"/>
  <c r="BA439" i="6"/>
  <c r="AZ439" i="6" s="1"/>
  <c r="AY439" i="6"/>
  <c r="BC439" i="6" s="1"/>
  <c r="AX439" i="6"/>
  <c r="BA633" i="6"/>
  <c r="AZ633" i="6" s="1"/>
  <c r="AX633" i="6"/>
  <c r="AY633" i="6"/>
  <c r="BC633" i="6" s="1"/>
  <c r="BA1224" i="6"/>
  <c r="AZ1224" i="6" s="1"/>
  <c r="AX1224" i="6"/>
  <c r="AY1224" i="6"/>
  <c r="BC1224" i="6" s="1"/>
  <c r="BA644" i="6"/>
  <c r="AZ644" i="6" s="1"/>
  <c r="AY644" i="6"/>
  <c r="BC644" i="6" s="1"/>
  <c r="AX644" i="6"/>
  <c r="BA814" i="6"/>
  <c r="AZ814" i="6" s="1"/>
  <c r="AY814" i="6"/>
  <c r="BC814" i="6" s="1"/>
  <c r="AX814" i="6"/>
  <c r="BA1175" i="6"/>
  <c r="AZ1175" i="6" s="1"/>
  <c r="AY1175" i="6"/>
  <c r="BC1175" i="6" s="1"/>
  <c r="AX1175" i="6"/>
  <c r="BA33" i="6"/>
  <c r="AZ33" i="6" s="1"/>
  <c r="AX33" i="6"/>
  <c r="AY33" i="6"/>
  <c r="BC33" i="6" s="1"/>
  <c r="BA351" i="6"/>
  <c r="AZ351" i="6" s="1"/>
  <c r="AY351" i="6"/>
  <c r="BC351" i="6" s="1"/>
  <c r="AX351" i="6"/>
  <c r="BA126" i="6"/>
  <c r="AZ126" i="6" s="1"/>
  <c r="AY126" i="6"/>
  <c r="BC126" i="6" s="1"/>
  <c r="AX126" i="6"/>
  <c r="BA434" i="6"/>
  <c r="AZ434" i="6" s="1"/>
  <c r="AY434" i="6"/>
  <c r="BC434" i="6" s="1"/>
  <c r="AX434" i="6"/>
  <c r="BA1045" i="6"/>
  <c r="AZ1045" i="6" s="1"/>
  <c r="AY1045" i="6"/>
  <c r="BC1045" i="6" s="1"/>
  <c r="AX1045" i="6"/>
  <c r="BA653" i="6"/>
  <c r="AZ653" i="6" s="1"/>
  <c r="AY653" i="6"/>
  <c r="BC653" i="6" s="1"/>
  <c r="AX653" i="6"/>
  <c r="BA573" i="6"/>
  <c r="AZ573" i="6" s="1"/>
  <c r="AY573" i="6"/>
  <c r="BC573" i="6" s="1"/>
  <c r="AX573" i="6"/>
  <c r="BA1474" i="6"/>
  <c r="AZ1474" i="6" s="1"/>
  <c r="AX1474" i="6"/>
  <c r="AY1474" i="6"/>
  <c r="BC1474" i="6" s="1"/>
  <c r="BA473" i="6"/>
  <c r="AZ473" i="6" s="1"/>
  <c r="AY473" i="6"/>
  <c r="BC473" i="6" s="1"/>
  <c r="AX473" i="6"/>
  <c r="BA996" i="6"/>
  <c r="AZ996" i="6" s="1"/>
  <c r="AY996" i="6"/>
  <c r="BC996" i="6" s="1"/>
  <c r="AX996" i="6"/>
  <c r="BA427" i="6"/>
  <c r="AZ427" i="6" s="1"/>
  <c r="AY427" i="6"/>
  <c r="BC427" i="6" s="1"/>
  <c r="AX427" i="6"/>
  <c r="BA1411" i="6"/>
  <c r="AZ1411" i="6" s="1"/>
  <c r="AX1411" i="6"/>
  <c r="AY1411" i="6"/>
  <c r="BC1411" i="6" s="1"/>
  <c r="BA1354" i="6"/>
  <c r="AZ1354" i="6" s="1"/>
  <c r="AX1354" i="6"/>
  <c r="AY1354" i="6"/>
  <c r="BC1354" i="6" s="1"/>
  <c r="BA649" i="6"/>
  <c r="AZ649" i="6" s="1"/>
  <c r="AY649" i="6"/>
  <c r="BC649" i="6" s="1"/>
  <c r="AX649" i="6"/>
  <c r="BA1002" i="6"/>
  <c r="AZ1002" i="6" s="1"/>
  <c r="AY1002" i="6"/>
  <c r="BC1002" i="6" s="1"/>
  <c r="AX1002" i="6"/>
  <c r="BA740" i="6"/>
  <c r="AZ740" i="6" s="1"/>
  <c r="AY740" i="6"/>
  <c r="BC740" i="6" s="1"/>
  <c r="AX740" i="6"/>
  <c r="BA1469" i="6"/>
  <c r="AZ1469" i="6" s="1"/>
  <c r="AY1469" i="6"/>
  <c r="BC1469" i="6" s="1"/>
  <c r="AX1469" i="6"/>
  <c r="BA516" i="6"/>
  <c r="AZ516" i="6" s="1"/>
  <c r="AY516" i="6"/>
  <c r="BC516" i="6" s="1"/>
  <c r="AX516" i="6"/>
  <c r="BA964" i="6"/>
  <c r="AZ964" i="6" s="1"/>
  <c r="AY964" i="6"/>
  <c r="BC964" i="6" s="1"/>
  <c r="AX964" i="6"/>
  <c r="BA1435" i="6"/>
  <c r="AZ1435" i="6" s="1"/>
  <c r="AY1435" i="6"/>
  <c r="BC1435" i="6" s="1"/>
  <c r="AX1435" i="6"/>
  <c r="BA1536" i="6"/>
  <c r="AZ1536" i="6" s="1"/>
  <c r="AY1536" i="6"/>
  <c r="BC1536" i="6" s="1"/>
  <c r="AX1536" i="6"/>
  <c r="BA770" i="6"/>
  <c r="AZ770" i="6" s="1"/>
  <c r="AY770" i="6"/>
  <c r="BC770" i="6" s="1"/>
  <c r="AX770" i="6"/>
  <c r="BA1448" i="6"/>
  <c r="AZ1448" i="6" s="1"/>
  <c r="AY1448" i="6"/>
  <c r="BC1448" i="6" s="1"/>
  <c r="AX1448" i="6"/>
  <c r="BA1405" i="6"/>
  <c r="AZ1405" i="6" s="1"/>
  <c r="AY1405" i="6"/>
  <c r="BC1405" i="6" s="1"/>
  <c r="AX1405" i="6"/>
  <c r="BA436" i="6"/>
  <c r="AZ436" i="6" s="1"/>
  <c r="AY436" i="6"/>
  <c r="BC436" i="6" s="1"/>
  <c r="AX436" i="6"/>
  <c r="BA1673" i="6"/>
  <c r="AZ1673" i="6" s="1"/>
  <c r="AX1673" i="6"/>
  <c r="AY1673" i="6"/>
  <c r="BC1673" i="6" s="1"/>
  <c r="BA1483" i="6"/>
  <c r="AZ1483" i="6" s="1"/>
  <c r="AY1483" i="6"/>
  <c r="BC1483" i="6" s="1"/>
  <c r="AX1483" i="6"/>
  <c r="BA967" i="6"/>
  <c r="AZ967" i="6" s="1"/>
  <c r="AY967" i="6"/>
  <c r="BC967" i="6" s="1"/>
  <c r="AX967" i="6"/>
  <c r="BA1706" i="6"/>
  <c r="AZ1706" i="6" s="1"/>
  <c r="AY1706" i="6"/>
  <c r="BC1706" i="6" s="1"/>
  <c r="AX1706" i="6"/>
  <c r="BA1288" i="6"/>
  <c r="AZ1288" i="6" s="1"/>
  <c r="AX1288" i="6"/>
  <c r="AY1288" i="6"/>
  <c r="BC1288" i="6" s="1"/>
  <c r="BA1234" i="6"/>
  <c r="AZ1234" i="6" s="1"/>
  <c r="AY1234" i="6"/>
  <c r="BC1234" i="6" s="1"/>
  <c r="AX1234" i="6"/>
  <c r="BA1398" i="6"/>
  <c r="AZ1398" i="6" s="1"/>
  <c r="AX1398" i="6"/>
  <c r="AY1398" i="6"/>
  <c r="BC1398" i="6" s="1"/>
  <c r="BA124" i="6"/>
  <c r="AZ124" i="6" s="1"/>
  <c r="AY124" i="6"/>
  <c r="BC124" i="6" s="1"/>
  <c r="AX124" i="6"/>
  <c r="BA437" i="6"/>
  <c r="AZ437" i="6" s="1"/>
  <c r="AX437" i="6"/>
  <c r="AY437" i="6"/>
  <c r="BC437" i="6" s="1"/>
  <c r="BA1537" i="6"/>
  <c r="AZ1537" i="6" s="1"/>
  <c r="AX1537" i="6"/>
  <c r="AY1537" i="6"/>
  <c r="BC1537" i="6" s="1"/>
  <c r="BA1575" i="6"/>
  <c r="AZ1575" i="6" s="1"/>
  <c r="AY1575" i="6"/>
  <c r="BC1575" i="6" s="1"/>
  <c r="AX1575" i="6"/>
  <c r="BA52" i="6"/>
  <c r="AZ52" i="6" s="1"/>
  <c r="AY52" i="6"/>
  <c r="BC52" i="6" s="1"/>
  <c r="AX52" i="6"/>
  <c r="BA785" i="6"/>
  <c r="AZ785" i="6" s="1"/>
  <c r="AX785" i="6"/>
  <c r="AY785" i="6"/>
  <c r="BC785" i="6" s="1"/>
  <c r="BA330" i="6"/>
  <c r="AZ330" i="6" s="1"/>
  <c r="AY330" i="6"/>
  <c r="BC330" i="6" s="1"/>
  <c r="AX330" i="6"/>
  <c r="BA438" i="6"/>
  <c r="AZ438" i="6" s="1"/>
  <c r="AY438" i="6"/>
  <c r="BC438" i="6" s="1"/>
  <c r="AX438" i="6"/>
  <c r="BA1499" i="6"/>
  <c r="AZ1499" i="6" s="1"/>
  <c r="AX1499" i="6"/>
  <c r="AY1499" i="6"/>
  <c r="BC1499" i="6" s="1"/>
  <c r="BA1165" i="6"/>
  <c r="AZ1165" i="6" s="1"/>
  <c r="AX1165" i="6"/>
  <c r="AY1165" i="6"/>
  <c r="BC1165" i="6" s="1"/>
  <c r="BA1176" i="6"/>
  <c r="AZ1176" i="6" s="1"/>
  <c r="AX1176" i="6"/>
  <c r="AY1176" i="6"/>
  <c r="BC1176" i="6" s="1"/>
  <c r="BA844" i="6"/>
  <c r="AZ844" i="6" s="1"/>
  <c r="AY844" i="6"/>
  <c r="BC844" i="6" s="1"/>
  <c r="AX844" i="6"/>
  <c r="BA660" i="6"/>
  <c r="AZ660" i="6" s="1"/>
  <c r="AX660" i="6"/>
  <c r="AY660" i="6"/>
  <c r="BC660" i="6" s="1"/>
  <c r="BA432" i="6"/>
  <c r="AZ432" i="6" s="1"/>
  <c r="AY432" i="6"/>
  <c r="BC432" i="6" s="1"/>
  <c r="AX432" i="6"/>
  <c r="BA1051" i="6"/>
  <c r="AZ1051" i="6" s="1"/>
  <c r="AY1051" i="6"/>
  <c r="BC1051" i="6" s="1"/>
  <c r="AX1051" i="6"/>
  <c r="BA742" i="6"/>
  <c r="AZ742" i="6" s="1"/>
  <c r="AY742" i="6"/>
  <c r="BC742" i="6" s="1"/>
  <c r="AX742" i="6"/>
  <c r="BA843" i="6"/>
  <c r="AZ843" i="6" s="1"/>
  <c r="AY843" i="6"/>
  <c r="BC843" i="6" s="1"/>
  <c r="AX843" i="6"/>
  <c r="AX1368" i="6"/>
  <c r="BA1368" i="6"/>
  <c r="AZ1368" i="6" s="1"/>
  <c r="AX1130" i="6"/>
  <c r="AY1130" i="6"/>
  <c r="BC1130" i="6" s="1"/>
  <c r="AX1637" i="6"/>
  <c r="BA1637" i="6"/>
  <c r="AZ1637" i="6" s="1"/>
  <c r="AY1637" i="6"/>
  <c r="BC1637" i="6" s="1"/>
  <c r="AX1671" i="6"/>
  <c r="BA1671" i="6"/>
  <c r="AZ1671" i="6" s="1"/>
  <c r="AY1671" i="6"/>
  <c r="BC1671" i="6" s="1"/>
  <c r="AX960" i="6"/>
  <c r="AY960" i="6"/>
  <c r="BC960" i="6" s="1"/>
  <c r="BA960" i="6"/>
  <c r="AZ960" i="6" s="1"/>
  <c r="AX176" i="6"/>
  <c r="AY176" i="6"/>
  <c r="BC176" i="6" s="1"/>
  <c r="BA176" i="6"/>
  <c r="AZ176" i="6" s="1"/>
  <c r="AX1253" i="6"/>
  <c r="AY1253" i="6"/>
  <c r="BC1253" i="6" s="1"/>
  <c r="BA1253" i="6"/>
  <c r="AZ1253" i="6" s="1"/>
  <c r="AX132" i="6"/>
  <c r="AY132" i="6"/>
  <c r="BC132" i="6" s="1"/>
  <c r="BA132" i="6"/>
  <c r="AZ132" i="6" s="1"/>
  <c r="AX886" i="6"/>
  <c r="AY886" i="6"/>
  <c r="BC886" i="6" s="1"/>
  <c r="BA886" i="6"/>
  <c r="AZ886" i="6" s="1"/>
  <c r="AX73" i="6"/>
  <c r="AY73" i="6"/>
  <c r="BC73" i="6" s="1"/>
  <c r="BA73" i="6"/>
  <c r="AZ73" i="6" s="1"/>
  <c r="AX549" i="6"/>
  <c r="AY549" i="6"/>
  <c r="BC549" i="6" s="1"/>
  <c r="BA549" i="6"/>
  <c r="AZ549" i="6" s="1"/>
  <c r="AX803" i="6"/>
  <c r="AY803" i="6"/>
  <c r="BC803" i="6" s="1"/>
  <c r="BA803" i="6"/>
  <c r="AZ803" i="6" s="1"/>
  <c r="AX787" i="6"/>
  <c r="AY787" i="6"/>
  <c r="BC787" i="6" s="1"/>
  <c r="BA787" i="6"/>
  <c r="AZ787" i="6" s="1"/>
  <c r="AX1098" i="6"/>
  <c r="AY1098" i="6"/>
  <c r="BC1098" i="6" s="1"/>
  <c r="BA1098" i="6"/>
  <c r="AZ1098" i="6" s="1"/>
  <c r="AX1640" i="6"/>
  <c r="AY1640" i="6"/>
  <c r="BC1640" i="6" s="1"/>
  <c r="BA1640" i="6"/>
  <c r="AZ1640" i="6" s="1"/>
  <c r="AX748" i="6"/>
  <c r="AY748" i="6"/>
  <c r="BC748" i="6" s="1"/>
  <c r="BA748" i="6"/>
  <c r="AZ748" i="6" s="1"/>
  <c r="AX715" i="6"/>
  <c r="BA715" i="6"/>
  <c r="AZ715" i="6" s="1"/>
  <c r="AY715" i="6"/>
  <c r="BC715" i="6" s="1"/>
  <c r="AX632" i="6"/>
  <c r="BA632" i="6"/>
  <c r="AZ632" i="6" s="1"/>
  <c r="AY632" i="6"/>
  <c r="BC632" i="6" s="1"/>
  <c r="AY1368" i="6"/>
  <c r="BC1368" i="6" s="1"/>
  <c r="AX1526" i="6"/>
  <c r="BA1526" i="6"/>
  <c r="AZ1526" i="6" s="1"/>
  <c r="AY1526" i="6"/>
  <c r="BC1526" i="6" s="1"/>
  <c r="AX1519" i="6"/>
  <c r="BA1519" i="6"/>
  <c r="AZ1519" i="6" s="1"/>
  <c r="AY1519" i="6"/>
  <c r="BC1519" i="6" s="1"/>
  <c r="BA1130" i="6"/>
  <c r="AZ1130" i="6" s="1"/>
  <c r="AX745" i="6"/>
  <c r="AY745" i="6"/>
  <c r="BC745" i="6" s="1"/>
  <c r="AX1131" i="6"/>
  <c r="BA1131" i="6"/>
  <c r="AZ1131" i="6" s="1"/>
  <c r="AY1131" i="6"/>
  <c r="BC1131" i="6" s="1"/>
  <c r="AX1668" i="6"/>
  <c r="AY1668" i="6"/>
  <c r="BC1668" i="6" s="1"/>
  <c r="AX1664" i="6"/>
  <c r="BA1664" i="6"/>
  <c r="AZ1664" i="6" s="1"/>
  <c r="AY1664" i="6"/>
  <c r="BC1664" i="6" s="1"/>
  <c r="AX167" i="6"/>
  <c r="BA167" i="6"/>
  <c r="AZ167" i="6" s="1"/>
  <c r="AY167" i="6"/>
  <c r="BC167" i="6" s="1"/>
  <c r="AX95" i="6"/>
  <c r="BA95" i="6"/>
  <c r="AZ95" i="6" s="1"/>
  <c r="AY95" i="6"/>
  <c r="BC95" i="6" s="1"/>
  <c r="AX1084" i="6"/>
  <c r="BA1084" i="6"/>
  <c r="AZ1084" i="6" s="1"/>
  <c r="AY1084" i="6"/>
  <c r="BC1084" i="6" s="1"/>
  <c r="AX535" i="6"/>
  <c r="BA535" i="6"/>
  <c r="AZ535" i="6" s="1"/>
  <c r="AY535" i="6"/>
  <c r="BC535" i="6" s="1"/>
  <c r="AX133" i="6"/>
  <c r="BA133" i="6"/>
  <c r="AZ133" i="6" s="1"/>
  <c r="AY133" i="6"/>
  <c r="BC133" i="6" s="1"/>
  <c r="AX893" i="6"/>
  <c r="BA893" i="6"/>
  <c r="AZ893" i="6" s="1"/>
  <c r="AY893" i="6"/>
  <c r="BC893" i="6" s="1"/>
  <c r="AX35" i="6"/>
  <c r="BA35" i="6"/>
  <c r="AZ35" i="6" s="1"/>
  <c r="AY35" i="6"/>
  <c r="BC35" i="6" s="1"/>
  <c r="AX836" i="6"/>
  <c r="BA836" i="6"/>
  <c r="AZ836" i="6" s="1"/>
  <c r="AY836" i="6"/>
  <c r="BC836" i="6" s="1"/>
  <c r="AX445" i="6"/>
  <c r="BA445" i="6"/>
  <c r="AZ445" i="6" s="1"/>
  <c r="AY445" i="6"/>
  <c r="BC445" i="6" s="1"/>
  <c r="BA907" i="6"/>
  <c r="AZ907" i="6" s="1"/>
  <c r="AX907" i="6"/>
  <c r="AY907" i="6"/>
  <c r="BC907" i="6" s="1"/>
  <c r="AX1666" i="6"/>
  <c r="BA1666" i="6"/>
  <c r="AZ1666" i="6" s="1"/>
  <c r="AY1666" i="6"/>
  <c r="BC1666" i="6" s="1"/>
  <c r="AX470" i="6"/>
  <c r="BA470" i="6"/>
  <c r="AZ470" i="6" s="1"/>
  <c r="AY470" i="6"/>
  <c r="BC470" i="6" s="1"/>
  <c r="AX1709" i="6"/>
  <c r="AY1709" i="6"/>
  <c r="BC1709" i="6" s="1"/>
  <c r="AX96" i="6"/>
  <c r="AY96" i="6"/>
  <c r="BC96" i="6" s="1"/>
  <c r="AX1731" i="6"/>
  <c r="BA1731" i="6"/>
  <c r="AZ1731" i="6" s="1"/>
  <c r="AY1731" i="6"/>
  <c r="BC1731" i="6" s="1"/>
  <c r="AX164" i="6"/>
  <c r="AY164" i="6"/>
  <c r="BC164" i="6" s="1"/>
  <c r="BA164" i="6"/>
  <c r="AZ164" i="6" s="1"/>
  <c r="AX1546" i="6"/>
  <c r="AY1546" i="6"/>
  <c r="BC1546" i="6" s="1"/>
  <c r="BA1546" i="6"/>
  <c r="AZ1546" i="6" s="1"/>
  <c r="AX1005" i="6"/>
  <c r="AY1005" i="6"/>
  <c r="BC1005" i="6" s="1"/>
  <c r="BA1005" i="6"/>
  <c r="AZ1005" i="6" s="1"/>
  <c r="AX429" i="6"/>
  <c r="AY429" i="6"/>
  <c r="BC429" i="6" s="1"/>
  <c r="BA429" i="6"/>
  <c r="AZ429" i="6" s="1"/>
  <c r="AX151" i="6"/>
  <c r="AY151" i="6"/>
  <c r="BC151" i="6" s="1"/>
  <c r="BA151" i="6"/>
  <c r="AZ151" i="6" s="1"/>
  <c r="AX881" i="6"/>
  <c r="AY881" i="6"/>
  <c r="BC881" i="6" s="1"/>
  <c r="BA881" i="6"/>
  <c r="AZ881" i="6" s="1"/>
  <c r="AX153" i="6"/>
  <c r="AY153" i="6"/>
  <c r="BC153" i="6" s="1"/>
  <c r="BA153" i="6"/>
  <c r="AZ153" i="6" s="1"/>
  <c r="AX567" i="6"/>
  <c r="AY567" i="6"/>
  <c r="BC567" i="6" s="1"/>
  <c r="BA567" i="6"/>
  <c r="AZ567" i="6" s="1"/>
  <c r="AX930" i="6"/>
  <c r="AY930" i="6"/>
  <c r="BC930" i="6" s="1"/>
  <c r="BA930" i="6"/>
  <c r="AZ930" i="6" s="1"/>
  <c r="AX452" i="6"/>
  <c r="AY452" i="6"/>
  <c r="BC452" i="6" s="1"/>
  <c r="BA452" i="6"/>
  <c r="AZ452" i="6" s="1"/>
  <c r="AX1538" i="6"/>
  <c r="AY1538" i="6"/>
  <c r="BC1538" i="6" s="1"/>
  <c r="BA1538" i="6"/>
  <c r="AZ1538" i="6" s="1"/>
  <c r="AX181" i="6"/>
  <c r="AY181" i="6"/>
  <c r="BC181" i="6" s="1"/>
  <c r="BA181" i="6"/>
  <c r="AZ181" i="6" s="1"/>
  <c r="AX1525" i="6"/>
  <c r="AY1525" i="6"/>
  <c r="BC1525" i="6" s="1"/>
  <c r="BA1525" i="6"/>
  <c r="AZ1525" i="6" s="1"/>
  <c r="AX1714" i="6"/>
  <c r="AY1714" i="6"/>
  <c r="BC1714" i="6" s="1"/>
  <c r="AX1119" i="6"/>
  <c r="BA1119" i="6"/>
  <c r="AZ1119" i="6" s="1"/>
  <c r="AY1119" i="6"/>
  <c r="BC1119" i="6" s="1"/>
  <c r="BA1709" i="6"/>
  <c r="AZ1709" i="6" s="1"/>
  <c r="AX1638" i="6"/>
  <c r="BA1638" i="6"/>
  <c r="AZ1638" i="6" s="1"/>
  <c r="AY1638" i="6"/>
  <c r="BC1638" i="6" s="1"/>
  <c r="BA96" i="6"/>
  <c r="AZ96" i="6" s="1"/>
  <c r="AX1377" i="6"/>
  <c r="AY1377" i="6"/>
  <c r="BC1377" i="6" s="1"/>
  <c r="BA1377" i="6"/>
  <c r="AZ1377" i="6" s="1"/>
  <c r="AX264" i="6"/>
  <c r="BA264" i="6"/>
  <c r="AZ264" i="6" s="1"/>
  <c r="AY264" i="6"/>
  <c r="BC264" i="6" s="1"/>
  <c r="AX705" i="6"/>
  <c r="BA705" i="6"/>
  <c r="AZ705" i="6" s="1"/>
  <c r="AY705" i="6"/>
  <c r="BC705" i="6" s="1"/>
  <c r="AX256" i="6"/>
  <c r="BA256" i="6"/>
  <c r="AZ256" i="6" s="1"/>
  <c r="AY256" i="6"/>
  <c r="BC256" i="6" s="1"/>
  <c r="AX831" i="6"/>
  <c r="BA831" i="6"/>
  <c r="AZ831" i="6" s="1"/>
  <c r="AY831" i="6"/>
  <c r="BC831" i="6" s="1"/>
  <c r="AX430" i="6"/>
  <c r="BA430" i="6"/>
  <c r="AZ430" i="6" s="1"/>
  <c r="AY430" i="6"/>
  <c r="BC430" i="6" s="1"/>
  <c r="AX1250" i="6"/>
  <c r="BA1250" i="6"/>
  <c r="AZ1250" i="6" s="1"/>
  <c r="AY1250" i="6"/>
  <c r="BC1250" i="6" s="1"/>
  <c r="AX883" i="6"/>
  <c r="BA883" i="6"/>
  <c r="AZ883" i="6" s="1"/>
  <c r="AY883" i="6"/>
  <c r="BC883" i="6" s="1"/>
  <c r="AX454" i="6"/>
  <c r="BA454" i="6"/>
  <c r="AZ454" i="6" s="1"/>
  <c r="AY454" i="6"/>
  <c r="BC454" i="6" s="1"/>
  <c r="AX318" i="6"/>
  <c r="BA318" i="6"/>
  <c r="AZ318" i="6" s="1"/>
  <c r="AY318" i="6"/>
  <c r="BC318" i="6" s="1"/>
  <c r="AX449" i="6"/>
  <c r="BA449" i="6"/>
  <c r="AZ449" i="6" s="1"/>
  <c r="AY449" i="6"/>
  <c r="BC449" i="6" s="1"/>
  <c r="AX1582" i="6"/>
  <c r="BA1582" i="6"/>
  <c r="AZ1582" i="6" s="1"/>
  <c r="AY1582" i="6"/>
  <c r="BC1582" i="6" s="1"/>
  <c r="AX945" i="6"/>
  <c r="BA945" i="6"/>
  <c r="AZ945" i="6" s="1"/>
  <c r="AY945" i="6"/>
  <c r="BC945" i="6" s="1"/>
  <c r="BA1289" i="6"/>
  <c r="AZ1289" i="6" s="1"/>
  <c r="AY1289" i="6"/>
  <c r="BC1289" i="6" s="1"/>
  <c r="AX1289" i="6"/>
  <c r="BA871" i="6"/>
  <c r="AZ871" i="6" s="1"/>
  <c r="AX871" i="6"/>
  <c r="AY871" i="6"/>
  <c r="BC871" i="6" s="1"/>
  <c r="BA1174" i="6"/>
  <c r="AZ1174" i="6" s="1"/>
  <c r="AX1174" i="6"/>
  <c r="AY1174" i="6"/>
  <c r="BC1174" i="6" s="1"/>
  <c r="BA1170" i="6"/>
  <c r="AZ1170" i="6" s="1"/>
  <c r="AX1170" i="6"/>
  <c r="AY1170" i="6"/>
  <c r="BC1170" i="6" s="1"/>
  <c r="BA257" i="6"/>
  <c r="AZ257" i="6" s="1"/>
  <c r="AY257" i="6"/>
  <c r="BC257" i="6" s="1"/>
  <c r="AX257" i="6"/>
  <c r="BA221" i="6"/>
  <c r="AZ221" i="6" s="1"/>
  <c r="AY221" i="6"/>
  <c r="BC221" i="6" s="1"/>
  <c r="AX221" i="6"/>
  <c r="BA460" i="6"/>
  <c r="AZ460" i="6" s="1"/>
  <c r="AX460" i="6"/>
  <c r="AY460" i="6"/>
  <c r="BC460" i="6" s="1"/>
  <c r="BA276" i="6"/>
  <c r="AZ276" i="6" s="1"/>
  <c r="AX276" i="6"/>
  <c r="AY276" i="6"/>
  <c r="BC276" i="6" s="1"/>
  <c r="BA433" i="6"/>
  <c r="AZ433" i="6" s="1"/>
  <c r="AX433" i="6"/>
  <c r="AY433" i="6"/>
  <c r="BC433" i="6" s="1"/>
  <c r="BA811" i="6"/>
  <c r="AZ811" i="6" s="1"/>
  <c r="AX811" i="6"/>
  <c r="AY811" i="6"/>
  <c r="BC811" i="6" s="1"/>
  <c r="BA1196" i="6"/>
  <c r="AZ1196" i="6" s="1"/>
  <c r="AX1196" i="6"/>
  <c r="AY1196" i="6"/>
  <c r="BC1196" i="6" s="1"/>
  <c r="BA706" i="6"/>
  <c r="AZ706" i="6" s="1"/>
  <c r="AY706" i="6"/>
  <c r="BC706" i="6" s="1"/>
  <c r="AX706" i="6"/>
  <c r="AX718" i="6"/>
  <c r="BA718" i="6"/>
  <c r="AZ718" i="6" s="1"/>
  <c r="AY718" i="6"/>
  <c r="BC718" i="6" s="1"/>
  <c r="BA1714" i="6"/>
  <c r="AZ1714" i="6" s="1"/>
  <c r="AX1129" i="6"/>
  <c r="BA1129" i="6"/>
  <c r="AZ1129" i="6" s="1"/>
  <c r="AY1129" i="6"/>
  <c r="BC1129" i="6" s="1"/>
  <c r="AX140" i="6"/>
  <c r="AY140" i="6"/>
  <c r="BC140" i="6" s="1"/>
  <c r="AX269" i="6"/>
  <c r="BA269" i="6"/>
  <c r="AZ269" i="6" s="1"/>
  <c r="AY269" i="6"/>
  <c r="BC269" i="6" s="1"/>
  <c r="AX1576" i="6"/>
  <c r="BA1576" i="6"/>
  <c r="AZ1576" i="6" s="1"/>
  <c r="AY1576" i="6"/>
  <c r="BC1576" i="6" s="1"/>
  <c r="AX1014" i="6"/>
  <c r="AY1014" i="6"/>
  <c r="BC1014" i="6" s="1"/>
  <c r="BA1014" i="6"/>
  <c r="AZ1014" i="6" s="1"/>
  <c r="AX932" i="6"/>
  <c r="AY932" i="6"/>
  <c r="BC932" i="6" s="1"/>
  <c r="BA932" i="6"/>
  <c r="AZ932" i="6" s="1"/>
  <c r="AX1484" i="6"/>
  <c r="AY1484" i="6"/>
  <c r="BC1484" i="6" s="1"/>
  <c r="BA1484" i="6"/>
  <c r="AZ1484" i="6" s="1"/>
  <c r="AX606" i="6"/>
  <c r="AY606" i="6"/>
  <c r="BC606" i="6" s="1"/>
  <c r="BA606" i="6"/>
  <c r="AZ606" i="6" s="1"/>
  <c r="AX98" i="6"/>
  <c r="AY98" i="6"/>
  <c r="BC98" i="6" s="1"/>
  <c r="BA98" i="6"/>
  <c r="AZ98" i="6" s="1"/>
  <c r="AX804" i="6"/>
  <c r="AY804" i="6"/>
  <c r="BC804" i="6" s="1"/>
  <c r="BA804" i="6"/>
  <c r="AZ804" i="6" s="1"/>
  <c r="AX1290" i="6"/>
  <c r="AY1290" i="6"/>
  <c r="BC1290" i="6" s="1"/>
  <c r="BA1290" i="6"/>
  <c r="AZ1290" i="6" s="1"/>
  <c r="AX699" i="6"/>
  <c r="AY699" i="6"/>
  <c r="BC699" i="6" s="1"/>
  <c r="BA699" i="6"/>
  <c r="AZ699" i="6" s="1"/>
  <c r="AX1063" i="6"/>
  <c r="AY1063" i="6"/>
  <c r="BC1063" i="6" s="1"/>
  <c r="BA1063" i="6"/>
  <c r="AZ1063" i="6" s="1"/>
  <c r="AX453" i="6"/>
  <c r="AY453" i="6"/>
  <c r="BC453" i="6" s="1"/>
  <c r="BA453" i="6"/>
  <c r="AZ453" i="6" s="1"/>
  <c r="AX7" i="6"/>
  <c r="AY7" i="6"/>
  <c r="BC7" i="6" s="1"/>
  <c r="BA7" i="6"/>
  <c r="AZ7" i="6" s="1"/>
  <c r="AX759" i="6"/>
  <c r="AY759" i="6"/>
  <c r="BC759" i="6" s="1"/>
  <c r="BA759" i="6"/>
  <c r="AZ759" i="6" s="1"/>
  <c r="AX1061" i="6"/>
  <c r="AY1061" i="6"/>
  <c r="BC1061" i="6" s="1"/>
  <c r="BA1061" i="6"/>
  <c r="AZ1061" i="6" s="1"/>
  <c r="AX944" i="6"/>
  <c r="AY944" i="6"/>
  <c r="BC944" i="6" s="1"/>
  <c r="BA944" i="6"/>
  <c r="AZ944" i="6" s="1"/>
  <c r="AX625" i="6"/>
  <c r="AY625" i="6"/>
  <c r="BC625" i="6" s="1"/>
  <c r="BA625" i="6"/>
  <c r="AZ625" i="6" s="1"/>
  <c r="AX648" i="6"/>
  <c r="AY648" i="6"/>
  <c r="BC648" i="6" s="1"/>
  <c r="BA648" i="6"/>
  <c r="AZ648" i="6" s="1"/>
  <c r="AX1641" i="6"/>
  <c r="AY1641" i="6"/>
  <c r="BC1641" i="6" s="1"/>
  <c r="BA1641" i="6"/>
  <c r="AZ1641" i="6" s="1"/>
  <c r="AX626" i="6"/>
  <c r="AY626" i="6"/>
  <c r="BC626" i="6" s="1"/>
  <c r="AX1524" i="6"/>
  <c r="AY1524" i="6"/>
  <c r="BC1524" i="6" s="1"/>
  <c r="AX1127" i="6"/>
  <c r="AY1127" i="6"/>
  <c r="BC1127" i="6" s="1"/>
  <c r="AX1633" i="6"/>
  <c r="BA1633" i="6"/>
  <c r="AZ1633" i="6" s="1"/>
  <c r="AY1633" i="6"/>
  <c r="BC1633" i="6" s="1"/>
  <c r="AX1012" i="6"/>
  <c r="AY1012" i="6"/>
  <c r="BC1012" i="6" s="1"/>
  <c r="AX1581" i="6"/>
  <c r="AY1581" i="6"/>
  <c r="BC1581" i="6" s="1"/>
  <c r="BA1581" i="6"/>
  <c r="AZ1581" i="6" s="1"/>
  <c r="AX1329" i="6"/>
  <c r="BA1329" i="6"/>
  <c r="AZ1329" i="6" s="1"/>
  <c r="AY1329" i="6"/>
  <c r="BC1329" i="6" s="1"/>
  <c r="AX70" i="6"/>
  <c r="BA70" i="6"/>
  <c r="AZ70" i="6" s="1"/>
  <c r="AY70" i="6"/>
  <c r="BC70" i="6" s="1"/>
  <c r="AX102" i="6"/>
  <c r="BA102" i="6"/>
  <c r="AZ102" i="6" s="1"/>
  <c r="AY102" i="6"/>
  <c r="BC102" i="6" s="1"/>
  <c r="AX1655" i="6"/>
  <c r="BA1655" i="6"/>
  <c r="AZ1655" i="6" s="1"/>
  <c r="AY1655" i="6"/>
  <c r="BC1655" i="6" s="1"/>
  <c r="AX128" i="6"/>
  <c r="BA128" i="6"/>
  <c r="AZ128" i="6" s="1"/>
  <c r="AY128" i="6"/>
  <c r="BC128" i="6" s="1"/>
  <c r="AX22" i="6"/>
  <c r="BA22" i="6"/>
  <c r="AZ22" i="6" s="1"/>
  <c r="AY22" i="6"/>
  <c r="BC22" i="6" s="1"/>
  <c r="AX451" i="6"/>
  <c r="BA451" i="6"/>
  <c r="AZ451" i="6" s="1"/>
  <c r="AY451" i="6"/>
  <c r="BC451" i="6" s="1"/>
  <c r="AX929" i="6"/>
  <c r="BA929" i="6"/>
  <c r="AZ929" i="6" s="1"/>
  <c r="AY929" i="6"/>
  <c r="BC929" i="6" s="1"/>
  <c r="AX1183" i="6"/>
  <c r="BA1183" i="6"/>
  <c r="AZ1183" i="6" s="1"/>
  <c r="AY1183" i="6"/>
  <c r="BC1183" i="6" s="1"/>
  <c r="AX185" i="6"/>
  <c r="BA185" i="6"/>
  <c r="AZ185" i="6" s="1"/>
  <c r="AY185" i="6"/>
  <c r="BC185" i="6" s="1"/>
  <c r="AX450" i="6"/>
  <c r="BA450" i="6"/>
  <c r="AZ450" i="6" s="1"/>
  <c r="AY450" i="6"/>
  <c r="BC450" i="6" s="1"/>
  <c r="AX586" i="6"/>
  <c r="BA586" i="6"/>
  <c r="AZ586" i="6" s="1"/>
  <c r="AY586" i="6"/>
  <c r="BC586" i="6" s="1"/>
  <c r="AX1399" i="6"/>
  <c r="BA1399" i="6"/>
  <c r="AZ1399" i="6" s="1"/>
  <c r="AY1399" i="6"/>
  <c r="BC1399" i="6" s="1"/>
  <c r="BA786" i="6"/>
  <c r="AZ786" i="6" s="1"/>
  <c r="AY786" i="6"/>
  <c r="BC786" i="6" s="1"/>
  <c r="AX786" i="6"/>
  <c r="BA741" i="6"/>
  <c r="AZ741" i="6" s="1"/>
  <c r="AX741" i="6"/>
  <c r="AY741" i="6"/>
  <c r="BC741" i="6" s="1"/>
  <c r="BA426" i="6"/>
  <c r="AZ426" i="6" s="1"/>
  <c r="AX426" i="6"/>
  <c r="AY426" i="6"/>
  <c r="BC426" i="6" s="1"/>
  <c r="BA431" i="6"/>
  <c r="AZ431" i="6" s="1"/>
  <c r="AX431" i="6"/>
  <c r="AY431" i="6"/>
  <c r="BC431" i="6" s="1"/>
  <c r="BA435" i="6"/>
  <c r="AZ435" i="6" s="1"/>
  <c r="AX435" i="6"/>
  <c r="AY435" i="6"/>
  <c r="BC435" i="6" s="1"/>
  <c r="BA1052" i="6"/>
  <c r="AZ1052" i="6" s="1"/>
  <c r="AY1052" i="6"/>
  <c r="BC1052" i="6" s="1"/>
  <c r="AX1052" i="6"/>
  <c r="BA212" i="6"/>
  <c r="AZ212" i="6" s="1"/>
  <c r="AY212" i="6"/>
  <c r="BC212" i="6" s="1"/>
  <c r="AX212" i="6"/>
  <c r="AX1497" i="6"/>
  <c r="BA1497" i="6"/>
  <c r="AZ1497" i="6" s="1"/>
  <c r="AY1497" i="6"/>
  <c r="BC1497" i="6" s="1"/>
  <c r="AX665" i="6"/>
  <c r="BA665" i="6"/>
  <c r="AZ665" i="6" s="1"/>
  <c r="AY665" i="6"/>
  <c r="BC665" i="6" s="1"/>
  <c r="BA1524" i="6"/>
  <c r="AZ1524" i="6" s="1"/>
  <c r="AX1437" i="6"/>
  <c r="BA1437" i="6"/>
  <c r="AZ1437" i="6" s="1"/>
  <c r="AY1437" i="6"/>
  <c r="BC1437" i="6" s="1"/>
  <c r="BA1127" i="6"/>
  <c r="AZ1127" i="6" s="1"/>
  <c r="AX1635" i="6"/>
  <c r="AY1635" i="6"/>
  <c r="BC1635" i="6" s="1"/>
  <c r="BA1012" i="6"/>
  <c r="AZ1012" i="6" s="1"/>
  <c r="AX596" i="6"/>
  <c r="BA596" i="6"/>
  <c r="AZ596" i="6" s="1"/>
  <c r="AY596" i="6"/>
  <c r="BC596" i="6" s="1"/>
  <c r="AX159" i="6"/>
  <c r="AY159" i="6"/>
  <c r="BC159" i="6" s="1"/>
  <c r="BA159" i="6"/>
  <c r="AZ159" i="6" s="1"/>
  <c r="AX744" i="6"/>
  <c r="AY744" i="6"/>
  <c r="BC744" i="6" s="1"/>
  <c r="BA744" i="6"/>
  <c r="AZ744" i="6" s="1"/>
  <c r="AX1095" i="6"/>
  <c r="AY1095" i="6"/>
  <c r="BC1095" i="6" s="1"/>
  <c r="BA1095" i="6"/>
  <c r="AZ1095" i="6" s="1"/>
  <c r="AX753" i="6"/>
  <c r="AY753" i="6"/>
  <c r="BC753" i="6" s="1"/>
  <c r="BA753" i="6"/>
  <c r="AZ753" i="6" s="1"/>
  <c r="AX1287" i="6"/>
  <c r="AY1287" i="6"/>
  <c r="BC1287" i="6" s="1"/>
  <c r="BA1287" i="6"/>
  <c r="AZ1287" i="6" s="1"/>
  <c r="AX547" i="6"/>
  <c r="AY547" i="6"/>
  <c r="BC547" i="6" s="1"/>
  <c r="BA547" i="6"/>
  <c r="AZ547" i="6" s="1"/>
  <c r="AX1011" i="6"/>
  <c r="AY1011" i="6"/>
  <c r="BC1011" i="6" s="1"/>
  <c r="BA1011" i="6"/>
  <c r="AZ1011" i="6" s="1"/>
  <c r="AX722" i="6"/>
  <c r="AY722" i="6"/>
  <c r="BC722" i="6" s="1"/>
  <c r="AX668" i="6"/>
  <c r="BA668" i="6"/>
  <c r="AZ668" i="6" s="1"/>
  <c r="AY668" i="6"/>
  <c r="BC668" i="6" s="1"/>
  <c r="AX629" i="6"/>
  <c r="AY629" i="6"/>
  <c r="BC629" i="6" s="1"/>
  <c r="AX952" i="6"/>
  <c r="BA952" i="6"/>
  <c r="AZ952" i="6" s="1"/>
  <c r="AY952" i="6"/>
  <c r="BC952" i="6" s="1"/>
  <c r="AX1701" i="6"/>
  <c r="AY1701" i="6"/>
  <c r="BC1701" i="6" s="1"/>
  <c r="AX1128" i="6"/>
  <c r="BA1128" i="6"/>
  <c r="AZ1128" i="6" s="1"/>
  <c r="AY1128" i="6"/>
  <c r="BC1128" i="6" s="1"/>
  <c r="BA1635" i="6"/>
  <c r="AZ1635" i="6" s="1"/>
  <c r="AX851" i="6"/>
  <c r="BA851" i="6"/>
  <c r="AZ851" i="6" s="1"/>
  <c r="AY851" i="6"/>
  <c r="BC851" i="6" s="1"/>
  <c r="AX1726" i="6"/>
  <c r="BA1726" i="6"/>
  <c r="AZ1726" i="6" s="1"/>
  <c r="AY1726" i="6"/>
  <c r="BC1726" i="6" s="1"/>
  <c r="AX802" i="6"/>
  <c r="BA802" i="6"/>
  <c r="AZ802" i="6" s="1"/>
  <c r="AY802" i="6"/>
  <c r="BC802" i="6" s="1"/>
  <c r="AX422" i="6"/>
  <c r="BA422" i="6"/>
  <c r="AZ422" i="6" s="1"/>
  <c r="AY422" i="6"/>
  <c r="BC422" i="6" s="1"/>
  <c r="AX767" i="6"/>
  <c r="BA767" i="6"/>
  <c r="AZ767" i="6" s="1"/>
  <c r="AY767" i="6"/>
  <c r="BC767" i="6" s="1"/>
  <c r="AX150" i="6"/>
  <c r="BA150" i="6"/>
  <c r="AZ150" i="6" s="1"/>
  <c r="AY150" i="6"/>
  <c r="BC150" i="6" s="1"/>
  <c r="AX131" i="6"/>
  <c r="BA131" i="6"/>
  <c r="AZ131" i="6" s="1"/>
  <c r="AY131" i="6"/>
  <c r="BC131" i="6" s="1"/>
  <c r="AX1595" i="6"/>
  <c r="BA1595" i="6"/>
  <c r="AZ1595" i="6" s="1"/>
  <c r="AY1595" i="6"/>
  <c r="BC1595" i="6" s="1"/>
  <c r="AX594" i="6"/>
  <c r="BA594" i="6"/>
  <c r="AZ594" i="6" s="1"/>
  <c r="AY594" i="6"/>
  <c r="BC594" i="6" s="1"/>
  <c r="AX591" i="6"/>
  <c r="BA591" i="6"/>
  <c r="AZ591" i="6" s="1"/>
  <c r="AY591" i="6"/>
  <c r="BC591" i="6" s="1"/>
  <c r="AX190" i="6"/>
  <c r="BA190" i="6"/>
  <c r="AZ190" i="6" s="1"/>
  <c r="AY190" i="6"/>
  <c r="BC190" i="6" s="1"/>
  <c r="AX1545" i="6"/>
  <c r="BA1545" i="6"/>
  <c r="AZ1545" i="6" s="1"/>
  <c r="AY1545" i="6"/>
  <c r="BC1545" i="6" s="1"/>
  <c r="AX182" i="6"/>
  <c r="BA182" i="6"/>
  <c r="AZ182" i="6" s="1"/>
  <c r="AY182" i="6"/>
  <c r="BC182" i="6" s="1"/>
  <c r="BA307" i="6"/>
  <c r="AZ307" i="6" s="1"/>
  <c r="AY307" i="6"/>
  <c r="BC307" i="6" s="1"/>
  <c r="AX307" i="6"/>
  <c r="BA955" i="6"/>
  <c r="AZ955" i="6" s="1"/>
  <c r="AX955" i="6"/>
  <c r="BA1367" i="6"/>
  <c r="AZ1367" i="6" s="1"/>
  <c r="AX1367" i="6"/>
  <c r="BA698" i="6"/>
  <c r="AZ698" i="6" s="1"/>
  <c r="AY1547" i="6"/>
  <c r="BC1547" i="6" s="1"/>
  <c r="BA1547" i="6"/>
  <c r="AZ1547" i="6" s="1"/>
  <c r="AX1547" i="6"/>
  <c r="BA558" i="6"/>
  <c r="AZ558" i="6" s="1"/>
  <c r="AY558" i="6"/>
  <c r="BC558" i="6" s="1"/>
  <c r="AX558" i="6"/>
  <c r="BA693" i="6"/>
  <c r="AZ693" i="6" s="1"/>
  <c r="AX693" i="6"/>
  <c r="AY693" i="6"/>
  <c r="BC693" i="6" s="1"/>
  <c r="BA628" i="6"/>
  <c r="AZ628" i="6" s="1"/>
  <c r="AX628" i="6"/>
  <c r="BA1556" i="6"/>
  <c r="AZ1556" i="6" s="1"/>
  <c r="AY1556" i="6"/>
  <c r="BC1556" i="6" s="1"/>
  <c r="AX1556" i="6"/>
  <c r="BA1372" i="6"/>
  <c r="AZ1372" i="6" s="1"/>
  <c r="AY1372" i="6"/>
  <c r="BC1372" i="6" s="1"/>
  <c r="AX1372" i="6"/>
  <c r="BA1700" i="6"/>
  <c r="AZ1700" i="6" s="1"/>
  <c r="AX1700" i="6"/>
  <c r="BA448" i="6"/>
  <c r="AZ448" i="6" s="1"/>
  <c r="AX448" i="6"/>
  <c r="BA447" i="6"/>
  <c r="AZ447" i="6" s="1"/>
  <c r="AX447" i="6"/>
  <c r="BA946" i="6"/>
  <c r="AZ946" i="6" s="1"/>
  <c r="AX946" i="6"/>
  <c r="BA253" i="6"/>
  <c r="AZ253" i="6" s="1"/>
  <c r="AX253" i="6"/>
  <c r="AY1043" i="6"/>
  <c r="BC1043" i="6" s="1"/>
  <c r="AX1043" i="6"/>
  <c r="AY1401" i="6"/>
  <c r="BC1401" i="6" s="1"/>
  <c r="BA1401" i="6"/>
  <c r="AZ1401" i="6" s="1"/>
  <c r="AX1401" i="6"/>
  <c r="BA1238" i="6"/>
  <c r="AZ1238" i="6" s="1"/>
  <c r="AY1238" i="6"/>
  <c r="BC1238" i="6" s="1"/>
  <c r="AX1238" i="6"/>
  <c r="BA1424" i="6"/>
  <c r="AZ1424" i="6" s="1"/>
  <c r="AY1424" i="6"/>
  <c r="BC1424" i="6" s="1"/>
  <c r="AX1424" i="6"/>
  <c r="BA3" i="6"/>
  <c r="AZ3" i="6" s="1"/>
  <c r="AY3" i="6"/>
  <c r="BC3" i="6" s="1"/>
  <c r="AX3" i="6"/>
  <c r="BA643" i="6"/>
  <c r="AZ643" i="6" s="1"/>
  <c r="AY643" i="6"/>
  <c r="BC643" i="6" s="1"/>
  <c r="AX643" i="6"/>
  <c r="BA1584" i="6"/>
  <c r="AZ1584" i="6" s="1"/>
  <c r="AX1584" i="6"/>
  <c r="BA1139" i="6"/>
  <c r="AZ1139" i="6" s="1"/>
  <c r="AY1139" i="6"/>
  <c r="BC1139" i="6" s="1"/>
  <c r="AX1139" i="6"/>
  <c r="AY46" i="6"/>
  <c r="BC46" i="6" s="1"/>
  <c r="AY1700" i="6"/>
  <c r="BC1700" i="6" s="1"/>
  <c r="BA1078" i="6"/>
  <c r="AZ1078" i="6" s="1"/>
  <c r="AX1078" i="6"/>
  <c r="AY695" i="6"/>
  <c r="BC695" i="6" s="1"/>
  <c r="BA695" i="6"/>
  <c r="AZ695" i="6" s="1"/>
  <c r="AX695" i="6"/>
  <c r="AY860" i="6"/>
  <c r="BC860" i="6" s="1"/>
  <c r="BA860" i="6"/>
  <c r="AZ860" i="6" s="1"/>
  <c r="AX860" i="6"/>
  <c r="AY25" i="6"/>
  <c r="BC25" i="6" s="1"/>
  <c r="BA25" i="6"/>
  <c r="AZ25" i="6" s="1"/>
  <c r="AX25" i="6"/>
  <c r="AY251" i="6"/>
  <c r="BC251" i="6" s="1"/>
  <c r="AX251" i="6"/>
  <c r="BA989" i="6"/>
  <c r="AZ989" i="6" s="1"/>
  <c r="AY989" i="6"/>
  <c r="BC989" i="6" s="1"/>
  <c r="AX989" i="6"/>
  <c r="BA340" i="6"/>
  <c r="AZ340" i="6" s="1"/>
  <c r="AY340" i="6"/>
  <c r="BC340" i="6" s="1"/>
  <c r="AX340" i="6"/>
  <c r="AX1366" i="6"/>
  <c r="AY1366" i="6"/>
  <c r="BC1366" i="6" s="1"/>
  <c r="BA1366" i="6"/>
  <c r="AZ1366" i="6" s="1"/>
  <c r="BA304" i="6"/>
  <c r="AZ304" i="6" s="1"/>
  <c r="AY304" i="6"/>
  <c r="BC304" i="6" s="1"/>
  <c r="AX304" i="6"/>
  <c r="BA592" i="6"/>
  <c r="AZ592" i="6" s="1"/>
  <c r="AX592" i="6"/>
  <c r="AY954" i="6"/>
  <c r="BC954" i="6" s="1"/>
  <c r="AX954" i="6"/>
  <c r="BA420" i="6"/>
  <c r="AZ420" i="6" s="1"/>
  <c r="AX420" i="6"/>
  <c r="BA1493" i="6"/>
  <c r="AZ1493" i="6" s="1"/>
  <c r="AY1493" i="6"/>
  <c r="BC1493" i="6" s="1"/>
  <c r="AX1493" i="6"/>
  <c r="BA707" i="6"/>
  <c r="AZ707" i="6" s="1"/>
  <c r="AY707" i="6"/>
  <c r="BC707" i="6" s="1"/>
  <c r="AX707" i="6"/>
  <c r="BA168" i="6"/>
  <c r="AZ168" i="6" s="1"/>
  <c r="AY168" i="6"/>
  <c r="BC168" i="6" s="1"/>
  <c r="AX168" i="6"/>
  <c r="BA305" i="6"/>
  <c r="AZ305" i="6" s="1"/>
  <c r="AY305" i="6"/>
  <c r="BC305" i="6" s="1"/>
  <c r="AX305" i="6"/>
  <c r="BA309" i="6"/>
  <c r="AZ309" i="6" s="1"/>
  <c r="AY309" i="6"/>
  <c r="BC309" i="6" s="1"/>
  <c r="AX309" i="6"/>
  <c r="BA781" i="6"/>
  <c r="AZ781" i="6" s="1"/>
  <c r="AY781" i="6"/>
  <c r="BC781" i="6" s="1"/>
  <c r="AX781" i="6"/>
  <c r="BA152" i="6"/>
  <c r="AZ152" i="6" s="1"/>
  <c r="AY152" i="6"/>
  <c r="BC152" i="6" s="1"/>
  <c r="AX152" i="6"/>
  <c r="BA428" i="6"/>
  <c r="AZ428" i="6" s="1"/>
  <c r="AX428" i="6"/>
  <c r="AY592" i="6"/>
  <c r="BC592" i="6" s="1"/>
  <c r="AY917" i="6"/>
  <c r="BC917" i="6" s="1"/>
  <c r="AX917" i="6"/>
  <c r="AY593" i="6"/>
  <c r="BC593" i="6" s="1"/>
  <c r="BA593" i="6"/>
  <c r="AZ593" i="6" s="1"/>
  <c r="AX593" i="6"/>
  <c r="AY27" i="6"/>
  <c r="BC27" i="6" s="1"/>
  <c r="BA27" i="6"/>
  <c r="AZ27" i="6" s="1"/>
  <c r="AX27" i="6"/>
  <c r="AY863" i="6"/>
  <c r="BC863" i="6" s="1"/>
  <c r="AX863" i="6"/>
  <c r="BA954" i="6"/>
  <c r="AZ954" i="6" s="1"/>
  <c r="AY420" i="6"/>
  <c r="BC420" i="6" s="1"/>
  <c r="BA1553" i="6"/>
  <c r="AZ1553" i="6" s="1"/>
  <c r="AY1553" i="6"/>
  <c r="BC1553" i="6" s="1"/>
  <c r="AX1553" i="6"/>
  <c r="BA1423" i="6"/>
  <c r="AZ1423" i="6" s="1"/>
  <c r="AY1423" i="6"/>
  <c r="BC1423" i="6" s="1"/>
  <c r="AX1423" i="6"/>
  <c r="BA1028" i="6"/>
  <c r="AZ1028" i="6" s="1"/>
  <c r="AY1028" i="6"/>
  <c r="BC1028" i="6" s="1"/>
  <c r="AX1028" i="6"/>
  <c r="AY577" i="6"/>
  <c r="BC577" i="6" s="1"/>
  <c r="BA446" i="6"/>
  <c r="AZ446" i="6" s="1"/>
  <c r="AX446" i="6"/>
  <c r="BA1699" i="6"/>
  <c r="AZ1699" i="6" s="1"/>
  <c r="AX1699" i="6"/>
  <c r="BA177" i="6"/>
  <c r="AZ177" i="6" s="1"/>
  <c r="AX177" i="6"/>
  <c r="AY428" i="6"/>
  <c r="BC428" i="6" s="1"/>
  <c r="BA1023" i="6"/>
  <c r="AZ1023" i="6" s="1"/>
  <c r="AX1023" i="6"/>
  <c r="AX991" i="6"/>
  <c r="BA917" i="6"/>
  <c r="AZ917" i="6" s="1"/>
  <c r="AY147" i="6"/>
  <c r="BC147" i="6" s="1"/>
  <c r="AX147" i="6"/>
  <c r="AY772" i="6"/>
  <c r="BC772" i="6" s="1"/>
  <c r="AY782" i="6"/>
  <c r="BC782" i="6" s="1"/>
  <c r="BA782" i="6"/>
  <c r="AZ782" i="6" s="1"/>
  <c r="AX782" i="6"/>
  <c r="AY44" i="6"/>
  <c r="BC44" i="6" s="1"/>
  <c r="AX44" i="6"/>
  <c r="BA127" i="6"/>
  <c r="AZ127" i="6" s="1"/>
  <c r="AX127" i="6"/>
  <c r="AY1243" i="6"/>
  <c r="BC1243" i="6" s="1"/>
  <c r="BA1243" i="6"/>
  <c r="AZ1243" i="6" s="1"/>
  <c r="AX1243" i="6"/>
  <c r="BA1247" i="6"/>
  <c r="AZ1247" i="6" s="1"/>
  <c r="AY1247" i="6"/>
  <c r="BC1247" i="6" s="1"/>
  <c r="AX1247" i="6"/>
  <c r="BA636" i="6"/>
  <c r="AZ636" i="6" s="1"/>
  <c r="AY636" i="6"/>
  <c r="BC636" i="6" s="1"/>
  <c r="AX636" i="6"/>
  <c r="BA1015" i="6"/>
  <c r="AZ1015" i="6" s="1"/>
  <c r="AY1015" i="6"/>
  <c r="BC1015" i="6" s="1"/>
  <c r="AX1015" i="6"/>
  <c r="BA100" i="6"/>
  <c r="AZ100" i="6" s="1"/>
  <c r="AY100" i="6"/>
  <c r="BC100" i="6" s="1"/>
  <c r="AX100" i="6"/>
  <c r="BA577" i="6"/>
  <c r="AZ577" i="6" s="1"/>
  <c r="AY446" i="6"/>
  <c r="BC446" i="6" s="1"/>
  <c r="AY1699" i="6"/>
  <c r="BC1699" i="6" s="1"/>
  <c r="AY799" i="6"/>
  <c r="BC799" i="6" s="1"/>
  <c r="AX799" i="6"/>
  <c r="AY1559" i="6"/>
  <c r="BC1559" i="6" s="1"/>
  <c r="BA1559" i="6"/>
  <c r="AZ1559" i="6" s="1"/>
  <c r="AX1559" i="6"/>
  <c r="AY813" i="6"/>
  <c r="BC813" i="6" s="1"/>
  <c r="BA813" i="6"/>
  <c r="AZ813" i="6" s="1"/>
  <c r="AX813" i="6"/>
  <c r="BA308" i="6"/>
  <c r="AZ308" i="6" s="1"/>
  <c r="AY308" i="6"/>
  <c r="BC308" i="6" s="1"/>
  <c r="AX308" i="6"/>
  <c r="BA571" i="6"/>
  <c r="AZ571" i="6" s="1"/>
  <c r="AY571" i="6"/>
  <c r="BC571" i="6" s="1"/>
  <c r="AX571" i="6"/>
  <c r="BA1209" i="6"/>
  <c r="AZ1209" i="6" s="1"/>
  <c r="AY1209" i="6"/>
  <c r="BC1209" i="6" s="1"/>
  <c r="AX1209" i="6"/>
  <c r="BA1561" i="6"/>
  <c r="AZ1561" i="6" s="1"/>
  <c r="AY1561" i="6"/>
  <c r="BC1561" i="6" s="1"/>
  <c r="AX1561" i="6"/>
  <c r="BA566" i="6"/>
  <c r="AZ566" i="6" s="1"/>
  <c r="AY566" i="6"/>
  <c r="BC566" i="6" s="1"/>
  <c r="AX566" i="6"/>
  <c r="BA354" i="6"/>
  <c r="AZ354" i="6" s="1"/>
  <c r="AY354" i="6"/>
  <c r="BC354" i="6" s="1"/>
  <c r="AX354" i="6"/>
  <c r="BA148" i="6"/>
  <c r="AZ148" i="6" s="1"/>
  <c r="AY148" i="6"/>
  <c r="BC148" i="6" s="1"/>
  <c r="AX148" i="6"/>
  <c r="BA1344" i="6"/>
  <c r="AZ1344" i="6" s="1"/>
  <c r="AY1344" i="6"/>
  <c r="BC1344" i="6" s="1"/>
  <c r="BA441" i="6"/>
  <c r="AZ441" i="6" s="1"/>
  <c r="AY441" i="6"/>
  <c r="BC441" i="6" s="1"/>
  <c r="BA522" i="6"/>
  <c r="AZ522" i="6" s="1"/>
  <c r="AY522" i="6"/>
  <c r="BC522" i="6" s="1"/>
  <c r="BA1102" i="6"/>
  <c r="AZ1102" i="6" s="1"/>
  <c r="AY1102" i="6"/>
  <c r="BC1102" i="6" s="1"/>
  <c r="AX1102" i="6"/>
  <c r="BA492" i="6"/>
  <c r="AZ492" i="6" s="1"/>
  <c r="AY492" i="6"/>
  <c r="BC492" i="6" s="1"/>
  <c r="AX492" i="6"/>
  <c r="BA411" i="6"/>
  <c r="AZ411" i="6" s="1"/>
  <c r="AY411" i="6"/>
  <c r="BC411" i="6" s="1"/>
  <c r="AX411" i="6"/>
  <c r="BA440" i="6"/>
  <c r="AZ440" i="6" s="1"/>
  <c r="AX440" i="6"/>
  <c r="BA947" i="6"/>
  <c r="AZ947" i="6" s="1"/>
  <c r="AY947" i="6"/>
  <c r="BC947" i="6" s="1"/>
  <c r="BA1391" i="6"/>
  <c r="AZ1391" i="6" s="1"/>
  <c r="AY1391" i="6"/>
  <c r="BC1391" i="6" s="1"/>
  <c r="BA238" i="6"/>
  <c r="AZ238" i="6" s="1"/>
  <c r="AY238" i="6"/>
  <c r="BC238" i="6" s="1"/>
  <c r="BA74" i="6"/>
  <c r="AZ74" i="6" s="1"/>
  <c r="AY74" i="6"/>
  <c r="BC74" i="6" s="1"/>
  <c r="BA760" i="6"/>
  <c r="AZ760" i="6" s="1"/>
  <c r="AY760" i="6"/>
  <c r="BC760" i="6" s="1"/>
  <c r="AX760" i="6"/>
  <c r="BA371" i="6"/>
  <c r="AZ371" i="6" s="1"/>
  <c r="AY371" i="6"/>
  <c r="BC371" i="6" s="1"/>
  <c r="AX371" i="6"/>
  <c r="BA47" i="6"/>
  <c r="AZ47" i="6" s="1"/>
  <c r="AY47" i="6"/>
  <c r="BC47" i="6" s="1"/>
  <c r="AX47" i="6"/>
  <c r="AY861" i="6"/>
  <c r="BC861" i="6" s="1"/>
  <c r="AY880" i="6"/>
  <c r="BC880" i="6" s="1"/>
  <c r="AY440" i="6"/>
  <c r="BC440" i="6" s="1"/>
  <c r="AX947" i="6"/>
  <c r="AX1391" i="6"/>
  <c r="BA1248" i="6"/>
  <c r="AZ1248" i="6" s="1"/>
  <c r="AY1248" i="6"/>
  <c r="BC1248" i="6" s="1"/>
  <c r="AX238" i="6"/>
  <c r="BA321" i="6"/>
  <c r="AZ321" i="6" s="1"/>
  <c r="AY321" i="6"/>
  <c r="BC321" i="6" s="1"/>
  <c r="AX74" i="6"/>
  <c r="BA491" i="6"/>
  <c r="AZ491" i="6" s="1"/>
  <c r="AY491" i="6"/>
  <c r="BC491" i="6" s="1"/>
  <c r="BA424" i="6"/>
  <c r="AZ424" i="6" s="1"/>
  <c r="AY424" i="6"/>
  <c r="BC424" i="6" s="1"/>
  <c r="AX424" i="6"/>
  <c r="BA1034" i="6"/>
  <c r="AZ1034" i="6" s="1"/>
  <c r="AY1034" i="6"/>
  <c r="BC1034" i="6" s="1"/>
  <c r="AX1034" i="6"/>
  <c r="BA622" i="6"/>
  <c r="AZ622" i="6" s="1"/>
  <c r="AY622" i="6"/>
  <c r="BC622" i="6" s="1"/>
  <c r="BA443" i="6"/>
  <c r="AZ443" i="6" s="1"/>
  <c r="AY443" i="6"/>
  <c r="BC443" i="6" s="1"/>
  <c r="AX443" i="6"/>
  <c r="BA638" i="6"/>
  <c r="AZ638" i="6" s="1"/>
  <c r="AY638" i="6"/>
  <c r="BC638" i="6" s="1"/>
  <c r="BA346" i="6"/>
  <c r="AZ346" i="6" s="1"/>
  <c r="AY346" i="6"/>
  <c r="BC346" i="6" s="1"/>
  <c r="AX346" i="6"/>
  <c r="BA1064" i="6"/>
  <c r="AZ1064" i="6" s="1"/>
  <c r="AY1064" i="6"/>
  <c r="BC1064" i="6" s="1"/>
  <c r="BA497" i="6"/>
  <c r="AZ497" i="6" s="1"/>
  <c r="AY497" i="6"/>
  <c r="BC497" i="6" s="1"/>
  <c r="AX497" i="6"/>
  <c r="BA396" i="6"/>
  <c r="AZ396" i="6" s="1"/>
  <c r="AY396" i="6"/>
  <c r="BC396" i="6" s="1"/>
  <c r="BA4" i="6"/>
  <c r="AZ4" i="6" s="1"/>
  <c r="AY4" i="6"/>
  <c r="BC4" i="6" s="1"/>
  <c r="AX4" i="6"/>
  <c r="BA306" i="6"/>
  <c r="AZ306" i="6" s="1"/>
  <c r="AY306" i="6"/>
  <c r="BC306" i="6" s="1"/>
  <c r="AX306" i="6"/>
  <c r="BA1132" i="6"/>
  <c r="AZ1132" i="6" s="1"/>
  <c r="AY1132" i="6"/>
  <c r="BC1132" i="6" s="1"/>
  <c r="AX1132" i="6"/>
  <c r="BA423" i="6"/>
  <c r="AZ423" i="6" s="1"/>
  <c r="AY423" i="6"/>
  <c r="BC423" i="6" s="1"/>
  <c r="AX423" i="6"/>
  <c r="BA762" i="6"/>
  <c r="AZ762" i="6" s="1"/>
  <c r="AY762" i="6"/>
  <c r="BC762" i="6" s="1"/>
  <c r="AX762" i="6"/>
  <c r="BA861" i="6"/>
  <c r="AZ861" i="6" s="1"/>
  <c r="BA880" i="6"/>
  <c r="AZ880" i="6" s="1"/>
  <c r="BA1371" i="6"/>
  <c r="AZ1371" i="6" s="1"/>
  <c r="AY1371" i="6"/>
  <c r="BC1371" i="6" s="1"/>
  <c r="AX622" i="6"/>
  <c r="BA708" i="6"/>
  <c r="AZ708" i="6" s="1"/>
  <c r="AY708" i="6"/>
  <c r="BC708" i="6" s="1"/>
  <c r="AX638" i="6"/>
  <c r="AX1064" i="6"/>
  <c r="BA1343" i="6"/>
  <c r="AZ1343" i="6" s="1"/>
  <c r="AY1343" i="6"/>
  <c r="BC1343" i="6" s="1"/>
  <c r="AX396" i="6"/>
  <c r="BA1560" i="6"/>
  <c r="AZ1560" i="6" s="1"/>
  <c r="AY1560" i="6"/>
  <c r="BC1560" i="6" s="1"/>
  <c r="BA1471" i="6"/>
  <c r="AZ1471" i="6" s="1"/>
  <c r="AY1471" i="6"/>
  <c r="BC1471" i="6" s="1"/>
  <c r="AX1471" i="6"/>
  <c r="BA294" i="6"/>
  <c r="AZ294" i="6" s="1"/>
  <c r="AY294" i="6"/>
  <c r="BC294" i="6" s="1"/>
  <c r="AX294" i="6"/>
  <c r="BA979" i="6"/>
  <c r="AZ979" i="6" s="1"/>
  <c r="AY979" i="6"/>
  <c r="BC979" i="6" s="1"/>
  <c r="BA1054" i="6"/>
  <c r="AZ1054" i="6" s="1"/>
  <c r="AY1054" i="6"/>
  <c r="BC1054" i="6" s="1"/>
  <c r="BA1181" i="6"/>
  <c r="AZ1181" i="6" s="1"/>
  <c r="AY1181" i="6"/>
  <c r="BC1181" i="6" s="1"/>
  <c r="BA311" i="6"/>
  <c r="AZ311" i="6" s="1"/>
  <c r="AY311" i="6"/>
  <c r="BC311" i="6" s="1"/>
  <c r="AX311" i="6"/>
  <c r="BA421" i="6"/>
  <c r="AZ421" i="6" s="1"/>
  <c r="AY421" i="6"/>
  <c r="BC421" i="6" s="1"/>
  <c r="AX421" i="6"/>
  <c r="BA1593" i="6"/>
  <c r="AZ1593" i="6" s="1"/>
  <c r="AY1593" i="6"/>
  <c r="BC1593" i="6" s="1"/>
  <c r="AX1593" i="6"/>
  <c r="BA1724" i="6"/>
  <c r="AZ1724" i="6" s="1"/>
  <c r="AY1724" i="6"/>
  <c r="BC1724" i="6" s="1"/>
  <c r="AX1724" i="6"/>
  <c r="BA231" i="6"/>
  <c r="AZ231" i="6" s="1"/>
  <c r="AY231" i="6"/>
  <c r="BC231" i="6" s="1"/>
  <c r="AX231" i="6"/>
  <c r="BA998" i="6"/>
  <c r="AZ998" i="6" s="1"/>
  <c r="AY998" i="6"/>
  <c r="BC998" i="6" s="1"/>
  <c r="AX998" i="6"/>
  <c r="BA226" i="6"/>
  <c r="AZ226" i="6" s="1"/>
  <c r="AY226" i="6"/>
  <c r="BC226" i="6" s="1"/>
  <c r="AX226" i="6"/>
  <c r="BA1646" i="6"/>
  <c r="AZ1646" i="6" s="1"/>
  <c r="AY1646" i="6"/>
  <c r="BC1646" i="6" s="1"/>
  <c r="AX979" i="6"/>
  <c r="AX1054" i="6"/>
  <c r="BA1251" i="6"/>
  <c r="AZ1251" i="6" s="1"/>
  <c r="AY1251" i="6"/>
  <c r="BC1251" i="6" s="1"/>
  <c r="AX1181" i="6"/>
  <c r="BA717" i="6"/>
  <c r="AZ717" i="6" s="1"/>
  <c r="AY717" i="6"/>
  <c r="BC717" i="6" s="1"/>
  <c r="AX717" i="6"/>
  <c r="BA163" i="6"/>
  <c r="AZ163" i="6" s="1"/>
  <c r="AY163" i="6"/>
  <c r="BC163" i="6" s="1"/>
  <c r="AX163" i="6"/>
  <c r="BA266" i="6"/>
  <c r="AZ266" i="6" s="1"/>
  <c r="AY266" i="6"/>
  <c r="BC266" i="6" s="1"/>
  <c r="AX266" i="6"/>
  <c r="BA202" i="6"/>
  <c r="AZ202" i="6" s="1"/>
  <c r="AY202" i="6"/>
  <c r="BC202" i="6" s="1"/>
  <c r="AX202" i="6"/>
  <c r="BA1681" i="6"/>
  <c r="AZ1681" i="6" s="1"/>
  <c r="AY1681" i="6"/>
  <c r="BC1681" i="6" s="1"/>
  <c r="BA983" i="6"/>
  <c r="AZ983" i="6" s="1"/>
  <c r="AY983" i="6"/>
  <c r="BC983" i="6" s="1"/>
  <c r="BA154" i="6"/>
  <c r="AZ154" i="6" s="1"/>
  <c r="AY154" i="6"/>
  <c r="BC154" i="6" s="1"/>
  <c r="AX154" i="6"/>
  <c r="BA201" i="6"/>
  <c r="AZ201" i="6" s="1"/>
  <c r="AY201" i="6"/>
  <c r="BC201" i="6" s="1"/>
  <c r="AX201" i="6"/>
  <c r="BA999" i="6"/>
  <c r="AZ999" i="6" s="1"/>
  <c r="AY999" i="6"/>
  <c r="BC999" i="6" s="1"/>
  <c r="BA1324" i="6"/>
  <c r="AZ1324" i="6" s="1"/>
  <c r="AY1324" i="6"/>
  <c r="BC1324" i="6" s="1"/>
  <c r="BA1449" i="6"/>
  <c r="AZ1449" i="6" s="1"/>
  <c r="AY1449" i="6"/>
  <c r="BC1449" i="6" s="1"/>
  <c r="BA658" i="6"/>
  <c r="AZ658" i="6" s="1"/>
  <c r="AY658" i="6"/>
  <c r="BC658" i="6" s="1"/>
  <c r="BA1320" i="6"/>
  <c r="AZ1320" i="6" s="1"/>
  <c r="AY1320" i="6"/>
  <c r="BC1320" i="6" s="1"/>
  <c r="BA1041" i="6"/>
  <c r="AZ1041" i="6" s="1"/>
  <c r="AY1041" i="6"/>
  <c r="BC1041" i="6" s="1"/>
  <c r="BA394" i="6"/>
  <c r="AZ394" i="6" s="1"/>
  <c r="AY394" i="6"/>
  <c r="BC394" i="6" s="1"/>
  <c r="BA724" i="6"/>
  <c r="AZ724" i="6" s="1"/>
  <c r="AY724" i="6"/>
  <c r="BC724" i="6" s="1"/>
  <c r="BA1531" i="6"/>
  <c r="AZ1531" i="6" s="1"/>
  <c r="AY1531" i="6"/>
  <c r="BC1531" i="6" s="1"/>
  <c r="AX1531" i="6"/>
  <c r="BA129" i="6"/>
  <c r="AZ129" i="6" s="1"/>
  <c r="AY129" i="6"/>
  <c r="BC129" i="6" s="1"/>
  <c r="AX129" i="6"/>
  <c r="BA1018" i="6"/>
  <c r="AZ1018" i="6" s="1"/>
  <c r="AY1018" i="6"/>
  <c r="BC1018" i="6" s="1"/>
  <c r="BA400" i="6"/>
  <c r="AZ400" i="6" s="1"/>
  <c r="AY400" i="6"/>
  <c r="BC400" i="6" s="1"/>
  <c r="AX999" i="6"/>
  <c r="AX1324" i="6"/>
  <c r="AX1449" i="6"/>
  <c r="AX658" i="6"/>
  <c r="AX1320" i="6"/>
  <c r="AX1041" i="6"/>
  <c r="BA1059" i="6"/>
  <c r="AZ1059" i="6" s="1"/>
  <c r="AY1059" i="6"/>
  <c r="BC1059" i="6" s="1"/>
  <c r="AX1059" i="6"/>
  <c r="BA277" i="6"/>
  <c r="AZ277" i="6" s="1"/>
  <c r="AY277" i="6"/>
  <c r="BC277" i="6" s="1"/>
  <c r="BA842" i="6"/>
  <c r="AZ842" i="6" s="1"/>
  <c r="AY842" i="6"/>
  <c r="BC842" i="6" s="1"/>
  <c r="BA1205" i="6"/>
  <c r="AZ1205" i="6" s="1"/>
  <c r="AY1205" i="6"/>
  <c r="BC1205" i="6" s="1"/>
  <c r="BA86" i="6"/>
  <c r="AZ86" i="6" s="1"/>
  <c r="AY86" i="6"/>
  <c r="BC86" i="6" s="1"/>
  <c r="AX1018" i="6"/>
  <c r="AX400" i="6"/>
  <c r="BA199" i="6"/>
  <c r="AZ199" i="6" s="1"/>
  <c r="AY199" i="6"/>
  <c r="BC199" i="6" s="1"/>
  <c r="AX199" i="6"/>
  <c r="BA841" i="6"/>
  <c r="AZ841" i="6" s="1"/>
  <c r="AY841" i="6"/>
  <c r="BC841" i="6" s="1"/>
  <c r="BA540" i="6"/>
  <c r="AZ540" i="6" s="1"/>
  <c r="AY540" i="6"/>
  <c r="BC540" i="6" s="1"/>
  <c r="BA1088" i="6"/>
  <c r="AZ1088" i="6" s="1"/>
  <c r="AY1088" i="6"/>
  <c r="BC1088" i="6" s="1"/>
  <c r="BA797" i="6"/>
  <c r="AZ797" i="6" s="1"/>
  <c r="AY797" i="6"/>
  <c r="BC797" i="6" s="1"/>
  <c r="BA1736" i="6"/>
  <c r="AZ1736" i="6" s="1"/>
  <c r="AY1736" i="6"/>
  <c r="BC1736" i="6" s="1"/>
  <c r="BA1229" i="6"/>
  <c r="AZ1229" i="6" s="1"/>
  <c r="AY1229" i="6"/>
  <c r="BC1229" i="6" s="1"/>
  <c r="BA1053" i="6"/>
  <c r="AZ1053" i="6" s="1"/>
  <c r="AY1053" i="6"/>
  <c r="BC1053" i="6" s="1"/>
  <c r="AX1053" i="6"/>
  <c r="BA1719" i="6"/>
  <c r="AZ1719" i="6" s="1"/>
  <c r="AY1719" i="6"/>
  <c r="BC1719" i="6" s="1"/>
  <c r="AX1719" i="6"/>
  <c r="BA375" i="6"/>
  <c r="AZ375" i="6" s="1"/>
  <c r="AY375" i="6"/>
  <c r="BC375" i="6" s="1"/>
  <c r="BA233" i="6"/>
  <c r="AZ233" i="6" s="1"/>
  <c r="AY233" i="6"/>
  <c r="BC233" i="6" s="1"/>
  <c r="BA1541" i="6"/>
  <c r="AZ1541" i="6" s="1"/>
  <c r="AY1541" i="6"/>
  <c r="BC1541" i="6" s="1"/>
  <c r="BA1472" i="6"/>
  <c r="AZ1472" i="6" s="1"/>
  <c r="AY1472" i="6"/>
  <c r="BC1472" i="6" s="1"/>
  <c r="BA161" i="6"/>
  <c r="AZ161" i="6" s="1"/>
  <c r="AY161" i="6"/>
  <c r="BC161" i="6" s="1"/>
  <c r="BA723" i="6"/>
  <c r="AZ723" i="6" s="1"/>
  <c r="AY723" i="6"/>
  <c r="BC723" i="6" s="1"/>
  <c r="BA200" i="6"/>
  <c r="AZ200" i="6" s="1"/>
  <c r="AY200" i="6"/>
  <c r="BC200" i="6" s="1"/>
  <c r="AX200" i="6"/>
  <c r="BA155" i="6"/>
  <c r="AZ155" i="6" s="1"/>
  <c r="AY155" i="6"/>
  <c r="BC155" i="6" s="1"/>
  <c r="AX155" i="6"/>
  <c r="BA310" i="6"/>
  <c r="AZ310" i="6" s="1"/>
  <c r="AY310" i="6"/>
  <c r="BC310" i="6" s="1"/>
  <c r="BA425" i="6"/>
  <c r="AZ425" i="6" s="1"/>
  <c r="AY425" i="6"/>
  <c r="BC425" i="6" s="1"/>
  <c r="AX375" i="6"/>
  <c r="AX233" i="6"/>
  <c r="AX1541" i="6"/>
  <c r="AX1472" i="6"/>
  <c r="AX161" i="6"/>
  <c r="AX723" i="6"/>
  <c r="BA1532" i="6"/>
  <c r="AZ1532" i="6" s="1"/>
  <c r="AY1532" i="6"/>
  <c r="BC1532" i="6" s="1"/>
  <c r="AX1532" i="6"/>
  <c r="BA1509" i="6"/>
  <c r="AZ1509" i="6" s="1"/>
  <c r="AY1509" i="6"/>
  <c r="BC1509" i="6" s="1"/>
  <c r="AX1509" i="6"/>
  <c r="BA1720" i="6"/>
  <c r="AZ1720" i="6" s="1"/>
  <c r="AY1720" i="6"/>
  <c r="BC1720" i="6" s="1"/>
  <c r="AX1720" i="6"/>
  <c r="BA331" i="6"/>
  <c r="AZ331" i="6" s="1"/>
  <c r="AX331" i="6"/>
  <c r="AY331" i="6"/>
  <c r="BC331" i="6" s="1"/>
  <c r="BA499" i="6"/>
  <c r="AZ499" i="6" s="1"/>
  <c r="AX499" i="6"/>
  <c r="AY499" i="6"/>
  <c r="BC499" i="6" s="1"/>
  <c r="BA316" i="6"/>
  <c r="AZ316" i="6" s="1"/>
  <c r="AX316" i="6"/>
  <c r="AY316" i="6"/>
  <c r="BC316" i="6" s="1"/>
  <c r="BA918" i="6"/>
  <c r="AZ918" i="6" s="1"/>
  <c r="AX918" i="6"/>
  <c r="AY918" i="6"/>
  <c r="BC918" i="6" s="1"/>
  <c r="BA1362" i="6"/>
  <c r="AZ1362" i="6" s="1"/>
  <c r="AX1362" i="6"/>
  <c r="AY1362" i="6"/>
  <c r="BC1362" i="6" s="1"/>
  <c r="BA1341" i="6"/>
  <c r="AZ1341" i="6" s="1"/>
  <c r="AX1341" i="6"/>
  <c r="AY1341" i="6"/>
  <c r="BC1341" i="6" s="1"/>
  <c r="BA72" i="6"/>
  <c r="AZ72" i="6" s="1"/>
  <c r="AX72" i="6"/>
  <c r="AY72" i="6"/>
  <c r="BC72" i="6" s="1"/>
  <c r="BA832" i="6"/>
  <c r="AZ832" i="6" s="1"/>
  <c r="AX832" i="6"/>
  <c r="AY832" i="6"/>
  <c r="BC832" i="6" s="1"/>
  <c r="BA712" i="6"/>
  <c r="AZ712" i="6" s="1"/>
  <c r="AX712" i="6"/>
  <c r="AY712" i="6"/>
  <c r="BC712" i="6" s="1"/>
  <c r="BA1340" i="6"/>
  <c r="AZ1340" i="6" s="1"/>
  <c r="AX1340" i="6"/>
  <c r="AY1340" i="6"/>
  <c r="BC1340" i="6" s="1"/>
  <c r="BA1029" i="6"/>
  <c r="AZ1029" i="6" s="1"/>
  <c r="AX1029" i="6"/>
  <c r="AY1029" i="6"/>
  <c r="BC1029" i="6" s="1"/>
  <c r="BA54" i="6"/>
  <c r="AZ54" i="6" s="1"/>
  <c r="AX54" i="6"/>
  <c r="AY54" i="6"/>
  <c r="BC54" i="6" s="1"/>
  <c r="BA267" i="6"/>
  <c r="AZ267" i="6" s="1"/>
  <c r="AX267" i="6"/>
  <c r="AY267" i="6"/>
  <c r="BC267" i="6" s="1"/>
  <c r="BA711" i="6"/>
  <c r="AZ711" i="6" s="1"/>
  <c r="AX711" i="6"/>
  <c r="AY711" i="6"/>
  <c r="BC711" i="6" s="1"/>
  <c r="BA77" i="6"/>
  <c r="AZ77" i="6" s="1"/>
  <c r="AX77" i="6"/>
  <c r="AY77" i="6"/>
  <c r="BC77" i="6" s="1"/>
  <c r="BA82" i="6"/>
  <c r="AZ82" i="6" s="1"/>
  <c r="AX82" i="6"/>
  <c r="AY82" i="6"/>
  <c r="BC82" i="6" s="1"/>
  <c r="BA107" i="6"/>
  <c r="AZ107" i="6" s="1"/>
  <c r="AX107" i="6"/>
  <c r="AY107" i="6"/>
  <c r="BC107" i="6" s="1"/>
  <c r="BA80" i="6"/>
  <c r="AZ80" i="6" s="1"/>
  <c r="AX80" i="6"/>
  <c r="AY80" i="6"/>
  <c r="BC80" i="6" s="1"/>
  <c r="BA79" i="6"/>
  <c r="AZ79" i="6" s="1"/>
  <c r="AX79" i="6"/>
  <c r="AY79" i="6"/>
  <c r="BC79" i="6" s="1"/>
  <c r="BA314" i="6"/>
  <c r="AZ314" i="6" s="1"/>
  <c r="AX314" i="6"/>
  <c r="AY314" i="6"/>
  <c r="BC314" i="6" s="1"/>
  <c r="BA1089" i="6"/>
  <c r="AZ1089" i="6" s="1"/>
  <c r="AX1089" i="6"/>
  <c r="AY1089" i="6"/>
  <c r="BC1089" i="6" s="1"/>
  <c r="BA1503" i="6"/>
  <c r="AZ1503" i="6" s="1"/>
  <c r="AX1503" i="6"/>
  <c r="AY1503" i="6"/>
  <c r="BC1503" i="6" s="1"/>
  <c r="BA360" i="6"/>
  <c r="AZ360" i="6" s="1"/>
  <c r="AX360" i="6"/>
  <c r="AY360" i="6"/>
  <c r="BC360" i="6" s="1"/>
  <c r="BA71" i="6"/>
  <c r="AZ71" i="6" s="1"/>
  <c r="AX71" i="6"/>
  <c r="AY71" i="6"/>
  <c r="BC71" i="6" s="1"/>
  <c r="BA864" i="6"/>
  <c r="AZ864" i="6" s="1"/>
  <c r="AX864" i="6"/>
  <c r="AY864" i="6"/>
  <c r="BC864" i="6" s="1"/>
  <c r="BA1600" i="6"/>
  <c r="AZ1600" i="6" s="1"/>
  <c r="AX1600" i="6"/>
  <c r="AY1600" i="6"/>
  <c r="BC1600" i="6" s="1"/>
  <c r="BA242" i="6"/>
  <c r="AZ242" i="6" s="1"/>
  <c r="AX242" i="6"/>
  <c r="AY242" i="6"/>
  <c r="BC242" i="6" s="1"/>
  <c r="BA1076" i="6"/>
  <c r="AZ1076" i="6" s="1"/>
  <c r="AX1076" i="6"/>
  <c r="AY1076" i="6"/>
  <c r="BC1076" i="6" s="1"/>
  <c r="BA1212" i="6"/>
  <c r="AZ1212" i="6" s="1"/>
  <c r="AX1212" i="6"/>
  <c r="AY1212" i="6"/>
  <c r="BC1212" i="6" s="1"/>
  <c r="BA36" i="6"/>
  <c r="AZ36" i="6" s="1"/>
  <c r="AX36" i="6"/>
  <c r="AY36" i="6"/>
  <c r="BC36" i="6" s="1"/>
  <c r="BA312" i="6"/>
  <c r="AZ312" i="6" s="1"/>
  <c r="AX312" i="6"/>
  <c r="AY312" i="6"/>
  <c r="BC312" i="6" s="1"/>
  <c r="BA587" i="6"/>
  <c r="AZ587" i="6" s="1"/>
  <c r="AX587" i="6"/>
  <c r="AY587" i="6"/>
  <c r="BC587" i="6" s="1"/>
  <c r="BA1231" i="6"/>
  <c r="AZ1231" i="6" s="1"/>
  <c r="AX1231" i="6"/>
  <c r="AY1231" i="6"/>
  <c r="BC1231" i="6" s="1"/>
  <c r="BA78" i="6"/>
  <c r="AZ78" i="6" s="1"/>
  <c r="AX78" i="6"/>
  <c r="AY78" i="6"/>
  <c r="BC78" i="6" s="1"/>
  <c r="BA673" i="6"/>
  <c r="AZ673" i="6" s="1"/>
  <c r="AX673" i="6"/>
  <c r="AY673" i="6"/>
  <c r="BC673" i="6" s="1"/>
  <c r="BA682" i="6"/>
  <c r="AZ682" i="6" s="1"/>
  <c r="AX682" i="6"/>
  <c r="AY682" i="6"/>
  <c r="BC682" i="6" s="1"/>
  <c r="BA1356" i="6"/>
  <c r="AZ1356" i="6" s="1"/>
  <c r="AX1356" i="6"/>
  <c r="BA89" i="6"/>
  <c r="AZ89" i="6" s="1"/>
  <c r="AX89" i="6"/>
  <c r="BA909" i="6"/>
  <c r="AZ909" i="6" s="1"/>
  <c r="AX909" i="6"/>
  <c r="BA90" i="6"/>
  <c r="AZ90" i="6" s="1"/>
  <c r="AX90" i="6"/>
  <c r="BA28" i="6"/>
  <c r="AZ28" i="6" s="1"/>
  <c r="AY28" i="6"/>
  <c r="BC28" i="6" s="1"/>
  <c r="AX28" i="6"/>
  <c r="BA697" i="6"/>
  <c r="AZ697" i="6" s="1"/>
  <c r="AY697" i="6"/>
  <c r="BC697" i="6" s="1"/>
  <c r="AX697" i="6"/>
  <c r="BA747" i="6"/>
  <c r="AZ747" i="6" s="1"/>
  <c r="AY747" i="6"/>
  <c r="BC747" i="6" s="1"/>
  <c r="AX747" i="6"/>
  <c r="BA240" i="6"/>
  <c r="AZ240" i="6" s="1"/>
  <c r="AY240" i="6"/>
  <c r="BC240" i="6" s="1"/>
  <c r="AX240" i="6"/>
  <c r="AY1356" i="6"/>
  <c r="BC1356" i="6" s="1"/>
  <c r="AY89" i="6"/>
  <c r="BC89" i="6" s="1"/>
  <c r="AY909" i="6"/>
  <c r="BC909" i="6" s="1"/>
  <c r="AY90" i="6"/>
  <c r="BC90" i="6" s="1"/>
  <c r="BA31" i="6"/>
  <c r="AZ31" i="6" s="1"/>
  <c r="AY31" i="6"/>
  <c r="BC31" i="6" s="1"/>
  <c r="AX31" i="6"/>
  <c r="BA603" i="6"/>
  <c r="AZ603" i="6" s="1"/>
  <c r="AY603" i="6"/>
  <c r="BC603" i="6" s="1"/>
  <c r="AX603" i="6"/>
  <c r="AX925" i="6"/>
  <c r="BA925" i="6"/>
  <c r="AZ925" i="6" s="1"/>
  <c r="AY925" i="6"/>
  <c r="BC925" i="6" s="1"/>
  <c r="BA203" i="6"/>
  <c r="AZ203" i="6" s="1"/>
  <c r="AY203" i="6"/>
  <c r="BC203" i="6" s="1"/>
  <c r="AX203" i="6"/>
  <c r="BA1200" i="6"/>
  <c r="AZ1200" i="6" s="1"/>
  <c r="AX1200" i="6"/>
  <c r="BA1147" i="6"/>
  <c r="AZ1147" i="6" s="1"/>
  <c r="AX1147" i="6"/>
  <c r="BA1487" i="6"/>
  <c r="AZ1487" i="6" s="1"/>
  <c r="AX1487" i="6"/>
  <c r="BA912" i="6"/>
  <c r="AZ912" i="6" s="1"/>
  <c r="AX912" i="6"/>
  <c r="BA1281" i="6"/>
  <c r="AZ1281" i="6" s="1"/>
  <c r="AX1281" i="6"/>
  <c r="BA875" i="6"/>
  <c r="AZ875" i="6" s="1"/>
  <c r="AX875" i="6"/>
  <c r="BA801" i="6"/>
  <c r="AZ801" i="6" s="1"/>
  <c r="AY801" i="6"/>
  <c r="BC801" i="6" s="1"/>
  <c r="AX801" i="6"/>
  <c r="BA746" i="6"/>
  <c r="AZ746" i="6" s="1"/>
  <c r="AY746" i="6"/>
  <c r="BC746" i="6" s="1"/>
  <c r="AX746" i="6"/>
  <c r="BA806" i="6"/>
  <c r="AZ806" i="6" s="1"/>
  <c r="AY806" i="6"/>
  <c r="BC806" i="6" s="1"/>
  <c r="AX806" i="6"/>
  <c r="AY469" i="6"/>
  <c r="BC469" i="6" s="1"/>
  <c r="AX469" i="6"/>
  <c r="BA469" i="6"/>
  <c r="AZ469" i="6" s="1"/>
  <c r="AY170" i="6"/>
  <c r="BC170" i="6" s="1"/>
  <c r="AX170" i="6"/>
  <c r="BA170" i="6"/>
  <c r="AZ170" i="6" s="1"/>
  <c r="AY1200" i="6"/>
  <c r="BC1200" i="6" s="1"/>
  <c r="AY1147" i="6"/>
  <c r="BC1147" i="6" s="1"/>
  <c r="AY1487" i="6"/>
  <c r="BC1487" i="6" s="1"/>
  <c r="AY912" i="6"/>
  <c r="BC912" i="6" s="1"/>
  <c r="AY1281" i="6"/>
  <c r="BC1281" i="6" s="1"/>
  <c r="AY875" i="6"/>
  <c r="BC875" i="6" s="1"/>
  <c r="BA696" i="6"/>
  <c r="AZ696" i="6" s="1"/>
  <c r="AY696" i="6"/>
  <c r="BC696" i="6" s="1"/>
  <c r="AX696" i="6"/>
  <c r="BA416" i="6"/>
  <c r="AZ416" i="6" s="1"/>
  <c r="AY416" i="6"/>
  <c r="BC416" i="6" s="1"/>
  <c r="AX416" i="6"/>
  <c r="BA58" i="6"/>
  <c r="AZ58" i="6" s="1"/>
  <c r="AY58" i="6"/>
  <c r="BC58" i="6" s="1"/>
  <c r="AX58" i="6"/>
  <c r="BA136" i="6"/>
  <c r="AZ136" i="6" s="1"/>
  <c r="AY136" i="6"/>
  <c r="BC136" i="6" s="1"/>
  <c r="AX136" i="6"/>
  <c r="BA1549" i="6"/>
  <c r="AZ1549" i="6" s="1"/>
  <c r="AY1549" i="6"/>
  <c r="BC1549" i="6" s="1"/>
  <c r="AX1549" i="6"/>
  <c r="BA597" i="6"/>
  <c r="AZ597" i="6" s="1"/>
  <c r="AX597" i="6"/>
  <c r="BA1146" i="6"/>
  <c r="AZ1146" i="6" s="1"/>
  <c r="AX1146" i="6"/>
  <c r="BA580" i="6"/>
  <c r="AZ580" i="6" s="1"/>
  <c r="AX580" i="6"/>
  <c r="BA1373" i="6"/>
  <c r="AZ1373" i="6" s="1"/>
  <c r="AX1373" i="6"/>
  <c r="BA1685" i="6"/>
  <c r="AZ1685" i="6" s="1"/>
  <c r="AX1685" i="6"/>
  <c r="BA598" i="6"/>
  <c r="AZ598" i="6" s="1"/>
  <c r="AY598" i="6"/>
  <c r="BC598" i="6" s="1"/>
  <c r="AX598" i="6"/>
  <c r="BA1410" i="6"/>
  <c r="AZ1410" i="6" s="1"/>
  <c r="AY1410" i="6"/>
  <c r="BC1410" i="6" s="1"/>
  <c r="AX1410" i="6"/>
  <c r="BA768" i="6"/>
  <c r="AZ768" i="6" s="1"/>
  <c r="AY768" i="6"/>
  <c r="BC768" i="6" s="1"/>
  <c r="AX768" i="6"/>
  <c r="BA950" i="6"/>
  <c r="AZ950" i="6" s="1"/>
  <c r="AY950" i="6"/>
  <c r="BC950" i="6" s="1"/>
  <c r="AX950" i="6"/>
  <c r="BA1003" i="6"/>
  <c r="AZ1003" i="6" s="1"/>
  <c r="AY1003" i="6"/>
  <c r="BC1003" i="6" s="1"/>
  <c r="AX1003" i="6"/>
  <c r="AY597" i="6"/>
  <c r="BC597" i="6" s="1"/>
  <c r="AY1146" i="6"/>
  <c r="BC1146" i="6" s="1"/>
  <c r="AY580" i="6"/>
  <c r="BC580" i="6" s="1"/>
  <c r="AY1373" i="6"/>
  <c r="BC1373" i="6" s="1"/>
  <c r="AY1685" i="6"/>
  <c r="BC1685" i="6" s="1"/>
  <c r="BA1255" i="6"/>
  <c r="AZ1255" i="6" s="1"/>
  <c r="AY1255" i="6"/>
  <c r="BC1255" i="6" s="1"/>
  <c r="AX1255" i="6"/>
  <c r="BA26" i="6"/>
  <c r="AZ26" i="6" s="1"/>
  <c r="AY26" i="6"/>
  <c r="BC26" i="6" s="1"/>
  <c r="AX26" i="6"/>
  <c r="BA135" i="6"/>
  <c r="AZ135" i="6" s="1"/>
  <c r="AY135" i="6"/>
  <c r="BC135" i="6" s="1"/>
  <c r="AX135" i="6"/>
  <c r="BA137" i="6"/>
  <c r="AZ137" i="6" s="1"/>
  <c r="AY137" i="6"/>
  <c r="BC137" i="6" s="1"/>
  <c r="AX137" i="6"/>
  <c r="BA1562" i="6"/>
  <c r="AZ1562" i="6" s="1"/>
  <c r="AY1562" i="6"/>
  <c r="BC1562" i="6" s="1"/>
  <c r="AX1562" i="6"/>
  <c r="BA1019" i="6"/>
  <c r="AZ1019" i="6" s="1"/>
  <c r="AY1019" i="6"/>
  <c r="BC1019" i="6" s="1"/>
  <c r="AX1019" i="6"/>
  <c r="BA1230" i="6"/>
  <c r="AZ1230" i="6" s="1"/>
  <c r="AY1230" i="6"/>
  <c r="BC1230" i="6" s="1"/>
  <c r="AX1230" i="6"/>
  <c r="BA581" i="6"/>
  <c r="AZ581" i="6" s="1"/>
  <c r="AX581" i="6"/>
  <c r="BA1450" i="6"/>
  <c r="AZ1450" i="6" s="1"/>
  <c r="AX1450" i="6"/>
  <c r="BA916" i="6"/>
  <c r="AZ916" i="6" s="1"/>
  <c r="AX916" i="6"/>
  <c r="BA380" i="6"/>
  <c r="AZ380" i="6" s="1"/>
  <c r="AX380" i="6"/>
  <c r="BA873" i="6"/>
  <c r="AZ873" i="6" s="1"/>
  <c r="AX873" i="6"/>
  <c r="BA1148" i="6"/>
  <c r="AZ1148" i="6" s="1"/>
  <c r="AX1148" i="6"/>
  <c r="BA564" i="6"/>
  <c r="AZ564" i="6" s="1"/>
  <c r="AY564" i="6"/>
  <c r="BC564" i="6" s="1"/>
  <c r="AX564" i="6"/>
  <c r="BA42" i="6"/>
  <c r="AZ42" i="6" s="1"/>
  <c r="AY42" i="6"/>
  <c r="BC42" i="6" s="1"/>
  <c r="AX42" i="6"/>
  <c r="BA904" i="6"/>
  <c r="AZ904" i="6" s="1"/>
  <c r="AY904" i="6"/>
  <c r="BC904" i="6" s="1"/>
  <c r="AX904" i="6"/>
  <c r="BA1712" i="6"/>
  <c r="AZ1712" i="6" s="1"/>
  <c r="AY1712" i="6"/>
  <c r="BC1712" i="6" s="1"/>
  <c r="AX1712" i="6"/>
  <c r="BA1044" i="6"/>
  <c r="AZ1044" i="6" s="1"/>
  <c r="AY1044" i="6"/>
  <c r="BC1044" i="6" s="1"/>
  <c r="AX1044" i="6"/>
  <c r="BA1428" i="6"/>
  <c r="AZ1428" i="6" s="1"/>
  <c r="AY1428" i="6"/>
  <c r="BC1428" i="6" s="1"/>
  <c r="AX1428" i="6"/>
  <c r="AY581" i="6"/>
  <c r="BC581" i="6" s="1"/>
  <c r="AY1450" i="6"/>
  <c r="BC1450" i="6" s="1"/>
  <c r="AY916" i="6"/>
  <c r="BC916" i="6" s="1"/>
  <c r="AY380" i="6"/>
  <c r="BC380" i="6" s="1"/>
  <c r="AY873" i="6"/>
  <c r="BC873" i="6" s="1"/>
  <c r="AY1148" i="6"/>
  <c r="BC1148" i="6" s="1"/>
  <c r="BA1241" i="6"/>
  <c r="AZ1241" i="6" s="1"/>
  <c r="AY1241" i="6"/>
  <c r="BC1241" i="6" s="1"/>
  <c r="AX1241" i="6"/>
  <c r="BA30" i="6"/>
  <c r="AZ30" i="6" s="1"/>
  <c r="AY30" i="6"/>
  <c r="BC30" i="6" s="1"/>
  <c r="AX30" i="6"/>
  <c r="BA213" i="6"/>
  <c r="AZ213" i="6" s="1"/>
  <c r="AY213" i="6"/>
  <c r="BC213" i="6" s="1"/>
  <c r="AX213" i="6"/>
  <c r="BA743" i="6"/>
  <c r="AZ743" i="6" s="1"/>
  <c r="AY743" i="6"/>
  <c r="BC743" i="6" s="1"/>
  <c r="AX743" i="6"/>
  <c r="BA539" i="6"/>
  <c r="AZ539" i="6" s="1"/>
  <c r="AY539" i="6"/>
  <c r="BC539" i="6" s="1"/>
  <c r="AX539" i="6"/>
  <c r="AY872" i="6"/>
  <c r="BC872" i="6" s="1"/>
  <c r="BA872" i="6"/>
  <c r="AZ872" i="6" s="1"/>
  <c r="BA99" i="6"/>
  <c r="AZ99" i="6" s="1"/>
  <c r="AY99" i="6"/>
  <c r="BC99" i="6" s="1"/>
  <c r="BA1686" i="6"/>
  <c r="AZ1686" i="6" s="1"/>
  <c r="AY1686" i="6"/>
  <c r="BC1686" i="6" s="1"/>
  <c r="AX65" i="6"/>
  <c r="BA65" i="6"/>
  <c r="AZ65" i="6" s="1"/>
  <c r="AY65" i="6"/>
  <c r="BC65" i="6" s="1"/>
  <c r="BA600" i="6"/>
  <c r="AZ600" i="6" s="1"/>
  <c r="AY600" i="6"/>
  <c r="BC600" i="6" s="1"/>
  <c r="AX600" i="6"/>
  <c r="AX67" i="6"/>
  <c r="BA1684" i="6"/>
  <c r="AZ1684" i="6" s="1"/>
  <c r="AX872" i="6"/>
  <c r="AX99" i="6"/>
  <c r="AX1686" i="6"/>
  <c r="AY530" i="6"/>
  <c r="BC530" i="6" s="1"/>
  <c r="BA530" i="6"/>
  <c r="AZ530" i="6" s="1"/>
  <c r="AX530" i="6"/>
  <c r="AY67" i="6"/>
  <c r="BC67" i="6" s="1"/>
  <c r="AY1259" i="6"/>
  <c r="BC1259" i="6" s="1"/>
  <c r="BA1259" i="6"/>
  <c r="AZ1259" i="6" s="1"/>
  <c r="AX1259" i="6"/>
  <c r="AX1533" i="6"/>
  <c r="BA1533" i="6"/>
  <c r="AZ1533" i="6" s="1"/>
  <c r="AY1533" i="6"/>
  <c r="BC1533" i="6" s="1"/>
  <c r="AY1182" i="6"/>
  <c r="BC1182" i="6" s="1"/>
  <c r="BA1182" i="6"/>
  <c r="AZ1182" i="6" s="1"/>
  <c r="AX1182" i="6"/>
  <c r="BA1323" i="6"/>
  <c r="AZ1323" i="6" s="1"/>
  <c r="AY1323" i="6"/>
  <c r="BC1323" i="6" s="1"/>
  <c r="AX1323" i="6"/>
  <c r="BA692" i="6"/>
  <c r="AZ692" i="6" s="1"/>
  <c r="AY692" i="6"/>
  <c r="BC692" i="6" s="1"/>
  <c r="AX692" i="6"/>
  <c r="BA370" i="6"/>
  <c r="AZ370" i="6" s="1"/>
  <c r="AY370" i="6"/>
  <c r="BC370" i="6" s="1"/>
  <c r="AX370" i="6"/>
  <c r="BA1190" i="6"/>
  <c r="AZ1190" i="6" s="1"/>
  <c r="AY1190" i="6"/>
  <c r="BC1190" i="6" s="1"/>
  <c r="AX1190" i="6"/>
  <c r="BA1215" i="6"/>
  <c r="AZ1215" i="6" s="1"/>
  <c r="AY1215" i="6"/>
  <c r="BC1215" i="6" s="1"/>
  <c r="AX1215" i="6"/>
  <c r="BA1284" i="6"/>
  <c r="AZ1284" i="6" s="1"/>
  <c r="AY1284" i="6"/>
  <c r="BC1284" i="6" s="1"/>
  <c r="AX1284" i="6"/>
  <c r="AX1361" i="6"/>
  <c r="BA1361" i="6"/>
  <c r="AZ1361" i="6" s="1"/>
  <c r="AY1361" i="6"/>
  <c r="BC1361" i="6" s="1"/>
  <c r="AY263" i="6"/>
  <c r="BC263" i="6" s="1"/>
  <c r="AX263" i="6"/>
  <c r="BA313" i="6"/>
  <c r="AZ313" i="6" s="1"/>
  <c r="AY313" i="6"/>
  <c r="BC313" i="6" s="1"/>
  <c r="AX313" i="6"/>
  <c r="BA474" i="6"/>
  <c r="AZ474" i="6" s="1"/>
  <c r="AY474" i="6"/>
  <c r="BC474" i="6" s="1"/>
  <c r="AX474" i="6"/>
  <c r="BA556" i="6"/>
  <c r="AZ556" i="6" s="1"/>
  <c r="AY556" i="6"/>
  <c r="BC556" i="6" s="1"/>
  <c r="AX556" i="6"/>
  <c r="AY1363" i="6"/>
  <c r="BC1363" i="6" s="1"/>
  <c r="AX1363" i="6"/>
  <c r="BA1363" i="6"/>
  <c r="AZ1363" i="6" s="1"/>
  <c r="AX1645" i="6"/>
  <c r="BA1645" i="6"/>
  <c r="AZ1645" i="6" s="1"/>
  <c r="AY1645" i="6"/>
  <c r="BC1645" i="6" s="1"/>
  <c r="AX12" i="6"/>
  <c r="AX1542" i="6"/>
  <c r="AX66" i="6"/>
  <c r="BA263" i="6"/>
  <c r="AZ263" i="6" s="1"/>
  <c r="AX315" i="6"/>
  <c r="BA315" i="6"/>
  <c r="AZ315" i="6" s="1"/>
  <c r="AY315" i="6"/>
  <c r="BC315" i="6" s="1"/>
  <c r="AX684" i="6"/>
  <c r="BA684" i="6"/>
  <c r="AZ684" i="6" s="1"/>
  <c r="AY684" i="6"/>
  <c r="BC684" i="6" s="1"/>
  <c r="AX59" i="6"/>
  <c r="BA59" i="6"/>
  <c r="AZ59" i="6" s="1"/>
  <c r="AY59" i="6"/>
  <c r="BC59" i="6" s="1"/>
  <c r="AY66" i="6"/>
  <c r="BC66" i="6" s="1"/>
  <c r="BA1683" i="6"/>
  <c r="AZ1683" i="6" s="1"/>
  <c r="AY1689" i="6"/>
  <c r="BC1689" i="6" s="1"/>
  <c r="AY1687" i="6"/>
  <c r="BC1687" i="6" s="1"/>
  <c r="AY49" i="6"/>
  <c r="BC49" i="6" s="1"/>
  <c r="AX49" i="6"/>
  <c r="BA49" i="6"/>
  <c r="AZ49" i="6" s="1"/>
  <c r="BA1568" i="6"/>
  <c r="AZ1568" i="6" s="1"/>
  <c r="AY1568" i="6"/>
  <c r="BC1568" i="6" s="1"/>
  <c r="AX1568" i="6"/>
  <c r="AX1214" i="6"/>
  <c r="BA1214" i="6"/>
  <c r="AZ1214" i="6" s="1"/>
  <c r="AY1214" i="6"/>
  <c r="BC1214" i="6" s="1"/>
  <c r="AX1684" i="6"/>
  <c r="BA1689" i="6"/>
  <c r="AZ1689" i="6" s="1"/>
  <c r="BA1687" i="6"/>
  <c r="AZ1687" i="6" s="1"/>
  <c r="BA599" i="6"/>
  <c r="AZ599" i="6" s="1"/>
  <c r="AY599" i="6"/>
  <c r="BC599" i="6" s="1"/>
  <c r="AX599" i="6"/>
  <c r="BA910" i="6"/>
  <c r="AZ910" i="6" s="1"/>
  <c r="AY910" i="6"/>
  <c r="BC910" i="6" s="1"/>
  <c r="AX910" i="6"/>
  <c r="BA232" i="6"/>
  <c r="AZ232" i="6" s="1"/>
  <c r="BA1135" i="6"/>
  <c r="AZ1135" i="6" s="1"/>
  <c r="AY1135" i="6"/>
  <c r="BC1135" i="6" s="1"/>
  <c r="BA467" i="6"/>
  <c r="AZ467" i="6" s="1"/>
  <c r="AY467" i="6"/>
  <c r="BC467" i="6" s="1"/>
  <c r="AX1300" i="6"/>
  <c r="BA1300" i="6"/>
  <c r="AZ1300" i="6" s="1"/>
  <c r="AY1300" i="6"/>
  <c r="BC1300" i="6" s="1"/>
  <c r="AX10" i="6"/>
  <c r="AX1282" i="6"/>
  <c r="BA1197" i="6"/>
  <c r="AZ1197" i="6" s="1"/>
  <c r="AY1197" i="6"/>
  <c r="BC1197" i="6" s="1"/>
  <c r="AX1197" i="6"/>
  <c r="BA287" i="6"/>
  <c r="AZ287" i="6" s="1"/>
  <c r="AY287" i="6"/>
  <c r="BC287" i="6" s="1"/>
  <c r="BA463" i="6"/>
  <c r="AZ463" i="6" s="1"/>
  <c r="AY463" i="6"/>
  <c r="BC463" i="6" s="1"/>
  <c r="AX463" i="6"/>
  <c r="AY1400" i="6"/>
  <c r="BC1400" i="6" s="1"/>
  <c r="AX1400" i="6"/>
  <c r="BA1400" i="6"/>
  <c r="AZ1400" i="6" s="1"/>
  <c r="BA1406" i="6"/>
  <c r="AZ1406" i="6" s="1"/>
  <c r="AX1406" i="6"/>
  <c r="AX287" i="6"/>
  <c r="BA465" i="6"/>
  <c r="AZ465" i="6" s="1"/>
  <c r="AY465" i="6"/>
  <c r="BC465" i="6" s="1"/>
  <c r="AX465" i="6"/>
  <c r="AX763" i="6"/>
  <c r="AY763" i="6"/>
  <c r="BC763" i="6" s="1"/>
  <c r="AY975" i="6"/>
  <c r="BC975" i="6" s="1"/>
  <c r="BA975" i="6"/>
  <c r="AZ975" i="6" s="1"/>
  <c r="AX975" i="6"/>
  <c r="AX1085" i="6"/>
  <c r="AX852" i="6"/>
  <c r="AX261" i="6"/>
  <c r="AX397" i="6"/>
  <c r="AX1149" i="6"/>
  <c r="AY555" i="6"/>
  <c r="BC555" i="6" s="1"/>
  <c r="BA1133" i="6"/>
  <c r="AZ1133" i="6" s="1"/>
  <c r="AX1133" i="6"/>
  <c r="AX1136" i="6"/>
  <c r="AY1136" i="6"/>
  <c r="BC1136" i="6" s="1"/>
  <c r="AY1406" i="6"/>
  <c r="BC1406" i="6" s="1"/>
  <c r="AX1504" i="6"/>
  <c r="BA1504" i="6"/>
  <c r="AZ1504" i="6" s="1"/>
  <c r="AY1504" i="6"/>
  <c r="BC1504" i="6" s="1"/>
  <c r="BA763" i="6"/>
  <c r="AZ763" i="6" s="1"/>
  <c r="AY1085" i="6"/>
  <c r="BC1085" i="6" s="1"/>
  <c r="AY852" i="6"/>
  <c r="BC852" i="6" s="1"/>
  <c r="AY261" i="6"/>
  <c r="BC261" i="6" s="1"/>
  <c r="AY397" i="6"/>
  <c r="BC397" i="6" s="1"/>
  <c r="AY1149" i="6"/>
  <c r="BC1149" i="6" s="1"/>
  <c r="AY888" i="6"/>
  <c r="BC888" i="6" s="1"/>
  <c r="BA888" i="6"/>
  <c r="AZ888" i="6" s="1"/>
  <c r="AX1137" i="6"/>
  <c r="AY1137" i="6"/>
  <c r="BC1137" i="6" s="1"/>
  <c r="BA1137" i="6"/>
  <c r="AZ1137" i="6" s="1"/>
  <c r="BA519" i="6"/>
  <c r="AZ519" i="6" s="1"/>
  <c r="AY519" i="6"/>
  <c r="BC519" i="6" s="1"/>
  <c r="AX519" i="6"/>
  <c r="BA5" i="6"/>
  <c r="AZ5" i="6" s="1"/>
  <c r="AX888" i="6"/>
  <c r="AX1498" i="6"/>
  <c r="BA1498" i="6"/>
  <c r="AZ1498" i="6" s="1"/>
  <c r="AY1498" i="6"/>
  <c r="BC1498" i="6" s="1"/>
  <c r="AY1298" i="6"/>
  <c r="BC1298" i="6" s="1"/>
  <c r="BA1298" i="6"/>
  <c r="AZ1298" i="6" s="1"/>
  <c r="AX1298" i="6"/>
  <c r="BA922" i="6"/>
  <c r="AZ922" i="6" s="1"/>
  <c r="AX565" i="6"/>
  <c r="AY1567" i="6"/>
  <c r="BC1567" i="6" s="1"/>
  <c r="BA552" i="6"/>
  <c r="AZ552" i="6" s="1"/>
  <c r="AX232" i="6"/>
  <c r="AY466" i="6"/>
  <c r="BC466" i="6" s="1"/>
  <c r="AX466" i="6"/>
  <c r="BA565" i="6"/>
  <c r="AZ565" i="6" s="1"/>
  <c r="AX468" i="6"/>
  <c r="BA466" i="6"/>
  <c r="AZ466" i="6" s="1"/>
  <c r="AY1616" i="6"/>
  <c r="BC1616" i="6" s="1"/>
  <c r="BA1616" i="6"/>
  <c r="AZ1616" i="6" s="1"/>
  <c r="AX1616" i="6"/>
  <c r="AX1618" i="6"/>
  <c r="AX1301" i="6"/>
  <c r="BA1301" i="6"/>
  <c r="AZ1301" i="6" s="1"/>
  <c r="BA1305" i="6"/>
  <c r="AZ1305" i="6" s="1"/>
  <c r="AX1305" i="6"/>
  <c r="AY1213" i="6"/>
  <c r="BC1213" i="6" s="1"/>
  <c r="AX1213" i="6"/>
  <c r="BA1213" i="6"/>
  <c r="AZ1213" i="6" s="1"/>
  <c r="BA1618" i="6"/>
  <c r="AZ1618" i="6" s="1"/>
  <c r="AY775" i="6"/>
  <c r="BC775" i="6" s="1"/>
  <c r="BA775" i="6"/>
  <c r="AZ775" i="6" s="1"/>
  <c r="AX775" i="6"/>
  <c r="BA1634" i="6"/>
  <c r="AZ1634" i="6" s="1"/>
  <c r="AY1634" i="6"/>
  <c r="BC1634" i="6" s="1"/>
  <c r="AX1634" i="6"/>
  <c r="BA1274" i="6"/>
  <c r="AZ1274" i="6" s="1"/>
  <c r="AY1274" i="6"/>
  <c r="BC1274" i="6" s="1"/>
  <c r="AX1274" i="6"/>
  <c r="BA1599" i="6"/>
  <c r="AZ1599" i="6" s="1"/>
  <c r="BA1574" i="6"/>
  <c r="AZ1574" i="6" s="1"/>
  <c r="AY1574" i="6"/>
  <c r="BC1574" i="6" s="1"/>
  <c r="AX1574" i="6"/>
  <c r="BA1294" i="6"/>
  <c r="AZ1294" i="6" s="1"/>
  <c r="AY1617" i="6"/>
  <c r="BC1617" i="6" s="1"/>
  <c r="AX1617" i="6"/>
  <c r="AX1296" i="6"/>
  <c r="BA1296" i="6"/>
  <c r="AZ1296" i="6" s="1"/>
  <c r="BA1299" i="6"/>
  <c r="AZ1299" i="6" s="1"/>
  <c r="AY1299" i="6"/>
  <c r="BC1299" i="6" s="1"/>
  <c r="AX1299" i="6"/>
  <c r="BA1304" i="6"/>
  <c r="AZ1304" i="6" s="1"/>
  <c r="AX1304" i="6"/>
  <c r="AX1235" i="6"/>
  <c r="AY1417" i="6"/>
  <c r="BC1417" i="6" s="1"/>
  <c r="BA1417" i="6"/>
  <c r="AZ1417" i="6" s="1"/>
  <c r="AY1296" i="6"/>
  <c r="BC1296" i="6" s="1"/>
  <c r="AY1304" i="6"/>
  <c r="BC1304" i="6" s="1"/>
  <c r="BA462" i="6"/>
  <c r="AZ462" i="6" s="1"/>
  <c r="AY462" i="6"/>
  <c r="BC462" i="6" s="1"/>
  <c r="BA1617" i="6"/>
  <c r="AZ1617" i="6" s="1"/>
  <c r="AY222" i="6"/>
  <c r="BC222" i="6" s="1"/>
  <c r="AX222" i="6"/>
  <c r="BA222" i="6"/>
  <c r="AZ222" i="6" s="1"/>
  <c r="AY1297" i="6"/>
  <c r="BC1297" i="6" s="1"/>
  <c r="BA1297" i="6"/>
  <c r="AZ1297" i="6" s="1"/>
  <c r="BA1302" i="6"/>
  <c r="AZ1302" i="6" s="1"/>
  <c r="AY1302" i="6"/>
  <c r="BC1302" i="6" s="1"/>
  <c r="AY1303" i="6"/>
  <c r="BC1303" i="6" s="1"/>
  <c r="AX1303" i="6"/>
  <c r="BA1303" i="6"/>
  <c r="AZ1303" i="6" s="1"/>
  <c r="AY1308" i="6"/>
  <c r="BC1308" i="6" s="1"/>
  <c r="AX1308" i="6"/>
  <c r="BA1308" i="6"/>
  <c r="AZ1308" i="6" s="1"/>
  <c r="AY1697" i="6"/>
  <c r="BC1697" i="6" s="1"/>
  <c r="AX1697" i="6"/>
  <c r="BA1697" i="6"/>
  <c r="AZ1697" i="6" s="1"/>
  <c r="AY1649" i="6"/>
  <c r="BC1649" i="6" s="1"/>
  <c r="AX1649" i="6"/>
  <c r="AY180" i="6"/>
  <c r="BC180" i="6" s="1"/>
  <c r="AX180" i="6"/>
  <c r="BA301" i="6"/>
  <c r="AZ301" i="6" s="1"/>
  <c r="AY301" i="6"/>
  <c r="BC301" i="6" s="1"/>
  <c r="AX301" i="6"/>
  <c r="BA1690" i="6"/>
  <c r="AZ1690" i="6" s="1"/>
  <c r="AX1690" i="6"/>
  <c r="AX1152" i="6"/>
  <c r="BA1152" i="6"/>
  <c r="AZ1152" i="6" s="1"/>
  <c r="AY1152" i="6"/>
  <c r="BC1152" i="6" s="1"/>
  <c r="AX1123" i="6"/>
  <c r="BA1123" i="6"/>
  <c r="AZ1123" i="6" s="1"/>
  <c r="AY1113" i="6"/>
  <c r="BC1113" i="6" s="1"/>
  <c r="AX85" i="6"/>
  <c r="BA85" i="6"/>
  <c r="AZ85" i="6" s="1"/>
  <c r="BA180" i="6"/>
  <c r="AZ180" i="6" s="1"/>
  <c r="AY1690" i="6"/>
  <c r="BC1690" i="6" s="1"/>
  <c r="BA1245" i="6"/>
  <c r="AZ1245" i="6" s="1"/>
  <c r="AY1245" i="6"/>
  <c r="BC1245" i="6" s="1"/>
  <c r="AX1245" i="6"/>
  <c r="BA1113" i="6"/>
  <c r="AZ1113" i="6" s="1"/>
  <c r="AX1692" i="6"/>
  <c r="BA1692" i="6"/>
  <c r="AZ1692" i="6" s="1"/>
  <c r="BA1648" i="6"/>
  <c r="AZ1648" i="6" s="1"/>
  <c r="AX1648" i="6"/>
  <c r="BA1649" i="6"/>
  <c r="AZ1649" i="6" s="1"/>
  <c r="BA1479" i="6"/>
  <c r="AZ1479" i="6" s="1"/>
  <c r="AX1479" i="6"/>
  <c r="BA553" i="6"/>
  <c r="AZ553" i="6" s="1"/>
  <c r="AY553" i="6"/>
  <c r="BC553" i="6" s="1"/>
  <c r="AX553" i="6"/>
  <c r="BA357" i="6"/>
  <c r="AZ357" i="6" s="1"/>
  <c r="AY357" i="6"/>
  <c r="BC357" i="6" s="1"/>
  <c r="AX357" i="6"/>
  <c r="BA1702" i="6"/>
  <c r="AZ1702" i="6" s="1"/>
  <c r="AY1702" i="6"/>
  <c r="BC1702" i="6" s="1"/>
  <c r="AY544" i="6"/>
  <c r="BC544" i="6" s="1"/>
  <c r="AX1694" i="6"/>
  <c r="AY1694" i="6"/>
  <c r="BC1694" i="6" s="1"/>
  <c r="AY1692" i="6"/>
  <c r="BC1692" i="6" s="1"/>
  <c r="AY1648" i="6"/>
  <c r="BC1648" i="6" s="1"/>
  <c r="AY1479" i="6"/>
  <c r="BC1479" i="6" s="1"/>
  <c r="AX970" i="6"/>
  <c r="BA970" i="6"/>
  <c r="AZ970" i="6" s="1"/>
  <c r="AY970" i="6"/>
  <c r="BC970" i="6" s="1"/>
  <c r="AX1412" i="6"/>
  <c r="BA1412" i="6"/>
  <c r="AZ1412" i="6" s="1"/>
  <c r="AY1412" i="6"/>
  <c r="BC1412" i="6" s="1"/>
  <c r="AX1698" i="6"/>
  <c r="BA1698" i="6"/>
  <c r="AZ1698" i="6" s="1"/>
  <c r="BA1650" i="6"/>
  <c r="AZ1650" i="6" s="1"/>
  <c r="AX1650" i="6"/>
  <c r="AY123" i="6"/>
  <c r="BC123" i="6" s="1"/>
  <c r="AX123" i="6"/>
  <c r="BA123" i="6"/>
  <c r="AZ123" i="6" s="1"/>
  <c r="BA1413" i="6"/>
  <c r="AZ1413" i="6" s="1"/>
  <c r="AY1413" i="6"/>
  <c r="BC1413" i="6" s="1"/>
  <c r="BA458" i="6"/>
  <c r="AZ458" i="6" s="1"/>
  <c r="AY1122" i="6"/>
  <c r="BC1122" i="6" s="1"/>
  <c r="AX1122" i="6"/>
  <c r="BA1122" i="6"/>
  <c r="AZ1122" i="6" s="1"/>
  <c r="AY1527" i="6"/>
  <c r="BC1527" i="6" s="1"/>
  <c r="AX1527" i="6"/>
  <c r="BA1112" i="6"/>
  <c r="AZ1112" i="6" s="1"/>
  <c r="AX1112" i="6"/>
  <c r="AX1114" i="6"/>
  <c r="BA1694" i="6"/>
  <c r="AZ1694" i="6" s="1"/>
  <c r="AY1698" i="6"/>
  <c r="BC1698" i="6" s="1"/>
  <c r="AY1650" i="6"/>
  <c r="BC1650" i="6" s="1"/>
  <c r="BA1353" i="6"/>
  <c r="AZ1353" i="6" s="1"/>
  <c r="AY1353" i="6"/>
  <c r="BC1353" i="6" s="1"/>
  <c r="AX1413" i="6"/>
  <c r="BA1647" i="6"/>
  <c r="AZ1647" i="6" s="1"/>
  <c r="AY1647" i="6"/>
  <c r="BC1647" i="6" s="1"/>
  <c r="BA1656" i="6"/>
  <c r="AZ1656" i="6" s="1"/>
  <c r="AX1656" i="6"/>
  <c r="AY1656" i="6"/>
  <c r="BC1656" i="6" s="1"/>
  <c r="AX121" i="6"/>
  <c r="BA121" i="6"/>
  <c r="AZ121" i="6" s="1"/>
  <c r="AY121" i="6"/>
  <c r="BC121" i="6" s="1"/>
  <c r="AX808" i="6"/>
  <c r="BA808" i="6"/>
  <c r="AZ808" i="6" s="1"/>
  <c r="AY808" i="6"/>
  <c r="BC808" i="6" s="1"/>
  <c r="AX1430" i="6"/>
  <c r="BA1430" i="6"/>
  <c r="AZ1430" i="6" s="1"/>
  <c r="AY1419" i="6"/>
  <c r="BC1419" i="6" s="1"/>
  <c r="BA1419" i="6"/>
  <c r="AZ1419" i="6" s="1"/>
  <c r="AX1419" i="6"/>
  <c r="AX1216" i="6"/>
  <c r="AX1703" i="6"/>
  <c r="BA1703" i="6"/>
  <c r="AZ1703" i="6" s="1"/>
  <c r="BA1120" i="6"/>
  <c r="AZ1120" i="6" s="1"/>
  <c r="AX1120" i="6"/>
  <c r="AY1691" i="6"/>
  <c r="BC1691" i="6" s="1"/>
  <c r="BA1691" i="6"/>
  <c r="AZ1691" i="6" s="1"/>
  <c r="AX1691" i="6"/>
  <c r="AX1647" i="6"/>
  <c r="AY1695" i="6"/>
  <c r="BC1695" i="6" s="1"/>
  <c r="BA1418" i="6"/>
  <c r="AZ1418" i="6" s="1"/>
  <c r="AY1418" i="6"/>
  <c r="BC1418" i="6" s="1"/>
  <c r="AX1418" i="6"/>
  <c r="AY1548" i="6"/>
  <c r="BC1548" i="6" s="1"/>
  <c r="BA1548" i="6"/>
  <c r="AZ1548" i="6" s="1"/>
  <c r="AX1548" i="6"/>
  <c r="BA1446" i="6"/>
  <c r="AZ1446" i="6" s="1"/>
  <c r="BA299" i="6"/>
  <c r="AZ299" i="6" s="1"/>
  <c r="BA994" i="6"/>
  <c r="AZ994" i="6" s="1"/>
  <c r="BA1008" i="6"/>
  <c r="AZ1008" i="6" s="1"/>
  <c r="AX1150" i="6"/>
  <c r="AY1150" i="6"/>
  <c r="BC1150" i="6" s="1"/>
  <c r="BA125" i="6"/>
  <c r="AZ125" i="6" s="1"/>
  <c r="AX414" i="6"/>
  <c r="AY1420" i="6"/>
  <c r="BC1420" i="6" s="1"/>
  <c r="AX1477" i="6"/>
  <c r="BA8" i="6"/>
  <c r="AZ8" i="6" s="1"/>
  <c r="AX1177" i="6"/>
  <c r="AX1607" i="6"/>
  <c r="AX1151" i="6"/>
  <c r="BA414" i="6"/>
  <c r="AZ414" i="6" s="1"/>
  <c r="BA1420" i="6"/>
  <c r="AZ1420" i="6" s="1"/>
  <c r="AY1177" i="6"/>
  <c r="BC1177" i="6" s="1"/>
  <c r="BA1151" i="6"/>
  <c r="AZ1151" i="6" s="1"/>
  <c r="AY812" i="6"/>
  <c r="BC812" i="6" s="1"/>
  <c r="AY646" i="6"/>
  <c r="BC646" i="6" s="1"/>
  <c r="AX1496" i="6"/>
  <c r="AY1528" i="6"/>
  <c r="BC1528" i="6" s="1"/>
  <c r="AX992" i="6"/>
  <c r="AX1591" i="6"/>
  <c r="AX1260" i="6"/>
  <c r="BA646" i="6"/>
  <c r="AZ646" i="6" s="1"/>
  <c r="AY992" i="6"/>
  <c r="BC992" i="6" s="1"/>
  <c r="BA1591" i="6"/>
  <c r="AZ1591" i="6" s="1"/>
  <c r="AY1260" i="6"/>
  <c r="BC1260" i="6" s="1"/>
  <c r="AY225" i="6"/>
  <c r="BC225" i="6" s="1"/>
  <c r="BA225" i="6"/>
  <c r="AZ225" i="6" s="1"/>
  <c r="AX1211" i="6"/>
  <c r="BA1211" i="6"/>
  <c r="AZ1211" i="6" s="1"/>
  <c r="AY1211" i="6"/>
  <c r="BC1211" i="6" s="1"/>
  <c r="BA1452" i="6"/>
  <c r="AZ1452" i="6" s="1"/>
  <c r="AY1452" i="6"/>
  <c r="BC1452" i="6" s="1"/>
  <c r="AX1452" i="6"/>
  <c r="AX1544" i="6"/>
  <c r="BA1544" i="6"/>
  <c r="AZ1544" i="6" s="1"/>
  <c r="AY1544" i="6"/>
  <c r="BC1544" i="6" s="1"/>
  <c r="AY572" i="6"/>
  <c r="BC572" i="6" s="1"/>
  <c r="BA572" i="6"/>
  <c r="AZ572" i="6" s="1"/>
  <c r="AX572" i="6"/>
  <c r="AY840" i="6"/>
  <c r="BC840" i="6" s="1"/>
  <c r="AX840" i="6"/>
  <c r="BA840" i="6"/>
  <c r="AZ840" i="6" s="1"/>
  <c r="AY1578" i="6"/>
  <c r="BC1578" i="6" s="1"/>
  <c r="BA1578" i="6"/>
  <c r="AZ1578" i="6" s="1"/>
  <c r="AX1578" i="6"/>
  <c r="AX225" i="6"/>
  <c r="AY1481" i="6"/>
  <c r="BC1481" i="6" s="1"/>
  <c r="BA1481" i="6"/>
  <c r="AZ1481" i="6" s="1"/>
  <c r="AX1481" i="6"/>
  <c r="AY848" i="6"/>
  <c r="BC848" i="6" s="1"/>
  <c r="BA848" i="6"/>
  <c r="AZ848" i="6" s="1"/>
  <c r="AX848" i="6"/>
  <c r="AY363" i="6"/>
  <c r="BC363" i="6" s="1"/>
  <c r="AX363" i="6"/>
  <c r="BA363" i="6"/>
  <c r="AZ363" i="6" s="1"/>
  <c r="AY249" i="6"/>
  <c r="BC249" i="6" s="1"/>
  <c r="BA249" i="6"/>
  <c r="AZ249" i="6" s="1"/>
  <c r="AX249" i="6"/>
  <c r="AY579" i="6"/>
  <c r="BC579" i="6" s="1"/>
  <c r="AX579" i="6"/>
  <c r="AY493" i="6"/>
  <c r="BC493" i="6" s="1"/>
  <c r="BA493" i="6"/>
  <c r="AZ493" i="6" s="1"/>
  <c r="AX493" i="6"/>
  <c r="AY1482" i="6"/>
  <c r="BC1482" i="6" s="1"/>
  <c r="BA1482" i="6"/>
  <c r="AZ1482" i="6" s="1"/>
  <c r="AX1482" i="6"/>
  <c r="AY575" i="6"/>
  <c r="BC575" i="6" s="1"/>
  <c r="BA575" i="6"/>
  <c r="AZ575" i="6" s="1"/>
  <c r="AX575" i="6"/>
  <c r="AY845" i="6"/>
  <c r="BC845" i="6" s="1"/>
  <c r="AX845" i="6"/>
  <c r="AY1039" i="6"/>
  <c r="BC1039" i="6" s="1"/>
  <c r="AX1039" i="6"/>
  <c r="BA1039" i="6"/>
  <c r="AZ1039" i="6" s="1"/>
  <c r="BA412" i="6"/>
  <c r="AZ412" i="6" s="1"/>
  <c r="AY412" i="6"/>
  <c r="BC412" i="6" s="1"/>
  <c r="BA730" i="6"/>
  <c r="AZ730" i="6" s="1"/>
  <c r="AX730" i="6"/>
  <c r="AY730" i="6"/>
  <c r="BC730" i="6" s="1"/>
  <c r="AY868" i="6"/>
  <c r="BC868" i="6" s="1"/>
  <c r="AX868" i="6"/>
  <c r="BA868" i="6"/>
  <c r="AZ868" i="6" s="1"/>
  <c r="BA845" i="6"/>
  <c r="AZ845" i="6" s="1"/>
  <c r="AY507" i="6"/>
  <c r="BC507" i="6" s="1"/>
  <c r="BA507" i="6"/>
  <c r="AZ507" i="6" s="1"/>
  <c r="AX507" i="6"/>
  <c r="AY982" i="6"/>
  <c r="BC982" i="6" s="1"/>
  <c r="AX982" i="6"/>
  <c r="BA982" i="6"/>
  <c r="AZ982" i="6" s="1"/>
  <c r="AY866" i="6"/>
  <c r="BC866" i="6" s="1"/>
  <c r="BA866" i="6"/>
  <c r="AZ866" i="6" s="1"/>
  <c r="AY246" i="6"/>
  <c r="BC246" i="6" s="1"/>
  <c r="AX246" i="6"/>
  <c r="BA1099" i="6"/>
  <c r="AZ1099" i="6" s="1"/>
  <c r="AY1099" i="6"/>
  <c r="BC1099" i="6" s="1"/>
  <c r="BA655" i="6"/>
  <c r="AZ655" i="6" s="1"/>
  <c r="AY655" i="6"/>
  <c r="BC655" i="6" s="1"/>
  <c r="AX655" i="6"/>
  <c r="BA413" i="6"/>
  <c r="AZ413" i="6" s="1"/>
  <c r="AX413" i="6"/>
  <c r="AY413" i="6"/>
  <c r="BC413" i="6" s="1"/>
  <c r="AX866" i="6"/>
  <c r="BA246" i="6"/>
  <c r="AZ246" i="6" s="1"/>
  <c r="AX537" i="6"/>
  <c r="BA537" i="6"/>
  <c r="AZ537" i="6" s="1"/>
  <c r="AY1422" i="6"/>
  <c r="BC1422" i="6" s="1"/>
  <c r="AX1422" i="6"/>
  <c r="BA1422" i="6"/>
  <c r="AZ1422" i="6" s="1"/>
  <c r="AY1485" i="6"/>
  <c r="BC1485" i="6" s="1"/>
  <c r="BA1485" i="6"/>
  <c r="AZ1485" i="6" s="1"/>
  <c r="AX1485" i="6"/>
  <c r="AY1534" i="6"/>
  <c r="BC1534" i="6" s="1"/>
  <c r="BA1534" i="6"/>
  <c r="AZ1534" i="6" s="1"/>
  <c r="AY367" i="6"/>
  <c r="BC367" i="6" s="1"/>
  <c r="BA367" i="6"/>
  <c r="AZ367" i="6" s="1"/>
  <c r="AX367" i="6"/>
  <c r="AY173" i="6"/>
  <c r="BC173" i="6" s="1"/>
  <c r="AX173" i="6"/>
  <c r="AY508" i="6"/>
  <c r="BC508" i="6" s="1"/>
  <c r="AX508" i="6"/>
  <c r="BA508" i="6"/>
  <c r="AZ508" i="6" s="1"/>
  <c r="AY980" i="6"/>
  <c r="BC980" i="6" s="1"/>
  <c r="BA980" i="6"/>
  <c r="AZ980" i="6" s="1"/>
  <c r="AX980" i="6"/>
  <c r="AY1345" i="6"/>
  <c r="BC1345" i="6" s="1"/>
  <c r="AX1345" i="6"/>
  <c r="BA1345" i="6"/>
  <c r="AZ1345" i="6" s="1"/>
  <c r="BA765" i="6"/>
  <c r="AZ765" i="6" s="1"/>
  <c r="AX765" i="6"/>
  <c r="AY537" i="6"/>
  <c r="BC537" i="6" s="1"/>
  <c r="AY207" i="6"/>
  <c r="BC207" i="6" s="1"/>
  <c r="BA207" i="6"/>
  <c r="AZ207" i="6" s="1"/>
  <c r="AX207" i="6"/>
  <c r="AY1220" i="6"/>
  <c r="BC1220" i="6" s="1"/>
  <c r="AX1220" i="6"/>
  <c r="BA1220" i="6"/>
  <c r="AZ1220" i="6" s="1"/>
  <c r="AY867" i="6"/>
  <c r="BC867" i="6" s="1"/>
  <c r="AX867" i="6"/>
  <c r="AX1534" i="6"/>
  <c r="BA173" i="6"/>
  <c r="AZ173" i="6" s="1"/>
  <c r="AY835" i="6"/>
  <c r="BC835" i="6" s="1"/>
  <c r="AX835" i="6"/>
  <c r="AY765" i="6"/>
  <c r="BC765" i="6" s="1"/>
  <c r="BA1432" i="6"/>
  <c r="AZ1432" i="6" s="1"/>
  <c r="AX1432" i="6"/>
  <c r="BA690" i="6"/>
  <c r="AZ690" i="6" s="1"/>
  <c r="AX690" i="6"/>
  <c r="AY1421" i="6"/>
  <c r="BC1421" i="6" s="1"/>
  <c r="BA1421" i="6"/>
  <c r="AZ1421" i="6" s="1"/>
  <c r="BA867" i="6"/>
  <c r="AZ867" i="6" s="1"/>
  <c r="AY582" i="6"/>
  <c r="BC582" i="6" s="1"/>
  <c r="BA582" i="6"/>
  <c r="AZ582" i="6" s="1"/>
  <c r="AX849" i="6"/>
  <c r="AY506" i="6"/>
  <c r="BC506" i="6" s="1"/>
  <c r="BA506" i="6"/>
  <c r="AZ506" i="6" s="1"/>
  <c r="AY933" i="6"/>
  <c r="BC933" i="6" s="1"/>
  <c r="AX933" i="6"/>
  <c r="BA835" i="6"/>
  <c r="AZ835" i="6" s="1"/>
  <c r="AY1414" i="6"/>
  <c r="BC1414" i="6" s="1"/>
  <c r="AX1414" i="6"/>
  <c r="AY619" i="6"/>
  <c r="BC619" i="6" s="1"/>
  <c r="BA619" i="6"/>
  <c r="AZ619" i="6" s="1"/>
  <c r="AX619" i="6"/>
  <c r="AY846" i="6"/>
  <c r="BC846" i="6" s="1"/>
  <c r="AX846" i="6"/>
  <c r="BA846" i="6"/>
  <c r="AZ846" i="6" s="1"/>
  <c r="AY847" i="6"/>
  <c r="BC847" i="6" s="1"/>
  <c r="AX847" i="6"/>
  <c r="BA847" i="6"/>
  <c r="AZ847" i="6" s="1"/>
  <c r="BA849" i="6"/>
  <c r="AZ849" i="6" s="1"/>
  <c r="AY235" i="6"/>
  <c r="BC235" i="6" s="1"/>
  <c r="AX235" i="6"/>
  <c r="BA235" i="6"/>
  <c r="AZ235" i="6" s="1"/>
  <c r="AY1191" i="6"/>
  <c r="BC1191" i="6" s="1"/>
  <c r="AX1191" i="6"/>
  <c r="BA1191" i="6"/>
  <c r="AZ1191" i="6" s="1"/>
  <c r="AY1233" i="6"/>
  <c r="BC1233" i="6" s="1"/>
  <c r="AX1233" i="6"/>
  <c r="BA1233" i="6"/>
  <c r="AZ1233" i="6" s="1"/>
  <c r="AY833" i="6"/>
  <c r="BC833" i="6" s="1"/>
  <c r="AX833" i="6"/>
  <c r="BA833" i="6"/>
  <c r="AZ833" i="6" s="1"/>
  <c r="AY505" i="6"/>
  <c r="BC505" i="6" s="1"/>
  <c r="BA505" i="6"/>
  <c r="AZ505" i="6" s="1"/>
  <c r="AX505" i="6"/>
  <c r="AY1094" i="6"/>
  <c r="BC1094" i="6" s="1"/>
  <c r="BA1094" i="6"/>
  <c r="AZ1094" i="6" s="1"/>
  <c r="AY809" i="6"/>
  <c r="BC809" i="6" s="1"/>
  <c r="BA809" i="6"/>
  <c r="AZ809" i="6" s="1"/>
  <c r="AX809" i="6"/>
  <c r="AY174" i="6"/>
  <c r="BC174" i="6" s="1"/>
  <c r="BA174" i="6"/>
  <c r="AZ174" i="6" s="1"/>
  <c r="AX174" i="6"/>
  <c r="AY905" i="6"/>
  <c r="BC905" i="6" s="1"/>
  <c r="BA905" i="6"/>
  <c r="AZ905" i="6" s="1"/>
  <c r="AY105" i="6"/>
  <c r="BC105" i="6" s="1"/>
  <c r="AX105" i="6"/>
  <c r="BA105" i="6"/>
  <c r="AZ105" i="6" s="1"/>
  <c r="BA951" i="6"/>
  <c r="AZ951" i="6" s="1"/>
  <c r="AX951" i="6"/>
  <c r="AY687" i="6"/>
  <c r="BC687" i="6" s="1"/>
  <c r="BA687" i="6"/>
  <c r="AZ687" i="6" s="1"/>
  <c r="AY966" i="6"/>
  <c r="BC966" i="6" s="1"/>
  <c r="BA966" i="6"/>
  <c r="AZ966" i="6" s="1"/>
  <c r="AX966" i="6"/>
  <c r="AY973" i="6"/>
  <c r="BC973" i="6" s="1"/>
  <c r="BA973" i="6"/>
  <c r="AZ973" i="6" s="1"/>
  <c r="AX973" i="6"/>
  <c r="AY296" i="6"/>
  <c r="BC296" i="6" s="1"/>
  <c r="AX296" i="6"/>
  <c r="BA296" i="6"/>
  <c r="AZ296" i="6" s="1"/>
  <c r="AX905" i="6"/>
  <c r="AY1396" i="6"/>
  <c r="BC1396" i="6" s="1"/>
  <c r="BA1396" i="6"/>
  <c r="AZ1396" i="6" s="1"/>
  <c r="AX1396" i="6"/>
  <c r="AY1081" i="6"/>
  <c r="BC1081" i="6" s="1"/>
  <c r="BA1081" i="6"/>
  <c r="AZ1081" i="6" s="1"/>
  <c r="AX1081" i="6"/>
  <c r="AY1048" i="6"/>
  <c r="BC1048" i="6" s="1"/>
  <c r="AX1048" i="6"/>
  <c r="AY295" i="6"/>
  <c r="BC295" i="6" s="1"/>
  <c r="BA295" i="6"/>
  <c r="AZ295" i="6" s="1"/>
  <c r="AX295" i="6"/>
  <c r="AY48" i="6"/>
  <c r="BC48" i="6" s="1"/>
  <c r="AX48" i="6"/>
  <c r="AY13" i="6"/>
  <c r="BC13" i="6" s="1"/>
  <c r="AX13" i="6"/>
  <c r="BA13" i="6"/>
  <c r="AZ13" i="6" s="1"/>
  <c r="AY1083" i="6"/>
  <c r="BC1083" i="6" s="1"/>
  <c r="AX1083" i="6"/>
  <c r="BA511" i="6"/>
  <c r="AZ511" i="6" s="1"/>
  <c r="AY347" i="6"/>
  <c r="BC347" i="6" s="1"/>
  <c r="BA347" i="6"/>
  <c r="AZ347" i="6" s="1"/>
  <c r="AX347" i="6"/>
  <c r="AX1169" i="6"/>
  <c r="BA1169" i="6"/>
  <c r="AZ1169" i="6" s="1"/>
  <c r="AY1169" i="6"/>
  <c r="BC1169" i="6" s="1"/>
  <c r="BA1083" i="6"/>
  <c r="AZ1083" i="6" s="1"/>
  <c r="BA1403" i="6"/>
  <c r="AZ1403" i="6" s="1"/>
  <c r="AY503" i="6"/>
  <c r="BC503" i="6" s="1"/>
  <c r="BA503" i="6"/>
  <c r="AZ503" i="6" s="1"/>
  <c r="AY981" i="6"/>
  <c r="BC981" i="6" s="1"/>
  <c r="BA981" i="6"/>
  <c r="AZ981" i="6" s="1"/>
  <c r="AX503" i="6"/>
  <c r="AY1408" i="6"/>
  <c r="BC1408" i="6" s="1"/>
  <c r="AX1408" i="6"/>
  <c r="BA1408" i="6"/>
  <c r="AZ1408" i="6" s="1"/>
  <c r="AX981" i="6"/>
  <c r="AY502" i="6"/>
  <c r="BC502" i="6" s="1"/>
  <c r="AX502" i="6"/>
  <c r="AY739" i="6"/>
  <c r="BC739" i="6" s="1"/>
  <c r="BA739" i="6"/>
  <c r="AZ739" i="6" s="1"/>
  <c r="AY678" i="6"/>
  <c r="BC678" i="6" s="1"/>
  <c r="BA678" i="6"/>
  <c r="AZ678" i="6" s="1"/>
  <c r="AX666" i="6"/>
  <c r="AY666" i="6"/>
  <c r="BC666" i="6" s="1"/>
  <c r="BA666" i="6"/>
  <c r="AZ666" i="6" s="1"/>
  <c r="BA1240" i="6"/>
  <c r="AZ1240" i="6" s="1"/>
  <c r="BA271" i="6"/>
  <c r="AZ271" i="6" s="1"/>
  <c r="AX511" i="6"/>
  <c r="BA502" i="6"/>
  <c r="AZ502" i="6" s="1"/>
  <c r="AX739" i="6"/>
  <c r="AX678" i="6"/>
  <c r="AY494" i="6"/>
  <c r="BC494" i="6" s="1"/>
  <c r="BA494" i="6"/>
  <c r="AZ494" i="6" s="1"/>
  <c r="AX494" i="6"/>
  <c r="AX501" i="6"/>
  <c r="AY639" i="6"/>
  <c r="BC639" i="6" s="1"/>
  <c r="BA639" i="6"/>
  <c r="AZ639" i="6" s="1"/>
  <c r="AX639" i="6"/>
  <c r="AY1346" i="6"/>
  <c r="BC1346" i="6" s="1"/>
  <c r="AX1346" i="6"/>
  <c r="BA1346" i="6"/>
  <c r="AZ1346" i="6" s="1"/>
  <c r="AY677" i="6"/>
  <c r="BC677" i="6" s="1"/>
  <c r="BA677" i="6"/>
  <c r="AZ677" i="6" s="1"/>
  <c r="AX677" i="6"/>
  <c r="AX679" i="6"/>
  <c r="BA679" i="6"/>
  <c r="AZ679" i="6" s="1"/>
  <c r="AY679" i="6"/>
  <c r="BC679" i="6" s="1"/>
  <c r="AX1024" i="6"/>
  <c r="AY1024" i="6"/>
  <c r="BC1024" i="6" s="1"/>
  <c r="BA1024" i="6"/>
  <c r="AZ1024" i="6" s="1"/>
  <c r="AY1379" i="6"/>
  <c r="BC1379" i="6" s="1"/>
  <c r="BA1379" i="6"/>
  <c r="AZ1379" i="6" s="1"/>
  <c r="AX703" i="6"/>
  <c r="AY703" i="6"/>
  <c r="BC703" i="6" s="1"/>
  <c r="AX230" i="6"/>
  <c r="BA230" i="6"/>
  <c r="AZ230" i="6" s="1"/>
  <c r="AY230" i="6"/>
  <c r="BC230" i="6" s="1"/>
  <c r="AY921" i="6"/>
  <c r="BC921" i="6" s="1"/>
  <c r="AX921" i="6"/>
  <c r="AX1379" i="6"/>
  <c r="AX534" i="6"/>
  <c r="BA534" i="6"/>
  <c r="AZ534" i="6" s="1"/>
  <c r="AY534" i="6"/>
  <c r="BC534" i="6" s="1"/>
  <c r="AX1033" i="6"/>
  <c r="BA1033" i="6"/>
  <c r="AZ1033" i="6" s="1"/>
  <c r="AX224" i="6"/>
  <c r="AY224" i="6"/>
  <c r="BC224" i="6" s="1"/>
  <c r="BA224" i="6"/>
  <c r="AZ224" i="6" s="1"/>
  <c r="AY661" i="6"/>
  <c r="BC661" i="6" s="1"/>
  <c r="BA661" i="6"/>
  <c r="AZ661" i="6" s="1"/>
  <c r="AX661" i="6"/>
  <c r="AY364" i="6"/>
  <c r="BC364" i="6" s="1"/>
  <c r="AX364" i="6"/>
  <c r="AX227" i="6"/>
  <c r="BA227" i="6"/>
  <c r="AZ227" i="6" s="1"/>
  <c r="AY227" i="6"/>
  <c r="BC227" i="6" s="1"/>
  <c r="BA1425" i="6"/>
  <c r="AZ1425" i="6" s="1"/>
  <c r="AY1425" i="6"/>
  <c r="BC1425" i="6" s="1"/>
  <c r="AX691" i="6"/>
  <c r="AY691" i="6"/>
  <c r="BC691" i="6" s="1"/>
  <c r="AX487" i="6"/>
  <c r="AY487" i="6"/>
  <c r="BC487" i="6" s="1"/>
  <c r="AX228" i="6"/>
  <c r="BA228" i="6"/>
  <c r="AZ228" i="6" s="1"/>
  <c r="AY228" i="6"/>
  <c r="BC228" i="6" s="1"/>
  <c r="AX1425" i="6"/>
  <c r="AX664" i="6"/>
  <c r="BA664" i="6"/>
  <c r="AZ664" i="6" s="1"/>
  <c r="AX496" i="6"/>
  <c r="BA496" i="6"/>
  <c r="AZ496" i="6" s="1"/>
  <c r="AX229" i="6"/>
  <c r="AY229" i="6"/>
  <c r="BC229" i="6" s="1"/>
  <c r="BA229" i="6"/>
  <c r="AZ229" i="6" s="1"/>
  <c r="AX817" i="6"/>
  <c r="AY817" i="6"/>
  <c r="BC817" i="6" s="1"/>
  <c r="BA817" i="6"/>
  <c r="AZ817" i="6" s="1"/>
  <c r="BA1394" i="6"/>
  <c r="AZ1394" i="6" s="1"/>
  <c r="AY1394" i="6"/>
  <c r="BC1394" i="6" s="1"/>
  <c r="AX1394" i="6"/>
  <c r="AX325" i="6"/>
  <c r="BA325" i="6"/>
  <c r="AZ325" i="6" s="1"/>
  <c r="AY325" i="6"/>
  <c r="BC325" i="6" s="1"/>
  <c r="BA1171" i="6"/>
  <c r="AZ1171" i="6" s="1"/>
  <c r="BA1016" i="6"/>
  <c r="AZ1016" i="6" s="1"/>
  <c r="AY1016" i="6"/>
  <c r="BC1016" i="6" s="1"/>
  <c r="AX1016" i="6"/>
  <c r="AX1555" i="6"/>
  <c r="AX529" i="6"/>
  <c r="BA529" i="6"/>
  <c r="AZ529" i="6" s="1"/>
  <c r="AY529" i="6"/>
  <c r="BC529" i="6" s="1"/>
  <c r="BA1454" i="6"/>
  <c r="AZ1454" i="6" s="1"/>
  <c r="AY1454" i="6"/>
  <c r="BC1454" i="6" s="1"/>
  <c r="AX1454" i="6"/>
  <c r="BA495" i="6"/>
  <c r="AZ495" i="6" s="1"/>
  <c r="AY1555" i="6"/>
  <c r="BC1555" i="6" s="1"/>
  <c r="AX1427" i="6"/>
  <c r="BA1427" i="6"/>
  <c r="AZ1427" i="6" s="1"/>
  <c r="BA810" i="6"/>
  <c r="AZ810" i="6" s="1"/>
  <c r="BA359" i="6"/>
  <c r="AZ359" i="6" s="1"/>
  <c r="AX359" i="6"/>
  <c r="BA459" i="6"/>
  <c r="AZ459" i="6" s="1"/>
  <c r="AY459" i="6"/>
  <c r="BC459" i="6" s="1"/>
  <c r="AX459" i="6"/>
  <c r="AY341" i="6"/>
  <c r="BC341" i="6" s="1"/>
  <c r="AX341" i="6"/>
  <c r="AX106" i="6"/>
  <c r="AY106" i="6"/>
  <c r="BC106" i="6" s="1"/>
  <c r="BA488" i="6"/>
  <c r="AZ488" i="6" s="1"/>
  <c r="AY488" i="6"/>
  <c r="BC488" i="6" s="1"/>
  <c r="AX488" i="6"/>
  <c r="BA392" i="6"/>
  <c r="AZ392" i="6" s="1"/>
  <c r="AY392" i="6"/>
  <c r="BC392" i="6" s="1"/>
  <c r="AX392" i="6"/>
  <c r="BA489" i="6"/>
  <c r="AZ489" i="6" s="1"/>
  <c r="AX489" i="6"/>
  <c r="AY489" i="6"/>
  <c r="BC489" i="6" s="1"/>
  <c r="BA342" i="6"/>
  <c r="AZ342" i="6" s="1"/>
  <c r="AX342" i="6"/>
  <c r="AY342" i="6"/>
  <c r="BC342" i="6" s="1"/>
  <c r="BA1180" i="6"/>
  <c r="AZ1180" i="6" s="1"/>
  <c r="AX1180" i="6"/>
  <c r="AY1180" i="6"/>
  <c r="BC1180" i="6" s="1"/>
  <c r="AX442" i="6"/>
  <c r="BA442" i="6"/>
  <c r="AZ442" i="6" s="1"/>
  <c r="AY442" i="6"/>
  <c r="BC442" i="6" s="1"/>
  <c r="AX1588" i="6"/>
  <c r="BA1588" i="6"/>
  <c r="AZ1588" i="6" s="1"/>
  <c r="AX1208" i="6"/>
  <c r="BA1208" i="6"/>
  <c r="AZ1208" i="6" s="1"/>
  <c r="AY353" i="6"/>
  <c r="BC353" i="6" s="1"/>
  <c r="AX353" i="6"/>
  <c r="AY1588" i="6"/>
  <c r="BC1588" i="6" s="1"/>
  <c r="AY1208" i="6"/>
  <c r="BC1208" i="6" s="1"/>
  <c r="BA353" i="6"/>
  <c r="AZ353" i="6" s="1"/>
  <c r="AY1055" i="6"/>
  <c r="BC1055" i="6" s="1"/>
  <c r="AX1055" i="6"/>
  <c r="BA1055" i="6"/>
  <c r="AZ1055" i="6" s="1"/>
  <c r="AY1087" i="6"/>
  <c r="BC1087" i="6" s="1"/>
  <c r="AX1087" i="6"/>
  <c r="BA1087" i="6"/>
  <c r="AZ1087" i="6" s="1"/>
  <c r="BA1246" i="6"/>
  <c r="AZ1246" i="6" s="1"/>
  <c r="AX1246" i="6"/>
  <c r="BA248" i="6"/>
  <c r="AZ248" i="6" s="1"/>
  <c r="AX248" i="6"/>
  <c r="AY1453" i="6"/>
  <c r="BC1453" i="6" s="1"/>
  <c r="BA1453" i="6"/>
  <c r="AZ1453" i="6" s="1"/>
  <c r="AX1453" i="6"/>
  <c r="AY1451" i="6"/>
  <c r="BC1451" i="6" s="1"/>
  <c r="BA1451" i="6"/>
  <c r="AZ1451" i="6" s="1"/>
  <c r="AX1451" i="6"/>
  <c r="BA490" i="6"/>
  <c r="AZ490" i="6" s="1"/>
  <c r="AY490" i="6"/>
  <c r="BC490" i="6" s="1"/>
  <c r="AX490" i="6"/>
  <c r="AX1047" i="6"/>
  <c r="BA766" i="6"/>
  <c r="AZ766" i="6" s="1"/>
  <c r="AY766" i="6"/>
  <c r="BC766" i="6" s="1"/>
  <c r="AX766" i="6"/>
  <c r="AX243" i="6"/>
  <c r="BA243" i="6"/>
  <c r="AZ243" i="6" s="1"/>
  <c r="AY243" i="6"/>
  <c r="BC243" i="6" s="1"/>
  <c r="AX166" i="6"/>
  <c r="BA166" i="6"/>
  <c r="AZ166" i="6" s="1"/>
  <c r="AY166" i="6"/>
  <c r="BC166" i="6" s="1"/>
  <c r="AY560" i="6"/>
  <c r="BC560" i="6" s="1"/>
  <c r="BA560" i="6"/>
  <c r="AZ560" i="6" s="1"/>
  <c r="AX560" i="6"/>
  <c r="AX1592" i="6"/>
  <c r="BA1592" i="6"/>
  <c r="AZ1592" i="6" s="1"/>
  <c r="BA247" i="6"/>
  <c r="AZ247" i="6" s="1"/>
  <c r="AY247" i="6"/>
  <c r="BC247" i="6" s="1"/>
  <c r="AX247" i="6"/>
  <c r="AX589" i="6"/>
  <c r="BA589" i="6"/>
  <c r="AZ589" i="6" s="1"/>
  <c r="AY589" i="6"/>
  <c r="BC589" i="6" s="1"/>
  <c r="BA1375" i="6"/>
  <c r="AZ1375" i="6" s="1"/>
  <c r="AX1375" i="6"/>
  <c r="BA91" i="6"/>
  <c r="AZ91" i="6" s="1"/>
  <c r="AX91" i="6"/>
  <c r="BA1046" i="6"/>
  <c r="AZ1046" i="6" s="1"/>
  <c r="AY1046" i="6"/>
  <c r="BC1046" i="6" s="1"/>
  <c r="AX1046" i="6"/>
  <c r="AY1592" i="6"/>
  <c r="BC1592" i="6" s="1"/>
  <c r="BA53" i="6"/>
  <c r="AZ53" i="6" s="1"/>
  <c r="AY53" i="6"/>
  <c r="BC53" i="6" s="1"/>
  <c r="AX53" i="6"/>
  <c r="BA938" i="6"/>
  <c r="AZ938" i="6" s="1"/>
  <c r="AY938" i="6"/>
  <c r="BC938" i="6" s="1"/>
  <c r="AX779" i="6"/>
  <c r="AX1658" i="6"/>
  <c r="AY779" i="6"/>
  <c r="BC779" i="6" s="1"/>
  <c r="BA1658" i="6"/>
  <c r="AZ1658" i="6" s="1"/>
  <c r="BA289" i="6"/>
  <c r="AZ289" i="6" s="1"/>
  <c r="AY289" i="6"/>
  <c r="BC289" i="6" s="1"/>
  <c r="AX289" i="6"/>
  <c r="BA650" i="6"/>
  <c r="AZ650" i="6" s="1"/>
  <c r="AX650" i="6"/>
  <c r="AY650" i="6"/>
  <c r="BC650" i="6" s="1"/>
  <c r="BA659" i="6"/>
  <c r="AZ659" i="6" s="1"/>
  <c r="AY659" i="6"/>
  <c r="BC659" i="6" s="1"/>
  <c r="AX659" i="6"/>
  <c r="BA1530" i="6"/>
  <c r="AZ1530" i="6" s="1"/>
  <c r="AY1530" i="6"/>
  <c r="BC1530" i="6" s="1"/>
  <c r="AX1530" i="6"/>
  <c r="BA265" i="6"/>
  <c r="AZ265" i="6" s="1"/>
  <c r="AY265" i="6"/>
  <c r="BC265" i="6" s="1"/>
  <c r="AX265" i="6"/>
  <c r="AX217" i="6"/>
  <c r="BA217" i="6"/>
  <c r="AZ217" i="6" s="1"/>
  <c r="AY217" i="6"/>
  <c r="BC217" i="6" s="1"/>
  <c r="BA657" i="6"/>
  <c r="AZ657" i="6" s="1"/>
  <c r="AX657" i="6"/>
  <c r="AY657" i="6"/>
  <c r="BC657" i="6" s="1"/>
  <c r="BA270" i="6"/>
  <c r="AZ270" i="6" s="1"/>
  <c r="AY270" i="6"/>
  <c r="BC270" i="6" s="1"/>
  <c r="AX270" i="6"/>
  <c r="BA685" i="6"/>
  <c r="AZ685" i="6" s="1"/>
  <c r="AX685" i="6"/>
  <c r="AY685" i="6"/>
  <c r="BC685" i="6" s="1"/>
  <c r="AX292" i="6"/>
  <c r="BA292" i="6"/>
  <c r="AZ292" i="6" s="1"/>
  <c r="AY292" i="6"/>
  <c r="BC292" i="6" s="1"/>
  <c r="BA1030" i="6"/>
  <c r="AZ1030" i="6" s="1"/>
  <c r="AY1030" i="6"/>
  <c r="BC1030" i="6" s="1"/>
  <c r="AX1030" i="6"/>
  <c r="AX14" i="6"/>
  <c r="BA14" i="6"/>
  <c r="AZ14" i="6" s="1"/>
  <c r="AY14" i="6"/>
  <c r="BC14" i="6" s="1"/>
  <c r="BA862" i="6"/>
  <c r="AZ862" i="6" s="1"/>
  <c r="AY862" i="6"/>
  <c r="BC862" i="6" s="1"/>
  <c r="AX862" i="6"/>
  <c r="AY410" i="6"/>
  <c r="BC410" i="6" s="1"/>
  <c r="AX410" i="6"/>
  <c r="BA410" i="6"/>
  <c r="AZ410" i="6" s="1"/>
  <c r="BA986" i="6"/>
  <c r="AZ986" i="6" s="1"/>
  <c r="AY986" i="6"/>
  <c r="BC986" i="6" s="1"/>
  <c r="AX986" i="6"/>
  <c r="BA1708" i="6"/>
  <c r="AZ1708" i="6" s="1"/>
  <c r="AY1708" i="6"/>
  <c r="BC1708" i="6" s="1"/>
  <c r="AX1708" i="6"/>
  <c r="BA731" i="6"/>
  <c r="AZ731" i="6" s="1"/>
  <c r="AY731" i="6"/>
  <c r="BC731" i="6" s="1"/>
  <c r="AX731" i="6"/>
  <c r="BA1707" i="6"/>
  <c r="AZ1707" i="6" s="1"/>
  <c r="AY1707" i="6"/>
  <c r="BC1707" i="6" s="1"/>
  <c r="AX1707" i="6"/>
  <c r="BA1090" i="6"/>
  <c r="AZ1090" i="6" s="1"/>
  <c r="AY1090" i="6"/>
  <c r="BC1090" i="6" s="1"/>
  <c r="AX1090" i="6"/>
  <c r="AX1378" i="6"/>
  <c r="BA1378" i="6"/>
  <c r="AZ1378" i="6" s="1"/>
  <c r="AY1378" i="6"/>
  <c r="BC1378" i="6" s="1"/>
  <c r="AX734" i="6"/>
  <c r="AX1466" i="6"/>
  <c r="BA807" i="6"/>
  <c r="AZ807" i="6" s="1"/>
  <c r="AY807" i="6"/>
  <c r="BC807" i="6" s="1"/>
  <c r="AX807" i="6"/>
  <c r="BA517" i="6"/>
  <c r="AZ517" i="6" s="1"/>
  <c r="AY517" i="6"/>
  <c r="BC517" i="6" s="1"/>
  <c r="AX517" i="6"/>
  <c r="BA934" i="6"/>
  <c r="AZ934" i="6" s="1"/>
  <c r="AY934" i="6"/>
  <c r="BC934" i="6" s="1"/>
  <c r="AX934" i="6"/>
  <c r="AY734" i="6"/>
  <c r="BC734" i="6" s="1"/>
  <c r="AY1357" i="6"/>
  <c r="BC1357" i="6" s="1"/>
  <c r="BA961" i="6"/>
  <c r="AZ961" i="6" s="1"/>
  <c r="AY961" i="6"/>
  <c r="BC961" i="6" s="1"/>
  <c r="BA559" i="6"/>
  <c r="AZ559" i="6" s="1"/>
  <c r="AY559" i="6"/>
  <c r="BC559" i="6" s="1"/>
  <c r="AX611" i="6"/>
  <c r="BA611" i="6"/>
  <c r="AZ611" i="6" s="1"/>
  <c r="AY621" i="6"/>
  <c r="BC621" i="6" s="1"/>
  <c r="AX621" i="6"/>
  <c r="BA621" i="6"/>
  <c r="AZ621" i="6" s="1"/>
  <c r="BA1669" i="6"/>
  <c r="AZ1669" i="6" s="1"/>
  <c r="AY1669" i="6"/>
  <c r="BC1669" i="6" s="1"/>
  <c r="AX1669" i="6"/>
  <c r="BA798" i="6"/>
  <c r="AZ798" i="6" s="1"/>
  <c r="AY798" i="6"/>
  <c r="BC798" i="6" s="1"/>
  <c r="AX798" i="6"/>
  <c r="AX1376" i="6"/>
  <c r="BA515" i="6"/>
  <c r="AZ515" i="6" s="1"/>
  <c r="AY515" i="6"/>
  <c r="BC515" i="6" s="1"/>
  <c r="BA350" i="6"/>
  <c r="AZ350" i="6" s="1"/>
  <c r="AY350" i="6"/>
  <c r="BC350" i="6" s="1"/>
  <c r="BA608" i="6"/>
  <c r="AZ608" i="6" s="1"/>
  <c r="AY608" i="6"/>
  <c r="BC608" i="6" s="1"/>
  <c r="AY617" i="6"/>
  <c r="BC617" i="6" s="1"/>
  <c r="BA617" i="6"/>
  <c r="AZ617" i="6" s="1"/>
  <c r="AX617" i="6"/>
  <c r="BA884" i="6"/>
  <c r="AZ884" i="6" s="1"/>
  <c r="AY884" i="6"/>
  <c r="BC884" i="6" s="1"/>
  <c r="AX884" i="6"/>
  <c r="BA198" i="6"/>
  <c r="AZ198" i="6" s="1"/>
  <c r="AY198" i="6"/>
  <c r="BC198" i="6" s="1"/>
  <c r="AX198" i="6"/>
  <c r="BA1642" i="6"/>
  <c r="AZ1642" i="6" s="1"/>
  <c r="AY1642" i="6"/>
  <c r="BC1642" i="6" s="1"/>
  <c r="AX1642" i="6"/>
  <c r="BA1280" i="6"/>
  <c r="AZ1280" i="6" s="1"/>
  <c r="AY1280" i="6"/>
  <c r="BC1280" i="6" s="1"/>
  <c r="AX1280" i="6"/>
  <c r="AY1376" i="6"/>
  <c r="BC1376" i="6" s="1"/>
  <c r="AX958" i="6"/>
  <c r="AX515" i="6"/>
  <c r="AX350" i="6"/>
  <c r="AX608" i="6"/>
  <c r="BA714" i="6"/>
  <c r="AZ714" i="6" s="1"/>
  <c r="AY714" i="6"/>
  <c r="BC714" i="6" s="1"/>
  <c r="AX714" i="6"/>
  <c r="BA1565" i="6"/>
  <c r="AZ1565" i="6" s="1"/>
  <c r="AY1565" i="6"/>
  <c r="BC1565" i="6" s="1"/>
  <c r="BA607" i="6"/>
  <c r="AZ607" i="6" s="1"/>
  <c r="AY607" i="6"/>
  <c r="BC607" i="6" s="1"/>
  <c r="AY612" i="6"/>
  <c r="BC612" i="6" s="1"/>
  <c r="AX612" i="6"/>
  <c r="BA612" i="6"/>
  <c r="AZ612" i="6" s="1"/>
  <c r="BA681" i="6"/>
  <c r="AZ681" i="6" s="1"/>
  <c r="AY681" i="6"/>
  <c r="BC681" i="6" s="1"/>
  <c r="AX681" i="6"/>
  <c r="BA1381" i="6"/>
  <c r="AZ1381" i="6" s="1"/>
  <c r="AY1381" i="6"/>
  <c r="BC1381" i="6" s="1"/>
  <c r="AX642" i="6"/>
  <c r="AX647" i="6"/>
  <c r="AX1381" i="6"/>
  <c r="BA1606" i="6"/>
  <c r="AZ1606" i="6" s="1"/>
  <c r="AY1606" i="6"/>
  <c r="BC1606" i="6" s="1"/>
  <c r="AX1606" i="6"/>
  <c r="AX1565" i="6"/>
  <c r="BA557" i="6"/>
  <c r="AZ557" i="6" s="1"/>
  <c r="AY557" i="6"/>
  <c r="BC557" i="6" s="1"/>
  <c r="AX557" i="6"/>
  <c r="AX607" i="6"/>
  <c r="BA609" i="6"/>
  <c r="AZ609" i="6" s="1"/>
  <c r="AY609" i="6"/>
  <c r="BC609" i="6" s="1"/>
  <c r="AX609" i="6"/>
  <c r="BA613" i="6"/>
  <c r="AZ613" i="6" s="1"/>
  <c r="AY613" i="6"/>
  <c r="BC613" i="6" s="1"/>
  <c r="AX613" i="6"/>
  <c r="AX605" i="6"/>
  <c r="BA605" i="6"/>
  <c r="AZ605" i="6" s="1"/>
  <c r="BA618" i="6"/>
  <c r="AZ618" i="6" s="1"/>
  <c r="BA1062" i="6"/>
  <c r="AZ1062" i="6" s="1"/>
  <c r="AY1062" i="6"/>
  <c r="BC1062" i="6" s="1"/>
  <c r="AX1062" i="6"/>
  <c r="BA191" i="6"/>
  <c r="AZ191" i="6" s="1"/>
  <c r="AY191" i="6"/>
  <c r="BC191" i="6" s="1"/>
  <c r="AX191" i="6"/>
  <c r="BA729" i="6"/>
  <c r="AZ729" i="6" s="1"/>
  <c r="AY729" i="6"/>
  <c r="BC729" i="6" s="1"/>
  <c r="AX729" i="6"/>
  <c r="BA683" i="6"/>
  <c r="AZ683" i="6" s="1"/>
  <c r="AY683" i="6"/>
  <c r="BC683" i="6" s="1"/>
  <c r="AX683" i="6"/>
  <c r="BA1040" i="6"/>
  <c r="AZ1040" i="6" s="1"/>
  <c r="AY1040" i="6"/>
  <c r="BC1040" i="6" s="1"/>
  <c r="AX1040" i="6"/>
  <c r="BA1490" i="6"/>
  <c r="AZ1490" i="6" s="1"/>
  <c r="AY1490" i="6"/>
  <c r="BC1490" i="6" s="1"/>
  <c r="AX1490" i="6"/>
  <c r="BA197" i="6"/>
  <c r="AZ197" i="6" s="1"/>
  <c r="AY197" i="6"/>
  <c r="BC197" i="6" s="1"/>
  <c r="AX197" i="6"/>
  <c r="BA1325" i="6"/>
  <c r="AZ1325" i="6" s="1"/>
  <c r="AY1325" i="6"/>
  <c r="BC1325" i="6" s="1"/>
  <c r="AX1325" i="6"/>
  <c r="BA343" i="6"/>
  <c r="AZ343" i="6" s="1"/>
  <c r="AY343" i="6"/>
  <c r="BC343" i="6" s="1"/>
  <c r="AX343" i="6"/>
  <c r="BA674" i="6"/>
  <c r="AZ674" i="6" s="1"/>
  <c r="AY674" i="6"/>
  <c r="BC674" i="6" s="1"/>
  <c r="AX674" i="6"/>
  <c r="BA196" i="6"/>
  <c r="AZ196" i="6" s="1"/>
  <c r="AY196" i="6"/>
  <c r="BC196" i="6" s="1"/>
  <c r="AX196" i="6"/>
  <c r="BA1283" i="6"/>
  <c r="AZ1283" i="6" s="1"/>
  <c r="AY1283" i="6"/>
  <c r="BC1283" i="6" s="1"/>
  <c r="AX1283" i="6"/>
  <c r="BA885" i="6"/>
  <c r="AZ885" i="6" s="1"/>
  <c r="AY885" i="6"/>
  <c r="BC885" i="6" s="1"/>
  <c r="AX885" i="6"/>
  <c r="BA595" i="6"/>
  <c r="AZ595" i="6" s="1"/>
  <c r="AY595" i="6"/>
  <c r="BC595" i="6" s="1"/>
  <c r="AX595" i="6"/>
  <c r="BA193" i="6"/>
  <c r="AZ193" i="6" s="1"/>
  <c r="AY193" i="6"/>
  <c r="BC193" i="6" s="1"/>
  <c r="AX193" i="6"/>
  <c r="BA1291" i="6"/>
  <c r="AZ1291" i="6" s="1"/>
  <c r="AY1291" i="6"/>
  <c r="BC1291" i="6" s="1"/>
  <c r="AX1291" i="6"/>
  <c r="BA1319" i="6"/>
  <c r="AZ1319" i="6" s="1"/>
  <c r="AY1319" i="6"/>
  <c r="BC1319" i="6" s="1"/>
  <c r="AX1319" i="6"/>
  <c r="BA777" i="6"/>
  <c r="AZ777" i="6" s="1"/>
  <c r="AY777" i="6"/>
  <c r="BC777" i="6" s="1"/>
  <c r="AX777" i="6"/>
  <c r="BA1573" i="6"/>
  <c r="AZ1573" i="6" s="1"/>
  <c r="AY1573" i="6"/>
  <c r="BC1573" i="6" s="1"/>
  <c r="AX1573" i="6"/>
  <c r="AX1057" i="6"/>
  <c r="BA1057" i="6"/>
  <c r="AZ1057" i="6" s="1"/>
  <c r="BA656" i="6"/>
  <c r="AZ656" i="6" s="1"/>
  <c r="AY656" i="6"/>
  <c r="BC656" i="6" s="1"/>
  <c r="AX656" i="6"/>
  <c r="BA1239" i="6"/>
  <c r="AZ1239" i="6" s="1"/>
  <c r="AY1239" i="6"/>
  <c r="BC1239" i="6" s="1"/>
  <c r="AX1239" i="6"/>
  <c r="BA1328" i="6"/>
  <c r="AZ1328" i="6" s="1"/>
  <c r="AY1328" i="6"/>
  <c r="BC1328" i="6" s="1"/>
  <c r="AX1328" i="6"/>
  <c r="BA624" i="6"/>
  <c r="AZ624" i="6" s="1"/>
  <c r="AY624" i="6"/>
  <c r="BC624" i="6" s="1"/>
  <c r="AX624" i="6"/>
  <c r="AY1057" i="6"/>
  <c r="BC1057" i="6" s="1"/>
  <c r="BA1060" i="6"/>
  <c r="AZ1060" i="6" s="1"/>
  <c r="AY1060" i="6"/>
  <c r="BC1060" i="6" s="1"/>
  <c r="AX1060" i="6"/>
  <c r="BA194" i="6"/>
  <c r="AZ194" i="6" s="1"/>
  <c r="AY194" i="6"/>
  <c r="BC194" i="6" s="1"/>
  <c r="AX194" i="6"/>
  <c r="BA1644" i="6"/>
  <c r="AZ1644" i="6" s="1"/>
  <c r="AY1644" i="6"/>
  <c r="BC1644" i="6" s="1"/>
  <c r="AX1644" i="6"/>
  <c r="BA749" i="6"/>
  <c r="AZ749" i="6" s="1"/>
  <c r="AY749" i="6"/>
  <c r="BC749" i="6" s="1"/>
  <c r="AX749" i="6"/>
  <c r="BA667" i="6"/>
  <c r="AZ667" i="6" s="1"/>
  <c r="AY667" i="6"/>
  <c r="BC667" i="6" s="1"/>
  <c r="AX667" i="6"/>
  <c r="BA337" i="6"/>
  <c r="AZ337" i="6" s="1"/>
  <c r="AY337" i="6"/>
  <c r="BC337" i="6" s="1"/>
  <c r="AX337" i="6"/>
  <c r="AY618" i="6"/>
  <c r="BC618" i="6" s="1"/>
  <c r="BA195" i="6"/>
  <c r="AZ195" i="6" s="1"/>
  <c r="AY195" i="6"/>
  <c r="BC195" i="6" s="1"/>
  <c r="AX195" i="6"/>
  <c r="BA317" i="6"/>
  <c r="AZ317" i="6" s="1"/>
  <c r="AY317" i="6"/>
  <c r="BC317" i="6" s="1"/>
  <c r="AX317" i="6"/>
  <c r="BA326" i="6"/>
  <c r="AZ326" i="6" s="1"/>
  <c r="AY326" i="6"/>
  <c r="BC326" i="6" s="1"/>
  <c r="AX326" i="6"/>
  <c r="AD1" i="6" l="1"/>
  <c r="AV1409" i="6" l="1"/>
  <c r="AW1409" i="6" s="1" a="1"/>
  <c r="AW1409" i="6" s="1"/>
  <c r="AV1066" i="6"/>
  <c r="AW1066" i="6" s="1" a="1"/>
  <c r="AW1066" i="6" s="1"/>
  <c r="AV764" i="6"/>
  <c r="AW764" i="6" s="1" a="1"/>
  <c r="AW764" i="6" s="1"/>
  <c r="AV1735" i="6"/>
  <c r="AW1735" i="6" s="1" a="1"/>
  <c r="AW1735" i="6" s="1"/>
  <c r="AV157" i="6"/>
  <c r="AW157" i="6" s="1" a="1"/>
  <c r="AW157" i="6" s="1"/>
  <c r="AV858" i="6"/>
  <c r="AW858" i="6" s="1" a="1"/>
  <c r="AW858" i="6" s="1"/>
  <c r="AV1042" i="6"/>
  <c r="AW1042" i="6" s="1" a="1"/>
  <c r="AW1042" i="6" s="1"/>
  <c r="AY1042" i="6" s="1"/>
  <c r="BC1042" i="6" s="1"/>
  <c r="AV675" i="6"/>
  <c r="AW675" i="6" s="1" a="1"/>
  <c r="AW675" i="6" s="1"/>
  <c r="AV374" i="6"/>
  <c r="AW374" i="6" s="1" a="1"/>
  <c r="AW374" i="6" s="1"/>
  <c r="AY374" i="6" s="1"/>
  <c r="BC374" i="6" s="1"/>
  <c r="AV1722" i="6"/>
  <c r="AW1722" i="6" s="1" a="1"/>
  <c r="AW1722" i="6" s="1"/>
  <c r="AV987" i="6"/>
  <c r="AW987" i="6" s="1" a="1"/>
  <c r="AW987" i="6" s="1"/>
  <c r="BA987" i="6" s="1"/>
  <c r="AZ987" i="6" s="1"/>
  <c r="AV988" i="6"/>
  <c r="AW988" i="6" s="1" a="1"/>
  <c r="AW988" i="6" s="1"/>
  <c r="AV1358" i="6"/>
  <c r="AW1358" i="6" s="1" a="1"/>
  <c r="AW1358" i="6" s="1"/>
  <c r="AV969" i="6"/>
  <c r="AW969" i="6" s="1" a="1"/>
  <c r="AW969" i="6" s="1"/>
  <c r="AV533" i="6"/>
  <c r="AW533" i="6" s="1" a="1"/>
  <c r="AW533" i="6" s="1"/>
  <c r="BA533" i="6" s="1"/>
  <c r="AZ533" i="6" s="1"/>
  <c r="AV366" i="6"/>
  <c r="AW366" i="6" s="1" a="1"/>
  <c r="AW366" i="6" s="1"/>
  <c r="AV368" i="6"/>
  <c r="AW368" i="6" s="1" a="1"/>
  <c r="AW368" i="6" s="1"/>
  <c r="AY368" i="6" s="1"/>
  <c r="BC368" i="6" s="1"/>
  <c r="AV372" i="6"/>
  <c r="AW372" i="6" s="1" a="1"/>
  <c r="AW372" i="6" s="1"/>
  <c r="AX372" i="6" s="1"/>
  <c r="AV919" i="6"/>
  <c r="AW919" i="6" s="1" a="1"/>
  <c r="AW919" i="6" s="1"/>
  <c r="BA919" i="6" s="1"/>
  <c r="AZ919" i="6" s="1"/>
  <c r="AV856" i="6"/>
  <c r="AW856" i="6" s="1" a="1"/>
  <c r="AW856" i="6" s="1"/>
  <c r="AV532" i="6"/>
  <c r="AW532" i="6" s="1" a="1"/>
  <c r="AW532" i="6" s="1"/>
  <c r="AV1680" i="6"/>
  <c r="AW1680" i="6" s="1" a="1"/>
  <c r="AW1680" i="6" s="1"/>
  <c r="AX1680" i="6" s="1"/>
  <c r="AV1502" i="6"/>
  <c r="AW1502" i="6" s="1" a="1"/>
  <c r="AW1502" i="6" s="1"/>
  <c r="AV1713" i="6"/>
  <c r="AW1713" i="6" s="1" a="1"/>
  <c r="AW1713" i="6" s="1"/>
  <c r="AV794" i="6"/>
  <c r="AW794" i="6" s="1" a="1"/>
  <c r="AW794" i="6" s="1"/>
  <c r="AV1286" i="6"/>
  <c r="AW1286" i="6" s="1" a="1"/>
  <c r="AW1286" i="6" s="1"/>
  <c r="BA1286" i="6" s="1"/>
  <c r="AV733" i="6"/>
  <c r="AW733" i="6" s="1" a="1"/>
  <c r="AW733" i="6" s="1"/>
  <c r="AV1167" i="6"/>
  <c r="AW1167" i="6" s="1" a="1"/>
  <c r="AW1167" i="6" s="1"/>
  <c r="AV686" i="6"/>
  <c r="AW686" i="6" s="1" a="1"/>
  <c r="AW686" i="6" s="1"/>
  <c r="AV719" i="6"/>
  <c r="AW719" i="6" s="1" a="1"/>
  <c r="AW719" i="6" s="1"/>
  <c r="AY719" i="6" s="1"/>
  <c r="BC719" i="6" s="1"/>
  <c r="AV1679" i="6"/>
  <c r="AW1679" i="6" s="1" a="1"/>
  <c r="AW1679" i="6" s="1"/>
  <c r="AV1125" i="6"/>
  <c r="AW1125" i="6" s="1" a="1"/>
  <c r="AW1125" i="6" s="1"/>
  <c r="AV1604" i="6"/>
  <c r="AW1604" i="6" s="1" a="1"/>
  <c r="AW1604" i="6" s="1"/>
  <c r="BA1604" i="6" s="1"/>
  <c r="AZ1604" i="6" s="1"/>
  <c r="AV527" i="6"/>
  <c r="AW527" i="6" s="1" a="1"/>
  <c r="AW527" i="6" s="1"/>
  <c r="AY527" i="6" s="1"/>
  <c r="BC527" i="6" s="1"/>
  <c r="AV518" i="6"/>
  <c r="AW518" i="6" s="1" a="1"/>
  <c r="AW518" i="6" s="1"/>
  <c r="AX518" i="6" s="1"/>
  <c r="AV1261" i="6"/>
  <c r="AW1261" i="6" s="1" a="1"/>
  <c r="AW1261" i="6" s="1"/>
  <c r="AV563" i="6"/>
  <c r="AW563" i="6" s="1" a="1"/>
  <c r="AW563" i="6" s="1"/>
  <c r="AV882" i="6"/>
  <c r="AW882" i="6" s="1" a="1"/>
  <c r="AW882" i="6" s="1"/>
  <c r="AV1056" i="6"/>
  <c r="AW1056" i="6" s="1" a="1"/>
  <c r="AW1056" i="6" s="1"/>
  <c r="AV1010" i="6"/>
  <c r="AW1010" i="6" s="1" a="1"/>
  <c r="AW1010" i="6" s="1"/>
  <c r="AV146" i="6"/>
  <c r="AW146" i="6" s="1" a="1"/>
  <c r="AW146" i="6" s="1"/>
  <c r="AX146" i="6" s="1"/>
  <c r="AV373" i="6"/>
  <c r="AW373" i="6" s="1" a="1"/>
  <c r="AW373" i="6" s="1"/>
  <c r="AV1730" i="6"/>
  <c r="AW1730" i="6" s="1" a="1"/>
  <c r="AW1730" i="6" s="1"/>
  <c r="AV654" i="6"/>
  <c r="AW654" i="6" s="1" a="1"/>
  <c r="AW654" i="6" s="1"/>
  <c r="AV1732" i="6"/>
  <c r="AW1732" i="6" s="1" a="1"/>
  <c r="AW1732" i="6" s="1"/>
  <c r="AY1732" i="6" s="1"/>
  <c r="BC1732" i="6" s="1"/>
  <c r="AV900" i="6"/>
  <c r="AW900" i="6" s="1" a="1"/>
  <c r="AW900" i="6" s="1"/>
  <c r="BA900" i="6" s="1"/>
  <c r="AZ900" i="6" s="1"/>
  <c r="AV1237" i="6"/>
  <c r="AW1237" i="6" s="1" a="1"/>
  <c r="AW1237" i="6" s="1"/>
  <c r="AV1124" i="6"/>
  <c r="AW1124" i="6" s="1" a="1"/>
  <c r="AW1124" i="6" s="1"/>
  <c r="AV415" i="6"/>
  <c r="AW415" i="6" s="1" a="1"/>
  <c r="AW415" i="6" s="1"/>
  <c r="AV1097" i="6"/>
  <c r="AW1097" i="6" s="1" a="1"/>
  <c r="AW1097" i="6" s="1"/>
  <c r="AV513" i="6"/>
  <c r="AW513" i="6" s="1" a="1"/>
  <c r="AW513" i="6" s="1"/>
  <c r="BA513" i="6" s="1"/>
  <c r="AZ513" i="6" s="1"/>
  <c r="AV1500" i="6"/>
  <c r="AW1500" i="6" s="1" a="1"/>
  <c r="AW1500" i="6" s="1"/>
  <c r="AV709" i="6"/>
  <c r="AW709" i="6" s="1" a="1"/>
  <c r="AW709" i="6" s="1"/>
  <c r="AV1603" i="6"/>
  <c r="AW1603" i="6" s="1" a="1"/>
  <c r="AW1603" i="6" s="1"/>
  <c r="AV1602" i="6"/>
  <c r="AW1602" i="6" s="1" a="1"/>
  <c r="AW1602" i="6" s="1"/>
  <c r="AV1601" i="6"/>
  <c r="AW1601" i="6" s="1" a="1"/>
  <c r="AW1601" i="6" s="1"/>
  <c r="AV1126" i="6"/>
  <c r="AW1126" i="6" s="1" a="1"/>
  <c r="AW1126" i="6" s="1"/>
  <c r="AV237" i="6"/>
  <c r="AW237" i="6" s="1" a="1"/>
  <c r="AW237" i="6" s="1"/>
  <c r="AV39" i="6"/>
  <c r="AW39" i="6" s="1" a="1"/>
  <c r="AW39" i="6" s="1"/>
  <c r="AY39" i="6" s="1"/>
  <c r="BC39" i="6" s="1"/>
  <c r="AV45" i="6"/>
  <c r="AW45" i="6" s="1" a="1"/>
  <c r="AW45" i="6" s="1"/>
  <c r="AV663" i="6"/>
  <c r="AW663" i="6" s="1" a="1"/>
  <c r="AW663" i="6" s="1"/>
  <c r="AV1145" i="6"/>
  <c r="AW1145" i="6" s="1" a="1"/>
  <c r="AW1145" i="6" s="1"/>
  <c r="AX1145" i="6" s="1"/>
  <c r="AV614" i="6"/>
  <c r="AW614" i="6" s="1" a="1"/>
  <c r="AW614" i="6" s="1"/>
  <c r="AV615" i="6"/>
  <c r="AW615" i="6" s="1" a="1"/>
  <c r="AW615" i="6" s="1"/>
  <c r="AV604" i="6"/>
  <c r="AW604" i="6" s="1" a="1"/>
  <c r="AW604" i="6" s="1"/>
  <c r="AX604" i="6" s="1"/>
  <c r="AV1653" i="6"/>
  <c r="AW1653" i="6" s="1" a="1"/>
  <c r="AW1653" i="6" s="1"/>
  <c r="AV60" i="6"/>
  <c r="AW60" i="6" s="1" a="1"/>
  <c r="AW60" i="6" s="1"/>
  <c r="AV894" i="6"/>
  <c r="AW894" i="6" s="1" a="1"/>
  <c r="AW894" i="6" s="1"/>
  <c r="AY894" i="6" s="1"/>
  <c r="BC894" i="6" s="1"/>
  <c r="AV1677" i="6"/>
  <c r="AW1677" i="6" s="1" a="1"/>
  <c r="AW1677" i="6" s="1"/>
  <c r="AV651" i="6"/>
  <c r="AW651" i="6" s="1" a="1"/>
  <c r="AW651" i="6" s="1"/>
  <c r="AV1676" i="6"/>
  <c r="AW1676" i="6" s="1" a="1"/>
  <c r="AW1676" i="6" s="1"/>
  <c r="AX1676" i="6" s="1"/>
  <c r="AV1236" i="6"/>
  <c r="AW1236" i="6" s="1" a="1"/>
  <c r="AW1236" i="6" s="1"/>
  <c r="AX1236" i="6" s="1"/>
  <c r="AV1728" i="6"/>
  <c r="AW1728" i="6" s="1" a="1"/>
  <c r="AW1728" i="6" s="1"/>
  <c r="AX1728" i="6" s="1"/>
  <c r="AV590" i="6"/>
  <c r="AW590" i="6" s="1" a="1"/>
  <c r="AW590" i="6" s="1"/>
  <c r="AX590" i="6" s="1"/>
  <c r="AV627" i="6"/>
  <c r="AW627" i="6" s="1" a="1"/>
  <c r="AW627" i="6" s="1"/>
  <c r="AX627" i="6" s="1"/>
  <c r="AV485" i="6"/>
  <c r="AW485" i="6" s="1" a="1"/>
  <c r="AW485" i="6" s="1"/>
  <c r="BA485" i="6" s="1"/>
  <c r="AZ485" i="6" s="1"/>
  <c r="AV616" i="6"/>
  <c r="AW616" i="6" s="1" a="1"/>
  <c r="AW616" i="6" s="1"/>
  <c r="AV484" i="6"/>
  <c r="AW484" i="6" s="1" a="1"/>
  <c r="AW484" i="6" s="1"/>
  <c r="AX484" i="6" s="1"/>
  <c r="AV1488" i="6"/>
  <c r="AW1488" i="6" s="1" a="1"/>
  <c r="AW1488" i="6" s="1"/>
  <c r="AV486" i="6"/>
  <c r="AW486" i="6" s="1" a="1"/>
  <c r="AW486" i="6" s="1"/>
  <c r="AV755" i="6"/>
  <c r="AW755" i="6" s="1" a="1"/>
  <c r="AW755" i="6" s="1"/>
  <c r="BA755" i="6" s="1"/>
  <c r="AZ755" i="6" s="1"/>
  <c r="AV997" i="6"/>
  <c r="AW997" i="6" s="1" a="1"/>
  <c r="AW997" i="6" s="1"/>
  <c r="AV483" i="6"/>
  <c r="AW483" i="6" s="1" a="1"/>
  <c r="AW483" i="6" s="1"/>
  <c r="AV1605" i="6"/>
  <c r="AW1605" i="6" s="1" a="1"/>
  <c r="AW1605" i="6" s="1"/>
  <c r="AY1605" i="6" s="1"/>
  <c r="BC1605" i="6" s="1"/>
  <c r="AV75" i="6"/>
  <c r="AW75" i="6" s="1" a="1"/>
  <c r="AW75" i="6" s="1"/>
  <c r="AY75" i="6" s="1"/>
  <c r="BC75" i="6" s="1"/>
  <c r="AV920" i="6"/>
  <c r="AW920" i="6" s="1" a="1"/>
  <c r="AW920" i="6" s="1"/>
  <c r="AV778" i="6"/>
  <c r="AW778" i="6" s="1" a="1"/>
  <c r="AW778" i="6" s="1"/>
  <c r="AV942" i="6"/>
  <c r="AW942" i="6" s="1" a="1"/>
  <c r="AW942" i="6" s="1"/>
  <c r="AV583" i="6"/>
  <c r="AW583" i="6" s="1" a="1"/>
  <c r="AW583" i="6" s="1"/>
  <c r="AX583" i="6" s="1"/>
  <c r="AV218" i="6"/>
  <c r="AW218" i="6" s="1" a="1"/>
  <c r="AW218" i="6" s="1"/>
  <c r="AV588" i="6"/>
  <c r="AW588" i="6" s="1" a="1"/>
  <c r="AW588" i="6" s="1"/>
  <c r="AY588" i="6" s="1"/>
  <c r="BC588" i="6" s="1"/>
  <c r="AV1103" i="6"/>
  <c r="AW1103" i="6" s="1" a="1"/>
  <c r="AW1103" i="6" s="1"/>
  <c r="AY1103" i="6" s="1"/>
  <c r="BC1103" i="6" s="1"/>
  <c r="AV1492" i="6"/>
  <c r="AW1492" i="6" s="1" a="1"/>
  <c r="AW1492" i="6" s="1"/>
  <c r="AV482" i="6"/>
  <c r="AW482" i="6" s="1" a="1"/>
  <c r="AW482" i="6" s="1"/>
  <c r="AX482" i="6" s="1"/>
  <c r="AV1073" i="6"/>
  <c r="AW1073" i="6" s="1" a="1"/>
  <c r="AW1073" i="6" s="1"/>
  <c r="AX1073" i="6" s="1"/>
  <c r="AV244" i="6"/>
  <c r="AW244" i="6" s="1" a="1"/>
  <c r="AW244" i="6" s="1"/>
  <c r="AV568" i="6"/>
  <c r="AW568" i="6" s="1" a="1"/>
  <c r="AW568" i="6" s="1"/>
  <c r="AV1438" i="6"/>
  <c r="AW1438" i="6" s="1" a="1"/>
  <c r="AW1438" i="6" s="1"/>
  <c r="AV250" i="6"/>
  <c r="AW250" i="6" s="1" a="1"/>
  <c r="AW250" i="6" s="1"/>
  <c r="AV480" i="6"/>
  <c r="AW480" i="6" s="1" a="1"/>
  <c r="AW480" i="6" s="1"/>
  <c r="AY480" i="6" s="1"/>
  <c r="BC480" i="6" s="1"/>
  <c r="AV481" i="6"/>
  <c r="AW481" i="6" s="1" a="1"/>
  <c r="AW481" i="6" s="1"/>
  <c r="AX481" i="6" s="1"/>
  <c r="AV1465" i="6"/>
  <c r="AW1465" i="6" s="1" a="1"/>
  <c r="AW1465" i="6" s="1"/>
  <c r="AX1465" i="6" s="1"/>
  <c r="AV1464" i="6"/>
  <c r="AW1464" i="6" s="1" a="1"/>
  <c r="AW1464" i="6" s="1"/>
  <c r="AV1710" i="6"/>
  <c r="AW1710" i="6" s="1" a="1"/>
  <c r="AW1710" i="6" s="1"/>
  <c r="AV1721" i="6"/>
  <c r="AW1721" i="6" s="1" a="1"/>
  <c r="AW1721" i="6" s="1"/>
  <c r="AY1721" i="6" s="1"/>
  <c r="BC1721" i="6" s="1"/>
  <c r="AV1672" i="6"/>
  <c r="AW1672" i="6" s="1" a="1"/>
  <c r="AW1672" i="6" s="1"/>
  <c r="AV1380" i="6"/>
  <c r="AW1380" i="6" s="1" a="1"/>
  <c r="AW1380" i="6" s="1"/>
  <c r="AV704" i="6"/>
  <c r="AW704" i="6" s="1" a="1"/>
  <c r="AW704" i="6" s="1"/>
  <c r="AV223" i="6"/>
  <c r="AW223" i="6" s="1" a="1"/>
  <c r="AW223" i="6" s="1"/>
  <c r="AX223" i="6" s="1"/>
  <c r="AV1385" i="6"/>
  <c r="AW1385" i="6" s="1" a="1"/>
  <c r="AW1385" i="6" s="1"/>
  <c r="AY1385" i="6" s="1"/>
  <c r="BC1385" i="6" s="1"/>
  <c r="AV1594" i="6"/>
  <c r="AW1594" i="6" s="1" a="1"/>
  <c r="AW1594" i="6" s="1"/>
  <c r="AV1590" i="6"/>
  <c r="AW1590" i="6" s="1" a="1"/>
  <c r="AW1590" i="6" s="1"/>
  <c r="AV732" i="6"/>
  <c r="AW732" i="6" s="1" a="1"/>
  <c r="AW732" i="6" s="1"/>
  <c r="AV1330" i="6"/>
  <c r="AW1330" i="6" s="1" a="1"/>
  <c r="AW1330" i="6" s="1"/>
  <c r="AV1184" i="6"/>
  <c r="AW1184" i="6" s="1" a="1"/>
  <c r="AW1184" i="6" s="1"/>
  <c r="AV1508" i="6"/>
  <c r="AW1508" i="6" s="1" a="1"/>
  <c r="AW1508" i="6" s="1"/>
  <c r="BA1508" i="6" s="1"/>
  <c r="AV1186" i="6"/>
  <c r="AW1186" i="6" s="1" a="1"/>
  <c r="AW1186" i="6" s="1"/>
  <c r="AX1186" i="6" s="1"/>
  <c r="AV1185" i="6"/>
  <c r="AW1185" i="6" s="1" a="1"/>
  <c r="AW1185" i="6" s="1"/>
  <c r="AX1185" i="6" s="1"/>
  <c r="AV1187" i="6"/>
  <c r="AW1187" i="6" s="1" a="1"/>
  <c r="AW1187" i="6" s="1"/>
  <c r="AV1178" i="6"/>
  <c r="AW1178" i="6" s="1" a="1"/>
  <c r="AW1178" i="6" s="1"/>
  <c r="AV1179" i="6"/>
  <c r="AW1179" i="6" s="1" a="1"/>
  <c r="AW1179" i="6" s="1"/>
  <c r="AV1192" i="6"/>
  <c r="AW1192" i="6" s="1" a="1"/>
  <c r="AW1192" i="6" s="1"/>
  <c r="AY1192" i="6" s="1"/>
  <c r="BC1192" i="6" s="1"/>
  <c r="AV1188" i="6"/>
  <c r="AW1188" i="6" s="1" a="1"/>
  <c r="AW1188" i="6" s="1"/>
  <c r="AV1189" i="6"/>
  <c r="AW1189" i="6" s="1" a="1"/>
  <c r="AW1189" i="6" s="1"/>
  <c r="BA1189" i="6" s="1"/>
  <c r="AZ1189" i="6" s="1"/>
  <c r="AV1337" i="6"/>
  <c r="AW1337" i="6" s="1" a="1"/>
  <c r="AW1337" i="6" s="1"/>
  <c r="AV1336" i="6"/>
  <c r="AW1336" i="6" s="1" a="1"/>
  <c r="AW1336" i="6" s="1"/>
  <c r="AV1193" i="6"/>
  <c r="AW1193" i="6" s="1" a="1"/>
  <c r="AW1193" i="6" s="1"/>
  <c r="AV1333" i="6"/>
  <c r="AW1333" i="6" s="1" a="1"/>
  <c r="AW1333" i="6" s="1"/>
  <c r="AV1334" i="6"/>
  <c r="AW1334" i="6" s="1" a="1"/>
  <c r="AW1334" i="6" s="1"/>
  <c r="AV1335" i="6"/>
  <c r="AW1335" i="6" s="1" a="1"/>
  <c r="AW1335" i="6" s="1"/>
  <c r="AV471" i="6"/>
  <c r="AW471" i="6" s="1" a="1"/>
  <c r="AW471" i="6" s="1"/>
  <c r="AV1338" i="6"/>
  <c r="AW1338" i="6" s="1" a="1"/>
  <c r="AW1338" i="6" s="1"/>
  <c r="AX1338" i="6" s="1"/>
  <c r="AV1540" i="6"/>
  <c r="AW1540" i="6" s="1" a="1"/>
  <c r="AW1540" i="6" s="1"/>
  <c r="AV1543" i="6"/>
  <c r="AW1543" i="6" s="1" a="1"/>
  <c r="AW1543" i="6" s="1"/>
  <c r="AX1543" i="6" s="1"/>
  <c r="AV1194" i="6"/>
  <c r="AW1194" i="6" s="1" a="1"/>
  <c r="AW1194" i="6" s="1"/>
  <c r="BA1194" i="6" s="1"/>
  <c r="AZ1194" i="6" s="1"/>
  <c r="AV1332" i="6"/>
  <c r="AW1332" i="6" s="1" a="1"/>
  <c r="AW1332" i="6" s="1"/>
  <c r="AY1332" i="6" s="1"/>
  <c r="BC1332" i="6" s="1"/>
  <c r="AV1154" i="6"/>
  <c r="AW1154" i="6" s="1" a="1"/>
  <c r="AW1154" i="6" s="1"/>
  <c r="BA1154" i="6" s="1"/>
  <c r="AZ1154" i="6" s="1"/>
  <c r="AV6" i="6"/>
  <c r="AW6" i="6" s="1" a="1"/>
  <c r="AW6" i="6" s="1"/>
  <c r="AV676" i="6"/>
  <c r="AW676" i="6" s="1" a="1"/>
  <c r="AW676" i="6" s="1"/>
  <c r="AV672" i="6"/>
  <c r="AW672" i="6" s="1" a="1"/>
  <c r="AW672" i="6" s="1"/>
  <c r="AV752" i="6"/>
  <c r="AW752" i="6" s="1" a="1"/>
  <c r="AW752" i="6" s="1"/>
  <c r="AV1321" i="6"/>
  <c r="AW1321" i="6" s="1" a="1"/>
  <c r="AW1321" i="6" s="1"/>
  <c r="AV899" i="6"/>
  <c r="AW899" i="6" s="1" a="1"/>
  <c r="AW899" i="6" s="1"/>
  <c r="AV1155" i="6"/>
  <c r="AW1155" i="6" s="1" a="1"/>
  <c r="AW1155" i="6" s="1"/>
  <c r="AV751" i="6"/>
  <c r="AW751" i="6" s="1" a="1"/>
  <c r="AW751" i="6" s="1"/>
  <c r="AV554" i="6"/>
  <c r="AW554" i="6" s="1" a="1"/>
  <c r="AW554" i="6" s="1"/>
  <c r="AV1156" i="6"/>
  <c r="AW1156" i="6" s="1" a="1"/>
  <c r="AW1156" i="6" s="1"/>
  <c r="AV756" i="6"/>
  <c r="AW756" i="6" s="1" a="1"/>
  <c r="AW756" i="6" s="1"/>
  <c r="AV538" i="6"/>
  <c r="AW538" i="6" s="1" a="1"/>
  <c r="AW538" i="6" s="1"/>
  <c r="AV1168" i="6"/>
  <c r="AW1168" i="6" s="1" a="1"/>
  <c r="AW1168" i="6" s="1"/>
  <c r="AV51" i="6"/>
  <c r="AW51" i="6" s="1" a="1"/>
  <c r="AW51" i="6" s="1"/>
  <c r="AV721" i="6"/>
  <c r="AW721" i="6" s="1" a="1"/>
  <c r="AW721" i="6" s="1"/>
  <c r="BA721" i="6" s="1"/>
  <c r="AZ721" i="6" s="1"/>
  <c r="AV1715" i="6"/>
  <c r="AW1715" i="6" s="1" a="1"/>
  <c r="AW1715" i="6" s="1"/>
  <c r="AV1050" i="6"/>
  <c r="AW1050" i="6" s="1" a="1"/>
  <c r="AW1050" i="6" s="1"/>
  <c r="AV275" i="6"/>
  <c r="AW275" i="6" s="1" a="1"/>
  <c r="AW275" i="6" s="1"/>
  <c r="AV512" i="6"/>
  <c r="AW512" i="6" s="1" a="1"/>
  <c r="AW512" i="6" s="1"/>
  <c r="AV118" i="6"/>
  <c r="AW118" i="6" s="1" a="1"/>
  <c r="AW118" i="6" s="1"/>
  <c r="AV1172" i="6"/>
  <c r="AW1172" i="6" s="1" a="1"/>
  <c r="AW1172" i="6" s="1"/>
  <c r="AV41" i="6"/>
  <c r="AW41" i="6" s="1" a="1"/>
  <c r="AW41" i="6" s="1"/>
  <c r="AV1674" i="6"/>
  <c r="AW1674" i="6" s="1" a="1"/>
  <c r="AW1674" i="6" s="1"/>
  <c r="AV300" i="6"/>
  <c r="AW300" i="6" s="1" a="1"/>
  <c r="AW300" i="6" s="1"/>
  <c r="AV297" i="6"/>
  <c r="AW297" i="6" s="1" a="1"/>
  <c r="AW297" i="6" s="1"/>
  <c r="AX297" i="6" s="1"/>
  <c r="AV1392" i="6"/>
  <c r="AW1392" i="6" s="1" a="1"/>
  <c r="AW1392" i="6" s="1"/>
  <c r="AV793" i="6"/>
  <c r="AW793" i="6" s="1" a="1"/>
  <c r="AW793" i="6" s="1"/>
  <c r="AY793" i="6" s="1"/>
  <c r="BC793" i="6" s="1"/>
  <c r="AV792" i="6"/>
  <c r="AW792" i="6" s="1" a="1"/>
  <c r="AW792" i="6" s="1"/>
  <c r="AV790" i="6"/>
  <c r="AW790" i="6" s="1" a="1"/>
  <c r="AW790" i="6" s="1"/>
  <c r="AY790" i="6" s="1"/>
  <c r="BC790" i="6" s="1"/>
  <c r="AV791" i="6"/>
  <c r="AW791" i="6" s="1" a="1"/>
  <c r="AW791" i="6" s="1"/>
  <c r="BA791" i="6" s="1"/>
  <c r="AZ791" i="6" s="1"/>
  <c r="AV789" i="6"/>
  <c r="AW789" i="6" s="1" a="1"/>
  <c r="AW789" i="6" s="1"/>
  <c r="AY789" i="6" s="1"/>
  <c r="BC789" i="6" s="1"/>
  <c r="AV788" i="6"/>
  <c r="AW788" i="6" s="1" a="1"/>
  <c r="AW788" i="6" s="1"/>
  <c r="AV1397" i="6"/>
  <c r="AW1397" i="6" s="1" a="1"/>
  <c r="AW1397" i="6" s="1"/>
  <c r="AY1397" i="6" s="1"/>
  <c r="BC1397" i="6" s="1"/>
  <c r="AV796" i="6"/>
  <c r="AW796" i="6" s="1" a="1"/>
  <c r="AW796" i="6" s="1"/>
  <c r="AY796" i="6" s="1"/>
  <c r="BC796" i="6" s="1"/>
  <c r="AV795" i="6"/>
  <c r="AW795" i="6" s="1" a="1"/>
  <c r="AW795" i="6" s="1"/>
  <c r="BA795" i="6" s="1"/>
  <c r="AZ795" i="6" s="1"/>
  <c r="AV1389" i="6"/>
  <c r="AW1389" i="6" s="1" a="1"/>
  <c r="AW1389" i="6" s="1"/>
  <c r="AV1269" i="6"/>
  <c r="AW1269" i="6" s="1" a="1"/>
  <c r="AW1269" i="6" s="1"/>
  <c r="AV169" i="6"/>
  <c r="AW169" i="6" s="1" a="1"/>
  <c r="AW169" i="6" s="1"/>
  <c r="AV130" i="6"/>
  <c r="AW130" i="6" s="1" a="1"/>
  <c r="AW130" i="6" s="1"/>
  <c r="AV395" i="6"/>
  <c r="AW395" i="6" s="1" a="1"/>
  <c r="AW395" i="6" s="1"/>
  <c r="BA395" i="6" s="1"/>
  <c r="AV393" i="6"/>
  <c r="AW393" i="6" s="1" a="1"/>
  <c r="AW393" i="6" s="1"/>
  <c r="AV93" i="6"/>
  <c r="AW93" i="6" s="1" a="1"/>
  <c r="AW93" i="6" s="1"/>
  <c r="AV184" i="6"/>
  <c r="AW184" i="6" s="1" a="1"/>
  <c r="AW184" i="6" s="1"/>
  <c r="AV220" i="6"/>
  <c r="AW220" i="6" s="1" a="1"/>
  <c r="AW220" i="6" s="1"/>
  <c r="AX220" i="6" s="1"/>
  <c r="AV219" i="6"/>
  <c r="AW219" i="6" s="1" a="1"/>
  <c r="AW219" i="6" s="1"/>
  <c r="AV183" i="6"/>
  <c r="AW183" i="6" s="1" a="1"/>
  <c r="AW183" i="6" s="1"/>
  <c r="AZ395" i="6" l="1"/>
  <c r="AZ1508" i="6"/>
  <c r="AZ1286" i="6"/>
  <c r="X1" i="6"/>
  <c r="Y1" i="6"/>
  <c r="AX755" i="6"/>
  <c r="AY755" i="6"/>
  <c r="BC755" i="6" s="1"/>
  <c r="AX93" i="6"/>
  <c r="BA93" i="6"/>
  <c r="AZ93" i="6" s="1"/>
  <c r="BA1103" i="6"/>
  <c r="AZ1103" i="6" s="1"/>
  <c r="AY583" i="6"/>
  <c r="BC583" i="6" s="1"/>
  <c r="BA1721" i="6"/>
  <c r="AZ1721" i="6" s="1"/>
  <c r="AY1676" i="6"/>
  <c r="BC1676" i="6" s="1"/>
  <c r="AX1042" i="6"/>
  <c r="AX169" i="6"/>
  <c r="BA169" i="6"/>
  <c r="AZ169" i="6" s="1"/>
  <c r="AY393" i="6"/>
  <c r="BC393" i="6" s="1"/>
  <c r="BA393" i="6"/>
  <c r="AZ393" i="6" s="1"/>
  <c r="AY6" i="6"/>
  <c r="BC6" i="6" s="1"/>
  <c r="BA6" i="6"/>
  <c r="AZ6" i="6" s="1"/>
  <c r="AX6" i="6"/>
  <c r="AX788" i="6"/>
  <c r="BA788" i="6"/>
  <c r="AZ788" i="6" s="1"/>
  <c r="AY300" i="6"/>
  <c r="BC300" i="6" s="1"/>
  <c r="BA300" i="6"/>
  <c r="AZ300" i="6" s="1"/>
  <c r="AY1392" i="6"/>
  <c r="BC1392" i="6" s="1"/>
  <c r="AX1392" i="6"/>
  <c r="BA1392" i="6"/>
  <c r="AZ1392" i="6" s="1"/>
  <c r="BA1672" i="6"/>
  <c r="AZ1672" i="6" s="1"/>
  <c r="AX1672" i="6"/>
  <c r="AY1672" i="6"/>
  <c r="BC1672" i="6" s="1"/>
  <c r="AX1333" i="6"/>
  <c r="AY1333" i="6"/>
  <c r="BC1333" i="6" s="1"/>
  <c r="AX1332" i="6"/>
  <c r="BA1333" i="6"/>
  <c r="AZ1333" i="6" s="1"/>
  <c r="BA1332" i="6"/>
  <c r="AZ1332" i="6" s="1"/>
  <c r="AX1192" i="6"/>
  <c r="BA1192" i="6"/>
  <c r="AZ1192" i="6" s="1"/>
  <c r="AY590" i="6"/>
  <c r="BC590" i="6" s="1"/>
  <c r="AY616" i="6"/>
  <c r="BC616" i="6" s="1"/>
  <c r="AX616" i="6"/>
  <c r="BA588" i="6"/>
  <c r="AZ588" i="6" s="1"/>
  <c r="AX588" i="6"/>
  <c r="BA616" i="6"/>
  <c r="AZ616" i="6" s="1"/>
  <c r="BA1603" i="6"/>
  <c r="AZ1603" i="6" s="1"/>
  <c r="AX1603" i="6"/>
  <c r="AX563" i="6"/>
  <c r="BA563" i="6"/>
  <c r="AZ563" i="6" s="1"/>
  <c r="AX1508" i="6"/>
  <c r="AY1508" i="6"/>
  <c r="BC1508" i="6" s="1"/>
  <c r="AX1732" i="6"/>
  <c r="AY563" i="6"/>
  <c r="BC563" i="6" s="1"/>
  <c r="AX1492" i="6"/>
  <c r="BA1492" i="6"/>
  <c r="AZ1492" i="6" s="1"/>
  <c r="BA483" i="6"/>
  <c r="AZ483" i="6" s="1"/>
  <c r="AX483" i="6"/>
  <c r="AY45" i="6"/>
  <c r="BC45" i="6" s="1"/>
  <c r="AX45" i="6"/>
  <c r="AY1492" i="6"/>
  <c r="BC1492" i="6" s="1"/>
  <c r="AY1236" i="6"/>
  <c r="BC1236" i="6" s="1"/>
  <c r="BA1236" i="6"/>
  <c r="AZ1236" i="6" s="1"/>
  <c r="AY614" i="6"/>
  <c r="BC614" i="6" s="1"/>
  <c r="AX614" i="6"/>
  <c r="AX374" i="6"/>
  <c r="BA75" i="6"/>
  <c r="AZ75" i="6" s="1"/>
  <c r="AX183" i="6"/>
  <c r="BA183" i="6"/>
  <c r="AZ183" i="6" s="1"/>
  <c r="AY183" i="6"/>
  <c r="BC183" i="6" s="1"/>
  <c r="BA130" i="6"/>
  <c r="AZ130" i="6" s="1"/>
  <c r="AX130" i="6"/>
  <c r="AY130" i="6"/>
  <c r="BC130" i="6" s="1"/>
  <c r="AX1389" i="6"/>
  <c r="BA1389" i="6"/>
  <c r="AZ1389" i="6" s="1"/>
  <c r="AY1389" i="6"/>
  <c r="BC1389" i="6" s="1"/>
  <c r="AX184" i="6"/>
  <c r="BA184" i="6"/>
  <c r="AZ184" i="6" s="1"/>
  <c r="AY184" i="6"/>
  <c r="BC184" i="6" s="1"/>
  <c r="AY792" i="6"/>
  <c r="BC792" i="6" s="1"/>
  <c r="AX792" i="6"/>
  <c r="BA792" i="6"/>
  <c r="AZ792" i="6" s="1"/>
  <c r="AX219" i="6"/>
  <c r="AY219" i="6"/>
  <c r="BC219" i="6" s="1"/>
  <c r="BA219" i="6"/>
  <c r="AZ219" i="6" s="1"/>
  <c r="AX118" i="6"/>
  <c r="BA118" i="6"/>
  <c r="AZ118" i="6" s="1"/>
  <c r="AY118" i="6"/>
  <c r="BC118" i="6" s="1"/>
  <c r="BA220" i="6"/>
  <c r="AZ220" i="6" s="1"/>
  <c r="AX538" i="6"/>
  <c r="AY538" i="6"/>
  <c r="BC538" i="6" s="1"/>
  <c r="BA538" i="6"/>
  <c r="AZ538" i="6" s="1"/>
  <c r="AY93" i="6"/>
  <c r="BC93" i="6" s="1"/>
  <c r="AY169" i="6"/>
  <c r="BC169" i="6" s="1"/>
  <c r="AY788" i="6"/>
  <c r="BC788" i="6" s="1"/>
  <c r="BA297" i="6"/>
  <c r="AZ297" i="6" s="1"/>
  <c r="AY297" i="6"/>
  <c r="BC297" i="6" s="1"/>
  <c r="AX300" i="6"/>
  <c r="AX1715" i="6"/>
  <c r="BA1715" i="6"/>
  <c r="AZ1715" i="6" s="1"/>
  <c r="AY1715" i="6"/>
  <c r="BC1715" i="6" s="1"/>
  <c r="BA1269" i="6"/>
  <c r="AZ1269" i="6" s="1"/>
  <c r="AY1269" i="6"/>
  <c r="BC1269" i="6" s="1"/>
  <c r="AX790" i="6"/>
  <c r="AX793" i="6"/>
  <c r="AX393" i="6"/>
  <c r="AX395" i="6"/>
  <c r="AX1269" i="6"/>
  <c r="AX795" i="6"/>
  <c r="AX1397" i="6"/>
  <c r="AX789" i="6"/>
  <c r="AX791" i="6"/>
  <c r="BA790" i="6"/>
  <c r="AZ790" i="6" s="1"/>
  <c r="BA793" i="6"/>
  <c r="AZ793" i="6" s="1"/>
  <c r="AY395" i="6"/>
  <c r="BC395" i="6" s="1"/>
  <c r="AY795" i="6"/>
  <c r="BC795" i="6" s="1"/>
  <c r="BA789" i="6"/>
  <c r="AZ789" i="6" s="1"/>
  <c r="AY791" i="6"/>
  <c r="BC791" i="6" s="1"/>
  <c r="AX41" i="6"/>
  <c r="BA41" i="6"/>
  <c r="AZ41" i="6" s="1"/>
  <c r="BA1397" i="6"/>
  <c r="AZ1397" i="6" s="1"/>
  <c r="AY41" i="6"/>
  <c r="BC41" i="6" s="1"/>
  <c r="AY220" i="6"/>
  <c r="BC220" i="6" s="1"/>
  <c r="BA796" i="6"/>
  <c r="AZ796" i="6" s="1"/>
  <c r="AX796" i="6"/>
  <c r="AX1674" i="6"/>
  <c r="AY1674" i="6"/>
  <c r="BC1674" i="6" s="1"/>
  <c r="BA1674" i="6"/>
  <c r="AZ1674" i="6" s="1"/>
  <c r="AX1172" i="6"/>
  <c r="BA1172" i="6"/>
  <c r="AZ1172" i="6" s="1"/>
  <c r="AY1172" i="6"/>
  <c r="BC1172" i="6" s="1"/>
  <c r="AX51" i="6"/>
  <c r="AY51" i="6"/>
  <c r="BC51" i="6" s="1"/>
  <c r="AX756" i="6"/>
  <c r="AY756" i="6"/>
  <c r="BC756" i="6" s="1"/>
  <c r="AX1336" i="6"/>
  <c r="BA1336" i="6"/>
  <c r="AZ1336" i="6" s="1"/>
  <c r="AY1336" i="6"/>
  <c r="BC1336" i="6" s="1"/>
  <c r="AX1050" i="6"/>
  <c r="AY1050" i="6"/>
  <c r="BC1050" i="6" s="1"/>
  <c r="BA51" i="6"/>
  <c r="AZ51" i="6" s="1"/>
  <c r="BA756" i="6"/>
  <c r="AZ756" i="6" s="1"/>
  <c r="AX1156" i="6"/>
  <c r="BA1156" i="6"/>
  <c r="AZ1156" i="6" s="1"/>
  <c r="AY1156" i="6"/>
  <c r="BC1156" i="6" s="1"/>
  <c r="AX751" i="6"/>
  <c r="AY751" i="6"/>
  <c r="BC751" i="6" s="1"/>
  <c r="AY1155" i="6"/>
  <c r="BC1155" i="6" s="1"/>
  <c r="AX1155" i="6"/>
  <c r="BA1155" i="6"/>
  <c r="AZ1155" i="6" s="1"/>
  <c r="AY676" i="6"/>
  <c r="BC676" i="6" s="1"/>
  <c r="AX676" i="6"/>
  <c r="BA676" i="6"/>
  <c r="AZ676" i="6" s="1"/>
  <c r="BA1050" i="6"/>
  <c r="AZ1050" i="6" s="1"/>
  <c r="AX1168" i="6"/>
  <c r="BA1168" i="6"/>
  <c r="AZ1168" i="6" s="1"/>
  <c r="AY1168" i="6"/>
  <c r="BC1168" i="6" s="1"/>
  <c r="BA751" i="6"/>
  <c r="AZ751" i="6" s="1"/>
  <c r="AX721" i="6"/>
  <c r="AY721" i="6"/>
  <c r="BC721" i="6" s="1"/>
  <c r="AY899" i="6"/>
  <c r="BC899" i="6" s="1"/>
  <c r="BA899" i="6"/>
  <c r="AZ899" i="6" s="1"/>
  <c r="AX899" i="6"/>
  <c r="AX1540" i="6"/>
  <c r="AY1540" i="6"/>
  <c r="BC1540" i="6" s="1"/>
  <c r="BA1540" i="6"/>
  <c r="AZ1540" i="6" s="1"/>
  <c r="AX512" i="6"/>
  <c r="BA512" i="6"/>
  <c r="AZ512" i="6" s="1"/>
  <c r="AX554" i="6"/>
  <c r="AY554" i="6"/>
  <c r="BC554" i="6" s="1"/>
  <c r="BA554" i="6"/>
  <c r="AZ554" i="6" s="1"/>
  <c r="AY512" i="6"/>
  <c r="BC512" i="6" s="1"/>
  <c r="AY752" i="6"/>
  <c r="BC752" i="6" s="1"/>
  <c r="BA752" i="6"/>
  <c r="AZ752" i="6" s="1"/>
  <c r="AX752" i="6"/>
  <c r="AX275" i="6"/>
  <c r="AY275" i="6"/>
  <c r="BC275" i="6" s="1"/>
  <c r="BA275" i="6"/>
  <c r="AZ275" i="6" s="1"/>
  <c r="AY1321" i="6"/>
  <c r="BC1321" i="6" s="1"/>
  <c r="BA1321" i="6"/>
  <c r="AZ1321" i="6" s="1"/>
  <c r="AX1321" i="6"/>
  <c r="AY672" i="6"/>
  <c r="BC672" i="6" s="1"/>
  <c r="BA672" i="6"/>
  <c r="AZ672" i="6" s="1"/>
  <c r="AX672" i="6"/>
  <c r="AY1543" i="6"/>
  <c r="BC1543" i="6" s="1"/>
  <c r="BA1543" i="6"/>
  <c r="AZ1543" i="6" s="1"/>
  <c r="BA1338" i="6"/>
  <c r="AZ1338" i="6" s="1"/>
  <c r="AY1338" i="6"/>
  <c r="BC1338" i="6" s="1"/>
  <c r="BA1187" i="6"/>
  <c r="AZ1187" i="6" s="1"/>
  <c r="AX1187" i="6"/>
  <c r="AY1187" i="6"/>
  <c r="BC1187" i="6" s="1"/>
  <c r="AY471" i="6"/>
  <c r="BC471" i="6" s="1"/>
  <c r="AX471" i="6"/>
  <c r="BA471" i="6"/>
  <c r="AZ471" i="6" s="1"/>
  <c r="AY1154" i="6"/>
  <c r="BC1154" i="6" s="1"/>
  <c r="AX1154" i="6"/>
  <c r="AY1194" i="6"/>
  <c r="BC1194" i="6" s="1"/>
  <c r="AX1194" i="6"/>
  <c r="BA1178" i="6"/>
  <c r="AZ1178" i="6" s="1"/>
  <c r="AY1178" i="6"/>
  <c r="BC1178" i="6" s="1"/>
  <c r="AX1178" i="6"/>
  <c r="AY1167" i="6"/>
  <c r="BC1167" i="6" s="1"/>
  <c r="AX1167" i="6"/>
  <c r="BA1167" i="6"/>
  <c r="AZ1167" i="6" s="1"/>
  <c r="AX60" i="6"/>
  <c r="AY60" i="6"/>
  <c r="BC60" i="6" s="1"/>
  <c r="BA60" i="6"/>
  <c r="AZ60" i="6" s="1"/>
  <c r="BA615" i="6"/>
  <c r="AZ615" i="6" s="1"/>
  <c r="AX615" i="6"/>
  <c r="AY615" i="6"/>
  <c r="BC615" i="6" s="1"/>
  <c r="AX237" i="6"/>
  <c r="AY237" i="6"/>
  <c r="BC237" i="6" s="1"/>
  <c r="BA237" i="6"/>
  <c r="AZ237" i="6" s="1"/>
  <c r="BA1097" i="6"/>
  <c r="AZ1097" i="6" s="1"/>
  <c r="AX1097" i="6"/>
  <c r="AY1097" i="6"/>
  <c r="BC1097" i="6" s="1"/>
  <c r="AX704" i="6"/>
  <c r="AY704" i="6"/>
  <c r="BC704" i="6" s="1"/>
  <c r="BA709" i="6"/>
  <c r="AZ709" i="6" s="1"/>
  <c r="AX709" i="6"/>
  <c r="AY709" i="6"/>
  <c r="BC709" i="6" s="1"/>
  <c r="BA1335" i="6"/>
  <c r="AZ1335" i="6" s="1"/>
  <c r="AX1335" i="6"/>
  <c r="AY1335" i="6"/>
  <c r="BC1335" i="6" s="1"/>
  <c r="AY1590" i="6"/>
  <c r="BC1590" i="6" s="1"/>
  <c r="AX1590" i="6"/>
  <c r="BA1590" i="6"/>
  <c r="AZ1590" i="6" s="1"/>
  <c r="BA704" i="6"/>
  <c r="AZ704" i="6" s="1"/>
  <c r="BA778" i="6"/>
  <c r="AZ778" i="6" s="1"/>
  <c r="AY778" i="6"/>
  <c r="BC778" i="6" s="1"/>
  <c r="AX778" i="6"/>
  <c r="BA1193" i="6"/>
  <c r="AZ1193" i="6" s="1"/>
  <c r="AY1193" i="6"/>
  <c r="BC1193" i="6" s="1"/>
  <c r="AX1193" i="6"/>
  <c r="AY1179" i="6"/>
  <c r="BC1179" i="6" s="1"/>
  <c r="AX1179" i="6"/>
  <c r="BA1179" i="6"/>
  <c r="AZ1179" i="6" s="1"/>
  <c r="BA732" i="6"/>
  <c r="AZ732" i="6" s="1"/>
  <c r="AX732" i="6"/>
  <c r="AY732" i="6"/>
  <c r="BC732" i="6" s="1"/>
  <c r="AX920" i="6"/>
  <c r="BA920" i="6"/>
  <c r="AZ920" i="6" s="1"/>
  <c r="AY920" i="6"/>
  <c r="BC920" i="6" s="1"/>
  <c r="BA1334" i="6"/>
  <c r="AZ1334" i="6" s="1"/>
  <c r="AY1334" i="6"/>
  <c r="BC1334" i="6" s="1"/>
  <c r="AX1334" i="6"/>
  <c r="AX1189" i="6"/>
  <c r="AY1189" i="6"/>
  <c r="BC1189" i="6" s="1"/>
  <c r="BA1710" i="6"/>
  <c r="AZ1710" i="6" s="1"/>
  <c r="AY1710" i="6"/>
  <c r="BC1710" i="6" s="1"/>
  <c r="AX1710" i="6"/>
  <c r="BA482" i="6"/>
  <c r="AZ482" i="6" s="1"/>
  <c r="AY482" i="6"/>
  <c r="BC482" i="6" s="1"/>
  <c r="BA218" i="6"/>
  <c r="AZ218" i="6" s="1"/>
  <c r="AY218" i="6"/>
  <c r="BC218" i="6" s="1"/>
  <c r="AX218" i="6"/>
  <c r="AY415" i="6"/>
  <c r="BC415" i="6" s="1"/>
  <c r="AX415" i="6"/>
  <c r="BA415" i="6"/>
  <c r="AZ415" i="6" s="1"/>
  <c r="BA373" i="6"/>
  <c r="AZ373" i="6" s="1"/>
  <c r="AY373" i="6"/>
  <c r="BC373" i="6" s="1"/>
  <c r="AX373" i="6"/>
  <c r="AY1010" i="6"/>
  <c r="BC1010" i="6" s="1"/>
  <c r="AX1010" i="6"/>
  <c r="BA1010" i="6"/>
  <c r="AZ1010" i="6" s="1"/>
  <c r="BA1125" i="6"/>
  <c r="AZ1125" i="6" s="1"/>
  <c r="AX1125" i="6"/>
  <c r="AY1125" i="6"/>
  <c r="BC1125" i="6" s="1"/>
  <c r="BA1188" i="6"/>
  <c r="AZ1188" i="6" s="1"/>
  <c r="AY1188" i="6"/>
  <c r="BC1188" i="6" s="1"/>
  <c r="BA1330" i="6"/>
  <c r="AZ1330" i="6" s="1"/>
  <c r="AY1330" i="6"/>
  <c r="BC1330" i="6" s="1"/>
  <c r="BA1594" i="6"/>
  <c r="AZ1594" i="6" s="1"/>
  <c r="AY1594" i="6"/>
  <c r="BC1594" i="6" s="1"/>
  <c r="AX1594" i="6"/>
  <c r="BA568" i="6"/>
  <c r="AZ568" i="6" s="1"/>
  <c r="AY568" i="6"/>
  <c r="BC568" i="6" s="1"/>
  <c r="AX568" i="6"/>
  <c r="BA1601" i="6"/>
  <c r="AZ1601" i="6" s="1"/>
  <c r="AX1601" i="6"/>
  <c r="AY1601" i="6"/>
  <c r="BC1601" i="6" s="1"/>
  <c r="AY654" i="6"/>
  <c r="BC654" i="6" s="1"/>
  <c r="BA654" i="6"/>
  <c r="AZ654" i="6" s="1"/>
  <c r="AX654" i="6"/>
  <c r="AY532" i="6"/>
  <c r="BC532" i="6" s="1"/>
  <c r="BA532" i="6"/>
  <c r="AZ532" i="6" s="1"/>
  <c r="AX532" i="6"/>
  <c r="AX366" i="6"/>
  <c r="BA366" i="6"/>
  <c r="AZ366" i="6" s="1"/>
  <c r="AY366" i="6"/>
  <c r="BC366" i="6" s="1"/>
  <c r="AX1188" i="6"/>
  <c r="AY1186" i="6"/>
  <c r="BC1186" i="6" s="1"/>
  <c r="AX1330" i="6"/>
  <c r="AY485" i="6"/>
  <c r="BC485" i="6" s="1"/>
  <c r="AX485" i="6"/>
  <c r="BA1186" i="6"/>
  <c r="AZ1186" i="6" s="1"/>
  <c r="AY1184" i="6"/>
  <c r="BC1184" i="6" s="1"/>
  <c r="AX1184" i="6"/>
  <c r="BA1184" i="6"/>
  <c r="AZ1184" i="6" s="1"/>
  <c r="BA1385" i="6"/>
  <c r="AZ1385" i="6" s="1"/>
  <c r="AX1385" i="6"/>
  <c r="AX1464" i="6"/>
  <c r="BA1464" i="6"/>
  <c r="AZ1464" i="6" s="1"/>
  <c r="AY1464" i="6"/>
  <c r="BC1464" i="6" s="1"/>
  <c r="AX1438" i="6"/>
  <c r="BA1438" i="6"/>
  <c r="AZ1438" i="6" s="1"/>
  <c r="AX244" i="6"/>
  <c r="BA244" i="6"/>
  <c r="AZ244" i="6" s="1"/>
  <c r="AY244" i="6"/>
  <c r="BC244" i="6" s="1"/>
  <c r="AX486" i="6"/>
  <c r="AY486" i="6"/>
  <c r="BC486" i="6" s="1"/>
  <c r="BA1488" i="6"/>
  <c r="AZ1488" i="6" s="1"/>
  <c r="AX1488" i="6"/>
  <c r="AY1488" i="6"/>
  <c r="BC1488" i="6" s="1"/>
  <c r="BA882" i="6"/>
  <c r="AZ882" i="6" s="1"/>
  <c r="AX882" i="6"/>
  <c r="AY882" i="6"/>
  <c r="BC882" i="6" s="1"/>
  <c r="AX1713" i="6"/>
  <c r="BA1713" i="6"/>
  <c r="AZ1713" i="6" s="1"/>
  <c r="AY1713" i="6"/>
  <c r="BC1713" i="6" s="1"/>
  <c r="BA1185" i="6"/>
  <c r="AZ1185" i="6" s="1"/>
  <c r="AY1185" i="6"/>
  <c r="BC1185" i="6" s="1"/>
  <c r="BA1465" i="6"/>
  <c r="AZ1465" i="6" s="1"/>
  <c r="AY1465" i="6"/>
  <c r="BC1465" i="6" s="1"/>
  <c r="AX250" i="6"/>
  <c r="BA250" i="6"/>
  <c r="AZ250" i="6" s="1"/>
  <c r="AY250" i="6"/>
  <c r="BC250" i="6" s="1"/>
  <c r="AY1438" i="6"/>
  <c r="BC1438" i="6" s="1"/>
  <c r="BA486" i="6"/>
  <c r="AZ486" i="6" s="1"/>
  <c r="AY651" i="6"/>
  <c r="BC651" i="6" s="1"/>
  <c r="AX651" i="6"/>
  <c r="BA651" i="6"/>
  <c r="AZ651" i="6" s="1"/>
  <c r="AY1602" i="6"/>
  <c r="BC1602" i="6" s="1"/>
  <c r="AX1602" i="6"/>
  <c r="BA1602" i="6"/>
  <c r="AZ1602" i="6" s="1"/>
  <c r="AY1337" i="6"/>
  <c r="BC1337" i="6" s="1"/>
  <c r="AX1337" i="6"/>
  <c r="BA1337" i="6"/>
  <c r="AZ1337" i="6" s="1"/>
  <c r="AX1380" i="6"/>
  <c r="BA1380" i="6"/>
  <c r="AZ1380" i="6" s="1"/>
  <c r="AY1380" i="6"/>
  <c r="BC1380" i="6" s="1"/>
  <c r="AX480" i="6"/>
  <c r="BA480" i="6"/>
  <c r="AZ480" i="6" s="1"/>
  <c r="AY997" i="6"/>
  <c r="BC997" i="6" s="1"/>
  <c r="BA997" i="6"/>
  <c r="AZ997" i="6" s="1"/>
  <c r="AX997" i="6"/>
  <c r="BA1677" i="6"/>
  <c r="AZ1677" i="6" s="1"/>
  <c r="AY1677" i="6"/>
  <c r="BC1677" i="6" s="1"/>
  <c r="AX1677" i="6"/>
  <c r="AX900" i="6"/>
  <c r="AY900" i="6"/>
  <c r="BC900" i="6" s="1"/>
  <c r="AX527" i="6"/>
  <c r="BA527" i="6"/>
  <c r="AZ527" i="6" s="1"/>
  <c r="AX1286" i="6"/>
  <c r="AY1286" i="6"/>
  <c r="BC1286" i="6" s="1"/>
  <c r="BA856" i="6"/>
  <c r="AZ856" i="6" s="1"/>
  <c r="AX856" i="6"/>
  <c r="AY856" i="6"/>
  <c r="BC856" i="6" s="1"/>
  <c r="BA583" i="6"/>
  <c r="AZ583" i="6" s="1"/>
  <c r="AY483" i="6"/>
  <c r="BC483" i="6" s="1"/>
  <c r="BA590" i="6"/>
  <c r="AZ590" i="6" s="1"/>
  <c r="AX1500" i="6"/>
  <c r="AY1500" i="6"/>
  <c r="BC1500" i="6" s="1"/>
  <c r="BA1730" i="6"/>
  <c r="AZ1730" i="6" s="1"/>
  <c r="AX1730" i="6"/>
  <c r="AY1261" i="6"/>
  <c r="BC1261" i="6" s="1"/>
  <c r="BA1261" i="6"/>
  <c r="AZ1261" i="6" s="1"/>
  <c r="AX1261" i="6"/>
  <c r="BA1679" i="6"/>
  <c r="AZ1679" i="6" s="1"/>
  <c r="AX1679" i="6"/>
  <c r="AY1679" i="6"/>
  <c r="BC1679" i="6" s="1"/>
  <c r="AX75" i="6"/>
  <c r="BA484" i="6"/>
  <c r="AZ484" i="6" s="1"/>
  <c r="AY484" i="6"/>
  <c r="BC484" i="6" s="1"/>
  <c r="AY1126" i="6"/>
  <c r="BC1126" i="6" s="1"/>
  <c r="BA1126" i="6"/>
  <c r="AZ1126" i="6" s="1"/>
  <c r="BA1500" i="6"/>
  <c r="AZ1500" i="6" s="1"/>
  <c r="BA1237" i="6"/>
  <c r="AZ1237" i="6" s="1"/>
  <c r="AY1237" i="6"/>
  <c r="BC1237" i="6" s="1"/>
  <c r="AX1237" i="6"/>
  <c r="AY1730" i="6"/>
  <c r="BC1730" i="6" s="1"/>
  <c r="AY223" i="6"/>
  <c r="BC223" i="6" s="1"/>
  <c r="AX1721" i="6"/>
  <c r="AY481" i="6"/>
  <c r="BC481" i="6" s="1"/>
  <c r="AY942" i="6"/>
  <c r="BC942" i="6" s="1"/>
  <c r="BA942" i="6"/>
  <c r="AZ942" i="6" s="1"/>
  <c r="BA1653" i="6"/>
  <c r="AZ1653" i="6" s="1"/>
  <c r="AX1653" i="6"/>
  <c r="AX663" i="6"/>
  <c r="BA663" i="6"/>
  <c r="AZ663" i="6" s="1"/>
  <c r="AX1126" i="6"/>
  <c r="BA1124" i="6"/>
  <c r="AZ1124" i="6" s="1"/>
  <c r="AX1124" i="6"/>
  <c r="BA1056" i="6"/>
  <c r="AZ1056" i="6" s="1"/>
  <c r="AX1056" i="6"/>
  <c r="AY1056" i="6"/>
  <c r="BC1056" i="6" s="1"/>
  <c r="BA733" i="6"/>
  <c r="AZ733" i="6" s="1"/>
  <c r="AX733" i="6"/>
  <c r="AY1502" i="6"/>
  <c r="BC1502" i="6" s="1"/>
  <c r="AX1502" i="6"/>
  <c r="AY1073" i="6"/>
  <c r="BC1073" i="6" s="1"/>
  <c r="AX1103" i="6"/>
  <c r="AX942" i="6"/>
  <c r="BA627" i="6"/>
  <c r="AZ627" i="6" s="1"/>
  <c r="AY627" i="6"/>
  <c r="BC627" i="6" s="1"/>
  <c r="BA1676" i="6"/>
  <c r="AZ1676" i="6" s="1"/>
  <c r="AX894" i="6"/>
  <c r="AY1653" i="6"/>
  <c r="BC1653" i="6" s="1"/>
  <c r="AY663" i="6"/>
  <c r="BC663" i="6" s="1"/>
  <c r="AY1124" i="6"/>
  <c r="BC1124" i="6" s="1"/>
  <c r="BA518" i="6"/>
  <c r="AZ518" i="6" s="1"/>
  <c r="AY518" i="6"/>
  <c r="BC518" i="6" s="1"/>
  <c r="BA719" i="6"/>
  <c r="AZ719" i="6" s="1"/>
  <c r="AX719" i="6"/>
  <c r="AY733" i="6"/>
  <c r="BC733" i="6" s="1"/>
  <c r="BA1502" i="6"/>
  <c r="AZ1502" i="6" s="1"/>
  <c r="BA223" i="6"/>
  <c r="AZ223" i="6" s="1"/>
  <c r="BA481" i="6"/>
  <c r="AZ481" i="6" s="1"/>
  <c r="BA1073" i="6"/>
  <c r="AZ1073" i="6" s="1"/>
  <c r="BA1605" i="6"/>
  <c r="AZ1605" i="6" s="1"/>
  <c r="AX1605" i="6"/>
  <c r="BA1728" i="6"/>
  <c r="AZ1728" i="6" s="1"/>
  <c r="AY1728" i="6"/>
  <c r="BC1728" i="6" s="1"/>
  <c r="BA894" i="6"/>
  <c r="AZ894" i="6" s="1"/>
  <c r="AY604" i="6"/>
  <c r="BC604" i="6" s="1"/>
  <c r="BA604" i="6"/>
  <c r="AZ604" i="6" s="1"/>
  <c r="BA1145" i="6"/>
  <c r="AZ1145" i="6" s="1"/>
  <c r="AY1145" i="6"/>
  <c r="BC1145" i="6" s="1"/>
  <c r="BA614" i="6"/>
  <c r="AZ614" i="6" s="1"/>
  <c r="AY1603" i="6"/>
  <c r="BC1603" i="6" s="1"/>
  <c r="BA1732" i="6"/>
  <c r="AZ1732" i="6" s="1"/>
  <c r="AY686" i="6"/>
  <c r="BC686" i="6" s="1"/>
  <c r="BA686" i="6"/>
  <c r="AZ686" i="6" s="1"/>
  <c r="AX686" i="6"/>
  <c r="AX919" i="6"/>
  <c r="AY919" i="6"/>
  <c r="BC919" i="6" s="1"/>
  <c r="BA45" i="6"/>
  <c r="AZ45" i="6" s="1"/>
  <c r="AY1604" i="6"/>
  <c r="BC1604" i="6" s="1"/>
  <c r="AX1604" i="6"/>
  <c r="BA39" i="6"/>
  <c r="AZ39" i="6" s="1"/>
  <c r="AX39" i="6"/>
  <c r="AY513" i="6"/>
  <c r="BC513" i="6" s="1"/>
  <c r="AX513" i="6"/>
  <c r="AY146" i="6"/>
  <c r="BC146" i="6" s="1"/>
  <c r="BA146" i="6"/>
  <c r="AZ146" i="6" s="1"/>
  <c r="AY372" i="6"/>
  <c r="BC372" i="6" s="1"/>
  <c r="BA372" i="6"/>
  <c r="AZ372" i="6" s="1"/>
  <c r="BA794" i="6"/>
  <c r="AZ794" i="6" s="1"/>
  <c r="AX794" i="6"/>
  <c r="AY794" i="6"/>
  <c r="BC794" i="6" s="1"/>
  <c r="BA1680" i="6"/>
  <c r="AZ1680" i="6" s="1"/>
  <c r="AY1680" i="6"/>
  <c r="BC1680" i="6" s="1"/>
  <c r="BA368" i="6"/>
  <c r="AZ368" i="6" s="1"/>
  <c r="AX368" i="6"/>
  <c r="AY1722" i="6"/>
  <c r="BC1722" i="6" s="1"/>
  <c r="BA1722" i="6"/>
  <c r="AZ1722" i="6" s="1"/>
  <c r="AX1722" i="6"/>
  <c r="AY1735" i="6"/>
  <c r="BC1735" i="6" s="1"/>
  <c r="BA1735" i="6"/>
  <c r="AZ1735" i="6" s="1"/>
  <c r="AX1735" i="6"/>
  <c r="AY675" i="6"/>
  <c r="BC675" i="6" s="1"/>
  <c r="BA675" i="6"/>
  <c r="AZ675" i="6" s="1"/>
  <c r="AX675" i="6"/>
  <c r="AY1358" i="6"/>
  <c r="BC1358" i="6" s="1"/>
  <c r="AX1358" i="6"/>
  <c r="BA1358" i="6"/>
  <c r="AZ1358" i="6" s="1"/>
  <c r="AY987" i="6"/>
  <c r="BC987" i="6" s="1"/>
  <c r="AX987" i="6"/>
  <c r="AY969" i="6"/>
  <c r="BC969" i="6" s="1"/>
  <c r="AX969" i="6"/>
  <c r="AY858" i="6"/>
  <c r="BC858" i="6" s="1"/>
  <c r="BA858" i="6"/>
  <c r="AZ858" i="6" s="1"/>
  <c r="AX858" i="6"/>
  <c r="AY533" i="6"/>
  <c r="BC533" i="6" s="1"/>
  <c r="AX533" i="6"/>
  <c r="BA969" i="6"/>
  <c r="AZ969" i="6" s="1"/>
  <c r="AY988" i="6"/>
  <c r="BC988" i="6" s="1"/>
  <c r="BA988" i="6"/>
  <c r="AZ988" i="6" s="1"/>
  <c r="AX988" i="6"/>
  <c r="AY157" i="6"/>
  <c r="BC157" i="6" s="1"/>
  <c r="AX157" i="6"/>
  <c r="BA157" i="6"/>
  <c r="AZ157" i="6" s="1"/>
  <c r="BA374" i="6"/>
  <c r="AZ374" i="6" s="1"/>
  <c r="BA1042" i="6"/>
  <c r="AZ1042" i="6" s="1"/>
  <c r="BA1066" i="6"/>
  <c r="AZ1066" i="6" s="1"/>
  <c r="AY1066" i="6"/>
  <c r="BC1066" i="6" s="1"/>
  <c r="AX1066" i="6"/>
  <c r="BA764" i="6"/>
  <c r="AZ764" i="6" s="1"/>
  <c r="AY764" i="6"/>
  <c r="BC764" i="6" s="1"/>
  <c r="AX764" i="6"/>
  <c r="BA1409" i="6"/>
  <c r="AZ1409" i="6" s="1"/>
  <c r="AY1409" i="6"/>
  <c r="BC1409" i="6" s="1"/>
  <c r="AX1409" i="6"/>
  <c r="AF1" i="6" l="1"/>
  <c r="AA1" i="6"/>
  <c r="AE1" i="6"/>
  <c r="W132" i="2" l="1"/>
  <c r="X132" i="2" s="1"/>
  <c r="W131" i="2"/>
  <c r="X131" i="2" s="1"/>
  <c r="U125" i="2"/>
  <c r="AB118" i="2"/>
  <c r="Z118" i="2"/>
  <c r="AC118" i="2" s="1"/>
  <c r="Z117" i="2"/>
  <c r="AB116" i="2"/>
  <c r="Z116" i="2"/>
  <c r="AC116" i="2" s="1"/>
  <c r="AC115" i="2"/>
  <c r="AB115" i="2"/>
  <c r="Z115" i="2"/>
  <c r="AB114" i="2"/>
  <c r="Z114" i="2"/>
  <c r="AC114" i="2" s="1"/>
  <c r="Z113" i="2"/>
  <c r="Z112" i="2"/>
  <c r="AB112" i="2" s="1"/>
  <c r="AC112" i="2" s="1"/>
  <c r="Z111" i="2"/>
  <c r="AB111" i="2" s="1"/>
  <c r="AC111" i="2" s="1"/>
  <c r="AB110" i="2"/>
  <c r="Z110" i="2"/>
  <c r="AC110" i="2" s="1"/>
  <c r="Z109" i="2"/>
  <c r="AB108" i="2"/>
  <c r="Z108" i="2"/>
  <c r="AC108" i="2" s="1"/>
  <c r="AC107" i="2"/>
  <c r="AB107" i="2"/>
  <c r="Z107" i="2"/>
  <c r="AB106" i="2"/>
  <c r="Z106" i="2"/>
  <c r="AC106" i="2" s="1"/>
  <c r="Z105" i="2"/>
  <c r="AC104" i="2"/>
  <c r="AB104" i="2"/>
  <c r="Z104" i="2"/>
  <c r="Z103" i="2"/>
  <c r="AB103" i="2" s="1"/>
  <c r="AC103" i="2" s="1"/>
  <c r="AB102" i="2"/>
  <c r="Z102" i="2"/>
  <c r="AC102" i="2" s="1"/>
  <c r="Z98" i="2"/>
  <c r="AB97" i="2"/>
  <c r="Z97" i="2"/>
  <c r="AC97" i="2" s="1"/>
  <c r="AC96" i="2"/>
  <c r="AB96" i="2"/>
  <c r="Z96" i="2"/>
  <c r="AB95" i="2"/>
  <c r="Z95" i="2"/>
  <c r="AC95" i="2" s="1"/>
  <c r="Z94" i="2"/>
  <c r="AC93" i="2"/>
  <c r="AB93" i="2"/>
  <c r="Z93" i="2"/>
  <c r="AC92" i="2"/>
  <c r="Z92" i="2"/>
  <c r="Z91" i="2"/>
  <c r="AC87" i="2"/>
  <c r="AB87" i="2"/>
  <c r="Z87" i="2"/>
  <c r="Z86" i="2"/>
  <c r="AB86" i="2" s="1"/>
  <c r="AC86" i="2" s="1"/>
  <c r="AB85" i="2"/>
  <c r="Z85" i="2"/>
  <c r="AC85" i="2" s="1"/>
  <c r="Z84" i="2"/>
  <c r="AB83" i="2"/>
  <c r="Z83" i="2"/>
  <c r="AC83" i="2" s="1"/>
  <c r="AC82" i="2"/>
  <c r="AB82" i="2"/>
  <c r="Z82" i="2"/>
  <c r="Z81" i="2"/>
  <c r="AC81" i="2" s="1"/>
  <c r="AB80" i="2"/>
  <c r="Z80" i="2"/>
  <c r="AC80" i="2" s="1"/>
  <c r="AC76" i="2"/>
  <c r="AB76" i="2"/>
  <c r="Z76" i="2"/>
  <c r="AB75" i="2"/>
  <c r="Z75" i="2"/>
  <c r="AC75" i="2" s="1"/>
  <c r="Z74" i="2"/>
  <c r="AC73" i="2"/>
  <c r="AB73" i="2"/>
  <c r="Z73" i="2"/>
  <c r="Z72" i="2"/>
  <c r="AB72" i="2" s="1"/>
  <c r="AC72" i="2" s="1"/>
  <c r="AB71" i="2"/>
  <c r="Z71" i="2"/>
  <c r="AC71" i="2" s="1"/>
  <c r="Z70" i="2"/>
  <c r="AB69" i="2"/>
  <c r="Z69" i="2"/>
  <c r="AC69" i="2" s="1"/>
  <c r="AC68" i="2"/>
  <c r="AB68" i="2"/>
  <c r="Z68" i="2"/>
  <c r="AB67" i="2"/>
  <c r="Z67" i="2"/>
  <c r="AC67" i="2" s="1"/>
  <c r="Z66" i="2"/>
  <c r="AC65" i="2"/>
  <c r="AB65" i="2"/>
  <c r="Z65" i="2"/>
  <c r="Z64" i="2"/>
  <c r="AB64" i="2" s="1"/>
  <c r="AC64" i="2" s="1"/>
  <c r="AB63" i="2"/>
  <c r="Z63" i="2"/>
  <c r="AC63" i="2" s="1"/>
  <c r="Z62" i="2"/>
  <c r="AB61" i="2"/>
  <c r="Z61" i="2"/>
  <c r="AC61" i="2" s="1"/>
  <c r="AC58" i="2"/>
  <c r="AB58" i="2"/>
  <c r="Z58" i="2"/>
  <c r="AB57" i="2"/>
  <c r="Z57" i="2"/>
  <c r="AC57" i="2" s="1"/>
  <c r="Z56" i="2"/>
  <c r="AC55" i="2"/>
  <c r="AB55" i="2"/>
  <c r="Z55" i="2"/>
  <c r="Z54" i="2"/>
  <c r="AB54" i="2" s="1"/>
  <c r="AC54" i="2" s="1"/>
  <c r="AB53" i="2"/>
  <c r="Z53" i="2"/>
  <c r="AC53" i="2" s="1"/>
  <c r="Z52" i="2"/>
  <c r="AB51" i="2"/>
  <c r="Z51" i="2"/>
  <c r="AC51" i="2" s="1"/>
  <c r="AC50" i="2"/>
  <c r="AB50" i="2"/>
  <c r="Z50" i="2"/>
  <c r="AB49" i="2"/>
  <c r="Z49" i="2"/>
  <c r="AC49" i="2" s="1"/>
  <c r="Z48" i="2"/>
  <c r="AC47" i="2"/>
  <c r="AB47" i="2"/>
  <c r="Z47" i="2"/>
  <c r="Z46" i="2"/>
  <c r="AB46" i="2" s="1"/>
  <c r="AC46" i="2" s="1"/>
  <c r="AB45" i="2"/>
  <c r="Z45" i="2"/>
  <c r="AC45" i="2" s="1"/>
  <c r="Z44" i="2"/>
  <c r="AB43" i="2"/>
  <c r="Z43" i="2"/>
  <c r="AC43" i="2" s="1"/>
  <c r="Y42" i="2"/>
  <c r="Z42" i="2" s="1"/>
  <c r="Z41" i="2"/>
  <c r="AB41" i="2" s="1"/>
  <c r="AC41" i="2" s="1"/>
  <c r="AB40" i="2"/>
  <c r="Z40" i="2"/>
  <c r="AC40" i="2" s="1"/>
  <c r="Z39" i="2"/>
  <c r="AB38" i="2"/>
  <c r="Z38" i="2"/>
  <c r="AC38" i="2" s="1"/>
  <c r="Z37" i="2"/>
  <c r="AB37" i="2" s="1"/>
  <c r="AC37" i="2" s="1"/>
  <c r="AB36" i="2"/>
  <c r="Z36" i="2"/>
  <c r="AC36" i="2" s="1"/>
  <c r="Z35" i="2"/>
  <c r="Z34" i="2"/>
  <c r="AB34" i="2" s="1"/>
  <c r="Z31" i="2"/>
  <c r="AB31" i="2" s="1"/>
  <c r="AC31" i="2" s="1"/>
  <c r="AB30" i="2"/>
  <c r="Z30" i="2"/>
  <c r="AC30" i="2" s="1"/>
  <c r="Z29" i="2"/>
  <c r="AB28" i="2"/>
  <c r="Z28" i="2"/>
  <c r="AC28" i="2" s="1"/>
  <c r="Z27" i="2"/>
  <c r="AB27" i="2" s="1"/>
  <c r="AC27" i="2" s="1"/>
  <c r="Z24" i="2"/>
  <c r="AC24" i="2" s="1"/>
  <c r="AB23" i="2"/>
  <c r="Z23" i="2"/>
  <c r="AC23" i="2" s="1"/>
  <c r="Z22" i="2"/>
  <c r="AB22" i="2" s="1"/>
  <c r="AC22" i="2" s="1"/>
  <c r="AB21" i="2"/>
  <c r="Z21" i="2"/>
  <c r="AC21" i="2" s="1"/>
  <c r="Z20" i="2"/>
  <c r="Z19" i="2"/>
  <c r="AC19" i="2" s="1"/>
  <c r="AB18" i="2"/>
  <c r="Z18" i="2"/>
  <c r="AC18" i="2" s="1"/>
  <c r="AC17" i="2"/>
  <c r="Z17" i="2"/>
  <c r="AC16" i="2"/>
  <c r="Z16" i="2"/>
  <c r="AC15" i="2"/>
  <c r="Z15" i="2"/>
  <c r="AC14" i="2"/>
  <c r="Z14" i="2"/>
  <c r="AC13" i="2"/>
  <c r="Z13" i="2"/>
  <c r="AC12" i="2"/>
  <c r="Z12" i="2"/>
  <c r="AC11" i="2"/>
  <c r="Z11" i="2"/>
  <c r="AC10" i="2"/>
  <c r="Z10" i="2"/>
  <c r="AC9" i="2"/>
  <c r="Z9" i="2"/>
  <c r="AC8" i="2"/>
  <c r="Z8" i="2"/>
  <c r="Z7" i="2"/>
  <c r="Z6" i="2"/>
  <c r="AC6" i="2" s="1"/>
  <c r="Z5" i="2"/>
  <c r="AC5" i="2" s="1"/>
  <c r="Z4" i="2"/>
  <c r="AC4" i="2" s="1"/>
  <c r="AB3" i="2"/>
  <c r="Z3" i="2"/>
  <c r="AC3" i="2" s="1"/>
  <c r="AA1" i="2"/>
  <c r="W1" i="2"/>
  <c r="AC42" i="2" l="1"/>
  <c r="Z1" i="2"/>
  <c r="AB42" i="2"/>
  <c r="AC56" i="2"/>
  <c r="AC62" i="2"/>
  <c r="AC105" i="2"/>
  <c r="AC94" i="2"/>
  <c r="AC98" i="2"/>
  <c r="AC34" i="2"/>
  <c r="AB20" i="2"/>
  <c r="AC20" i="2" s="1"/>
  <c r="AB35" i="2"/>
  <c r="AC35" i="2" s="1"/>
  <c r="AB48" i="2"/>
  <c r="AC48" i="2" s="1"/>
  <c r="AB56" i="2"/>
  <c r="AB66" i="2"/>
  <c r="AC66" i="2" s="1"/>
  <c r="AB74" i="2"/>
  <c r="AC74" i="2" s="1"/>
  <c r="AB91" i="2"/>
  <c r="AC91" i="2" s="1"/>
  <c r="AB94" i="2"/>
  <c r="AB105" i="2"/>
  <c r="AB113" i="2"/>
  <c r="AC113" i="2" s="1"/>
  <c r="AB7" i="2"/>
  <c r="AC7" i="2" s="1"/>
  <c r="AB29" i="2"/>
  <c r="AC29" i="2" s="1"/>
  <c r="AB39" i="2"/>
  <c r="AC39" i="2" s="1"/>
  <c r="AB44" i="2"/>
  <c r="AC44" i="2" s="1"/>
  <c r="AB52" i="2"/>
  <c r="AC52" i="2" s="1"/>
  <c r="AB62" i="2"/>
  <c r="AB70" i="2"/>
  <c r="AC70" i="2" s="1"/>
  <c r="AB84" i="2"/>
  <c r="AC84" i="2" s="1"/>
  <c r="AB98" i="2"/>
  <c r="AB109" i="2"/>
  <c r="AC109" i="2" s="1"/>
  <c r="AB117" i="2"/>
  <c r="AC117" i="2" s="1"/>
  <c r="Z1" i="7" l="1"/>
  <c r="Z1" i="6"/>
  <c r="AC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Angie Lee</author>
  </authors>
  <commentList>
    <comment ref="V595" authorId="0" shapeId="0" xr:uid="{2A72E38D-815D-47DF-9597-F96AA16CB11A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<sst xmlns="http://schemas.openxmlformats.org/spreadsheetml/2006/main" count="55676" uniqueCount="5011">
  <si>
    <t>Sales</t>
  </si>
  <si>
    <t>SO</t>
  </si>
  <si>
    <t>REMARK</t>
  </si>
  <si>
    <t>Grade</t>
  </si>
  <si>
    <t>Year</t>
  </si>
  <si>
    <t>Month</t>
  </si>
  <si>
    <t>Invoice #</t>
  </si>
  <si>
    <t>Invoice Date</t>
  </si>
  <si>
    <t>Customer PO#</t>
  </si>
  <si>
    <t>Customer</t>
  </si>
  <si>
    <t>PO Date</t>
  </si>
  <si>
    <t>RDD</t>
  </si>
  <si>
    <t>Updated RDD</t>
  </si>
  <si>
    <t>Cargo release</t>
  </si>
  <si>
    <t>ETD</t>
  </si>
  <si>
    <t>ETA</t>
  </si>
  <si>
    <t>SM</t>
  </si>
  <si>
    <t>Type</t>
  </si>
  <si>
    <t>SAP Item Code</t>
  </si>
  <si>
    <t>Product Code</t>
  </si>
  <si>
    <t>Product Name</t>
  </si>
  <si>
    <t>Vendor</t>
  </si>
  <si>
    <t>kW</t>
  </si>
  <si>
    <t>kWh</t>
  </si>
  <si>
    <t>Qty</t>
  </si>
  <si>
    <t>Unit Price</t>
  </si>
  <si>
    <t>Revenue</t>
  </si>
  <si>
    <t>Tax rate</t>
  </si>
  <si>
    <t>Tax</t>
  </si>
  <si>
    <t>Total Incoming</t>
  </si>
  <si>
    <t>Incoterm</t>
  </si>
  <si>
    <t>Deposit</t>
  </si>
  <si>
    <t>Payment Term</t>
  </si>
  <si>
    <t>City</t>
  </si>
  <si>
    <t>State</t>
  </si>
  <si>
    <t>ZIP</t>
  </si>
  <si>
    <t>Country</t>
  </si>
  <si>
    <t>WH</t>
  </si>
  <si>
    <t>Tariff</t>
  </si>
  <si>
    <t>-To wait for end user's confirmation</t>
  </si>
  <si>
    <t>Anheuser Busch</t>
  </si>
  <si>
    <t>PermaCity Construction Corp.</t>
  </si>
  <si>
    <t>Jim</t>
  </si>
  <si>
    <t>RRT-4473-2400-ESS</t>
  </si>
  <si>
    <t>RRT-4473-2000</t>
  </si>
  <si>
    <t>Wungrow ST4473KWH-2000UD-MV Energy Storage System</t>
  </si>
  <si>
    <t>Sungrow</t>
  </si>
  <si>
    <t>DDP</t>
  </si>
  <si>
    <t>Per PO</t>
  </si>
  <si>
    <t>Van Nuys</t>
  </si>
  <si>
    <t>CA</t>
  </si>
  <si>
    <t>91406</t>
  </si>
  <si>
    <t>USA</t>
  </si>
  <si>
    <t>RRT-4473-2400-BATTERY-INSTALL</t>
  </si>
  <si>
    <t>Installation of Batteries</t>
  </si>
  <si>
    <t>RRT-4473-2400-DDP</t>
  </si>
  <si>
    <t>ESS Freight</t>
  </si>
  <si>
    <t>RRT-4473-2400-COMMISSIONING</t>
  </si>
  <si>
    <t>ESS commissioning Support</t>
  </si>
  <si>
    <t>RRT-556-250-ESS</t>
  </si>
  <si>
    <t>RRT-556-250</t>
  </si>
  <si>
    <t>Wungrow STKWH-UD-MV Energy Storage System</t>
  </si>
  <si>
    <t>RRT-556-250-BATTERY-INSTALL</t>
  </si>
  <si>
    <t>RRT-556-250-DDP</t>
  </si>
  <si>
    <t>RRT-556-250-COMMISSIONING</t>
  </si>
  <si>
    <t>RRT-EXWARR</t>
  </si>
  <si>
    <t>Extended Warranty</t>
  </si>
  <si>
    <t>RRT-PM</t>
  </si>
  <si>
    <t>Preventative Maintenance</t>
  </si>
  <si>
    <t>Service</t>
  </si>
  <si>
    <t>EOS+GENI-ACT</t>
  </si>
  <si>
    <t>Activation Fee</t>
  </si>
  <si>
    <t>Geli Software</t>
  </si>
  <si>
    <t>EOS+GENI-1Y</t>
  </si>
  <si>
    <t>annual subscription</t>
  </si>
  <si>
    <t>DCM-1Y</t>
  </si>
  <si>
    <t>demand charge management annual subscript</t>
  </si>
  <si>
    <t>SOLAR-1Y</t>
  </si>
  <si>
    <t>SolarPV</t>
  </si>
  <si>
    <t>TOU-1Y</t>
  </si>
  <si>
    <t>Time of use</t>
  </si>
  <si>
    <t xml:space="preserve">SRCCPTROLCRIS-U000  &amp; SRCCPTROLPWRC-U000    </t>
  </si>
  <si>
    <t>NODE-V2</t>
  </si>
  <si>
    <t>Geli Node On-site industrial Comuter</t>
  </si>
  <si>
    <t>PS-SGIP</t>
  </si>
  <si>
    <t>SGIP reporting Support</t>
  </si>
  <si>
    <t>AA</t>
  </si>
  <si>
    <t>P2</t>
  </si>
  <si>
    <t>Mike</t>
  </si>
  <si>
    <t>30396566F</t>
  </si>
  <si>
    <t>Q.PEAK DUO XL G9.3 BFG</t>
  </si>
  <si>
    <t>QCELLS</t>
  </si>
  <si>
    <t>TARIFF</t>
  </si>
  <si>
    <t>requesting to Push Q3-Q4</t>
  </si>
  <si>
    <t>FU with warehouse to schedule remainder 8/19; requesting to push to september</t>
  </si>
  <si>
    <t>price for 150 day (payment term)</t>
  </si>
  <si>
    <t>net 30</t>
  </si>
  <si>
    <t>Sarfari Energy, LLC</t>
  </si>
  <si>
    <t>RRN-559-250</t>
  </si>
  <si>
    <t>250kW/559kWWh Energy Storage System</t>
  </si>
  <si>
    <t>Socomec</t>
  </si>
  <si>
    <t>10% net 30</t>
  </si>
  <si>
    <t>Redland</t>
  </si>
  <si>
    <t>92374</t>
  </si>
  <si>
    <t>ROV-CELLPACKAGE</t>
  </si>
  <si>
    <t>Cellular Modem Package</t>
  </si>
  <si>
    <t>RDK_METERPACKAGE</t>
  </si>
  <si>
    <t>Power Meter Package</t>
  </si>
  <si>
    <t>Node-V2, PSSGIP, EOS+GENI-Activate</t>
  </si>
  <si>
    <t>EOS+GENI-1Y, DCM-1Y, Solar-1Y, TOU-1Y</t>
  </si>
  <si>
    <t>New PO with discount</t>
  </si>
  <si>
    <t>Torn and Glasser, Inc.</t>
  </si>
  <si>
    <t>RRT-555-250</t>
  </si>
  <si>
    <t>Sungrow ST556KWH-250UD Energy Storage System</t>
  </si>
  <si>
    <t>Perpay</t>
  </si>
  <si>
    <t>Pomona</t>
  </si>
  <si>
    <t>91768</t>
  </si>
  <si>
    <t>RPT-556-250-DDPPORT</t>
  </si>
  <si>
    <t>ddp cost</t>
  </si>
  <si>
    <t>RRT-556-250-BATTINST</t>
  </si>
  <si>
    <t>Batteries installation</t>
  </si>
  <si>
    <t>RRT-556-250-COMM</t>
  </si>
  <si>
    <t>Commissioning</t>
  </si>
  <si>
    <t>RRT-556-250-PMP-10Y</t>
  </si>
  <si>
    <t>RRT-556-250-WARR10Y</t>
  </si>
  <si>
    <t>Warranty</t>
  </si>
  <si>
    <t>RRT-556-250-PREVMAINT10Y</t>
  </si>
  <si>
    <t>Maintenance Program</t>
  </si>
  <si>
    <t>SRPWSROLITB36-U000</t>
  </si>
  <si>
    <t>ROV-CELLARPACKAGE</t>
  </si>
  <si>
    <t>Cellular Modem Package Cell Modem</t>
  </si>
  <si>
    <t>SRCCPTROLIBR9-U000</t>
  </si>
  <si>
    <t>Cellular Modem Package Power Cord</t>
  </si>
  <si>
    <t>Microgrid Package</t>
  </si>
  <si>
    <t>BRCFPRR751505-U000</t>
  </si>
  <si>
    <t>Protection relay &amp; RTAC</t>
  </si>
  <si>
    <t>BRCENMENC4XV2-U000</t>
  </si>
  <si>
    <t>Nema 4 Enclosure</t>
  </si>
  <si>
    <t>BRCCUTREIWC42-U000</t>
  </si>
  <si>
    <t>CT's</t>
  </si>
  <si>
    <t>BRCCUTREIWC44-U000</t>
  </si>
  <si>
    <t>BRMBRSTEI600R-U000</t>
  </si>
  <si>
    <t>Busbar-600</t>
  </si>
  <si>
    <t xml:space="preserve">BRMBRSTE1000R-U000 </t>
  </si>
  <si>
    <t>Busbar-1000</t>
  </si>
  <si>
    <t>BRSCOSPENC4XS-U000</t>
  </si>
  <si>
    <t>Meter, CT's</t>
  </si>
  <si>
    <t>BRCENMENC4XSH-U000</t>
  </si>
  <si>
    <t>Meter Commissioning</t>
  </si>
  <si>
    <t>BRSEGSVSELES1-U000</t>
  </si>
  <si>
    <t>SEL documentaion and commissioning</t>
  </si>
  <si>
    <t>BRSPCLCESRTAC-U000</t>
  </si>
  <si>
    <t>SEL PV integration</t>
  </si>
  <si>
    <t>EOS+GENI-ACTIVATE</t>
  </si>
  <si>
    <t>000301</t>
  </si>
  <si>
    <t>SiteLogIQ, Inc.</t>
  </si>
  <si>
    <t>RRN-932-250</t>
  </si>
  <si>
    <t>Energy Storage System</t>
  </si>
  <si>
    <t>Marysville</t>
  </si>
  <si>
    <t>95901</t>
  </si>
  <si>
    <t>RRN-559-150</t>
  </si>
  <si>
    <t>Preventive Maintenance</t>
  </si>
  <si>
    <t>RDK-METERPACKAGE</t>
  </si>
  <si>
    <t>Geli Node On-Site Industrial Computer</t>
  </si>
  <si>
    <t>Professional Services - SGIP Reporting Support</t>
  </si>
  <si>
    <t>PS-MENG</t>
  </si>
  <si>
    <t>Professional Services - Engineering Support for Back Up Power</t>
  </si>
  <si>
    <t>EOS+GENI Activation Fee (One-time charge), per kW</t>
  </si>
  <si>
    <t>EOS+GENI-10Y</t>
  </si>
  <si>
    <t>Energy Storage Management Platform - 10 year subscription, per kW</t>
  </si>
  <si>
    <t>DCM-10Y</t>
  </si>
  <si>
    <t>Add-on App: Demand Charge Management - 10 year subscription, per kW</t>
  </si>
  <si>
    <t>SOLAR-10Y</t>
  </si>
  <si>
    <t>Add-on App: Solar PV - 10 year subscription, per kW</t>
  </si>
  <si>
    <t>TOU-10Y</t>
  </si>
  <si>
    <t>Add-on App: Time of Use - 10 year subscription, per kW</t>
  </si>
  <si>
    <t>American Oaks</t>
  </si>
  <si>
    <t>Scale Microgrid Solutions</t>
  </si>
  <si>
    <t>RRN-373-150</t>
  </si>
  <si>
    <t>Thousand Oaks</t>
  </si>
  <si>
    <t>91320</t>
  </si>
  <si>
    <t>RRN-373-150-ISLANDING</t>
  </si>
  <si>
    <t>Energy Storage Management Platform - annual subscription, per kW</t>
  </si>
  <si>
    <t>Dewey</t>
  </si>
  <si>
    <t>001245</t>
  </si>
  <si>
    <t>RRN-932-250-ESS</t>
  </si>
  <si>
    <t>001604</t>
  </si>
  <si>
    <t>SRCCPTROLCRIS-U000</t>
  </si>
  <si>
    <t>SRCCPTROLPWRC-U000</t>
  </si>
  <si>
    <t>QTY</t>
  </si>
  <si>
    <t>HQCA Item Code</t>
  </si>
  <si>
    <t>Product Name (Component)</t>
  </si>
  <si>
    <t>Item Group</t>
  </si>
  <si>
    <t xml:space="preserve">Cost </t>
  </si>
  <si>
    <t xml:space="preserve">Manufacture Product Description </t>
  </si>
  <si>
    <t xml:space="preserve">Manf. Serial # </t>
  </si>
  <si>
    <t>SRWEIH1016001-U000</t>
  </si>
  <si>
    <t>Q.HOME+ HYB-G1 6.0</t>
  </si>
  <si>
    <t>Inverter</t>
  </si>
  <si>
    <t>6.0kw hybrid inverter</t>
  </si>
  <si>
    <t>QH0600F########</t>
  </si>
  <si>
    <t>SRWEIH1017001-U000</t>
  </si>
  <si>
    <t>Q.HOME+ HYB-G1 7.0</t>
  </si>
  <si>
    <t>7.0kw hybrid inverter</t>
  </si>
  <si>
    <t>QH0700F########</t>
  </si>
  <si>
    <t>SRWEIH1017601-U000</t>
  </si>
  <si>
    <t>Q.HOME+ HYB-G1 7.6</t>
  </si>
  <si>
    <t>7.6kw hybrid inverter</t>
  </si>
  <si>
    <t>QH0760F########</t>
  </si>
  <si>
    <t>SRWEIH1018601-U000</t>
  </si>
  <si>
    <t>Q.HOME+ HYB-G1 8.6</t>
  </si>
  <si>
    <t>8.6kw hybrid inverter</t>
  </si>
  <si>
    <t>QA0860F########</t>
  </si>
  <si>
    <t>SRWEIA1016001-U000</t>
  </si>
  <si>
    <t>Q.HOME+ AC-G1 6.0</t>
  </si>
  <si>
    <t>6.0kw AC coupled inverter</t>
  </si>
  <si>
    <t>QA0600F########</t>
  </si>
  <si>
    <t>SRWEIA1017001-U000</t>
  </si>
  <si>
    <t>Q.HOME+ AC-G1 7.0</t>
  </si>
  <si>
    <t>7.0kw AC coupled inverter</t>
  </si>
  <si>
    <t>QA0700F########</t>
  </si>
  <si>
    <t>SRWEIA1017601-U000</t>
  </si>
  <si>
    <t>Q.HOME+ AC-G1 7.6</t>
  </si>
  <si>
    <t>7.6kw AC coupled inverter</t>
  </si>
  <si>
    <t>QA0760F########</t>
  </si>
  <si>
    <t>SRWEIA1018601-U000</t>
  </si>
  <si>
    <t>Q.HOME+ AC-G1 8.6</t>
  </si>
  <si>
    <t>8.6kw AC coupled inverter</t>
  </si>
  <si>
    <t>SRWBPNU014501-U000</t>
  </si>
  <si>
    <t>BAT45</t>
  </si>
  <si>
    <t>Battery</t>
  </si>
  <si>
    <t>4.5kwh high voltage battery</t>
  </si>
  <si>
    <t>HH63200420A###</t>
  </si>
  <si>
    <t>SRWBPNU016301-U000</t>
  </si>
  <si>
    <t>BAT63</t>
  </si>
  <si>
    <t>6.3kwh high voltage battery</t>
  </si>
  <si>
    <t>BWCBMSP000SLX-U000</t>
  </si>
  <si>
    <t>BAT BMS-G1</t>
  </si>
  <si>
    <t>BMS (master control module)</t>
  </si>
  <si>
    <t>BWCATSM000SLX-U000</t>
  </si>
  <si>
    <t>Q.HOME+ TX-8.6</t>
  </si>
  <si>
    <t>Accessory</t>
  </si>
  <si>
    <t>auto-transformer</t>
  </si>
  <si>
    <t>TBOX1908083###</t>
  </si>
  <si>
    <t>BWCACCBMS0SLX-U000</t>
  </si>
  <si>
    <t>Battery Accessory box , Master control Accessory</t>
  </si>
  <si>
    <t xml:space="preserve">$-   </t>
  </si>
  <si>
    <t>Accessory box for master control module</t>
  </si>
  <si>
    <t>BWCACCBSL0SLX-U000</t>
  </si>
  <si>
    <t>Battery Accessory box , Slave control Accessory</t>
  </si>
  <si>
    <t>Accessory box for battery module</t>
  </si>
  <si>
    <t>BWCWIFIDG0SLX-U000</t>
  </si>
  <si>
    <t>Wifi module</t>
  </si>
  <si>
    <t>WiFi module (usually packed in the inverter box)</t>
  </si>
  <si>
    <t>BWCENME1P0SLX-U000</t>
  </si>
  <si>
    <t>Meter set</t>
  </si>
  <si>
    <t>EMS</t>
  </si>
  <si>
    <t>ancrel meter (usually packed in the inverter box)</t>
  </si>
  <si>
    <t>BRWMLD101RSDD-U000</t>
  </si>
  <si>
    <t>Rapid Shut Module</t>
  </si>
  <si>
    <t>RSD</t>
  </si>
  <si>
    <t>SKU#</t>
  </si>
  <si>
    <t>Product Name (System)</t>
  </si>
  <si>
    <t>Component 1</t>
  </si>
  <si>
    <t>Component 2</t>
  </si>
  <si>
    <t>Component 3</t>
  </si>
  <si>
    <t>Component 4</t>
  </si>
  <si>
    <t>Component 5</t>
  </si>
  <si>
    <t>Component 6</t>
  </si>
  <si>
    <t>Component 7(inside inverter box)</t>
  </si>
  <si>
    <t>Component 8(inside inverter box)</t>
  </si>
  <si>
    <t>Name</t>
  </si>
  <si>
    <t>Item Code</t>
  </si>
  <si>
    <t>HQCAESS1101</t>
    <phoneticPr fontId="5" type="noConversion"/>
  </si>
  <si>
    <t>Q.HOME+ HYB ESS-G1 6.0/4.5</t>
    <phoneticPr fontId="5" type="noConversion"/>
  </si>
  <si>
    <t>System</t>
  </si>
  <si>
    <t xml:space="preserve">BWCBMSP000SLX-U000 </t>
  </si>
  <si>
    <t xml:space="preserve">BWCATSM000SLX-U000 </t>
  </si>
  <si>
    <t xml:space="preserve">BWCACCBMS0SLX-U000 </t>
  </si>
  <si>
    <t xml:space="preserve">BWCACCBSL0SLX-U000 </t>
  </si>
  <si>
    <t>HQCAESS1102</t>
  </si>
  <si>
    <t>Q.HOME+ HYB ESS-G1 6.0/6.3</t>
    <phoneticPr fontId="5" type="noConversion"/>
  </si>
  <si>
    <t>HQCAESS1103</t>
  </si>
  <si>
    <t>Q.HOME+ HYB ESS-G1 6.0/9.0</t>
    <phoneticPr fontId="5" type="noConversion"/>
  </si>
  <si>
    <t>HQCAESS1104</t>
  </si>
  <si>
    <t>Q.HOME+ HYB ESS-G1 6.0/12.6</t>
    <phoneticPr fontId="5" type="noConversion"/>
  </si>
  <si>
    <t>HQCAESS1105</t>
  </si>
  <si>
    <t>Q.HOME+ HYB ESS-G1 6.0/13.5</t>
    <phoneticPr fontId="5" type="noConversion"/>
  </si>
  <si>
    <t>HQCAESS1106</t>
  </si>
  <si>
    <t>Q.HOME+ HYB ESS-G1 6.0/18.9</t>
    <phoneticPr fontId="5" type="noConversion"/>
  </si>
  <si>
    <t>HQCAESS1107</t>
  </si>
  <si>
    <t>Q.HOME+ HYB ESS-G1 7.0/4.5</t>
    <phoneticPr fontId="5" type="noConversion"/>
  </si>
  <si>
    <t>HQCAESS1108</t>
  </si>
  <si>
    <t>Q.HOME+ HYB ESS-G1 7.0/6.3</t>
    <phoneticPr fontId="5" type="noConversion"/>
  </si>
  <si>
    <t>HQCAESS1109</t>
  </si>
  <si>
    <t>Q.HOME+ HYB ESS-G1 7.0/9.0</t>
    <phoneticPr fontId="5" type="noConversion"/>
  </si>
  <si>
    <t>HQCAESS1110</t>
  </si>
  <si>
    <t>Q.HOME+ HYB ESS-G1 7.0/12.6</t>
    <phoneticPr fontId="5" type="noConversion"/>
  </si>
  <si>
    <t>HQCAESS1111</t>
  </si>
  <si>
    <t>Q.HOME+ HYB ESS-G1 7.0/13.5</t>
    <phoneticPr fontId="5" type="noConversion"/>
  </si>
  <si>
    <t>HQCAESS1112</t>
  </si>
  <si>
    <t>Q.HOME+ HYB ESS-G1 7.0/18.9</t>
    <phoneticPr fontId="5" type="noConversion"/>
  </si>
  <si>
    <t>HQCAESS1113</t>
  </si>
  <si>
    <t>Q.HOME+ HYB ESS-G1 7.6/4.5</t>
    <phoneticPr fontId="5" type="noConversion"/>
  </si>
  <si>
    <t>HQCAESS1114</t>
  </si>
  <si>
    <t>Q.HOME+ HYB ESS-G1 7.6/6.3</t>
    <phoneticPr fontId="5" type="noConversion"/>
  </si>
  <si>
    <t>HQCAESS1115</t>
  </si>
  <si>
    <t>Q.HOME+ HYB ESS-G1 7.6/9.0</t>
    <phoneticPr fontId="5" type="noConversion"/>
  </si>
  <si>
    <t>HQCAESS1116</t>
  </si>
  <si>
    <t>Q.HOME+ HYB ESS-G1 7.6/12.6</t>
    <phoneticPr fontId="5" type="noConversion"/>
  </si>
  <si>
    <t>HQCAESS1117</t>
  </si>
  <si>
    <t>Q.HOME+ HYB ESS-G1 7.6/13.5</t>
    <phoneticPr fontId="5" type="noConversion"/>
  </si>
  <si>
    <t>HQCAESS1118</t>
  </si>
  <si>
    <t>Q.HOME+ HYB ESS-G1 7.6/18.9</t>
    <phoneticPr fontId="5" type="noConversion"/>
  </si>
  <si>
    <t>HQCAESS1119</t>
  </si>
  <si>
    <t>Q.HOME+ HYB ESS-G1 8.6/4.5</t>
    <phoneticPr fontId="5" type="noConversion"/>
  </si>
  <si>
    <t>HQCAESS1120</t>
  </si>
  <si>
    <t>Q.HOME+ HYB ESS-G1 8.6/6.3</t>
    <phoneticPr fontId="5" type="noConversion"/>
  </si>
  <si>
    <t>HQCAESS1121</t>
  </si>
  <si>
    <t>Q.HOME+ HYB ESS-G1 8.6/9.0</t>
    <phoneticPr fontId="5" type="noConversion"/>
  </si>
  <si>
    <t>HQCAESS1122</t>
  </si>
  <si>
    <t>Q.HOME+ HYB ESS-G1 8.6/12.6</t>
    <phoneticPr fontId="5" type="noConversion"/>
  </si>
  <si>
    <t>HQCAESS1123</t>
  </si>
  <si>
    <t>Q.HOME+ HYB ESS-G1 8.6/13.5</t>
    <phoneticPr fontId="5" type="noConversion"/>
  </si>
  <si>
    <t>HQCAESS1124</t>
  </si>
  <si>
    <t>Q.HOME+ HYB ESS-G1 8.6/18.9</t>
    <phoneticPr fontId="5" type="noConversion"/>
  </si>
  <si>
    <t>HQCAESS1201</t>
    <phoneticPr fontId="5" type="noConversion"/>
  </si>
  <si>
    <t>Q.HOME+ AC ESS-G1 6.0/4.5</t>
  </si>
  <si>
    <t>HQCAESS1202</t>
  </si>
  <si>
    <t>Q.HOME+ AC ESS-G1 6.0/6.3</t>
  </si>
  <si>
    <t>HQCAESS1203</t>
  </si>
  <si>
    <t>Q.HOME+ AC ESS-G1 6.0/9.0</t>
  </si>
  <si>
    <t>HQCAESS1204</t>
  </si>
  <si>
    <t>Q.HOME+ AC ESS-G1 6.0/12.6</t>
  </si>
  <si>
    <t>HQCAESS1205</t>
  </si>
  <si>
    <t>Q.HOME+ AC ESS-G1 6.0/13.5</t>
  </si>
  <si>
    <t>HQCAESS1206</t>
  </si>
  <si>
    <t>Q.HOME+ AC ESS-G1 6.0/18.9</t>
  </si>
  <si>
    <t>HQCAESS1207</t>
  </si>
  <si>
    <t>Q.HOME+ AC ESS-G1 7.0/4.5</t>
  </si>
  <si>
    <t>HQCAESS1208</t>
  </si>
  <si>
    <t>Q.HOME+ AC ESS-G1 7.0/6.3</t>
  </si>
  <si>
    <t>HQCAESS1209</t>
  </si>
  <si>
    <t>Q.HOME+ AC ESS-G1 7.0/9.0</t>
  </si>
  <si>
    <t>HQCAESS1210</t>
  </si>
  <si>
    <t>Q.HOME+ AC ESS-G1 7.0/12.6</t>
  </si>
  <si>
    <t>HQCAESS1211</t>
  </si>
  <si>
    <t>Q.HOME+ AC ESS-G1 7.0/13.5</t>
  </si>
  <si>
    <t>HQCAESS1212</t>
  </si>
  <si>
    <t>Q.HOME+ AC ESS-G1 7.0/18.9</t>
  </si>
  <si>
    <t>HQCAESS1213</t>
  </si>
  <si>
    <t>Q.HOME+ AC ESS-G1 7.6/4.5</t>
  </si>
  <si>
    <t>HQCAESS1214</t>
  </si>
  <si>
    <t>Q.HOME+ AC ESS-G1 7.6/6.3</t>
  </si>
  <si>
    <t>HQCAESS1215</t>
  </si>
  <si>
    <t>Q.HOME+ AC ESS-G1 7.6/9.0</t>
  </si>
  <si>
    <t>HQCAESS1216</t>
  </si>
  <si>
    <t>Q.HOME+ AC ESS-G1 7.6/12.6</t>
  </si>
  <si>
    <t>HQCAESS1217</t>
  </si>
  <si>
    <t>Q.HOME+ AC ESS-G1 7.6/13.5</t>
  </si>
  <si>
    <t>HQCAESS1218</t>
  </si>
  <si>
    <t>Q.HOME+ AC ESS-G1 7.6/18.9</t>
  </si>
  <si>
    <t>HQCAESS1219</t>
  </si>
  <si>
    <t>Q.HOME+ AC ESS-G1 8.6/4.5</t>
  </si>
  <si>
    <t>HQCAESS1220</t>
  </si>
  <si>
    <t>Q.HOME+ AC ESS-G1 8.6/6.3</t>
  </si>
  <si>
    <t>HQCAESS1221</t>
  </si>
  <si>
    <t>Q.HOME+ AC ESS-G1 8.6/9.0</t>
  </si>
  <si>
    <t>HQCAESS1222</t>
  </si>
  <si>
    <t>Q.HOME+ AC ESS-G1 8.6/12.6</t>
  </si>
  <si>
    <t>HQCAESS1223</t>
  </si>
  <si>
    <t>Q.HOME+ AC ESS-G1 8.6/13.5</t>
  </si>
  <si>
    <t>HQCAESS1224</t>
  </si>
  <si>
    <t>Q.HOME+ AC ESS-G1 8.6/18.9</t>
  </si>
  <si>
    <t>SKU# / item code</t>
  </si>
  <si>
    <t>Product name</t>
  </si>
  <si>
    <t>RSD Modules</t>
  </si>
  <si>
    <t>Module_1</t>
  </si>
  <si>
    <t>Revised Module_1</t>
  </si>
  <si>
    <t>Module_2</t>
  </si>
  <si>
    <t>Module_3</t>
  </si>
  <si>
    <t>Power Class</t>
  </si>
  <si>
    <t>PCS/PLT</t>
  </si>
  <si>
    <t>PLT/40'</t>
  </si>
  <si>
    <t>PCS/40'</t>
  </si>
  <si>
    <t>PLT/53'</t>
  </si>
  <si>
    <t>PCS/53'</t>
  </si>
  <si>
    <t>Q.PLUS L G4.2 340</t>
  </si>
  <si>
    <t xml:space="preserve">Q.PLUS L G4.2 </t>
  </si>
  <si>
    <t>Q.PLUS L</t>
  </si>
  <si>
    <t>Q.PLUS</t>
  </si>
  <si>
    <t>B.LINE PLUS L G4.1 340</t>
  </si>
  <si>
    <t>Q.PLUS L G4.1</t>
  </si>
  <si>
    <t>Q.PLUS L G4.2.0 335</t>
  </si>
  <si>
    <t>Q.PLUS L-G4.2 340</t>
  </si>
  <si>
    <t>Not on SAP</t>
  </si>
  <si>
    <t>Q.PLUS L G4.2.0 345</t>
  </si>
  <si>
    <t>Q.PLUS L G4.2 345</t>
  </si>
  <si>
    <t>Q.PLUS L-G4.2.A 345</t>
  </si>
  <si>
    <t>Q.PLUS L-G4.2 345</t>
  </si>
  <si>
    <t>Q.PLUS BFR-G4.1.AF 285</t>
  </si>
  <si>
    <t>Q.PLUS BFR G4.1</t>
  </si>
  <si>
    <t>Q.PLUS BFR</t>
  </si>
  <si>
    <t>Q.PLUS L-G4.2.5 AF 350</t>
  </si>
  <si>
    <t>Q.PLUS L G4.2 AF 345</t>
  </si>
  <si>
    <t>Q.PLUS L-G4.2.A 340</t>
  </si>
  <si>
    <t>Q.PLUS L-G4.2.5 AF 345</t>
  </si>
  <si>
    <t>Q.PLUS L G4.2.A.F 345</t>
  </si>
  <si>
    <t xml:space="preserve">Q.PLUS BFR-G4.1.AF </t>
  </si>
  <si>
    <t>Q.PLUS DUO L-G5.2 370</t>
  </si>
  <si>
    <t>Q.PLUS DUO L G5</t>
  </si>
  <si>
    <t>Q.PLUS DUO L</t>
  </si>
  <si>
    <t>Q.PLUS DUO</t>
  </si>
  <si>
    <t>Q.PLUS DUO L-G5.2 365</t>
  </si>
  <si>
    <t>Q.PLUS DUO L-G5.2 360</t>
  </si>
  <si>
    <t>Q.PLUS DUO L-G5.2 355</t>
  </si>
  <si>
    <t>Q.PLUS DUO L G5.2 360</t>
  </si>
  <si>
    <t>Q.PLUS L G4.1.1 330</t>
  </si>
  <si>
    <t xml:space="preserve">Q.PLUS L G4.1 </t>
  </si>
  <si>
    <t>Q.PLUS L G4.1.1 335</t>
  </si>
  <si>
    <t>Q.PLUS L G4.1 320</t>
  </si>
  <si>
    <t>Q.PLUS L-G4.1 325</t>
  </si>
  <si>
    <t>Q.PLUS L-G4.2 320</t>
  </si>
  <si>
    <t>Q.PLUS L G4.2 325</t>
  </si>
  <si>
    <t>Q.PLUS L G4.2 330</t>
  </si>
  <si>
    <t>Q.PLUS L G4.2 335</t>
  </si>
  <si>
    <t>Q.PLUS L G4.2.1 325</t>
  </si>
  <si>
    <t>Q.PLUS L-G4.2.1 330</t>
  </si>
  <si>
    <t>Q.PLUS L-G4.2.1 335</t>
  </si>
  <si>
    <t>Q.PLUS L G4.2.1 340</t>
  </si>
  <si>
    <t>Q.PLUS L G4.2.2 325</t>
  </si>
  <si>
    <t>Q.PLUS L-G4.2.2 330</t>
  </si>
  <si>
    <t>Q.PLUS L-G4.2.2 335</t>
  </si>
  <si>
    <t>Q.PLUS L G4.2.3 330</t>
  </si>
  <si>
    <t>Q.PLUS L-G4.2.3 335</t>
  </si>
  <si>
    <t>Q.PLUS L G4.2.4 330</t>
  </si>
  <si>
    <t>Q.PLUS L G4.2.4 335</t>
  </si>
  <si>
    <t>Q.PLUS L G4.2/TAA 335</t>
  </si>
  <si>
    <t>Q.PLUS L G4.2/TAA 340</t>
  </si>
  <si>
    <t>Q.PLUS L-G4.2.5 335</t>
  </si>
  <si>
    <t>Q.PLUS L-G4.2.5 340</t>
  </si>
  <si>
    <t>Q.PLUS L-G4.2.5 345</t>
  </si>
  <si>
    <t>Q.PLUS L-G4.2.5 350</t>
  </si>
  <si>
    <t>Q.PLUS L G4.2</t>
  </si>
  <si>
    <t>Q.PLUS L-G4.2 325</t>
  </si>
  <si>
    <t>Q.PLUS L-G4.2 330</t>
  </si>
  <si>
    <t>Q.PLUS L-G4.2.6 335</t>
  </si>
  <si>
    <t>Q.PLUS L-G4.2.6 340</t>
  </si>
  <si>
    <t>Q.PLUS L G4.2.6 345</t>
  </si>
  <si>
    <t>Q.PLUS L-G4.2.6 350</t>
  </si>
  <si>
    <t>Q.PLUS L-G4.2 355</t>
  </si>
  <si>
    <t>Q.PLUS L-G4.2.A 325</t>
  </si>
  <si>
    <t>Q.PLUS L-G4.2.A 330</t>
  </si>
  <si>
    <t>Q.PLUS L-G4.2.5.A 335</t>
  </si>
  <si>
    <t>Q.PLUS L-G4.2.5.A 340</t>
  </si>
  <si>
    <t>Q.PLUS L-G 4.2.A 345</t>
  </si>
  <si>
    <t>Q.PLUS L-G4.2.5.A  350</t>
  </si>
  <si>
    <t>Q.PLUS L-G4.2.7 335</t>
  </si>
  <si>
    <t>Q.PLUS L-G4.2.7 340</t>
  </si>
  <si>
    <t>Q.PLUS L-G4.2.7 345</t>
  </si>
  <si>
    <t>Q.PLUS L-G4.2.7.A 335</t>
  </si>
  <si>
    <t>Q.PLUS L-G4.2.7.A 340</t>
  </si>
  <si>
    <t>Q.PLUS L-G4.2.7.A 345</t>
  </si>
  <si>
    <t>Q.PLUS L-G4.2.6.A 335</t>
  </si>
  <si>
    <t>Q.PLUS L-G4.2.6.A 340</t>
  </si>
  <si>
    <t>Q.PLUS L-G4.2.6.A 345</t>
  </si>
  <si>
    <t>Q.PLUS L-G4.2.0.A 335</t>
  </si>
  <si>
    <t>Q.PLUS L-G4.2.0.A 340</t>
  </si>
  <si>
    <t>Q.PLUS L-G4.2.0.A 345</t>
  </si>
  <si>
    <t>Q.PLUS L-G4.2.0.A 350</t>
  </si>
  <si>
    <t>Q.PEAK L-G4.2 355</t>
  </si>
  <si>
    <t>Q.PEAK L G4.2</t>
  </si>
  <si>
    <t>Q.PEAK L</t>
  </si>
  <si>
    <t>Q.PEAK</t>
  </si>
  <si>
    <t>Q.PEAK L G4.2 360</t>
  </si>
  <si>
    <t>Q.PEAK L G4.2 365</t>
  </si>
  <si>
    <t>Q.PEAK L-G4.2 370</t>
  </si>
  <si>
    <t>Q.PLUS BFR-G4.1 275</t>
  </si>
  <si>
    <t>Q.PLUS BFR-G4.1 280</t>
  </si>
  <si>
    <t>Q.PLUS BFR-G4.1 285</t>
  </si>
  <si>
    <t>Q.PLUS BFR-G4.1 290</t>
  </si>
  <si>
    <t>Q.PLUS BFR-G4.1.A 270</t>
  </si>
  <si>
    <t>Q.PLUS BFR-G4.1.A 275</t>
  </si>
  <si>
    <t>Q.PLUS BFR-G4.1.A 280</t>
  </si>
  <si>
    <t>Q.PLUS BFR-G4.1.A 285</t>
  </si>
  <si>
    <t>Q.PLUS BFR-G4.1.A 290</t>
  </si>
  <si>
    <t>Q.PEAK-G4.1.0.F 300</t>
  </si>
  <si>
    <t>Q.PEAK G4.1</t>
  </si>
  <si>
    <t>Q.PEAK G-4.1.0.F 305</t>
  </si>
  <si>
    <t>Q.PEAK-G4.1.F 310</t>
  </si>
  <si>
    <t>Q.PEAK-G4.1.F 315</t>
  </si>
  <si>
    <t>Q.PEAK-G4.1.F 280</t>
  </si>
  <si>
    <t>Q.PEAK-G4.1.F 285</t>
  </si>
  <si>
    <t>Q.PEAK-G4.1.F 290</t>
  </si>
  <si>
    <t>Q.PEAK-G4.1.0.F 295</t>
  </si>
  <si>
    <t>Q.PEAK G4.1 300</t>
  </si>
  <si>
    <t xml:space="preserve">Q.PEAK G4.1 </t>
  </si>
  <si>
    <t>Q.PEAK G4.1 305</t>
  </si>
  <si>
    <t>Q.PEAK-G4.1 310</t>
  </si>
  <si>
    <t>Q.PEAK-G4.1 285</t>
  </si>
  <si>
    <t>Q.PEAK-G4.1 290</t>
  </si>
  <si>
    <t>Q.PEAK G4.1 295</t>
  </si>
  <si>
    <t>Q.PEAK G4.1.2 300</t>
  </si>
  <si>
    <t>Q.PEAK-G4.1 305</t>
  </si>
  <si>
    <t>Q.PEAK-G4.1 295</t>
  </si>
  <si>
    <t>Q.PEAK G4.1/SC 300</t>
  </si>
  <si>
    <t xml:space="preserve">Q.PEAK G4.1/SC </t>
  </si>
  <si>
    <t>Q.PEAK SC</t>
  </si>
  <si>
    <t>Q.PEAK G4.1 SC 305</t>
  </si>
  <si>
    <t>Q.PEAK G4.1/SC</t>
  </si>
  <si>
    <t>Q.PEAK G-4.1 / SC 310</t>
  </si>
  <si>
    <t>Q.PEAK-G4.1/SC 285</t>
  </si>
  <si>
    <t>Q.PEAK G-4.1 / SC 290</t>
  </si>
  <si>
    <t>Q.PEAK G4.1/SC 295</t>
  </si>
  <si>
    <t>Q.PEAK BLK-G4.1 300</t>
  </si>
  <si>
    <t>Q.PEAK BLK G4.1</t>
  </si>
  <si>
    <t>Q.PEAK BLK</t>
  </si>
  <si>
    <t>Q.PEAK BLK-G4.1 305</t>
  </si>
  <si>
    <t>Q.PEAK BLK-G4.1 275</t>
  </si>
  <si>
    <t>Q.PEAK BLK-G4.1 280</t>
  </si>
  <si>
    <t>Q.PEAK BLK G4.1 285</t>
  </si>
  <si>
    <t>Q.PEAK BLK G4.1 290</t>
  </si>
  <si>
    <t>Q.PEAK BLK-G4.1 295</t>
  </si>
  <si>
    <t>Q.PEAK BLK G4.1.1 300</t>
  </si>
  <si>
    <t>Q.PEAK BLK-G4.1 290</t>
  </si>
  <si>
    <t>Q.PEAK BLK-G4.1.1 295</t>
  </si>
  <si>
    <t>Q.PEAK DUO G5 300</t>
  </si>
  <si>
    <t>Q.PEAK DUO G5</t>
  </si>
  <si>
    <t>Q.PEAK DUO</t>
  </si>
  <si>
    <t>Q.PEAK DUO G5 305</t>
  </si>
  <si>
    <t>Q.PEAK DUO G5 310</t>
  </si>
  <si>
    <t>Q.PEAK DUO G5 315</t>
  </si>
  <si>
    <t>Q.PEAK DUO G5 320</t>
  </si>
  <si>
    <t>Q.PEAK DUO G5 325</t>
  </si>
  <si>
    <t>Q.PEAK DUO G5 290</t>
  </si>
  <si>
    <t>Q.PEAK DUO G5 295</t>
  </si>
  <si>
    <t>Q.PEAK DUO G5.0.1 315</t>
  </si>
  <si>
    <t>Q.PEAK DUO G5.0.1 320</t>
  </si>
  <si>
    <t>Q.PEAK DUO G5.0.1 325</t>
  </si>
  <si>
    <t>Q.PEAK DUO G5 330</t>
  </si>
  <si>
    <t>Q.PEAK DUO G5 335</t>
  </si>
  <si>
    <t>Q.PEAK DUO G5 340</t>
  </si>
  <si>
    <t>Q.PEAK DUO G5 345</t>
  </si>
  <si>
    <t>Q.PEAK DUO G5 350</t>
  </si>
  <si>
    <t>Q.PEAK DUO G5 355</t>
  </si>
  <si>
    <t>Q.PEAK DUO G7 315</t>
  </si>
  <si>
    <t>Q.PEAK DUO G7</t>
  </si>
  <si>
    <t>Q.PEAK DUO G7 335</t>
  </si>
  <si>
    <t>Q.PEAK DUO G7 330</t>
  </si>
  <si>
    <t>Q.PEAK DUO G7 325</t>
  </si>
  <si>
    <t>Q.PEAK DUO G7 320</t>
  </si>
  <si>
    <t>Q.PEAK DUO BLK G5.0.3.1.V 315</t>
  </si>
  <si>
    <t>Q.PEAK DUO BLK G5</t>
  </si>
  <si>
    <t>Q.PEAK DUO BLK</t>
  </si>
  <si>
    <t>Q.PEAK DUO BLK G5.0.3.1.V 320</t>
  </si>
  <si>
    <t>Q.PEAK DUO BLK G5.0.3.2.V 320</t>
  </si>
  <si>
    <t>Q.PEAK DUO BLK G5.0.3.1.V 310</t>
  </si>
  <si>
    <t>Q.PEAK DUO BLK G5 305</t>
  </si>
  <si>
    <t>Q.PEAK DUO BLK G5 310</t>
  </si>
  <si>
    <t>Q.PEAK DUO BLK-G5 315</t>
  </si>
  <si>
    <t>Q.PEAK DUO BLK-G5 290</t>
  </si>
  <si>
    <t>Q.PEAK DUO BLK-G5 295</t>
  </si>
  <si>
    <t>B.LINE PRO L G4.1 322</t>
  </si>
  <si>
    <t>Q.PRO L G4.1</t>
  </si>
  <si>
    <t>Q.PRO L</t>
  </si>
  <si>
    <t>Q.PRO</t>
  </si>
  <si>
    <t>B.LINE Q.PLUS L G4.2 335</t>
  </si>
  <si>
    <t>B.LINE PLUS L G4.2 332</t>
  </si>
  <si>
    <t>Q.PRO-G4.1/SC 267</t>
  </si>
  <si>
    <t xml:space="preserve">Q.PRO G4.1/SC </t>
  </si>
  <si>
    <t>Q.PRO SC</t>
  </si>
  <si>
    <t>Q.PRO BFR-G4.1 260</t>
  </si>
  <si>
    <t xml:space="preserve">Q.PRO BFR G4.1 </t>
  </si>
  <si>
    <t>Q.PRO BFR</t>
  </si>
  <si>
    <t>Q.PRO BFR-G4.1 265</t>
  </si>
  <si>
    <t>Q.PRO BFR-G4.1 262</t>
  </si>
  <si>
    <t>Q.PLUS-G4.1/SC 280</t>
  </si>
  <si>
    <t xml:space="preserve">Q.PLUS G4.1/SC </t>
  </si>
  <si>
    <t>Q.PLUS SC</t>
  </si>
  <si>
    <t>Q.PEAK BLK-G4.1.F 300</t>
  </si>
  <si>
    <t>Q.PEAK BLK-G4.1.F 305</t>
  </si>
  <si>
    <t>Q.PEAK BLK-G4.1.F 280</t>
  </si>
  <si>
    <t>Q.PEAK BLK-G4.1.F 285</t>
  </si>
  <si>
    <t>Q.PEAK BLK-G4.1.0.F 290</t>
  </si>
  <si>
    <t>Q.PEAK BLK-G4.1.0.F 295</t>
  </si>
  <si>
    <t>Q.PEAK BLK-G4.1.2.F 300</t>
  </si>
  <si>
    <t>Q.PEAK BLK-G4.1.2.F 305</t>
  </si>
  <si>
    <t>Q.PEAK BLK G-4.1.2.F 295</t>
  </si>
  <si>
    <t>Q.PEAK L-G4.2.F 355</t>
  </si>
  <si>
    <t>Q.PEAK L-G4.2.0.F 360</t>
  </si>
  <si>
    <t>Q.PEAK L-G4.2.0.F 365</t>
  </si>
  <si>
    <t>Q.PEAK L-G4.2.0.F 370</t>
  </si>
  <si>
    <t>Q.PEAK L-G4.2.0.F 375</t>
  </si>
  <si>
    <t>Q.PLUS BFR-G4.1.A.F 275</t>
  </si>
  <si>
    <t>Q.PLUS BFR-G4.1.A.F 280</t>
  </si>
  <si>
    <t>Q.PLUS BFR-G4.1.0.A.F 285</t>
  </si>
  <si>
    <t>Q.PLUS BFR-G4.1.0.A.F 290</t>
  </si>
  <si>
    <t>Q.PLUS L-G4.1.A 335</t>
  </si>
  <si>
    <t>Q.PLUS L-G4.1.A 340</t>
  </si>
  <si>
    <t>Q.PLUS L-G4.1.A 345</t>
  </si>
  <si>
    <t>Q.PLUS L-G4.1.A 350</t>
  </si>
  <si>
    <t>Q.PLUS L-G4.2.8.A 340</t>
  </si>
  <si>
    <t>Q.PLUS L-G4.2.8.A 345</t>
  </si>
  <si>
    <t>Q.PLUS L-G4.2.A.F 330</t>
  </si>
  <si>
    <t>Q.PLUS L-G4.2.A.F 335</t>
  </si>
  <si>
    <t>Q.PLUS L-G4.2.A.F 340</t>
  </si>
  <si>
    <t>Q.PLUS L-G4.2.5.A.F 345</t>
  </si>
  <si>
    <t>Q.PLUS L-G4.2.A.F 350</t>
  </si>
  <si>
    <t>Q.PLUS L-G4.2.A.F 355</t>
  </si>
  <si>
    <t>Q.PLUS L-G4.2.6.A.F 345</t>
  </si>
  <si>
    <t>Q.PLUS L-G4.2.6.A.F 350</t>
  </si>
  <si>
    <t>Q.PLUS L-G4.2.A.F 345</t>
  </si>
  <si>
    <t>Q.PEAK DUO G5.F 305</t>
  </si>
  <si>
    <t>Q.PEAK DUO G5.F 310</t>
  </si>
  <si>
    <t>Q.PEAK DUO G5.F 315</t>
  </si>
  <si>
    <t>Q.PEAK DUO G5.0.1.F 320</t>
  </si>
  <si>
    <t>Q.PEAK DUO G5.0.1.F 325</t>
  </si>
  <si>
    <t>Q.PEAK DUO G5.0.1.F 330</t>
  </si>
  <si>
    <t>Q.PEAK DUO G5.F 335</t>
  </si>
  <si>
    <t>Q.PEAK DUO G5.0.2.F 315</t>
  </si>
  <si>
    <t>Q.PEAK DUO G5.0.2.F 320</t>
  </si>
  <si>
    <t>Q.PEAK DUO G5.0.2.F 325</t>
  </si>
  <si>
    <t>Q.PEAK DUO G5.0.2.F 330</t>
  </si>
  <si>
    <t>Q.PEAK DUO G5.F 320</t>
  </si>
  <si>
    <t>Q.PEAK DUO G5.F 325</t>
  </si>
  <si>
    <t>Q.PEAK DUO G5.V 325</t>
  </si>
  <si>
    <t>Q.PEAK DUO G5.V 335</t>
  </si>
  <si>
    <t>Q.PEAK DUO G5.V 320</t>
  </si>
  <si>
    <t>Q.PEAK DUO G5.V 340</t>
  </si>
  <si>
    <t>Q.PEAK DUO G5.F 330</t>
  </si>
  <si>
    <t>Q.PEAK DUO G6P+ 345</t>
  </si>
  <si>
    <t>Q.PEAK DUO G6+</t>
  </si>
  <si>
    <t>Q.PEAK DUO G6P+.0.1 345</t>
  </si>
  <si>
    <t>Q.PEAK DUO G6P+.0.2</t>
  </si>
  <si>
    <t>Q.PEAK DUO G6P+.0.1 350</t>
  </si>
  <si>
    <t xml:space="preserve">Q.PEAK DUO G6P+ </t>
  </si>
  <si>
    <t xml:space="preserve">Q.PEAK DUO G6+ </t>
  </si>
  <si>
    <t>Q.PEAK DUO G6P+</t>
  </si>
  <si>
    <t>Q.PEAK DUO L-G5.2.1.F 390</t>
  </si>
  <si>
    <t>Q.PEAK DUO L G5</t>
  </si>
  <si>
    <t>Q.PEAK DUO L</t>
  </si>
  <si>
    <t>Q.PEAK DUO BLK-G5 300</t>
  </si>
  <si>
    <t>Q.PEAK DUO BLK G5.0.1 305</t>
  </si>
  <si>
    <t>Q.PEAK DUO BLK G5.0.1 310</t>
  </si>
  <si>
    <t>Q.PEAK DUO BLK G5.0.1 315</t>
  </si>
  <si>
    <t>Q.PEAK DUO BLK-G5 320</t>
  </si>
  <si>
    <t>Q.PEAK DUO BLK-G5 325</t>
  </si>
  <si>
    <t>Q.PEAK DUO BLK-G5.0.2 305</t>
  </si>
  <si>
    <t>Q.PEAK DUO BLK G5.0.2 310</t>
  </si>
  <si>
    <t>Q.PEAK DUO BLK G5.0.2 315</t>
  </si>
  <si>
    <t>Q.PEAK DUO BLK G5.0.3.2.V 315</t>
  </si>
  <si>
    <t>Q.PEAK DUO BLK-G5 305</t>
  </si>
  <si>
    <t>Q.PEAK DUO BLK-G5.0.3 310</t>
  </si>
  <si>
    <t>Q.PEAK DUO BLK VT</t>
  </si>
  <si>
    <t>Q.PEAK DUO BLK-G5.0.3 315</t>
  </si>
  <si>
    <t>Q.PEAK DUO BLK-G5.0.3 320</t>
  </si>
  <si>
    <t>Q.PEAK DUO BLK-G5.F 300</t>
  </si>
  <si>
    <t>Q.PEAK DUO BLK-G5.F 305</t>
  </si>
  <si>
    <t>Q.PEAK DUO BLK-G5.0.2.F 310</t>
  </si>
  <si>
    <t>Q.PEAK DUO BLK-G5.0.2.F 315</t>
  </si>
  <si>
    <t>Q.PEAK DUO BLK-G5.0.2.F 320</t>
  </si>
  <si>
    <t>Q.PEAK DUO BLK-G5.F 325</t>
  </si>
  <si>
    <t>Q.PEAK DUO BLK-G5.F 330</t>
  </si>
  <si>
    <t>Q.PEAK DUO BLK-G5.F 290</t>
  </si>
  <si>
    <t>Q.PEAK DUO BLK-G5.F 295</t>
  </si>
  <si>
    <t>Q.PEAK DUO BLK-G5.0.3.F 310</t>
  </si>
  <si>
    <t>Q.PEAK DUO BLK-G5.0.3.F 315</t>
  </si>
  <si>
    <t>Q.PEAK DUO BLK-G5.F 320</t>
  </si>
  <si>
    <t>Q.PEAK DUO BLK-G5/SC 300</t>
  </si>
  <si>
    <t>Q.PEAK DUO BLK G5/SC</t>
  </si>
  <si>
    <t>Q.PEAK DUO BLK SC</t>
  </si>
  <si>
    <t>Q.PEAK DUO BLK-G5/SC 305</t>
  </si>
  <si>
    <t>Q.PEAK DUO BLK G5 SC 310</t>
  </si>
  <si>
    <t>Q.PEAK DUO BLK-G5/SC 315</t>
  </si>
  <si>
    <t>Q.PEAK DUO BLK-G5/SC 320</t>
  </si>
  <si>
    <t>Q.PEAK DUO BLK-G5/SC 325</t>
  </si>
  <si>
    <t>Q.PEAK DUO BLK G5.F 300</t>
  </si>
  <si>
    <t>Q.PEAK DUO BLK G5.F 305</t>
  </si>
  <si>
    <t>Q.PEAK DUO BLK G5.F 310</t>
  </si>
  <si>
    <t>Q.PEAK DUO BLK G5.F 315</t>
  </si>
  <si>
    <t>Q.PEAK DUO BLK G5.F 320</t>
  </si>
  <si>
    <t>Q.PEAK DUO BLK G5.F 325</t>
  </si>
  <si>
    <t>Q.PEAK DUO BLK G5.F 330</t>
  </si>
  <si>
    <t>Q.PEAK DUO BLK-G5/SC.V 300</t>
  </si>
  <si>
    <t>Q.PEAK DUO BLK-G5/SC.V 305</t>
  </si>
  <si>
    <t>Q.PEAK DUO BLK-G5/SC.V 310</t>
  </si>
  <si>
    <t>Q.PEAK DUO BLK-G5/SC.V 315</t>
  </si>
  <si>
    <t>Q.PEAK DUO BLK-G5/SC.V 320</t>
  </si>
  <si>
    <t>Q.PEAK DUO BLK-G5/SC.V 325</t>
  </si>
  <si>
    <t>Q.PEAK DUO BLK-G5/SC.V 330</t>
  </si>
  <si>
    <t>Q.PEAK DUO BLK G6+ 330</t>
  </si>
  <si>
    <t>Q.PEAK DUO BLK G6+</t>
  </si>
  <si>
    <t>Q.PEAK DUO BLK G6+ 335</t>
  </si>
  <si>
    <t>Q.PEAK DUO BLK G6+.0.1.V 335</t>
  </si>
  <si>
    <t>Q.PEAK DUO BLK G6P+.0.3 335</t>
  </si>
  <si>
    <t>Q.PEAK DUO BLK G6+ 340</t>
  </si>
  <si>
    <t>Q.PEAK DUO BLK G6+.0.1.V 340</t>
  </si>
  <si>
    <t>Q.PEAK DUO BLK-G6+.0.1.V</t>
  </si>
  <si>
    <t>Q.PEAK DUO BLK G6+ 345</t>
  </si>
  <si>
    <t>Q.PEAK DUO BLK G6P+/SC</t>
  </si>
  <si>
    <t>Q.PEAK DUO BLK G6+/SC</t>
  </si>
  <si>
    <t>Q.PEAK DUO BLK-G6P+/TS</t>
  </si>
  <si>
    <t>Q.PEAK DUO BLK G6+/TS</t>
  </si>
  <si>
    <t>Q.PEAK DUO BLK G8P+</t>
  </si>
  <si>
    <t>Q.PEAK DUO BLK G8+</t>
  </si>
  <si>
    <t>Q.PEAK DUO BLK G8P+.0.2</t>
  </si>
  <si>
    <t>Q.PEAK DUO BLK-G8P+.0.1</t>
  </si>
  <si>
    <t>Q.PEAK DUO L-G5.2.F 365</t>
  </si>
  <si>
    <t>Q.PEAK DUO L-G5.2.F 370</t>
  </si>
  <si>
    <t>Q.PEAK DUO L-G5.2.F 375</t>
  </si>
  <si>
    <t>Q.PEAK DUO L-G5.2.0.F 380</t>
  </si>
  <si>
    <t>Q.PEAK DUO L G5.2.0.F 385</t>
  </si>
  <si>
    <t>Q.PEAK DUO L-G5.2.0.F 390</t>
  </si>
  <si>
    <t>Q.PEAK DUO L-G5.2.F 395</t>
  </si>
  <si>
    <t>Q.PEAK DUO L-G5.2.F 400</t>
  </si>
  <si>
    <t>Q.PEAK DUO L-G5.2.0.V 405</t>
  </si>
  <si>
    <t>Q.PEAK DUO L-G5.2.1.V</t>
  </si>
  <si>
    <t>Q.PEAK DUO L-G5.3 365</t>
  </si>
  <si>
    <t>Q.PEAK DUO L-G5.3 370</t>
  </si>
  <si>
    <t>Q.PEAK DUO L-G5.3 375</t>
  </si>
  <si>
    <t>Q.PEAK DUO L-G5.3.1.F 380</t>
  </si>
  <si>
    <t>Q.PEAK DUO L-G5.3 385</t>
  </si>
  <si>
    <t>Q.PEAK DUO L-G5.3 390</t>
  </si>
  <si>
    <t>Q.PEAK DUO L-G5.3 395</t>
  </si>
  <si>
    <t>Q.PEAK DUO L-G5.3 400</t>
  </si>
  <si>
    <t>Q.PEAK DUO L-G5.3 405</t>
  </si>
  <si>
    <t>Q.PEAK DUO L-G5.3 410</t>
  </si>
  <si>
    <t>Q.PEAK DUO L-G5.3 415</t>
  </si>
  <si>
    <t>Q.PEAK DUO L-G8.2.1.V 415</t>
  </si>
  <si>
    <t>Q.PEAK DUO L G8</t>
  </si>
  <si>
    <t>Q.PEAK DUO L-G8.2.2.V 415</t>
  </si>
  <si>
    <t>Q.PEAK DUO L-G8.2 435</t>
  </si>
  <si>
    <t>Q.PEAK DUO L-G8P.2</t>
  </si>
  <si>
    <t>12004245_29</t>
  </si>
  <si>
    <t>12004246_29</t>
  </si>
  <si>
    <t>12004247_29</t>
  </si>
  <si>
    <t>Q.PEAK DUO L-G8.2 415</t>
  </si>
  <si>
    <t>Q.PEAK DUO L-G8P.2.1 420</t>
  </si>
  <si>
    <t>Q.PEAK DUO L-G8P.2.1</t>
  </si>
  <si>
    <t>Q.PEAK DUO L-G8P.3.0/BGT</t>
  </si>
  <si>
    <t>Q.PEAK DUO L G8 BGT</t>
  </si>
  <si>
    <t>Q.PEAK DUO L-G8P.3.1/BGT</t>
  </si>
  <si>
    <t>Q.PEAK DUO L-G8P.3/BGT</t>
  </si>
  <si>
    <t>Q.PEAK DUO L-G8P.3.1/BFG</t>
  </si>
  <si>
    <t>Q.PEAK DUO L G8 BFG</t>
  </si>
  <si>
    <t>Q.PEAK DUO L-G5.3 420</t>
  </si>
  <si>
    <t>Q.PEAK DUO L-G5.3.F 360</t>
  </si>
  <si>
    <t>Q.PEAK DUO L-G5.3.F 365</t>
  </si>
  <si>
    <t>Q.PEAK DUO L-G5.3.F 370</t>
  </si>
  <si>
    <t>Q.PEAK DUO L-G5.3.F 375</t>
  </si>
  <si>
    <t>Q.PEAK DUO L-G5.3.F 380</t>
  </si>
  <si>
    <t>Q.PEAK DUO L-G5.3.0.F 385</t>
  </si>
  <si>
    <t>Q.PEAK DUO L-G5.3.0.F 390</t>
  </si>
  <si>
    <t>Q.PEAK DUO L-G5.3.F 395</t>
  </si>
  <si>
    <t>Q.PEAK DUO L-G5.3.F 400</t>
  </si>
  <si>
    <t>Q.PEAK DUO L-G5.2.1.F 380</t>
  </si>
  <si>
    <t>Q.PEAK DUO L-G5.2.1.F 385</t>
  </si>
  <si>
    <t>Q.PEAK DUO L-G5.3 380</t>
  </si>
  <si>
    <t>Q.PEAK DUO L G5.3.1.F 385</t>
  </si>
  <si>
    <t>Q.PEAK DUO L G5.3.1.F 390</t>
  </si>
  <si>
    <t>Q.PEAK DUO L-G5.2.F 380</t>
  </si>
  <si>
    <t>Q.PEAK DUO L-G5.2.F 385</t>
  </si>
  <si>
    <t>Q.PEAK DUO L-G5.2.F 390</t>
  </si>
  <si>
    <t>Q.PEAK DUO L-G5.3.F 385</t>
  </si>
  <si>
    <t>Q.PEAK DUO L-G5.3.0.V 390</t>
  </si>
  <si>
    <t>Q.PEAK DUO L-G5.3.0.V 400</t>
  </si>
  <si>
    <t>Q.PEAK DUO L-G5.2.1.V 395</t>
  </si>
  <si>
    <t>Q.PEAK DUO L-G5.2.2.V</t>
  </si>
  <si>
    <t>Q.PEAK DUO L-G5.2.1.V 400</t>
  </si>
  <si>
    <t>Q.PEAK DUO L-G5.2.3.V</t>
  </si>
  <si>
    <t>Q.PEAK DUO L-G7.3 395</t>
  </si>
  <si>
    <t>Q.PEAK DUO L G7</t>
  </si>
  <si>
    <t>Q.PEAK DUO L-G7.3.5</t>
  </si>
  <si>
    <t>Q.PEAK DUO L-G7.3.1.V</t>
  </si>
  <si>
    <t>Q.PEAK DUO L-G7.3 400</t>
  </si>
  <si>
    <t>Q.PEAK DUO L-G7.3 405</t>
  </si>
  <si>
    <t>Q.PEAK DUO L-G7.2.1.V 395</t>
  </si>
  <si>
    <t>Q.PEAK DUO L-G7.2.0.V 395</t>
  </si>
  <si>
    <t>Q.PEAK DUO L-G7.2.1.V 400</t>
  </si>
  <si>
    <t>Q.PEAK DUO L-G7.2.1.V 405</t>
  </si>
  <si>
    <t>Q.PEAK DUO L-G7.2.1.V 410</t>
  </si>
  <si>
    <t>Q.PEAK DUO L-G7.2.0.V 400</t>
  </si>
  <si>
    <t>Q.PEAK DUO L-G8.2.2.V</t>
  </si>
  <si>
    <t>Q.PEAK DUO L-G8.2.1.V</t>
  </si>
  <si>
    <t>Q.PEAK DUO L-G8.3.1.V</t>
  </si>
  <si>
    <t>Q.PEAK DUO L-G8.3.2.V</t>
  </si>
  <si>
    <t>Q.PEAK DUO L-G8P.3.0</t>
  </si>
  <si>
    <t>Q.PEAK DUO L-G8.2 430</t>
  </si>
  <si>
    <t>Q.PEAK DUO L G5.2 395</t>
  </si>
  <si>
    <t>Q.PEAK DUO L G5.2 390</t>
  </si>
  <si>
    <t>Q.PEAK DUO L G5.2 400</t>
  </si>
  <si>
    <t>Q.PEAK DUO L G5.2 405</t>
  </si>
  <si>
    <t>Q.PEAK DUO L G5.2 385</t>
  </si>
  <si>
    <t>Q.PEAK DUO L G7.2 400</t>
  </si>
  <si>
    <t>Q.PEAK DUO L G7.2 395</t>
  </si>
  <si>
    <t>Q.PEAK DUO L G7.2 405</t>
  </si>
  <si>
    <t>Q.PEAK DUO L-G7.2 405</t>
  </si>
  <si>
    <t>Q.PEAK DUO L G8C.2</t>
  </si>
  <si>
    <t> 22</t>
  </si>
  <si>
    <t> 660</t>
  </si>
  <si>
    <t> 28</t>
  </si>
  <si>
    <t> 840</t>
  </si>
  <si>
    <t> 30</t>
  </si>
  <si>
    <t>Q.PEAK DUO G6.0.1.F 335</t>
  </si>
  <si>
    <t>Q.PEAK DUO G6</t>
  </si>
  <si>
    <t>Q.PEAK DUO G6.0.1.F 340</t>
  </si>
  <si>
    <t>Q.PEAK DUO G6.0.1.F 345</t>
  </si>
  <si>
    <t>Q.PEAK DUO-G8</t>
  </si>
  <si>
    <t>Q.PEAK DUO G8</t>
  </si>
  <si>
    <t>12005041+</t>
  </si>
  <si>
    <t>Q.PEAK DUO-G8+</t>
  </si>
  <si>
    <t>Q.PEAK DUO G8+</t>
  </si>
  <si>
    <t>12005040+</t>
  </si>
  <si>
    <t>12005041F+</t>
  </si>
  <si>
    <t>12005040F+</t>
  </si>
  <si>
    <t>HSL60P6-PB-4-250W</t>
  </si>
  <si>
    <t>OTHERS</t>
  </si>
  <si>
    <t>HSL60P6-PB-4-245Q</t>
  </si>
  <si>
    <t>HSL60P6-PB-4-255T</t>
  </si>
  <si>
    <t>HSL60P6-PB-4-255TW</t>
  </si>
  <si>
    <t>Q.PRO L G2.3 310</t>
  </si>
  <si>
    <t xml:space="preserve">Q.PRO L G2.3 </t>
  </si>
  <si>
    <t>Q.PRO BFR-G4.3 260</t>
  </si>
  <si>
    <t>Q.PRO BFR G4.3</t>
  </si>
  <si>
    <t>Q.PRO BFR-G4.3 265</t>
  </si>
  <si>
    <t>HSL60P6-PC-3-260W</t>
  </si>
  <si>
    <t>HSL72P6-PC-3-315Q.</t>
  </si>
  <si>
    <t>694061111227131006PM</t>
  </si>
  <si>
    <t>HSL72P6-PC-3-310Q</t>
  </si>
  <si>
    <t>HQC0019</t>
  </si>
  <si>
    <t>Q.PLUS BFR-G4 280 SAMPLE</t>
  </si>
  <si>
    <t>HSL60P6-PC-3-255</t>
  </si>
  <si>
    <t>HSL60P6-PC-3-260</t>
  </si>
  <si>
    <t>HSL72P6-PB-4-295T</t>
  </si>
  <si>
    <t>HSL72P6-PB-4-300</t>
  </si>
  <si>
    <t>HSL72P6-PB-4-300C</t>
  </si>
  <si>
    <t>HSL72P6-PB-4-300T</t>
  </si>
  <si>
    <t>HSL72P6-PC-3-305</t>
  </si>
  <si>
    <t>HSL72P6-PC-3-305Q</t>
  </si>
  <si>
    <t>HSL72P6-PC-3-310</t>
  </si>
  <si>
    <t>Q.PEAK DUO L G5.2 360</t>
  </si>
  <si>
    <t>G01</t>
  </si>
  <si>
    <t>Q.PEAK DUO L G5.2 365</t>
  </si>
  <si>
    <t>Q.PEAK DUO L G5.2 370</t>
  </si>
  <si>
    <t>Q.PEAK DUO L G5.2 375</t>
  </si>
  <si>
    <t>Q.PEAK DUO L G5.2 380</t>
  </si>
  <si>
    <t>Q.PEAK DUO L G5.2 410</t>
  </si>
  <si>
    <t>Q.PEAK DUO L G5.2 415</t>
  </si>
  <si>
    <t>Q.PEAK DUO L G5.2 420</t>
  </si>
  <si>
    <t>Q.PEAK DUO L G5.2 425</t>
  </si>
  <si>
    <t>Q.PEAK DUO L G5.2 430</t>
  </si>
  <si>
    <t>G02</t>
  </si>
  <si>
    <t>Q.PEAK DUO L G5.3 360</t>
  </si>
  <si>
    <t>Q.PEAK DUO L G5.3 365</t>
  </si>
  <si>
    <t>Q.PEAK DUO L G5.3 370</t>
  </si>
  <si>
    <t>Q.PEAK DUO L G5.3 375</t>
  </si>
  <si>
    <t>Q.PEAK DUO L G5.3 380</t>
  </si>
  <si>
    <t>Q.PEAK DUO L G5.3 385</t>
  </si>
  <si>
    <t>Q.PEAK DUO L G5.3 390</t>
  </si>
  <si>
    <t>Q.PEAK DUO L G5.3 395</t>
  </si>
  <si>
    <t>Q.PEAK DUO L G5.3 400</t>
  </si>
  <si>
    <t>Q.PEAK DUO L G5.3 405</t>
  </si>
  <si>
    <t>Q.PEAK DUO L G5.3 410</t>
  </si>
  <si>
    <t>Q.PEAK DUO L G5.3 415</t>
  </si>
  <si>
    <t>Q.PEAK DUO L G5.3 420</t>
  </si>
  <si>
    <t>Q.PEAK DUO L G5.3 425</t>
  </si>
  <si>
    <t>Q.PEAK DUO L G5.3 430</t>
  </si>
  <si>
    <t>Q.PLUS DUO L G5.2 330</t>
  </si>
  <si>
    <t>Q.PLUS DUO L G5.2 335</t>
  </si>
  <si>
    <t>Q.PLUS DUO L G5.2 340</t>
  </si>
  <si>
    <t>Q.PLUS DUO L G5.2 345</t>
  </si>
  <si>
    <t>Q.PLUS DUO L G5.2 350</t>
  </si>
  <si>
    <t>Q.PLUS DUO L G5.2 355</t>
  </si>
  <si>
    <t>Q.PLUS DUO L G5.2 365</t>
  </si>
  <si>
    <t>Q.PLUS DUO L G5.2 370</t>
  </si>
  <si>
    <t>Q.PLUS DUO L G5.2 375</t>
  </si>
  <si>
    <t>Q.PLUS DUO L G5.2 380</t>
  </si>
  <si>
    <t>Q.PLUS DUO L G5.2 385</t>
  </si>
  <si>
    <t>Q.PLUS DUO L G5.2 390</t>
  </si>
  <si>
    <t>Q.PLUS DUO L G5.2 395</t>
  </si>
  <si>
    <t>Q.PLUS DUO L G5.2 400</t>
  </si>
  <si>
    <t>Q.PLUS DUO L G5.3 330</t>
  </si>
  <si>
    <t>Q.PLUS DUO L G5.3 335</t>
  </si>
  <si>
    <t>Q.PLUS DUO L G5.3 340</t>
  </si>
  <si>
    <t>Q.PLUS DUO L G5.3 345</t>
  </si>
  <si>
    <t>Q.PLUS DUO L G5.3 350</t>
  </si>
  <si>
    <t>Q.PLUS DUO L G5.3 355</t>
  </si>
  <si>
    <t>Q.PLUS DUO L G5.3 360</t>
  </si>
  <si>
    <t>Q.PLUS DUO L G5.3 365</t>
  </si>
  <si>
    <t>Q.PLUS DUO L G5.3 370</t>
  </si>
  <si>
    <t>Q.PLUS DUO L G5.3 375</t>
  </si>
  <si>
    <t>Q.PLUS DUO L G5.3 380</t>
  </si>
  <si>
    <t>Q.PLUS DUO L G5.3 385</t>
  </si>
  <si>
    <t>Q.PLUS DUO L G5.3 390</t>
  </si>
  <si>
    <t>Q.PLUS DUO L G5.3 395</t>
  </si>
  <si>
    <t>Q.PLUS DUO L G5.3 400</t>
  </si>
  <si>
    <t>Q.PEAK DUO BLK G5 295</t>
  </si>
  <si>
    <t>Q.PEAK DUO BLK G5 300</t>
  </si>
  <si>
    <t>Q.PEAK DUO BLK G5 315</t>
  </si>
  <si>
    <t>Q.PEAK DUO BLK G5.V 315</t>
  </si>
  <si>
    <t>Q.PEAK DUO BLK G5 320</t>
  </si>
  <si>
    <t>Q.PEAK DUO BLK G5.V 320</t>
  </si>
  <si>
    <t>Q.PEAK DUO BLK G5 325</t>
  </si>
  <si>
    <t>Q.PEAK DUO BLK G5 330</t>
  </si>
  <si>
    <t>Q.PEAK DUO BLK G5 335</t>
  </si>
  <si>
    <t>Q.PEAK DUO BLK G5 340</t>
  </si>
  <si>
    <t>Q.PEAK DUO BLK G5 345</t>
  </si>
  <si>
    <t>Q.PEAK DUO BLK G5 350</t>
  </si>
  <si>
    <t>Q.PEAK DUO BLK G5 355</t>
  </si>
  <si>
    <t>Q.PEAK DUO BLK G5 360</t>
  </si>
  <si>
    <t>Q.PEAK DUO BLK G5 365</t>
  </si>
  <si>
    <t>Q.PEAK DUO L G5.3.V 395</t>
  </si>
  <si>
    <t>Q.PEAK DUO L G5.3.V 400</t>
  </si>
  <si>
    <t xml:space="preserve">Q.PEAK DUO L G5.2.V </t>
  </si>
  <si>
    <t>Q.PEAK DUO L G5.2.V</t>
  </si>
  <si>
    <t>Q.PEAK DUO L G5.3.V</t>
  </si>
  <si>
    <t>Q.PEAK DUO L G5.2.V 395</t>
  </si>
  <si>
    <t>Q.PEAK DUO L G5.2.V 385</t>
  </si>
  <si>
    <t>Q.PEAK DUO L G5.2.V 400</t>
  </si>
  <si>
    <t>Q.PEAK DUO L G5.2.V 405</t>
  </si>
  <si>
    <t>Q.PEAK DUO L G6P.2</t>
  </si>
  <si>
    <t xml:space="preserve">Q.PEAK DUO L G6 </t>
  </si>
  <si>
    <t xml:space="preserve">Q.PEAK DUO </t>
  </si>
  <si>
    <t>Q.PEAK DUO L G6C.2</t>
  </si>
  <si>
    <t>Q.PEAK DUO L-G6P.2.1</t>
  </si>
  <si>
    <t>Q.PEAK DUO L-G6P.3</t>
  </si>
  <si>
    <t>Q.PEAK DUO L-G6P.3/BGT</t>
  </si>
  <si>
    <t>Q.PEAK DUO L G6 BGT</t>
  </si>
  <si>
    <t>Q.PEAK DUO L-G6P.3/BFG</t>
  </si>
  <si>
    <t>Q.PEAK DUO L G6 BFG</t>
  </si>
  <si>
    <t>Q.PEAK DUO L G6P.2 410</t>
  </si>
  <si>
    <t>Q.PEAK DUO L G6P.2 415</t>
  </si>
  <si>
    <t>Q.PEAK DUO L G6P.2 420</t>
  </si>
  <si>
    <t>Q.PEAK DUO L G6P.2 425</t>
  </si>
  <si>
    <t>Q.PEAK DUO L-G6P.2 400</t>
  </si>
  <si>
    <t>Q.PEAK DUO L-G6P.2 410</t>
  </si>
  <si>
    <t>Q.PEAK DUO L-G6P.2 420</t>
  </si>
  <si>
    <t xml:space="preserve">Q.PEAK DUO L-G6P.2 </t>
  </si>
  <si>
    <t>Q.PEAK DUO L-G6P.2</t>
  </si>
  <si>
    <t>Q.PEAK DUO L G6P.2 430</t>
  </si>
  <si>
    <t>Q.PEAK DUO L G6P.2 435</t>
  </si>
  <si>
    <t>Q.PLUS DUO L G5.2 V 360</t>
  </si>
  <si>
    <t>Q.PLUS DUO L G5.2.V 355</t>
  </si>
  <si>
    <t>Q.PEAK DUO BLK G5.V</t>
  </si>
  <si>
    <t>Q.PEAK DUO BLK-G6P+/AC 335</t>
  </si>
  <si>
    <t>Q.PEAK DUO BLK G6+/AC</t>
  </si>
  <si>
    <t>Q.PEAK DUO G5 360</t>
  </si>
  <si>
    <t>Q.PEAK DUO G5 365</t>
  </si>
  <si>
    <t>Q.PEAK DUO BLK G6P+</t>
  </si>
  <si>
    <t>Q.PEAK DUO BLK G6P+ 340</t>
  </si>
  <si>
    <t>Q.PEAK DUO BLK-G6C+.0.1</t>
  </si>
  <si>
    <t>Q.PEAK DUO BLK-G6C+.0.2</t>
  </si>
  <si>
    <t>Q.PEAK DUO BLK G6P+.0.1</t>
  </si>
  <si>
    <t>Q.PEAK DUO BLK G6P+.0.2</t>
  </si>
  <si>
    <t>Q.PEAK DUO BLK-G6P+.0.4</t>
  </si>
  <si>
    <t>Q.PEAK DUO BLK-G6P+.0.5</t>
  </si>
  <si>
    <t>Q.PEAK DUO BLK-G6P+.0.3</t>
  </si>
  <si>
    <t>Q.PEAK DUO G6P+.0.3</t>
  </si>
  <si>
    <t>30375909_S</t>
  </si>
  <si>
    <t>Q.PEAK DUO BLK ML-G9P+.0.1</t>
  </si>
  <si>
    <t>Q.PEAK DUO BLK ML G9+</t>
  </si>
  <si>
    <t>Q.PEAK DUO BLK ML-G9P+.0.2</t>
  </si>
  <si>
    <t>Q.PEAK DUO BLK ML-G9P+.0.3</t>
  </si>
  <si>
    <t>Q.PEAK DUO BLK ML-G9P+.0.4</t>
  </si>
  <si>
    <t>Q.PEAK DUO BLK ML G9C+</t>
  </si>
  <si>
    <t>Q.PEAK DUO-G6C+</t>
  </si>
  <si>
    <t>Q.PEAK DUO-G6C+.0.1</t>
  </si>
  <si>
    <t>Q.PEAK DUO ML G10+</t>
  </si>
  <si>
    <t>Q.PEAK DUO ML G10BC+</t>
  </si>
  <si>
    <t>Q.PEAK DUO ML-G10BC.a+</t>
  </si>
  <si>
    <t>Q.PEAK DUO ML G10.a+</t>
  </si>
  <si>
    <t>30372158</t>
  </si>
  <si>
    <t>Q.PEAK DUO BLK ML-G10BC+</t>
  </si>
  <si>
    <t>Q.PEAK DUO BLK ML G10+</t>
  </si>
  <si>
    <t>30390155F+</t>
  </si>
  <si>
    <t>Q.PEAK DUO BLK ML-G10BC+.0.1</t>
  </si>
  <si>
    <t>30390455F+</t>
  </si>
  <si>
    <t>30390456+</t>
  </si>
  <si>
    <t>30390456F+</t>
  </si>
  <si>
    <t>30390156+</t>
  </si>
  <si>
    <t>T400H</t>
  </si>
  <si>
    <t>T395H</t>
  </si>
  <si>
    <t>Q.PEAK DUO BLK ML-G10.A+/TS</t>
  </si>
  <si>
    <t>T400H / T395H / T390H</t>
  </si>
  <si>
    <t>Q.PEAK DUO BLK ML G10C.a+</t>
  </si>
  <si>
    <t>Q.PEAK DUO BLK ML G10.a+</t>
  </si>
  <si>
    <t>Q.PEAK DUO BLK G10+</t>
  </si>
  <si>
    <t>Q.PEAK DUO BLK ML-G10.A+</t>
  </si>
  <si>
    <t xml:space="preserve">Q.PEAK DUO BLK ML-G10.A+ </t>
  </si>
  <si>
    <t xml:space="preserve">Q.PEAK DUO BLK ML G10.a+ </t>
  </si>
  <si>
    <t>Q.PEAK DUO XL-G9.3/BFG</t>
  </si>
  <si>
    <t>Q.PEAK DUO XL G9 BFG</t>
  </si>
  <si>
    <t>Q.PEAK DUO XL</t>
  </si>
  <si>
    <t>Q.PEAK DUO XL-G9.3/BFG.L</t>
  </si>
  <si>
    <t>Q.PEAK DUO XL-G10.3/BFG</t>
  </si>
  <si>
    <t>Q.PEAK DUO XL G10 BFG</t>
  </si>
  <si>
    <t>Q.PEAK DUO XL G10C.3/BFG</t>
  </si>
  <si>
    <t> 20</t>
  </si>
  <si>
    <t> 600</t>
  </si>
  <si>
    <t>Q.PEAK DUO XL-G10B.C</t>
  </si>
  <si>
    <t xml:space="preserve">Q.PEAK DUO XL G10 </t>
  </si>
  <si>
    <t>Q.PEAK DUO XL-G10.C</t>
  </si>
  <si>
    <t>Q.PEAK DUO XL G10</t>
  </si>
  <si>
    <t xml:space="preserve">Q.PEAK DUO XL </t>
  </si>
  <si>
    <t>Q.PEAK DUO XL G10.c</t>
  </si>
  <si>
    <t>Q.PEAK DUO XL-G10.D</t>
  </si>
  <si>
    <t>Q.PEAK DUO XL G10.c 480</t>
  </si>
  <si>
    <t>Q.PEAK DUO XL-G10C.3/BFG</t>
  </si>
  <si>
    <t>Q.PEAK DUO XL-G10C.3.1/BFG</t>
  </si>
  <si>
    <t>Q.PEAK DUO XL-G10BC.C</t>
  </si>
  <si>
    <t>Q.PEAK DUO XL G10C.D/BFG</t>
  </si>
  <si>
    <t>Q.PEAK DUO ML G9+</t>
  </si>
  <si>
    <t>Q.PEAK DUO BLK G6P+ 335</t>
  </si>
  <si>
    <t>Q.PEAK DUO BLK G6P+ 355</t>
  </si>
  <si>
    <t>Q.PEAK DUO BLK G6P+/AC 340</t>
  </si>
  <si>
    <t>Q.PEAK DUO BLK G6P+/AC 350</t>
  </si>
  <si>
    <t>Q.PEAK DUO BLK G6P+/AC 335</t>
  </si>
  <si>
    <t>Q.PEAK DUO BLK G10+/AC 360</t>
  </si>
  <si>
    <t>Q.PEAK DUO BLK G10+/AC</t>
  </si>
  <si>
    <t>Q.PEAK DUO BLK G6P+/AC 330</t>
  </si>
  <si>
    <t>Q.PEAK DUO BLK-G6P+/AC 350</t>
  </si>
  <si>
    <t>Q.PEAK DUO BLK-G6P+/TS 340</t>
  </si>
  <si>
    <t>Q.PEAK DUO BLK G6P 335</t>
  </si>
  <si>
    <t>Q.PEAK DUO L-G6C.2</t>
  </si>
  <si>
    <t>Q.PEAK DUO G6P+ 350</t>
  </si>
  <si>
    <t>Q.PEAK DUO BLK G6P+ 330</t>
  </si>
  <si>
    <t>Q.PEAK DUO BLK G6+ HL 335</t>
  </si>
  <si>
    <t>Q.PEAK DUO BLK G6+/HL</t>
  </si>
  <si>
    <t>Q.PEAK DUO BLK G6+ HL 340</t>
  </si>
  <si>
    <t>Q.PEAK DUO BLK-G6P+/HL 340</t>
  </si>
  <si>
    <t>Q.PEAK DUO BLK G6P+/HL 340</t>
  </si>
  <si>
    <t>Q.PEAK DUO BLK-G6P+/HL 335</t>
  </si>
  <si>
    <t>Q.PEAK DUO BLK G6P+/HL 330</t>
  </si>
  <si>
    <t>Q.PEAK DUO BLK G6P+/HL 335</t>
  </si>
  <si>
    <t>Q.PEAK DUO BLK-G6C+</t>
  </si>
  <si>
    <t>Q.PEAK DUO BLK-G6P+</t>
  </si>
  <si>
    <t>Q.PEAK DUO BLK-G6C+/TS</t>
  </si>
  <si>
    <t>Q.PEAK DUO BLK G6C+</t>
  </si>
  <si>
    <t>Q.PEAK DUO BLK G6C+ (62_14)</t>
  </si>
  <si>
    <t>Q.PEAK DUO BLK-G6C+.0.3</t>
  </si>
  <si>
    <t>Q.PEAK DUO BLK G6+ 325</t>
  </si>
  <si>
    <t>Q.PLUS BFR G4.1 290</t>
  </si>
  <si>
    <t>Q.PLUS G4.3.0.A.F 280</t>
  </si>
  <si>
    <t>Q.PLUS G4.3</t>
  </si>
  <si>
    <t>Q.PLUS G4.3.0.A.F 285</t>
  </si>
  <si>
    <t>Q.PLUS G4.3 285</t>
  </si>
  <si>
    <t>Q.PEAK L-G4.2.1.F</t>
  </si>
  <si>
    <t>Q.PLUS L-G4.2.7.A.F</t>
  </si>
  <si>
    <t>30112510Tesla</t>
  </si>
  <si>
    <t>Q.PEAK DUO BLK ML-G10+</t>
  </si>
  <si>
    <t>Q.PEAK DUO XL G10.3/BFG</t>
  </si>
  <si>
    <t>ALLOC CW</t>
  </si>
  <si>
    <t>Legal</t>
  </si>
  <si>
    <t>SST</t>
  </si>
  <si>
    <t>Wp</t>
  </si>
  <si>
    <t>PCS</t>
  </si>
  <si>
    <t>Total W</t>
  </si>
  <si>
    <t>ASP</t>
  </si>
  <si>
    <t>Pre Tariff ASP</t>
  </si>
  <si>
    <t>Tariff revenue</t>
  </si>
  <si>
    <t>Freight/ Storage Charge</t>
  </si>
  <si>
    <t>Taxes</t>
  </si>
  <si>
    <t>CVD</t>
  </si>
  <si>
    <t>WH/PS</t>
  </si>
  <si>
    <t>SPA</t>
  </si>
  <si>
    <t>SO Approval</t>
  </si>
  <si>
    <t>KB</t>
  </si>
  <si>
    <t>Casey</t>
  </si>
  <si>
    <t>Q.PEAK DUO XL G10.3 BFG</t>
  </si>
  <si>
    <t>CIP</t>
  </si>
  <si>
    <t>MD</t>
  </si>
  <si>
    <t>GA</t>
  </si>
  <si>
    <t>Y</t>
  </si>
  <si>
    <t>N</t>
  </si>
  <si>
    <t>P3H</t>
  </si>
  <si>
    <t>100% received</t>
  </si>
  <si>
    <t>PO-01202</t>
  </si>
  <si>
    <t>Alten Group, Inc.</t>
  </si>
  <si>
    <t>Harvey</t>
  </si>
  <si>
    <t>12005833C</t>
  </si>
  <si>
    <t>Jacksonville</t>
  </si>
  <si>
    <t>FL</t>
  </si>
  <si>
    <t>NJ</t>
  </si>
  <si>
    <t>PS</t>
  </si>
  <si>
    <t>Y(need to change item#)</t>
  </si>
  <si>
    <t>Alternative Energy Store Inc.</t>
  </si>
  <si>
    <t>Ukiah</t>
  </si>
  <si>
    <t>10% received</t>
  </si>
  <si>
    <t>PO-98768</t>
  </si>
  <si>
    <t>do AR/CR</t>
  </si>
  <si>
    <t>PO-98767</t>
  </si>
  <si>
    <t xml:space="preserve">Boxborough </t>
  </si>
  <si>
    <t>MA</t>
  </si>
  <si>
    <t>allocate/SST/legal</t>
  </si>
  <si>
    <t>PO-98870</t>
  </si>
  <si>
    <t>PO-98869</t>
  </si>
  <si>
    <t>PO-98868</t>
  </si>
  <si>
    <t>Ameresco Inc.</t>
  </si>
  <si>
    <t>Chris</t>
  </si>
  <si>
    <t>30397472F</t>
  </si>
  <si>
    <t>Q.PEAK DUO XL G10.C</t>
  </si>
  <si>
    <t>ATL</t>
  </si>
  <si>
    <t>TBD</t>
  </si>
  <si>
    <t>Q.PEAK DUO XL G10.2</t>
  </si>
  <si>
    <t>Petaluna</t>
  </si>
  <si>
    <t>12201-01-03B</t>
  </si>
  <si>
    <t>Azimuth Energy,LLC</t>
  </si>
  <si>
    <t>Johnson</t>
  </si>
  <si>
    <t>Q.PEAK DUO XL G11.3 BFG</t>
  </si>
  <si>
    <t>St.Louis</t>
  </si>
  <si>
    <t>IL</t>
  </si>
  <si>
    <t>shipped as C</t>
  </si>
  <si>
    <t>BayWa r.e. Solar Systems LLC</t>
  </si>
  <si>
    <t>Joliet</t>
  </si>
  <si>
    <t>TACOMA</t>
  </si>
  <si>
    <t>PO-33096</t>
  </si>
  <si>
    <t>Eagan</t>
  </si>
  <si>
    <t>MN</t>
  </si>
  <si>
    <t>PO-33097</t>
  </si>
  <si>
    <t>PO-33101</t>
  </si>
  <si>
    <t>Bordentown</t>
  </si>
  <si>
    <t>PO-33102</t>
  </si>
  <si>
    <t>PO-33103</t>
  </si>
  <si>
    <t>PO-34032</t>
  </si>
  <si>
    <t>Mesa</t>
  </si>
  <si>
    <t>AZ</t>
  </si>
  <si>
    <t>PO-34031</t>
  </si>
  <si>
    <t>Pompano Beach</t>
  </si>
  <si>
    <t>PO-34029</t>
  </si>
  <si>
    <t>Ozone Park</t>
  </si>
  <si>
    <t>NY</t>
  </si>
  <si>
    <t>PO-34027</t>
  </si>
  <si>
    <t xml:space="preserve">Chatsworth </t>
  </si>
  <si>
    <t>PO-34026</t>
  </si>
  <si>
    <t>PO-34022</t>
  </si>
  <si>
    <t>Plano</t>
  </si>
  <si>
    <t>TX</t>
  </si>
  <si>
    <t>PO-34021</t>
  </si>
  <si>
    <t>San Leandro</t>
  </si>
  <si>
    <t>G1</t>
  </si>
  <si>
    <t>Q.PEAK DUO L G8.2</t>
  </si>
  <si>
    <t>Savannah, GA</t>
  </si>
  <si>
    <t>N (NEW PO APPROVALS)</t>
  </si>
  <si>
    <t>need tax and address in SAP / CYB MODS PER SST</t>
  </si>
  <si>
    <t>LES#1</t>
  </si>
  <si>
    <t>Branham Group, Inc.</t>
  </si>
  <si>
    <t>12005832C</t>
  </si>
  <si>
    <t>Franklin</t>
  </si>
  <si>
    <t>NC</t>
  </si>
  <si>
    <t>Wilkesboro</t>
  </si>
  <si>
    <t>Hamlet</t>
  </si>
  <si>
    <t>Mills River</t>
  </si>
  <si>
    <t>Charlotte</t>
  </si>
  <si>
    <t>Kannapolis</t>
  </si>
  <si>
    <t>9009-000322</t>
  </si>
  <si>
    <t>Brookfield Renewable DG US Operations, LLC</t>
  </si>
  <si>
    <t>Baltimore</t>
  </si>
  <si>
    <t>21230</t>
  </si>
  <si>
    <t>need rev PO</t>
  </si>
  <si>
    <t>SST/legal</t>
  </si>
  <si>
    <t>9009-000231</t>
  </si>
  <si>
    <t>0120-WG903535S</t>
  </si>
  <si>
    <t>CED Greentech Albany</t>
  </si>
  <si>
    <t>ALBANY</t>
  </si>
  <si>
    <t>12205</t>
  </si>
  <si>
    <t>0120-WG903591S</t>
  </si>
  <si>
    <t>0120-WG903782S</t>
  </si>
  <si>
    <t>30390373C</t>
  </si>
  <si>
    <t>0120-WL903926S PT1</t>
  </si>
  <si>
    <t>0120-WL903926S PT2</t>
  </si>
  <si>
    <t>0120-WL903926S PT3</t>
  </si>
  <si>
    <t>0120-WL903926S PT4</t>
  </si>
  <si>
    <t>0120-WL903926S PT5</t>
  </si>
  <si>
    <t>0120-WL903926S PT6</t>
  </si>
  <si>
    <t>CED Greentech Auburn</t>
  </si>
  <si>
    <t>Q.PEAK DUO L G6.2</t>
  </si>
  <si>
    <t>CT</t>
  </si>
  <si>
    <t>Columbia</t>
  </si>
  <si>
    <t>MI</t>
  </si>
  <si>
    <t>30384561C</t>
  </si>
  <si>
    <t>12004246F</t>
  </si>
  <si>
    <t>Rochester</t>
  </si>
  <si>
    <t>Cedar Rapids</t>
  </si>
  <si>
    <t>IA</t>
  </si>
  <si>
    <t>0224-JV910033S</t>
  </si>
  <si>
    <t>Auburn</t>
  </si>
  <si>
    <t>sent</t>
  </si>
  <si>
    <t>CED Greentech Cedar Rapids</t>
  </si>
  <si>
    <t>N/A</t>
  </si>
  <si>
    <t>CED Greentech Columbus</t>
  </si>
  <si>
    <t>Groveport</t>
  </si>
  <si>
    <t>OH</t>
  </si>
  <si>
    <t>Q.PEAK DUO BLK G10+ AC</t>
  </si>
  <si>
    <t>30397872C</t>
  </si>
  <si>
    <t>Q.PEAK DUO XL G10.D BFG</t>
  </si>
  <si>
    <t>CED Greentech Connecticut</t>
  </si>
  <si>
    <t>4984-FV945670D</t>
  </si>
  <si>
    <t>Wallingford</t>
  </si>
  <si>
    <t>4984-MW945915S</t>
  </si>
  <si>
    <t>1670-RF950741S</t>
  </si>
  <si>
    <t>Danbury</t>
  </si>
  <si>
    <t>06810</t>
  </si>
  <si>
    <t>4984-FV946480S</t>
  </si>
  <si>
    <t>4984-FV946482S</t>
  </si>
  <si>
    <t>CED Greentech Detroit</t>
  </si>
  <si>
    <t>CED Greentech Indiana</t>
  </si>
  <si>
    <t>Hammond</t>
  </si>
  <si>
    <t>IN</t>
  </si>
  <si>
    <t>46320</t>
  </si>
  <si>
    <t>PALMETTO</t>
  </si>
  <si>
    <t>1045-CL-907022S</t>
  </si>
  <si>
    <t>1045-CL-906608S PT1</t>
  </si>
  <si>
    <t>1045-CL-906608S PT2</t>
  </si>
  <si>
    <t>1045-CL-906665S PT2</t>
  </si>
  <si>
    <t>1045-CL-907056S PT1</t>
  </si>
  <si>
    <t>1045-CL-906645S</t>
  </si>
  <si>
    <t>priority</t>
  </si>
  <si>
    <t>1045-CL-906666S PT1</t>
  </si>
  <si>
    <t>1045-CL-906666S PT2</t>
  </si>
  <si>
    <t>1045-CL-907056S PT2</t>
  </si>
  <si>
    <t>1045-CL-907056S PT3</t>
  </si>
  <si>
    <t>1045-CL-907150S PT1</t>
  </si>
  <si>
    <t>1045-CL-907150S PT2</t>
  </si>
  <si>
    <t>1045-CL-907150S PT3</t>
  </si>
  <si>
    <t>1045-CL-907150S PT4</t>
  </si>
  <si>
    <t>Need SST approval</t>
  </si>
  <si>
    <t>1045-CL-906646S</t>
  </si>
  <si>
    <t>1045-CL-906667S</t>
  </si>
  <si>
    <t>1045-CL-906647S</t>
  </si>
  <si>
    <t>revised PO to NON-SPA</t>
  </si>
  <si>
    <t>1045-CL-906738S</t>
  </si>
  <si>
    <t>3584-PAUL-903301S PT2</t>
  </si>
  <si>
    <t>CED Greentech Kansas City</t>
  </si>
  <si>
    <t>Kansas City</t>
  </si>
  <si>
    <t>MO</t>
  </si>
  <si>
    <t>64120</t>
  </si>
  <si>
    <t>6BB</t>
  </si>
  <si>
    <t>30390456H</t>
  </si>
  <si>
    <t>Berkeley</t>
  </si>
  <si>
    <t>allocate</t>
  </si>
  <si>
    <t>3584-PAUL-904160S</t>
  </si>
  <si>
    <t>new PO</t>
  </si>
  <si>
    <t>3584-PAUL-903453S PT1</t>
  </si>
  <si>
    <t>ENCOR</t>
  </si>
  <si>
    <t>3584-PAUL-903301S</t>
  </si>
  <si>
    <t>3584-PAUL-903453S PT2</t>
  </si>
  <si>
    <t>3584-PAUL-903453S PT5</t>
  </si>
  <si>
    <t>3584-PAUL-903451S PT2</t>
  </si>
  <si>
    <t>3584-PAUL-903451S PT3</t>
  </si>
  <si>
    <t>4422-SB900368S</t>
  </si>
  <si>
    <t>CED Greentech Maine</t>
  </si>
  <si>
    <t>Saco</t>
  </si>
  <si>
    <t>ME</t>
  </si>
  <si>
    <t>04072</t>
  </si>
  <si>
    <t>4422-SB900369S</t>
  </si>
  <si>
    <t>4422-SB900537S</t>
  </si>
  <si>
    <t>4422-SB900538S</t>
  </si>
  <si>
    <t>4422-SB900641S</t>
  </si>
  <si>
    <t>4422-SB900642S</t>
  </si>
  <si>
    <t>4422-SB900643S</t>
  </si>
  <si>
    <t>4422-SB900644S</t>
  </si>
  <si>
    <t>revise to 475W BFG</t>
  </si>
  <si>
    <t>9106-CM929725S PT1</t>
  </si>
  <si>
    <t xml:space="preserve">CED Greentech Maryland </t>
  </si>
  <si>
    <t>9106-CM929485S</t>
  </si>
  <si>
    <t>9106-CM929725S PT2</t>
  </si>
  <si>
    <t>CED Greentech Minneapolis</t>
  </si>
  <si>
    <t>Fridley</t>
  </si>
  <si>
    <t>55421</t>
  </si>
  <si>
    <t>ALL ENERGY SOLAR</t>
  </si>
  <si>
    <t>4664-GS-903115S</t>
  </si>
  <si>
    <t>4664-GS-903104S PT2</t>
  </si>
  <si>
    <t>4664-GS-903105S PT2</t>
  </si>
  <si>
    <t>need payment</t>
  </si>
  <si>
    <t>4664-GS-903131S PT4</t>
  </si>
  <si>
    <t>4664-GS-903131S PT5</t>
  </si>
  <si>
    <t>4664-GS-903131S PT6</t>
  </si>
  <si>
    <t>4664-GS-903105S PT3</t>
  </si>
  <si>
    <t>4664-GS-903172S</t>
  </si>
  <si>
    <t>4664-GS-903104S PT3</t>
  </si>
  <si>
    <t>4664-GS-903105S PT4</t>
  </si>
  <si>
    <t>4664-GS-903104S PT4</t>
  </si>
  <si>
    <t>SST/legal GA MODS</t>
  </si>
  <si>
    <t>4664-GS-903229S</t>
  </si>
  <si>
    <t>30397572F</t>
  </si>
  <si>
    <t>GA Mods Only</t>
  </si>
  <si>
    <t>4664-GS-903192S</t>
  </si>
  <si>
    <t>4664-GS-903179S</t>
  </si>
  <si>
    <t>CED Greentech New Jersey</t>
  </si>
  <si>
    <t>Pennsauken</t>
  </si>
  <si>
    <t>Q.PEAK DUO L G6.3 BFG</t>
  </si>
  <si>
    <t>Stroudsburg</t>
  </si>
  <si>
    <t>PA</t>
  </si>
  <si>
    <t>5887-RD949028S</t>
  </si>
  <si>
    <t>5887-RD948480S</t>
  </si>
  <si>
    <t>5887-RD948679S</t>
  </si>
  <si>
    <t>5887-RD948680S</t>
  </si>
  <si>
    <t>6462-JR906587S</t>
  </si>
  <si>
    <t>CED Greentech Rochester</t>
  </si>
  <si>
    <t>6462-JR906780S</t>
  </si>
  <si>
    <t>6462-JR906781S</t>
  </si>
  <si>
    <t>6462-JR906782S</t>
  </si>
  <si>
    <t>CED Greentech St. Louis</t>
  </si>
  <si>
    <t>6640-PAUL900922S</t>
  </si>
  <si>
    <t>6640-LE901097D</t>
  </si>
  <si>
    <t>6640-LE901098D</t>
  </si>
  <si>
    <t>containers cannot be pulled yet</t>
  </si>
  <si>
    <t>allocate/need rev PO</t>
  </si>
  <si>
    <t>CED Greentech Stroudsburg</t>
  </si>
  <si>
    <t>0933-KD906880S</t>
  </si>
  <si>
    <t>CED Greentech Vermont</t>
  </si>
  <si>
    <t>Burlington</t>
  </si>
  <si>
    <t>VT</t>
  </si>
  <si>
    <t>0933-KD906881S</t>
  </si>
  <si>
    <t>6408-HA-900439S</t>
  </si>
  <si>
    <t>CED Greentech Virginia</t>
  </si>
  <si>
    <t>Richmond</t>
  </si>
  <si>
    <t>VA</t>
  </si>
  <si>
    <t>P3L</t>
  </si>
  <si>
    <t>CVS Development, LLC / Concho Valley Solar, LLC</t>
  </si>
  <si>
    <t>San Angelo</t>
  </si>
  <si>
    <t>KA-CVS-22-01 PT2</t>
  </si>
  <si>
    <t>30397572C</t>
  </si>
  <si>
    <t>Houston</t>
  </si>
  <si>
    <t>Distributed Solar Operations, LLC</t>
  </si>
  <si>
    <t>Dawson</t>
  </si>
  <si>
    <t>Marion</t>
  </si>
  <si>
    <t>Sparks</t>
  </si>
  <si>
    <t>NV</t>
  </si>
  <si>
    <t>2020-2918(Keasbey)</t>
  </si>
  <si>
    <t>Keasbey</t>
  </si>
  <si>
    <t>2020-2918(Sparks#3)</t>
  </si>
  <si>
    <t>2020-2918(Keasbey#2)</t>
  </si>
  <si>
    <t>2020-2918(Sparks#4)</t>
  </si>
  <si>
    <t>Keasby</t>
  </si>
  <si>
    <t>2020-2918(Keasbey#3)</t>
  </si>
  <si>
    <t>DEC</t>
  </si>
  <si>
    <t>Chino</t>
  </si>
  <si>
    <t>EPCP3670</t>
  </si>
  <si>
    <t>Duke Energy Renewables Solar,LLC , Jackpot Holdings, LLC</t>
  </si>
  <si>
    <t>Pocatello</t>
  </si>
  <si>
    <t>ID</t>
  </si>
  <si>
    <t>2022PO001</t>
  </si>
  <si>
    <t>Empire Valorize, LLC</t>
  </si>
  <si>
    <t>Kirkwood</t>
  </si>
  <si>
    <t>need rev PO?</t>
  </si>
  <si>
    <t>2019PO002</t>
  </si>
  <si>
    <t>30391491C</t>
  </si>
  <si>
    <t>Mooers Forks</t>
  </si>
  <si>
    <t>2019PO001</t>
  </si>
  <si>
    <t>2210PO001</t>
  </si>
  <si>
    <t>Amsterdam</t>
  </si>
  <si>
    <t>2209PO001</t>
  </si>
  <si>
    <t>2208PO001</t>
  </si>
  <si>
    <t>2210PO002</t>
  </si>
  <si>
    <t>2203PO001</t>
  </si>
  <si>
    <t>Mamakating</t>
  </si>
  <si>
    <t>2115PO003</t>
  </si>
  <si>
    <t xml:space="preserve">Whitney Point </t>
  </si>
  <si>
    <t>2213PO001</t>
  </si>
  <si>
    <t>Alfred</t>
  </si>
  <si>
    <t>2108PO003</t>
  </si>
  <si>
    <t>2107PO003</t>
  </si>
  <si>
    <t>Greece</t>
  </si>
  <si>
    <t>2114PO001</t>
  </si>
  <si>
    <t>Candor</t>
  </si>
  <si>
    <t>2121PO001</t>
  </si>
  <si>
    <t>Enertech Global, LLC</t>
  </si>
  <si>
    <t>AR/CR</t>
  </si>
  <si>
    <t>Greenville</t>
  </si>
  <si>
    <t>Evergreen Energy, LLC</t>
  </si>
  <si>
    <t>Spotswood</t>
  </si>
  <si>
    <t>Lakewood</t>
  </si>
  <si>
    <t>Green Mountain Electric Supply Inc</t>
  </si>
  <si>
    <t>Clifton Park</t>
  </si>
  <si>
    <t>DES-HAU-2021-002</t>
  </si>
  <si>
    <t>HAU Cheshire Project, LLC</t>
  </si>
  <si>
    <t>Brian</t>
  </si>
  <si>
    <t>Cheshire</t>
  </si>
  <si>
    <t>21-632R0 (Knightstown)</t>
  </si>
  <si>
    <t xml:space="preserve">Indiana Municipal Power Agency </t>
  </si>
  <si>
    <t>30397872F</t>
  </si>
  <si>
    <t>Knightstown</t>
  </si>
  <si>
    <t>21-632R0 (Gas City 2)</t>
  </si>
  <si>
    <t>Gas City</t>
  </si>
  <si>
    <t>CYB MODS PER SST</t>
  </si>
  <si>
    <t>21-632R0 (Richmond 7)</t>
  </si>
  <si>
    <t>21-632R0 (Richmond 6)</t>
  </si>
  <si>
    <t>21-632R0 (Middletown)</t>
  </si>
  <si>
    <t>Middletown</t>
  </si>
  <si>
    <t>21-632R0 (Washington 2)</t>
  </si>
  <si>
    <t>WI</t>
  </si>
  <si>
    <t>y</t>
  </si>
  <si>
    <t>5% received</t>
  </si>
  <si>
    <t>Inc.9227</t>
  </si>
  <si>
    <t>Nexamp, Inc.</t>
  </si>
  <si>
    <t>South Hadley</t>
  </si>
  <si>
    <t>01075</t>
  </si>
  <si>
    <t>need 90% payment /  CYB MODS PER SST</t>
  </si>
  <si>
    <t>PASS-22</t>
  </si>
  <si>
    <t>Park Avenue Solar Solutions,LLC</t>
  </si>
  <si>
    <t>West Haven</t>
  </si>
  <si>
    <t>Penters,LLC</t>
  </si>
  <si>
    <t>Grand Rapids</t>
  </si>
  <si>
    <t>Mark</t>
  </si>
  <si>
    <t>Sitelogiq</t>
  </si>
  <si>
    <t>SES-Q2 2022</t>
  </si>
  <si>
    <t>Solar Energy Systems, LLC</t>
  </si>
  <si>
    <t>SPO110159</t>
  </si>
  <si>
    <t>Solect Energy Development, LLC</t>
  </si>
  <si>
    <t>NEED PAYMENT</t>
  </si>
  <si>
    <t>Norton</t>
  </si>
  <si>
    <t>SPO110462</t>
  </si>
  <si>
    <t>SPO110466</t>
  </si>
  <si>
    <t>21.15.413.002</t>
  </si>
  <si>
    <t>Strata Solar, LLC</t>
  </si>
  <si>
    <t>Lexington</t>
  </si>
  <si>
    <t>21.16.491.002</t>
  </si>
  <si>
    <t>Littleton</t>
  </si>
  <si>
    <t>21.14.362.002</t>
  </si>
  <si>
    <t>Reidsville</t>
  </si>
  <si>
    <t>21.16.487.002</t>
  </si>
  <si>
    <t>21.16.547.002</t>
  </si>
  <si>
    <t>Louisburg</t>
  </si>
  <si>
    <t>21.16.579.008</t>
  </si>
  <si>
    <t>Ridgelwood</t>
  </si>
  <si>
    <t>21.16.474.002</t>
  </si>
  <si>
    <t>Laurinburg</t>
  </si>
  <si>
    <t>21.20.056.001</t>
  </si>
  <si>
    <t>Summit Ridge Energy, LLC</t>
  </si>
  <si>
    <t>Worcester</t>
  </si>
  <si>
    <t>30390371C</t>
  </si>
  <si>
    <t>30397571F</t>
  </si>
  <si>
    <t>30397571C</t>
  </si>
  <si>
    <t>cynthia</t>
  </si>
  <si>
    <t>Portland</t>
  </si>
  <si>
    <t xml:space="preserve">HNW2021-02 SUB PO#3 </t>
  </si>
  <si>
    <t>HNW2022-01</t>
  </si>
  <si>
    <t>2/31/2023</t>
  </si>
  <si>
    <t>HNW2021-02 SUB PO#2 (Worcester)</t>
  </si>
  <si>
    <t>Savannah</t>
  </si>
  <si>
    <t>NJ (not on report?)</t>
  </si>
  <si>
    <t xml:space="preserve">Tesla, Inc (FKA: Tesla Motors, Inc.) </t>
  </si>
  <si>
    <t>Bob</t>
  </si>
  <si>
    <t>Tesla T395H</t>
  </si>
  <si>
    <t>Lathrop</t>
  </si>
  <si>
    <t>Tacoma</t>
  </si>
  <si>
    <t>Tesla T400H</t>
  </si>
  <si>
    <t>Hayward</t>
  </si>
  <si>
    <t>Elkridge</t>
  </si>
  <si>
    <t>30390255H</t>
  </si>
  <si>
    <t>APR</t>
  </si>
  <si>
    <t>TN</t>
  </si>
  <si>
    <t>7700016249 (475W PT1)</t>
  </si>
  <si>
    <t>Austin</t>
  </si>
  <si>
    <t>30390256H</t>
  </si>
  <si>
    <t>7700016249 (475W PT2)</t>
  </si>
  <si>
    <t>30397871C</t>
  </si>
  <si>
    <t>7700010822 (PT7)</t>
  </si>
  <si>
    <t>30390256F</t>
  </si>
  <si>
    <t>MAY</t>
  </si>
  <si>
    <t>JUNE</t>
  </si>
  <si>
    <t>JUL</t>
  </si>
  <si>
    <t>AUG</t>
  </si>
  <si>
    <t>SEP</t>
  </si>
  <si>
    <t>OCT</t>
  </si>
  <si>
    <t>NOV</t>
  </si>
  <si>
    <t>20211020-1</t>
  </si>
  <si>
    <t>US Clean Energy Construction, Inc</t>
  </si>
  <si>
    <t>Pitman</t>
  </si>
  <si>
    <t>need paymnent</t>
  </si>
  <si>
    <t>P100989659</t>
  </si>
  <si>
    <t>US Electrical Services, Inc.</t>
  </si>
  <si>
    <t>Stoughton</t>
  </si>
  <si>
    <t>P100990198</t>
  </si>
  <si>
    <t>P100990202</t>
  </si>
  <si>
    <t>P100990213</t>
  </si>
  <si>
    <t>P100990215</t>
  </si>
  <si>
    <t>P101035459</t>
  </si>
  <si>
    <t>P100990192</t>
  </si>
  <si>
    <t>P100990197</t>
  </si>
  <si>
    <t>allocation removed</t>
  </si>
  <si>
    <t>White Spruce Holdings, LLC  CS Energy, LLC</t>
  </si>
  <si>
    <t>30397272F</t>
  </si>
  <si>
    <t>Q.PEAK DUO XL G10C.D BFG</t>
  </si>
  <si>
    <t>Greenport</t>
  </si>
  <si>
    <t>12534</t>
  </si>
  <si>
    <t>Claverack</t>
  </si>
  <si>
    <t>deposit</t>
  </si>
  <si>
    <t>past due AR</t>
  </si>
  <si>
    <t>2002900024(Cicero)</t>
  </si>
  <si>
    <t>30381259F</t>
  </si>
  <si>
    <t>Cicero</t>
  </si>
  <si>
    <t>Kearsarge Solar,LLC</t>
  </si>
  <si>
    <t>Beverly</t>
  </si>
  <si>
    <t>PO-102 FIN</t>
  </si>
  <si>
    <t>Portsmouth</t>
  </si>
  <si>
    <t>PI</t>
  </si>
  <si>
    <t>NEW PO</t>
  </si>
  <si>
    <t>LUMIO</t>
  </si>
  <si>
    <t>Cranbury</t>
  </si>
  <si>
    <t>HI</t>
  </si>
  <si>
    <t>SIP
(Y/N)</t>
  </si>
  <si>
    <t>MODULE</t>
  </si>
  <si>
    <t>NO. PLT</t>
  </si>
  <si>
    <t>Check Mods</t>
  </si>
  <si>
    <t>Check PW</t>
  </si>
  <si>
    <t>Balance due 48110.40; requesting to revise to 400w</t>
  </si>
  <si>
    <t>ACA Technology Inc.</t>
  </si>
  <si>
    <t xml:space="preserve">need payment </t>
  </si>
  <si>
    <t>MIKE</t>
  </si>
  <si>
    <t>30368817F</t>
  </si>
  <si>
    <t>Chino Hills</t>
  </si>
  <si>
    <t>91709</t>
  </si>
  <si>
    <t>CED Greentech Anaheim</t>
  </si>
  <si>
    <t>Anaheim</t>
  </si>
  <si>
    <t>ATL, GA</t>
  </si>
  <si>
    <t>CED Greentech San Diego</t>
  </si>
  <si>
    <t>SAN DIEGO</t>
  </si>
  <si>
    <t>CED Greentech Seattle</t>
  </si>
  <si>
    <t>Colin</t>
  </si>
  <si>
    <t>KENT</t>
  </si>
  <si>
    <t>WA</t>
  </si>
  <si>
    <t>98032</t>
  </si>
  <si>
    <t>Bellingham</t>
  </si>
  <si>
    <t>CED Greentech Ventura</t>
  </si>
  <si>
    <t>Ventura</t>
  </si>
  <si>
    <t>30390155H</t>
  </si>
  <si>
    <t>Krannich Solar East LLC</t>
  </si>
  <si>
    <t>92806</t>
  </si>
  <si>
    <t>1521-BL966822S PT6</t>
  </si>
  <si>
    <t>1521-BL967659S</t>
  </si>
  <si>
    <t>1521-BL967724S</t>
  </si>
  <si>
    <t>1521-BL967725S</t>
  </si>
  <si>
    <t>1521-BL967726S</t>
  </si>
  <si>
    <t>1521-BL967487S</t>
  </si>
  <si>
    <t>1521-BL967475S</t>
  </si>
  <si>
    <t>1521-BL966822S PT7</t>
  </si>
  <si>
    <t>1521-BL967488S</t>
  </si>
  <si>
    <t>1521-BL967476S</t>
  </si>
  <si>
    <t>1521-BL967489S</t>
  </si>
  <si>
    <t>1521-BL967490S</t>
  </si>
  <si>
    <t>1521-BL967477S</t>
  </si>
  <si>
    <t>1521-BL967478S</t>
  </si>
  <si>
    <t>1521-BL967491S</t>
  </si>
  <si>
    <t>1521-BL967479S</t>
  </si>
  <si>
    <t>1521-BL967492S</t>
  </si>
  <si>
    <t>1521-BL967480S</t>
  </si>
  <si>
    <t>1521-BL967493S</t>
  </si>
  <si>
    <t>1521-BL967494S</t>
  </si>
  <si>
    <t>1521-BL967481S</t>
  </si>
  <si>
    <t>1521-BL967495S</t>
  </si>
  <si>
    <t>1521-BL967482S</t>
  </si>
  <si>
    <t>1521-BL967902S</t>
  </si>
  <si>
    <t>1521-BL967903S</t>
  </si>
  <si>
    <t>1521-BL967904S</t>
  </si>
  <si>
    <t>Ozop Energy Systems INC</t>
  </si>
  <si>
    <t xml:space="preserve">Q.PEAK DUO BLK G10+ </t>
  </si>
  <si>
    <t>Carlsbad</t>
  </si>
  <si>
    <t>30390156H</t>
  </si>
  <si>
    <t>0311-SA912153S PT3</t>
  </si>
  <si>
    <t xml:space="preserve">CED Greentech Bakersfield </t>
  </si>
  <si>
    <t>12BB (CA)</t>
  </si>
  <si>
    <t xml:space="preserve">Bakersfield </t>
  </si>
  <si>
    <t>Revised PO NON-SPA</t>
  </si>
  <si>
    <t>0311-SA912154S</t>
  </si>
  <si>
    <t>0589-MH900675S</t>
  </si>
  <si>
    <t>CED Greentech Bellingham</t>
  </si>
  <si>
    <t>98226</t>
  </si>
  <si>
    <t>0589-ZH900710S</t>
  </si>
  <si>
    <t>001</t>
  </si>
  <si>
    <t>0311-TC912890S</t>
  </si>
  <si>
    <t>CED Greentech Bakersfield</t>
  </si>
  <si>
    <t>Bakersfield</t>
  </si>
  <si>
    <t>93305</t>
  </si>
  <si>
    <t>0756-SJ905166S</t>
  </si>
  <si>
    <t>CED Greentech Boise</t>
  </si>
  <si>
    <t>Meridian</t>
  </si>
  <si>
    <t>0756-SJ905167S</t>
  </si>
  <si>
    <t>0756-SJ905168S</t>
  </si>
  <si>
    <t>0821-KA-900649S</t>
  </si>
  <si>
    <t>CED Greentech Bozeman</t>
  </si>
  <si>
    <t>Bozeman</t>
  </si>
  <si>
    <t>MT</t>
  </si>
  <si>
    <t>Sacramento</t>
  </si>
  <si>
    <t>95828</t>
  </si>
  <si>
    <t>0311-TC912889S</t>
  </si>
  <si>
    <t>1024-ES941617S</t>
  </si>
  <si>
    <t>CED Greentech Chatsworth</t>
  </si>
  <si>
    <t>CHATSWORTH</t>
  </si>
  <si>
    <t>1024-ES941619S</t>
  </si>
  <si>
    <t>1024-WB941130S PT3</t>
  </si>
  <si>
    <t>1024-WB941130S PT4</t>
  </si>
  <si>
    <t>1024-ES941620S</t>
  </si>
  <si>
    <t>1024-ES941621S</t>
  </si>
  <si>
    <t>1024-ES941622S</t>
  </si>
  <si>
    <t>1024-ES941623S</t>
  </si>
  <si>
    <t>1024-ES941624S</t>
  </si>
  <si>
    <t>Bend</t>
  </si>
  <si>
    <t>OR</t>
  </si>
  <si>
    <t>1024-ES941618S</t>
  </si>
  <si>
    <t>Long Beach</t>
  </si>
  <si>
    <t>1024-WB941130S PT2</t>
  </si>
  <si>
    <t>CED Greentech Chico</t>
  </si>
  <si>
    <t>CPM-LADWP-QCELL-Q4202 PT2</t>
  </si>
  <si>
    <t>Clean Power Management LLC</t>
  </si>
  <si>
    <t>Q.PEAK DUO L G8.3 BFG</t>
  </si>
  <si>
    <t>Chatsworth</t>
  </si>
  <si>
    <t>CED Greentech Fresno</t>
  </si>
  <si>
    <t>Visalia</t>
  </si>
  <si>
    <t>Lake Elsinore</t>
  </si>
  <si>
    <t>92530</t>
  </si>
  <si>
    <t>1057-CMC900314S PT4</t>
  </si>
  <si>
    <t>Chico</t>
  </si>
  <si>
    <t>95928</t>
  </si>
  <si>
    <t>30397471C</t>
  </si>
  <si>
    <t>Fresno</t>
  </si>
  <si>
    <t>93703</t>
  </si>
  <si>
    <t>2576-JB909180S PT2</t>
  </si>
  <si>
    <t>Frenso</t>
  </si>
  <si>
    <t>SOCAL SPA</t>
  </si>
  <si>
    <t>1024-ES941625S</t>
  </si>
  <si>
    <t>1024-ES941626S</t>
  </si>
  <si>
    <t>93727</t>
  </si>
  <si>
    <t>30376609H</t>
  </si>
  <si>
    <t>1057-CMC900434S PT3</t>
  </si>
  <si>
    <t>CED Greentech Hawaii</t>
  </si>
  <si>
    <t>30372157H</t>
  </si>
  <si>
    <t>Waipahu</t>
  </si>
  <si>
    <t>96797</t>
  </si>
  <si>
    <t>1057-CMC900434S PT1</t>
  </si>
  <si>
    <t>1057-CMC900434S PT2</t>
  </si>
  <si>
    <t>MALMA SOLAR AND HEC</t>
  </si>
  <si>
    <t>CED Greentech Portland</t>
  </si>
  <si>
    <t>Milkwaukie</t>
  </si>
  <si>
    <t>97222</t>
  </si>
  <si>
    <t>5971-SH908367S PT2</t>
  </si>
  <si>
    <t>TIgard</t>
  </si>
  <si>
    <t>97224</t>
  </si>
  <si>
    <t>Horizantly Stacked/ revised PO bfg mods</t>
  </si>
  <si>
    <t>9185-BPM904309S</t>
  </si>
  <si>
    <t>Revised PO</t>
  </si>
  <si>
    <t>CED Greentech Pocatello</t>
  </si>
  <si>
    <t>Chubbuck</t>
  </si>
  <si>
    <t>5971-SH908368S</t>
  </si>
  <si>
    <t>Tigard</t>
  </si>
  <si>
    <t>CED Greentech Riverside</t>
  </si>
  <si>
    <t>Riverside</t>
  </si>
  <si>
    <t>92507</t>
  </si>
  <si>
    <t>NEXUS SPA</t>
  </si>
  <si>
    <t>2576-JB909556S PT2</t>
  </si>
  <si>
    <t>2576-JB909482D PT2</t>
  </si>
  <si>
    <t>2576-JB909689S PT2</t>
  </si>
  <si>
    <t>2576-JB908981D</t>
  </si>
  <si>
    <t>revised po</t>
  </si>
  <si>
    <t xml:space="preserve"> Q.PEAK DUO XL G10</t>
  </si>
  <si>
    <t xml:space="preserve">Clovis </t>
  </si>
  <si>
    <t>93612</t>
  </si>
  <si>
    <t>2576-JB909723S PT1</t>
  </si>
  <si>
    <t>2576-JB909248D</t>
  </si>
  <si>
    <t xml:space="preserve"> Q.PEAK DUO XL G10.2</t>
  </si>
  <si>
    <t>93611</t>
  </si>
  <si>
    <t>2576-JB909482D PT3</t>
  </si>
  <si>
    <t>2576-JB909482D PT4</t>
  </si>
  <si>
    <t>2576-JB909651S PT1</t>
  </si>
  <si>
    <t>2576-JB910016S PT1</t>
  </si>
  <si>
    <t>2576-JB909651S PT2</t>
  </si>
  <si>
    <t>2576-JB909482D PT5</t>
  </si>
  <si>
    <t>2576-JB910016S PT2</t>
  </si>
  <si>
    <t>2576-JB909482D PT6</t>
  </si>
  <si>
    <t>2576-JB909651S PT3</t>
  </si>
  <si>
    <t>2576-JB909482D PT7</t>
  </si>
  <si>
    <t>2576-JB909482D PT8</t>
  </si>
  <si>
    <t>2576-JB909482D PT9</t>
  </si>
  <si>
    <t>2576-JB909479D PT2</t>
  </si>
  <si>
    <t>2576-JB909556S PT3</t>
  </si>
  <si>
    <t>2576-JB909479D PT3</t>
  </si>
  <si>
    <t>30397871F</t>
  </si>
  <si>
    <t>EXW</t>
  </si>
  <si>
    <t>Ontario</t>
  </si>
  <si>
    <t>Infinity Energy Inc.</t>
  </si>
  <si>
    <t>San Diego</t>
  </si>
  <si>
    <t>CED Greentech Sacramento</t>
  </si>
  <si>
    <t>COLIN</t>
  </si>
  <si>
    <t>SACRAMENTO</t>
  </si>
  <si>
    <t>95834</t>
  </si>
  <si>
    <t>POWUR</t>
  </si>
  <si>
    <t>PO2781 PT4</t>
  </si>
  <si>
    <t>PO2783 PT2</t>
  </si>
  <si>
    <t>6BB/12BB</t>
  </si>
  <si>
    <t>PO2783 PT4</t>
  </si>
  <si>
    <t>PO2784 PT4</t>
  </si>
  <si>
    <t>Pleasanton</t>
  </si>
  <si>
    <t>PO4189 PT1</t>
  </si>
  <si>
    <t>Rocklin</t>
  </si>
  <si>
    <t>95765</t>
  </si>
  <si>
    <t>PO4190 PT1</t>
  </si>
  <si>
    <t>92123</t>
  </si>
  <si>
    <t>PO4191 PT1</t>
  </si>
  <si>
    <t>PO4193 PT1</t>
  </si>
  <si>
    <t>93308</t>
  </si>
  <si>
    <t>PO4194 PT1</t>
  </si>
  <si>
    <t>93722</t>
  </si>
  <si>
    <t>PO4195 PT1</t>
  </si>
  <si>
    <t>Delivery address TBA/ only use malysia mods/ Columbia</t>
  </si>
  <si>
    <t>7133-SB982920S</t>
  </si>
  <si>
    <t>Sun Valley</t>
  </si>
  <si>
    <t>91352</t>
  </si>
  <si>
    <t xml:space="preserve">US Assembled Baker </t>
  </si>
  <si>
    <t>7133-JIM983364S PT3</t>
  </si>
  <si>
    <t>5040-JB980814S</t>
  </si>
  <si>
    <t>CED Greentech San Leandro</t>
  </si>
  <si>
    <t>SAN LEANDRO</t>
  </si>
  <si>
    <t>94577</t>
  </si>
  <si>
    <t>5040-JB980815S</t>
  </si>
  <si>
    <t>Baker Electric Inc.</t>
  </si>
  <si>
    <t>Cypress</t>
  </si>
  <si>
    <t>90630</t>
  </si>
  <si>
    <t>5040-JB981602S</t>
  </si>
  <si>
    <t xml:space="preserve">Horizantly Stacked/ revised PO pricing </t>
  </si>
  <si>
    <t>9185-BPM904115S</t>
  </si>
  <si>
    <t>9185-BPM904167S</t>
  </si>
  <si>
    <t>Compton</t>
  </si>
  <si>
    <t>CED Greentech Santa Rosa</t>
  </si>
  <si>
    <t>Santa Rosa</t>
  </si>
  <si>
    <t>9185-BPM904117S</t>
  </si>
  <si>
    <t>9185-BPM904114S</t>
  </si>
  <si>
    <t>9185-BPM904311S</t>
  </si>
  <si>
    <t>Revised PO long cable requirement is removed</t>
  </si>
  <si>
    <t>7953-NR904678S PT1</t>
  </si>
  <si>
    <t>Q.PEAK DUO XL G10.3/D BFG</t>
  </si>
  <si>
    <t>5951-SJ901006S</t>
  </si>
  <si>
    <t>5951-SJ901007S</t>
  </si>
  <si>
    <t>7953-NR904703S PT1</t>
  </si>
  <si>
    <t>5971-SH908369S</t>
  </si>
  <si>
    <t>5971-SH908370S</t>
  </si>
  <si>
    <t>5971-SH908370S PT1</t>
  </si>
  <si>
    <t>CED Greentech Tracy</t>
  </si>
  <si>
    <t>STOCKTON</t>
  </si>
  <si>
    <t>95215</t>
  </si>
  <si>
    <t>PO4199 PT2</t>
  </si>
  <si>
    <t>Weslaco</t>
  </si>
  <si>
    <t>78599</t>
  </si>
  <si>
    <t>PO4189 PT2</t>
  </si>
  <si>
    <t>PO4191 PT2</t>
  </si>
  <si>
    <t>PO4193 PT2</t>
  </si>
  <si>
    <t>PO4194 PT2</t>
  </si>
  <si>
    <t>PO4196 PT2</t>
  </si>
  <si>
    <t>94566</t>
  </si>
  <si>
    <t>PO4195 PT2</t>
  </si>
  <si>
    <t>PO4196 PT3</t>
  </si>
  <si>
    <t>Garland</t>
  </si>
  <si>
    <t>75041</t>
  </si>
  <si>
    <t>PO4197 PT3</t>
  </si>
  <si>
    <t>8797-RA937694S</t>
  </si>
  <si>
    <t>PO4199 PT3</t>
  </si>
  <si>
    <t>Do not wish to change orders to BFG</t>
  </si>
  <si>
    <t>2021-701905</t>
  </si>
  <si>
    <t>2021-700789 PT1</t>
  </si>
  <si>
    <t xml:space="preserve">Krannich Solar West LLC </t>
  </si>
  <si>
    <t>Oceanside</t>
  </si>
  <si>
    <t>8797-RA937982S PT1</t>
  </si>
  <si>
    <t>Stockton</t>
  </si>
  <si>
    <t>2022-700021</t>
  </si>
  <si>
    <t>Krannich Solar West LLC</t>
  </si>
  <si>
    <t>2021-700790 PT1</t>
  </si>
  <si>
    <t>Rejected by SST; revised pricing</t>
  </si>
  <si>
    <t>8797-RA937983S PT1</t>
  </si>
  <si>
    <t>CED Greentech San Jose</t>
  </si>
  <si>
    <t>30376609C</t>
  </si>
  <si>
    <t>6435-JH987168S PT2</t>
  </si>
  <si>
    <t>6435-JH987855S PT2</t>
  </si>
  <si>
    <t>6435-JH987724S</t>
  </si>
  <si>
    <t>ENCOR SPA</t>
  </si>
  <si>
    <t>6435-JH987725S PT1</t>
  </si>
  <si>
    <t>6435-JH987725S PT2</t>
  </si>
  <si>
    <t>6435-JH987726S</t>
  </si>
  <si>
    <t xml:space="preserve">San Jose </t>
  </si>
  <si>
    <t>95131</t>
  </si>
  <si>
    <t>VENTURA</t>
  </si>
  <si>
    <t xml:space="preserve">revised po to 415w or reduce qty </t>
  </si>
  <si>
    <t>6552-NZ970020S</t>
  </si>
  <si>
    <t>6552-TH971158S</t>
  </si>
  <si>
    <t>Q.PEAK DUO XL G10.C/D BFG</t>
  </si>
  <si>
    <t>6552-NZ970279S</t>
  </si>
  <si>
    <t>6552-NZ970280S PT1</t>
  </si>
  <si>
    <t>PO4189 PT3</t>
  </si>
  <si>
    <t>PO4191 PT3</t>
  </si>
  <si>
    <t>PO4191 PT4</t>
  </si>
  <si>
    <t>PO4193 PT3</t>
  </si>
  <si>
    <t>PO4194 PT3</t>
  </si>
  <si>
    <t>PO4195 PT3</t>
  </si>
  <si>
    <t>PO4196 PT4</t>
  </si>
  <si>
    <t>PO4198 PT3</t>
  </si>
  <si>
    <t>77064</t>
  </si>
  <si>
    <t>PO4198 PT4</t>
  </si>
  <si>
    <t>PO4199 PT4</t>
  </si>
  <si>
    <t>2021-701906</t>
  </si>
  <si>
    <t>Better Earth SPA</t>
  </si>
  <si>
    <t>2022-700058</t>
  </si>
  <si>
    <t>92056</t>
  </si>
  <si>
    <t>2022-700022</t>
  </si>
  <si>
    <t>6552-NZ970280S PT2</t>
  </si>
  <si>
    <t>6552-NZ970281S PT1</t>
  </si>
  <si>
    <t>6552-NZ970281S PT2</t>
  </si>
  <si>
    <t>6552-NZ970585S PT1</t>
  </si>
  <si>
    <t>6552-NZ970585S PT2</t>
  </si>
  <si>
    <t>6552-NZ970747S</t>
  </si>
  <si>
    <t>6552-NZ970748S</t>
  </si>
  <si>
    <t>6552-NZ970749S</t>
  </si>
  <si>
    <t>6552-NZ970750S</t>
  </si>
  <si>
    <t>2021-700932 PT1</t>
  </si>
  <si>
    <t>2021-700932 PT2</t>
  </si>
  <si>
    <t>6552-NZ970751S</t>
  </si>
  <si>
    <t>6552-NZ970752S</t>
  </si>
  <si>
    <t>6552-NZ971240S</t>
  </si>
  <si>
    <t>CYB MODS</t>
  </si>
  <si>
    <t>6552-NZ971241S</t>
  </si>
  <si>
    <t>6552-NZ971242S</t>
  </si>
  <si>
    <t>Delivery address TBA/ only use malysia mods/ Frosty</t>
  </si>
  <si>
    <t>Adress request</t>
  </si>
  <si>
    <t>Delivery address TBA/ only use malysia mods/ IMS</t>
  </si>
  <si>
    <t>92501</t>
  </si>
  <si>
    <t>7133-JIM982462S PT2</t>
  </si>
  <si>
    <t>7133-JIM982866S PT3</t>
  </si>
  <si>
    <t>7133-JIM983364S PT4</t>
  </si>
  <si>
    <t>7133-JIM982577S</t>
  </si>
  <si>
    <t>7133-JIM982663S PT1</t>
  </si>
  <si>
    <t>7133-JIM983364S PT5</t>
  </si>
  <si>
    <t>7133-JIM984021S PT1</t>
  </si>
  <si>
    <t>7133-JIM984021S PT2</t>
  </si>
  <si>
    <t>7133-JIM984021S PT3</t>
  </si>
  <si>
    <t>7133-JIM983528S PT1</t>
  </si>
  <si>
    <t>7133-JIM983528S PT2</t>
  </si>
  <si>
    <t>7133-JIM983528S PT3</t>
  </si>
  <si>
    <t>7133-JIM983528S PT4</t>
  </si>
  <si>
    <t>7133-JIM982664S PT1</t>
  </si>
  <si>
    <t>7133-JIM982664S PT2</t>
  </si>
  <si>
    <t xml:space="preserve">revised PO pricing </t>
  </si>
  <si>
    <t>7492-PS906728S</t>
  </si>
  <si>
    <t>5040-JB981603S</t>
  </si>
  <si>
    <t>5040-JB982083S PT2</t>
  </si>
  <si>
    <t>5040-JB982083S PT3</t>
  </si>
  <si>
    <t>5040-JB981538S PT2</t>
  </si>
  <si>
    <t>5040-JB981539S</t>
  </si>
  <si>
    <t>5040-JB982083S PT1</t>
  </si>
  <si>
    <t>5040-JB981649S</t>
  </si>
  <si>
    <t>30376109R</t>
  </si>
  <si>
    <t>7953-NR904678S PT2</t>
  </si>
  <si>
    <t>7953-NR904703S PT3</t>
  </si>
  <si>
    <t>7953-NR904781S PT3</t>
  </si>
  <si>
    <t>7953-NR904853S</t>
  </si>
  <si>
    <t>7953-NR904854S</t>
  </si>
  <si>
    <t>7953-NR905012S</t>
  </si>
  <si>
    <t>7953-HF905036S</t>
  </si>
  <si>
    <t>7953-HF905037S</t>
  </si>
  <si>
    <t>7953-HF905038S</t>
  </si>
  <si>
    <t>90810</t>
  </si>
  <si>
    <t>2021-700933 PT1</t>
  </si>
  <si>
    <t>2022-700059 PT2</t>
  </si>
  <si>
    <t>2021-700933 PT2</t>
  </si>
  <si>
    <t>2022-700020</t>
  </si>
  <si>
    <t>2021-700934 PT1</t>
  </si>
  <si>
    <t>2021-700934 PT2</t>
  </si>
  <si>
    <t>2022-700143 PT3</t>
  </si>
  <si>
    <t>2022-700144 PT3</t>
  </si>
  <si>
    <t>2022-700145 PT3</t>
  </si>
  <si>
    <t>8064-ZH904142S</t>
  </si>
  <si>
    <t>8064-ZH904143S</t>
  </si>
  <si>
    <t>8064-ZH904144S</t>
  </si>
  <si>
    <t>8064-ZH904145S</t>
  </si>
  <si>
    <t>8064-ZH904146S</t>
  </si>
  <si>
    <t>8064-ZH904147S</t>
  </si>
  <si>
    <t>8064-ZH904148S</t>
  </si>
  <si>
    <t>8064-ZH904597S</t>
  </si>
  <si>
    <t>8064-ZH904598S</t>
  </si>
  <si>
    <t>8064-ZH904600S</t>
  </si>
  <si>
    <t>8064-ZH904601S</t>
  </si>
  <si>
    <t>8064-ZH904602S</t>
  </si>
  <si>
    <t>8064-ZH904755S</t>
  </si>
  <si>
    <t>2022-700059 PT1</t>
  </si>
  <si>
    <t>Orlando</t>
  </si>
  <si>
    <t>30397371F</t>
  </si>
  <si>
    <t>2021-700788 PT1.3</t>
  </si>
  <si>
    <t>2021-700934 PT3</t>
  </si>
  <si>
    <t>8797-RA938051S PT2</t>
  </si>
  <si>
    <t>Motive Energy Telecommunications Inc.</t>
  </si>
  <si>
    <t>Gardena</t>
  </si>
  <si>
    <t>TMAG Industries Inc, dba Stellar Solar</t>
  </si>
  <si>
    <t>1171 PT5</t>
  </si>
  <si>
    <t>Need Payment</t>
  </si>
  <si>
    <t>9001-JW907950S</t>
  </si>
  <si>
    <t>9001-JW907951S</t>
  </si>
  <si>
    <t>9001-JW908106S</t>
  </si>
  <si>
    <t>9001-JW908279S</t>
  </si>
  <si>
    <t>Q.PEAK DUO XL G11 BFG</t>
  </si>
  <si>
    <t>9001-JW907952S</t>
  </si>
  <si>
    <t>9001-JW908107S</t>
  </si>
  <si>
    <t>New</t>
  </si>
  <si>
    <t>08110</t>
  </si>
  <si>
    <t>7133-JIM985706S</t>
  </si>
  <si>
    <t>5040-JB982763S</t>
  </si>
  <si>
    <t>Newark</t>
  </si>
  <si>
    <t>94560</t>
  </si>
  <si>
    <t>20211026-1</t>
  </si>
  <si>
    <t xml:space="preserve">The Green Store Inc, GR8 Energy </t>
  </si>
  <si>
    <t>San Jacinto</t>
  </si>
  <si>
    <t>92583</t>
  </si>
  <si>
    <t>30390156F</t>
  </si>
  <si>
    <t>8797-RA937985S PT2</t>
  </si>
  <si>
    <t>Need Payment / revise to 475 BFG</t>
  </si>
  <si>
    <t>00132</t>
  </si>
  <si>
    <t>Triplesun Photovoltaic</t>
  </si>
  <si>
    <t xml:space="preserve">CA </t>
  </si>
  <si>
    <t>CE</t>
  </si>
  <si>
    <t>AEE SOLAR</t>
  </si>
  <si>
    <t>75</t>
  </si>
  <si>
    <t>Rancho Cucamonga</t>
  </si>
  <si>
    <t>30376909H</t>
  </si>
  <si>
    <t>York</t>
  </si>
  <si>
    <t>30371611H</t>
  </si>
  <si>
    <t>114173 PT2</t>
  </si>
  <si>
    <t>30372158H</t>
  </si>
  <si>
    <t>BOB</t>
  </si>
  <si>
    <t>Buena Park</t>
  </si>
  <si>
    <t>SUNSTREET</t>
  </si>
  <si>
    <t>CED Greentech Austin</t>
  </si>
  <si>
    <t>AUSTIN</t>
  </si>
  <si>
    <t>CED Greentech Denver</t>
  </si>
  <si>
    <t>DENVER</t>
  </si>
  <si>
    <t>CO</t>
  </si>
  <si>
    <t>CED Greentech Las Vegas</t>
  </si>
  <si>
    <t>12BB</t>
  </si>
  <si>
    <t>Las Vegas</t>
  </si>
  <si>
    <t>Sunstreet</t>
  </si>
  <si>
    <t>CFM Equipment Distributions</t>
  </si>
  <si>
    <t>F.E. Distribution Inc DBA Fortune Energy</t>
  </si>
  <si>
    <t>30</t>
  </si>
  <si>
    <t>Simi Valley</t>
  </si>
  <si>
    <t>PM&amp;M Electric Inc. dba Titan Solar Power</t>
  </si>
  <si>
    <t>Dennis</t>
  </si>
  <si>
    <t>Albuquerque</t>
  </si>
  <si>
    <t>NM</t>
  </si>
  <si>
    <t>30390455H</t>
  </si>
  <si>
    <t>Irving</t>
  </si>
  <si>
    <t>Norfolk</t>
  </si>
  <si>
    <t>Denver</t>
  </si>
  <si>
    <t>Clearwater</t>
  </si>
  <si>
    <t>Tucson</t>
  </si>
  <si>
    <t>Yuma</t>
  </si>
  <si>
    <t>Doraville</t>
  </si>
  <si>
    <t>Buda</t>
  </si>
  <si>
    <t>Piedmont</t>
  </si>
  <si>
    <t>SC</t>
  </si>
  <si>
    <t>Lenexa</t>
  </si>
  <si>
    <t>KS</t>
  </si>
  <si>
    <t>Milton</t>
  </si>
  <si>
    <t>Morrisville</t>
  </si>
  <si>
    <t>San Antonio</t>
  </si>
  <si>
    <t>Kissimmee</t>
  </si>
  <si>
    <t>Soligent Distribution, LLC</t>
  </si>
  <si>
    <t>65</t>
  </si>
  <si>
    <t>60</t>
  </si>
  <si>
    <t xml:space="preserve"> </t>
  </si>
  <si>
    <t>32819</t>
  </si>
  <si>
    <t>Fontana</t>
  </si>
  <si>
    <t>95838</t>
  </si>
  <si>
    <t>WESCO</t>
  </si>
  <si>
    <t xml:space="preserve">Portland </t>
  </si>
  <si>
    <t>Phoenix</t>
  </si>
  <si>
    <t xml:space="preserve">Q.PEAK DUO BLK ML G10+ </t>
  </si>
  <si>
    <t>113479 PT2</t>
  </si>
  <si>
    <t>MD WH</t>
  </si>
  <si>
    <t>114162</t>
  </si>
  <si>
    <t>114170</t>
  </si>
  <si>
    <t>30376609F</t>
  </si>
  <si>
    <t>Q.PEAK DUO BLK MK G10+</t>
  </si>
  <si>
    <t>30385558F</t>
  </si>
  <si>
    <t>WH eta: 3/29</t>
  </si>
  <si>
    <t>114514 PT1</t>
  </si>
  <si>
    <t>PO-003016 PT1 Tampa</t>
  </si>
  <si>
    <t>Tampa</t>
  </si>
  <si>
    <t>revise price</t>
  </si>
  <si>
    <t xml:space="preserve">Irving </t>
  </si>
  <si>
    <t>Riverton</t>
  </si>
  <si>
    <t>Graybar Electric Company, Inc</t>
  </si>
  <si>
    <t>PO-650723</t>
  </si>
  <si>
    <t xml:space="preserve">Orlando </t>
  </si>
  <si>
    <t>PO-650760</t>
  </si>
  <si>
    <t>08512</t>
  </si>
  <si>
    <t>PO-650761</t>
  </si>
  <si>
    <t>PO-651745</t>
  </si>
  <si>
    <t>cancel CR</t>
  </si>
  <si>
    <t>PO-651746</t>
  </si>
  <si>
    <t>PO-651747</t>
  </si>
  <si>
    <t>PO-651748</t>
  </si>
  <si>
    <t>PO-651749</t>
  </si>
  <si>
    <t>92337</t>
  </si>
  <si>
    <t>Oakland</t>
  </si>
  <si>
    <t>78218</t>
  </si>
  <si>
    <t xml:space="preserve">Sacramneto </t>
  </si>
  <si>
    <t>6216-843744</t>
  </si>
  <si>
    <t>7539-660004</t>
  </si>
  <si>
    <t>7539-660008</t>
  </si>
  <si>
    <t xml:space="preserve">WESCO </t>
  </si>
  <si>
    <t>6216-934212</t>
  </si>
  <si>
    <t>7539-545738</t>
  </si>
  <si>
    <t>4090-RT905711S (PT4)</t>
  </si>
  <si>
    <t>89118</t>
  </si>
  <si>
    <t>7539-573475</t>
  </si>
  <si>
    <t>7539-624662</t>
  </si>
  <si>
    <t>Revised PO NON-SPA/allocate</t>
  </si>
  <si>
    <t>8018-SNSTR915727S</t>
  </si>
  <si>
    <t>CED Greentech Sarasota</t>
  </si>
  <si>
    <t>Palmetto</t>
  </si>
  <si>
    <t>34221</t>
  </si>
  <si>
    <t>85008</t>
  </si>
  <si>
    <t>6707-350851</t>
  </si>
  <si>
    <t>6707-350855</t>
  </si>
  <si>
    <t>7539-573393</t>
  </si>
  <si>
    <t>7539-624641</t>
  </si>
  <si>
    <t>7539-660031</t>
  </si>
  <si>
    <t>114175</t>
  </si>
  <si>
    <t>114436</t>
  </si>
  <si>
    <t>114437</t>
  </si>
  <si>
    <t>114438</t>
  </si>
  <si>
    <t>114444</t>
  </si>
  <si>
    <t>114445</t>
  </si>
  <si>
    <t>114446</t>
  </si>
  <si>
    <t>114452</t>
  </si>
  <si>
    <t>114514 PT2</t>
  </si>
  <si>
    <t>114515</t>
  </si>
  <si>
    <t>1875-JD917725S</t>
  </si>
  <si>
    <t>4090-RT905937S PT3</t>
  </si>
  <si>
    <t>Revised PO NON-SPA/need rev PO/add to tracker</t>
  </si>
  <si>
    <t>0236-SNST920014S</t>
  </si>
  <si>
    <t>1521-SNSTR967213S</t>
  </si>
  <si>
    <t>6552-SUN969855S PT1</t>
  </si>
  <si>
    <t>1875-JD917726S</t>
  </si>
  <si>
    <t>8018-SNSTR915728S</t>
  </si>
  <si>
    <t>1521-SNSTR966956S</t>
  </si>
  <si>
    <t>PO-650763</t>
  </si>
  <si>
    <t>PO-650764</t>
  </si>
  <si>
    <t>PO-650765</t>
  </si>
  <si>
    <t>PO-650766</t>
  </si>
  <si>
    <t>PO-650767</t>
  </si>
  <si>
    <t>PO-650768</t>
  </si>
  <si>
    <t>PO-650769</t>
  </si>
  <si>
    <t>PO-650770</t>
  </si>
  <si>
    <t>PO-650771</t>
  </si>
  <si>
    <t>PO-650772</t>
  </si>
  <si>
    <t xml:space="preserve">cancel per customer </t>
  </si>
  <si>
    <t>5680-112561</t>
  </si>
  <si>
    <t>SAN ANTONIO</t>
  </si>
  <si>
    <t>5680-112563</t>
  </si>
  <si>
    <t>5680-112565</t>
  </si>
  <si>
    <t>5680-112567</t>
  </si>
  <si>
    <t>5680-112569</t>
  </si>
  <si>
    <t>5680-112571</t>
  </si>
  <si>
    <t>5680-112573</t>
  </si>
  <si>
    <t>5680-112581</t>
  </si>
  <si>
    <t>6104-015563</t>
  </si>
  <si>
    <t>6104-970155</t>
  </si>
  <si>
    <t>97210</t>
  </si>
  <si>
    <t>6216-934214</t>
  </si>
  <si>
    <t>legal/allocate</t>
  </si>
  <si>
    <t>6217-437352</t>
  </si>
  <si>
    <t>7539-624656</t>
  </si>
  <si>
    <t>4090-RT905937S PT4</t>
  </si>
  <si>
    <t>6552-SUN969855S PT2</t>
  </si>
  <si>
    <t>1875-JD917727S</t>
  </si>
  <si>
    <t>114439</t>
  </si>
  <si>
    <t>114440</t>
  </si>
  <si>
    <t>114441</t>
  </si>
  <si>
    <t>114447</t>
  </si>
  <si>
    <t>114448</t>
  </si>
  <si>
    <t>114449</t>
  </si>
  <si>
    <t>114450</t>
  </si>
  <si>
    <t>114451</t>
  </si>
  <si>
    <t>114454</t>
  </si>
  <si>
    <t>114455</t>
  </si>
  <si>
    <t>114484</t>
  </si>
  <si>
    <t>114485</t>
  </si>
  <si>
    <t>114509</t>
  </si>
  <si>
    <t>115252</t>
  </si>
  <si>
    <t>AEE Solar</t>
  </si>
  <si>
    <t>Fredericksberg</t>
  </si>
  <si>
    <t>115253</t>
  </si>
  <si>
    <t>1521-SNSTR966957S</t>
  </si>
  <si>
    <t>0236-SNST920015S</t>
  </si>
  <si>
    <t>need rev price</t>
  </si>
  <si>
    <t>011030</t>
  </si>
  <si>
    <t>PO-650773</t>
  </si>
  <si>
    <t>PO-650774</t>
  </si>
  <si>
    <t>PO-650775</t>
  </si>
  <si>
    <t>PO-650776</t>
  </si>
  <si>
    <t>PO-650777</t>
  </si>
  <si>
    <t>PO-650778</t>
  </si>
  <si>
    <t>PO-650779</t>
  </si>
  <si>
    <t>PO-650780</t>
  </si>
  <si>
    <t>PO-650781</t>
  </si>
  <si>
    <t>PO-650782</t>
  </si>
  <si>
    <t>5680-112583</t>
  </si>
  <si>
    <t>5680-112585</t>
  </si>
  <si>
    <t>5680-112587</t>
  </si>
  <si>
    <t>5680-112589</t>
  </si>
  <si>
    <t>5680-112591</t>
  </si>
  <si>
    <t>6104-970168</t>
  </si>
  <si>
    <t>6104-970182</t>
  </si>
  <si>
    <t>6216-812566</t>
  </si>
  <si>
    <t>6216-934216</t>
  </si>
  <si>
    <t>7539-624682</t>
  </si>
  <si>
    <t>7539-624694</t>
  </si>
  <si>
    <t>7539-624696</t>
  </si>
  <si>
    <t>7539-660036</t>
  </si>
  <si>
    <t>6217-437356</t>
  </si>
  <si>
    <t>6552-SUN969856S</t>
  </si>
  <si>
    <t>6552-SUN969857S PT1</t>
  </si>
  <si>
    <t>1521-SNSTR966958S</t>
  </si>
  <si>
    <t>6552-SUN969857S PT2</t>
  </si>
  <si>
    <t>need SST approval/allocate</t>
  </si>
  <si>
    <t>1521-SUN967889S PT1</t>
  </si>
  <si>
    <t>PO-003025 PT1</t>
  </si>
  <si>
    <t>5680-112575</t>
  </si>
  <si>
    <t>5680-112577</t>
  </si>
  <si>
    <t>5680-112579</t>
  </si>
  <si>
    <t>6216-812551</t>
  </si>
  <si>
    <t>6217-417720</t>
  </si>
  <si>
    <t>6217-417751</t>
  </si>
  <si>
    <t>7539-624646</t>
  </si>
  <si>
    <t>7539-624654</t>
  </si>
  <si>
    <t>check with SST</t>
  </si>
  <si>
    <t>114442</t>
  </si>
  <si>
    <t>114443</t>
  </si>
  <si>
    <t>MD WH/check with SST</t>
  </si>
  <si>
    <t>114486</t>
  </si>
  <si>
    <t>114516</t>
  </si>
  <si>
    <t>114517</t>
  </si>
  <si>
    <t>114522</t>
  </si>
  <si>
    <t>114524</t>
  </si>
  <si>
    <t>114525</t>
  </si>
  <si>
    <t>115254</t>
  </si>
  <si>
    <t>1521-SUN967889S PT2</t>
  </si>
  <si>
    <t>6552-SUN971370S PT1</t>
  </si>
  <si>
    <t>6552-SUN971370S PT2</t>
  </si>
  <si>
    <t>PO-650725</t>
  </si>
  <si>
    <t>PO-650728</t>
  </si>
  <si>
    <t>PO-650735</t>
  </si>
  <si>
    <t>PO-651276</t>
  </si>
  <si>
    <t>PO-651277</t>
  </si>
  <si>
    <t>PO-651278</t>
  </si>
  <si>
    <t>PO-651279</t>
  </si>
  <si>
    <t>PO-651284</t>
  </si>
  <si>
    <t>PO-651285</t>
  </si>
  <si>
    <t>PO-651286</t>
  </si>
  <si>
    <t>sst/allocate</t>
  </si>
  <si>
    <t>5689-990499</t>
  </si>
  <si>
    <t>61</t>
  </si>
  <si>
    <t>5689-990501</t>
  </si>
  <si>
    <t>62</t>
  </si>
  <si>
    <t>5689-990503</t>
  </si>
  <si>
    <t>63</t>
  </si>
  <si>
    <t>6104-013181</t>
  </si>
  <si>
    <t>6104-015565</t>
  </si>
  <si>
    <t>6216-979150</t>
  </si>
  <si>
    <t>7539-709224</t>
  </si>
  <si>
    <t>6217-437350</t>
  </si>
  <si>
    <t>6217-437366</t>
  </si>
  <si>
    <t>PO-003025 PT2</t>
  </si>
  <si>
    <t>SST/revise price</t>
  </si>
  <si>
    <t>6216-812518</t>
  </si>
  <si>
    <t>6705-541957</t>
  </si>
  <si>
    <t>7539-624650</t>
  </si>
  <si>
    <t>1521-SNSTR967214S</t>
  </si>
  <si>
    <t>1521-SUN967890S</t>
  </si>
  <si>
    <t>6552-SUN971371S</t>
  </si>
  <si>
    <t>PO-650737</t>
  </si>
  <si>
    <t>PO-650739</t>
  </si>
  <si>
    <t>PO-650742</t>
  </si>
  <si>
    <t>PO-651287</t>
  </si>
  <si>
    <t>PO-651288</t>
  </si>
  <si>
    <t>PO-651289</t>
  </si>
  <si>
    <t>PO-651290</t>
  </si>
  <si>
    <t>PO-651291</t>
  </si>
  <si>
    <t>PO-651292</t>
  </si>
  <si>
    <t>PO-651293</t>
  </si>
  <si>
    <t>5689-817129</t>
  </si>
  <si>
    <t>5689-817131</t>
  </si>
  <si>
    <t>5689-990505</t>
  </si>
  <si>
    <t>64</t>
  </si>
  <si>
    <t>5689-990507</t>
  </si>
  <si>
    <t>5689-990509</t>
  </si>
  <si>
    <t>66</t>
  </si>
  <si>
    <t>6216-979152</t>
  </si>
  <si>
    <t>6217-437732</t>
  </si>
  <si>
    <t>6707-388244</t>
  </si>
  <si>
    <t>6707-388246</t>
  </si>
  <si>
    <t>7539-606675</t>
  </si>
  <si>
    <t>7539-606681</t>
  </si>
  <si>
    <t>7539-606685</t>
  </si>
  <si>
    <t>7539-712009</t>
  </si>
  <si>
    <t>7539-712286</t>
  </si>
  <si>
    <t>6104-014014</t>
  </si>
  <si>
    <t>6104-014039</t>
  </si>
  <si>
    <t>6217-437723</t>
  </si>
  <si>
    <t>PO-003025 PT3</t>
  </si>
  <si>
    <t>1521-SUN967891S</t>
  </si>
  <si>
    <t>6552-SUN971372S</t>
  </si>
  <si>
    <t>PO-651294</t>
  </si>
  <si>
    <t>PO-651295</t>
  </si>
  <si>
    <t>PO-651296</t>
  </si>
  <si>
    <t>PO-651297</t>
  </si>
  <si>
    <t>PO-651298</t>
  </si>
  <si>
    <t>PO-651299</t>
  </si>
  <si>
    <t>PO-651300</t>
  </si>
  <si>
    <t>PO-651301</t>
  </si>
  <si>
    <t>PO-651302</t>
  </si>
  <si>
    <t>PO-651303</t>
  </si>
  <si>
    <t>sst/allocate/need rev price</t>
  </si>
  <si>
    <t>5680-115422</t>
  </si>
  <si>
    <t>5680-115424</t>
  </si>
  <si>
    <t>5680-115433</t>
  </si>
  <si>
    <t>5680-115459</t>
  </si>
  <si>
    <t>5680-115462</t>
  </si>
  <si>
    <t>5689-817133</t>
  </si>
  <si>
    <t>5689-817137</t>
  </si>
  <si>
    <t>5689-817141</t>
  </si>
  <si>
    <t>6216-979154</t>
  </si>
  <si>
    <t>6707-388256</t>
  </si>
  <si>
    <t>6707-388275</t>
  </si>
  <si>
    <t>6707-388281</t>
  </si>
  <si>
    <t>7539-606694</t>
  </si>
  <si>
    <t>7539-606697</t>
  </si>
  <si>
    <t>7539-712337</t>
  </si>
  <si>
    <t>6104-014052</t>
  </si>
  <si>
    <t>6104-014067</t>
  </si>
  <si>
    <t>6104-015567</t>
  </si>
  <si>
    <t>6217-437745</t>
  </si>
  <si>
    <t>1521-SUN967892S</t>
  </si>
  <si>
    <t>6552-SUN971373S</t>
  </si>
  <si>
    <t>PO-650743</t>
  </si>
  <si>
    <t>PO-650744</t>
  </si>
  <si>
    <t>PO-650745</t>
  </si>
  <si>
    <t>PO-651304</t>
  </si>
  <si>
    <t>PO-651305</t>
  </si>
  <si>
    <t>PO-651306</t>
  </si>
  <si>
    <t>PO-651307</t>
  </si>
  <si>
    <t>PO-651308</t>
  </si>
  <si>
    <t>PO-651309</t>
  </si>
  <si>
    <t>PO-651310</t>
  </si>
  <si>
    <t>5680-115465</t>
  </si>
  <si>
    <t>5680-115467</t>
  </si>
  <si>
    <t>APRIL</t>
  </si>
  <si>
    <t>5680-115469</t>
  </si>
  <si>
    <t>5680-115471</t>
  </si>
  <si>
    <t>5680-115473</t>
  </si>
  <si>
    <t>5680-115475</t>
  </si>
  <si>
    <t>5680-115477</t>
  </si>
  <si>
    <t>5680-124831</t>
  </si>
  <si>
    <t>5680-124833</t>
  </si>
  <si>
    <t>5680-124835</t>
  </si>
  <si>
    <t>5680-124837</t>
  </si>
  <si>
    <t>5680-124839</t>
  </si>
  <si>
    <t>5680-124845</t>
  </si>
  <si>
    <t>6216-979158</t>
  </si>
  <si>
    <t>7539-712415</t>
  </si>
  <si>
    <t>7539-712481</t>
  </si>
  <si>
    <t>6104-014087</t>
  </si>
  <si>
    <t>6104-015569</t>
  </si>
  <si>
    <t>6217-437749</t>
  </si>
  <si>
    <t>6217-437755</t>
  </si>
  <si>
    <t>1521-SUN967896S</t>
  </si>
  <si>
    <t>6552-SUN971374S</t>
  </si>
  <si>
    <t>PO-650746</t>
  </si>
  <si>
    <t>PO-650747</t>
  </si>
  <si>
    <t>PO-650748</t>
  </si>
  <si>
    <t>PO-650749</t>
  </si>
  <si>
    <t>PO-651311</t>
  </si>
  <si>
    <t>PO-651312</t>
  </si>
  <si>
    <t>PO-651313</t>
  </si>
  <si>
    <t>PO-651314</t>
  </si>
  <si>
    <t>PO-651315</t>
  </si>
  <si>
    <t>PO-651316</t>
  </si>
  <si>
    <t>5680-124847</t>
  </si>
  <si>
    <t>Q.PEAK DUO BLK  ML G10+</t>
  </si>
  <si>
    <t>5680-124849</t>
  </si>
  <si>
    <t>5680-124852</t>
  </si>
  <si>
    <t>5680-124854</t>
  </si>
  <si>
    <t>5680-124857</t>
  </si>
  <si>
    <t>5680-124865</t>
  </si>
  <si>
    <t>5680-124867</t>
  </si>
  <si>
    <t>5680-124869</t>
  </si>
  <si>
    <t>6216-979161</t>
  </si>
  <si>
    <t>7539-606722</t>
  </si>
  <si>
    <t>7539-624707</t>
  </si>
  <si>
    <t>7539-624712</t>
  </si>
  <si>
    <t>7539-624714</t>
  </si>
  <si>
    <t>7539-624721</t>
  </si>
  <si>
    <t>7539-712524</t>
  </si>
  <si>
    <t>6104-014153</t>
  </si>
  <si>
    <t>6104-014167</t>
  </si>
  <si>
    <t>6104-014198</t>
  </si>
  <si>
    <t>6104-015572</t>
  </si>
  <si>
    <t>6217-437767</t>
  </si>
  <si>
    <t>6217-437781</t>
  </si>
  <si>
    <t>7539-712552</t>
  </si>
  <si>
    <t>1521-SUN967894S</t>
  </si>
  <si>
    <t>6552-SUN971375S</t>
  </si>
  <si>
    <t>PO-650750</t>
  </si>
  <si>
    <t>PO-650751</t>
  </si>
  <si>
    <t>PO-650753</t>
  </si>
  <si>
    <t>Q. PEAK DUO BLK ML G10.a</t>
  </si>
  <si>
    <t>5680-112553</t>
  </si>
  <si>
    <t>5680-112555</t>
  </si>
  <si>
    <t>5680-124871</t>
  </si>
  <si>
    <t>5680-124873</t>
  </si>
  <si>
    <t>5680-124875</t>
  </si>
  <si>
    <t>5680-124877</t>
  </si>
  <si>
    <t>5680-124884</t>
  </si>
  <si>
    <t>5680-124887</t>
  </si>
  <si>
    <t>5680-124893</t>
  </si>
  <si>
    <t>5680-124895</t>
  </si>
  <si>
    <t>5680-124903</t>
  </si>
  <si>
    <t>5680-124911</t>
  </si>
  <si>
    <t>6216-979165</t>
  </si>
  <si>
    <t>6705-614644</t>
  </si>
  <si>
    <t>6104-014252</t>
  </si>
  <si>
    <t>6104-014255</t>
  </si>
  <si>
    <t>6217-437784</t>
  </si>
  <si>
    <t>7539-712643</t>
  </si>
  <si>
    <t>DF</t>
  </si>
  <si>
    <t>Advanced Roofing Inc.</t>
  </si>
  <si>
    <t>Matt K</t>
  </si>
  <si>
    <t>33634</t>
  </si>
  <si>
    <t>CED Greentech Columbia</t>
  </si>
  <si>
    <t>West Columbia</t>
  </si>
  <si>
    <t>29169</t>
  </si>
  <si>
    <t>quote in QSP</t>
  </si>
  <si>
    <t>Atlanta</t>
  </si>
  <si>
    <t>1132-NL-911820S PT3</t>
  </si>
  <si>
    <t>1132-NL-911820S PT4</t>
  </si>
  <si>
    <t>1132-NL-911820S PT5</t>
  </si>
  <si>
    <t>CED Greentech Miami</t>
  </si>
  <si>
    <t>32226</t>
  </si>
  <si>
    <t>SO Created</t>
  </si>
  <si>
    <t>4560-CH907224S PT2</t>
  </si>
  <si>
    <t>4560-MO-906161S PT2</t>
  </si>
  <si>
    <t>4560-MO-906161S PT4</t>
  </si>
  <si>
    <t>CED Greentech Orlando</t>
  </si>
  <si>
    <t>32809</t>
  </si>
  <si>
    <t>Longwood</t>
  </si>
  <si>
    <t>32750</t>
  </si>
  <si>
    <t>WINDMAR</t>
  </si>
  <si>
    <t>5621-CH904222S PT5</t>
  </si>
  <si>
    <t>5621-CH904487S PT1</t>
  </si>
  <si>
    <t>5621-CH904492S PT2</t>
  </si>
  <si>
    <t>5621-CH904492S PT3</t>
  </si>
  <si>
    <t>5621-CH906119S PT1</t>
  </si>
  <si>
    <t>5621-CH904222S PT4</t>
  </si>
  <si>
    <t>5621-CH906119S PT2</t>
  </si>
  <si>
    <t>CED Greentech Raleigh</t>
  </si>
  <si>
    <t>Raleigh</t>
  </si>
  <si>
    <t>27604</t>
  </si>
  <si>
    <t xml:space="preserve">5621-CH904246S </t>
  </si>
  <si>
    <t>5621-CH904481S PT2</t>
  </si>
  <si>
    <t>5621-CH904814S PT2</t>
  </si>
  <si>
    <t>5621-CH904492S PT4</t>
  </si>
  <si>
    <t>Allocate</t>
  </si>
  <si>
    <t>5621-CH905854S PT1</t>
  </si>
  <si>
    <t>5621-CH906081S PT1</t>
  </si>
  <si>
    <t>5621-CH906079S PT1</t>
  </si>
  <si>
    <t>5621-CH906119S PT4</t>
  </si>
  <si>
    <t>5621-CH905854S PT2</t>
  </si>
  <si>
    <t>5621-CH906081S PT2</t>
  </si>
  <si>
    <t>5621-CH906079S PT2</t>
  </si>
  <si>
    <t>5621-CH905854S PT3</t>
  </si>
  <si>
    <t>5621-CH906081S PT3</t>
  </si>
  <si>
    <t>5621-CH906079S PT3</t>
  </si>
  <si>
    <t>5621-CH905854S PT4</t>
  </si>
  <si>
    <t>AL-0000099</t>
  </si>
  <si>
    <t>WDC Puerto Rico, Inc.</t>
  </si>
  <si>
    <t xml:space="preserve">Integrated Solar Operations, LLC </t>
  </si>
  <si>
    <t>32218</t>
  </si>
  <si>
    <t>New PO</t>
  </si>
  <si>
    <t>5621-CH906094S PT1</t>
  </si>
  <si>
    <t>Revised PO Non-SPA/ rev price 0.55ct</t>
  </si>
  <si>
    <t>5621-CH905854S PT5</t>
  </si>
  <si>
    <t>SST advised must deliver no later than June</t>
  </si>
  <si>
    <t>6058-SC904879S</t>
  </si>
  <si>
    <t>6058-SC904621S PT2</t>
  </si>
  <si>
    <t>6058-SC904542S</t>
  </si>
  <si>
    <t>6058-SC904622S</t>
  </si>
  <si>
    <t>32583</t>
  </si>
  <si>
    <t>FTD</t>
  </si>
  <si>
    <t>8018-AD915108S PT2</t>
  </si>
  <si>
    <t>Multiple SPAs</t>
  </si>
  <si>
    <t>8018-AD915107S PT3</t>
  </si>
  <si>
    <t>8018-AD915108S PT3</t>
  </si>
  <si>
    <t>8018-AD915157S</t>
  </si>
  <si>
    <t>G3</t>
  </si>
  <si>
    <t>8018-AD915382S PT1</t>
  </si>
  <si>
    <t>8018-AD915382S PT2</t>
  </si>
  <si>
    <t>8018-AD915388S PT1</t>
  </si>
  <si>
    <t>8018-AD915388S PT2</t>
  </si>
  <si>
    <t>5621-CH906094S PT2</t>
  </si>
  <si>
    <t>8018-AD916663S</t>
  </si>
  <si>
    <t>SST/Allocate</t>
  </si>
  <si>
    <t>5621-CH905854S PT6</t>
  </si>
  <si>
    <t>Power Home Solar, LLC</t>
  </si>
  <si>
    <t>Concord</t>
  </si>
  <si>
    <t>Chester</t>
  </si>
  <si>
    <t>PO1661</t>
  </si>
  <si>
    <t>Roanoke</t>
  </si>
  <si>
    <t>Marietta</t>
  </si>
  <si>
    <t>30066</t>
  </si>
  <si>
    <t>PO2026</t>
  </si>
  <si>
    <t>Fayetteville</t>
  </si>
  <si>
    <t>28306</t>
  </si>
  <si>
    <t>Louisville</t>
  </si>
  <si>
    <t>37777</t>
  </si>
  <si>
    <t>Murfreesboro</t>
  </si>
  <si>
    <t>37129</t>
  </si>
  <si>
    <t>PO2034</t>
  </si>
  <si>
    <t>PO2035</t>
  </si>
  <si>
    <t>28027</t>
  </si>
  <si>
    <t>Legal / cust to revise PO without '.a+'</t>
  </si>
  <si>
    <t>23836</t>
  </si>
  <si>
    <t>PO2038</t>
  </si>
  <si>
    <t>24017</t>
  </si>
  <si>
    <t>PO2041</t>
  </si>
  <si>
    <t>Cayce</t>
  </si>
  <si>
    <t>29033</t>
  </si>
  <si>
    <t>PO2049</t>
  </si>
  <si>
    <t>PO2050</t>
  </si>
  <si>
    <t>PO2051</t>
  </si>
  <si>
    <t>PO2052</t>
  </si>
  <si>
    <t>PO2053</t>
  </si>
  <si>
    <t>8018-AD916662S PT2</t>
  </si>
  <si>
    <t>Solar City Inc. DBA The LeverEdge</t>
  </si>
  <si>
    <t>Odessa</t>
  </si>
  <si>
    <t>33556</t>
  </si>
  <si>
    <t>Hollywood</t>
  </si>
  <si>
    <t>33020</t>
  </si>
  <si>
    <t>The ADT Security Corporation dba ADT Security Services</t>
  </si>
  <si>
    <t>30354</t>
  </si>
  <si>
    <t>Valdosta</t>
  </si>
  <si>
    <t>31601</t>
  </si>
  <si>
    <t>Lawrenceville</t>
  </si>
  <si>
    <t>30045</t>
  </si>
  <si>
    <t>PO-00007478</t>
  </si>
  <si>
    <t>Ashland</t>
  </si>
  <si>
    <t>23005</t>
  </si>
  <si>
    <t>Omaha</t>
  </si>
  <si>
    <t>NE</t>
  </si>
  <si>
    <t>Columbus</t>
  </si>
  <si>
    <t>43228</t>
  </si>
  <si>
    <t>29203</t>
  </si>
  <si>
    <t>45246</t>
  </si>
  <si>
    <t>Peoria</t>
  </si>
  <si>
    <t>61615</t>
  </si>
  <si>
    <t>Caseyville</t>
  </si>
  <si>
    <t>62232</t>
  </si>
  <si>
    <t>5621-CH906094S PT3</t>
  </si>
  <si>
    <t>2022-12</t>
  </si>
  <si>
    <t>Windmar PV Energy, Inc.</t>
  </si>
  <si>
    <t>2022-04 PT1</t>
  </si>
  <si>
    <t>2022-06</t>
  </si>
  <si>
    <t>2022-06b PT1</t>
  </si>
  <si>
    <t>2022-06b PT2</t>
  </si>
  <si>
    <t>2022-07</t>
  </si>
  <si>
    <t>2022-08</t>
  </si>
  <si>
    <t>2022-H-10b</t>
  </si>
  <si>
    <t>2022-09</t>
  </si>
  <si>
    <t>2022-H-11b</t>
  </si>
  <si>
    <t>2022-10</t>
  </si>
  <si>
    <t>2022-H-12b</t>
  </si>
  <si>
    <t>2022-11</t>
  </si>
  <si>
    <t xml:space="preserve">SST/Legal/Allocate/ Cust to revise total cost </t>
  </si>
  <si>
    <t>6029-JM-900027S</t>
  </si>
  <si>
    <t>CED Greentech Puerto Rico LLC</t>
  </si>
  <si>
    <t>JL</t>
  </si>
  <si>
    <t>Amicus Solar Cooperative, a Public Benefit Corp.</t>
  </si>
  <si>
    <t>Huntington</t>
  </si>
  <si>
    <t>WV</t>
  </si>
  <si>
    <t>Revised PO to NON-SPA</t>
  </si>
  <si>
    <t>CED Greentech Dallas</t>
  </si>
  <si>
    <t>Arlington</t>
  </si>
  <si>
    <t>CED Greentech Grand Junction</t>
  </si>
  <si>
    <t xml:space="preserve">Grand Junction </t>
  </si>
  <si>
    <t>CED Greentech El Paso</t>
  </si>
  <si>
    <t>El Paso</t>
  </si>
  <si>
    <t>ERUS</t>
  </si>
  <si>
    <t>CED Greentech Pueblo</t>
  </si>
  <si>
    <t>Pueblo</t>
  </si>
  <si>
    <t>Colorado Springs</t>
  </si>
  <si>
    <t>CED Greentech Rio Grande</t>
  </si>
  <si>
    <t>Mcallen</t>
  </si>
  <si>
    <t xml:space="preserve">Pushed to April per cust. </t>
  </si>
  <si>
    <t>Fairfax</t>
  </si>
  <si>
    <t>sst/legal/allocate</t>
  </si>
  <si>
    <t>SHAW-029</t>
  </si>
  <si>
    <t xml:space="preserve">Durango </t>
  </si>
  <si>
    <t>CED Greentech Houston</t>
  </si>
  <si>
    <t>Katy</t>
  </si>
  <si>
    <t>Salt Lake City</t>
  </si>
  <si>
    <t>UT</t>
  </si>
  <si>
    <t>Gexpro</t>
  </si>
  <si>
    <t>100</t>
  </si>
  <si>
    <t>Carrollton</t>
  </si>
  <si>
    <t>Rexel USA, INC</t>
  </si>
  <si>
    <t>Garden Grove</t>
  </si>
  <si>
    <t>0768-JS-901524S PT1</t>
  </si>
  <si>
    <t>CED Greentech C&amp;I Solutions</t>
  </si>
  <si>
    <t>Q.PEAK DUO XL G10.C.D BFG</t>
  </si>
  <si>
    <t xml:space="preserve">Rexel USA, INC. dba Platt Electric Supply </t>
  </si>
  <si>
    <t>Patterson</t>
  </si>
  <si>
    <t>Q. PEAK DUO XL G10</t>
  </si>
  <si>
    <t>Beaverton</t>
  </si>
  <si>
    <t>V3 Electric, Inc</t>
  </si>
  <si>
    <t>BLANKET 2022</t>
  </si>
  <si>
    <t>20</t>
  </si>
  <si>
    <t>0768-JS-901524S PT2</t>
  </si>
  <si>
    <t>Dallas</t>
  </si>
  <si>
    <t>FROM MAY</t>
  </si>
  <si>
    <t>0237-KI906156S PT2</t>
  </si>
  <si>
    <t>1987-SS903485S PT4</t>
  </si>
  <si>
    <t xml:space="preserve">Revised PO to NON-SPA, Palmetto </t>
  </si>
  <si>
    <t>CED Greentech New Mexico</t>
  </si>
  <si>
    <t>4090-RT905936S PT3</t>
  </si>
  <si>
    <t>4090-RT905892S PT2</t>
  </si>
  <si>
    <t>CED Greentech San Antonio</t>
  </si>
  <si>
    <t>Legion</t>
  </si>
  <si>
    <t xml:space="preserve">CED Greentech Lubbock </t>
  </si>
  <si>
    <t xml:space="preserve">Lubbock </t>
  </si>
  <si>
    <t>CED Greentech Tempe</t>
  </si>
  <si>
    <t>MOVE TO 5</t>
  </si>
  <si>
    <t>0239-HB904810S PT1</t>
  </si>
  <si>
    <t>OUR WORLD</t>
  </si>
  <si>
    <t>0239-HB904904S PT2</t>
  </si>
  <si>
    <t xml:space="preserve">Pueblo </t>
  </si>
  <si>
    <t>P103451303</t>
  </si>
  <si>
    <t>Matt K.</t>
  </si>
  <si>
    <t>SST/allocate</t>
  </si>
  <si>
    <t>3924132</t>
  </si>
  <si>
    <t>Legal/SST/Allocate</t>
  </si>
  <si>
    <t>3937685</t>
  </si>
  <si>
    <t>P103439651</t>
  </si>
  <si>
    <t>P103494663</t>
  </si>
  <si>
    <t>P103459910</t>
  </si>
  <si>
    <t xml:space="preserve">Rexel USA, INC </t>
  </si>
  <si>
    <t>LONGER MC34 LEADS</t>
  </si>
  <si>
    <t>P103409004</t>
  </si>
  <si>
    <t>P103409006</t>
  </si>
  <si>
    <t>Cheyenne</t>
  </si>
  <si>
    <t>WY</t>
  </si>
  <si>
    <t>8756-BB995076S PT2</t>
  </si>
  <si>
    <t>8756-BB995076S PT3</t>
  </si>
  <si>
    <t>SH-00727</t>
  </si>
  <si>
    <t>Allocate/prepay/ revise</t>
  </si>
  <si>
    <t>PA-QCELL480 1.4.22</t>
  </si>
  <si>
    <t>Washington</t>
  </si>
  <si>
    <t>DC</t>
  </si>
  <si>
    <t>SC-10630</t>
  </si>
  <si>
    <t>Waterbury</t>
  </si>
  <si>
    <t>SC-10631</t>
  </si>
  <si>
    <t>Road Kingston</t>
  </si>
  <si>
    <t>Customer really wants it</t>
  </si>
  <si>
    <t>SS-021</t>
  </si>
  <si>
    <t>Durango</t>
  </si>
  <si>
    <t>0236-LUMIO920208S PT2</t>
  </si>
  <si>
    <t>1875-DN918014S PT2</t>
  </si>
  <si>
    <t>1987-SS903485S PT5</t>
  </si>
  <si>
    <t>3273-RK900094S</t>
  </si>
  <si>
    <t>3273-RK900095S</t>
  </si>
  <si>
    <t>Lumio</t>
  </si>
  <si>
    <t>4090-RT905892S PT3</t>
  </si>
  <si>
    <t>master PO</t>
  </si>
  <si>
    <t>12083 PT2</t>
  </si>
  <si>
    <t>4391-MD900004S PT5</t>
  </si>
  <si>
    <t>4391-JS900227S PT1</t>
  </si>
  <si>
    <t>4391-JS900227S PT2</t>
  </si>
  <si>
    <t>0148-RK905931S PT3</t>
  </si>
  <si>
    <t>Q.PEAK DUO BLK MLG10+</t>
  </si>
  <si>
    <t>0239-HB904810S PT2</t>
  </si>
  <si>
    <t>Revised PO to NON-SPA, per Austin moved to Feb</t>
  </si>
  <si>
    <t>0239-HB904857S</t>
  </si>
  <si>
    <t>Q.PEAK DUO BLK  ML G10.a+</t>
  </si>
  <si>
    <t>0239-HB904858S</t>
  </si>
  <si>
    <t>0239-HB904859S</t>
  </si>
  <si>
    <t>0239-HB904903S</t>
  </si>
  <si>
    <t>0239-HB904966S</t>
  </si>
  <si>
    <t>0239-HB904967S</t>
  </si>
  <si>
    <t>0239-HB905066S</t>
  </si>
  <si>
    <t>8756-MD995414S PT3</t>
  </si>
  <si>
    <t>12083 PT2 El Paso</t>
  </si>
  <si>
    <t>Point Sky Power SPA</t>
  </si>
  <si>
    <t>8756-KC995499S PT2</t>
  </si>
  <si>
    <t>Point Sky Power</t>
  </si>
  <si>
    <t>8756-KC995499S PT3</t>
  </si>
  <si>
    <t>P501776256</t>
  </si>
  <si>
    <t>Crescent Electric Supply Company</t>
  </si>
  <si>
    <t>50</t>
  </si>
  <si>
    <t>Sturtevant</t>
  </si>
  <si>
    <t>P103409023</t>
  </si>
  <si>
    <t>P103409025</t>
  </si>
  <si>
    <t>12083 PT2.2 Albuquerque</t>
  </si>
  <si>
    <t>P103459918</t>
  </si>
  <si>
    <t>P103526163</t>
  </si>
  <si>
    <t>78744</t>
  </si>
  <si>
    <t>12083 PT2.2 Atlanta</t>
  </si>
  <si>
    <t>P103408983</t>
  </si>
  <si>
    <t>P103439965</t>
  </si>
  <si>
    <t>sst/allocate,SunCommon</t>
  </si>
  <si>
    <t>SC-10686</t>
  </si>
  <si>
    <t>LONGER CABLES</t>
  </si>
  <si>
    <t>SC-10687</t>
  </si>
  <si>
    <t>1987-SS903485S PT6</t>
  </si>
  <si>
    <t>1987-SS903556S</t>
  </si>
  <si>
    <t>4090-RT905892S PT4</t>
  </si>
  <si>
    <t>0148-RK906120S</t>
  </si>
  <si>
    <t>Q.PEAK DUO BLK ML G10.A+</t>
  </si>
  <si>
    <t>Solar Works</t>
  </si>
  <si>
    <t>5364-MD900059S</t>
  </si>
  <si>
    <t>CED Greentech Oklahoma City</t>
  </si>
  <si>
    <t>Oklahoma City</t>
  </si>
  <si>
    <t>OK</t>
  </si>
  <si>
    <t>5364-MD900062S</t>
  </si>
  <si>
    <t>6254-MD900987S PT1</t>
  </si>
  <si>
    <t>CED Greentech Reno</t>
  </si>
  <si>
    <t>Reno</t>
  </si>
  <si>
    <t>0239-HB904968S</t>
  </si>
  <si>
    <t>DENNIS</t>
  </si>
  <si>
    <t>0239-HB905067S</t>
  </si>
  <si>
    <t>8756-KC995591S PT2</t>
  </si>
  <si>
    <t>8756-KC995591S PT3</t>
  </si>
  <si>
    <t>P103439653</t>
  </si>
  <si>
    <t>P103526168</t>
  </si>
  <si>
    <t>P103439648</t>
  </si>
  <si>
    <t>12083 PT2.2 Austin</t>
  </si>
  <si>
    <t>12083 PT2.2 Charleston</t>
  </si>
  <si>
    <t>North Charleston</t>
  </si>
  <si>
    <t>NW-800499</t>
  </si>
  <si>
    <t>Amherst</t>
  </si>
  <si>
    <t>SC-10688</t>
  </si>
  <si>
    <t>Allocate/Cust.-"first 5 cont. for July if possible"</t>
  </si>
  <si>
    <t>0768-JS-901732S</t>
  </si>
  <si>
    <t>Allocate, CYB MODS PER SST</t>
  </si>
  <si>
    <t>1875-RG918897D</t>
  </si>
  <si>
    <t>Aurora</t>
  </si>
  <si>
    <t>1987-SS903485S PT7</t>
  </si>
  <si>
    <t>1987-SS904067S PT1</t>
  </si>
  <si>
    <t xml:space="preserve">El Paso </t>
  </si>
  <si>
    <t>0148-RK906145S</t>
  </si>
  <si>
    <t>Our World Solar</t>
  </si>
  <si>
    <t>6254-MD900987S PT2</t>
  </si>
  <si>
    <t>S133091060</t>
  </si>
  <si>
    <t>Cranston</t>
  </si>
  <si>
    <t>RI</t>
  </si>
  <si>
    <t>P103439968</t>
  </si>
  <si>
    <t>Saint Rose</t>
  </si>
  <si>
    <t>LA</t>
  </si>
  <si>
    <t>allocate-PUSH OUT TO 7</t>
  </si>
  <si>
    <t>NW-800500</t>
  </si>
  <si>
    <t>SS-14464</t>
  </si>
  <si>
    <t>Carbondale</t>
  </si>
  <si>
    <t>1987-SS903485S PT8</t>
  </si>
  <si>
    <t>1987-SS904067S PT2</t>
  </si>
  <si>
    <t>6254-MD900987S PT3</t>
  </si>
  <si>
    <t>P103458921</t>
  </si>
  <si>
    <t>3924143</t>
  </si>
  <si>
    <t>3946254</t>
  </si>
  <si>
    <t>3960518</t>
  </si>
  <si>
    <t>Seattle</t>
  </si>
  <si>
    <t>JS</t>
  </si>
  <si>
    <t>3975955</t>
  </si>
  <si>
    <t>3967749</t>
  </si>
  <si>
    <t>3967774</t>
  </si>
  <si>
    <t>RE-Q360-stock-11122 PT2</t>
  </si>
  <si>
    <t>1987-SS903485S PT9</t>
  </si>
  <si>
    <t>1987-SS904067S PT3</t>
  </si>
  <si>
    <t>3976323</t>
  </si>
  <si>
    <t>12083 PT2.2 Charlotte</t>
  </si>
  <si>
    <t>12083 PT2.2 Dallas</t>
  </si>
  <si>
    <t>P103459913</t>
  </si>
  <si>
    <t>1875-DN918078S PT2</t>
  </si>
  <si>
    <t>1875-DN918078S PT3</t>
  </si>
  <si>
    <t>1875-DN918078S PT1</t>
  </si>
  <si>
    <t>8756-KC997064S PT2</t>
  </si>
  <si>
    <t>12083 PT2.2 Denver</t>
  </si>
  <si>
    <t>12083 PT2.2 Houston</t>
  </si>
  <si>
    <t>12083 PT2.2 Ontario</t>
  </si>
  <si>
    <t>12083 PT2.2 Orlando</t>
  </si>
  <si>
    <t>12083 PT2.2 Raleigh</t>
  </si>
  <si>
    <t>12083 PT2.2 San Antonio</t>
  </si>
  <si>
    <t>12083 PT2.2 Stockton</t>
  </si>
  <si>
    <t>12083 PT2.2 Tampa</t>
  </si>
  <si>
    <t>12083 PT2.2 Tucson</t>
  </si>
  <si>
    <t>12083 PT2.2 Yuma</t>
  </si>
  <si>
    <t>NW-800501</t>
  </si>
  <si>
    <t>12083 PT3</t>
  </si>
  <si>
    <t>12083 PT4</t>
  </si>
  <si>
    <t>THIRD</t>
  </si>
  <si>
    <t>FOURTH</t>
  </si>
  <si>
    <t>12083 PT2 Utah</t>
  </si>
  <si>
    <t>NW-800502</t>
  </si>
  <si>
    <t>NW-800503</t>
  </si>
  <si>
    <t>SS-14486</t>
  </si>
  <si>
    <t>12083 PT2.1 Charlotte</t>
  </si>
  <si>
    <t>12083 PT2.1 Dallas</t>
  </si>
  <si>
    <t>Augusta</t>
  </si>
  <si>
    <t>12083 PT2.2 Vegas</t>
  </si>
  <si>
    <t>SMALL TRUCKS</t>
  </si>
  <si>
    <t>12083 PT2.2 Greenville</t>
  </si>
  <si>
    <t>Doral</t>
  </si>
  <si>
    <t>IP-00001135</t>
  </si>
  <si>
    <t>SLS-400w Bulk Order 2</t>
  </si>
  <si>
    <t>Valencia</t>
  </si>
  <si>
    <t>CE-01886</t>
  </si>
  <si>
    <t>P103459920</t>
  </si>
  <si>
    <t>3976325</t>
  </si>
  <si>
    <t>P103458922</t>
  </si>
  <si>
    <t>P103476161</t>
  </si>
  <si>
    <t>P103458924</t>
  </si>
  <si>
    <t>P103459914</t>
  </si>
  <si>
    <t>PUSHED TO MAY FOR NOW</t>
  </si>
  <si>
    <t>P103408932</t>
  </si>
  <si>
    <t>P103439975</t>
  </si>
  <si>
    <t>P103455894</t>
  </si>
  <si>
    <t>P103408981</t>
  </si>
  <si>
    <t>P103439966</t>
  </si>
  <si>
    <t>P103408947</t>
  </si>
  <si>
    <t>P103439972</t>
  </si>
  <si>
    <t>P103445349</t>
  </si>
  <si>
    <t>3976339</t>
  </si>
  <si>
    <t xml:space="preserve"> P103440921</t>
  </si>
  <si>
    <t>P103408987</t>
  </si>
  <si>
    <t>P103408989</t>
  </si>
  <si>
    <t>SP-202112016</t>
  </si>
  <si>
    <t>Charleston</t>
  </si>
  <si>
    <t>02813</t>
  </si>
  <si>
    <t>CE-01921</t>
  </si>
  <si>
    <t>4090-RT905938S PT2</t>
  </si>
  <si>
    <t>4090-RT905938S PT3</t>
  </si>
  <si>
    <t>P501836278 PT1</t>
  </si>
  <si>
    <t>Saint Louis</t>
  </si>
  <si>
    <t xml:space="preserve">MO </t>
  </si>
  <si>
    <t>P501836278 PT2</t>
  </si>
  <si>
    <t>P103408994</t>
  </si>
  <si>
    <t>SS-400wBulkOrder3</t>
  </si>
  <si>
    <t>SSE-400w Bulk Order 4</t>
  </si>
  <si>
    <t>SUS-19090891</t>
  </si>
  <si>
    <t>St. Louis</t>
  </si>
  <si>
    <t>sst/legal/allocate/Ipsun Solar</t>
  </si>
  <si>
    <t>IP-PO-00001605</t>
  </si>
  <si>
    <t>Allocate, Customer Wants</t>
  </si>
  <si>
    <t>0236-SRR920290S</t>
  </si>
  <si>
    <t>4441-MD900486S PT3</t>
  </si>
  <si>
    <t>P103408998</t>
  </si>
  <si>
    <t>RE-ProctorAcademy-9-3</t>
  </si>
  <si>
    <t>Andover</t>
  </si>
  <si>
    <t>NH</t>
  </si>
  <si>
    <t>sst/allocate/SunBug Solar LLC</t>
  </si>
  <si>
    <t>SB-13252</t>
  </si>
  <si>
    <t>Westfield</t>
  </si>
  <si>
    <t>1127-JF900502S PT1</t>
  </si>
  <si>
    <t>CED Greentech Colorado Springs</t>
  </si>
  <si>
    <t>CE-01922</t>
  </si>
  <si>
    <t>legal/allocate, Positive Energy</t>
  </si>
  <si>
    <t>PE-7712</t>
  </si>
  <si>
    <t>RE-Pennichuck-9-31022</t>
  </si>
  <si>
    <t>Nashua</t>
  </si>
  <si>
    <t>SB-13253</t>
  </si>
  <si>
    <t>CE-01923</t>
  </si>
  <si>
    <t>PE-7705</t>
  </si>
  <si>
    <t>1127-JF900502S PT2</t>
  </si>
  <si>
    <t>3 cont. per month/allocate</t>
  </si>
  <si>
    <t>RE-QCELLS-400-Q3-3322</t>
  </si>
  <si>
    <t>CE-01924</t>
  </si>
  <si>
    <t>PE-7706</t>
  </si>
  <si>
    <t>SB-13254</t>
  </si>
  <si>
    <t>RE-QCELLS-400-Q4-3322</t>
  </si>
  <si>
    <t>CE-01925</t>
  </si>
  <si>
    <t>1127-JF900502S PT3</t>
  </si>
  <si>
    <t>PE-7707</t>
  </si>
  <si>
    <t>CE-01926</t>
  </si>
  <si>
    <t>PE-7708</t>
  </si>
  <si>
    <t>PE-7709</t>
  </si>
  <si>
    <t>SB-13255</t>
  </si>
  <si>
    <t>1127-JF900502S PT4</t>
  </si>
  <si>
    <t>sst/allocate/SunCommon Warehouse</t>
  </si>
  <si>
    <t>SC-10911</t>
  </si>
  <si>
    <t>SC-10912</t>
  </si>
  <si>
    <t>SC-10913</t>
  </si>
  <si>
    <t>Kingston</t>
  </si>
  <si>
    <t>sst/allocate/Sunsense Solar</t>
  </si>
  <si>
    <t>SS-14463</t>
  </si>
  <si>
    <t>1987-SS904085S PT1</t>
  </si>
  <si>
    <t>1987-SS904085S PT2</t>
  </si>
  <si>
    <t>1987-SS904085S PT3</t>
  </si>
  <si>
    <t>1987-SS904029S</t>
  </si>
  <si>
    <t>Blue Raven Solar</t>
  </si>
  <si>
    <t>0148-JF-906372S PT1</t>
  </si>
  <si>
    <t>0148-JF-906372S PT2</t>
  </si>
  <si>
    <t>0148-JF-906372S PT3</t>
  </si>
  <si>
    <t>MK</t>
  </si>
  <si>
    <t>Temecula</t>
  </si>
  <si>
    <t>Bright Planet Solar INC</t>
  </si>
  <si>
    <t>Woodridge</t>
  </si>
  <si>
    <t>Livermore</t>
  </si>
  <si>
    <t>Pompton Plains</t>
  </si>
  <si>
    <t>PLUGPV</t>
  </si>
  <si>
    <t>WALLINGFORD</t>
  </si>
  <si>
    <t>5887-RD948681S</t>
  </si>
  <si>
    <t>CED Greentech Ronkonkoma</t>
  </si>
  <si>
    <t>RONKONKOMA</t>
  </si>
  <si>
    <t>11779</t>
  </si>
  <si>
    <t>23222</t>
  </si>
  <si>
    <t xml:space="preserve">Pro Custom Solar LLC dba Momentum Solar </t>
  </si>
  <si>
    <t>Y(Master PO)</t>
  </si>
  <si>
    <t>Metuchen</t>
  </si>
  <si>
    <t>Plainview</t>
  </si>
  <si>
    <t>Suntuity Solar LLC</t>
  </si>
  <si>
    <t>Holmdel</t>
  </si>
  <si>
    <t>Trinity Heating and Air, Inc dba Trinity Solar</t>
  </si>
  <si>
    <t>West Wareham</t>
  </si>
  <si>
    <t>Wall Township</t>
  </si>
  <si>
    <t>Reading</t>
  </si>
  <si>
    <t>Ronkonkoma</t>
  </si>
  <si>
    <t>We got deposit for one part of 97910 (4/14)</t>
  </si>
  <si>
    <t>PO-97910</t>
  </si>
  <si>
    <t>HOLD(was not on priority)</t>
  </si>
  <si>
    <t xml:space="preserve">Proforma received (2/4) - Possibly wont make it </t>
  </si>
  <si>
    <t>PO-97912</t>
  </si>
  <si>
    <t>PO-32751</t>
  </si>
  <si>
    <t>PO-32990</t>
  </si>
  <si>
    <t>PO-32991</t>
  </si>
  <si>
    <t>PO-32996</t>
  </si>
  <si>
    <t xml:space="preserve">Revised PO pricing </t>
  </si>
  <si>
    <t>TDB</t>
  </si>
  <si>
    <t>1069-38</t>
  </si>
  <si>
    <t>1069-44</t>
  </si>
  <si>
    <t>1069-45</t>
  </si>
  <si>
    <t>1069-47</t>
  </si>
  <si>
    <t>1069-48</t>
  </si>
  <si>
    <t>1069-49</t>
  </si>
  <si>
    <t>1069-50</t>
  </si>
  <si>
    <t>(CIP, GAWH)</t>
  </si>
  <si>
    <t>1670-RF950294S</t>
  </si>
  <si>
    <t>12/272021</t>
  </si>
  <si>
    <t>PO revised to NON-SPA</t>
  </si>
  <si>
    <t>get PO revised to 768</t>
  </si>
  <si>
    <t>ELITE</t>
  </si>
  <si>
    <t>4422-SB900136S</t>
  </si>
  <si>
    <t>9106-CM929400S</t>
  </si>
  <si>
    <t>need rev Price</t>
  </si>
  <si>
    <t>9106-CM929484S</t>
  </si>
  <si>
    <t>5887-RD948462S PT1</t>
  </si>
  <si>
    <t>5887-RD948462S PT2</t>
  </si>
  <si>
    <t>NY State Solar</t>
  </si>
  <si>
    <t>6408-ZS-900131S PT1</t>
  </si>
  <si>
    <t>AR-CR APPROVAL PENDING (4/14)</t>
  </si>
  <si>
    <t>P1266136 PT2</t>
  </si>
  <si>
    <t>2005012 (DDP, GAWH, 49201132, 448ea)</t>
  </si>
  <si>
    <t>MSPO981423</t>
  </si>
  <si>
    <t>MSPO981896</t>
  </si>
  <si>
    <t>MSPO981897</t>
  </si>
  <si>
    <t>MSPO982059</t>
  </si>
  <si>
    <t>MAR Master</t>
  </si>
  <si>
    <t>07719</t>
  </si>
  <si>
    <r>
      <rPr>
        <sz val="9"/>
        <rFont val="Calibri"/>
        <family val="2"/>
        <scheme val="minor"/>
      </rPr>
      <t>MASTER PO (OCT2022) -</t>
    </r>
    <r>
      <rPr>
        <b/>
        <sz val="9"/>
        <rFont val="Calibri"/>
        <family val="2"/>
        <scheme val="minor"/>
      </rPr>
      <t xml:space="preserve"> SST APPROVED with month. Do ALLOCATE (3/17)</t>
    </r>
  </si>
  <si>
    <t>Wall</t>
  </si>
  <si>
    <t xml:space="preserve">Proforma received (2/4) </t>
  </si>
  <si>
    <t>PO-97913</t>
  </si>
  <si>
    <t>PO-32753</t>
  </si>
  <si>
    <t>Deerfield Beach</t>
  </si>
  <si>
    <t>Follow up with SST (2/6)</t>
  </si>
  <si>
    <t>PO-32754</t>
  </si>
  <si>
    <t>PO-32755</t>
  </si>
  <si>
    <t>PO-32764</t>
  </si>
  <si>
    <t>PO-32765</t>
  </si>
  <si>
    <t>PO-32766</t>
  </si>
  <si>
    <t>PO-32767</t>
  </si>
  <si>
    <t>PO-32905</t>
  </si>
  <si>
    <t>West Boylston</t>
  </si>
  <si>
    <t>PO-33033</t>
  </si>
  <si>
    <t>PO-33296</t>
  </si>
  <si>
    <t>PO-33533</t>
  </si>
  <si>
    <t>1069-46</t>
  </si>
  <si>
    <t>1670-RF950695S</t>
  </si>
  <si>
    <t>4984-MW945381S</t>
  </si>
  <si>
    <t>4984-NVR945527S</t>
  </si>
  <si>
    <t>4422-SB900129S</t>
  </si>
  <si>
    <t>9106-CM929402S PT1</t>
  </si>
  <si>
    <r>
      <t xml:space="preserve">AR-CR APPROVED 3/8, BUT HOLD, DO NOT RELEASE 2240pcs YET. Pending </t>
    </r>
    <r>
      <rPr>
        <b/>
        <sz val="9"/>
        <color rgb="FFFF0000"/>
        <rFont val="Calibri"/>
        <family val="2"/>
        <scheme val="minor"/>
      </rPr>
      <t>2nd Priorty</t>
    </r>
    <r>
      <rPr>
        <b/>
        <sz val="9"/>
        <rFont val="Calibri"/>
        <family val="2"/>
        <scheme val="minor"/>
      </rPr>
      <t>/</t>
    </r>
    <r>
      <rPr>
        <b/>
        <sz val="9"/>
        <color rgb="FFFF0000"/>
        <rFont val="Calibri"/>
        <family val="2"/>
        <scheme val="minor"/>
      </rPr>
      <t>Wait for SST</t>
    </r>
    <r>
      <rPr>
        <b/>
        <sz val="9"/>
        <rFont val="Calibri"/>
        <family val="2"/>
        <scheme val="minor"/>
      </rPr>
      <t xml:space="preserve"> (3/8)</t>
    </r>
  </si>
  <si>
    <t>5887-RD948345S PT3</t>
  </si>
  <si>
    <t>5887-RD948463S PT1</t>
  </si>
  <si>
    <t>exchange with other branch? No inventory</t>
  </si>
  <si>
    <t>6462-JR906459S</t>
  </si>
  <si>
    <t>6462-JR906463S</t>
  </si>
  <si>
    <t>4250-CF902756S PT1</t>
  </si>
  <si>
    <t>8460-EE-923446S PT4</t>
  </si>
  <si>
    <t>8460-EE-923533S PT1</t>
  </si>
  <si>
    <t>6408-ZS-900131S PT2</t>
  </si>
  <si>
    <t>6408-ZS-900138S PT1</t>
  </si>
  <si>
    <t>6408-ZS-900138S PT2</t>
  </si>
  <si>
    <t>5% received (DDP, GAWH)</t>
  </si>
  <si>
    <t>P1747</t>
  </si>
  <si>
    <t>Suntuity Sourcing,LLC</t>
  </si>
  <si>
    <t>07733</t>
  </si>
  <si>
    <t>PO REV RECEIVED (3/30) Legal pending</t>
  </si>
  <si>
    <t>PO-32768</t>
  </si>
  <si>
    <t>PO-32769</t>
  </si>
  <si>
    <t>Need SST Approval - May replace PO based on Customer request (4/8)</t>
  </si>
  <si>
    <t>PO-32770</t>
  </si>
  <si>
    <t>PO-32771</t>
  </si>
  <si>
    <t>Need SST Approval - May replace PO based on Customer request (4/8) - They did not state incoterm and legal language on their PO. Wainting for rev., Not in BOX (2/6)</t>
  </si>
  <si>
    <t>PO-33137</t>
  </si>
  <si>
    <t>1670-RF950696S</t>
  </si>
  <si>
    <t>4984-NVR945522S</t>
  </si>
  <si>
    <t>4422-SB900137S</t>
  </si>
  <si>
    <t>9106-CM929402S PT2</t>
  </si>
  <si>
    <t>9106-CM929592S</t>
  </si>
  <si>
    <t>9106-CM929593S</t>
  </si>
  <si>
    <t>5887-RD948345S PT2</t>
  </si>
  <si>
    <t>5887-RD948463S PT2</t>
  </si>
  <si>
    <t>4250-CF902755S</t>
  </si>
  <si>
    <t>4250-CF902758S</t>
  </si>
  <si>
    <t>8460-EE-923533S PT2</t>
  </si>
  <si>
    <t>0933-DT906777S</t>
  </si>
  <si>
    <t>6408-ZS-900131S PT3</t>
  </si>
  <si>
    <t>NEED DISTRO PO</t>
  </si>
  <si>
    <t>need 95% payment</t>
  </si>
  <si>
    <t>P1749</t>
  </si>
  <si>
    <t>JULY</t>
  </si>
  <si>
    <r>
      <t>[New PO RCVD 2/4], Legal/SST both approved. A</t>
    </r>
    <r>
      <rPr>
        <b/>
        <sz val="9"/>
        <color theme="1"/>
        <rFont val="Calibri"/>
        <family val="2"/>
        <scheme val="minor"/>
      </rPr>
      <t>LLOCATE IN ATP &amp;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Do AR/CR  (2/6)</t>
    </r>
    <r>
      <rPr>
        <sz val="9"/>
        <color theme="1"/>
        <rFont val="Calibri"/>
        <family val="2"/>
        <scheme val="minor"/>
      </rPr>
      <t xml:space="preserve"> </t>
    </r>
  </si>
  <si>
    <t>1670-RF950697S</t>
  </si>
  <si>
    <t>4984-NVR945520S</t>
  </si>
  <si>
    <t>4984-NVR945523S</t>
  </si>
  <si>
    <t>4984-NVR945525S</t>
  </si>
  <si>
    <t>EMPOWER</t>
  </si>
  <si>
    <t>4984-NVR945526S</t>
  </si>
  <si>
    <t>4984-NVR945528S</t>
  </si>
  <si>
    <t>9106-CM929403S PT2</t>
  </si>
  <si>
    <t>9106-CM929594S</t>
  </si>
  <si>
    <r>
      <t>PROCESS SST/Legal Approval (3/7)</t>
    </r>
    <r>
      <rPr>
        <sz val="9"/>
        <rFont val="Calibri"/>
        <family val="2"/>
        <scheme val="minor"/>
      </rPr>
      <t xml:space="preserve"> Price change done by KB. </t>
    </r>
    <r>
      <rPr>
        <b/>
        <sz val="9"/>
        <rFont val="Calibri"/>
        <family val="2"/>
        <scheme val="minor"/>
      </rPr>
      <t xml:space="preserve">Pending </t>
    </r>
    <r>
      <rPr>
        <b/>
        <sz val="9"/>
        <color rgb="FFFF0000"/>
        <rFont val="Calibri"/>
        <family val="2"/>
        <scheme val="minor"/>
      </rPr>
      <t>2nd Priorty/Wait for SST</t>
    </r>
    <r>
      <rPr>
        <b/>
        <sz val="9"/>
        <rFont val="Calibri"/>
        <family val="2"/>
        <scheme val="minor"/>
      </rPr>
      <t xml:space="preserve"> (3/8)</t>
    </r>
  </si>
  <si>
    <t>5887-RD948337S PT2</t>
  </si>
  <si>
    <t>5887-RD948345S PT4</t>
  </si>
  <si>
    <t>5887-RD948345S PT5</t>
  </si>
  <si>
    <t>5887-RD948463S PT3</t>
  </si>
  <si>
    <t>5887-RD948464S</t>
  </si>
  <si>
    <t>4250-CF902754S</t>
  </si>
  <si>
    <t>4250-CF902756S PT2</t>
  </si>
  <si>
    <t>4250-CF902759S</t>
  </si>
  <si>
    <t>4250-CF902908S</t>
  </si>
  <si>
    <t>8460-EE-923533S PT3</t>
  </si>
  <si>
    <t>8460-EE-923533S PT5</t>
  </si>
  <si>
    <r>
      <t>Allocate</t>
    </r>
    <r>
      <rPr>
        <b/>
        <sz val="9"/>
        <rFont val="Calibri"/>
        <family val="2"/>
        <scheme val="minor"/>
      </rPr>
      <t xml:space="preserve"> (LEGAL/SST BOTH RCVD &amp; SAVED) </t>
    </r>
  </si>
  <si>
    <t>6408-HA-900213S</t>
  </si>
  <si>
    <t>6408-ZS-900139S</t>
  </si>
  <si>
    <t>P1840</t>
  </si>
  <si>
    <t>P1844</t>
  </si>
  <si>
    <t>P1845</t>
  </si>
  <si>
    <t>0224-JV909931S</t>
  </si>
  <si>
    <t>4250-CF902909S</t>
  </si>
  <si>
    <t>P1846</t>
  </si>
  <si>
    <t>0224-JV909932S</t>
  </si>
  <si>
    <t>4984-NVR946182S</t>
  </si>
  <si>
    <t>4250-CF902910S</t>
  </si>
  <si>
    <t>0933-DT906778S</t>
  </si>
  <si>
    <t>0224-JV909933S</t>
  </si>
  <si>
    <t>4984-NVR946183S</t>
  </si>
  <si>
    <t>0933-KD906943S</t>
  </si>
  <si>
    <t>0224-JV909934S</t>
  </si>
  <si>
    <t>4984-NVR946184S</t>
  </si>
  <si>
    <t>0933-KD906944S</t>
  </si>
  <si>
    <t xml:space="preserve">[New PO RCVD 2/4], Legal/SST both approved.ALLOCATED IN ATP (2/9) </t>
  </si>
  <si>
    <t>0224-JV909935S</t>
  </si>
  <si>
    <t>4984-NVR946185S</t>
  </si>
  <si>
    <t>New Po</t>
  </si>
  <si>
    <t>1521-BL967833S</t>
  </si>
  <si>
    <t xml:space="preserve">Anaheim </t>
  </si>
  <si>
    <t>1521-BL967834S</t>
  </si>
  <si>
    <t>1521-BL967835S</t>
  </si>
  <si>
    <t>1521-BL967830S</t>
  </si>
  <si>
    <t>1521-BL967831S</t>
  </si>
  <si>
    <t>1521-BL967832S</t>
  </si>
  <si>
    <t>0311-TC912277S</t>
  </si>
  <si>
    <t>0311-TC912278S</t>
  </si>
  <si>
    <t>0311-TC912276S</t>
  </si>
  <si>
    <t>0311-TC912275S</t>
  </si>
  <si>
    <t xml:space="preserve">revised po pricing </t>
  </si>
  <si>
    <t>0589-KB900604S</t>
  </si>
  <si>
    <t>0589-MH900669S</t>
  </si>
  <si>
    <t>0589-ZH900709S</t>
  </si>
  <si>
    <t>0756-SJ905300S</t>
  </si>
  <si>
    <t>0756-SJ905301S</t>
  </si>
  <si>
    <t>0756-SJ905303S</t>
  </si>
  <si>
    <t>0756-SJ905304S</t>
  </si>
  <si>
    <t>0756-SJ905305S</t>
  </si>
  <si>
    <t>0756-SJ905306S</t>
  </si>
  <si>
    <t>0821-KA-900699S</t>
  </si>
  <si>
    <t>0821-KA-900698S</t>
  </si>
  <si>
    <t>2576-JB909723S PT2</t>
  </si>
  <si>
    <t>2576-JB909479D PT4</t>
  </si>
  <si>
    <t>2576-JB909479D PT5</t>
  </si>
  <si>
    <t>4420-TC901026S</t>
  </si>
  <si>
    <t>CED Greentech Maui</t>
  </si>
  <si>
    <t>Kahului</t>
  </si>
  <si>
    <t>96732</t>
  </si>
  <si>
    <t>4420-TC901122S</t>
  </si>
  <si>
    <t>5951-SJ901016S</t>
  </si>
  <si>
    <t>5951-SJ901017S</t>
  </si>
  <si>
    <t>5951-SJ901018S</t>
  </si>
  <si>
    <t>5951-SJ901019S</t>
  </si>
  <si>
    <t>5971-SH908370S PT2</t>
  </si>
  <si>
    <t>5971-CC908657S</t>
  </si>
  <si>
    <t>Milwaukie</t>
  </si>
  <si>
    <t>5971-CC908659S</t>
  </si>
  <si>
    <t>5971-CC908660S</t>
  </si>
  <si>
    <t>5971-CC908661S</t>
  </si>
  <si>
    <t>5971-CC908662S</t>
  </si>
  <si>
    <t>5971-CC908664S</t>
  </si>
  <si>
    <t>5971-CC908665S</t>
  </si>
  <si>
    <t>6435-JH987856S</t>
  </si>
  <si>
    <t>6435-JH987854S</t>
  </si>
  <si>
    <t>6435-JH987853S</t>
  </si>
  <si>
    <t>6435-JH987857S</t>
  </si>
  <si>
    <t>6435-JH987729S</t>
  </si>
  <si>
    <t>6435-JH987728S</t>
  </si>
  <si>
    <t>6435-JH987727S</t>
  </si>
  <si>
    <t>6552-NZ971095S</t>
  </si>
  <si>
    <t>6552-NZ971096S</t>
  </si>
  <si>
    <t>6552-NZ971097S</t>
  </si>
  <si>
    <t>6552-NZ971508S</t>
  </si>
  <si>
    <t>6552-NZ971507S</t>
  </si>
  <si>
    <t>7133-JIM982664S PT3</t>
  </si>
  <si>
    <t>7133-JIM982663S PT2</t>
  </si>
  <si>
    <t>7133-JIM983853S PT1</t>
  </si>
  <si>
    <t>7133-JIM983853S PT2</t>
  </si>
  <si>
    <t>7133-JIM983853S PT3</t>
  </si>
  <si>
    <t>7133-JIM983162S PT1</t>
  </si>
  <si>
    <t>7133-JIM983162S PT2</t>
  </si>
  <si>
    <t>7133-JIM983162S PT3</t>
  </si>
  <si>
    <t xml:space="preserve">spread out through july </t>
  </si>
  <si>
    <t>spread out through August</t>
  </si>
  <si>
    <t>7133-JIM984222S PT2</t>
  </si>
  <si>
    <t>7492-PS906731S</t>
  </si>
  <si>
    <t>7492-PS906732S</t>
  </si>
  <si>
    <t>7492-PS906733S</t>
  </si>
  <si>
    <t>7492-PS906729S</t>
  </si>
  <si>
    <t>7492-PS906734S</t>
  </si>
  <si>
    <t>7492-PS906743S</t>
  </si>
  <si>
    <t xml:space="preserve">revised PO pricing/ legal entity  </t>
  </si>
  <si>
    <t>7492-MR906981S</t>
  </si>
  <si>
    <t>7492-MR906982S</t>
  </si>
  <si>
    <t>7492-MR906983S</t>
  </si>
  <si>
    <t>5040-JB981538S</t>
  </si>
  <si>
    <t>5040-JB981540S</t>
  </si>
  <si>
    <t>5040-JB981541S</t>
  </si>
  <si>
    <t>one container 5/2, one container 5/16</t>
  </si>
  <si>
    <t>7953-NR904781S PT1</t>
  </si>
  <si>
    <t>7953-NR904781S PT2</t>
  </si>
  <si>
    <t>longer cables</t>
  </si>
  <si>
    <t>7953-NR904782S</t>
  </si>
  <si>
    <t>longer cables; 768pcs 8/15</t>
  </si>
  <si>
    <t>8064-ZH904486S</t>
  </si>
  <si>
    <t>8064-ZH904487S</t>
  </si>
  <si>
    <t>8064-ZH904488S</t>
  </si>
  <si>
    <t>8064-ZH904489S</t>
  </si>
  <si>
    <t>8064-ZH904490S</t>
  </si>
  <si>
    <t>8064-ZH904491S</t>
  </si>
  <si>
    <t>8064-ZH904492S</t>
  </si>
  <si>
    <t>8064-ZH904493S</t>
  </si>
  <si>
    <t>8187-KA900717S</t>
  </si>
  <si>
    <t xml:space="preserve">CED Greentech Spokane </t>
  </si>
  <si>
    <t>Spokane</t>
  </si>
  <si>
    <t>8187-KA900764S</t>
  </si>
  <si>
    <t>8187-KA900765S</t>
  </si>
  <si>
    <t>8187-KA900766S</t>
  </si>
  <si>
    <t>8187-KA900767S</t>
  </si>
  <si>
    <t>8797-RA938049S PT2</t>
  </si>
  <si>
    <t>8797-RA938050S</t>
  </si>
  <si>
    <t>8797-RA938051S PT1</t>
  </si>
  <si>
    <t>8797-RA938051S PT3</t>
  </si>
  <si>
    <t>8797-RA938052S</t>
  </si>
  <si>
    <t>8797-RA937982S PT2</t>
  </si>
  <si>
    <t>8797-RA937983S PT2</t>
  </si>
  <si>
    <t>8797-RA937984S</t>
  </si>
  <si>
    <t>8797-RA937985S PT1</t>
  </si>
  <si>
    <t>8797-RA938049S PT1</t>
  </si>
  <si>
    <t>8797-RA938053S</t>
  </si>
  <si>
    <t>8797-RA938054S</t>
  </si>
  <si>
    <t>8797-RA938064S</t>
  </si>
  <si>
    <t xml:space="preserve">ok to switch to 410w if they become available </t>
  </si>
  <si>
    <t>9001-JW908468S</t>
  </si>
  <si>
    <t>9001-JW908469S</t>
  </si>
  <si>
    <t>9001-JW908471S</t>
  </si>
  <si>
    <t>9001-JW908472S</t>
  </si>
  <si>
    <t>9001-JW908473S</t>
  </si>
  <si>
    <t>revised po delivery address</t>
  </si>
  <si>
    <t xml:space="preserve">Inxeption Corporation </t>
  </si>
  <si>
    <t>TBA</t>
  </si>
  <si>
    <t>2022-700149</t>
  </si>
  <si>
    <t>2022-700150</t>
  </si>
  <si>
    <t>2022-700151</t>
  </si>
  <si>
    <t>2022-700148 PT2</t>
  </si>
  <si>
    <t>2022-700147 PT2</t>
  </si>
  <si>
    <t>2022-700282</t>
  </si>
  <si>
    <t>2022-700045</t>
  </si>
  <si>
    <t>2022-700049</t>
  </si>
  <si>
    <t>2022-700051</t>
  </si>
  <si>
    <t>2022-700148 PT1</t>
  </si>
  <si>
    <t>2022-700147 PT1</t>
  </si>
  <si>
    <t xml:space="preserve">revised pricing </t>
  </si>
  <si>
    <t>2022-700340 PT1</t>
  </si>
  <si>
    <t>2022-700340 PT2</t>
  </si>
  <si>
    <t>8187-KA900792S</t>
  </si>
  <si>
    <t>8187-KA900793S</t>
  </si>
  <si>
    <t>8187-KA900794S</t>
  </si>
  <si>
    <t>2022-700143 PT1</t>
  </si>
  <si>
    <t>2022-700143 PT2</t>
  </si>
  <si>
    <t>2022-700144 PT1</t>
  </si>
  <si>
    <t>2022-700144 PT2</t>
  </si>
  <si>
    <t>2022-700145 PT1</t>
  </si>
  <si>
    <t>Spread out through Oct</t>
  </si>
  <si>
    <t>7133-JIM985093S PT1</t>
  </si>
  <si>
    <t>Spread out through Nov</t>
  </si>
  <si>
    <t>7133-JIM985093S PT2</t>
  </si>
  <si>
    <t>Spread out through Dec</t>
  </si>
  <si>
    <t>7133-JIM985093S PT3</t>
  </si>
  <si>
    <t>2022-700145 PT2</t>
  </si>
  <si>
    <t>2022-700176</t>
  </si>
  <si>
    <t>2022-700175</t>
  </si>
  <si>
    <t>7133-JIM985089S PT1</t>
  </si>
  <si>
    <t>7133-JIM985089S PT2</t>
  </si>
  <si>
    <t>7133-JIM985089S PT3</t>
  </si>
  <si>
    <t>7133-JIM985087S PT1</t>
  </si>
  <si>
    <t>7133-JIM985087S PT2</t>
  </si>
  <si>
    <t>7133-JIM985087S PT3</t>
  </si>
  <si>
    <t>7133-JIM985087S PT4</t>
  </si>
  <si>
    <t>7133-JIM985087S PT5</t>
  </si>
  <si>
    <t>7133-JIM985417S</t>
  </si>
  <si>
    <t>2576-JB910110S</t>
  </si>
  <si>
    <t>6435-JH991004S</t>
  </si>
  <si>
    <t>6435-JH991006S</t>
  </si>
  <si>
    <t>6435-JH991007S</t>
  </si>
  <si>
    <t>6435-JH991009S</t>
  </si>
  <si>
    <t>6435-JH991010S</t>
  </si>
  <si>
    <t>6435-JH991011S</t>
  </si>
  <si>
    <t>8797-RA938475S</t>
  </si>
  <si>
    <t>Enphase Energy, Inc</t>
  </si>
  <si>
    <t>8797-RA938476S</t>
  </si>
  <si>
    <t>R&amp;R Service, Inc.</t>
  </si>
  <si>
    <t>5951-SJ901166S</t>
  </si>
  <si>
    <t>5951-SJ901167S</t>
  </si>
  <si>
    <t>5951-SJ901168S</t>
  </si>
  <si>
    <t>5951-SJ901169S</t>
  </si>
  <si>
    <t>5951-SJ901170S</t>
  </si>
  <si>
    <t>5951-SJ901171S</t>
  </si>
  <si>
    <t>5951-SJ901172S</t>
  </si>
  <si>
    <t>5951-SJ901173S</t>
  </si>
  <si>
    <t>2022-700177</t>
  </si>
  <si>
    <t>0311-TC912922S</t>
  </si>
  <si>
    <t>0311-TC912921S</t>
  </si>
  <si>
    <t>0311-TC912920S</t>
  </si>
  <si>
    <t>0311-TC912919S</t>
  </si>
  <si>
    <t>0311-TC912917S</t>
  </si>
  <si>
    <t>0311-TC912916S</t>
  </si>
  <si>
    <t>A1755310</t>
  </si>
  <si>
    <t>IMS Solar CO.</t>
  </si>
  <si>
    <t>Apple valley</t>
  </si>
  <si>
    <t>92308</t>
  </si>
  <si>
    <t>1024-BO942406S</t>
  </si>
  <si>
    <t>1024-BO942405S</t>
  </si>
  <si>
    <t>1024-BO942404S</t>
  </si>
  <si>
    <t>1024-BO942403S</t>
  </si>
  <si>
    <t>0756-SJ905897S</t>
  </si>
  <si>
    <t>0756-SJ905899S</t>
  </si>
  <si>
    <t>0756-SJ905900S</t>
  </si>
  <si>
    <t>0756-SJ905901S</t>
  </si>
  <si>
    <t>0756-SJ905902S</t>
  </si>
  <si>
    <t>0756-SJ905903S</t>
  </si>
  <si>
    <t>0756-SJ905904S</t>
  </si>
  <si>
    <t>0756-SJ905905S</t>
  </si>
  <si>
    <t>0756-SJ905906S</t>
  </si>
  <si>
    <t>0756-SJ905907S</t>
  </si>
  <si>
    <t>9185-BPM904303S</t>
  </si>
  <si>
    <t>9185-BPM904288S</t>
  </si>
  <si>
    <t>9185-BPM904287S</t>
  </si>
  <si>
    <t>9185-BPM904286S</t>
  </si>
  <si>
    <t>9185-BPM904285S</t>
  </si>
  <si>
    <t>9185-BPM904284S</t>
  </si>
  <si>
    <t>Revised to 768pcs</t>
  </si>
  <si>
    <t>9185-BPM904283S</t>
  </si>
  <si>
    <t>9185-BPM904282S</t>
  </si>
  <si>
    <t>9185-BPM904281S</t>
  </si>
  <si>
    <t>2022-700097 PT2</t>
  </si>
  <si>
    <t>2022-700050</t>
  </si>
  <si>
    <t>011474</t>
  </si>
  <si>
    <t>need SST approval</t>
  </si>
  <si>
    <t>011603</t>
  </si>
  <si>
    <t>need rev PO - ASP</t>
  </si>
  <si>
    <t>011177</t>
  </si>
  <si>
    <t>011279</t>
  </si>
  <si>
    <t>P002694434</t>
  </si>
  <si>
    <t xml:space="preserve">North Coast Electric Company </t>
  </si>
  <si>
    <t>P002667572</t>
  </si>
  <si>
    <t>P002667574</t>
  </si>
  <si>
    <t>6216-000432</t>
  </si>
  <si>
    <t xml:space="preserve">Sacramento </t>
  </si>
  <si>
    <t>6216-000434</t>
  </si>
  <si>
    <t>6216-000430</t>
  </si>
  <si>
    <t>6216-000426</t>
  </si>
  <si>
    <t>6216-000424</t>
  </si>
  <si>
    <t>6216-000422</t>
  </si>
  <si>
    <t>6216-000418</t>
  </si>
  <si>
    <t>6216-000420</t>
  </si>
  <si>
    <t>6216-000416</t>
  </si>
  <si>
    <t>6216-000428</t>
  </si>
  <si>
    <t>5680-124925</t>
  </si>
  <si>
    <t>5680-124927</t>
  </si>
  <si>
    <t>5680-124929</t>
  </si>
  <si>
    <t>5680-124931</t>
  </si>
  <si>
    <t>5680-124933</t>
  </si>
  <si>
    <t>5680-124935</t>
  </si>
  <si>
    <t>5680-124937</t>
  </si>
  <si>
    <t>5680-124939</t>
  </si>
  <si>
    <t>5680-124941</t>
  </si>
  <si>
    <t>5680-124943</t>
  </si>
  <si>
    <t>5689-817053</t>
  </si>
  <si>
    <t>5689-817065</t>
  </si>
  <si>
    <t>5689-817075</t>
  </si>
  <si>
    <t>5689-817080</t>
  </si>
  <si>
    <t>5689-817175</t>
  </si>
  <si>
    <t>5689-875639</t>
  </si>
  <si>
    <t>5689-875643</t>
  </si>
  <si>
    <t>5689-875655</t>
  </si>
  <si>
    <t>5689-875665</t>
  </si>
  <si>
    <t>5689-875675</t>
  </si>
  <si>
    <t>5689-875680</t>
  </si>
  <si>
    <t>5689-875683</t>
  </si>
  <si>
    <t>5689-875688</t>
  </si>
  <si>
    <t>5689-875714</t>
  </si>
  <si>
    <t>5689-875724</t>
  </si>
  <si>
    <t>5689-875729</t>
  </si>
  <si>
    <t>5689-875733</t>
  </si>
  <si>
    <t>5689-875739</t>
  </si>
  <si>
    <t>5689-875745</t>
  </si>
  <si>
    <t>5689-875751</t>
  </si>
  <si>
    <t>5689-875761</t>
  </si>
  <si>
    <t>5689-875766</t>
  </si>
  <si>
    <t>5689-875773</t>
  </si>
  <si>
    <t>5689-875775</t>
  </si>
  <si>
    <t>5689-875798</t>
  </si>
  <si>
    <t>5689-875800</t>
  </si>
  <si>
    <t>5689-875803</t>
  </si>
  <si>
    <t>5689-875805</t>
  </si>
  <si>
    <t>5689-875809</t>
  </si>
  <si>
    <t>5689-875812</t>
  </si>
  <si>
    <t>5689-875816</t>
  </si>
  <si>
    <t>5689-875818</t>
  </si>
  <si>
    <t>5689-875820</t>
  </si>
  <si>
    <t>5689-875822</t>
  </si>
  <si>
    <t>5689-875824</t>
  </si>
  <si>
    <t>5689-875827</t>
  </si>
  <si>
    <t>5689-875829</t>
  </si>
  <si>
    <t>6104-114118</t>
  </si>
  <si>
    <t>6216-843648</t>
  </si>
  <si>
    <t>6216-843672</t>
  </si>
  <si>
    <t>6216-843677</t>
  </si>
  <si>
    <t>6216-843691</t>
  </si>
  <si>
    <t>6216-843724</t>
  </si>
  <si>
    <t>6216-843735</t>
  </si>
  <si>
    <t>6216-843738</t>
  </si>
  <si>
    <t>6216-843746</t>
  </si>
  <si>
    <t>6216-843749</t>
  </si>
  <si>
    <t>6216-883844</t>
  </si>
  <si>
    <t>6217-437358</t>
  </si>
  <si>
    <t>6217-437761</t>
  </si>
  <si>
    <t>6705-573307</t>
  </si>
  <si>
    <t>90620</t>
  </si>
  <si>
    <t>6705-573332</t>
  </si>
  <si>
    <t>6705-613766</t>
  </si>
  <si>
    <t>6705-614805</t>
  </si>
  <si>
    <t>6705-614843</t>
  </si>
  <si>
    <t>Buena PArk</t>
  </si>
  <si>
    <t>6705-614850</t>
  </si>
  <si>
    <t>6707-388287</t>
  </si>
  <si>
    <t>6707-445750</t>
  </si>
  <si>
    <t>6707-445752</t>
  </si>
  <si>
    <t>6707-445754</t>
  </si>
  <si>
    <t>6707-446710</t>
  </si>
  <si>
    <t>6707-446724</t>
  </si>
  <si>
    <t>6707-446747</t>
  </si>
  <si>
    <t>6707-446757</t>
  </si>
  <si>
    <t>6707-4467631</t>
  </si>
  <si>
    <t>6707-446766</t>
  </si>
  <si>
    <t>6707-446774</t>
  </si>
  <si>
    <t>6707-446779</t>
  </si>
  <si>
    <t>6707-446788</t>
  </si>
  <si>
    <t>6707-446796</t>
  </si>
  <si>
    <t>6707-446801</t>
  </si>
  <si>
    <t>6707-446808</t>
  </si>
  <si>
    <t>6707-446810</t>
  </si>
  <si>
    <t>6707-446813</t>
  </si>
  <si>
    <t>6707-446815</t>
  </si>
  <si>
    <t>6707-446817</t>
  </si>
  <si>
    <t>6707-446819</t>
  </si>
  <si>
    <t>6707-446861</t>
  </si>
  <si>
    <t>6707-446900</t>
  </si>
  <si>
    <t>6707-446946</t>
  </si>
  <si>
    <t>6707-446948</t>
  </si>
  <si>
    <t>6707-446950</t>
  </si>
  <si>
    <t>6707-446731</t>
  </si>
  <si>
    <t>6707-446954</t>
  </si>
  <si>
    <t>7539-303722</t>
  </si>
  <si>
    <t>7539-606664</t>
  </si>
  <si>
    <t>7539-606671</t>
  </si>
  <si>
    <t>7539-606683</t>
  </si>
  <si>
    <t>7539-606687</t>
  </si>
  <si>
    <t>7539-606713</t>
  </si>
  <si>
    <t>7539-606718</t>
  </si>
  <si>
    <t>5689-990511</t>
  </si>
  <si>
    <t>67</t>
  </si>
  <si>
    <t>7539-709214</t>
  </si>
  <si>
    <t>7539-709216</t>
  </si>
  <si>
    <t>7539-709220</t>
  </si>
  <si>
    <t>7539-709222</t>
  </si>
  <si>
    <t>7539-709226</t>
  </si>
  <si>
    <t>7539-709228</t>
  </si>
  <si>
    <t>7539-711854</t>
  </si>
  <si>
    <t>7539-711861</t>
  </si>
  <si>
    <t>7539-711863</t>
  </si>
  <si>
    <t>7539-711881</t>
  </si>
  <si>
    <t>7539-711888</t>
  </si>
  <si>
    <t>7539-711892</t>
  </si>
  <si>
    <t>7539-711907</t>
  </si>
  <si>
    <t>7539-712157</t>
  </si>
  <si>
    <t>7539-712272</t>
  </si>
  <si>
    <t>7539-712280</t>
  </si>
  <si>
    <t>7539-712284</t>
  </si>
  <si>
    <t>7539-712291</t>
  </si>
  <si>
    <t>7539-712295</t>
  </si>
  <si>
    <t>7539-712299</t>
  </si>
  <si>
    <t>7539-712307</t>
  </si>
  <si>
    <t>7539-712311</t>
  </si>
  <si>
    <t>7539-712314</t>
  </si>
  <si>
    <t>7539-712316</t>
  </si>
  <si>
    <t>7539-712326</t>
  </si>
  <si>
    <t>7539-712340</t>
  </si>
  <si>
    <t>7539-712364</t>
  </si>
  <si>
    <t>7539-712369</t>
  </si>
  <si>
    <t>7539-712371</t>
  </si>
  <si>
    <t>7539-712373</t>
  </si>
  <si>
    <t>7539-712375</t>
  </si>
  <si>
    <t>7539-712377</t>
  </si>
  <si>
    <t>7539-712380</t>
  </si>
  <si>
    <t>7539-712384</t>
  </si>
  <si>
    <t>7539-712395</t>
  </si>
  <si>
    <t>7539-712411</t>
  </si>
  <si>
    <t>7539-712429</t>
  </si>
  <si>
    <t>7539-712434</t>
  </si>
  <si>
    <t>7539-712472</t>
  </si>
  <si>
    <t>7539-712477</t>
  </si>
  <si>
    <t>7539-712479</t>
  </si>
  <si>
    <t>7539-712487</t>
  </si>
  <si>
    <t>7539-712493</t>
  </si>
  <si>
    <t>7539-712495</t>
  </si>
  <si>
    <t>7539-712503</t>
  </si>
  <si>
    <t>7539-712520</t>
  </si>
  <si>
    <t>7539-712522</t>
  </si>
  <si>
    <t>7539-712535</t>
  </si>
  <si>
    <t>7539-712564</t>
  </si>
  <si>
    <t>7539-712567</t>
  </si>
  <si>
    <t>7539-712630</t>
  </si>
  <si>
    <t>7539-712639</t>
  </si>
  <si>
    <t>7539-712641</t>
  </si>
  <si>
    <t>7539-712645</t>
  </si>
  <si>
    <t>7539-712652</t>
  </si>
  <si>
    <t>7539-712670</t>
  </si>
  <si>
    <t>7539-712673</t>
  </si>
  <si>
    <t>7539-712676</t>
  </si>
  <si>
    <t>7557-718765</t>
  </si>
  <si>
    <t>7557-718771</t>
  </si>
  <si>
    <t>7557-718775</t>
  </si>
  <si>
    <t>7557-718779</t>
  </si>
  <si>
    <t>7557-718792</t>
  </si>
  <si>
    <t>7557-718802</t>
  </si>
  <si>
    <t>7557-743274</t>
  </si>
  <si>
    <t>7557-743298</t>
  </si>
  <si>
    <t>7557-743302</t>
  </si>
  <si>
    <t>7557-743340</t>
  </si>
  <si>
    <t>7557-743343</t>
  </si>
  <si>
    <t>7557-743363</t>
  </si>
  <si>
    <t>7557-743368</t>
  </si>
  <si>
    <t>7557-743375</t>
  </si>
  <si>
    <t>7557-743384</t>
  </si>
  <si>
    <t>7557-743387</t>
  </si>
  <si>
    <t>7557-743389</t>
  </si>
  <si>
    <t>7557-743391</t>
  </si>
  <si>
    <t>7557-743417</t>
  </si>
  <si>
    <t>7677-060418</t>
  </si>
  <si>
    <t>7677-064528</t>
  </si>
  <si>
    <t>7677-064530</t>
  </si>
  <si>
    <t>7677-064533</t>
  </si>
  <si>
    <t>6705-614781</t>
  </si>
  <si>
    <t>6705-614951</t>
  </si>
  <si>
    <t>7539-712570</t>
  </si>
  <si>
    <t>6104-014118</t>
  </si>
  <si>
    <t>6104-015559</t>
  </si>
  <si>
    <t>5689-817149</t>
  </si>
  <si>
    <t>6707-388283</t>
  </si>
  <si>
    <t>7539-606715</t>
  </si>
  <si>
    <t>5689-990513</t>
  </si>
  <si>
    <t>68</t>
  </si>
  <si>
    <t>5689-990519</t>
  </si>
  <si>
    <t>69</t>
  </si>
  <si>
    <t>5689-817166</t>
  </si>
  <si>
    <t>5689-875631</t>
  </si>
  <si>
    <t>6707-388289</t>
  </si>
  <si>
    <t>6707-388291</t>
  </si>
  <si>
    <t>5680-124907</t>
  </si>
  <si>
    <t>5680-124945</t>
  </si>
  <si>
    <t>5680-124947</t>
  </si>
  <si>
    <t>5680-124949</t>
  </si>
  <si>
    <t>5689-875831</t>
  </si>
  <si>
    <t>5689-875833</t>
  </si>
  <si>
    <t>5689-875835</t>
  </si>
  <si>
    <t>6216-882853</t>
  </si>
  <si>
    <t>6216-882856</t>
  </si>
  <si>
    <t>6216-882858</t>
  </si>
  <si>
    <t>6216-882860</t>
  </si>
  <si>
    <t>6216-883770</t>
  </si>
  <si>
    <t>6216-883773</t>
  </si>
  <si>
    <t>6216-883780</t>
  </si>
  <si>
    <t>6216-883787</t>
  </si>
  <si>
    <t>6216-883789</t>
  </si>
  <si>
    <t>6216-883791</t>
  </si>
  <si>
    <t>6216-883794</t>
  </si>
  <si>
    <t>6216-883799</t>
  </si>
  <si>
    <t>6216-883803</t>
  </si>
  <si>
    <t>6216-883807</t>
  </si>
  <si>
    <t>6216-883810</t>
  </si>
  <si>
    <t>6216-883817</t>
  </si>
  <si>
    <t>6216-883820</t>
  </si>
  <si>
    <t>6216-883822</t>
  </si>
  <si>
    <t>6216-883831</t>
  </si>
  <si>
    <t>6216-883849</t>
  </si>
  <si>
    <t>6216-883862</t>
  </si>
  <si>
    <t>6216-883864</t>
  </si>
  <si>
    <t>6216-883867</t>
  </si>
  <si>
    <t>6216-883870</t>
  </si>
  <si>
    <t>6216-883875</t>
  </si>
  <si>
    <t>6216-883922</t>
  </si>
  <si>
    <t>6216-883926</t>
  </si>
  <si>
    <t>6216-883938</t>
  </si>
  <si>
    <t>6216-883942</t>
  </si>
  <si>
    <t>7539-606724</t>
  </si>
  <si>
    <t>6217-437354</t>
  </si>
  <si>
    <t>6217-437364</t>
  </si>
  <si>
    <t>6217-437725</t>
  </si>
  <si>
    <t>6217-437740</t>
  </si>
  <si>
    <t>6217-437743</t>
  </si>
  <si>
    <t>6217-437751</t>
  </si>
  <si>
    <t>6217-437770</t>
  </si>
  <si>
    <t>6217-437777</t>
  </si>
  <si>
    <t>6217-437787</t>
  </si>
  <si>
    <t>6316-883846</t>
  </si>
  <si>
    <t>6707-445756</t>
  </si>
  <si>
    <t>6707-445758</t>
  </si>
  <si>
    <t>6707-445760</t>
  </si>
  <si>
    <t>6707-446870</t>
  </si>
  <si>
    <t>6707-446883</t>
  </si>
  <si>
    <t>6707-446888</t>
  </si>
  <si>
    <t>6707-446893</t>
  </si>
  <si>
    <t>6707-446912</t>
  </si>
  <si>
    <t>6707-446921</t>
  </si>
  <si>
    <t>6707-446923</t>
  </si>
  <si>
    <t>6707-446952</t>
  </si>
  <si>
    <t>7539-712489</t>
  </si>
  <si>
    <t>7539-712513</t>
  </si>
  <si>
    <t>7539-712537</t>
  </si>
  <si>
    <t>7539-712556</t>
  </si>
  <si>
    <t>7539-712636</t>
  </si>
  <si>
    <t>7539-712647</t>
  </si>
  <si>
    <t>7539-712663</t>
  </si>
  <si>
    <t>7539-712667</t>
  </si>
  <si>
    <t>7539-712678</t>
  </si>
  <si>
    <t>7677-064493</t>
  </si>
  <si>
    <t>7677-064495</t>
  </si>
  <si>
    <t>7677-064547</t>
  </si>
  <si>
    <t>5680-124916</t>
  </si>
  <si>
    <t>5680-124921</t>
  </si>
  <si>
    <t>5680-124923</t>
  </si>
  <si>
    <t>115800</t>
  </si>
  <si>
    <t>Fredricksburg</t>
  </si>
  <si>
    <t>115801</t>
  </si>
  <si>
    <t>115802</t>
  </si>
  <si>
    <t>115803</t>
  </si>
  <si>
    <t>115804</t>
  </si>
  <si>
    <t>115805</t>
  </si>
  <si>
    <t>115806</t>
  </si>
  <si>
    <t>115809</t>
  </si>
  <si>
    <t>115810</t>
  </si>
  <si>
    <t>115811</t>
  </si>
  <si>
    <t>115812</t>
  </si>
  <si>
    <t>115813</t>
  </si>
  <si>
    <t>115814</t>
  </si>
  <si>
    <t>115815</t>
  </si>
  <si>
    <t>115816</t>
  </si>
  <si>
    <t>115817</t>
  </si>
  <si>
    <t>115820</t>
  </si>
  <si>
    <t>115821</t>
  </si>
  <si>
    <t>115823</t>
  </si>
  <si>
    <t>115824</t>
  </si>
  <si>
    <t>VIsalia</t>
  </si>
  <si>
    <t>115825</t>
  </si>
  <si>
    <t>115826</t>
  </si>
  <si>
    <t>115827</t>
  </si>
  <si>
    <t>115828</t>
  </si>
  <si>
    <t>115829</t>
  </si>
  <si>
    <t>115831</t>
  </si>
  <si>
    <t>Q.PEAK DUO  ML G10+</t>
  </si>
  <si>
    <t>115832</t>
  </si>
  <si>
    <t>115833</t>
  </si>
  <si>
    <t>115834</t>
  </si>
  <si>
    <t>115835</t>
  </si>
  <si>
    <t>115836</t>
  </si>
  <si>
    <t>115837</t>
  </si>
  <si>
    <t>115839</t>
  </si>
  <si>
    <t>115840</t>
  </si>
  <si>
    <t>115841</t>
  </si>
  <si>
    <t>115842</t>
  </si>
  <si>
    <t>115843</t>
  </si>
  <si>
    <t>115844</t>
  </si>
  <si>
    <t>115845</t>
  </si>
  <si>
    <t>115846</t>
  </si>
  <si>
    <t>115847</t>
  </si>
  <si>
    <t>115848</t>
  </si>
  <si>
    <t>115849</t>
  </si>
  <si>
    <t>rev PO/qty/product name</t>
  </si>
  <si>
    <t>115850</t>
  </si>
  <si>
    <t>need rev PO - CIP</t>
  </si>
  <si>
    <t>1521-SUN968038S</t>
  </si>
  <si>
    <t>1521-SUN968037S</t>
  </si>
  <si>
    <t>1521-SUN968043S</t>
  </si>
  <si>
    <t>1521-SUN968040S</t>
  </si>
  <si>
    <t>1521-SUN968039S</t>
  </si>
  <si>
    <t>1875-SUNST919319S</t>
  </si>
  <si>
    <t>Revised to NON-SPA/ SST/Allocate</t>
  </si>
  <si>
    <t>1132-NL-912300S</t>
  </si>
  <si>
    <t>1132-NL-912306S</t>
  </si>
  <si>
    <t>1132-NL-912301S</t>
  </si>
  <si>
    <t>1132-NL-912307S</t>
  </si>
  <si>
    <t>1132-NL-912302S</t>
  </si>
  <si>
    <t>1132-NL-912308S</t>
  </si>
  <si>
    <t>Revised to NON-SPA SST/Legal  Allocate</t>
  </si>
  <si>
    <t>1132-NL-912208S</t>
  </si>
  <si>
    <t>1132-NL-912211S</t>
  </si>
  <si>
    <t>1132-NL-912303S</t>
  </si>
  <si>
    <t>1132-NL-912309S</t>
  </si>
  <si>
    <t>1132-NL-912304S</t>
  </si>
  <si>
    <t>Revised to NON-SPA SST/Legal/ Allocate</t>
  </si>
  <si>
    <t>1132-JP912212S</t>
  </si>
  <si>
    <t>1132-NL-912210S</t>
  </si>
  <si>
    <t>1132-NL-912310S</t>
  </si>
  <si>
    <t>Revised to NON-SPA SST/ Allocate</t>
  </si>
  <si>
    <t>1132-JP-912214S</t>
  </si>
  <si>
    <t>1132-NL-912213S</t>
  </si>
  <si>
    <t>1132-NL-912305S</t>
  </si>
  <si>
    <t>1132-NL-912311S</t>
  </si>
  <si>
    <t>SST/Legal/Allocate</t>
  </si>
  <si>
    <t>5621-CH904815S PT2</t>
  </si>
  <si>
    <t>PO-00008199</t>
  </si>
  <si>
    <t>PO-00008184</t>
  </si>
  <si>
    <t>PO-00008181</t>
  </si>
  <si>
    <t>5621-CH904815S PT3</t>
  </si>
  <si>
    <t>5621-CH906207S PT1</t>
  </si>
  <si>
    <t>5621-CH906207S PT2</t>
  </si>
  <si>
    <t>5621-CH906207S PT3</t>
  </si>
  <si>
    <t>5621-CH906206S PT1</t>
  </si>
  <si>
    <t>5621-CH906206S PT2</t>
  </si>
  <si>
    <t>5621-CH906206S PT3</t>
  </si>
  <si>
    <t>5621-CH9062082S</t>
  </si>
  <si>
    <t>6058-SC904500S PT1</t>
  </si>
  <si>
    <t>6058-SC904500S PT2</t>
  </si>
  <si>
    <t>6058-SC904501S</t>
  </si>
  <si>
    <t>6058-SC904742S</t>
  </si>
  <si>
    <t>6058-SC904743S</t>
  </si>
  <si>
    <t>Revised to NON-SPA cust to revise Legal name/Allocate</t>
  </si>
  <si>
    <t>6058-SC904744S</t>
  </si>
  <si>
    <t>8018-AD915645S</t>
  </si>
  <si>
    <t>8018-AD915646S</t>
  </si>
  <si>
    <t>8018-AD915647S</t>
  </si>
  <si>
    <t>8018-AD916659S</t>
  </si>
  <si>
    <t>8018-AD916660S</t>
  </si>
  <si>
    <t>SST/ Allocate</t>
  </si>
  <si>
    <t>8018-AD916661S</t>
  </si>
  <si>
    <t>8018-AD917077S</t>
  </si>
  <si>
    <t>8018-AD917078S</t>
  </si>
  <si>
    <t>SST/Legal /Allocate</t>
  </si>
  <si>
    <t>PO2776</t>
  </si>
  <si>
    <t>PO2775</t>
  </si>
  <si>
    <t>PO2774</t>
  </si>
  <si>
    <t>PO2773</t>
  </si>
  <si>
    <t>PO2778</t>
  </si>
  <si>
    <t>PO2777</t>
  </si>
  <si>
    <t>PO2772</t>
  </si>
  <si>
    <t>PO2771</t>
  </si>
  <si>
    <t>PO2770</t>
  </si>
  <si>
    <t>PO2768</t>
  </si>
  <si>
    <t>PO2767</t>
  </si>
  <si>
    <t>PO2766</t>
  </si>
  <si>
    <t>PO2765</t>
  </si>
  <si>
    <t>PO2764</t>
  </si>
  <si>
    <t>PO2780</t>
  </si>
  <si>
    <t>Marrietta</t>
  </si>
  <si>
    <t>PO2779</t>
  </si>
  <si>
    <t>PO2763</t>
  </si>
  <si>
    <t>SST /Allocate</t>
  </si>
  <si>
    <t>8018-AD918147S PT1</t>
  </si>
  <si>
    <t>8018-AD918147S PT2</t>
  </si>
  <si>
    <t>8018-AD918147S PT3</t>
  </si>
  <si>
    <t>2022-H-7b</t>
  </si>
  <si>
    <t xml:space="preserve">TBD </t>
  </si>
  <si>
    <t>2022-H-8b</t>
  </si>
  <si>
    <t>2022-H-9b</t>
  </si>
  <si>
    <t>8018-AD918408S</t>
  </si>
  <si>
    <t>CED Geentech Sarasota</t>
  </si>
  <si>
    <t>8018-AD918410S</t>
  </si>
  <si>
    <t>8018-AD918412S</t>
  </si>
  <si>
    <t>8018-AD918421S</t>
  </si>
  <si>
    <t>8018-AD918422S</t>
  </si>
  <si>
    <t>8018-AD918424S</t>
  </si>
  <si>
    <t>8018-AD917079S</t>
  </si>
  <si>
    <t>0236-LUMIO920207S</t>
  </si>
  <si>
    <t>Dennis/Matt</t>
  </si>
  <si>
    <t>LUMIO SPA (REVISE), Legal/SST/Allocate</t>
  </si>
  <si>
    <t>0237-KI906610S</t>
  </si>
  <si>
    <t>0237-KI906611S</t>
  </si>
  <si>
    <t>Palmetto SPA (REVISE), Legal/SST/Allocate</t>
  </si>
  <si>
    <t>0237-KI906612S</t>
  </si>
  <si>
    <t>0237-KI906613S</t>
  </si>
  <si>
    <t>0237-KI906614S</t>
  </si>
  <si>
    <t>2685-DN900998S PT1</t>
  </si>
  <si>
    <t xml:space="preserve">Grand Juntion </t>
  </si>
  <si>
    <t>2685-DN900998S PT2</t>
  </si>
  <si>
    <t>2685-DN900998S PT3</t>
  </si>
  <si>
    <t>2685-DN901000S PT1</t>
  </si>
  <si>
    <t>2685-DN901000S PT2</t>
  </si>
  <si>
    <t>2685-DN901000S PT3</t>
  </si>
  <si>
    <t xml:space="preserve">2685-DN901001S PT1 </t>
  </si>
  <si>
    <t>2685-DN901001S PT2</t>
  </si>
  <si>
    <t>2685-DN901001S PT3</t>
  </si>
  <si>
    <t>3273-RK900265S PT1</t>
  </si>
  <si>
    <t>3273-RK900265S PT2</t>
  </si>
  <si>
    <t>3273-RK900265S PT3</t>
  </si>
  <si>
    <t>3273-RK900266S PT1</t>
  </si>
  <si>
    <t>3273-RK900266S PT2</t>
  </si>
  <si>
    <t>3273-RK900266S PT3</t>
  </si>
  <si>
    <t>3273-RK900267S PT1</t>
  </si>
  <si>
    <t>3273-RK900267S PT2</t>
  </si>
  <si>
    <t>3273-RK900267S PT3</t>
  </si>
  <si>
    <t>3273-RK900288S PT1</t>
  </si>
  <si>
    <t>3273-RK900288S PT2</t>
  </si>
  <si>
    <t>3273-RK900288S PT3</t>
  </si>
  <si>
    <t>3273-RK900580S</t>
  </si>
  <si>
    <t>3273-RK900581S</t>
  </si>
  <si>
    <t>3273-RK900582S</t>
  </si>
  <si>
    <t>3273-RK900583S</t>
  </si>
  <si>
    <t>3273-RK900584S</t>
  </si>
  <si>
    <t>3273-RK900585S</t>
  </si>
  <si>
    <t>3273-ZR900752S</t>
  </si>
  <si>
    <t>3273-ZR900753S</t>
  </si>
  <si>
    <t>3273-ZR900754S</t>
  </si>
  <si>
    <t>3273-ZR900801S PT1</t>
  </si>
  <si>
    <t>3273-ZR900801S PT2</t>
  </si>
  <si>
    <t>3273-ZR900802S PT1</t>
  </si>
  <si>
    <t>3273-ZR900802S PT2</t>
  </si>
  <si>
    <t>3273-ZR900803S PT1</t>
  </si>
  <si>
    <t>3273-ZR900803S PT2</t>
  </si>
  <si>
    <t>3273-ZR900804S PT1</t>
  </si>
  <si>
    <t>3273-ZR900804S PT2</t>
  </si>
  <si>
    <t xml:space="preserve">SST/Allocate </t>
  </si>
  <si>
    <t>6026-DN901040S PT1</t>
  </si>
  <si>
    <t>6026-DN901040S PT2</t>
  </si>
  <si>
    <t>6026-DN901040S PT3</t>
  </si>
  <si>
    <t>6026-DN901041S PT1</t>
  </si>
  <si>
    <t>4391-JS900048S PT1</t>
  </si>
  <si>
    <t>4391-JS900048S PT2</t>
  </si>
  <si>
    <t>4391-JS900048S PT3</t>
  </si>
  <si>
    <t>4391-JS900048S PT4</t>
  </si>
  <si>
    <t>4391-JS900049S PT1</t>
  </si>
  <si>
    <t>4391-JS900049S PT2</t>
  </si>
  <si>
    <t>4391-JS900049S PT3</t>
  </si>
  <si>
    <t>4391-JS900049S PT4</t>
  </si>
  <si>
    <t>4391-JS900050S PT1</t>
  </si>
  <si>
    <t>4391-JS900050S PT2</t>
  </si>
  <si>
    <t>4391-JS900050S PT3</t>
  </si>
  <si>
    <t>4391-JS900050S PT4</t>
  </si>
  <si>
    <t>4391-JS900211S PT1</t>
  </si>
  <si>
    <t>4391-JS900211S PT2</t>
  </si>
  <si>
    <t>4391-JS900211S PT3</t>
  </si>
  <si>
    <t xml:space="preserve">Legal/SST/Allocate/Two Trucks per Week </t>
  </si>
  <si>
    <t>4391-JS900217S PT1</t>
  </si>
  <si>
    <t>4391-JS900217S PT2</t>
  </si>
  <si>
    <t>4391-JS900217S PT3</t>
  </si>
  <si>
    <t>4391-JS900217S PT4</t>
  </si>
  <si>
    <t>4090-RT906297S PT1</t>
  </si>
  <si>
    <t>4090-RT906297S PT2</t>
  </si>
  <si>
    <t>4090-RT906297S PT3</t>
  </si>
  <si>
    <t>4090-RT906298S PT1</t>
  </si>
  <si>
    <t>4090-RT906298S PT2</t>
  </si>
  <si>
    <t>4090-RT906298S PT3</t>
  </si>
  <si>
    <t>0148-RK906331S PT1</t>
  </si>
  <si>
    <t>0148-RK906331S PT2</t>
  </si>
  <si>
    <t>0148-RK906331S PT3</t>
  </si>
  <si>
    <t>6026-DN901041S PT2</t>
  </si>
  <si>
    <t>6026-DN901041S PT3</t>
  </si>
  <si>
    <t>6026-DN901042S PT1</t>
  </si>
  <si>
    <t>6026-DN901042S PT2</t>
  </si>
  <si>
    <t>6026-DN901042S PT3</t>
  </si>
  <si>
    <t xml:space="preserve">Legal/SST/Allocate </t>
  </si>
  <si>
    <t>0239-HB905286S</t>
  </si>
  <si>
    <t>0239-HB905287S</t>
  </si>
  <si>
    <t>0239-HB905288S</t>
  </si>
  <si>
    <t>Changed from CS to Non-CS</t>
  </si>
  <si>
    <t>6692-NT909886S PT1</t>
  </si>
  <si>
    <t>CED Greentech Utah</t>
  </si>
  <si>
    <t>West Valley City</t>
  </si>
  <si>
    <t>6692-NT909886S PT2</t>
  </si>
  <si>
    <t>6692-NT909888S</t>
  </si>
  <si>
    <t>6692-NT909889S PT1</t>
  </si>
  <si>
    <t>6692-NT909889S PT2</t>
  </si>
  <si>
    <t>6692-NT909900S</t>
  </si>
  <si>
    <t>6692-NT909901S PT1</t>
  </si>
  <si>
    <t>8756-KC997099S</t>
  </si>
  <si>
    <t>NEED REVISED PO TO G10+</t>
  </si>
  <si>
    <t>8756-MD997102S</t>
  </si>
  <si>
    <t>8756-MD997103S</t>
  </si>
  <si>
    <t>8756-LC997786S</t>
  </si>
  <si>
    <t>HQCV3FF3071</t>
  </si>
  <si>
    <t>Fairfield</t>
  </si>
  <si>
    <t>HQCV3FF3072</t>
  </si>
  <si>
    <t>HQCV3FF3073</t>
  </si>
  <si>
    <t>HQCV3FF3074</t>
  </si>
  <si>
    <t>HQCV3FF3075</t>
  </si>
  <si>
    <t>HQCV3FF3076</t>
  </si>
  <si>
    <t>HQCV3ON3082</t>
  </si>
  <si>
    <t>HQCV3ON3083</t>
  </si>
  <si>
    <t>HQCV3S3065</t>
  </si>
  <si>
    <t>HQCV3S3066</t>
  </si>
  <si>
    <t>P103439961</t>
  </si>
  <si>
    <t>P103439963</t>
  </si>
  <si>
    <t>P103439967</t>
  </si>
  <si>
    <t>P103439973</t>
  </si>
  <si>
    <t>P103439976</t>
  </si>
  <si>
    <t>P103439977</t>
  </si>
  <si>
    <t>P103439979</t>
  </si>
  <si>
    <t>P103439984</t>
  </si>
  <si>
    <t>P103439985</t>
  </si>
  <si>
    <t>P103439986</t>
  </si>
  <si>
    <t>P103439989</t>
  </si>
  <si>
    <t>P103439990</t>
  </si>
  <si>
    <t>P103440918</t>
  </si>
  <si>
    <t>Midland</t>
  </si>
  <si>
    <t>P103440919</t>
  </si>
  <si>
    <t>P103440922</t>
  </si>
  <si>
    <t>P103440925</t>
  </si>
  <si>
    <t>P103452846</t>
  </si>
  <si>
    <t>Coppell</t>
  </si>
  <si>
    <t>P103452849</t>
  </si>
  <si>
    <t>P103452850</t>
  </si>
  <si>
    <t>P103452851</t>
  </si>
  <si>
    <t>P103452852</t>
  </si>
  <si>
    <t>P103452853</t>
  </si>
  <si>
    <t>P103452929</t>
  </si>
  <si>
    <t>P103452930</t>
  </si>
  <si>
    <t>P103452931</t>
  </si>
  <si>
    <t>P103452934</t>
  </si>
  <si>
    <t>P103452936</t>
  </si>
  <si>
    <t>P103452937</t>
  </si>
  <si>
    <t>P103475752</t>
  </si>
  <si>
    <t>P103475753</t>
  </si>
  <si>
    <t>P103475754</t>
  </si>
  <si>
    <t>P103475755</t>
  </si>
  <si>
    <t>P103475758</t>
  </si>
  <si>
    <t>P103475759</t>
  </si>
  <si>
    <t>P103476126</t>
  </si>
  <si>
    <t>P103476135</t>
  </si>
  <si>
    <t>P103476150</t>
  </si>
  <si>
    <t>S133333526</t>
  </si>
  <si>
    <t>Flagstaf</t>
  </si>
  <si>
    <t>P103476160</t>
  </si>
  <si>
    <t>P103503408</t>
  </si>
  <si>
    <t xml:space="preserve">Green Light Solar </t>
  </si>
  <si>
    <t>P103503416</t>
  </si>
  <si>
    <t>P103503421</t>
  </si>
  <si>
    <t>P103503420</t>
  </si>
  <si>
    <t>P103503419</t>
  </si>
  <si>
    <t>P103503417</t>
  </si>
  <si>
    <t>P103503432</t>
  </si>
  <si>
    <t>P103503461</t>
  </si>
  <si>
    <t>P103503460</t>
  </si>
  <si>
    <t>3961951</t>
  </si>
  <si>
    <t>3961942</t>
  </si>
  <si>
    <t>P103503385</t>
  </si>
  <si>
    <t>P103503396</t>
  </si>
  <si>
    <t>P103503395</t>
  </si>
  <si>
    <t>P103503399</t>
  </si>
  <si>
    <t>P103503403</t>
  </si>
  <si>
    <t>P103503402</t>
  </si>
  <si>
    <t>P103503471</t>
  </si>
  <si>
    <t>P103503481</t>
  </si>
  <si>
    <t>P103503480</t>
  </si>
  <si>
    <t>P103503479</t>
  </si>
  <si>
    <t>P103503478</t>
  </si>
  <si>
    <t>P103533290</t>
  </si>
  <si>
    <t>P103503477</t>
  </si>
  <si>
    <t>P103533314</t>
  </si>
  <si>
    <t>P103530193</t>
  </si>
  <si>
    <t>P103541322</t>
  </si>
  <si>
    <t>P103543102</t>
  </si>
  <si>
    <t>P103533316</t>
  </si>
  <si>
    <t>3972528</t>
  </si>
  <si>
    <t>P103533318</t>
  </si>
  <si>
    <t>3972533</t>
  </si>
  <si>
    <t>P103533320</t>
  </si>
  <si>
    <t>P103533323</t>
  </si>
  <si>
    <t>P103533329</t>
  </si>
  <si>
    <t>P103533338</t>
  </si>
  <si>
    <t>P103533350</t>
  </si>
  <si>
    <t>P103533351</t>
  </si>
  <si>
    <t>3976145</t>
  </si>
  <si>
    <t>6692-NT909901S PT2</t>
  </si>
  <si>
    <t>6692-NT909903S</t>
  </si>
  <si>
    <t>IP-PO-00001606</t>
  </si>
  <si>
    <t>IP-PO-00001607</t>
  </si>
  <si>
    <t>sst/allocate/LightWave Solar</t>
  </si>
  <si>
    <t>LWS-3503 PT1</t>
  </si>
  <si>
    <t>Antioch</t>
  </si>
  <si>
    <t>IP-PO-00001601</t>
  </si>
  <si>
    <t>IP-PO-00001602</t>
  </si>
  <si>
    <t>IP-PO-00001603</t>
  </si>
  <si>
    <t>sst/legal/allocate/StraightUp Solar</t>
  </si>
  <si>
    <t>SUS-19091061</t>
  </si>
  <si>
    <t>LWS-3503 PT2</t>
  </si>
  <si>
    <t>IP-PO-00001604</t>
  </si>
  <si>
    <t>IP-PO-00001608</t>
  </si>
  <si>
    <t>IP-PO-00001609</t>
  </si>
  <si>
    <t>LWS-3503 PT3</t>
  </si>
  <si>
    <t>IP-PO-00001610</t>
  </si>
  <si>
    <t>IP-PO-00001611</t>
  </si>
  <si>
    <t>IP-PO-00001612</t>
  </si>
  <si>
    <t>sst/allocate/Solar Holler</t>
  </si>
  <si>
    <t>SH-00806</t>
  </si>
  <si>
    <t>new po</t>
  </si>
  <si>
    <t>4664-GS-903388S PT1</t>
  </si>
  <si>
    <t>4664-GS-903388S PT2</t>
  </si>
  <si>
    <t>4664-GS-903388S PT3</t>
  </si>
  <si>
    <t>4664-GS-903706S PT1</t>
  </si>
  <si>
    <t>4664-GS-903706S PT2</t>
  </si>
  <si>
    <t>4664-GS-903706S PT3</t>
  </si>
  <si>
    <t>4664-GS-903706S PT4</t>
  </si>
  <si>
    <t>4664-GS-903706S PT5</t>
  </si>
  <si>
    <t>1154-JR-900349S</t>
  </si>
  <si>
    <t>3584-PAUL-903599S PT1</t>
  </si>
  <si>
    <t>3584-PAUL-903599S PT2</t>
  </si>
  <si>
    <t>3584-PAUL-903599S PT3</t>
  </si>
  <si>
    <t>0987-CB-900080S</t>
  </si>
  <si>
    <t>LUMIO/allocate/SST/legal</t>
  </si>
  <si>
    <t>3584-PAUL-903610S PT1</t>
  </si>
  <si>
    <t>12/15/</t>
  </si>
  <si>
    <t>3584-PAUL-904320S PT1</t>
  </si>
  <si>
    <t>3584-PAUL-904320S PT2</t>
  </si>
  <si>
    <t>3584-PAUL-904320S PT3</t>
  </si>
  <si>
    <t>3584-PAUL-904320S PT4</t>
  </si>
  <si>
    <t>3584-PAUL-904320S PT5</t>
  </si>
  <si>
    <t>3584-PAUL-904320S PT6</t>
  </si>
  <si>
    <t>1154-JR-900455S PT2</t>
  </si>
  <si>
    <t>1154-JR-900455S PT3</t>
  </si>
  <si>
    <t>1154-JR-900455S PT4</t>
  </si>
  <si>
    <t>sst/ Allocate</t>
  </si>
  <si>
    <t>1045-CL-907114S PT1</t>
  </si>
  <si>
    <t>1045-CL-907114S PT2</t>
  </si>
  <si>
    <t>1045-CL-907114S PT3</t>
  </si>
  <si>
    <t>1045-CL-907114S PT4</t>
  </si>
  <si>
    <t>1045-CL-907114S PT5</t>
  </si>
  <si>
    <t>1154-JR-900455S PT5</t>
  </si>
  <si>
    <t>1154-JR-900756S PT1</t>
  </si>
  <si>
    <t>1154-JR-900756S PT2</t>
  </si>
  <si>
    <t>1154-JR-900756S PT3</t>
  </si>
  <si>
    <t>1154-JR-900756S PT4</t>
  </si>
  <si>
    <t>1154-JR-900756S PT5</t>
  </si>
  <si>
    <t>1154-JR-900756S PT6</t>
  </si>
  <si>
    <t>1154-JR-900756S PT7</t>
  </si>
  <si>
    <t>P101025801</t>
  </si>
  <si>
    <t>P101025806</t>
  </si>
  <si>
    <t>P101025809</t>
  </si>
  <si>
    <t>P101025811</t>
  </si>
  <si>
    <t>P101025816</t>
  </si>
  <si>
    <t>P101025818</t>
  </si>
  <si>
    <t>P101025819</t>
  </si>
  <si>
    <t>P101025822</t>
  </si>
  <si>
    <t>P101025824</t>
  </si>
  <si>
    <t>P101025826</t>
  </si>
  <si>
    <t>P101025827</t>
  </si>
  <si>
    <t>P101025836</t>
  </si>
  <si>
    <t>P101025837</t>
  </si>
  <si>
    <t>0960-DL-900081S PT1</t>
  </si>
  <si>
    <t>Canton</t>
  </si>
  <si>
    <t>0960-DL-900081S PT2</t>
  </si>
  <si>
    <t>0960-DL-900081S PT3</t>
  </si>
  <si>
    <t>0960-DL-900081S PT4</t>
  </si>
  <si>
    <t>0960-DL-900081S PT5</t>
  </si>
  <si>
    <t>0960-DL-900081S PT6</t>
  </si>
  <si>
    <t>0960-DL-900081S PT7</t>
  </si>
  <si>
    <t>Supplied Energy,LLC</t>
  </si>
  <si>
    <t>PO-34186</t>
  </si>
  <si>
    <t>PO-34159</t>
  </si>
  <si>
    <t>PO-34157</t>
  </si>
  <si>
    <t>PO-34156</t>
  </si>
  <si>
    <t>PO-34155</t>
  </si>
  <si>
    <t>PO-34154</t>
  </si>
  <si>
    <t>PO-34153</t>
  </si>
  <si>
    <t>Schenectady</t>
  </si>
  <si>
    <t>PO-34152</t>
  </si>
  <si>
    <t>PO-34151</t>
  </si>
  <si>
    <t>PO-34150</t>
  </si>
  <si>
    <t>PO-34149</t>
  </si>
  <si>
    <t>PO-34148</t>
  </si>
  <si>
    <t>PO-34147</t>
  </si>
  <si>
    <t>PO-34146</t>
  </si>
  <si>
    <t>PO-34145</t>
  </si>
  <si>
    <t>PO-34143</t>
  </si>
  <si>
    <t>PO-34142</t>
  </si>
  <si>
    <t>PO-34141</t>
  </si>
  <si>
    <t>PO-34140</t>
  </si>
  <si>
    <t>PO-34139</t>
  </si>
  <si>
    <t>PO-34037</t>
  </si>
  <si>
    <t>PO-34036</t>
  </si>
  <si>
    <t>PO-34035</t>
  </si>
  <si>
    <t>PO-34034</t>
  </si>
  <si>
    <t>PO-34033</t>
  </si>
  <si>
    <t>PO-34030</t>
  </si>
  <si>
    <t>PO-34028</t>
  </si>
  <si>
    <t>PO-34025</t>
  </si>
  <si>
    <t>PO-34024</t>
  </si>
  <si>
    <t>PO-34023</t>
  </si>
  <si>
    <t>PO-34020</t>
  </si>
  <si>
    <t>PO-33710</t>
  </si>
  <si>
    <t>PO-33682</t>
  </si>
  <si>
    <t>[Originally Beacon PO: 9375859]</t>
  </si>
  <si>
    <t xml:space="preserve">Cancelled PO but they asking to reopen </t>
  </si>
  <si>
    <t>PO-33347</t>
  </si>
  <si>
    <t>PO-33147</t>
  </si>
  <si>
    <t>PO-33095</t>
  </si>
  <si>
    <t>PO-32774</t>
  </si>
  <si>
    <t>PO-32773</t>
  </si>
  <si>
    <t>PO-32772</t>
  </si>
  <si>
    <t>Tempe</t>
  </si>
  <si>
    <r>
      <t xml:space="preserve">allocate/SST//GA mods, </t>
    </r>
    <r>
      <rPr>
        <b/>
        <sz val="9"/>
        <rFont val="Calibri"/>
        <family val="2"/>
        <scheme val="minor"/>
      </rPr>
      <t>FOLLOW UP WITH SST (2/6)</t>
    </r>
  </si>
  <si>
    <t>CHECK &amp; FIND</t>
  </si>
  <si>
    <t>AUBURN</t>
  </si>
  <si>
    <t>01501</t>
  </si>
  <si>
    <t>Legal Rcv'd / SST pending (2/8)</t>
  </si>
  <si>
    <t>CED Greentech Maryland</t>
  </si>
  <si>
    <t>(PO RCVD 4/4) Allocate Pending / Legal Approved / SST Pending (4/4) DEC?</t>
  </si>
  <si>
    <t>9106-BJ929876S</t>
  </si>
  <si>
    <t>(PO RCVD 4/4) Allocate Pending / Legal Approved / SST Pending (4/4) NOV?</t>
  </si>
  <si>
    <t>9106-BJ929875S</t>
  </si>
  <si>
    <t>(PO RCVD 4/4) Allocate Pending / Legal Approved / SST Pending (4/4) OCT?</t>
  </si>
  <si>
    <t>9106-BJ929874S</t>
  </si>
  <si>
    <t>(PO RCVD 4/4) Allocate Pending / Legal Approved / SST Pending (4/4) SEPT?</t>
  </si>
  <si>
    <t>9106-BJ929873S</t>
  </si>
  <si>
    <t>8460-EE-923913S PT3</t>
  </si>
  <si>
    <t>8460-EE-923913S PT2</t>
  </si>
  <si>
    <t>8460-EE-923913S PT1</t>
  </si>
  <si>
    <t>sst/Legal/ Allocate</t>
  </si>
  <si>
    <t>8460-EE-923869S PT2</t>
  </si>
  <si>
    <t>8460-EE-923869S PT1</t>
  </si>
  <si>
    <t>(PO RCVD 4/4) Allocate Pending / Legal Approved / SST Pending (4/4)</t>
  </si>
  <si>
    <t>6462-JR906784S</t>
  </si>
  <si>
    <t>6462-JR906783S</t>
  </si>
  <si>
    <t>Allocate/Legal-SST Approval Pending (4/1)</t>
  </si>
  <si>
    <r>
      <t>PALMETTO ONLY - (Legal Rcvd&amp;Saved/</t>
    </r>
    <r>
      <rPr>
        <b/>
        <sz val="9"/>
        <color theme="1"/>
        <rFont val="Calibri"/>
        <family val="2"/>
        <scheme val="minor"/>
      </rPr>
      <t>SST Pending)</t>
    </r>
  </si>
  <si>
    <t>6408-HA-900257S</t>
  </si>
  <si>
    <t>Q.PEAK DUO BLK ML G10 A+</t>
  </si>
  <si>
    <t>6408-HA-900256S</t>
  </si>
  <si>
    <r>
      <t>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>)</t>
    </r>
  </si>
  <si>
    <t>6408-HA-900255S</t>
  </si>
  <si>
    <r>
      <t>PALMETTO 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 xml:space="preserve">), </t>
    </r>
    <r>
      <rPr>
        <b/>
        <sz val="9"/>
        <color theme="1"/>
        <rFont val="Calibri"/>
        <family val="2"/>
        <scheme val="minor"/>
      </rPr>
      <t>FOLLOW UP WITH SST (2/6)</t>
    </r>
  </si>
  <si>
    <t>6408-HA-900254S</t>
  </si>
  <si>
    <r>
      <t xml:space="preserve">FOLLOW UP - </t>
    </r>
    <r>
      <rPr>
        <b/>
        <sz val="9"/>
        <color theme="1"/>
        <rFont val="Calibri"/>
        <family val="2"/>
        <scheme val="minor"/>
      </rPr>
      <t>PROCESS NOW</t>
    </r>
  </si>
  <si>
    <t>5887-RD948708S</t>
  </si>
  <si>
    <t>5887-RD948707S</t>
  </si>
  <si>
    <t>5887-RD948706S</t>
  </si>
  <si>
    <t>5887-RD948705S</t>
  </si>
  <si>
    <r>
      <t>POWUR SPA - 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>)</t>
    </r>
  </si>
  <si>
    <t>5887-RD948704S</t>
  </si>
  <si>
    <t>5887-RD948703S</t>
  </si>
  <si>
    <r>
      <t xml:space="preserve">PALMETTO SPA/FOLLOW UP - </t>
    </r>
    <r>
      <rPr>
        <b/>
        <sz val="9"/>
        <color theme="1"/>
        <rFont val="Calibri"/>
        <family val="2"/>
        <scheme val="minor"/>
      </rPr>
      <t>PROCESS NOW</t>
    </r>
  </si>
  <si>
    <t>5887-RD948702S</t>
  </si>
  <si>
    <t>5887-RD948701S</t>
  </si>
  <si>
    <t>5887-RD948700S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</si>
  <si>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Pending),NEED REVISED PO w NON-SPA,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FOLLOW UP WITH SST (2/6)</t>
    </r>
  </si>
  <si>
    <t>5887-RD948682S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</si>
  <si>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 NEED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</si>
  <si>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r>
      <t>allocate/</t>
    </r>
    <r>
      <rPr>
        <b/>
        <sz val="9"/>
        <color theme="1"/>
        <rFont val="Calibri"/>
        <family val="2"/>
        <scheme val="minor"/>
      </rPr>
      <t>(Legal &amp; SST Approved&amp;Saved (2/6))</t>
    </r>
  </si>
  <si>
    <t>5887-RD948338S</t>
  </si>
  <si>
    <t>ELITE/allocate, NEED REVISED PO w NON-SPA,FOLLOW UP WITH SST (2/6)</t>
  </si>
  <si>
    <t>4984-NVR945926S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</si>
  <si>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NEED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</si>
  <si>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t>4984-NVR945922S</t>
  </si>
  <si>
    <r>
      <rPr>
        <sz val="9"/>
        <color theme="1"/>
        <rFont val="Calibri"/>
        <family val="2"/>
        <scheme val="minor"/>
      </rPr>
      <t xml:space="preserve">ELITE/allocate -  </t>
    </r>
    <r>
      <rPr>
        <b/>
        <sz val="9"/>
        <color theme="1"/>
        <rFont val="Calibri"/>
        <family val="2"/>
        <scheme val="minor"/>
      </rPr>
      <t>(Legal Rcvd&amp;Saved/SST Pending),</t>
    </r>
    <r>
      <rPr>
        <sz val="9"/>
        <color theme="1"/>
        <rFont val="Calibri"/>
        <family val="2"/>
        <scheme val="minor"/>
      </rPr>
      <t xml:space="preserve"> N</t>
    </r>
    <r>
      <rPr>
        <b/>
        <sz val="9"/>
        <color theme="1"/>
        <rFont val="Calibri"/>
        <family val="2"/>
        <scheme val="minor"/>
      </rPr>
      <t>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</si>
  <si>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t>Elite</t>
  </si>
  <si>
    <t>(RECEVED 4/4/22) Allocate Pending / Legal Approved / SST Pending (4/4)</t>
  </si>
  <si>
    <t>4422-SB900634S</t>
  </si>
  <si>
    <t>4422-SB900633S</t>
  </si>
  <si>
    <t>4422-SB900632S</t>
  </si>
  <si>
    <t>4422-SB900631S</t>
  </si>
  <si>
    <t>4422-SB900630S</t>
  </si>
  <si>
    <r>
      <t xml:space="preserve">allocate </t>
    </r>
    <r>
      <rPr>
        <b/>
        <sz val="9"/>
        <color theme="1"/>
        <rFont val="Calibri"/>
        <family val="2"/>
        <scheme val="minor"/>
      </rPr>
      <t>(Legal Rcvd&amp;Saved/SST Pending)</t>
    </r>
  </si>
  <si>
    <t>4422-SB900357S</t>
  </si>
  <si>
    <t>allocate/legal/ customer wants ASAP</t>
  </si>
  <si>
    <t>4422-SB900356S</t>
  </si>
  <si>
    <t>4250-CF902907S</t>
  </si>
  <si>
    <t>4250-CF902906S</t>
  </si>
  <si>
    <t>4250-CF902905S</t>
  </si>
  <si>
    <t>PO RCVD 4/6/22</t>
  </si>
  <si>
    <r>
      <t xml:space="preserve">RCVD 3/4 (Karen Dubois). </t>
    </r>
    <r>
      <rPr>
        <b/>
        <sz val="9"/>
        <color theme="1"/>
        <rFont val="Calibri"/>
        <family val="2"/>
        <scheme val="minor"/>
      </rPr>
      <t xml:space="preserve">Legal/SST SENT (3/4) </t>
    </r>
  </si>
  <si>
    <t>0933-KD906980S</t>
  </si>
  <si>
    <t>0224-JV909644S</t>
  </si>
  <si>
    <r>
      <t xml:space="preserve">allocate/SST//GA mods, </t>
    </r>
    <r>
      <rPr>
        <b/>
        <sz val="9"/>
        <rFont val="Calibri"/>
        <family val="2"/>
        <scheme val="minor"/>
      </rPr>
      <t>NEED REVISED PO w NON-SPA, FOLLOW UP WITH SST (2/6)</t>
    </r>
  </si>
  <si>
    <t>0224-JV909642S</t>
  </si>
  <si>
    <t>new po / priortize</t>
  </si>
  <si>
    <t xml:space="preserve">Max Credit </t>
  </si>
  <si>
    <t>PO2778 PT5</t>
  </si>
  <si>
    <t>22743</t>
  </si>
  <si>
    <t>Sunworks United Inc</t>
  </si>
  <si>
    <t>22742</t>
  </si>
  <si>
    <t>7605-LG988342S</t>
  </si>
  <si>
    <t>CED Greentech San Luis Obispo</t>
  </si>
  <si>
    <t>San Luis Obispo</t>
  </si>
  <si>
    <t>Original RDD</t>
  </si>
  <si>
    <t>product name</t>
  </si>
  <si>
    <t>Unit Price ($)</t>
  </si>
  <si>
    <t>KW</t>
    <phoneticPr fontId="5" type="noConversion"/>
  </si>
  <si>
    <t>kWh</t>
    <phoneticPr fontId="5" type="noConversion"/>
  </si>
  <si>
    <t>unit cost</t>
    <phoneticPr fontId="5" type="noConversion"/>
  </si>
  <si>
    <t>total cost</t>
    <phoneticPr fontId="5" type="noConversion"/>
  </si>
  <si>
    <t>Honolulu</t>
  </si>
  <si>
    <t>pushed to May per SST</t>
  </si>
  <si>
    <t>0933-GO907134D</t>
  </si>
  <si>
    <t>Hyde Park</t>
  </si>
  <si>
    <t>2020-4569</t>
  </si>
  <si>
    <t>reallocate/sst/legal</t>
  </si>
  <si>
    <t>MARLOWE-009</t>
  </si>
  <si>
    <t>Allco Finance Limited</t>
  </si>
  <si>
    <t>Warren</t>
  </si>
  <si>
    <t>Winchendon</t>
  </si>
  <si>
    <t>revise Ts and Cs/ Incoterms</t>
  </si>
  <si>
    <t>082862</t>
  </si>
  <si>
    <t>SST/Legal/ Allocate</t>
  </si>
  <si>
    <t>1132-NL-913791S</t>
  </si>
  <si>
    <t>SST/Legal/ Allocate/qty revise to 29pcs/pallet</t>
  </si>
  <si>
    <t>1132-RL-913763D</t>
  </si>
  <si>
    <t>1132-RL-913764D</t>
  </si>
  <si>
    <t>1132-RL-913765D</t>
  </si>
  <si>
    <t>5621-CH904814S PT3</t>
  </si>
  <si>
    <t>Q.PEAK DUO L-G8.2</t>
  </si>
  <si>
    <t>6058-SC904420S</t>
  </si>
  <si>
    <t>4560-SH907582S</t>
  </si>
  <si>
    <t>4560-SH907583S</t>
  </si>
  <si>
    <t>4560-SH907584S</t>
  </si>
  <si>
    <t>4560-SH907585S</t>
  </si>
  <si>
    <t>4560-SH907586S</t>
  </si>
  <si>
    <t>6058-SC904614S</t>
  </si>
  <si>
    <t>SST/Legal/Matt needs to revise Pos with 0.00ct</t>
  </si>
  <si>
    <t>6058-SC904677S</t>
  </si>
  <si>
    <t>5621-CH905548S</t>
  </si>
  <si>
    <t>P501821193 PT1</t>
  </si>
  <si>
    <t>East Peoria</t>
  </si>
  <si>
    <t>P501821193 PT2</t>
  </si>
  <si>
    <t>MSPO980061-A</t>
  </si>
  <si>
    <t>MSPO980062-A</t>
  </si>
  <si>
    <t>Angie</t>
  </si>
  <si>
    <t>SH-00544 PT7</t>
  </si>
  <si>
    <t>WANT EARLY MAY</t>
  </si>
  <si>
    <t>P103548785</t>
  </si>
  <si>
    <t>P103548783</t>
  </si>
  <si>
    <t>IGS Solar,LLC</t>
  </si>
  <si>
    <t>Southampton</t>
  </si>
  <si>
    <t>Invoice_Num</t>
  </si>
  <si>
    <t>Invoice_Date</t>
  </si>
  <si>
    <t>CustomerPO_Num</t>
  </si>
  <si>
    <t>Customer_Name</t>
  </si>
  <si>
    <t>PO_Date</t>
  </si>
  <si>
    <t>Requested_Delivery_Date</t>
  </si>
  <si>
    <t>Updated_RDD</t>
  </si>
  <si>
    <t>Cargo_Release_Date</t>
  </si>
  <si>
    <t>Item_Code</t>
  </si>
  <si>
    <t>Product_Name</t>
  </si>
  <si>
    <t>PW</t>
  </si>
  <si>
    <t>Total_Watt</t>
  </si>
  <si>
    <t>Pre_Tariff_ASP</t>
  </si>
  <si>
    <t>Tariff_Revenue</t>
  </si>
  <si>
    <t>Freight_Storage_Charge</t>
  </si>
  <si>
    <t>Total_Incoming</t>
  </si>
  <si>
    <t>Payment_Term</t>
  </si>
  <si>
    <t>SIP</t>
  </si>
  <si>
    <t>WH_PS</t>
  </si>
  <si>
    <t>SO_Approval</t>
  </si>
  <si>
    <t>reallocate</t>
  </si>
  <si>
    <t>FTD/IOD</t>
  </si>
  <si>
    <t>12005559C</t>
  </si>
  <si>
    <t>Carl</t>
  </si>
  <si>
    <t>P101040581</t>
  </si>
  <si>
    <t>P101040582</t>
  </si>
  <si>
    <t>P101040585</t>
  </si>
  <si>
    <t>P101040588</t>
  </si>
  <si>
    <t>P101040592</t>
  </si>
  <si>
    <t>P101040594</t>
  </si>
  <si>
    <t>P101040571</t>
  </si>
  <si>
    <t>P101040575</t>
  </si>
  <si>
    <t>P101040578</t>
  </si>
  <si>
    <t>P101040614</t>
  </si>
  <si>
    <t>P101040617</t>
  </si>
  <si>
    <t>P101040618</t>
  </si>
  <si>
    <t>P101040619</t>
  </si>
  <si>
    <t>P101040611</t>
  </si>
  <si>
    <t>P101040612</t>
  </si>
  <si>
    <t>P101040632</t>
  </si>
  <si>
    <t>P101040633</t>
  </si>
  <si>
    <t>P101040636</t>
  </si>
  <si>
    <t>P101040637</t>
  </si>
  <si>
    <t>P101040639</t>
  </si>
  <si>
    <t>P101040630</t>
  </si>
  <si>
    <t>Revised PO to NON-SPA, one early may, one late may</t>
  </si>
  <si>
    <t>12083 PT3.1 Orlando</t>
  </si>
  <si>
    <t>12083 PT3.2 Orlando</t>
  </si>
  <si>
    <t>12083 PT3.1 Charlotte</t>
  </si>
  <si>
    <t>12083 PT3.2 Charlotte</t>
  </si>
  <si>
    <t>12083 PT3.1 Tampa</t>
  </si>
  <si>
    <t>12083 PT3.2 Tampa</t>
  </si>
  <si>
    <t>12083 PT3.1 Atlanta</t>
  </si>
  <si>
    <t>12083 PT3.2 Atlanta</t>
  </si>
  <si>
    <t>12083 PT3.1 Norfolk</t>
  </si>
  <si>
    <t>12083 PT3.2 Norfolk</t>
  </si>
  <si>
    <t>12083 PT3.1 Greenville</t>
  </si>
  <si>
    <t>12083 PT3.2 Greenville</t>
  </si>
  <si>
    <t>12083 PT3.1 Charleston</t>
  </si>
  <si>
    <t>12083 PT3.2 Charleston</t>
  </si>
  <si>
    <t>12083 PT3.1 Pensacola</t>
  </si>
  <si>
    <t>12083 PT3.2 Pensacola</t>
  </si>
  <si>
    <t>12083 PT3 Miami</t>
  </si>
  <si>
    <t>12083 PT3.1 Jacksonville</t>
  </si>
  <si>
    <t>12083 PT3.2 Jacksonville</t>
  </si>
  <si>
    <t>12083 PT3.1 Raleigh</t>
  </si>
  <si>
    <t>12083 PT3.2 Raleigh</t>
  </si>
  <si>
    <t>12083 PT3.1 Dallas</t>
  </si>
  <si>
    <t>12083 PT3.2 Dallas</t>
  </si>
  <si>
    <t>12083 PT3.1 Houston</t>
  </si>
  <si>
    <t>12083 PT3.2 Houston</t>
  </si>
  <si>
    <t>12083 PT3.1 San Antonio</t>
  </si>
  <si>
    <t>12083 PT3.2 San Antonio</t>
  </si>
  <si>
    <t>12083 PT3.1 Austin</t>
  </si>
  <si>
    <t>12083 PT3.2 Austin</t>
  </si>
  <si>
    <t>12083 PT3 El Paso</t>
  </si>
  <si>
    <t>12083 PT3 McAllen</t>
  </si>
  <si>
    <t>McAllen</t>
  </si>
  <si>
    <t>12083 PT3.1 Mesa</t>
  </si>
  <si>
    <t>12083 PT3.2 Mesa</t>
  </si>
  <si>
    <t>12083 PT3.1 Yuma</t>
  </si>
  <si>
    <t>12083 PT3.2 Yuma</t>
  </si>
  <si>
    <t>12083 PT3.1 Tucson</t>
  </si>
  <si>
    <t>12083 PT3.2 Tucson</t>
  </si>
  <si>
    <t>12083 PT3.1 Vegas</t>
  </si>
  <si>
    <t>12083 PT3.2 Vegas</t>
  </si>
  <si>
    <t>12083 PT3.1 Denver</t>
  </si>
  <si>
    <t>12083 PT3.2 Denver</t>
  </si>
  <si>
    <t>12083 PT3.1 Albuquerque</t>
  </si>
  <si>
    <t>12083 PT3.2 Albuquerque</t>
  </si>
  <si>
    <t>12083 PT3.1 Ontario</t>
  </si>
  <si>
    <t>12083 PT3.2 Ontario</t>
  </si>
  <si>
    <t>12083 PT3.1 Stockton</t>
  </si>
  <si>
    <t>12083 PT3.2 Stockton</t>
  </si>
  <si>
    <t>12083 PT3.1 Valencia</t>
  </si>
  <si>
    <t>12083 PT3.2 Valencia</t>
  </si>
  <si>
    <t>12083 PT3 Illinois</t>
  </si>
  <si>
    <t>12083 PT3.1 Utah</t>
  </si>
  <si>
    <t>12083 PT3.2 Utah</t>
  </si>
  <si>
    <t>12083 PT3 Lenexa</t>
  </si>
  <si>
    <t>12083 PT3 Reno</t>
  </si>
  <si>
    <t>12083 PT3 Augusta</t>
  </si>
  <si>
    <t>P103548418</t>
  </si>
  <si>
    <t>P103548426</t>
  </si>
  <si>
    <t>P103548432</t>
  </si>
  <si>
    <t>P103548434</t>
  </si>
  <si>
    <t>P103548437</t>
  </si>
  <si>
    <t>P103548440</t>
  </si>
  <si>
    <t>P103548473</t>
  </si>
  <si>
    <t>P103548513</t>
  </si>
  <si>
    <t>P103548519</t>
  </si>
  <si>
    <t>P103548522</t>
  </si>
  <si>
    <t>P103548528</t>
  </si>
  <si>
    <t>P103548531</t>
  </si>
  <si>
    <t xml:space="preserve"> Legal/SST/Allocate</t>
  </si>
  <si>
    <t>0237-KI907032S</t>
  </si>
  <si>
    <t>0237-KI907033S</t>
  </si>
  <si>
    <t>0237-KI907034S</t>
  </si>
  <si>
    <t>1987-SS904182S</t>
  </si>
  <si>
    <t>P103550077</t>
  </si>
  <si>
    <t>P103550079</t>
  </si>
  <si>
    <t>P103550170</t>
  </si>
  <si>
    <t xml:space="preserve">Q.PEAK DUO XL G10.3 BFG </t>
  </si>
  <si>
    <t>IOD</t>
  </si>
  <si>
    <t>SST/Legal /Allocate Cust to revise product name G10.3</t>
  </si>
  <si>
    <t>PO-651678</t>
  </si>
  <si>
    <t>PO-651679</t>
  </si>
  <si>
    <t>price?</t>
  </si>
  <si>
    <t>8064-ZH904899S</t>
  </si>
  <si>
    <t>being replaced with bakersfield PO (0311-TC912274S)</t>
  </si>
  <si>
    <t>US Assembled Semper</t>
  </si>
  <si>
    <t>7133-NK986010S</t>
  </si>
  <si>
    <t>7133-NK986170S</t>
  </si>
  <si>
    <t>need rev to 480W</t>
  </si>
  <si>
    <t>20% received )no tax)</t>
  </si>
  <si>
    <t>allocate?</t>
  </si>
  <si>
    <t>0120-WG903351S PT4</t>
  </si>
  <si>
    <t>check</t>
  </si>
  <si>
    <t>partial</t>
  </si>
  <si>
    <t>SMALL TRUCKS, THIRD</t>
  </si>
  <si>
    <t>0148-RK906443S</t>
  </si>
  <si>
    <t>5364-LS-900157S PT1</t>
  </si>
  <si>
    <t>Q.PEAK DUO  BLK ML G10+</t>
  </si>
  <si>
    <t>5364-LS-900157S PT2</t>
  </si>
  <si>
    <t>5364-LS-900157S PT3</t>
  </si>
  <si>
    <t>5364-LS-900157S PT4</t>
  </si>
  <si>
    <t>5364-LS-900157S PT5</t>
  </si>
  <si>
    <t>5364-LS-900157S PT6</t>
  </si>
  <si>
    <t>5364-LS-900158S PT1</t>
  </si>
  <si>
    <t>5364-LS-900158S PT2</t>
  </si>
  <si>
    <t>5364-LS-900158S PT3</t>
  </si>
  <si>
    <t>P103551328</t>
  </si>
  <si>
    <t>P103551329</t>
  </si>
  <si>
    <t>P103551330</t>
  </si>
  <si>
    <t>legal/Allocate</t>
  </si>
  <si>
    <t>St.Paul</t>
  </si>
  <si>
    <t>Pacifico Power, LLC</t>
  </si>
  <si>
    <t>Rancho Santa Margarita</t>
  </si>
  <si>
    <t>Sent</t>
  </si>
  <si>
    <t>long leads/ SST/ Legal/ Allocate/ Cust to revise price to .495CT</t>
  </si>
  <si>
    <t>sst/ legal /allocate</t>
  </si>
  <si>
    <t>SST/Legal/allocate</t>
  </si>
  <si>
    <t>SST/Legal/ allocate</t>
  </si>
  <si>
    <t>cust to revise PO to Q.PEAK DUO XL G10.3 BFG</t>
  </si>
  <si>
    <t>PO2780 PT5</t>
  </si>
  <si>
    <t>PO2782 PT4</t>
  </si>
  <si>
    <t>6058-SC904616S PT1</t>
  </si>
  <si>
    <t>6058-SC904616S PT2</t>
  </si>
  <si>
    <t>need rev PO - price</t>
  </si>
  <si>
    <t>1154-JR-900944S PT1</t>
  </si>
  <si>
    <t>1154-JR-900944S PT2</t>
  </si>
  <si>
    <t>1154-JR-900944S PT3</t>
  </si>
  <si>
    <t>1154-JR-900944S PT4</t>
  </si>
  <si>
    <t>1154-JR-900944S PT5</t>
  </si>
  <si>
    <t>1154-JR-900944S PT6</t>
  </si>
  <si>
    <t>SPA ASP (reference)</t>
  </si>
  <si>
    <t>Revise to BFG</t>
  </si>
  <si>
    <t>Horizantly Stacked</t>
  </si>
  <si>
    <t>9185-BPM904253S</t>
  </si>
  <si>
    <t>Long Cables required/ Revise to BFG</t>
  </si>
  <si>
    <t xml:space="preserve">Revised product name </t>
  </si>
  <si>
    <t>2022-700190</t>
  </si>
  <si>
    <t>2022-700191</t>
  </si>
  <si>
    <t>0311-TC913057S</t>
  </si>
  <si>
    <t>2022-700192</t>
  </si>
  <si>
    <t xml:space="preserve">Revised product name/ qty 29pcs per paller </t>
  </si>
  <si>
    <t>2022-700193</t>
  </si>
  <si>
    <t>2022-700194</t>
  </si>
  <si>
    <t>5040-JB981601S</t>
  </si>
  <si>
    <t>2022-700188</t>
  </si>
  <si>
    <t>8187-KA900888S</t>
  </si>
  <si>
    <t>8187-KA900889S</t>
  </si>
  <si>
    <t>8187-KA900890S</t>
  </si>
  <si>
    <t>1057-JS900709S</t>
  </si>
  <si>
    <t>1057-JS900710S</t>
  </si>
  <si>
    <t>2022-700189</t>
  </si>
  <si>
    <t>5040-JB981600S</t>
  </si>
  <si>
    <t>5040-JB981599S</t>
  </si>
  <si>
    <t>5040-JB981598S</t>
  </si>
  <si>
    <t>5040-JB981597S</t>
  </si>
  <si>
    <t>5040-JB981596S</t>
  </si>
  <si>
    <t>5040-JB981595S</t>
  </si>
  <si>
    <t>PO-654874</t>
  </si>
  <si>
    <t xml:space="preserve"> replaces PO-00007475</t>
  </si>
  <si>
    <t>GA-LONGER MC4 LEADS</t>
  </si>
  <si>
    <t>allocate,SunCommon</t>
  </si>
  <si>
    <t>Price need to be updated/Allocate, South Korean Made Version Requested</t>
  </si>
  <si>
    <t>NEED TO BE 480</t>
  </si>
  <si>
    <t>PRICE IS INCORRECT</t>
  </si>
  <si>
    <t>legal/sst/allocate</t>
  </si>
  <si>
    <t>P103553146</t>
  </si>
  <si>
    <t>LONGER MC4 LEADS</t>
  </si>
  <si>
    <t>(PO RCVD 4/4) PO REV NEEDED (a/pricing)  Allocate Pending / Legal Approved / SST Pending (4/4) DEC?</t>
  </si>
  <si>
    <t>(PO RCVD 4/4) PO REV NEEDED (a/pricing)  Allocate Pending / Legal Approved / SST Pending (4/4) NOV?</t>
  </si>
  <si>
    <t>(PO RCVD 4/4) PO REV NEEDED (a/pricing)  Allocate Pending / Legal Approved / SST Pending (4/4) OCT?</t>
  </si>
  <si>
    <t>(PO RCVD 4/4) PO REV NEEDED (a/pricing) Allocate Pending / Legal Approved / SST Pending (4/4) SEPT?</t>
  </si>
  <si>
    <t>allocate/NEED REVISION (QTY, PRICE)</t>
  </si>
  <si>
    <t>1670-RF951047S</t>
  </si>
  <si>
    <t>1670-RF951048S</t>
  </si>
  <si>
    <t>1670-RF951236S</t>
  </si>
  <si>
    <t>1670-RF951237S</t>
  </si>
  <si>
    <t>1670-RF951238S</t>
  </si>
  <si>
    <t>1670-RF951239S</t>
  </si>
  <si>
    <t>1670-RF951240S</t>
  </si>
  <si>
    <t>1670-RF951241S</t>
  </si>
  <si>
    <r>
      <t>allocate/</t>
    </r>
    <r>
      <rPr>
        <b/>
        <sz val="9"/>
        <color theme="1"/>
        <rFont val="Calibri"/>
        <family val="2"/>
        <scheme val="minor"/>
      </rPr>
      <t>NEED REVISION</t>
    </r>
    <r>
      <rPr>
        <sz val="9"/>
        <color theme="1"/>
        <rFont val="Calibri"/>
        <family val="2"/>
        <scheme val="minor"/>
      </rPr>
      <t xml:space="preserve"> (a, SPA, QTY, PRICE)</t>
    </r>
  </si>
  <si>
    <t>4984-MW946543S</t>
  </si>
  <si>
    <t>4984-MW946544S</t>
  </si>
  <si>
    <t>4984-MW946545S</t>
  </si>
  <si>
    <t>4984-MW946546S</t>
  </si>
  <si>
    <t>4984-MW946547S</t>
  </si>
  <si>
    <t>4984-MW946548S</t>
  </si>
  <si>
    <t>allocate/</t>
  </si>
  <si>
    <t>5887-RD948994S</t>
  </si>
  <si>
    <t>5887-RD948995S</t>
  </si>
  <si>
    <t>5887-RD948996S</t>
  </si>
  <si>
    <t>5887-RD948997S</t>
  </si>
  <si>
    <t>5887-RD948998S</t>
  </si>
  <si>
    <t>5887-RD948999S</t>
  </si>
  <si>
    <t>MASTER PO</t>
  </si>
  <si>
    <t>new MASTER po</t>
  </si>
  <si>
    <t>5887-RD948993S</t>
  </si>
  <si>
    <t>MASTER</t>
  </si>
  <si>
    <t>Legal-SST APPROVAL PENDING (4/25)</t>
  </si>
  <si>
    <t>po revise to 832pcs</t>
  </si>
  <si>
    <t>1171 PT6</t>
  </si>
  <si>
    <t>PO-003016 PT3 Simi Valley</t>
  </si>
  <si>
    <t>PO-003016 PT3 Austin</t>
  </si>
  <si>
    <t>PO-003016 PT3 Riverton</t>
  </si>
  <si>
    <t>PO-003016 PT3 Tampa</t>
  </si>
  <si>
    <t>PO-003016 PT3 Iriving</t>
  </si>
  <si>
    <t>7539-059141</t>
  </si>
  <si>
    <t>Chandler</t>
  </si>
  <si>
    <t>Tarrif</t>
  </si>
  <si>
    <t>Delay production</t>
  </si>
  <si>
    <t>PUSH OUT TO MAY</t>
  </si>
  <si>
    <t>P103555379</t>
  </si>
  <si>
    <t>P103555387</t>
  </si>
  <si>
    <t>sst/legal</t>
  </si>
  <si>
    <t>6640-SO901165S</t>
  </si>
  <si>
    <t>CED Greentech St.Louis</t>
  </si>
  <si>
    <t>6640-SO901166S</t>
  </si>
  <si>
    <t>6640-SO901167S</t>
  </si>
  <si>
    <t>6640-SO901168S</t>
  </si>
  <si>
    <t>6640-SO901169S</t>
  </si>
  <si>
    <t>6640-SO901170S</t>
  </si>
  <si>
    <t>PO-98945</t>
  </si>
  <si>
    <t>PO-98947</t>
  </si>
  <si>
    <t>PO-98948</t>
  </si>
  <si>
    <t>PO-98949</t>
  </si>
  <si>
    <t>PO-98950</t>
  </si>
  <si>
    <t>PO-98951</t>
  </si>
  <si>
    <t>PO-98952</t>
  </si>
  <si>
    <t>0768-CW901919D</t>
  </si>
  <si>
    <t>New Bedford</t>
  </si>
  <si>
    <t>2020-2918(Keasbey#4)</t>
  </si>
  <si>
    <t>need T&amp;Cs/rev PO</t>
  </si>
  <si>
    <t>Galehead Development, LLC</t>
  </si>
  <si>
    <t>270126-5583,1</t>
  </si>
  <si>
    <t>Rosendin Electric, INC.</t>
  </si>
  <si>
    <t>moved to MAY</t>
  </si>
  <si>
    <t>Jeff</t>
  </si>
  <si>
    <t>moved to May</t>
  </si>
  <si>
    <t>93725</t>
  </si>
  <si>
    <t>SST Approval</t>
  </si>
  <si>
    <t>Horizantly Stacked SST Approval</t>
  </si>
  <si>
    <t xml:space="preserve">US Assembled </t>
  </si>
  <si>
    <t>7133-JIM984222S PT3</t>
  </si>
  <si>
    <t>spread out through September</t>
  </si>
  <si>
    <t>7492-MR906980S</t>
  </si>
  <si>
    <t>0756-SJ906109S</t>
  </si>
  <si>
    <t>0756-SJ906110S</t>
  </si>
  <si>
    <t>0756-SJ906111S</t>
  </si>
  <si>
    <t>0756-SJ906112S</t>
  </si>
  <si>
    <t>0756-SJ906113S</t>
  </si>
  <si>
    <t>0756-SJ906114S</t>
  </si>
  <si>
    <t>0756-SJ906115S</t>
  </si>
  <si>
    <t>0756-SJ906116S</t>
  </si>
  <si>
    <t>0756-SJ906117S</t>
  </si>
  <si>
    <t>8064-ZH904950S</t>
  </si>
  <si>
    <t>8187-KA900896S</t>
  </si>
  <si>
    <t>8187-KA900897S</t>
  </si>
  <si>
    <t>8187-KA900898S</t>
  </si>
  <si>
    <t>8187-KA900899S</t>
  </si>
  <si>
    <t>8187-KA900900S</t>
  </si>
  <si>
    <t>8187-KA900901S</t>
  </si>
  <si>
    <t>8187-KA900902S</t>
  </si>
  <si>
    <t>NO INVENTORY,CANCELED FROM ATL, CHANGED TO CAWH</t>
  </si>
  <si>
    <t>1&amp;2</t>
  </si>
  <si>
    <t xml:space="preserve">SST/ Legal </t>
  </si>
  <si>
    <t>PO-655160</t>
  </si>
  <si>
    <t>19067</t>
  </si>
  <si>
    <t>(Chancellor)</t>
  </si>
  <si>
    <t>(Exchange)</t>
  </si>
  <si>
    <t>0768-CW901923S PT1</t>
  </si>
  <si>
    <t>0768-CW901923S PT2</t>
  </si>
  <si>
    <t>7700010821 (395W PT6)</t>
  </si>
  <si>
    <t>CA/TAC</t>
  </si>
  <si>
    <t>7700010823 (PT11)</t>
  </si>
  <si>
    <t>7700014779 (PT10)</t>
  </si>
  <si>
    <t>7700010822 (PT8)</t>
  </si>
  <si>
    <t>7700010822 (PT9)</t>
  </si>
  <si>
    <t>1045-CL-907325S PT1</t>
  </si>
  <si>
    <t>1045-CL-907325S PT2</t>
  </si>
  <si>
    <t>1045-CL-907325S PT3</t>
  </si>
  <si>
    <t>1045-CL-907326S PT1</t>
  </si>
  <si>
    <t>1045-CL-907326S PT2</t>
  </si>
  <si>
    <t>1045-CL-907326S PT3</t>
  </si>
  <si>
    <t>1045-CL-907326S PT4</t>
  </si>
  <si>
    <t>1154-CK-900964S PT1</t>
  </si>
  <si>
    <t>1154-CK-900964S PT2</t>
  </si>
  <si>
    <t>1154-CK-900964S PT3</t>
  </si>
  <si>
    <t>1154-CK-900964S PT4</t>
  </si>
  <si>
    <t>1154-CK-900964S PT5</t>
  </si>
  <si>
    <t>1154-CK-900964S PT6</t>
  </si>
  <si>
    <t>1154-CK-900964S PT7</t>
  </si>
  <si>
    <t>Approved 4/27</t>
  </si>
  <si>
    <t>SH-00544 PT8</t>
  </si>
  <si>
    <t>8756-DE998380S</t>
  </si>
  <si>
    <t>114453 PT1</t>
  </si>
  <si>
    <t>114453 PT2</t>
  </si>
  <si>
    <t>no longer 6BB</t>
  </si>
  <si>
    <t>Due to production move to May</t>
  </si>
  <si>
    <t>due to production move to May</t>
  </si>
  <si>
    <t>2005223b</t>
  </si>
  <si>
    <t>10%payment received</t>
  </si>
  <si>
    <t>2005222b</t>
  </si>
  <si>
    <t xml:space="preserve">10% payment received </t>
  </si>
  <si>
    <t>Blue Raven Solar Request Revised PO Ts and Cs, CIP, Full Legal Entity</t>
  </si>
  <si>
    <t>5971-CC908922S</t>
  </si>
  <si>
    <t>5971-CC908923S</t>
  </si>
  <si>
    <t>5971-CC908924S</t>
  </si>
  <si>
    <t>5971-CC908925S</t>
  </si>
  <si>
    <t>5971-CC908926S</t>
  </si>
  <si>
    <t>5971-CC908927S</t>
  </si>
  <si>
    <t>5971-CC908928S</t>
  </si>
  <si>
    <t>AR/CR/credit</t>
  </si>
  <si>
    <t>vessel 4/21</t>
  </si>
  <si>
    <t>30385558H</t>
  </si>
  <si>
    <t>Approved 4/29</t>
  </si>
  <si>
    <t>rev PO</t>
  </si>
  <si>
    <t>PO-655088</t>
  </si>
  <si>
    <t>PO-655087</t>
  </si>
  <si>
    <t xml:space="preserve">San Antonio </t>
  </si>
  <si>
    <t>78219</t>
  </si>
  <si>
    <t>PO-655085</t>
  </si>
  <si>
    <t>PO-655086</t>
  </si>
  <si>
    <t>P103568109</t>
  </si>
  <si>
    <t>P103567326</t>
  </si>
  <si>
    <t>NO INVEN.</t>
  </si>
  <si>
    <t>AFTER PRICE CHANGE MAY</t>
  </si>
  <si>
    <t>8756-MD997755S PT2</t>
  </si>
  <si>
    <t>FIRST HALF OF MAY</t>
  </si>
  <si>
    <t>8756-MD997755S PT1</t>
  </si>
  <si>
    <t>0237-KI906609S PT1</t>
  </si>
  <si>
    <t>0237-KI906609S PT2</t>
  </si>
  <si>
    <t>1127-JF900568S PT1</t>
  </si>
  <si>
    <t>1127-JF900568S PT2</t>
  </si>
  <si>
    <t>1127-JF900568S PT3</t>
  </si>
  <si>
    <t>1127-JF900568S PT4</t>
  </si>
  <si>
    <t>1127-JF900568S PT5</t>
  </si>
  <si>
    <t>1127-JF900624S PT1</t>
  </si>
  <si>
    <t>1987-SS904235S</t>
  </si>
  <si>
    <t>HQCV3CA3491</t>
  </si>
  <si>
    <t>HQCV3CA3492</t>
  </si>
  <si>
    <t>HQCV3CA3493</t>
  </si>
  <si>
    <t>HQCV3CA3494</t>
  </si>
  <si>
    <t>HQCV3CA3495</t>
  </si>
  <si>
    <t>1069-62</t>
  </si>
  <si>
    <t>1069-63</t>
  </si>
  <si>
    <t>1069-64</t>
  </si>
  <si>
    <t>1069-65</t>
  </si>
  <si>
    <t>1069-66</t>
  </si>
  <si>
    <t>1069-67</t>
  </si>
  <si>
    <t>1069-68</t>
  </si>
  <si>
    <t>1069-69</t>
  </si>
  <si>
    <t>1069-70</t>
  </si>
  <si>
    <t>1069-71</t>
  </si>
  <si>
    <t>1069-72</t>
  </si>
  <si>
    <t>1069-73</t>
  </si>
  <si>
    <t>1069-74</t>
  </si>
  <si>
    <t>1069-54</t>
  </si>
  <si>
    <t>1069-55</t>
  </si>
  <si>
    <t>1069-56</t>
  </si>
  <si>
    <t>1069-57</t>
  </si>
  <si>
    <t>1069-58</t>
  </si>
  <si>
    <t>1069-59</t>
  </si>
  <si>
    <t>1069-60</t>
  </si>
  <si>
    <t>1069-61</t>
  </si>
  <si>
    <t>CUSTOMER(JUSTIN A RICHARDSON) ASKING FOR SCHEDULE (4/29)</t>
  </si>
  <si>
    <t>P3851-CT-D</t>
  </si>
  <si>
    <t>P3851-EMA-B</t>
  </si>
  <si>
    <t>P3851-LI</t>
  </si>
  <si>
    <t>P3851-NJ-C</t>
  </si>
  <si>
    <t>P3851-RPA-B</t>
  </si>
  <si>
    <t>SST APPROVAL PENDING (4/29)</t>
  </si>
  <si>
    <t>P1274981</t>
  </si>
  <si>
    <t>Green Mountain Electric Supply, Inc.</t>
  </si>
  <si>
    <t>P1274982</t>
  </si>
  <si>
    <t>P1278539</t>
  </si>
  <si>
    <t>P1278541</t>
  </si>
  <si>
    <t>1045-CL-907335S  PT1</t>
  </si>
  <si>
    <t>1045-CL-907335S  PT2</t>
  </si>
  <si>
    <t>1045-CL-907335S  PT3</t>
  </si>
  <si>
    <t>1045-CL-907335S  PT4</t>
  </si>
  <si>
    <t>ATL/SO in</t>
  </si>
  <si>
    <t>4664-GS-903131S PT3.2</t>
  </si>
  <si>
    <t>4664-GS-903131S PT3.1</t>
  </si>
  <si>
    <r>
      <t xml:space="preserve">[Momentum NEW MASTER PO 360W, Original QTY 9984ea] </t>
    </r>
    <r>
      <rPr>
        <sz val="9"/>
        <rFont val="Calibri"/>
        <family val="2"/>
        <scheme val="minor"/>
      </rPr>
      <t>SST APPROVAL PENDING (5/2)</t>
    </r>
  </si>
  <si>
    <t>BPO052022-360</t>
  </si>
  <si>
    <t>BPO052022-360A</t>
  </si>
  <si>
    <t>BPO052022-360B</t>
  </si>
  <si>
    <t>BPO052022-360C</t>
  </si>
  <si>
    <t>BPO052022-360D</t>
  </si>
  <si>
    <t>BPO052022-360E</t>
  </si>
  <si>
    <t>BPO052022-360F</t>
  </si>
  <si>
    <r>
      <t>[Momentum NEW MASTER PO 400W, Original QTY 9216ea]</t>
    </r>
    <r>
      <rPr>
        <sz val="9"/>
        <rFont val="Calibri"/>
        <family val="2"/>
        <scheme val="minor"/>
      </rPr>
      <t xml:space="preserve"> SST APPROVAL PENDING (5/2)</t>
    </r>
  </si>
  <si>
    <t>BPO052022-400</t>
  </si>
  <si>
    <t>BPO052022-400A</t>
  </si>
  <si>
    <t>BPO052022-400B</t>
  </si>
  <si>
    <t>BPO052022-400C</t>
  </si>
  <si>
    <t>BPO052022-400D</t>
  </si>
  <si>
    <t>BPO052022-400E</t>
  </si>
  <si>
    <t>BPO052022-400F</t>
  </si>
  <si>
    <r>
      <rPr>
        <b/>
        <sz val="9"/>
        <color theme="1"/>
        <rFont val="Calibri"/>
        <family val="2"/>
        <scheme val="minor"/>
      </rPr>
      <t xml:space="preserve">Legal-SST APPROVAL PENDING (5/2) </t>
    </r>
    <r>
      <rPr>
        <sz val="9"/>
        <color theme="1"/>
        <rFont val="Calibri"/>
        <family val="2"/>
        <scheme val="minor"/>
      </rPr>
      <t>PO received in April, but Edwin confirmed to deliver in July.</t>
    </r>
  </si>
  <si>
    <t xml:space="preserve"> PAID</t>
  </si>
  <si>
    <t>chi/angie</t>
  </si>
  <si>
    <t>allocate, REV</t>
  </si>
  <si>
    <t>NO IVENTORY</t>
  </si>
  <si>
    <t>3273-RK900102S PT1</t>
  </si>
  <si>
    <t>3273-RK900102S PT2</t>
  </si>
  <si>
    <t>1987-SS903485S PT10</t>
  </si>
  <si>
    <t>PUSH OUT TO MAY/PARTIAL</t>
  </si>
  <si>
    <t>BOLATL20220426DP022 not loading</t>
  </si>
  <si>
    <t>Better Earth SP revised pricing .0195</t>
  </si>
  <si>
    <t>Better Earth SP revised pricing .0190</t>
  </si>
  <si>
    <t>Revised PO .019 Discount</t>
  </si>
  <si>
    <t>Revised PO .020 Discount</t>
  </si>
  <si>
    <t>0000053690</t>
  </si>
  <si>
    <t>12004247F</t>
  </si>
  <si>
    <t>Corona</t>
  </si>
  <si>
    <t>12005805C</t>
  </si>
  <si>
    <t>pushed to June per SST</t>
  </si>
  <si>
    <t>5040-JB983010S</t>
  </si>
  <si>
    <t>6552-NZ971774S</t>
  </si>
  <si>
    <t>6552-NZ971773S</t>
  </si>
  <si>
    <t>6552-NZ971772S</t>
  </si>
  <si>
    <t>6552-NZ971771S</t>
  </si>
  <si>
    <t>6552-NZ971770S</t>
  </si>
  <si>
    <t>8797-RRA938601S</t>
  </si>
  <si>
    <t>6552-NZ971767S</t>
  </si>
  <si>
    <t>SST/Legal/ allocate/ Resale , W9 needed</t>
  </si>
  <si>
    <t>1039105</t>
  </si>
  <si>
    <t>Inter-Island Solar Supply</t>
  </si>
  <si>
    <t>1039104</t>
  </si>
  <si>
    <t>SST/Legal/ allocate/ Resale , W9 needed price needs to be revised to .60ct</t>
  </si>
  <si>
    <t>1039074</t>
  </si>
  <si>
    <t>4560-MO-906161S PT3</t>
  </si>
  <si>
    <t>4560-MO-906160S PT3</t>
  </si>
  <si>
    <t>5621-CH906119S PT3</t>
  </si>
  <si>
    <t>6058-SC904880S</t>
  </si>
  <si>
    <t>6058-SC904421S</t>
  </si>
  <si>
    <t>8018-AD918509S</t>
  </si>
  <si>
    <t xml:space="preserve">Q.PEAK DUO XL G10.3 </t>
  </si>
  <si>
    <t>Energy Solutions and Supplies, LLC</t>
  </si>
  <si>
    <t>Cleveland</t>
  </si>
  <si>
    <t>37312</t>
  </si>
  <si>
    <t>BWC Holdings, Inc dba BlueWave Project Development,LLC</t>
  </si>
  <si>
    <t xml:space="preserve">                </t>
  </si>
  <si>
    <t>SPLIT FROM PT2 (2496 remain out of 3328ea)</t>
  </si>
  <si>
    <t>po</t>
  </si>
  <si>
    <t>1st</t>
  </si>
  <si>
    <t>2nd</t>
  </si>
  <si>
    <t>1st/2nd</t>
  </si>
  <si>
    <t>already scheduled in 1st</t>
  </si>
  <si>
    <t>ship out after 5/16</t>
  </si>
  <si>
    <t>1057-CMC900434S PT4</t>
  </si>
  <si>
    <t>must ship after 5/16</t>
  </si>
  <si>
    <t>tellWH to ship after 5/16</t>
  </si>
  <si>
    <t>revised to new ASP</t>
  </si>
  <si>
    <t>payment</t>
  </si>
  <si>
    <t>US Assembled Baker / mike pushed out to give more 400 to SD</t>
  </si>
  <si>
    <t>7133-JIM983364S PT6</t>
  </si>
  <si>
    <t>4/29/2022 Hold until further ntoice</t>
  </si>
  <si>
    <t>5/4 release on HOLD</t>
  </si>
  <si>
    <t>schedule after 5/16</t>
  </si>
  <si>
    <t>5621-CH904814S PT4</t>
  </si>
  <si>
    <t>5621-CH904814S PT5</t>
  </si>
  <si>
    <t>5621-CH904815S PT1</t>
  </si>
  <si>
    <t>6058-SC904615S PT1</t>
  </si>
  <si>
    <t>0236-SRR920290S PT1</t>
  </si>
  <si>
    <t>0236-SRR920290S PT2</t>
  </si>
  <si>
    <t>schedule after5/16</t>
  </si>
  <si>
    <t>4391-MD900004S PT6</t>
  </si>
  <si>
    <t>4441-MD900486S PT4</t>
  </si>
  <si>
    <t>8756-KC995499S PT4</t>
  </si>
  <si>
    <t>0237-KI907077S</t>
  </si>
  <si>
    <t xml:space="preserve">0237-KI907078S </t>
  </si>
  <si>
    <t>0237-KI907079S</t>
  </si>
  <si>
    <t>0237-KI907080S</t>
  </si>
  <si>
    <t>0237-KI907081S</t>
  </si>
  <si>
    <t>0237-KI907082S</t>
  </si>
  <si>
    <t>0237-KI907083S</t>
  </si>
  <si>
    <t>priority #1</t>
  </si>
  <si>
    <t>was already scheduled</t>
  </si>
  <si>
    <t>already scheduled</t>
  </si>
  <si>
    <t>Priority #2</t>
  </si>
  <si>
    <t>7700010822 (PT10)</t>
  </si>
  <si>
    <t>1654.200.014</t>
  </si>
  <si>
    <t>Wanzek Construction, Inc.</t>
  </si>
  <si>
    <t>Crystal River</t>
  </si>
  <si>
    <r>
      <t xml:space="preserve">CR WAS CANCELLED BUT DELIVERED BY ATLWH. DELIVERY SCHEDULE PENDING. SCOTT CHECKING.  </t>
    </r>
    <r>
      <rPr>
        <sz val="9"/>
        <rFont val="Calibri"/>
        <family val="2"/>
        <scheme val="minor"/>
      </rPr>
      <t>WH changed to NJWH. Pushed out from APR. Destination changed to Plainview, NY - (DDP, NJWH, 30390456H, 768pcs)</t>
    </r>
  </si>
  <si>
    <t>10MW HOLD</t>
  </si>
  <si>
    <t>need rev price PO</t>
  </si>
  <si>
    <t>1045-CL-906665S PT1</t>
  </si>
  <si>
    <t>priority #2</t>
  </si>
  <si>
    <t>need rev PO price</t>
  </si>
  <si>
    <t>DES-JOF-2022-001</t>
  </si>
  <si>
    <t>Alondra Foods Project, LLC</t>
  </si>
  <si>
    <t>Paramount</t>
  </si>
  <si>
    <t>4984-FV946828S</t>
  </si>
  <si>
    <t>4984-FV946825S</t>
  </si>
  <si>
    <t>4984-FV946827S</t>
  </si>
  <si>
    <t>allocate/SST/legal/add as a new cust</t>
  </si>
  <si>
    <t>Signature Healthcare</t>
  </si>
  <si>
    <t>BluePath Solar Brockton,LLC</t>
  </si>
  <si>
    <t>Brockton</t>
  </si>
  <si>
    <t>2dn</t>
  </si>
  <si>
    <t>0311-TC913196S</t>
  </si>
  <si>
    <t>106605</t>
  </si>
  <si>
    <t>Vallejo</t>
  </si>
  <si>
    <t xml:space="preserve">Revise term down to deposit, terms and conditions, full legal entity </t>
  </si>
  <si>
    <t>LODON, LLC</t>
  </si>
  <si>
    <t>San Pedro</t>
  </si>
  <si>
    <t>90731</t>
  </si>
  <si>
    <t>6552-NZ971094S PT1</t>
  </si>
  <si>
    <t>6552-NZ971094S PT2</t>
  </si>
  <si>
    <t>#1</t>
  </si>
  <si>
    <t>#2</t>
  </si>
  <si>
    <t>6104-199057</t>
  </si>
  <si>
    <t>6104-199060</t>
  </si>
  <si>
    <t>2022-04 PT2</t>
  </si>
  <si>
    <t>2022-05 PT1</t>
  </si>
  <si>
    <t xml:space="preserve">Tax to be revised </t>
  </si>
  <si>
    <t>PO-00008291</t>
  </si>
  <si>
    <t>PO-00008290</t>
  </si>
  <si>
    <t>30046</t>
  </si>
  <si>
    <t>PO-00008289</t>
  </si>
  <si>
    <t>PO-00008288</t>
  </si>
  <si>
    <t>PO-00008287</t>
  </si>
  <si>
    <t>Pooler</t>
  </si>
  <si>
    <t>31322</t>
  </si>
  <si>
    <t>PO-00008286</t>
  </si>
  <si>
    <t>PO-00008285</t>
  </si>
  <si>
    <t>PO-00008284</t>
  </si>
  <si>
    <t>PO-00008283</t>
  </si>
  <si>
    <t>Q.PEAK DUO BLK G10</t>
  </si>
  <si>
    <t>PO-00008282</t>
  </si>
  <si>
    <t>PO-00008281</t>
  </si>
  <si>
    <t>68614</t>
  </si>
  <si>
    <t>PO-00008280</t>
  </si>
  <si>
    <t>73129</t>
  </si>
  <si>
    <t>PO-00008279</t>
  </si>
  <si>
    <t>Maumelle</t>
  </si>
  <si>
    <t>AR</t>
  </si>
  <si>
    <t>72113</t>
  </si>
  <si>
    <t>PO-00008278</t>
  </si>
  <si>
    <t>64150</t>
  </si>
  <si>
    <t>PO-00008277</t>
  </si>
  <si>
    <t>Urbandale</t>
  </si>
  <si>
    <t>50322</t>
  </si>
  <si>
    <t>PO-00008276</t>
  </si>
  <si>
    <t>PO-00008275</t>
  </si>
  <si>
    <t>Springdale</t>
  </si>
  <si>
    <t>PO-00008274</t>
  </si>
  <si>
    <t>PO-00008273</t>
  </si>
  <si>
    <t>5887-RD948461S PT3</t>
  </si>
  <si>
    <t>RELEASED (5/9)</t>
  </si>
  <si>
    <t>approved 5/9</t>
  </si>
  <si>
    <r>
      <t xml:space="preserve">Deliver 2nd half of MAY after 5/16 (5/9) </t>
    </r>
    <r>
      <rPr>
        <sz val="9"/>
        <rFont val="Calibri"/>
        <family val="2"/>
        <scheme val="minor"/>
      </rPr>
      <t>Confirmed with Keith</t>
    </r>
    <r>
      <rPr>
        <b/>
        <sz val="9"/>
        <rFont val="Calibri"/>
        <family val="2"/>
        <scheme val="minor"/>
      </rPr>
      <t xml:space="preserve"> (Price REVISED PO RCVD)</t>
    </r>
  </si>
  <si>
    <t>CR APPROVAL PENDING-Sent to Kristine 5/9, Angie will Approve (5/10)</t>
  </si>
  <si>
    <r>
      <t>DO AR-CR (4/29)</t>
    </r>
    <r>
      <rPr>
        <sz val="9"/>
        <rFont val="Calibri"/>
        <family val="2"/>
        <scheme val="minor"/>
      </rPr>
      <t xml:space="preserve"> NOT PRIORITIZED YET (5/10)</t>
    </r>
  </si>
  <si>
    <t>DO INV REQ (5/3)</t>
  </si>
  <si>
    <t>DO INV REQ (5/2)</t>
  </si>
  <si>
    <r>
      <t xml:space="preserve">DO INV REQ (5/4) </t>
    </r>
    <r>
      <rPr>
        <sz val="9"/>
        <rFont val="Calibri"/>
        <family val="2"/>
        <scheme val="minor"/>
      </rPr>
      <t xml:space="preserve">PUSHED OUT TO MAY. Change of WH from ATLWH to CAWH </t>
    </r>
  </si>
  <si>
    <r>
      <t xml:space="preserve">DO INV REQ (5/3) </t>
    </r>
    <r>
      <rPr>
        <sz val="9"/>
        <rFont val="Calibri"/>
        <family val="2"/>
        <scheme val="minor"/>
      </rPr>
      <t xml:space="preserve">PUSHED OUT TO MAY. Change of WH from ATLWH to CAWH </t>
    </r>
  </si>
  <si>
    <r>
      <t xml:space="preserve">(FTD ISSUE) 704pcs(APR)/64pcs(MAY) </t>
    </r>
    <r>
      <rPr>
        <sz val="9"/>
        <rFont val="Calibri"/>
        <family val="2"/>
        <scheme val="minor"/>
      </rPr>
      <t>Palmer released directly to TacomaWH(CHR) - Misshipment caused by CHR back in APR.</t>
    </r>
  </si>
  <si>
    <t>DO INV REQ (5/10)</t>
  </si>
  <si>
    <t>PROCESS (5/10)</t>
  </si>
  <si>
    <r>
      <t xml:space="preserve">DO INV REQ (5/10) Released in APR but scheduled for MAY. MAY allocation: 0. </t>
    </r>
    <r>
      <rPr>
        <sz val="9"/>
        <rFont val="Calibri"/>
        <family val="2"/>
        <scheme val="minor"/>
      </rPr>
      <t>[CIP, CAWH, 30390156H, 768ea]</t>
    </r>
  </si>
  <si>
    <t>4250-CF902727S PT1</t>
  </si>
  <si>
    <t>4250-CF902727S PT2</t>
  </si>
  <si>
    <t>4250-CF902757S PT1</t>
  </si>
  <si>
    <r>
      <t xml:space="preserve">DO INV REQ (5/10) </t>
    </r>
    <r>
      <rPr>
        <sz val="9"/>
        <rFont val="Calibri"/>
        <family val="2"/>
        <scheme val="minor"/>
      </rPr>
      <t>WH changed to NJWH</t>
    </r>
    <r>
      <rPr>
        <b/>
        <sz val="9"/>
        <rFont val="Calibri"/>
        <family val="2"/>
        <scheme val="minor"/>
      </rPr>
      <t>.</t>
    </r>
    <r>
      <rPr>
        <sz val="9"/>
        <rFont val="Calibri"/>
        <family val="2"/>
        <scheme val="minor"/>
      </rPr>
      <t xml:space="preserve"> Pushed out from APR.</t>
    </r>
  </si>
  <si>
    <r>
      <t xml:space="preserve">PUSHED OUT FROM MAY (5/10) </t>
    </r>
    <r>
      <rPr>
        <sz val="9"/>
        <rFont val="Calibri"/>
        <family val="2"/>
        <scheme val="minor"/>
      </rPr>
      <t>Must be June priority</t>
    </r>
  </si>
  <si>
    <t>schedule after 5/16 do AR/CR</t>
  </si>
  <si>
    <t>4250-CF902757S PT2</t>
  </si>
  <si>
    <t>8460-EE-923533S PT4</t>
  </si>
  <si>
    <t>5621-CH904222S PT6</t>
  </si>
  <si>
    <t>Cynthia</t>
  </si>
  <si>
    <t>8018-AD915108S PT4</t>
  </si>
  <si>
    <t>Revised PO Non-SPA/price/</t>
  </si>
  <si>
    <t>100%received</t>
  </si>
  <si>
    <t>2101437</t>
  </si>
  <si>
    <t>cust confirmed deliv date 5/16</t>
  </si>
  <si>
    <t>2022-04 PT3</t>
  </si>
  <si>
    <t>8018-AD915108S PT5</t>
  </si>
  <si>
    <t>replaces PO819732 change to 475 mono cust to revise and add DDP</t>
  </si>
  <si>
    <t>AL-0000468</t>
  </si>
  <si>
    <t>AL-0000473</t>
  </si>
  <si>
    <t>AL-0000476</t>
  </si>
  <si>
    <t>5621-CH906509S PT1</t>
  </si>
  <si>
    <t>5621-CH906509S PT2</t>
  </si>
  <si>
    <t>5621-CH906509S PT3</t>
  </si>
  <si>
    <t>5971-SH908368S PT3</t>
  </si>
  <si>
    <t>2022-700058 PT2</t>
  </si>
  <si>
    <t>30% received</t>
  </si>
  <si>
    <t>Mesa Energy System Inc. dba Emcor Services</t>
  </si>
  <si>
    <t>0311-TC913197S</t>
  </si>
  <si>
    <t>0311-TC913198S</t>
  </si>
  <si>
    <t>0311-TC913199S</t>
  </si>
  <si>
    <t>Cello</t>
  </si>
  <si>
    <t>SST approval needed</t>
  </si>
  <si>
    <t>7539-103136</t>
  </si>
  <si>
    <t>ON HOLD</t>
  </si>
  <si>
    <t>4521478473</t>
  </si>
  <si>
    <t>Muscatine</t>
  </si>
  <si>
    <t>cancelled</t>
  </si>
  <si>
    <t>apply credit $5806.08</t>
  </si>
  <si>
    <t>apply credit $6144.00</t>
  </si>
  <si>
    <t>PO-655410</t>
  </si>
  <si>
    <t>Q. PEAK DUO BLK ML G10</t>
  </si>
  <si>
    <t>PO-655411</t>
  </si>
  <si>
    <t>PO-655412</t>
  </si>
  <si>
    <t>PO-655413</t>
  </si>
  <si>
    <t>PO-655418</t>
  </si>
  <si>
    <t>PO-655417</t>
  </si>
  <si>
    <t>PO-655416</t>
  </si>
  <si>
    <t>PO-655415</t>
  </si>
  <si>
    <t>PO-655414</t>
  </si>
  <si>
    <t>PO-655419</t>
  </si>
  <si>
    <t>PO-655420</t>
  </si>
  <si>
    <t>PO-655423</t>
  </si>
  <si>
    <t>PO-655422</t>
  </si>
  <si>
    <t>PO-655421</t>
  </si>
  <si>
    <t>PO-655429</t>
  </si>
  <si>
    <t>PO-655428</t>
  </si>
  <si>
    <t>PO-655427</t>
  </si>
  <si>
    <t>PO-655426</t>
  </si>
  <si>
    <t>PO-655425</t>
  </si>
  <si>
    <t>PO-655424</t>
  </si>
  <si>
    <t>SH-00544 PT9</t>
  </si>
  <si>
    <t>allocate, FROM APRIL PER RUBY'S CHART</t>
  </si>
  <si>
    <t>BLANKET 2022-Q480-April-42522</t>
  </si>
  <si>
    <t>Sav,GA</t>
  </si>
  <si>
    <t>BLANKET 2022-4790</t>
  </si>
  <si>
    <t>BLANKET 2022-1787</t>
  </si>
  <si>
    <t>P103476154 PT1</t>
  </si>
  <si>
    <t>BLANKET 2022-Maplewood</t>
  </si>
  <si>
    <t>BROUGHT INTO MAY</t>
  </si>
  <si>
    <t>1875-DN918077S PT1</t>
  </si>
  <si>
    <t>Kent</t>
  </si>
  <si>
    <t>P103476126 PT1</t>
  </si>
  <si>
    <t>P103476154 PT2</t>
  </si>
  <si>
    <t>P103476126 PT2</t>
  </si>
  <si>
    <t>CANCELLED</t>
  </si>
  <si>
    <t>1875-DN918077S PT2</t>
  </si>
  <si>
    <t>8756-KC995499S PT5</t>
  </si>
  <si>
    <t>1875-DN918077S PT3</t>
  </si>
  <si>
    <t>1875-DN918077S PT4</t>
  </si>
  <si>
    <t>Legal/Allocate</t>
  </si>
  <si>
    <t>0236-LUMIO921128S PT1</t>
  </si>
  <si>
    <t>0236-LUMIO921128S PT2</t>
  </si>
  <si>
    <t>0236-LUMIO921128S PT3</t>
  </si>
  <si>
    <t>0236-LUMIO921129S PT1</t>
  </si>
  <si>
    <t>0236-LUMIO921129S PT2</t>
  </si>
  <si>
    <t>0236-LUMIO921129S PT13</t>
  </si>
  <si>
    <t>0237-KI907084S</t>
  </si>
  <si>
    <t>0237-KI907085S</t>
  </si>
  <si>
    <t>0237-KI907086S</t>
  </si>
  <si>
    <t>0237-KI907087S</t>
  </si>
  <si>
    <t>0237-KI907088S</t>
  </si>
  <si>
    <t>0237-KI907089S</t>
  </si>
  <si>
    <t>3273-ZR900996S</t>
  </si>
  <si>
    <t>3273-ZR900997S</t>
  </si>
  <si>
    <t>3273-ZR900998S</t>
  </si>
  <si>
    <t>3273-ZR900999S</t>
  </si>
  <si>
    <t>3273-ZR901000S PT1</t>
  </si>
  <si>
    <t>3273-ZR901000S PT2</t>
  </si>
  <si>
    <t>3273-ZR901001S</t>
  </si>
  <si>
    <t>3273-ZR901002S</t>
  </si>
  <si>
    <t>0239-HB906241S</t>
  </si>
  <si>
    <t>0239-HB906242S</t>
  </si>
  <si>
    <t>0239-HB906243S</t>
  </si>
  <si>
    <t>0239-HB906238S</t>
  </si>
  <si>
    <t>0239-HB906239S</t>
  </si>
  <si>
    <t>0239-HB906240S</t>
  </si>
  <si>
    <t>2020-2918(Keasbey#1 MF)</t>
  </si>
  <si>
    <t>P000059542</t>
  </si>
  <si>
    <t>P000059832</t>
  </si>
  <si>
    <t>7700010822 (PT11)</t>
  </si>
  <si>
    <t>7700010823 (PT12)</t>
  </si>
  <si>
    <t>7700014779 (PT11)</t>
  </si>
  <si>
    <t>Fonda</t>
  </si>
  <si>
    <t>1154-JR-900454S</t>
  </si>
  <si>
    <t>allocate/sst/legal</t>
  </si>
  <si>
    <t>Pisgah Energy Inc.</t>
  </si>
  <si>
    <t>Waynesville</t>
  </si>
  <si>
    <t>Scale Microgrid Solutions Operating,LLC</t>
  </si>
  <si>
    <t>Max</t>
  </si>
  <si>
    <t xml:space="preserve">1 set </t>
  </si>
  <si>
    <t>2nd set</t>
  </si>
  <si>
    <t>PO5967</t>
  </si>
  <si>
    <t>21046</t>
  </si>
  <si>
    <t>PO4189 PT4</t>
  </si>
  <si>
    <t>PO4190 PT4</t>
  </si>
  <si>
    <t>PO4189 PT5</t>
  </si>
  <si>
    <t>PO4197 PT5</t>
  </si>
  <si>
    <t>PO4190 PT5</t>
  </si>
  <si>
    <t>PO4198 PT5</t>
  </si>
  <si>
    <t>PO4197 PT6</t>
  </si>
  <si>
    <t>30376809F</t>
  </si>
  <si>
    <t>30372158C</t>
  </si>
  <si>
    <t>08077</t>
  </si>
  <si>
    <t>1st set SO Created</t>
  </si>
  <si>
    <t>1st set</t>
  </si>
  <si>
    <t>GA Modules ONLY Per SST push to August</t>
  </si>
  <si>
    <t>customer would like Long cable(GA modules)</t>
  </si>
  <si>
    <t>GA Modules ONLY</t>
  </si>
  <si>
    <t>527 PT1</t>
  </si>
  <si>
    <t>527 PT2</t>
  </si>
  <si>
    <t>1st set /  PAID</t>
  </si>
  <si>
    <t>A</t>
  </si>
  <si>
    <t>1 sest / Allocate, Customer Wants</t>
  </si>
  <si>
    <t>screenshot</t>
  </si>
  <si>
    <t>Glendale</t>
  </si>
  <si>
    <t>WA0822040776T</t>
  </si>
  <si>
    <t>WA0822040777T</t>
  </si>
  <si>
    <t>need rev PO to BFG/ KR or CYB ONLY</t>
  </si>
  <si>
    <t>KR or CYB ONLY/allocate</t>
  </si>
  <si>
    <t>reallocate/KR or CYB ONLY</t>
  </si>
  <si>
    <t>allocate/SST/legal/KR or CYB only</t>
  </si>
  <si>
    <t>need rev PO - price/ KR or CYB only</t>
  </si>
  <si>
    <t>need rev PO - price / KR CYB ONLY</t>
  </si>
  <si>
    <t>RELEASED (5/11)</t>
  </si>
  <si>
    <t xml:space="preserve">RELEASED (5/9) Priority 1 - 360W </t>
  </si>
  <si>
    <t xml:space="preserve">RELEASED (5/9) Priority 1 - 400W </t>
  </si>
  <si>
    <t>Deliver 2nd half of MAY afater 5/16 (5/11) RELEASE CANCELLED. SWAP WITH PO-32996 PER KEITH's REQUEST (5/11)</t>
  </si>
  <si>
    <t>CR cancelled. Released in 2H</t>
  </si>
  <si>
    <t xml:space="preserve">DO INV REQ (5/9) Priority 1 - 360W </t>
  </si>
  <si>
    <r>
      <t xml:space="preserve">1 set / Deliver 2nd half of MAY after 5/16 (5/9) </t>
    </r>
    <r>
      <rPr>
        <sz val="9"/>
        <rFont val="Calibri"/>
        <family val="2"/>
        <scheme val="minor"/>
      </rPr>
      <t>Confirmed with Keith</t>
    </r>
    <r>
      <rPr>
        <b/>
        <sz val="9"/>
        <rFont val="Calibri"/>
        <family val="2"/>
        <scheme val="minor"/>
      </rPr>
      <t xml:space="preserve"> (Price REVISED PO RCVD)</t>
    </r>
  </si>
  <si>
    <r>
      <t xml:space="preserve">1 set / RELEASED  (5/9) </t>
    </r>
    <r>
      <rPr>
        <sz val="9"/>
        <rFont val="Calibri"/>
        <family val="2"/>
        <scheme val="minor"/>
      </rPr>
      <t>1st week 360</t>
    </r>
    <r>
      <rPr>
        <b/>
        <sz val="9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>Priority</t>
    </r>
  </si>
  <si>
    <r>
      <t xml:space="preserve">RELEASED  (5/9) </t>
    </r>
    <r>
      <rPr>
        <sz val="9"/>
        <rFont val="Calibri"/>
        <family val="2"/>
        <scheme val="minor"/>
      </rPr>
      <t>1st week 360</t>
    </r>
    <r>
      <rPr>
        <b/>
        <sz val="9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>Priority</t>
    </r>
  </si>
  <si>
    <r>
      <t xml:space="preserve">RELEASED (5/10) </t>
    </r>
    <r>
      <rPr>
        <sz val="9"/>
        <rFont val="Calibri"/>
        <family val="2"/>
        <scheme val="minor"/>
      </rPr>
      <t>2nd week 360 Priority</t>
    </r>
  </si>
  <si>
    <r>
      <t xml:space="preserve">RELEASED  (5/9) </t>
    </r>
    <r>
      <rPr>
        <sz val="9"/>
        <rFont val="Calibri"/>
        <family val="2"/>
        <scheme val="minor"/>
      </rPr>
      <t>1st week 400 Prirority</t>
    </r>
  </si>
  <si>
    <r>
      <t xml:space="preserve">RELEASED (5/10) </t>
    </r>
    <r>
      <rPr>
        <sz val="9"/>
        <rFont val="Calibri"/>
        <family val="2"/>
        <scheme val="minor"/>
      </rPr>
      <t>2nd week 400 Priority</t>
    </r>
  </si>
  <si>
    <r>
      <t xml:space="preserve">1 set / RELEASED 4/22 &amp; NOT SCHEDULED (5/10) </t>
    </r>
    <r>
      <rPr>
        <sz val="9"/>
        <rFont val="Calibri"/>
        <family val="2"/>
        <scheme val="minor"/>
      </rPr>
      <t>(CIP, ATLWH, 49203132, 832ea)</t>
    </r>
  </si>
  <si>
    <t>1 set / RELEASED (5/11)</t>
  </si>
  <si>
    <t xml:space="preserve">quote in QSP/ cust to revise pricing </t>
  </si>
  <si>
    <t>32824</t>
  </si>
  <si>
    <t>SO Created/not scheduled</t>
  </si>
  <si>
    <t>revise Price to .64ct</t>
  </si>
  <si>
    <t>SO Created/ not scheduled</t>
  </si>
  <si>
    <t>SO Created/cust to revise price to .62ct</t>
  </si>
  <si>
    <t>revise price to .64ct</t>
  </si>
  <si>
    <t>Allocate/ cust to revise price to .90ct</t>
  </si>
  <si>
    <t>Revised PO Non-SPA/ rev price 0.64ct</t>
  </si>
  <si>
    <t>not scheduled</t>
  </si>
  <si>
    <t>cust to revise price to .62ct</t>
  </si>
  <si>
    <t xml:space="preserve">not scheduled </t>
  </si>
  <si>
    <t>cust to revise price .64 2nd half of May</t>
  </si>
  <si>
    <t>Revised PO Non-SPA/price.90ct</t>
  </si>
  <si>
    <t>GA Modules ONLY (Long leads)</t>
  </si>
  <si>
    <t>revise Price to .64ct and remove spa</t>
  </si>
  <si>
    <t>2022-05 PT2</t>
  </si>
  <si>
    <t>6058-SC905530S</t>
  </si>
  <si>
    <t>Q.PEAK DUO BLK 6P+ HL</t>
  </si>
  <si>
    <t>CHI UPDATE PENDING</t>
  </si>
  <si>
    <r>
      <t xml:space="preserve">Q.PEAK DUO BLK G10+ </t>
    </r>
    <r>
      <rPr>
        <b/>
        <sz val="9"/>
        <rFont val="Calibri"/>
        <family val="2"/>
        <scheme val="minor"/>
      </rPr>
      <t>AC</t>
    </r>
  </si>
  <si>
    <r>
      <t xml:space="preserve">Address changed. Legal-SST-AR-CR APPROVAL PENDING (5/12) </t>
    </r>
    <r>
      <rPr>
        <sz val="9"/>
        <rFont val="Calibri"/>
        <family val="2"/>
        <scheme val="minor"/>
      </rPr>
      <t>2nd week 400 Priority</t>
    </r>
  </si>
  <si>
    <t>WH changed to CAWH</t>
  </si>
  <si>
    <t>RELEASED (4/27) SCM waiting for Angie's Confirmation to ship</t>
  </si>
  <si>
    <t>Revise Price to 2H MAY new price</t>
  </si>
  <si>
    <t>PROCESS ASAP (WEEK OF 5/16) Change price to new price?</t>
  </si>
  <si>
    <t>RELEASED (5/10)</t>
  </si>
  <si>
    <t>BPO052022-360G</t>
  </si>
  <si>
    <t>Waiting for PO REV</t>
  </si>
  <si>
    <t>BPO052022-360H</t>
  </si>
  <si>
    <t>BPO052022-360I</t>
  </si>
  <si>
    <t>BPO052022-360J</t>
  </si>
  <si>
    <t>BPO052022-360K</t>
  </si>
  <si>
    <t>BPO052022-360L</t>
  </si>
  <si>
    <t>BPO052022-400G</t>
  </si>
  <si>
    <t>BPO052022-400H</t>
  </si>
  <si>
    <t>BPO052022-400I</t>
  </si>
  <si>
    <t>BPO052022-400J</t>
  </si>
  <si>
    <t>BPO052022-400K</t>
  </si>
  <si>
    <t>BPO052022-400L</t>
  </si>
  <si>
    <t>MSPO980056</t>
  </si>
  <si>
    <t>DO INV REQ (5/12)</t>
  </si>
  <si>
    <t>PO REVISE (PRICE TO 0.60/W)</t>
  </si>
  <si>
    <t>Suntuity Sourcing(NO ALLOCATION TIL Q3) CHECK WITH EDWIN IF WE WILL ALLOCATE (5/11) Push out to July?</t>
  </si>
  <si>
    <t>96817</t>
  </si>
  <si>
    <t>proforma requested</t>
  </si>
  <si>
    <t>need pallet jack &amp; lift gate</t>
  </si>
  <si>
    <t>Kliewer Construction, Inc.</t>
  </si>
  <si>
    <t>Kingsburg</t>
  </si>
  <si>
    <t>93631</t>
  </si>
  <si>
    <t>on hold per Angie</t>
  </si>
  <si>
    <t>On hold per Angie</t>
  </si>
  <si>
    <t>price to be revised to .64ct</t>
  </si>
  <si>
    <t>4521496192</t>
  </si>
  <si>
    <t>need rev to 480W/KR and CYB only</t>
  </si>
  <si>
    <t>need rev to 480W/CYB or KR MODS PER SST</t>
  </si>
  <si>
    <t>KR or CYB ONLY/reallocate</t>
  </si>
  <si>
    <t>need rev PO/sap B1/KR or CYB only</t>
  </si>
  <si>
    <t>SST/legal/KR and CYB only</t>
  </si>
  <si>
    <t>CYB or KR MODS PER SST</t>
  </si>
  <si>
    <t>revise to 480W BFG/KR or CYB ONLY</t>
  </si>
  <si>
    <t>need cust rev confirm/KR or CYB ONLY</t>
  </si>
  <si>
    <t>allocate/KR or CYB only</t>
  </si>
  <si>
    <t>H22-39562</t>
  </si>
  <si>
    <t>Siemens Government Technologies, Inc</t>
  </si>
  <si>
    <t>50% received</t>
  </si>
  <si>
    <t>7700010821 (PT5)</t>
  </si>
  <si>
    <t>7700010821 (PT6)</t>
  </si>
  <si>
    <t>7700010822 (PT12)</t>
  </si>
  <si>
    <t>TAC</t>
  </si>
  <si>
    <t>7700010823 (PT13)</t>
  </si>
  <si>
    <t>San Bernadino</t>
  </si>
  <si>
    <t>7700014779 (PT12)</t>
  </si>
  <si>
    <t>KR or CYB only</t>
  </si>
  <si>
    <t>4664-GS-903131S PT3.3</t>
  </si>
  <si>
    <t>PO-101A FIN</t>
  </si>
  <si>
    <t>Watertown</t>
  </si>
  <si>
    <t>1154-CK-901010S PT1</t>
  </si>
  <si>
    <t>1154-CK-901010S PT2</t>
  </si>
  <si>
    <t>1154-CK-901010S PT3</t>
  </si>
  <si>
    <t>1154-CK-901010S PT4</t>
  </si>
  <si>
    <t>1154-CK-901010S PT5</t>
  </si>
  <si>
    <r>
      <t>DO AR-CR (4/29)</t>
    </r>
    <r>
      <rPr>
        <sz val="9"/>
        <rFont val="Calibri"/>
        <family val="2"/>
        <scheme val="minor"/>
      </rPr>
      <t xml:space="preserve"> Prioritized by Nadia for week of 05-16 shipment</t>
    </r>
  </si>
  <si>
    <t>RELEASED (5/13)</t>
  </si>
  <si>
    <t>0120-WG903351S PT5</t>
  </si>
  <si>
    <t>0224-JV909930S PT1</t>
  </si>
  <si>
    <t>0224-JV909930S PT2</t>
  </si>
  <si>
    <t>ADDED 5/13, PROCESS for 2H MAY ASAP</t>
  </si>
  <si>
    <r>
      <t>RELEASED (5/11)</t>
    </r>
    <r>
      <rPr>
        <sz val="9"/>
        <rFont val="Calibri"/>
        <family val="2"/>
        <scheme val="minor"/>
      </rPr>
      <t xml:space="preserve"> ADDED 5/13, PROCESS for 2H MAY ASAP - PUSHED OUT FROM MAY TO JUNE</t>
    </r>
  </si>
  <si>
    <r>
      <t>RELEASED (5/12)</t>
    </r>
    <r>
      <rPr>
        <sz val="9"/>
        <rFont val="Calibri"/>
        <family val="2"/>
        <scheme val="minor"/>
      </rPr>
      <t xml:space="preserve"> RELEASED by KB 768pcs 3/8-Cancelled CR</t>
    </r>
  </si>
  <si>
    <t>SST APPROVAL PENDING 4/25 (5/13)</t>
  </si>
  <si>
    <t>0933-KD906980S PT1</t>
  </si>
  <si>
    <t>0933-KD906980S PT2</t>
  </si>
  <si>
    <t>Ca</t>
  </si>
  <si>
    <t>nj</t>
  </si>
  <si>
    <t>SCHEDULED (5/16)</t>
  </si>
  <si>
    <t>Marlboro</t>
  </si>
  <si>
    <r>
      <t xml:space="preserve">DO INV REQ (5/12) </t>
    </r>
    <r>
      <rPr>
        <sz val="9"/>
        <rFont val="Calibri"/>
        <family val="2"/>
        <scheme val="minor"/>
      </rPr>
      <t>Distribution PO - Cancel Request 5/2 PER TODD, NOW INVALID PO#  (5/2)</t>
    </r>
  </si>
  <si>
    <t>MSPO982145</t>
  </si>
  <si>
    <t>RELEASED with OLD PRICE (5/16)</t>
  </si>
  <si>
    <t>P2290 PT1</t>
  </si>
  <si>
    <t>P2290 PT2</t>
  </si>
  <si>
    <t>P2290 PT3</t>
  </si>
  <si>
    <t>2H MAY</t>
  </si>
  <si>
    <t>check price</t>
  </si>
  <si>
    <t>4250-CF902727S PT3</t>
  </si>
  <si>
    <t>0224-JV909930S PT3</t>
  </si>
  <si>
    <t>30397471F</t>
  </si>
  <si>
    <t>SO Created (Chnacellor)</t>
  </si>
  <si>
    <t>Allocate/not scheduled (Exchange)</t>
  </si>
  <si>
    <t>CHI</t>
  </si>
  <si>
    <t>Cust confirmed deliv date 5/23, 5/24, 5/25</t>
  </si>
  <si>
    <t>5621-CH904814S PT6</t>
  </si>
  <si>
    <t>Legal /Allocate</t>
  </si>
  <si>
    <t>Q.PEAK DUO BLK G10 AC</t>
  </si>
  <si>
    <t>6058-SC905561S</t>
  </si>
  <si>
    <t>6058-SC905560S</t>
  </si>
  <si>
    <t>6058-SC905559S</t>
  </si>
  <si>
    <t>7133-JIM983162S PT4</t>
  </si>
  <si>
    <t>PO4190 PT2</t>
  </si>
  <si>
    <t>release</t>
  </si>
  <si>
    <t>US Assmbled only</t>
  </si>
  <si>
    <t>SST/Legal</t>
  </si>
  <si>
    <t>WILL BE SPA CREDIT PO</t>
  </si>
  <si>
    <t>replaced PO 7539-624648 / will be SPA credit PO</t>
  </si>
  <si>
    <t>reelase</t>
  </si>
  <si>
    <t>Allenstown</t>
  </si>
  <si>
    <t>SH-00544 PT10</t>
  </si>
  <si>
    <t>3273-RK900094S PT2</t>
  </si>
  <si>
    <t>0148-RK905931S PT4</t>
  </si>
  <si>
    <t>0239-HB905066S PT1</t>
  </si>
  <si>
    <t>0239-HB905066S PT2</t>
  </si>
  <si>
    <t>12083 PT3.2 Reno</t>
  </si>
  <si>
    <t>HQCV3CA3496 PT1</t>
  </si>
  <si>
    <t>HQCV3CA3497 PT1</t>
  </si>
  <si>
    <t>HQCV3CA3498 PT1</t>
  </si>
  <si>
    <t>0237-KI907159S</t>
  </si>
  <si>
    <t>HQCV3CA3496 PT2</t>
  </si>
  <si>
    <t>HQCV3CA3497 PT2</t>
  </si>
  <si>
    <t>HQCV3CA3498 PT2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</si>
</sst>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3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.000_);_(&quot;$&quot;* \(#,##0.000\);_(&quot;$&quot;* &quot;-&quot;??_);_(@_)"/>
    <numFmt numFmtId="165" formatCode="_(* #,##0_);_(* \(#,##0\);_(* &quot;-&quot;??_);_(@_)"/>
    <numFmt numFmtId="166" formatCode="0.0000%"/>
    <numFmt numFmtId="167" formatCode="0.000000%"/>
    <numFmt numFmtId="168" formatCode="_(&quot;$&quot;* #,##0.00000_);_(&quot;$&quot;* \(#,##0.00000\);_(&quot;$&quot;* &quot;-&quot;??_);_(@_)"/>
    <numFmt numFmtId="169" formatCode="0.0"/>
    <numFmt numFmtId="170" formatCode="_-&quot;₩&quot;* #,##0.00_-;\-&quot;₩&quot;* #,##0.00_-;_-&quot;₩&quot;* &quot;-&quot;??_-;_-@_-"/>
    <numFmt numFmtId="171" formatCode="[$USD]\ #,##0.0000;[Red][$USD]\ \-#,##0.0000"/>
    <numFmt numFmtId="172" formatCode="0_);[Red]\(0\)"/>
    <numFmt numFmtId="173" formatCode="00000"/>
    <numFmt numFmtId="174" formatCode="&quot;$&quot;#,##0.00"/>
    <numFmt numFmtId="175" formatCode="m/d/yy;@"/>
    <numFmt numFmtId="176" formatCode="_-* #,##0_-;\-* #,##0_-;_-* &quot;-&quot;_-;_-@_-"/>
    <numFmt numFmtId="177" formatCode="_-* #,##0.00_-;\-* #,##0.00_-;_-* &quot;-&quot;??_-;_-@_-"/>
    <numFmt numFmtId="178" formatCode="[$-F400]h:mm:ss\ AM/PM"/>
    <numFmt numFmtId="179" formatCode="#,##0_ ;[Red]\-#,##0\ "/>
    <numFmt numFmtId="180" formatCode="#,##0_ "/>
    <numFmt numFmtId="181" formatCode="_-* #,##0_-;[Red]\-#,##0_-;_-* &quot;-&quot;_-;_-@_-"/>
    <numFmt numFmtId="182" formatCode="_([$€-2]* #,##0.00_);_([$€-2]* \(#,##0.00\);_([$€-2]* &quot;-&quot;??_)"/>
    <numFmt numFmtId="183" formatCode="[$-409]mmm"/>
  </numFmts>
  <fonts count="4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b/>
      <sz val="9"/>
      <color rgb="FFFF0000"/>
      <name val="Calibri"/>
      <family val="2"/>
      <scheme val="minor"/>
    </font>
    <font>
      <sz val="10"/>
      <name val="돋움"/>
      <family val="3"/>
      <charset val="129"/>
    </font>
    <font>
      <sz val="11"/>
      <color rgb="FF9C65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Trebuchet MS"/>
      <family val="2"/>
    </font>
    <font>
      <sz val="11"/>
      <color theme="1"/>
      <name val="바탕"/>
      <family val="2"/>
      <charset val="129"/>
    </font>
    <font>
      <sz val="11"/>
      <color theme="1"/>
      <name val="Calibri"/>
      <family val="3"/>
      <charset val="129"/>
      <scheme val="minor"/>
    </font>
    <font>
      <sz val="11"/>
      <color rgb="FF000000"/>
      <name val="Calibri"/>
      <family val="3"/>
      <charset val="129"/>
      <scheme val="minor"/>
    </font>
    <font>
      <sz val="10"/>
      <color theme="1"/>
      <name val="Calibri"/>
      <family val="3"/>
      <charset val="129"/>
      <scheme val="minor"/>
    </font>
    <font>
      <sz val="10"/>
      <color theme="0"/>
      <name val="Calibri"/>
      <family val="3"/>
      <charset val="129"/>
      <scheme val="minor"/>
    </font>
    <font>
      <sz val="10"/>
      <name val="Arial"/>
      <family val="2"/>
    </font>
    <font>
      <sz val="10"/>
      <color theme="0"/>
      <name val="Calibri"/>
      <family val="2"/>
      <charset val="129"/>
      <scheme val="minor"/>
    </font>
    <font>
      <sz val="10"/>
      <name val="Calibri"/>
      <family val="2"/>
      <charset val="129"/>
      <scheme val="minor"/>
    </font>
    <font>
      <sz val="11"/>
      <color indexed="8"/>
      <name val="돋움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29"/>
      <scheme val="minor"/>
    </font>
    <font>
      <sz val="12"/>
      <color theme="1"/>
      <name val="Calibri"/>
      <family val="2"/>
      <charset val="134"/>
      <scheme val="minor"/>
    </font>
    <font>
      <u/>
      <sz val="12"/>
      <color theme="10"/>
      <name val="Calibri"/>
      <family val="2"/>
      <charset val="134"/>
      <scheme val="minor"/>
    </font>
    <font>
      <sz val="9"/>
      <color rgb="FFFFFFFF"/>
      <name val="Calibri"/>
      <family val="2"/>
      <scheme val="minor"/>
    </font>
  </fonts>
  <fills count="53">
    <fill>
      <patternFill patternType="none"/>
    </fill>
    <fill>
      <patternFill patternType="gray125"/>
    </fill>
    <fill>
      <patternFill patternType="solid">
        <fgColor theme="7" tint="0.79998168889431442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000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30EEE9"/>
        <bgColor indexed="64"/>
      </patternFill>
    </fill>
    <fill>
      <patternFill patternType="solid">
        <fgColor rgb="FFD9EFF3"/>
        <bgColor indexed="64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3EAF1"/>
        <bgColor indexed="64"/>
      </patternFill>
    </fill>
    <fill>
      <patternFill patternType="solid">
        <fgColor rgb="FFE7ED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theme="4"/>
        <bgColor theme="3" tint="0.3999450666829432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-0.2499465926084170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theme="6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99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rgb="FFB8CDD9"/>
      </left>
      <right style="thin">
        <color rgb="FFB8CDD9"/>
      </right>
      <top style="thin">
        <color rgb="FFB8CDD9"/>
      </top>
      <bottom style="thin">
        <color rgb="FFB8CDD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128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9" fillId="0" borderId="0">
      <alignment vertical="center"/>
    </xf>
    <xf numFmtId="0" fontId="1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1" fillId="0" borderId="0">
      <alignment vertical="center"/>
    </xf>
    <xf numFmtId="44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70" fontId="9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9" fillId="0" borderId="0"/>
    <xf numFmtId="0" fontId="16" fillId="0" borderId="0"/>
    <xf numFmtId="0" fontId="17" fillId="21" borderId="0" applyNumberFormat="0" applyBorder="0" applyAlignment="0" applyProtection="0"/>
    <xf numFmtId="0" fontId="22" fillId="0" borderId="0" applyNumberFormat="0" applyFill="0" applyBorder="0" applyAlignment="0" applyProtection="0"/>
    <xf numFmtId="0" fontId="25" fillId="0" borderId="0"/>
    <xf numFmtId="176" fontId="26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0" fontId="26" fillId="0" borderId="0">
      <alignment vertical="center"/>
    </xf>
    <xf numFmtId="0" fontId="9" fillId="0" borderId="0">
      <alignment vertical="center"/>
    </xf>
    <xf numFmtId="176" fontId="9" fillId="0" borderId="0" applyFont="0" applyFill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76" fontId="9" fillId="0" borderId="0" applyFont="0" applyFill="0" applyBorder="0" applyAlignment="0" applyProtection="0">
      <alignment vertical="center"/>
    </xf>
    <xf numFmtId="178" fontId="9" fillId="0" borderId="0">
      <alignment vertical="center"/>
    </xf>
    <xf numFmtId="0" fontId="9" fillId="0" borderId="0">
      <alignment vertical="center"/>
    </xf>
    <xf numFmtId="176" fontId="9" fillId="0" borderId="0" applyFont="0" applyFill="0" applyBorder="0" applyAlignment="0" applyProtection="0">
      <alignment vertical="center"/>
    </xf>
    <xf numFmtId="0" fontId="27" fillId="0" borderId="0"/>
    <xf numFmtId="0" fontId="27" fillId="0" borderId="0">
      <alignment vertical="center"/>
    </xf>
    <xf numFmtId="9" fontId="9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28" fillId="0" borderId="0">
      <alignment vertical="center"/>
    </xf>
    <xf numFmtId="176" fontId="28" fillId="0" borderId="0" applyFont="0" applyFill="0" applyBorder="0" applyAlignment="0" applyProtection="0">
      <alignment vertical="center"/>
    </xf>
    <xf numFmtId="176" fontId="9" fillId="0" borderId="0" applyFont="0" applyFill="0" applyBorder="0" applyAlignment="0" applyProtection="0">
      <alignment vertical="center"/>
    </xf>
    <xf numFmtId="0" fontId="29" fillId="31" borderId="34" applyNumberFormat="0" applyFont="0" applyBorder="0" applyAlignment="0" applyProtection="0">
      <alignment horizontal="center" vertical="center"/>
    </xf>
    <xf numFmtId="0" fontId="9" fillId="32" borderId="0" applyNumberFormat="0" applyFont="0" applyBorder="0" applyAlignment="0" applyProtection="0">
      <alignment vertical="center"/>
    </xf>
    <xf numFmtId="0" fontId="9" fillId="33" borderId="0" applyNumberFormat="0" applyFont="0" applyBorder="0" applyAlignment="0" applyProtection="0">
      <alignment vertical="center"/>
    </xf>
    <xf numFmtId="179" fontId="29" fillId="0" borderId="34" applyFont="0" applyFill="0" applyBorder="0" applyAlignment="0" applyProtection="0">
      <alignment horizontal="center" vertical="center"/>
    </xf>
    <xf numFmtId="0" fontId="9" fillId="34" borderId="0" applyNumberFormat="0" applyFont="0" applyBorder="0" applyAlignment="0" applyProtection="0">
      <alignment vertical="center"/>
    </xf>
    <xf numFmtId="0" fontId="9" fillId="34" borderId="0" applyNumberFormat="0" applyFont="0" applyBorder="0" applyAlignment="0" applyProtection="0">
      <alignment vertical="center"/>
    </xf>
    <xf numFmtId="0" fontId="9" fillId="31" borderId="0" applyNumberFormat="0" applyFont="0" applyBorder="0" applyAlignment="0" applyProtection="0">
      <alignment vertical="center"/>
    </xf>
    <xf numFmtId="0" fontId="30" fillId="35" borderId="33">
      <alignment vertical="center" wrapText="1"/>
    </xf>
    <xf numFmtId="0" fontId="29" fillId="31" borderId="34" applyNumberFormat="0" applyFont="0" applyBorder="0" applyAlignment="0" applyProtection="0">
      <alignment horizontal="center" vertical="center"/>
    </xf>
    <xf numFmtId="0" fontId="9" fillId="32" borderId="0" applyNumberFormat="0" applyFont="0" applyBorder="0" applyAlignment="0" applyProtection="0">
      <alignment vertical="center"/>
    </xf>
    <xf numFmtId="0" fontId="9" fillId="32" borderId="0" applyNumberFormat="0" applyFont="0" applyBorder="0" applyAlignment="0" applyProtection="0">
      <alignment vertical="center"/>
    </xf>
    <xf numFmtId="0" fontId="9" fillId="32" borderId="0" applyNumberFormat="0" applyFont="0" applyBorder="0" applyAlignment="0" applyProtection="0">
      <alignment vertical="center"/>
    </xf>
    <xf numFmtId="0" fontId="31" fillId="0" borderId="0"/>
    <xf numFmtId="0" fontId="9" fillId="32" borderId="0" applyNumberFormat="0" applyFont="0" applyBorder="0" applyAlignment="0" applyProtection="0">
      <alignment vertical="center"/>
    </xf>
    <xf numFmtId="0" fontId="9" fillId="32" borderId="0" applyNumberFormat="0" applyFont="0" applyBorder="0" applyAlignment="0" applyProtection="0">
      <alignment vertical="center"/>
    </xf>
    <xf numFmtId="0" fontId="9" fillId="32" borderId="0" applyNumberFormat="0" applyFont="0" applyBorder="0" applyAlignment="0" applyProtection="0">
      <alignment vertical="center"/>
    </xf>
    <xf numFmtId="0" fontId="9" fillId="32" borderId="0" applyNumberFormat="0" applyFont="0" applyBorder="0" applyAlignment="0" applyProtection="0">
      <alignment vertical="center"/>
    </xf>
    <xf numFmtId="0" fontId="9" fillId="32" borderId="0" applyNumberFormat="0" applyFont="0" applyBorder="0" applyAlignment="0" applyProtection="0">
      <alignment vertical="center"/>
    </xf>
    <xf numFmtId="0" fontId="9" fillId="32" borderId="0" applyNumberFormat="0" applyFont="0" applyBorder="0" applyAlignment="0" applyProtection="0">
      <alignment vertical="center"/>
    </xf>
    <xf numFmtId="0" fontId="29" fillId="20" borderId="34" applyNumberFormat="0" applyFont="0" applyBorder="0" applyAlignment="0" applyProtection="0">
      <alignment horizontal="center" vertical="center"/>
    </xf>
    <xf numFmtId="0" fontId="9" fillId="36" borderId="0" applyNumberFormat="0" applyFont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8" borderId="0" applyNumberFormat="0" applyFont="0" applyBorder="0" applyAlignment="0" applyProtection="0">
      <alignment vertical="center"/>
    </xf>
    <xf numFmtId="0" fontId="32" fillId="39" borderId="0" applyNumberFormat="0" applyBorder="0" applyAlignment="0" applyProtection="0">
      <alignment vertical="center"/>
    </xf>
    <xf numFmtId="0" fontId="33" fillId="32" borderId="35" applyNumberFormat="0" applyAlignment="0" applyProtection="0">
      <alignment vertical="center"/>
    </xf>
    <xf numFmtId="180" fontId="9" fillId="33" borderId="0" applyFont="0" applyBorder="0" applyAlignment="0" applyProtection="0">
      <alignment vertical="center"/>
    </xf>
    <xf numFmtId="0" fontId="27" fillId="32" borderId="2" applyNumberFormat="0" applyFont="0" applyBorder="0" applyAlignment="0" applyProtection="0">
      <alignment vertical="center"/>
    </xf>
    <xf numFmtId="0" fontId="27" fillId="40" borderId="2" applyNumberFormat="0" applyFont="0" applyBorder="0" applyAlignment="0" applyProtection="0">
      <alignment vertical="center"/>
    </xf>
    <xf numFmtId="0" fontId="27" fillId="32" borderId="2" applyNumberFormat="0" applyFont="0" applyBorder="0" applyAlignment="0" applyProtection="0">
      <alignment vertical="center"/>
    </xf>
    <xf numFmtId="0" fontId="27" fillId="32" borderId="2" applyNumberFormat="0" applyFont="0" applyBorder="0" applyAlignment="0" applyProtection="0">
      <alignment vertical="center"/>
    </xf>
    <xf numFmtId="0" fontId="27" fillId="32" borderId="2" applyNumberFormat="0" applyFont="0" applyBorder="0" applyAlignment="0" applyProtection="0">
      <alignment vertical="center"/>
    </xf>
    <xf numFmtId="0" fontId="27" fillId="32" borderId="2" applyNumberFormat="0" applyFont="0" applyBorder="0" applyAlignment="0" applyProtection="0">
      <alignment vertical="center"/>
    </xf>
    <xf numFmtId="0" fontId="27" fillId="20" borderId="2" applyNumberFormat="0" applyFont="0" applyBorder="0" applyAlignment="0" applyProtection="0">
      <alignment vertical="center"/>
    </xf>
    <xf numFmtId="0" fontId="27" fillId="41" borderId="2" applyNumberFormat="0" applyFont="0" applyBorder="0" applyAlignment="0" applyProtection="0">
      <alignment vertical="center"/>
    </xf>
    <xf numFmtId="0" fontId="27" fillId="6" borderId="2" applyNumberFormat="0" applyFont="0" applyBorder="0" applyAlignment="0" applyProtection="0">
      <alignment vertical="center"/>
    </xf>
    <xf numFmtId="0" fontId="27" fillId="42" borderId="2" applyNumberFormat="0" applyFont="0" applyBorder="0" applyAlignment="0" applyProtection="0">
      <alignment vertical="center"/>
    </xf>
    <xf numFmtId="0" fontId="27" fillId="32" borderId="2" applyNumberFormat="0" applyFont="0" applyBorder="0" applyAlignment="0" applyProtection="0">
      <alignment vertical="center"/>
    </xf>
    <xf numFmtId="0" fontId="27" fillId="43" borderId="2" applyNumberFormat="0" applyFont="0" applyAlignment="0" applyProtection="0">
      <alignment vertical="center"/>
    </xf>
    <xf numFmtId="0" fontId="27" fillId="32" borderId="2" applyNumberFormat="0" applyFont="0" applyBorder="0" applyAlignment="0" applyProtection="0">
      <alignment vertical="center"/>
    </xf>
    <xf numFmtId="0" fontId="27" fillId="32" borderId="2" applyNumberFormat="0" applyFont="0" applyBorder="0" applyAlignment="0" applyProtection="0">
      <alignment vertical="center"/>
    </xf>
    <xf numFmtId="0" fontId="27" fillId="32" borderId="2" applyNumberFormat="0" applyFont="0" applyBorder="0" applyAlignment="0" applyProtection="0">
      <alignment vertical="center"/>
    </xf>
    <xf numFmtId="0" fontId="27" fillId="32" borderId="2" applyNumberFormat="0" applyFont="0" applyBorder="0" applyAlignment="0" applyProtection="0">
      <alignment vertical="center"/>
    </xf>
    <xf numFmtId="0" fontId="27" fillId="20" borderId="2" applyNumberFormat="0" applyFont="0" applyBorder="0" applyAlignment="0" applyProtection="0">
      <alignment vertical="center"/>
    </xf>
    <xf numFmtId="0" fontId="27" fillId="44" borderId="2" applyNumberFormat="0" applyFont="0" applyBorder="0" applyAlignment="0" applyProtection="0">
      <alignment vertical="center"/>
    </xf>
    <xf numFmtId="0" fontId="27" fillId="41" borderId="2" applyNumberFormat="0" applyFont="0" applyBorder="0" applyAlignment="0" applyProtection="0">
      <alignment vertical="center"/>
    </xf>
    <xf numFmtId="0" fontId="27" fillId="24" borderId="2" applyNumberFormat="0" applyFont="0" applyBorder="0" applyAlignment="0" applyProtection="0">
      <alignment vertical="center"/>
    </xf>
    <xf numFmtId="0" fontId="34" fillId="45" borderId="36" applyNumberFormat="0" applyFont="0" applyFill="0" applyAlignment="0" applyProtection="0">
      <alignment vertical="center"/>
    </xf>
    <xf numFmtId="176" fontId="35" fillId="0" borderId="0" applyFont="0" applyFill="0" applyBorder="0" applyAlignment="0" applyProtection="0">
      <alignment vertical="center"/>
    </xf>
    <xf numFmtId="176" fontId="28" fillId="0" borderId="0" applyFont="0" applyFill="0" applyBorder="0" applyAlignment="0" applyProtection="0">
      <alignment vertical="center"/>
    </xf>
    <xf numFmtId="176" fontId="28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/>
    <xf numFmtId="0" fontId="27" fillId="0" borderId="37" applyNumberFormat="0" applyFont="0" applyFill="0" applyAlignment="0" applyProtection="0">
      <alignment vertical="center"/>
    </xf>
    <xf numFmtId="0" fontId="27" fillId="0" borderId="0" applyNumberFormat="0" applyFont="0" applyFill="0" applyAlignment="0" applyProtection="0">
      <alignment vertical="center"/>
    </xf>
    <xf numFmtId="0" fontId="27" fillId="34" borderId="2" applyNumberFormat="0" applyFont="0" applyBorder="0" applyAlignment="0" applyProtection="0">
      <alignment vertical="center"/>
    </xf>
    <xf numFmtId="0" fontId="27" fillId="34" borderId="2" applyNumberFormat="0" applyFont="0" applyBorder="0" applyAlignment="0" applyProtection="0">
      <alignment vertical="center"/>
    </xf>
    <xf numFmtId="181" fontId="27" fillId="0" borderId="2" applyFont="0" applyFill="0" applyBorder="0" applyAlignment="0" applyProtection="0">
      <alignment vertical="center"/>
    </xf>
    <xf numFmtId="0" fontId="9" fillId="0" borderId="0">
      <alignment vertical="center"/>
    </xf>
    <xf numFmtId="0" fontId="27" fillId="0" borderId="0">
      <alignment vertical="center"/>
    </xf>
    <xf numFmtId="0" fontId="27" fillId="0" borderId="0"/>
    <xf numFmtId="182" fontId="27" fillId="0" borderId="0">
      <alignment vertical="center"/>
    </xf>
    <xf numFmtId="0" fontId="28" fillId="0" borderId="0">
      <alignment vertical="center"/>
    </xf>
    <xf numFmtId="0" fontId="35" fillId="0" borderId="0"/>
    <xf numFmtId="0" fontId="9" fillId="0" borderId="0">
      <alignment vertical="center"/>
    </xf>
    <xf numFmtId="176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9" fontId="9" fillId="0" borderId="0" applyFont="0" applyFill="0" applyBorder="0" applyAlignment="0" applyProtection="0">
      <alignment vertical="center"/>
    </xf>
    <xf numFmtId="176" fontId="9" fillId="0" borderId="0" applyFont="0" applyFill="0" applyBorder="0" applyAlignment="0" applyProtection="0">
      <alignment vertical="center"/>
    </xf>
    <xf numFmtId="0" fontId="28" fillId="0" borderId="0">
      <alignment vertical="center"/>
    </xf>
    <xf numFmtId="176" fontId="28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76" fontId="9" fillId="0" borderId="0" applyFont="0" applyFill="0" applyBorder="0" applyAlignment="0" applyProtection="0">
      <alignment vertical="center"/>
    </xf>
    <xf numFmtId="183" fontId="1" fillId="0" borderId="0"/>
    <xf numFmtId="176" fontId="9" fillId="0" borderId="0" applyFont="0" applyFill="0" applyBorder="0" applyAlignment="0" applyProtection="0">
      <alignment vertical="center"/>
    </xf>
    <xf numFmtId="176" fontId="36" fillId="0" borderId="0" applyFont="0" applyFill="0" applyBorder="0" applyAlignment="0" applyProtection="0">
      <alignment vertical="center"/>
    </xf>
    <xf numFmtId="176" fontId="31" fillId="0" borderId="0" applyFont="0" applyFill="0" applyBorder="0" applyAlignment="0" applyProtection="0">
      <alignment vertical="center"/>
    </xf>
    <xf numFmtId="176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26" fillId="0" borderId="0">
      <alignment vertical="center"/>
    </xf>
    <xf numFmtId="0" fontId="9" fillId="0" borderId="0">
      <alignment vertical="center"/>
    </xf>
    <xf numFmtId="176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76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76" fontId="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/>
    <xf numFmtId="0" fontId="1" fillId="28" borderId="32" applyNumberFormat="0" applyFont="0" applyAlignment="0" applyProtection="0"/>
    <xf numFmtId="0" fontId="37" fillId="29" borderId="0" applyNumberFormat="0" applyBorder="0" applyAlignment="0" applyProtection="0">
      <alignment vertical="center"/>
    </xf>
    <xf numFmtId="0" fontId="38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9" fillId="2" borderId="0" applyNumberFormat="0" applyBorder="0" applyAlignment="0" applyProtection="0"/>
  </cellStyleXfs>
  <cellXfs count="536">
    <xf numFmtId="0" fontId="0" fillId="0" borderId="0" xfId="0"/>
    <xf numFmtId="0" fontId="0" fillId="0" borderId="0" xfId="0" applyAlignment="1">
      <alignment horizontal="center" vertical="center"/>
    </xf>
    <xf numFmtId="1" fontId="2" fillId="3" borderId="2" xfId="2" applyNumberFormat="1" applyFont="1" applyFill="1" applyBorder="1" applyAlignment="1">
      <alignment horizontal="right" vertical="center"/>
    </xf>
    <xf numFmtId="44" fontId="2" fillId="3" borderId="2" xfId="2" applyFont="1" applyFill="1" applyBorder="1" applyAlignment="1">
      <alignment horizontal="right" vertical="center"/>
    </xf>
    <xf numFmtId="9" fontId="2" fillId="3" borderId="2" xfId="3" applyFont="1" applyFill="1" applyBorder="1" applyAlignment="1">
      <alignment horizontal="right" vertical="center"/>
    </xf>
    <xf numFmtId="0" fontId="3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14" fontId="3" fillId="4" borderId="3" xfId="0" applyNumberFormat="1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164" fontId="3" fillId="4" borderId="3" xfId="2" applyNumberFormat="1" applyFont="1" applyFill="1" applyBorder="1" applyAlignment="1">
      <alignment horizontal="center" vertical="center"/>
    </xf>
    <xf numFmtId="44" fontId="3" fillId="4" borderId="3" xfId="2" applyFont="1" applyFill="1" applyBorder="1" applyAlignment="1">
      <alignment horizontal="center" vertical="center"/>
    </xf>
    <xf numFmtId="9" fontId="3" fillId="4" borderId="3" xfId="3" applyFont="1" applyFill="1" applyBorder="1" applyAlignment="1">
      <alignment horizontal="center" vertical="center"/>
    </xf>
    <xf numFmtId="165" fontId="3" fillId="4" borderId="3" xfId="1" applyNumberFormat="1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5" fillId="6" borderId="5" xfId="4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14" fontId="6" fillId="6" borderId="5" xfId="0" applyNumberFormat="1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14" fontId="2" fillId="6" borderId="5" xfId="0" applyNumberFormat="1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3" fontId="2" fillId="6" borderId="5" xfId="1" applyNumberFormat="1" applyFont="1" applyFill="1" applyBorder="1" applyAlignment="1">
      <alignment horizontal="center" vertical="center"/>
    </xf>
    <xf numFmtId="164" fontId="2" fillId="6" borderId="5" xfId="2" applyNumberFormat="1" applyFont="1" applyFill="1" applyBorder="1" applyAlignment="1">
      <alignment horizontal="center" vertical="center"/>
    </xf>
    <xf numFmtId="44" fontId="2" fillId="0" borderId="5" xfId="2" applyFont="1" applyBorder="1" applyAlignment="1">
      <alignment horizontal="center" vertical="center"/>
    </xf>
    <xf numFmtId="166" fontId="2" fillId="6" borderId="5" xfId="3" applyNumberFormat="1" applyFont="1" applyFill="1" applyBorder="1" applyAlignment="1">
      <alignment horizontal="center" vertical="center"/>
    </xf>
    <xf numFmtId="44" fontId="2" fillId="6" borderId="5" xfId="2" applyFont="1" applyFill="1" applyBorder="1" applyAlignment="1">
      <alignment horizontal="center" vertical="center"/>
    </xf>
    <xf numFmtId="44" fontId="5" fillId="8" borderId="5" xfId="0" applyNumberFormat="1" applyFont="1" applyFill="1" applyBorder="1" applyAlignment="1">
      <alignment horizontal="center" vertical="center"/>
    </xf>
    <xf numFmtId="49" fontId="2" fillId="6" borderId="5" xfId="0" applyNumberFormat="1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5" fillId="6" borderId="2" xfId="4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14" fontId="6" fillId="6" borderId="2" xfId="0" applyNumberFormat="1" applyFont="1" applyFill="1" applyBorder="1" applyAlignment="1">
      <alignment horizontal="center" vertical="center"/>
    </xf>
    <xf numFmtId="14" fontId="2" fillId="6" borderId="2" xfId="0" applyNumberFormat="1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3" fontId="2" fillId="6" borderId="2" xfId="1" applyNumberFormat="1" applyFont="1" applyFill="1" applyBorder="1" applyAlignment="1">
      <alignment horizontal="center" vertical="center"/>
    </xf>
    <xf numFmtId="164" fontId="2" fillId="6" borderId="2" xfId="2" applyNumberFormat="1" applyFont="1" applyFill="1" applyBorder="1" applyAlignment="1">
      <alignment horizontal="center" vertical="center"/>
    </xf>
    <xf numFmtId="44" fontId="2" fillId="0" borderId="2" xfId="2" applyFont="1" applyBorder="1" applyAlignment="1">
      <alignment horizontal="center" vertical="center"/>
    </xf>
    <xf numFmtId="9" fontId="2" fillId="6" borderId="2" xfId="3" applyFont="1" applyFill="1" applyBorder="1" applyAlignment="1">
      <alignment horizontal="center" vertical="center"/>
    </xf>
    <xf numFmtId="44" fontId="2" fillId="6" borderId="2" xfId="2" applyFont="1" applyFill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 vertical="center"/>
    </xf>
    <xf numFmtId="49" fontId="2" fillId="6" borderId="2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5" fillId="6" borderId="3" xfId="4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14" fontId="6" fillId="6" borderId="3" xfId="0" applyNumberFormat="1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14" fontId="2" fillId="6" borderId="3" xfId="0" applyNumberFormat="1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3" fontId="2" fillId="6" borderId="3" xfId="1" applyNumberFormat="1" applyFont="1" applyFill="1" applyBorder="1" applyAlignment="1">
      <alignment horizontal="center" vertical="center"/>
    </xf>
    <xf numFmtId="164" fontId="2" fillId="6" borderId="3" xfId="2" applyNumberFormat="1" applyFont="1" applyFill="1" applyBorder="1" applyAlignment="1">
      <alignment horizontal="center" vertical="center"/>
    </xf>
    <xf numFmtId="44" fontId="2" fillId="0" borderId="3" xfId="2" applyFont="1" applyBorder="1" applyAlignment="1">
      <alignment horizontal="center" vertical="center"/>
    </xf>
    <xf numFmtId="9" fontId="2" fillId="6" borderId="3" xfId="3" applyFont="1" applyFill="1" applyBorder="1" applyAlignment="1">
      <alignment horizontal="center" vertical="center"/>
    </xf>
    <xf numFmtId="44" fontId="2" fillId="6" borderId="3" xfId="2" applyFont="1" applyFill="1" applyBorder="1" applyAlignment="1">
      <alignment horizontal="center" vertical="center"/>
    </xf>
    <xf numFmtId="44" fontId="5" fillId="8" borderId="3" xfId="0" applyNumberFormat="1" applyFont="1" applyFill="1" applyBorder="1" applyAlignment="1">
      <alignment horizontal="center" vertical="center"/>
    </xf>
    <xf numFmtId="49" fontId="2" fillId="6" borderId="3" xfId="0" applyNumberFormat="1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167" fontId="2" fillId="6" borderId="5" xfId="3" applyNumberFormat="1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5" fillId="6" borderId="10" xfId="4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14" fontId="2" fillId="6" borderId="10" xfId="0" applyNumberFormat="1" applyFont="1" applyFill="1" applyBorder="1" applyAlignment="1">
      <alignment horizontal="center" vertical="center"/>
    </xf>
    <xf numFmtId="3" fontId="2" fillId="6" borderId="10" xfId="1" applyNumberFormat="1" applyFont="1" applyFill="1" applyBorder="1" applyAlignment="1">
      <alignment horizontal="center" vertical="center"/>
    </xf>
    <xf numFmtId="164" fontId="2" fillId="6" borderId="10" xfId="2" applyNumberFormat="1" applyFont="1" applyFill="1" applyBorder="1" applyAlignment="1">
      <alignment horizontal="center" vertical="center"/>
    </xf>
    <xf numFmtId="44" fontId="2" fillId="0" borderId="10" xfId="2" applyFont="1" applyBorder="1" applyAlignment="1">
      <alignment horizontal="center" vertical="center"/>
    </xf>
    <xf numFmtId="9" fontId="2" fillId="6" borderId="10" xfId="3" applyFont="1" applyFill="1" applyBorder="1" applyAlignment="1">
      <alignment horizontal="center" vertical="center"/>
    </xf>
    <xf numFmtId="44" fontId="2" fillId="6" borderId="10" xfId="2" applyFont="1" applyFill="1" applyBorder="1" applyAlignment="1">
      <alignment horizontal="center" vertical="center"/>
    </xf>
    <xf numFmtId="44" fontId="5" fillId="8" borderId="10" xfId="0" applyNumberFormat="1" applyFont="1" applyFill="1" applyBorder="1" applyAlignment="1">
      <alignment horizontal="center" vertical="center"/>
    </xf>
    <xf numFmtId="49" fontId="2" fillId="6" borderId="10" xfId="0" applyNumberFormat="1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/>
    </xf>
    <xf numFmtId="9" fontId="2" fillId="6" borderId="5" xfId="3" applyFont="1" applyFill="1" applyBorder="1" applyAlignment="1">
      <alignment horizontal="center" vertical="center"/>
    </xf>
    <xf numFmtId="14" fontId="6" fillId="6" borderId="10" xfId="0" applyNumberFormat="1" applyFont="1" applyFill="1" applyBorder="1" applyAlignment="1">
      <alignment horizontal="center" vertical="center"/>
    </xf>
    <xf numFmtId="0" fontId="2" fillId="9" borderId="5" xfId="0" applyFont="1" applyFill="1" applyBorder="1" applyAlignment="1">
      <alignment horizontal="center" vertical="center"/>
    </xf>
    <xf numFmtId="168" fontId="2" fillId="6" borderId="5" xfId="2" applyNumberFormat="1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68" fontId="2" fillId="6" borderId="2" xfId="2" applyNumberFormat="1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166" fontId="2" fillId="6" borderId="2" xfId="3" applyNumberFormat="1" applyFont="1" applyFill="1" applyBorder="1" applyAlignment="1">
      <alignment horizontal="center" vertical="center"/>
    </xf>
    <xf numFmtId="0" fontId="2" fillId="12" borderId="10" xfId="0" applyFont="1" applyFill="1" applyBorder="1" applyAlignment="1">
      <alignment horizontal="center" vertical="center"/>
    </xf>
    <xf numFmtId="166" fontId="2" fillId="6" borderId="10" xfId="3" applyNumberFormat="1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5" fillId="6" borderId="16" xfId="4" applyFont="1" applyFill="1" applyBorder="1" applyAlignment="1">
      <alignment horizontal="center" vertical="center"/>
    </xf>
    <xf numFmtId="0" fontId="2" fillId="6" borderId="16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14" fontId="6" fillId="6" borderId="16" xfId="0" applyNumberFormat="1" applyFont="1" applyFill="1" applyBorder="1" applyAlignment="1">
      <alignment horizontal="center" vertical="center"/>
    </xf>
    <xf numFmtId="14" fontId="2" fillId="6" borderId="16" xfId="0" applyNumberFormat="1" applyFont="1" applyFill="1" applyBorder="1" applyAlignment="1">
      <alignment horizontal="center" vertical="center"/>
    </xf>
    <xf numFmtId="3" fontId="2" fillId="6" borderId="16" xfId="1" applyNumberFormat="1" applyFont="1" applyFill="1" applyBorder="1" applyAlignment="1">
      <alignment horizontal="center" vertical="center"/>
    </xf>
    <xf numFmtId="164" fontId="2" fillId="6" borderId="16" xfId="2" applyNumberFormat="1" applyFont="1" applyFill="1" applyBorder="1" applyAlignment="1">
      <alignment horizontal="center" vertical="center"/>
    </xf>
    <xf numFmtId="44" fontId="2" fillId="0" borderId="16" xfId="2" applyFont="1" applyBorder="1" applyAlignment="1">
      <alignment horizontal="center" vertical="center"/>
    </xf>
    <xf numFmtId="9" fontId="2" fillId="6" borderId="16" xfId="3" applyFont="1" applyFill="1" applyBorder="1" applyAlignment="1">
      <alignment horizontal="center" vertical="center"/>
    </xf>
    <xf numFmtId="44" fontId="2" fillId="6" borderId="16" xfId="2" applyFont="1" applyFill="1" applyBorder="1" applyAlignment="1">
      <alignment horizontal="center" vertical="center"/>
    </xf>
    <xf numFmtId="44" fontId="5" fillId="8" borderId="16" xfId="0" applyNumberFormat="1" applyFont="1" applyFill="1" applyBorder="1" applyAlignment="1">
      <alignment horizontal="center" vertical="center"/>
    </xf>
    <xf numFmtId="49" fontId="2" fillId="6" borderId="16" xfId="0" applyNumberFormat="1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10" fontId="2" fillId="6" borderId="2" xfId="3" applyNumberFormat="1" applyFont="1" applyFill="1" applyBorder="1" applyAlignment="1">
      <alignment horizontal="center" vertical="center"/>
    </xf>
    <xf numFmtId="0" fontId="2" fillId="6" borderId="18" xfId="0" applyFont="1" applyFill="1" applyBorder="1" applyAlignment="1">
      <alignment horizontal="center" vertical="center"/>
    </xf>
    <xf numFmtId="0" fontId="2" fillId="6" borderId="19" xfId="0" applyFont="1" applyFill="1" applyBorder="1" applyAlignment="1">
      <alignment horizontal="center" vertical="center"/>
    </xf>
    <xf numFmtId="44" fontId="2" fillId="0" borderId="5" xfId="2" applyFont="1" applyFill="1" applyBorder="1" applyAlignment="1">
      <alignment horizontal="center" vertical="center"/>
    </xf>
    <xf numFmtId="10" fontId="2" fillId="6" borderId="5" xfId="3" applyNumberFormat="1" applyFont="1" applyFill="1" applyBorder="1" applyAlignment="1">
      <alignment horizontal="center" vertical="center"/>
    </xf>
    <xf numFmtId="44" fontId="2" fillId="0" borderId="2" xfId="2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44" fontId="2" fillId="0" borderId="10" xfId="2" applyFont="1" applyFill="1" applyBorder="1" applyAlignment="1">
      <alignment horizontal="center" vertical="center"/>
    </xf>
    <xf numFmtId="10" fontId="2" fillId="6" borderId="10" xfId="3" applyNumberFormat="1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5" fillId="6" borderId="22" xfId="4" applyFont="1" applyFill="1" applyBorder="1" applyAlignment="1">
      <alignment horizontal="center" vertical="center"/>
    </xf>
    <xf numFmtId="0" fontId="2" fillId="6" borderId="22" xfId="0" applyFont="1" applyFill="1" applyBorder="1" applyAlignment="1">
      <alignment horizontal="center" vertical="center"/>
    </xf>
    <xf numFmtId="0" fontId="5" fillId="6" borderId="22" xfId="0" applyFont="1" applyFill="1" applyBorder="1" applyAlignment="1">
      <alignment horizontal="center" vertical="center"/>
    </xf>
    <xf numFmtId="14" fontId="6" fillId="6" borderId="4" xfId="0" applyNumberFormat="1" applyFont="1" applyFill="1" applyBorder="1" applyAlignment="1">
      <alignment horizontal="center" vertical="center"/>
    </xf>
    <xf numFmtId="14" fontId="2" fillId="6" borderId="22" xfId="0" applyNumberFormat="1" applyFont="1" applyFill="1" applyBorder="1" applyAlignment="1">
      <alignment horizontal="center" vertical="center"/>
    </xf>
    <xf numFmtId="0" fontId="2" fillId="6" borderId="23" xfId="0" applyFont="1" applyFill="1" applyBorder="1" applyAlignment="1">
      <alignment horizontal="center" vertical="center"/>
    </xf>
    <xf numFmtId="3" fontId="2" fillId="6" borderId="22" xfId="1" applyNumberFormat="1" applyFont="1" applyFill="1" applyBorder="1" applyAlignment="1">
      <alignment horizontal="center" vertical="center"/>
    </xf>
    <xf numFmtId="164" fontId="2" fillId="6" borderId="22" xfId="2" applyNumberFormat="1" applyFont="1" applyFill="1" applyBorder="1" applyAlignment="1">
      <alignment horizontal="center" vertical="center"/>
    </xf>
    <xf numFmtId="44" fontId="2" fillId="0" borderId="22" xfId="2" applyFont="1" applyFill="1" applyBorder="1" applyAlignment="1">
      <alignment horizontal="center" vertical="center"/>
    </xf>
    <xf numFmtId="10" fontId="2" fillId="6" borderId="22" xfId="3" applyNumberFormat="1" applyFont="1" applyFill="1" applyBorder="1" applyAlignment="1">
      <alignment horizontal="center" vertical="center"/>
    </xf>
    <xf numFmtId="44" fontId="5" fillId="8" borderId="22" xfId="0" applyNumberFormat="1" applyFont="1" applyFill="1" applyBorder="1" applyAlignment="1">
      <alignment horizontal="center" vertical="center"/>
    </xf>
    <xf numFmtId="49" fontId="2" fillId="6" borderId="22" xfId="0" applyNumberFormat="1" applyFont="1" applyFill="1" applyBorder="1" applyAlignment="1">
      <alignment horizontal="center" vertical="center"/>
    </xf>
    <xf numFmtId="0" fontId="2" fillId="6" borderId="24" xfId="0" applyFont="1" applyFill="1" applyBorder="1" applyAlignment="1">
      <alignment horizontal="center" vertical="center"/>
    </xf>
    <xf numFmtId="14" fontId="6" fillId="6" borderId="13" xfId="0" applyNumberFormat="1" applyFont="1" applyFill="1" applyBorder="1" applyAlignment="1">
      <alignment horizontal="center" vertical="center"/>
    </xf>
    <xf numFmtId="0" fontId="2" fillId="6" borderId="25" xfId="0" applyFont="1" applyFill="1" applyBorder="1" applyAlignment="1">
      <alignment horizontal="center" vertical="center"/>
    </xf>
    <xf numFmtId="44" fontId="2" fillId="0" borderId="3" xfId="2" applyFont="1" applyFill="1" applyBorder="1" applyAlignment="1">
      <alignment horizontal="center" vertical="center"/>
    </xf>
    <xf numFmtId="10" fontId="2" fillId="6" borderId="3" xfId="3" applyNumberFormat="1" applyFont="1" applyFill="1" applyBorder="1" applyAlignment="1">
      <alignment horizontal="center" vertical="center"/>
    </xf>
    <xf numFmtId="164" fontId="2" fillId="6" borderId="6" xfId="2" applyNumberFormat="1" applyFont="1" applyFill="1" applyBorder="1" applyAlignment="1">
      <alignment horizontal="center" vertical="center"/>
    </xf>
    <xf numFmtId="44" fontId="5" fillId="8" borderId="18" xfId="0" applyNumberFormat="1" applyFont="1" applyFill="1" applyBorder="1" applyAlignment="1">
      <alignment horizontal="center" vertical="center"/>
    </xf>
    <xf numFmtId="164" fontId="2" fillId="6" borderId="14" xfId="2" applyNumberFormat="1" applyFont="1" applyFill="1" applyBorder="1" applyAlignment="1">
      <alignment horizontal="center" vertical="center"/>
    </xf>
    <xf numFmtId="44" fontId="5" fillId="8" borderId="20" xfId="0" applyNumberFormat="1" applyFont="1" applyFill="1" applyBorder="1" applyAlignment="1">
      <alignment horizontal="center" vertical="center"/>
    </xf>
    <xf numFmtId="14" fontId="6" fillId="6" borderId="22" xfId="0" applyNumberFormat="1" applyFont="1" applyFill="1" applyBorder="1" applyAlignment="1">
      <alignment horizontal="center" vertical="center"/>
    </xf>
    <xf numFmtId="0" fontId="2" fillId="6" borderId="26" xfId="0" applyFont="1" applyFill="1" applyBorder="1" applyAlignment="1">
      <alignment horizontal="center" vertical="center"/>
    </xf>
    <xf numFmtId="0" fontId="2" fillId="13" borderId="22" xfId="0" applyFont="1" applyFill="1" applyBorder="1" applyAlignment="1">
      <alignment horizontal="center" vertical="center"/>
    </xf>
    <xf numFmtId="0" fontId="2" fillId="13" borderId="3" xfId="0" applyFont="1" applyFill="1" applyBorder="1" applyAlignment="1">
      <alignment horizontal="center" vertical="center"/>
    </xf>
    <xf numFmtId="164" fontId="2" fillId="9" borderId="22" xfId="2" applyNumberFormat="1" applyFont="1" applyFill="1" applyBorder="1" applyAlignment="1">
      <alignment horizontal="center" vertical="center"/>
    </xf>
    <xf numFmtId="0" fontId="2" fillId="13" borderId="2" xfId="0" applyFont="1" applyFill="1" applyBorder="1" applyAlignment="1">
      <alignment horizontal="center" vertical="center"/>
    </xf>
    <xf numFmtId="0" fontId="2" fillId="11" borderId="22" xfId="0" applyFont="1" applyFill="1" applyBorder="1" applyAlignment="1">
      <alignment horizontal="center" vertical="center"/>
    </xf>
    <xf numFmtId="164" fontId="2" fillId="11" borderId="5" xfId="2" applyNumberFormat="1" applyFont="1" applyFill="1" applyBorder="1" applyAlignment="1">
      <alignment horizontal="center" vertical="center"/>
    </xf>
    <xf numFmtId="0" fontId="2" fillId="14" borderId="2" xfId="0" applyFont="1" applyFill="1" applyBorder="1" applyAlignment="1">
      <alignment horizontal="center" vertical="center"/>
    </xf>
    <xf numFmtId="0" fontId="2" fillId="14" borderId="18" xfId="0" applyFont="1" applyFill="1" applyBorder="1" applyAlignment="1">
      <alignment horizontal="center" vertical="center"/>
    </xf>
    <xf numFmtId="10" fontId="2" fillId="6" borderId="18" xfId="3" applyNumberFormat="1" applyFont="1" applyFill="1" applyBorder="1" applyAlignment="1">
      <alignment horizontal="center" vertical="center"/>
    </xf>
    <xf numFmtId="0" fontId="2" fillId="15" borderId="2" xfId="0" applyFont="1" applyFill="1" applyBorder="1" applyAlignment="1">
      <alignment horizontal="center" vertical="center"/>
    </xf>
    <xf numFmtId="0" fontId="2" fillId="15" borderId="25" xfId="0" applyFont="1" applyFill="1" applyBorder="1" applyAlignment="1">
      <alignment horizontal="center" vertical="center"/>
    </xf>
    <xf numFmtId="0" fontId="2" fillId="15" borderId="3" xfId="0" applyFont="1" applyFill="1" applyBorder="1" applyAlignment="1">
      <alignment horizontal="center" vertical="center"/>
    </xf>
    <xf numFmtId="0" fontId="2" fillId="10" borderId="19" xfId="0" applyFont="1" applyFill="1" applyBorder="1" applyAlignment="1">
      <alignment horizontal="center" vertical="center"/>
    </xf>
    <xf numFmtId="0" fontId="2" fillId="10" borderId="5" xfId="0" applyFont="1" applyFill="1" applyBorder="1" applyAlignment="1">
      <alignment horizontal="center" vertical="center"/>
    </xf>
    <xf numFmtId="0" fontId="2" fillId="10" borderId="18" xfId="0" applyFont="1" applyFill="1" applyBorder="1" applyAlignment="1">
      <alignment horizontal="center" vertical="center"/>
    </xf>
    <xf numFmtId="0" fontId="2" fillId="10" borderId="20" xfId="0" applyFont="1" applyFill="1" applyBorder="1" applyAlignment="1">
      <alignment horizontal="center" vertical="center"/>
    </xf>
    <xf numFmtId="0" fontId="2" fillId="10" borderId="10" xfId="0" applyFont="1" applyFill="1" applyBorder="1" applyAlignment="1">
      <alignment horizontal="center" vertical="center"/>
    </xf>
    <xf numFmtId="44" fontId="2" fillId="0" borderId="8" xfId="2" applyFont="1" applyBorder="1" applyAlignment="1">
      <alignment horizontal="center" vertical="center"/>
    </xf>
    <xf numFmtId="44" fontId="2" fillId="0" borderId="6" xfId="2" applyFont="1" applyBorder="1" applyAlignment="1">
      <alignment horizontal="center" vertical="center"/>
    </xf>
    <xf numFmtId="44" fontId="2" fillId="0" borderId="14" xfId="2" applyFont="1" applyBorder="1" applyAlignment="1">
      <alignment horizontal="center" vertical="center"/>
    </xf>
    <xf numFmtId="9" fontId="0" fillId="0" borderId="0" xfId="3" applyFont="1"/>
    <xf numFmtId="0" fontId="0" fillId="0" borderId="2" xfId="0" applyBorder="1"/>
    <xf numFmtId="0" fontId="3" fillId="4" borderId="3" xfId="5" applyFont="1" applyFill="1" applyBorder="1" applyAlignment="1">
      <alignment horizontal="center" vertical="center"/>
    </xf>
    <xf numFmtId="0" fontId="3" fillId="5" borderId="3" xfId="5" applyFont="1" applyFill="1" applyBorder="1" applyAlignment="1">
      <alignment horizontal="center" vertical="center"/>
    </xf>
    <xf numFmtId="14" fontId="3" fillId="4" borderId="3" xfId="5" applyNumberFormat="1" applyFont="1" applyFill="1" applyBorder="1" applyAlignment="1">
      <alignment horizontal="center" vertical="center"/>
    </xf>
    <xf numFmtId="0" fontId="9" fillId="0" borderId="0" xfId="5" applyAlignment="1"/>
    <xf numFmtId="0" fontId="1" fillId="0" borderId="2" xfId="6" applyBorder="1" applyAlignment="1">
      <alignment vertical="center"/>
    </xf>
    <xf numFmtId="169" fontId="1" fillId="0" borderId="2" xfId="6" applyNumberFormat="1" applyBorder="1" applyAlignment="1">
      <alignment vertical="center"/>
    </xf>
    <xf numFmtId="170" fontId="1" fillId="0" borderId="2" xfId="6" applyNumberFormat="1" applyBorder="1" applyAlignment="1">
      <alignment vertical="center"/>
    </xf>
    <xf numFmtId="0" fontId="1" fillId="0" borderId="0" xfId="6"/>
    <xf numFmtId="0" fontId="1" fillId="0" borderId="0" xfId="6" applyAlignment="1">
      <alignment horizontal="center" vertical="center"/>
    </xf>
    <xf numFmtId="9" fontId="1" fillId="0" borderId="0" xfId="6" applyNumberFormat="1"/>
    <xf numFmtId="0" fontId="1" fillId="0" borderId="0" xfId="6" applyAlignment="1">
      <alignment horizontal="center"/>
    </xf>
    <xf numFmtId="0" fontId="10" fillId="0" borderId="2" xfId="6" applyFont="1" applyBorder="1" applyAlignment="1">
      <alignment vertical="center"/>
    </xf>
    <xf numFmtId="0" fontId="10" fillId="0" borderId="10" xfId="6" applyFont="1" applyBorder="1" applyAlignment="1">
      <alignment vertical="center"/>
    </xf>
    <xf numFmtId="0" fontId="1" fillId="0" borderId="10" xfId="6" applyBorder="1" applyAlignment="1">
      <alignment vertical="center"/>
    </xf>
    <xf numFmtId="169" fontId="1" fillId="0" borderId="10" xfId="6" applyNumberFormat="1" applyBorder="1" applyAlignment="1">
      <alignment vertical="center"/>
    </xf>
    <xf numFmtId="170" fontId="1" fillId="0" borderId="10" xfId="6" applyNumberFormat="1" applyBorder="1" applyAlignment="1">
      <alignment vertical="center"/>
    </xf>
    <xf numFmtId="0" fontId="5" fillId="16" borderId="2" xfId="5" applyFont="1" applyFill="1" applyBorder="1" applyAlignment="1">
      <alignment horizontal="center" vertical="center"/>
    </xf>
    <xf numFmtId="0" fontId="5" fillId="0" borderId="2" xfId="5" applyFont="1" applyBorder="1" applyAlignment="1">
      <alignment horizontal="center" vertical="center"/>
    </xf>
    <xf numFmtId="0" fontId="1" fillId="0" borderId="0" xfId="6" applyAlignment="1">
      <alignment vertical="center"/>
    </xf>
    <xf numFmtId="14" fontId="3" fillId="4" borderId="25" xfId="5" applyNumberFormat="1" applyFont="1" applyFill="1" applyBorder="1" applyAlignment="1">
      <alignment horizontal="center" vertical="center" wrapText="1"/>
    </xf>
    <xf numFmtId="14" fontId="3" fillId="4" borderId="3" xfId="5" applyNumberFormat="1" applyFont="1" applyFill="1" applyBorder="1" applyAlignment="1">
      <alignment horizontal="center" vertical="center" wrapText="1"/>
    </xf>
    <xf numFmtId="0" fontId="8" fillId="17" borderId="2" xfId="6" applyFont="1" applyFill="1" applyBorder="1" applyAlignment="1">
      <alignment horizontal="center"/>
    </xf>
    <xf numFmtId="0" fontId="1" fillId="17" borderId="2" xfId="6" applyFill="1" applyBorder="1" applyAlignment="1">
      <alignment horizontal="center" vertical="center"/>
    </xf>
    <xf numFmtId="169" fontId="1" fillId="17" borderId="2" xfId="6" applyNumberFormat="1" applyFill="1" applyBorder="1" applyAlignment="1">
      <alignment horizontal="center" vertical="center"/>
    </xf>
    <xf numFmtId="170" fontId="1" fillId="17" borderId="2" xfId="6" applyNumberFormat="1" applyFill="1" applyBorder="1" applyAlignment="1">
      <alignment horizontal="center" vertical="center"/>
    </xf>
    <xf numFmtId="171" fontId="1" fillId="17" borderId="2" xfId="6" applyNumberFormat="1" applyFill="1" applyBorder="1" applyAlignment="1">
      <alignment horizontal="center" vertical="center"/>
    </xf>
    <xf numFmtId="0" fontId="10" fillId="17" borderId="2" xfId="6" applyFont="1" applyFill="1" applyBorder="1" applyAlignment="1">
      <alignment horizontal="center" vertical="center"/>
    </xf>
    <xf numFmtId="0" fontId="1" fillId="17" borderId="27" xfId="6" applyFill="1" applyBorder="1" applyAlignment="1">
      <alignment horizontal="center" vertical="center"/>
    </xf>
    <xf numFmtId="0" fontId="1" fillId="17" borderId="28" xfId="6" applyFill="1" applyBorder="1" applyAlignment="1">
      <alignment vertical="center"/>
    </xf>
    <xf numFmtId="0" fontId="10" fillId="17" borderId="28" xfId="6" applyFont="1" applyFill="1" applyBorder="1" applyAlignment="1">
      <alignment horizontal="center" vertical="center"/>
    </xf>
    <xf numFmtId="0" fontId="1" fillId="17" borderId="28" xfId="6" applyFill="1" applyBorder="1" applyAlignment="1">
      <alignment horizontal="center" vertical="center"/>
    </xf>
    <xf numFmtId="0" fontId="8" fillId="0" borderId="2" xfId="6" applyFont="1" applyBorder="1" applyAlignment="1">
      <alignment horizontal="center"/>
    </xf>
    <xf numFmtId="0" fontId="1" fillId="0" borderId="2" xfId="6" applyBorder="1" applyAlignment="1">
      <alignment horizontal="center" vertical="center"/>
    </xf>
    <xf numFmtId="169" fontId="1" fillId="0" borderId="2" xfId="6" applyNumberFormat="1" applyBorder="1" applyAlignment="1">
      <alignment horizontal="center" vertical="center"/>
    </xf>
    <xf numFmtId="170" fontId="1" fillId="0" borderId="2" xfId="6" applyNumberFormat="1" applyBorder="1" applyAlignment="1">
      <alignment horizontal="center" vertical="center"/>
    </xf>
    <xf numFmtId="171" fontId="1" fillId="0" borderId="2" xfId="6" applyNumberFormat="1" applyBorder="1" applyAlignment="1">
      <alignment horizontal="center" vertical="center"/>
    </xf>
    <xf numFmtId="0" fontId="10" fillId="0" borderId="2" xfId="6" applyFont="1" applyBorder="1" applyAlignment="1">
      <alignment horizontal="center" vertical="center"/>
    </xf>
    <xf numFmtId="0" fontId="1" fillId="0" borderId="27" xfId="6" applyBorder="1" applyAlignment="1">
      <alignment horizontal="center" vertical="center"/>
    </xf>
    <xf numFmtId="0" fontId="1" fillId="0" borderId="28" xfId="6" applyBorder="1" applyAlignment="1">
      <alignment vertical="center"/>
    </xf>
    <xf numFmtId="0" fontId="10" fillId="0" borderId="28" xfId="6" applyFont="1" applyBorder="1" applyAlignment="1">
      <alignment horizontal="center" vertical="center"/>
    </xf>
    <xf numFmtId="0" fontId="1" fillId="0" borderId="28" xfId="6" applyBorder="1" applyAlignment="1">
      <alignment horizontal="center" vertical="center"/>
    </xf>
    <xf numFmtId="0" fontId="8" fillId="18" borderId="2" xfId="6" applyFont="1" applyFill="1" applyBorder="1" applyAlignment="1">
      <alignment horizontal="center"/>
    </xf>
    <xf numFmtId="0" fontId="10" fillId="19" borderId="28" xfId="6" applyFont="1" applyFill="1" applyBorder="1" applyAlignment="1">
      <alignment horizontal="center" vertical="center"/>
    </xf>
    <xf numFmtId="0" fontId="1" fillId="19" borderId="28" xfId="6" applyFill="1" applyBorder="1" applyAlignment="1">
      <alignment horizontal="center" vertical="center"/>
    </xf>
    <xf numFmtId="0" fontId="1" fillId="19" borderId="28" xfId="6" applyFill="1" applyBorder="1" applyAlignment="1">
      <alignment vertical="center"/>
    </xf>
    <xf numFmtId="0" fontId="8" fillId="17" borderId="2" xfId="6" applyFont="1" applyFill="1" applyBorder="1" applyAlignment="1">
      <alignment horizontal="center" vertical="center"/>
    </xf>
    <xf numFmtId="0" fontId="8" fillId="16" borderId="2" xfId="6" applyFont="1" applyFill="1" applyBorder="1" applyAlignment="1">
      <alignment horizontal="center" vertical="center"/>
    </xf>
    <xf numFmtId="0" fontId="1" fillId="16" borderId="2" xfId="6" applyFill="1" applyBorder="1" applyAlignment="1">
      <alignment horizontal="center" vertical="center"/>
    </xf>
    <xf numFmtId="169" fontId="1" fillId="16" borderId="2" xfId="6" applyNumberFormat="1" applyFill="1" applyBorder="1" applyAlignment="1">
      <alignment horizontal="center" vertical="center"/>
    </xf>
    <xf numFmtId="170" fontId="1" fillId="16" borderId="2" xfId="6" applyNumberFormat="1" applyFill="1" applyBorder="1" applyAlignment="1">
      <alignment horizontal="center" vertical="center"/>
    </xf>
    <xf numFmtId="171" fontId="1" fillId="16" borderId="2" xfId="6" applyNumberFormat="1" applyFill="1" applyBorder="1" applyAlignment="1">
      <alignment horizontal="center" vertical="center"/>
    </xf>
    <xf numFmtId="0" fontId="10" fillId="16" borderId="2" xfId="6" applyFont="1" applyFill="1" applyBorder="1" applyAlignment="1">
      <alignment horizontal="center" vertical="center"/>
    </xf>
    <xf numFmtId="0" fontId="1" fillId="16" borderId="27" xfId="6" applyFill="1" applyBorder="1" applyAlignment="1">
      <alignment horizontal="center" vertical="center"/>
    </xf>
    <xf numFmtId="0" fontId="1" fillId="16" borderId="28" xfId="6" applyFill="1" applyBorder="1" applyAlignment="1">
      <alignment vertical="center"/>
    </xf>
    <xf numFmtId="0" fontId="10" fillId="16" borderId="28" xfId="6" applyFont="1" applyFill="1" applyBorder="1" applyAlignment="1">
      <alignment horizontal="center" vertical="center"/>
    </xf>
    <xf numFmtId="0" fontId="1" fillId="16" borderId="28" xfId="6" applyFill="1" applyBorder="1" applyAlignment="1">
      <alignment horizontal="center" vertical="center"/>
    </xf>
    <xf numFmtId="0" fontId="8" fillId="0" borderId="2" xfId="6" applyFont="1" applyBorder="1" applyAlignment="1">
      <alignment horizontal="center" vertical="center"/>
    </xf>
    <xf numFmtId="0" fontId="1" fillId="0" borderId="0" xfId="6" applyAlignment="1">
      <alignment horizontal="left"/>
    </xf>
    <xf numFmtId="0" fontId="4" fillId="4" borderId="3" xfId="5" applyFont="1" applyFill="1" applyBorder="1" applyAlignment="1">
      <alignment horizontal="center" vertical="center"/>
    </xf>
    <xf numFmtId="0" fontId="4" fillId="5" borderId="3" xfId="5" applyFont="1" applyFill="1" applyBorder="1" applyAlignment="1">
      <alignment horizontal="center" vertical="center"/>
    </xf>
    <xf numFmtId="1" fontId="0" fillId="0" borderId="0" xfId="7" applyNumberFormat="1" applyFont="1" applyBorder="1" applyAlignment="1">
      <alignment horizontal="left"/>
    </xf>
    <xf numFmtId="0" fontId="0" fillId="0" borderId="2" xfId="0" applyBorder="1" applyAlignment="1">
      <alignment horizontal="left"/>
    </xf>
    <xf numFmtId="0" fontId="0" fillId="16" borderId="2" xfId="0" applyFill="1" applyBorder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9" fontId="0" fillId="0" borderId="0" xfId="0" applyNumberFormat="1" applyAlignment="1">
      <alignment wrapText="1"/>
    </xf>
    <xf numFmtId="0" fontId="0" fillId="0" borderId="18" xfId="0" applyBorder="1" applyAlignment="1">
      <alignment horizontal="center" vertical="center"/>
    </xf>
    <xf numFmtId="10" fontId="0" fillId="0" borderId="0" xfId="0" applyNumberFormat="1" applyAlignment="1">
      <alignment wrapText="1"/>
    </xf>
    <xf numFmtId="0" fontId="8" fillId="0" borderId="2" xfId="0" applyFont="1" applyBorder="1"/>
    <xf numFmtId="9" fontId="0" fillId="0" borderId="0" xfId="0" applyNumberFormat="1"/>
    <xf numFmtId="0" fontId="0" fillId="8" borderId="2" xfId="0" applyFill="1" applyBorder="1" applyAlignment="1">
      <alignment horizontal="left"/>
    </xf>
    <xf numFmtId="0" fontId="0" fillId="8" borderId="2" xfId="0" applyFill="1" applyBorder="1"/>
    <xf numFmtId="0" fontId="11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right" vertical="center"/>
    </xf>
    <xf numFmtId="0" fontId="0" fillId="0" borderId="22" xfId="0" applyBorder="1" applyAlignment="1">
      <alignment horizontal="left"/>
    </xf>
    <xf numFmtId="0" fontId="0" fillId="0" borderId="22" xfId="0" applyBorder="1"/>
    <xf numFmtId="1" fontId="0" fillId="0" borderId="2" xfId="1" applyNumberFormat="1" applyFont="1" applyBorder="1" applyAlignment="1">
      <alignment horizontal="left"/>
    </xf>
    <xf numFmtId="0" fontId="0" fillId="0" borderId="27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172" fontId="12" fillId="0" borderId="2" xfId="8" applyNumberFormat="1" applyFont="1" applyFill="1" applyBorder="1" applyAlignment="1">
      <alignment horizontal="left" vertical="center"/>
    </xf>
    <xf numFmtId="0" fontId="10" fillId="8" borderId="29" xfId="0" applyFont="1" applyFill="1" applyBorder="1" applyAlignment="1">
      <alignment horizontal="left" vertical="center"/>
    </xf>
    <xf numFmtId="172" fontId="12" fillId="0" borderId="2" xfId="8" applyNumberFormat="1" applyFont="1" applyBorder="1" applyAlignment="1">
      <alignment horizontal="left" vertical="center"/>
    </xf>
    <xf numFmtId="0" fontId="0" fillId="8" borderId="2" xfId="0" applyFill="1" applyBorder="1" applyAlignment="1">
      <alignment horizontal="left" vertical="center"/>
    </xf>
    <xf numFmtId="0" fontId="10" fillId="8" borderId="2" xfId="0" applyFont="1" applyFill="1" applyBorder="1" applyAlignment="1">
      <alignment horizontal="left" vertical="center"/>
    </xf>
    <xf numFmtId="0" fontId="0" fillId="8" borderId="2" xfId="0" applyFill="1" applyBorder="1" applyAlignment="1">
      <alignment horizontal="right" vertical="center"/>
    </xf>
    <xf numFmtId="0" fontId="12" fillId="0" borderId="2" xfId="8" applyNumberFormat="1" applyFont="1" applyBorder="1" applyAlignment="1">
      <alignment horizontal="left" vertical="center"/>
    </xf>
    <xf numFmtId="0" fontId="1" fillId="0" borderId="2" xfId="9" applyFont="1" applyBorder="1" applyAlignment="1">
      <alignment horizontal="left" vertical="center"/>
    </xf>
    <xf numFmtId="0" fontId="0" fillId="0" borderId="2" xfId="0" applyBorder="1" applyAlignment="1">
      <alignment horizontal="right"/>
    </xf>
    <xf numFmtId="0" fontId="0" fillId="8" borderId="0" xfId="0" applyFill="1"/>
    <xf numFmtId="0" fontId="10" fillId="0" borderId="2" xfId="0" applyFont="1" applyBorder="1" applyAlignment="1">
      <alignment horizontal="left"/>
    </xf>
    <xf numFmtId="0" fontId="10" fillId="0" borderId="22" xfId="0" applyFont="1" applyBorder="1" applyAlignment="1">
      <alignment horizontal="left"/>
    </xf>
    <xf numFmtId="0" fontId="13" fillId="0" borderId="2" xfId="0" applyFont="1" applyBorder="1" applyAlignment="1">
      <alignment horizontal="left" vertical="center"/>
    </xf>
    <xf numFmtId="0" fontId="14" fillId="0" borderId="2" xfId="0" applyFont="1" applyBorder="1" applyAlignment="1">
      <alignment horizontal="left" vertical="center"/>
    </xf>
    <xf numFmtId="0" fontId="14" fillId="8" borderId="2" xfId="0" applyFont="1" applyFill="1" applyBorder="1" applyAlignment="1">
      <alignment horizontal="left" vertical="center"/>
    </xf>
    <xf numFmtId="0" fontId="0" fillId="20" borderId="2" xfId="0" applyFill="1" applyBorder="1"/>
    <xf numFmtId="0" fontId="0" fillId="8" borderId="22" xfId="0" applyFill="1" applyBorder="1"/>
    <xf numFmtId="0" fontId="0" fillId="8" borderId="30" xfId="0" applyFill="1" applyBorder="1" applyAlignment="1">
      <alignment horizontal="left" vertical="center"/>
    </xf>
    <xf numFmtId="0" fontId="12" fillId="8" borderId="22" xfId="8" applyNumberFormat="1" applyFont="1" applyFill="1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8" borderId="22" xfId="0" applyFill="1" applyBorder="1" applyAlignment="1">
      <alignment horizontal="left"/>
    </xf>
    <xf numFmtId="0" fontId="10" fillId="0" borderId="2" xfId="0" applyFont="1" applyBorder="1" applyAlignment="1">
      <alignment horizontal="left" vertical="center"/>
    </xf>
    <xf numFmtId="0" fontId="10" fillId="8" borderId="30" xfId="0" applyFont="1" applyFill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27" xfId="0" applyBorder="1" applyAlignment="1">
      <alignment horizontal="left"/>
    </xf>
    <xf numFmtId="0" fontId="21" fillId="0" borderId="31" xfId="0" applyFont="1" applyBorder="1" applyAlignment="1">
      <alignment horizontal="center" vertical="center"/>
    </xf>
    <xf numFmtId="3" fontId="0" fillId="0" borderId="0" xfId="0" applyNumberFormat="1"/>
    <xf numFmtId="14" fontId="0" fillId="0" borderId="0" xfId="0" applyNumberFormat="1" applyAlignment="1">
      <alignment horizontal="center" vertical="center"/>
    </xf>
    <xf numFmtId="0" fontId="23" fillId="0" borderId="0" xfId="0" applyFont="1"/>
    <xf numFmtId="44" fontId="0" fillId="0" borderId="0" xfId="0" applyNumberFormat="1"/>
    <xf numFmtId="0" fontId="21" fillId="0" borderId="0" xfId="0" applyFont="1" applyAlignment="1">
      <alignment horizontal="center" vertical="center"/>
    </xf>
    <xf numFmtId="0" fontId="0" fillId="0" borderId="0" xfId="0"/>
    <xf numFmtId="0" fontId="4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14" fontId="4" fillId="4" borderId="3" xfId="0" applyNumberFormat="1" applyFont="1" applyFill="1" applyBorder="1" applyAlignment="1">
      <alignment horizontal="center" vertical="center"/>
    </xf>
    <xf numFmtId="3" fontId="4" fillId="4" borderId="3" xfId="0" applyNumberFormat="1" applyFont="1" applyFill="1" applyBorder="1" applyAlignment="1">
      <alignment horizontal="center" vertical="center"/>
    </xf>
    <xf numFmtId="3" fontId="4" fillId="4" borderId="3" xfId="1" applyNumberFormat="1" applyFont="1" applyFill="1" applyBorder="1" applyAlignment="1">
      <alignment horizontal="center" vertical="center"/>
    </xf>
    <xf numFmtId="164" fontId="4" fillId="4" borderId="3" xfId="2" applyNumberFormat="1" applyFont="1" applyFill="1" applyBorder="1" applyAlignment="1">
      <alignment horizontal="center" vertical="center"/>
    </xf>
    <xf numFmtId="44" fontId="4" fillId="4" borderId="3" xfId="2" applyFont="1" applyFill="1" applyBorder="1" applyAlignment="1">
      <alignment horizontal="center" vertical="center"/>
    </xf>
    <xf numFmtId="165" fontId="4" fillId="4" borderId="3" xfId="1" applyNumberFormat="1" applyFont="1" applyFill="1" applyBorder="1" applyAlignment="1">
      <alignment horizontal="center" vertical="center"/>
    </xf>
    <xf numFmtId="0" fontId="4" fillId="4" borderId="3" xfId="1" applyNumberFormat="1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49" fontId="4" fillId="4" borderId="3" xfId="2" applyNumberFormat="1" applyFont="1" applyFill="1" applyBorder="1" applyAlignment="1">
      <alignment horizontal="center" vertical="center"/>
    </xf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3" fontId="2" fillId="16" borderId="2" xfId="1" applyNumberFormat="1" applyFont="1" applyFill="1" applyBorder="1" applyAlignment="1">
      <alignment horizontal="center" vertical="center"/>
    </xf>
    <xf numFmtId="0" fontId="23" fillId="0" borderId="2" xfId="0" applyFont="1" applyBorder="1"/>
    <xf numFmtId="14" fontId="23" fillId="0" borderId="2" xfId="0" applyNumberFormat="1" applyFont="1" applyBorder="1"/>
    <xf numFmtId="0" fontId="20" fillId="6" borderId="2" xfId="0" applyFont="1" applyFill="1" applyBorder="1" applyAlignment="1">
      <alignment vertical="center"/>
    </xf>
    <xf numFmtId="0" fontId="0" fillId="0" borderId="27" xfId="0" applyBorder="1" applyAlignment="1">
      <alignment horizontal="center"/>
    </xf>
    <xf numFmtId="0" fontId="23" fillId="0" borderId="18" xfId="0" applyFont="1" applyBorder="1"/>
    <xf numFmtId="0" fontId="2" fillId="6" borderId="2" xfId="0" applyFont="1" applyFill="1" applyBorder="1" applyAlignment="1">
      <alignment vertical="center"/>
    </xf>
    <xf numFmtId="14" fontId="23" fillId="8" borderId="2" xfId="0" applyNumberFormat="1" applyFont="1" applyFill="1" applyBorder="1"/>
    <xf numFmtId="0" fontId="23" fillId="8" borderId="2" xfId="0" applyFont="1" applyFill="1" applyBorder="1"/>
    <xf numFmtId="0" fontId="0" fillId="8" borderId="2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5" fillId="0" borderId="0" xfId="0" applyFont="1"/>
    <xf numFmtId="164" fontId="5" fillId="0" borderId="0" xfId="0" applyNumberFormat="1" applyFont="1"/>
    <xf numFmtId="1" fontId="0" fillId="0" borderId="0" xfId="3" applyNumberFormat="1" applyFont="1"/>
    <xf numFmtId="49" fontId="4" fillId="4" borderId="3" xfId="0" applyNumberFormat="1" applyFont="1" applyFill="1" applyBorder="1" applyAlignment="1">
      <alignment horizontal="center" vertical="center"/>
    </xf>
    <xf numFmtId="1" fontId="4" fillId="4" borderId="3" xfId="3" applyNumberFormat="1" applyFont="1" applyFill="1" applyBorder="1" applyAlignment="1">
      <alignment horizontal="center" vertical="center"/>
    </xf>
    <xf numFmtId="0" fontId="20" fillId="24" borderId="2" xfId="0" applyFont="1" applyFill="1" applyBorder="1" applyAlignment="1">
      <alignment vertical="center"/>
    </xf>
    <xf numFmtId="14" fontId="21" fillId="24" borderId="2" xfId="4" applyNumberFormat="1" applyFont="1" applyFill="1" applyBorder="1" applyAlignment="1">
      <alignment vertical="center"/>
    </xf>
    <xf numFmtId="0" fontId="20" fillId="26" borderId="2" xfId="0" applyFont="1" applyFill="1" applyBorder="1" applyAlignment="1">
      <alignment horizontal="center" vertical="center"/>
    </xf>
    <xf numFmtId="14" fontId="20" fillId="26" borderId="2" xfId="0" applyNumberFormat="1" applyFont="1" applyFill="1" applyBorder="1" applyAlignment="1">
      <alignment horizontal="center" vertical="center"/>
    </xf>
    <xf numFmtId="0" fontId="2" fillId="24" borderId="2" xfId="0" applyFont="1" applyFill="1" applyBorder="1" applyAlignment="1">
      <alignment vertical="center"/>
    </xf>
    <xf numFmtId="14" fontId="5" fillId="24" borderId="2" xfId="4" applyNumberFormat="1" applyFont="1" applyFill="1" applyBorder="1" applyAlignment="1">
      <alignment horizontal="left" vertical="center"/>
    </xf>
    <xf numFmtId="14" fontId="5" fillId="24" borderId="2" xfId="4" applyNumberFormat="1" applyFont="1" applyFill="1" applyBorder="1" applyAlignment="1">
      <alignment vertical="center"/>
    </xf>
    <xf numFmtId="14" fontId="5" fillId="25" borderId="2" xfId="4" applyNumberFormat="1" applyFont="1" applyFill="1" applyBorder="1" applyAlignment="1">
      <alignment horizontal="center" vertical="center"/>
    </xf>
    <xf numFmtId="14" fontId="5" fillId="25" borderId="2" xfId="4" applyNumberFormat="1" applyFont="1" applyFill="1" applyBorder="1" applyAlignment="1">
      <alignment vertical="center"/>
    </xf>
    <xf numFmtId="0" fontId="20" fillId="25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3" fillId="4" borderId="3" xfId="5" applyFont="1" applyFill="1" applyBorder="1" applyAlignment="1">
      <alignment horizontal="center" vertical="center"/>
    </xf>
    <xf numFmtId="0" fontId="3" fillId="5" borderId="3" xfId="5" applyFont="1" applyFill="1" applyBorder="1" applyAlignment="1">
      <alignment horizontal="center" vertical="center"/>
    </xf>
    <xf numFmtId="14" fontId="3" fillId="4" borderId="3" xfId="5" applyNumberFormat="1" applyFont="1" applyFill="1" applyBorder="1" applyAlignment="1">
      <alignment horizontal="center" vertical="center"/>
    </xf>
    <xf numFmtId="0" fontId="9" fillId="0" borderId="0" xfId="5" applyAlignment="1"/>
    <xf numFmtId="0" fontId="4" fillId="5" borderId="3" xfId="5" applyFont="1" applyFill="1" applyBorder="1" applyAlignment="1">
      <alignment horizontal="center" vertical="center"/>
    </xf>
    <xf numFmtId="14" fontId="4" fillId="4" borderId="3" xfId="5" applyNumberFormat="1" applyFont="1" applyFill="1" applyBorder="1" applyAlignment="1">
      <alignment horizontal="center" vertical="center"/>
    </xf>
    <xf numFmtId="0" fontId="4" fillId="4" borderId="3" xfId="5" applyFont="1" applyFill="1" applyBorder="1" applyAlignment="1">
      <alignment horizontal="center" vertical="center"/>
    </xf>
    <xf numFmtId="3" fontId="4" fillId="5" borderId="3" xfId="5" applyNumberFormat="1" applyFont="1" applyFill="1" applyBorder="1" applyAlignment="1">
      <alignment horizontal="center" vertical="center"/>
    </xf>
    <xf numFmtId="3" fontId="4" fillId="4" borderId="3" xfId="7" applyNumberFormat="1" applyFont="1" applyFill="1" applyBorder="1" applyAlignment="1">
      <alignment horizontal="center" vertical="center"/>
    </xf>
    <xf numFmtId="164" fontId="4" fillId="4" borderId="3" xfId="10" applyNumberFormat="1" applyFont="1" applyFill="1" applyBorder="1" applyAlignment="1">
      <alignment horizontal="center" vertical="center"/>
    </xf>
    <xf numFmtId="44" fontId="4" fillId="4" borderId="3" xfId="10" applyFont="1" applyFill="1" applyBorder="1" applyAlignment="1">
      <alignment horizontal="center" vertical="center"/>
    </xf>
    <xf numFmtId="165" fontId="4" fillId="4" borderId="3" xfId="7" applyNumberFormat="1" applyFont="1" applyFill="1" applyBorder="1" applyAlignment="1">
      <alignment horizontal="center" vertical="center"/>
    </xf>
    <xf numFmtId="9" fontId="4" fillId="4" borderId="3" xfId="11" applyFont="1" applyFill="1" applyBorder="1" applyAlignment="1">
      <alignment horizontal="center" vertical="center"/>
    </xf>
    <xf numFmtId="0" fontId="4" fillId="4" borderId="3" xfId="7" applyNumberFormat="1" applyFont="1" applyFill="1" applyBorder="1" applyAlignment="1">
      <alignment horizontal="center" vertical="center"/>
    </xf>
    <xf numFmtId="173" fontId="4" fillId="4" borderId="3" xfId="10" applyNumberFormat="1" applyFont="1" applyFill="1" applyBorder="1" applyAlignment="1">
      <alignment horizontal="center" vertical="center"/>
    </xf>
    <xf numFmtId="0" fontId="9" fillId="0" borderId="0" xfId="5">
      <alignment vertical="center"/>
    </xf>
    <xf numFmtId="44" fontId="0" fillId="0" borderId="0" xfId="10" applyFont="1">
      <alignment vertical="center"/>
    </xf>
    <xf numFmtId="169" fontId="9" fillId="0" borderId="0" xfId="5" applyNumberFormat="1">
      <alignment vertical="center"/>
    </xf>
    <xf numFmtId="169" fontId="5" fillId="0" borderId="2" xfId="5" applyNumberFormat="1" applyFont="1" applyBorder="1">
      <alignment vertical="center"/>
    </xf>
    <xf numFmtId="44" fontId="5" fillId="0" borderId="2" xfId="5" applyNumberFormat="1" applyFont="1" applyBorder="1">
      <alignment vertical="center"/>
    </xf>
    <xf numFmtId="0" fontId="5" fillId="0" borderId="0" xfId="5" applyFont="1">
      <alignment vertical="center"/>
    </xf>
    <xf numFmtId="44" fontId="5" fillId="0" borderId="2" xfId="10" applyFont="1" applyBorder="1" applyAlignment="1">
      <alignment vertical="center"/>
    </xf>
    <xf numFmtId="0" fontId="5" fillId="27" borderId="2" xfId="0" applyFont="1" applyFill="1" applyBorder="1" applyAlignment="1">
      <alignment horizontal="center" vertical="center"/>
    </xf>
    <xf numFmtId="3" fontId="2" fillId="27" borderId="2" xfId="0" applyNumberFormat="1" applyFont="1" applyFill="1" applyBorder="1" applyAlignment="1">
      <alignment horizontal="center" vertical="center"/>
    </xf>
    <xf numFmtId="0" fontId="2" fillId="27" borderId="22" xfId="0" applyFont="1" applyFill="1" applyBorder="1" applyAlignment="1">
      <alignment horizontal="center" vertical="center"/>
    </xf>
    <xf numFmtId="14" fontId="20" fillId="6" borderId="2" xfId="0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6" fillId="24" borderId="2" xfId="0" applyFont="1" applyFill="1" applyBorder="1" applyAlignment="1">
      <alignment horizontal="center" vertical="center"/>
    </xf>
    <xf numFmtId="14" fontId="20" fillId="24" borderId="2" xfId="0" applyNumberFormat="1" applyFont="1" applyFill="1" applyBorder="1" applyAlignment="1">
      <alignment horizontal="center" vertical="center"/>
    </xf>
    <xf numFmtId="3" fontId="2" fillId="24" borderId="2" xfId="0" applyNumberFormat="1" applyFont="1" applyFill="1" applyBorder="1" applyAlignment="1">
      <alignment horizontal="center" vertical="center"/>
    </xf>
    <xf numFmtId="1" fontId="2" fillId="27" borderId="2" xfId="0" applyNumberFormat="1" applyFont="1" applyFill="1" applyBorder="1" applyAlignment="1">
      <alignment horizontal="center" vertical="center"/>
    </xf>
    <xf numFmtId="0" fontId="5" fillId="0" borderId="27" xfId="0" applyFont="1" applyBorder="1" applyAlignment="1">
      <alignment horizontal="center"/>
    </xf>
    <xf numFmtId="0" fontId="2" fillId="6" borderId="3" xfId="0" applyFont="1" applyFill="1" applyBorder="1" applyAlignment="1">
      <alignment horizontal="center" vertical="center"/>
    </xf>
    <xf numFmtId="44" fontId="2" fillId="6" borderId="3" xfId="2" applyFont="1" applyFill="1" applyBorder="1" applyAlignment="1">
      <alignment horizontal="center" vertical="center"/>
    </xf>
    <xf numFmtId="49" fontId="2" fillId="6" borderId="3" xfId="0" applyNumberFormat="1" applyFont="1" applyFill="1" applyBorder="1" applyAlignment="1">
      <alignment horizontal="center" vertical="center"/>
    </xf>
    <xf numFmtId="164" fontId="2" fillId="6" borderId="3" xfId="2" applyNumberFormat="1" applyFont="1" applyFill="1" applyBorder="1" applyAlignment="1">
      <alignment horizontal="center" vertical="center"/>
    </xf>
    <xf numFmtId="174" fontId="2" fillId="6" borderId="3" xfId="0" applyNumberFormat="1" applyFont="1" applyFill="1" applyBorder="1" applyAlignment="1">
      <alignment horizontal="center" vertical="center"/>
    </xf>
    <xf numFmtId="173" fontId="2" fillId="6" borderId="3" xfId="0" applyNumberFormat="1" applyFont="1" applyFill="1" applyBorder="1" applyAlignment="1">
      <alignment horizontal="center" vertical="center"/>
    </xf>
    <xf numFmtId="0" fontId="5" fillId="0" borderId="3" xfId="0" applyFont="1" applyBorder="1"/>
    <xf numFmtId="0" fontId="0" fillId="0" borderId="3" xfId="0" applyBorder="1"/>
    <xf numFmtId="0" fontId="2" fillId="24" borderId="3" xfId="0" applyFont="1" applyFill="1" applyBorder="1" applyAlignment="1">
      <alignment horizontal="center" vertical="center"/>
    </xf>
    <xf numFmtId="1" fontId="2" fillId="24" borderId="3" xfId="0" applyNumberFormat="1" applyFont="1" applyFill="1" applyBorder="1" applyAlignment="1">
      <alignment horizontal="center" vertical="center"/>
    </xf>
    <xf numFmtId="44" fontId="2" fillId="8" borderId="3" xfId="2" applyFont="1" applyFill="1" applyBorder="1" applyAlignment="1">
      <alignment horizontal="center" vertical="center"/>
    </xf>
    <xf numFmtId="44" fontId="2" fillId="8" borderId="3" xfId="0" applyNumberFormat="1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14" fontId="2" fillId="24" borderId="22" xfId="0" applyNumberFormat="1" applyFont="1" applyFill="1" applyBorder="1" applyAlignment="1">
      <alignment horizontal="center" vertical="center"/>
    </xf>
    <xf numFmtId="0" fontId="2" fillId="24" borderId="22" xfId="0" applyFont="1" applyFill="1" applyBorder="1" applyAlignment="1">
      <alignment horizontal="center" vertical="center"/>
    </xf>
    <xf numFmtId="0" fontId="5" fillId="24" borderId="2" xfId="0" applyFont="1" applyFill="1" applyBorder="1" applyAlignment="1">
      <alignment horizontal="center"/>
    </xf>
    <xf numFmtId="14" fontId="2" fillId="24" borderId="3" xfId="0" applyNumberFormat="1" applyFont="1" applyFill="1" applyBorder="1" applyAlignment="1">
      <alignment horizontal="center" vertical="center"/>
    </xf>
    <xf numFmtId="49" fontId="2" fillId="24" borderId="3" xfId="0" applyNumberFormat="1" applyFont="1" applyFill="1" applyBorder="1" applyAlignment="1">
      <alignment horizontal="center" vertical="center"/>
    </xf>
    <xf numFmtId="14" fontId="5" fillId="24" borderId="3" xfId="0" applyNumberFormat="1" applyFont="1" applyFill="1" applyBorder="1" applyAlignment="1">
      <alignment horizontal="center" vertical="center"/>
    </xf>
    <xf numFmtId="3" fontId="2" fillId="24" borderId="3" xfId="1" applyNumberFormat="1" applyFont="1" applyFill="1" applyBorder="1" applyAlignment="1">
      <alignment horizontal="center" vertical="center"/>
    </xf>
    <xf numFmtId="14" fontId="2" fillId="6" borderId="22" xfId="0" applyNumberFormat="1" applyFont="1" applyFill="1" applyBorder="1" applyAlignment="1">
      <alignment horizontal="center" vertical="center"/>
    </xf>
    <xf numFmtId="0" fontId="5" fillId="0" borderId="27" xfId="0" applyFont="1" applyBorder="1"/>
    <xf numFmtId="44" fontId="2" fillId="16" borderId="2" xfId="2" applyFont="1" applyFill="1" applyBorder="1" applyAlignment="1">
      <alignment horizontal="center" vertical="center"/>
    </xf>
    <xf numFmtId="0" fontId="2" fillId="6" borderId="22" xfId="0" applyFont="1" applyFill="1" applyBorder="1" applyAlignment="1">
      <alignment horizontal="center" vertical="center"/>
    </xf>
    <xf numFmtId="0" fontId="20" fillId="24" borderId="2" xfId="0" applyFont="1" applyFill="1" applyBorder="1" applyAlignment="1">
      <alignment horizontal="center" vertical="center"/>
    </xf>
    <xf numFmtId="43" fontId="5" fillId="6" borderId="2" xfId="0" applyNumberFormat="1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14" fontId="5" fillId="2" borderId="2" xfId="4" applyNumberFormat="1" applyFont="1" applyBorder="1" applyAlignment="1">
      <alignment horizontal="center" vertical="center"/>
    </xf>
    <xf numFmtId="3" fontId="2" fillId="0" borderId="2" xfId="0" applyNumberFormat="1" applyFont="1" applyBorder="1" applyAlignment="1">
      <alignment horizontal="right" vertical="center"/>
    </xf>
    <xf numFmtId="14" fontId="5" fillId="6" borderId="2" xfId="4" applyNumberFormat="1" applyFont="1" applyFill="1" applyBorder="1" applyAlignment="1">
      <alignment horizontal="center" vertical="center"/>
    </xf>
    <xf numFmtId="3" fontId="2" fillId="8" borderId="2" xfId="0" applyNumberFormat="1" applyFont="1" applyFill="1" applyBorder="1" applyAlignment="1">
      <alignment horizontal="right" vertical="center"/>
    </xf>
    <xf numFmtId="0" fontId="0" fillId="0" borderId="18" xfId="0" applyBorder="1"/>
    <xf numFmtId="0" fontId="5" fillId="0" borderId="18" xfId="0" applyFont="1" applyBorder="1" applyAlignment="1">
      <alignment horizontal="center"/>
    </xf>
    <xf numFmtId="1" fontId="2" fillId="24" borderId="2" xfId="1" applyNumberFormat="1" applyFont="1" applyFill="1" applyBorder="1" applyAlignment="1">
      <alignment horizontal="center" vertical="center"/>
    </xf>
    <xf numFmtId="1" fontId="5" fillId="6" borderId="2" xfId="4" applyNumberFormat="1" applyFont="1" applyFill="1" applyBorder="1" applyAlignment="1">
      <alignment horizontal="center" vertical="center"/>
    </xf>
    <xf numFmtId="1" fontId="5" fillId="24" borderId="2" xfId="4" applyNumberFormat="1" applyFont="1" applyFill="1" applyBorder="1" applyAlignment="1">
      <alignment horizontal="center" vertical="center"/>
    </xf>
    <xf numFmtId="0" fontId="20" fillId="6" borderId="2" xfId="0" applyFont="1" applyFill="1" applyBorder="1" applyAlignment="1">
      <alignment horizontal="center" vertical="center"/>
    </xf>
    <xf numFmtId="14" fontId="5" fillId="24" borderId="2" xfId="4" applyNumberFormat="1" applyFont="1" applyFill="1" applyBorder="1" applyAlignment="1">
      <alignment horizontal="center" vertical="center"/>
    </xf>
    <xf numFmtId="1" fontId="2" fillId="6" borderId="2" xfId="1" applyNumberFormat="1" applyFont="1" applyFill="1" applyBorder="1" applyAlignment="1">
      <alignment horizontal="center" vertical="center"/>
    </xf>
    <xf numFmtId="14" fontId="5" fillId="0" borderId="2" xfId="0" applyNumberFormat="1" applyFont="1" applyBorder="1"/>
    <xf numFmtId="0" fontId="5" fillId="0" borderId="18" xfId="0" applyFont="1" applyBorder="1"/>
    <xf numFmtId="1" fontId="5" fillId="22" borderId="2" xfId="4" applyNumberFormat="1" applyFont="1" applyFill="1" applyBorder="1" applyAlignment="1">
      <alignment horizontal="center" vertical="center"/>
    </xf>
    <xf numFmtId="0" fontId="5" fillId="24" borderId="2" xfId="4" applyFont="1" applyFill="1" applyBorder="1" applyAlignment="1">
      <alignment horizontal="center" vertical="center"/>
    </xf>
    <xf numFmtId="0" fontId="9" fillId="0" borderId="2" xfId="14" applyBorder="1"/>
    <xf numFmtId="175" fontId="9" fillId="0" borderId="2" xfId="14" applyNumberFormat="1" applyBorder="1"/>
    <xf numFmtId="3" fontId="2" fillId="6" borderId="2" xfId="0" applyNumberFormat="1" applyFont="1" applyFill="1" applyBorder="1" applyAlignment="1">
      <alignment horizontal="center" vertical="center"/>
    </xf>
    <xf numFmtId="0" fontId="5" fillId="30" borderId="2" xfId="5" applyFont="1" applyFill="1" applyBorder="1" applyAlignment="1">
      <alignment horizontal="center" vertical="center"/>
    </xf>
    <xf numFmtId="14" fontId="5" fillId="30" borderId="2" xfId="5" applyNumberFormat="1" applyFont="1" applyFill="1" applyBorder="1" applyAlignment="1">
      <alignment horizontal="center" vertical="center"/>
    </xf>
    <xf numFmtId="44" fontId="5" fillId="30" borderId="2" xfId="1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2" fontId="2" fillId="6" borderId="2" xfId="0" applyNumberFormat="1" applyFont="1" applyFill="1" applyBorder="1" applyAlignment="1">
      <alignment horizontal="center" vertical="center"/>
    </xf>
    <xf numFmtId="1" fontId="2" fillId="6" borderId="2" xfId="3" applyNumberFormat="1" applyFont="1" applyFill="1" applyBorder="1" applyAlignment="1">
      <alignment horizontal="center" vertical="center"/>
    </xf>
    <xf numFmtId="0" fontId="5" fillId="2" borderId="2" xfId="4" applyFont="1" applyBorder="1" applyAlignment="1">
      <alignment horizontal="center"/>
    </xf>
    <xf numFmtId="44" fontId="5" fillId="30" borderId="2" xfId="5" applyNumberFormat="1" applyFont="1" applyFill="1" applyBorder="1" applyAlignment="1">
      <alignment horizontal="center" vertical="center"/>
    </xf>
    <xf numFmtId="9" fontId="5" fillId="30" borderId="2" xfId="5" applyNumberFormat="1" applyFont="1" applyFill="1" applyBorder="1" applyAlignment="1">
      <alignment horizontal="center" vertical="center"/>
    </xf>
    <xf numFmtId="14" fontId="2" fillId="30" borderId="2" xfId="5" applyNumberFormat="1" applyFont="1" applyFill="1" applyBorder="1" applyAlignment="1">
      <alignment horizontal="center" vertical="center"/>
    </xf>
    <xf numFmtId="0" fontId="5" fillId="6" borderId="2" xfId="4" applyFont="1" applyFill="1" applyBorder="1" applyAlignment="1">
      <alignment horizontal="center" vertical="center"/>
    </xf>
    <xf numFmtId="44" fontId="2" fillId="0" borderId="2" xfId="0" applyNumberFormat="1" applyFont="1" applyBorder="1" applyAlignment="1">
      <alignment horizontal="center" vertical="center"/>
    </xf>
    <xf numFmtId="0" fontId="2" fillId="6" borderId="2" xfId="3" applyNumberFormat="1" applyFont="1" applyFill="1" applyBorder="1" applyAlignment="1">
      <alignment horizontal="center" vertical="center"/>
    </xf>
    <xf numFmtId="0" fontId="5" fillId="0" borderId="2" xfId="5" applyFont="1" applyBorder="1">
      <alignment vertical="center"/>
    </xf>
    <xf numFmtId="175" fontId="0" fillId="0" borderId="2" xfId="0" applyNumberFormat="1" applyBorder="1"/>
    <xf numFmtId="175" fontId="5" fillId="0" borderId="2" xfId="5" applyNumberFormat="1" applyFont="1" applyBorder="1">
      <alignment vertical="center"/>
    </xf>
    <xf numFmtId="175" fontId="23" fillId="0" borderId="2" xfId="0" applyNumberFormat="1" applyFont="1" applyBorder="1"/>
    <xf numFmtId="164" fontId="2" fillId="6" borderId="0" xfId="2" applyNumberFormat="1" applyFont="1" applyFill="1" applyBorder="1" applyAlignment="1">
      <alignment horizontal="center" vertical="center"/>
    </xf>
    <xf numFmtId="0" fontId="5" fillId="6" borderId="2" xfId="4" applyFont="1" applyFill="1" applyBorder="1" applyAlignment="1">
      <alignment horizontal="center"/>
    </xf>
    <xf numFmtId="0" fontId="0" fillId="0" borderId="0" xfId="0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14" fontId="2" fillId="6" borderId="2" xfId="0" applyNumberFormat="1" applyFont="1" applyFill="1" applyBorder="1" applyAlignment="1">
      <alignment horizontal="center" vertical="center"/>
    </xf>
    <xf numFmtId="3" fontId="2" fillId="6" borderId="2" xfId="1" applyNumberFormat="1" applyFont="1" applyFill="1" applyBorder="1" applyAlignment="1">
      <alignment horizontal="center" vertical="center"/>
    </xf>
    <xf numFmtId="3" fontId="2" fillId="0" borderId="2" xfId="2" applyNumberFormat="1" applyFont="1" applyBorder="1" applyAlignment="1">
      <alignment horizontal="right" vertical="center"/>
    </xf>
    <xf numFmtId="164" fontId="2" fillId="6" borderId="2" xfId="2" applyNumberFormat="1" applyFont="1" applyFill="1" applyBorder="1" applyAlignment="1">
      <alignment horizontal="center" vertical="center"/>
    </xf>
    <xf numFmtId="44" fontId="2" fillId="0" borderId="2" xfId="2" applyFont="1" applyBorder="1" applyAlignment="1">
      <alignment horizontal="center" vertical="center"/>
    </xf>
    <xf numFmtId="44" fontId="2" fillId="8" borderId="2" xfId="2" applyFont="1" applyFill="1" applyBorder="1" applyAlignment="1">
      <alignment horizontal="center" vertical="center"/>
    </xf>
    <xf numFmtId="44" fontId="2" fillId="8" borderId="2" xfId="0" applyNumberFormat="1" applyFont="1" applyFill="1" applyBorder="1" applyAlignment="1">
      <alignment horizontal="center" vertical="center"/>
    </xf>
    <xf numFmtId="44" fontId="2" fillId="6" borderId="2" xfId="2" applyFont="1" applyFill="1" applyBorder="1" applyAlignment="1">
      <alignment horizontal="center" vertical="center"/>
    </xf>
    <xf numFmtId="49" fontId="2" fillId="6" borderId="2" xfId="0" applyNumberFormat="1" applyFont="1" applyFill="1" applyBorder="1" applyAlignment="1">
      <alignment horizontal="center" vertical="center"/>
    </xf>
    <xf numFmtId="43" fontId="2" fillId="6" borderId="2" xfId="0" applyNumberFormat="1" applyFont="1" applyFill="1" applyBorder="1" applyAlignment="1">
      <alignment horizontal="center" vertical="center"/>
    </xf>
    <xf numFmtId="1" fontId="2" fillId="6" borderId="2" xfId="0" applyNumberFormat="1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14" fontId="5" fillId="6" borderId="2" xfId="0" applyNumberFormat="1" applyFont="1" applyFill="1" applyBorder="1" applyAlignment="1">
      <alignment horizontal="center" vertical="center"/>
    </xf>
    <xf numFmtId="0" fontId="0" fillId="8" borderId="2" xfId="0" applyFill="1" applyBorder="1"/>
    <xf numFmtId="0" fontId="5" fillId="0" borderId="2" xfId="5" applyFont="1" applyBorder="1" applyAlignment="1">
      <alignment horizontal="center" vertical="center"/>
    </xf>
    <xf numFmtId="174" fontId="2" fillId="6" borderId="2" xfId="0" applyNumberFormat="1" applyFont="1" applyFill="1" applyBorder="1" applyAlignment="1">
      <alignment horizontal="center" vertical="center"/>
    </xf>
    <xf numFmtId="3" fontId="2" fillId="0" borderId="2" xfId="2" applyNumberFormat="1" applyFont="1" applyFill="1" applyBorder="1" applyAlignment="1">
      <alignment horizontal="right" vertical="center"/>
    </xf>
    <xf numFmtId="44" fontId="2" fillId="0" borderId="2" xfId="2" applyFont="1" applyFill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 vertical="center"/>
    </xf>
    <xf numFmtId="173" fontId="2" fillId="6" borderId="2" xfId="0" applyNumberFormat="1" applyFont="1" applyFill="1" applyBorder="1" applyAlignment="1">
      <alignment horizontal="center" vertical="center"/>
    </xf>
    <xf numFmtId="0" fontId="5" fillId="0" borderId="2" xfId="0" applyFont="1" applyBorder="1"/>
    <xf numFmtId="0" fontId="2" fillId="27" borderId="2" xfId="0" applyFont="1" applyFill="1" applyBorder="1" applyAlignment="1">
      <alignment horizontal="center" vertical="center"/>
    </xf>
    <xf numFmtId="14" fontId="2" fillId="27" borderId="2" xfId="0" applyNumberFormat="1" applyFont="1" applyFill="1" applyBorder="1" applyAlignment="1">
      <alignment horizontal="center" vertical="center"/>
    </xf>
    <xf numFmtId="49" fontId="2" fillId="27" borderId="2" xfId="0" applyNumberFormat="1" applyFont="1" applyFill="1" applyBorder="1" applyAlignment="1">
      <alignment horizontal="center" vertical="center"/>
    </xf>
    <xf numFmtId="14" fontId="5" fillId="27" borderId="2" xfId="0" applyNumberFormat="1" applyFont="1" applyFill="1" applyBorder="1" applyAlignment="1">
      <alignment horizontal="center" vertical="center"/>
    </xf>
    <xf numFmtId="3" fontId="2" fillId="27" borderId="2" xfId="1" applyNumberFormat="1" applyFont="1" applyFill="1" applyBorder="1" applyAlignment="1">
      <alignment horizontal="center" vertical="center"/>
    </xf>
    <xf numFmtId="0" fontId="2" fillId="24" borderId="2" xfId="0" applyFont="1" applyFill="1" applyBorder="1" applyAlignment="1">
      <alignment horizontal="center" vertical="center"/>
    </xf>
    <xf numFmtId="14" fontId="2" fillId="24" borderId="2" xfId="0" applyNumberFormat="1" applyFont="1" applyFill="1" applyBorder="1" applyAlignment="1">
      <alignment horizontal="center" vertical="center"/>
    </xf>
    <xf numFmtId="49" fontId="2" fillId="24" borderId="2" xfId="0" applyNumberFormat="1" applyFont="1" applyFill="1" applyBorder="1" applyAlignment="1">
      <alignment horizontal="center" vertical="center"/>
    </xf>
    <xf numFmtId="14" fontId="5" fillId="24" borderId="2" xfId="0" applyNumberFormat="1" applyFont="1" applyFill="1" applyBorder="1" applyAlignment="1">
      <alignment horizontal="center" vertical="center"/>
    </xf>
    <xf numFmtId="3" fontId="2" fillId="24" borderId="2" xfId="1" applyNumberFormat="1" applyFont="1" applyFill="1" applyBorder="1" applyAlignment="1">
      <alignment horizontal="center" vertical="center"/>
    </xf>
    <xf numFmtId="164" fontId="2" fillId="24" borderId="2" xfId="2" applyNumberFormat="1" applyFont="1" applyFill="1" applyBorder="1" applyAlignment="1">
      <alignment horizontal="center" vertical="center"/>
    </xf>
    <xf numFmtId="44" fontId="2" fillId="24" borderId="2" xfId="2" applyFont="1" applyFill="1" applyBorder="1" applyAlignment="1">
      <alignment horizontal="center" vertical="center"/>
    </xf>
    <xf numFmtId="174" fontId="2" fillId="24" borderId="2" xfId="0" applyNumberFormat="1" applyFont="1" applyFill="1" applyBorder="1" applyAlignment="1">
      <alignment horizontal="center" vertical="center"/>
    </xf>
    <xf numFmtId="173" fontId="2" fillId="24" borderId="2" xfId="0" applyNumberFormat="1" applyFont="1" applyFill="1" applyBorder="1" applyAlignment="1">
      <alignment horizontal="center" vertical="center"/>
    </xf>
    <xf numFmtId="0" fontId="5" fillId="24" borderId="2" xfId="0" applyFont="1" applyFill="1" applyBorder="1" applyAlignment="1">
      <alignment horizontal="center" vertical="center"/>
    </xf>
    <xf numFmtId="0" fontId="0" fillId="24" borderId="0" xfId="0" applyFill="1"/>
    <xf numFmtId="1" fontId="2" fillId="24" borderId="2" xfId="0" applyNumberFormat="1" applyFont="1" applyFill="1" applyBorder="1" applyAlignment="1">
      <alignment horizontal="center" vertical="center"/>
    </xf>
    <xf numFmtId="14" fontId="6" fillId="24" borderId="2" xfId="0" applyNumberFormat="1" applyFont="1" applyFill="1" applyBorder="1" applyAlignment="1">
      <alignment horizontal="center" vertical="center"/>
    </xf>
    <xf numFmtId="14" fontId="0" fillId="0" borderId="2" xfId="0" applyNumberFormat="1" applyBorder="1"/>
    <xf numFmtId="14" fontId="24" fillId="0" borderId="2" xfId="0" applyNumberFormat="1" applyFont="1" applyBorder="1"/>
    <xf numFmtId="14" fontId="0" fillId="0" borderId="3" xfId="0" applyNumberFormat="1" applyBorder="1"/>
    <xf numFmtId="0" fontId="2" fillId="22" borderId="2" xfId="0" applyFont="1" applyFill="1" applyBorder="1" applyAlignment="1">
      <alignment horizontal="center" vertical="center"/>
    </xf>
    <xf numFmtId="14" fontId="2" fillId="22" borderId="2" xfId="0" applyNumberFormat="1" applyFont="1" applyFill="1" applyBorder="1" applyAlignment="1">
      <alignment horizontal="center" vertical="center"/>
    </xf>
    <xf numFmtId="3" fontId="2" fillId="22" borderId="2" xfId="1" applyNumberFormat="1" applyFont="1" applyFill="1" applyBorder="1" applyAlignment="1">
      <alignment horizontal="center" vertical="center"/>
    </xf>
    <xf numFmtId="0" fontId="2" fillId="23" borderId="2" xfId="0" applyFont="1" applyFill="1" applyBorder="1" applyAlignment="1">
      <alignment horizontal="center" vertical="center"/>
    </xf>
    <xf numFmtId="0" fontId="22" fillId="0" borderId="2" xfId="17" applyBorder="1"/>
    <xf numFmtId="0" fontId="2" fillId="9" borderId="2" xfId="0" applyFont="1" applyFill="1" applyBorder="1" applyAlignment="1">
      <alignment horizontal="center" vertical="center"/>
    </xf>
    <xf numFmtId="3" fontId="2" fillId="16" borderId="2" xfId="1" applyNumberFormat="1" applyFont="1" applyFill="1" applyBorder="1" applyAlignment="1">
      <alignment horizontal="center" vertical="center"/>
    </xf>
    <xf numFmtId="14" fontId="2" fillId="23" borderId="2" xfId="0" applyNumberFormat="1" applyFont="1" applyFill="1" applyBorder="1" applyAlignment="1">
      <alignment horizontal="center" vertical="center"/>
    </xf>
    <xf numFmtId="14" fontId="6" fillId="6" borderId="2" xfId="0" applyNumberFormat="1" applyFont="1" applyFill="1" applyBorder="1" applyAlignment="1">
      <alignment horizontal="center" vertical="center"/>
    </xf>
    <xf numFmtId="0" fontId="2" fillId="25" borderId="2" xfId="0" applyFont="1" applyFill="1" applyBorder="1" applyAlignment="1">
      <alignment horizontal="center" vertical="center"/>
    </xf>
    <xf numFmtId="14" fontId="2" fillId="25" borderId="2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49" fontId="2" fillId="3" borderId="2" xfId="0" applyNumberFormat="1" applyFont="1" applyFill="1" applyBorder="1" applyAlignment="1">
      <alignment horizontal="center" vertical="center"/>
    </xf>
    <xf numFmtId="3" fontId="2" fillId="0" borderId="3" xfId="2" applyNumberFormat="1" applyFont="1" applyBorder="1" applyAlignment="1">
      <alignment horizontal="right" vertical="center"/>
    </xf>
    <xf numFmtId="44" fontId="5" fillId="0" borderId="2" xfId="0" applyNumberFormat="1" applyFont="1" applyBorder="1" applyAlignment="1">
      <alignment horizontal="center" vertical="center"/>
    </xf>
    <xf numFmtId="0" fontId="40" fillId="46" borderId="2" xfId="0" applyFont="1" applyFill="1" applyBorder="1" applyAlignment="1">
      <alignment horizontal="center" vertical="center"/>
    </xf>
    <xf numFmtId="14" fontId="4" fillId="4" borderId="2" xfId="0" applyNumberFormat="1" applyFont="1" applyFill="1" applyBorder="1" applyAlignment="1">
      <alignment horizontal="center" vertical="center"/>
    </xf>
    <xf numFmtId="0" fontId="40" fillId="47" borderId="2" xfId="0" applyFont="1" applyFill="1" applyBorder="1" applyAlignment="1">
      <alignment horizontal="center" vertical="center"/>
    </xf>
    <xf numFmtId="3" fontId="4" fillId="4" borderId="2" xfId="0" applyNumberFormat="1" applyFont="1" applyFill="1" applyBorder="1" applyAlignment="1">
      <alignment horizontal="center" vertical="center"/>
    </xf>
    <xf numFmtId="16" fontId="0" fillId="0" borderId="2" xfId="0" applyNumberFormat="1" applyBorder="1"/>
    <xf numFmtId="1" fontId="0" fillId="0" borderId="2" xfId="0" applyNumberFormat="1" applyBorder="1" applyAlignment="1">
      <alignment horizontal="center"/>
    </xf>
    <xf numFmtId="0" fontId="2" fillId="23" borderId="22" xfId="0" applyFont="1" applyFill="1" applyBorder="1" applyAlignment="1">
      <alignment horizontal="center" vertical="center"/>
    </xf>
    <xf numFmtId="14" fontId="2" fillId="23" borderId="22" xfId="0" applyNumberFormat="1" applyFont="1" applyFill="1" applyBorder="1" applyAlignment="1">
      <alignment horizontal="center" vertical="center"/>
    </xf>
    <xf numFmtId="0" fontId="2" fillId="24" borderId="27" xfId="0" applyFont="1" applyFill="1" applyBorder="1" applyAlignment="1">
      <alignment horizontal="center" vertical="center"/>
    </xf>
    <xf numFmtId="44" fontId="5" fillId="0" borderId="2" xfId="5" applyNumberFormat="1" applyFont="1" applyBorder="1" applyAlignment="1">
      <alignment horizontal="center" vertical="center"/>
    </xf>
    <xf numFmtId="49" fontId="20" fillId="6" borderId="2" xfId="0" applyNumberFormat="1" applyFont="1" applyFill="1" applyBorder="1" applyAlignment="1">
      <alignment horizontal="center" vertical="center"/>
    </xf>
    <xf numFmtId="14" fontId="21" fillId="6" borderId="2" xfId="0" applyNumberFormat="1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14" fontId="2" fillId="5" borderId="2" xfId="0" applyNumberFormat="1" applyFont="1" applyFill="1" applyBorder="1" applyAlignment="1">
      <alignment horizontal="center" vertical="center"/>
    </xf>
    <xf numFmtId="14" fontId="2" fillId="24" borderId="18" xfId="0" applyNumberFormat="1" applyFont="1" applyFill="1" applyBorder="1" applyAlignment="1">
      <alignment horizontal="center" vertical="center"/>
    </xf>
    <xf numFmtId="0" fontId="2" fillId="24" borderId="7" xfId="0" applyFont="1" applyFill="1" applyBorder="1" applyAlignment="1">
      <alignment horizontal="center" vertical="center"/>
    </xf>
    <xf numFmtId="0" fontId="2" fillId="24" borderId="8" xfId="0" applyFont="1" applyFill="1" applyBorder="1" applyAlignment="1">
      <alignment horizontal="center" vertical="center"/>
    </xf>
    <xf numFmtId="0" fontId="2" fillId="24" borderId="13" xfId="0" applyFont="1" applyFill="1" applyBorder="1" applyAlignment="1">
      <alignment horizontal="center" vertical="center"/>
    </xf>
    <xf numFmtId="14" fontId="2" fillId="24" borderId="10" xfId="0" applyNumberFormat="1" applyFont="1" applyFill="1" applyBorder="1" applyAlignment="1">
      <alignment horizontal="center" vertical="center"/>
    </xf>
    <xf numFmtId="0" fontId="2" fillId="24" borderId="10" xfId="0" applyFont="1" applyFill="1" applyBorder="1" applyAlignment="1">
      <alignment horizontal="center" vertical="center"/>
    </xf>
    <xf numFmtId="0" fontId="2" fillId="24" borderId="14" xfId="0" applyFont="1" applyFill="1" applyBorder="1" applyAlignment="1">
      <alignment horizontal="center" vertical="center"/>
    </xf>
    <xf numFmtId="0" fontId="5" fillId="48" borderId="2" xfId="0" applyFont="1" applyFill="1" applyBorder="1" applyAlignment="1">
      <alignment horizontal="center"/>
    </xf>
    <xf numFmtId="14" fontId="5" fillId="6" borderId="2" xfId="4" applyNumberFormat="1" applyFont="1" applyFill="1" applyBorder="1" applyAlignment="1">
      <alignment vertical="center"/>
    </xf>
    <xf numFmtId="3" fontId="2" fillId="22" borderId="2" xfId="2" applyNumberFormat="1" applyFont="1" applyFill="1" applyBorder="1" applyAlignment="1">
      <alignment horizontal="right" vertical="center"/>
    </xf>
    <xf numFmtId="49" fontId="2" fillId="49" borderId="2" xfId="0" applyNumberFormat="1" applyFont="1" applyFill="1" applyBorder="1" applyAlignment="1">
      <alignment horizontal="center" vertical="center"/>
    </xf>
    <xf numFmtId="0" fontId="2" fillId="49" borderId="2" xfId="0" applyFont="1" applyFill="1" applyBorder="1" applyAlignment="1">
      <alignment horizontal="center" vertical="center"/>
    </xf>
    <xf numFmtId="0" fontId="5" fillId="49" borderId="2" xfId="0" applyFont="1" applyFill="1" applyBorder="1" applyAlignment="1">
      <alignment horizontal="center"/>
    </xf>
    <xf numFmtId="164" fontId="2" fillId="6" borderId="27" xfId="2" applyNumberFormat="1" applyFont="1" applyFill="1" applyBorder="1" applyAlignment="1">
      <alignment horizontal="center" vertical="center"/>
    </xf>
    <xf numFmtId="1" fontId="23" fillId="0" borderId="2" xfId="0" applyNumberFormat="1" applyFont="1" applyBorder="1"/>
    <xf numFmtId="0" fontId="2" fillId="24" borderId="4" xfId="0" applyFont="1" applyFill="1" applyBorder="1" applyAlignment="1">
      <alignment horizontal="center" vertical="center"/>
    </xf>
    <xf numFmtId="14" fontId="2" fillId="24" borderId="5" xfId="0" applyNumberFormat="1" applyFont="1" applyFill="1" applyBorder="1" applyAlignment="1">
      <alignment horizontal="center" vertical="center"/>
    </xf>
    <xf numFmtId="0" fontId="2" fillId="24" borderId="5" xfId="0" applyFont="1" applyFill="1" applyBorder="1" applyAlignment="1">
      <alignment horizontal="center" vertical="center"/>
    </xf>
    <xf numFmtId="0" fontId="2" fillId="24" borderId="6" xfId="0" applyFont="1" applyFill="1" applyBorder="1" applyAlignment="1">
      <alignment horizontal="center" vertical="center"/>
    </xf>
    <xf numFmtId="0" fontId="5" fillId="6" borderId="2" xfId="0" applyFont="1" applyFill="1" applyBorder="1"/>
    <xf numFmtId="164" fontId="2" fillId="50" borderId="2" xfId="2" applyNumberFormat="1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49" fontId="2" fillId="5" borderId="2" xfId="0" applyNumberFormat="1" applyFont="1" applyFill="1" applyBorder="1" applyAlignment="1">
      <alignment horizontal="center" vertical="center"/>
    </xf>
    <xf numFmtId="0" fontId="20" fillId="5" borderId="2" xfId="0" applyFont="1" applyFill="1" applyBorder="1" applyAlignment="1">
      <alignment horizontal="center" vertical="center"/>
    </xf>
    <xf numFmtId="14" fontId="20" fillId="5" borderId="2" xfId="0" applyNumberFormat="1" applyFont="1" applyFill="1" applyBorder="1" applyAlignment="1">
      <alignment horizontal="center" vertical="center"/>
    </xf>
    <xf numFmtId="49" fontId="20" fillId="5" borderId="2" xfId="0" applyNumberFormat="1" applyFont="1" applyFill="1" applyBorder="1" applyAlignment="1">
      <alignment horizontal="center" vertical="center"/>
    </xf>
    <xf numFmtId="16" fontId="2" fillId="6" borderId="2" xfId="0" applyNumberFormat="1" applyFont="1" applyFill="1" applyBorder="1" applyAlignment="1">
      <alignment horizontal="center" vertical="center"/>
    </xf>
    <xf numFmtId="0" fontId="2" fillId="26" borderId="2" xfId="0" applyFont="1" applyFill="1" applyBorder="1" applyAlignment="1">
      <alignment horizontal="center" vertical="center"/>
    </xf>
    <xf numFmtId="14" fontId="2" fillId="26" borderId="2" xfId="0" applyNumberFormat="1" applyFont="1" applyFill="1" applyBorder="1" applyAlignment="1">
      <alignment horizontal="center" vertical="center"/>
    </xf>
    <xf numFmtId="0" fontId="2" fillId="51" borderId="2" xfId="0" applyFont="1" applyFill="1" applyBorder="1" applyAlignment="1">
      <alignment horizontal="center" vertical="center"/>
    </xf>
    <xf numFmtId="14" fontId="2" fillId="51" borderId="2" xfId="0" applyNumberFormat="1" applyFont="1" applyFill="1" applyBorder="1" applyAlignment="1">
      <alignment horizontal="center" vertical="center"/>
    </xf>
    <xf numFmtId="14" fontId="21" fillId="6" borderId="2" xfId="4" applyNumberFormat="1" applyFont="1" applyFill="1" applyBorder="1" applyAlignment="1">
      <alignment vertical="center"/>
    </xf>
    <xf numFmtId="0" fontId="2" fillId="16" borderId="2" xfId="0" applyFont="1" applyFill="1" applyBorder="1" applyAlignment="1">
      <alignment horizontal="center" vertical="center"/>
    </xf>
    <xf numFmtId="14" fontId="2" fillId="16" borderId="2" xfId="0" applyNumberFormat="1" applyFont="1" applyFill="1" applyBorder="1" applyAlignment="1">
      <alignment horizontal="center" vertical="center"/>
    </xf>
    <xf numFmtId="44" fontId="2" fillId="6" borderId="2" xfId="0" applyNumberFormat="1" applyFont="1" applyFill="1" applyBorder="1" applyAlignment="1">
      <alignment horizontal="center" vertical="center"/>
    </xf>
    <xf numFmtId="164" fontId="2" fillId="22" borderId="2" xfId="2" applyNumberFormat="1" applyFont="1" applyFill="1" applyBorder="1" applyAlignment="1">
      <alignment horizontal="center" vertical="center"/>
    </xf>
    <xf numFmtId="1" fontId="2" fillId="3" borderId="1" xfId="0" applyNumberFormat="1" applyFont="1" applyFill="1" applyBorder="1" applyAlignment="1">
      <alignment horizontal="center" vertical="center" wrapText="1"/>
    </xf>
    <xf numFmtId="0" fontId="7" fillId="4" borderId="2" xfId="6" applyFont="1" applyFill="1" applyBorder="1" applyAlignment="1">
      <alignment horizontal="center" vertical="center" wrapText="1"/>
    </xf>
    <xf numFmtId="0" fontId="7" fillId="4" borderId="2" xfId="6" applyFont="1" applyFill="1" applyBorder="1" applyAlignment="1">
      <alignment horizontal="center" vertical="center"/>
    </xf>
    <xf numFmtId="0" fontId="3" fillId="5" borderId="2" xfId="5" applyFont="1" applyFill="1" applyBorder="1" applyAlignment="1">
      <alignment horizontal="center" vertical="center"/>
    </xf>
    <xf numFmtId="0" fontId="3" fillId="4" borderId="2" xfId="5" applyFont="1" applyFill="1" applyBorder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14" fontId="2" fillId="6" borderId="0" xfId="0" applyNumberFormat="1" applyFont="1" applyFill="1" applyAlignment="1">
      <alignment horizontal="center" vertical="center"/>
    </xf>
    <xf numFmtId="14" fontId="2" fillId="9" borderId="2" xfId="0" applyNumberFormat="1" applyFont="1" applyFill="1" applyBorder="1" applyAlignment="1">
      <alignment horizontal="center" vertical="center"/>
    </xf>
    <xf numFmtId="0" fontId="2" fillId="6" borderId="27" xfId="0" applyFont="1" applyFill="1" applyBorder="1" applyAlignment="1">
      <alignment horizontal="center" vertical="center"/>
    </xf>
    <xf numFmtId="14" fontId="2" fillId="16" borderId="8" xfId="0" applyNumberFormat="1" applyFont="1" applyFill="1" applyBorder="1" applyAlignment="1">
      <alignment horizontal="center" vertical="center"/>
    </xf>
    <xf numFmtId="14" fontId="2" fillId="6" borderId="18" xfId="0" applyNumberFormat="1" applyFont="1" applyFill="1" applyBorder="1" applyAlignment="1">
      <alignment horizontal="center" vertical="center"/>
    </xf>
    <xf numFmtId="3" fontId="2" fillId="6" borderId="2" xfId="2" applyNumberFormat="1" applyFont="1" applyFill="1" applyBorder="1" applyAlignment="1">
      <alignment horizontal="center" vertical="center"/>
    </xf>
    <xf numFmtId="0" fontId="0" fillId="0" borderId="27" xfId="0" applyBorder="1"/>
    <xf numFmtId="49" fontId="2" fillId="23" borderId="2" xfId="0" applyNumberFormat="1" applyFont="1" applyFill="1" applyBorder="1" applyAlignment="1">
      <alignment horizontal="center" vertical="center"/>
    </xf>
    <xf numFmtId="0" fontId="2" fillId="52" borderId="2" xfId="0" applyFont="1" applyFill="1" applyBorder="1" applyAlignment="1">
      <alignment horizontal="center" vertical="center"/>
    </xf>
    <xf numFmtId="49" fontId="2" fillId="9" borderId="2" xfId="0" applyNumberFormat="1" applyFont="1" applyFill="1" applyBorder="1" applyAlignment="1">
      <alignment horizontal="center" vertical="center"/>
    </xf>
    <xf numFmtId="49" fontId="2" fillId="22" borderId="2" xfId="0" applyNumberFormat="1" applyFont="1" applyFill="1" applyBorder="1" applyAlignment="1">
      <alignment horizontal="center" vertical="center"/>
    </xf>
    <xf numFmtId="14" fontId="5" fillId="22" borderId="2" xfId="0" applyNumberFormat="1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14" fontId="6" fillId="5" borderId="2" xfId="0" applyNumberFormat="1" applyFont="1" applyFill="1" applyBorder="1" applyAlignment="1">
      <alignment horizontal="center" vertical="center"/>
    </xf>
    <xf numFmtId="49" fontId="6" fillId="5" borderId="2" xfId="0" applyNumberFormat="1" applyFont="1" applyFill="1" applyBorder="1" applyAlignment="1">
      <alignment horizontal="center" vertical="center"/>
    </xf>
    <xf numFmtId="49" fontId="2" fillId="16" borderId="2" xfId="0" applyNumberFormat="1" applyFont="1" applyFill="1" applyBorder="1" applyAlignment="1">
      <alignment horizontal="center" vertical="center"/>
    </xf>
    <xf numFmtId="14" fontId="5" fillId="16" borderId="2" xfId="0" applyNumberFormat="1" applyFont="1" applyFill="1" applyBorder="1" applyAlignment="1">
      <alignment horizontal="center" vertical="center"/>
    </xf>
  </cellXfs>
  <cellStyles count="128">
    <cellStyle name="20% - Accent4" xfId="4" builtinId="42"/>
    <cellStyle name="20% - Accent4 5" xfId="127" xr:uid="{0A1C26C1-80DB-4DB3-90A3-5CA451403389}"/>
    <cellStyle name="col_1" xfId="38" xr:uid="{25F7B471-DF6A-48CC-B456-6ACDD607C262}"/>
    <cellStyle name="Comma" xfId="1" builtinId="3"/>
    <cellStyle name="Comma [0] 2" xfId="23" xr:uid="{89D50318-26D3-4D6B-9716-4B1312E1BB64}"/>
    <cellStyle name="Comma [0] 3" xfId="119" xr:uid="{7FBE3B4F-5E6B-4667-912F-8ED94016DB22}"/>
    <cellStyle name="Comma [0] 4" xfId="121" xr:uid="{918BD166-D9AD-4806-A2C9-76D9B8EF9103}"/>
    <cellStyle name="Comma [0] 5" xfId="19" xr:uid="{7E98799C-9FE0-4650-8C06-6807B5660B01}"/>
    <cellStyle name="Comma [0] 6" xfId="8" xr:uid="{14D0DD25-ACB7-449F-8CAD-AF8D81D37EC9}"/>
    <cellStyle name="Comma 2" xfId="7" xr:uid="{7200E3AB-0D83-4319-AE1B-3ED7786EDF9E}"/>
    <cellStyle name="Currency" xfId="2" builtinId="4"/>
    <cellStyle name="Currency 101 2" xfId="13" xr:uid="{56329CD9-6ADF-42D0-ACBF-3E3F28F2EDEB}"/>
    <cellStyle name="Currency 2" xfId="10" xr:uid="{A21597A1-153B-4C4A-A7E5-1487D645EAF1}"/>
    <cellStyle name="Currency 4 3" xfId="12" xr:uid="{2163532C-33BC-4F26-B0D5-F6F01C37B9AC}"/>
    <cellStyle name="Dezimal 9" xfId="20" xr:uid="{92EB9356-A2AE-4FE4-9EFC-9BF8CA561C8B}"/>
    <cellStyle name="FirstColumn" xfId="39" xr:uid="{1DBC48BE-F938-4479-8D0B-6439BCF4EC9B}"/>
    <cellStyle name="FirstHeaderCell" xfId="40" xr:uid="{7C3CE20E-90F5-4C73-BCFA-C870FDC039DC}"/>
    <cellStyle name="format_type" xfId="41" xr:uid="{9883F733-A8D3-44F6-B281-0FA271556B11}"/>
    <cellStyle name="GrandTotalColumn" xfId="42" xr:uid="{F1D84FA1-B6FC-42E0-9D9A-00CAD06E2EBC}"/>
    <cellStyle name="GrandTotalRow" xfId="43" xr:uid="{88E1B1CF-1F85-44F3-9419-A1CA05F3F648}"/>
    <cellStyle name="HeaderRow" xfId="44" xr:uid="{7795837A-6320-4BE0-9EB5-513E432073FD}"/>
    <cellStyle name="Hyperlink" xfId="17" builtinId="8"/>
    <cellStyle name="Hyperlink 2" xfId="126" xr:uid="{0D5F1413-4AFF-406A-B3F6-715BF90E168F}"/>
    <cellStyle name="Neutral 2" xfId="16" xr:uid="{1304B5BD-2866-484E-B4C9-9FF3EF922313}"/>
    <cellStyle name="Normal" xfId="0" builtinId="0"/>
    <cellStyle name="Normal 17 5" xfId="109" xr:uid="{395B58A0-748B-498F-AD12-2FD7CA96812C}"/>
    <cellStyle name="Normal 2" xfId="5" xr:uid="{CBB14BFB-1850-493F-8835-42B2FA31C0B1}"/>
    <cellStyle name="Normal 2 2" xfId="6" xr:uid="{2A5B46F9-C953-4D1F-9EAA-C2CB6B429B3F}"/>
    <cellStyle name="Normal 2 3" xfId="125" xr:uid="{9F06594B-1D60-42BE-A99B-6220B7CED957}"/>
    <cellStyle name="Normal 2 7" xfId="22" xr:uid="{DCA78500-D674-4F09-BE95-7A1CBEE58829}"/>
    <cellStyle name="Normal 2 7 2" xfId="120" xr:uid="{BDC5054F-C01D-4B6A-B8C2-F9A621D0CFA8}"/>
    <cellStyle name="Normal 3" xfId="15" xr:uid="{A99F8B30-60E0-42EA-A32F-9A822174697D}"/>
    <cellStyle name="Normal 3 2" xfId="21" xr:uid="{CAE495F1-987A-41CC-AF5F-14ADB7F88771}"/>
    <cellStyle name="Normal 5 7" xfId="14" xr:uid="{4E40FFD2-35B5-415E-896A-FFD8E00B9D56}"/>
    <cellStyle name="Note 3" xfId="123" xr:uid="{EAA578CC-E226-497B-8D89-006E9DCCD2D2}"/>
    <cellStyle name="Percent" xfId="3" builtinId="5"/>
    <cellStyle name="Percent 2" xfId="11" xr:uid="{EBDB778E-E108-4E52-A0C1-7D0108E423C0}"/>
    <cellStyle name="Percent 2 2" xfId="33" xr:uid="{44445E0C-EC16-4B6D-8657-CBA16C1D2F6E}"/>
    <cellStyle name="QCELL" xfId="45" xr:uid="{13E26C33-56A0-48A7-B530-A4286CB047AE}"/>
    <cellStyle name="row_1" xfId="46" xr:uid="{88D7CADA-E3FB-4376-99BA-31B404684FC1}"/>
    <cellStyle name="RowSubheading1" xfId="47" xr:uid="{50A491C9-3A02-4F4D-A094-A9B30575A862}"/>
    <cellStyle name="RowSubheading2" xfId="48" xr:uid="{236CCA56-7CA0-4583-B6C2-4FA29BCC03CD}"/>
    <cellStyle name="RowSubheading3" xfId="49" xr:uid="{E9E15222-8734-4702-A65A-097BB0F14BE6}"/>
    <cellStyle name="Standard 2" xfId="50" xr:uid="{51854A95-2546-4B50-883D-6D7538D2B271}"/>
    <cellStyle name="SubtotalColumn1" xfId="51" xr:uid="{706C1896-0D9F-4AB3-9BE2-7D9D3B16C6A9}"/>
    <cellStyle name="SubtotalColumn2" xfId="52" xr:uid="{DCDD726C-F31B-4BD9-A621-77C3EEE2F800}"/>
    <cellStyle name="SubtotalColumn3" xfId="53" xr:uid="{0A344AA7-4AF1-43E0-952A-0EF1EAB46FCB}"/>
    <cellStyle name="SubtotalRow1" xfId="54" xr:uid="{C7C8A40B-34F8-4281-8DEE-436081F6E322}"/>
    <cellStyle name="SubtotalRow2" xfId="55" xr:uid="{1BD078F6-6F76-4A07-B89D-207FAA7AD644}"/>
    <cellStyle name="SubtotalRow3" xfId="56" xr:uid="{B19D5E9F-65EC-4F4B-84B2-557AB23B1836}"/>
    <cellStyle name="user_1" xfId="57" xr:uid="{65740237-BDBC-431E-920E-8DA51BD4FB5E}"/>
    <cellStyle name="UserCustom1" xfId="58" xr:uid="{3DD5E576-A1FE-4FCB-AE54-5A83FA551BCB}"/>
    <cellStyle name="UserCustom2" xfId="59" xr:uid="{C51458D8-FAB9-441E-BD42-4CA5F386C655}"/>
    <cellStyle name="UserCustom3" xfId="60" xr:uid="{43B7EF69-AFAA-47B4-B6C2-BE05C31E5FB3}"/>
    <cellStyle name="UserCustom4" xfId="61" xr:uid="{BBCB8781-C99A-4429-BF0F-95DF22880F1E}"/>
    <cellStyle name="UserCustom5" xfId="62" xr:uid="{950C8782-A114-46FB-9B3A-93F0F94CAC8A}"/>
    <cellStyle name="WholeTable" xfId="63" xr:uid="{A2481693-BFFF-4F97-A962-45CCA633BE0A}"/>
    <cellStyle name="강조색1 2" xfId="124" xr:uid="{0A127DE1-12BC-4BCC-AC61-20C93B3E5498}"/>
    <cellStyle name="백분율 2" xfId="32" xr:uid="{1C2DACE4-561F-4DA4-B7C6-86E1E9F8468A}"/>
    <cellStyle name="백분율 3" xfId="103" xr:uid="{4260F6A5-3129-46B8-B871-2C6CE41AD82E}"/>
    <cellStyle name="백분율 4" xfId="118" xr:uid="{35EC0063-A1B2-4A69-B77F-1ED077A1A23B}"/>
    <cellStyle name="부분합열1" xfId="64" xr:uid="{260D5BB4-087E-4B44-B57B-89C9C363DD1F}"/>
    <cellStyle name="부분합열10" xfId="65" xr:uid="{5CEDC148-12B5-4A07-A4D2-CEBC4D6FF04A}"/>
    <cellStyle name="부분합열2" xfId="66" xr:uid="{3F3888B3-B1C1-4509-9D56-9C90CCE140F1}"/>
    <cellStyle name="부분합열3" xfId="67" xr:uid="{3942222C-DEC8-4CDD-BC43-F8FC09F274B1}"/>
    <cellStyle name="부분합열4" xfId="68" xr:uid="{D84581F1-0036-4B7E-8660-4107E43667C0}"/>
    <cellStyle name="부분합열5" xfId="69" xr:uid="{C1E440EF-6D77-4CF5-9032-9F3085148C01}"/>
    <cellStyle name="부분합열6" xfId="70" xr:uid="{6CF0D2E9-F1B6-4506-835D-EC5BA3B2A3B0}"/>
    <cellStyle name="부분합열7" xfId="71" xr:uid="{BFA6CD74-407D-4304-8710-58320DD40F18}"/>
    <cellStyle name="부분합열8" xfId="72" xr:uid="{5853CE75-59A4-46DD-91BA-97131EAFC605}"/>
    <cellStyle name="부분합열9" xfId="73" xr:uid="{BBC12B7C-C179-4D62-87DC-FCD7CAAD2041}"/>
    <cellStyle name="부분합행1" xfId="74" xr:uid="{701400C0-996F-4E76-B324-A0CD3D797FF0}"/>
    <cellStyle name="부분합행10" xfId="75" xr:uid="{680CF235-5273-403B-BED8-2083B7A843DD}"/>
    <cellStyle name="부분합행2" xfId="76" xr:uid="{E5651E02-F54F-4B14-BEC5-622B9EFCA6C9}"/>
    <cellStyle name="부분합행3" xfId="77" xr:uid="{EE1AE8C1-9476-4B08-B745-35FB0CFFC932}"/>
    <cellStyle name="부분합행4" xfId="78" xr:uid="{C349CAD1-97E8-460B-91BB-C2B7C9E3CC23}"/>
    <cellStyle name="부분합행5" xfId="79" xr:uid="{7A663AC6-9DCD-4DBB-A590-1414F561142D}"/>
    <cellStyle name="부분합행6" xfId="80" xr:uid="{9C434A17-BDF0-4774-8319-2906D3491CF8}"/>
    <cellStyle name="부분합행7" xfId="81" xr:uid="{5DCFD192-208A-4731-AF58-661BF77ED594}"/>
    <cellStyle name="부분합행8" xfId="82" xr:uid="{3338C122-C199-4FC1-891B-639BF0E0C3CF}"/>
    <cellStyle name="부분합행9" xfId="83" xr:uid="{056C64D4-8122-4D3A-B867-915A0FF9426A}"/>
    <cellStyle name="선스타일" xfId="84" xr:uid="{B93E6E66-A74F-40A3-822D-6730FDDA1C88}"/>
    <cellStyle name="쉼표 [0] 10" xfId="108" xr:uid="{1FDD69F9-9BCC-4291-BC4A-69EFCBDCB7C3}"/>
    <cellStyle name="쉼표 [0] 11" xfId="117" xr:uid="{EDB36E22-4A1C-4FA1-AE08-C9E7522EC2AF}"/>
    <cellStyle name="쉼표 [0] 13" xfId="85" xr:uid="{73DED615-1EEA-492F-BB2D-B09458908CFB}"/>
    <cellStyle name="쉼표 [0] 2" xfId="24" xr:uid="{9B6156F7-3AF7-4E04-9C02-27A619B9D35E}"/>
    <cellStyle name="쉼표 [0] 2 2" xfId="110" xr:uid="{FF8F5514-3841-4407-8CF7-F68D69E8E025}"/>
    <cellStyle name="쉼표 [0] 2 3" xfId="106" xr:uid="{6E6D4B2D-088F-44BC-A83B-79D69E9E7497}"/>
    <cellStyle name="쉼표 [0] 2 4" xfId="111" xr:uid="{3EA0950A-06D9-421B-AE10-3C0307217AEA}"/>
    <cellStyle name="쉼표 [0] 3" xfId="26" xr:uid="{DB12AB30-7A5E-4A7D-ACDC-21B7E52B1C2C}"/>
    <cellStyle name="쉼표 [0] 3 2" xfId="112" xr:uid="{110CE96B-2C9C-4C4F-99C6-0C5CBA0181F9}"/>
    <cellStyle name="쉼표 [0] 4" xfId="29" xr:uid="{B989A0C2-5303-4B07-8BD2-DC7B14E9168F}"/>
    <cellStyle name="쉼표 [0] 4 2" xfId="37" xr:uid="{74F92F5F-972A-43EB-B630-7A5935BB7C7A}"/>
    <cellStyle name="쉼표 [0] 5" xfId="36" xr:uid="{3B24BB5B-8349-4D1E-A48B-2BE5C1AC9DA9}"/>
    <cellStyle name="쉼표 [0] 5 2" xfId="113" xr:uid="{27459425-EE2C-4756-A640-04A7BF311545}"/>
    <cellStyle name="쉼표 [0] 6" xfId="86" xr:uid="{42485112-94B7-46FC-A999-FDDA55519FE3}"/>
    <cellStyle name="쉼표 [0] 7" xfId="87" xr:uid="{5641C1BA-A24F-404F-A389-EB677BD4BF04}"/>
    <cellStyle name="쉼표 [0] 8" xfId="101" xr:uid="{06BB4C2B-AB8B-4EF4-9610-F5E634B47B76}"/>
    <cellStyle name="쉼표 [0] 9" xfId="104" xr:uid="{A2EB4B29-6CE6-41FF-B64C-BDC39F93E890}"/>
    <cellStyle name="쉼표 2" xfId="88" xr:uid="{FD937E9A-49BE-47BF-91BE-7B502C143826}"/>
    <cellStyle name="쉼표 2 2" xfId="122" xr:uid="{C2D21F81-DD14-4A12-AA91-EFB892E17ED8}"/>
    <cellStyle name="스타일 왼쪽오른쪽" xfId="89" xr:uid="{DAD7591E-BB87-4909-8981-D3525B564329}"/>
    <cellStyle name="스타일_선없슴" xfId="90" xr:uid="{92925219-9DCF-400C-A544-0B0DFADFE557}"/>
    <cellStyle name="총합계열" xfId="91" xr:uid="{809DE029-CE4F-4E03-BFE6-219ABF46FB86}"/>
    <cellStyle name="총합계행" xfId="92" xr:uid="{84072234-36B6-4F2A-BD75-2663E0702DF5}"/>
    <cellStyle name="표시형식" xfId="93" xr:uid="{C1D62915-9EDA-4E08-A2E8-5096457DB9E6}"/>
    <cellStyle name="표준 10" xfId="107" xr:uid="{7B90AB9E-A503-494F-8CCB-6E462F53D332}"/>
    <cellStyle name="표준 11" xfId="116" xr:uid="{6EE14E2E-D512-4419-8B03-05C3733B8A4A}"/>
    <cellStyle name="표준 15" xfId="94" xr:uid="{22149143-2FE3-4736-A032-53B78C1800CF}"/>
    <cellStyle name="표준 2" xfId="18" xr:uid="{DE612D97-2ECD-41BC-9559-29C65944C252}"/>
    <cellStyle name="표준 2 17" xfId="9" xr:uid="{AF72F837-3D53-4DD4-B261-3303AD465DB5}"/>
    <cellStyle name="표준 2 2" xfId="114" xr:uid="{96A5E1A2-2439-4A16-AB77-FCBC4E54CD62}"/>
    <cellStyle name="표준 2 2 2" xfId="95" xr:uid="{EDF287E2-4DE1-4B42-9BA9-C72F2C9938D5}"/>
    <cellStyle name="표준 2 2 3 2" xfId="30" xr:uid="{6CB21550-EA6E-485F-ACCD-07F77CD0D7CF}"/>
    <cellStyle name="표준 2 3" xfId="115" xr:uid="{83EAEB3D-067D-4CBD-A327-3FEE39743E43}"/>
    <cellStyle name="표준 2 4" xfId="96" xr:uid="{9EB134FB-4D4E-4A7A-AE84-4D168A585C59}"/>
    <cellStyle name="표준 2 5" xfId="25" xr:uid="{37E76578-BE6B-4C4E-AEBA-AB95C50103AA}"/>
    <cellStyle name="표준 23" xfId="97" xr:uid="{6A12AD9F-AA0A-4718-8D60-5FED643F6FFE}"/>
    <cellStyle name="표준 3" xfId="27" xr:uid="{74EB8E90-B88E-48E4-8E16-23E0A6D5F367}"/>
    <cellStyle name="표준 3 3 2" xfId="31" xr:uid="{20E093B7-18A4-4778-A167-E44FC682C852}"/>
    <cellStyle name="표준 4" xfId="28" xr:uid="{97051483-2EB9-4F48-B075-0B48589BD0EC}"/>
    <cellStyle name="표준 5" xfId="34" xr:uid="{BB291C1C-06E5-41A9-A3B8-D2AE279BA80B}"/>
    <cellStyle name="표준 5 2" xfId="105" xr:uid="{F40D7454-0AB1-4D99-8254-FBDBFC1A0667}"/>
    <cellStyle name="표준 6" xfId="35" xr:uid="{FE138A80-9582-44D2-A388-95E6121EFBA9}"/>
    <cellStyle name="표준 7" xfId="98" xr:uid="{13867074-DC1B-42EF-AC25-432D3CB15C4D}"/>
    <cellStyle name="표준 79" xfId="99" xr:uid="{AE978DFD-52CE-42E6-8BE3-5A894A4BB0AD}"/>
    <cellStyle name="표준 8" xfId="100" xr:uid="{59A76A95-B002-48E4-81C1-D69739F8636F}"/>
    <cellStyle name="표준 9" xfId="102" xr:uid="{8BE44D6F-B149-4FEB-86A5-DC839C3DFB2D}"/>
  </cellStyles>
  <dxfs count="34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2" defaultTableStyle="TableStyleMedium2" defaultPivotStyle="PivotStyleLight16">
    <tableStyle name="Table Style 1" pivot="0" count="0" xr9:uid="{2A4F9989-776E-4B62-A9E0-2A0F89C41814}"/>
    <tableStyle name="Table Style 2" pivot="0" count="0" xr9:uid="{D7A9B14B-2C63-4128-86C2-265D07C495C4}"/>
  </tableStyles>
  <colors>
    <mruColors>
      <color rgb="FFDC14E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128</xdr:row>
      <xdr:rowOff>0</xdr:rowOff>
    </xdr:from>
    <xdr:to>
      <xdr:col>19</xdr:col>
      <xdr:colOff>2236721</xdr:colOff>
      <xdr:row>159</xdr:row>
      <xdr:rowOff>104024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47256F-16E6-4852-A41A-23D9C1DE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0" y="23393400"/>
          <a:ext cx="13228571" cy="600952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Albany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bany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948EA-0848-4CD4-8B6A-41ADD12B7A30}">
  <sheetPr>
    <tabColor theme="4" tint="0.79998168889431442"/>
  </sheetPr>
  <dimension ref="A1:BC1855"/>
  <sheetViews>
    <sheetView zoomScale="96" zoomScaleNormal="96" workbookViewId="0">
      <pane ySplit="2" topLeftCell="A1843" activePane="bottomLeft" state="frozen"/>
      <selection pane="bottomLeft" activeCell="D1475" sqref="D1475:D1855"/>
    </sheetView>
  </sheetViews>
  <sheetFormatPr defaultColWidth="9.5703125" defaultRowHeight="15"/>
  <cols>
    <col min="1" max="1" width="3.28515625" style="259" customWidth="1"/>
    <col min="2" max="3" width="8.85546875" style="259" customWidth="1"/>
    <col min="4" max="4" width="4.28515625" style="262" customWidth="1"/>
    <col min="5" max="5" width="10.7109375" style="262" customWidth="1"/>
    <col min="6" max="7" width="5.7109375" style="262" customWidth="1"/>
    <col min="8" max="8" width="3.85546875" style="262" customWidth="1"/>
    <col min="9" max="9" width="8.85546875" style="262" customWidth="1"/>
    <col min="10" max="10" width="8.42578125" style="262" customWidth="1"/>
    <col min="11" max="11" width="19.42578125" style="262" customWidth="1"/>
    <col min="12" max="12" width="25.140625" style="262" customWidth="1"/>
    <col min="13" max="13" width="11" style="1" customWidth="1"/>
    <col min="14" max="17" width="9.7109375" style="1" customWidth="1"/>
    <col min="18" max="18" width="9.7109375" style="258" customWidth="1"/>
    <col min="19" max="19" width="10" style="262" customWidth="1"/>
    <col min="20" max="20" width="3.5703125" style="262" customWidth="1"/>
    <col min="21" max="21" width="8.42578125" style="262" customWidth="1"/>
    <col min="22" max="22" width="20.28515625" style="262" customWidth="1"/>
    <col min="23" max="23" width="7.140625" style="262" customWidth="1"/>
    <col min="24" max="24" width="8.140625" style="262" bestFit="1" customWidth="1"/>
    <col min="25" max="25" width="11.7109375" style="262" customWidth="1"/>
    <col min="26" max="26" width="9.42578125" style="262" bestFit="1" customWidth="1"/>
    <col min="27" max="27" width="14.85546875" style="262" customWidth="1"/>
    <col min="28" max="28" width="13" style="262" customWidth="1"/>
    <col min="29" max="29" width="10.42578125" style="262" customWidth="1"/>
    <col min="30" max="30" width="8.5703125" style="262" customWidth="1"/>
    <col min="31" max="31" width="12.42578125" style="262" customWidth="1"/>
    <col min="32" max="32" width="16.140625" style="262" customWidth="1"/>
    <col min="33" max="33" width="11" style="262" customWidth="1"/>
    <col min="34" max="34" width="7.5703125" style="262" customWidth="1"/>
    <col min="35" max="35" width="14" style="262" customWidth="1"/>
    <col min="36" max="36" width="13.7109375" style="262" customWidth="1"/>
    <col min="37" max="37" width="4.7109375" style="262" customWidth="1"/>
    <col min="38" max="38" width="7.85546875" style="274" customWidth="1"/>
    <col min="39" max="39" width="5.28515625" style="262" customWidth="1"/>
    <col min="40" max="40" width="8.28515625" style="262" bestFit="1" customWidth="1"/>
    <col min="41" max="41" width="12.5703125" style="262" bestFit="1" customWidth="1"/>
    <col min="42" max="42" width="8.5703125" style="262" bestFit="1" customWidth="1"/>
    <col min="43" max="43" width="10.7109375" style="262" bestFit="1" customWidth="1"/>
    <col min="44" max="44" width="26.7109375" style="262" bestFit="1" customWidth="1"/>
    <col min="45" max="45" width="23" style="262" bestFit="1" customWidth="1"/>
    <col min="46" max="46" width="14.85546875" style="262" bestFit="1" customWidth="1"/>
    <col min="47" max="47" width="8.7109375" style="262" customWidth="1"/>
    <col min="48" max="49" width="9.5703125" style="262"/>
    <col min="50" max="50" width="24.28515625" style="262" customWidth="1"/>
    <col min="51" max="16384" width="9.5703125" style="262"/>
  </cols>
  <sheetData>
    <row r="1" spans="1:55">
      <c r="I1" s="1"/>
      <c r="J1" s="1"/>
      <c r="K1" s="1"/>
      <c r="L1" s="1"/>
      <c r="P1" s="433" t="s">
        <v>4429</v>
      </c>
      <c r="S1" s="257"/>
      <c r="V1" s="275"/>
      <c r="X1" s="454">
        <f>SUBTOTAL(9,X2:X2700)</f>
        <v>5531652</v>
      </c>
      <c r="Y1" s="454">
        <f>SUBTOTAL(9,Y2:Y2700)</f>
        <v>2476405165</v>
      </c>
      <c r="Z1" s="260">
        <f>AA1/Y1</f>
        <v>0.49844354350030712</v>
      </c>
      <c r="AA1" s="358">
        <f>SUBTOTAL(9,AA2:AA2700)</f>
        <v>1234348165.5850627</v>
      </c>
      <c r="AD1" s="358">
        <f>SUBTOTAL(9,AD2:AD2700)</f>
        <v>0</v>
      </c>
      <c r="AE1" s="358">
        <f>SUBTOTAL(9,AE2:AE2700)</f>
        <v>2154680.9212499987</v>
      </c>
      <c r="AF1" s="358">
        <f>SUBTOTAL(9,AF2:AF2700)</f>
        <v>1236968103.5463142</v>
      </c>
    </row>
    <row r="2" spans="1:55" ht="15.75" thickBot="1">
      <c r="A2" s="303" t="s">
        <v>1051</v>
      </c>
      <c r="B2" s="303" t="s">
        <v>1052</v>
      </c>
      <c r="C2" s="303" t="s">
        <v>1053</v>
      </c>
      <c r="D2" s="303" t="s">
        <v>1</v>
      </c>
      <c r="E2" s="303" t="s">
        <v>2</v>
      </c>
      <c r="F2" s="303" t="s">
        <v>3</v>
      </c>
      <c r="G2" s="264" t="s">
        <v>4</v>
      </c>
      <c r="H2" s="264" t="s">
        <v>5</v>
      </c>
      <c r="I2" s="463" t="s">
        <v>4093</v>
      </c>
      <c r="J2" s="463" t="s">
        <v>4094</v>
      </c>
      <c r="K2" s="272" t="s">
        <v>4095</v>
      </c>
      <c r="L2" s="272" t="s">
        <v>4096</v>
      </c>
      <c r="M2" s="464" t="s">
        <v>4097</v>
      </c>
      <c r="N2" s="464" t="s">
        <v>4098</v>
      </c>
      <c r="O2" s="465" t="s">
        <v>4099</v>
      </c>
      <c r="P2" s="464" t="s">
        <v>4100</v>
      </c>
      <c r="Q2" s="463" t="s">
        <v>14</v>
      </c>
      <c r="R2" s="463" t="s">
        <v>15</v>
      </c>
      <c r="S2" s="463" t="s">
        <v>16</v>
      </c>
      <c r="T2" s="463" t="s">
        <v>17</v>
      </c>
      <c r="U2" s="272" t="s">
        <v>4101</v>
      </c>
      <c r="V2" s="272" t="s">
        <v>4102</v>
      </c>
      <c r="W2" s="272" t="s">
        <v>4103</v>
      </c>
      <c r="X2" s="466" t="s">
        <v>1055</v>
      </c>
      <c r="Y2" s="463" t="s">
        <v>4104</v>
      </c>
      <c r="Z2" s="463" t="s">
        <v>1057</v>
      </c>
      <c r="AA2" s="463" t="s">
        <v>26</v>
      </c>
      <c r="AB2" s="463" t="s">
        <v>4105</v>
      </c>
      <c r="AC2" s="463" t="s">
        <v>4106</v>
      </c>
      <c r="AD2" s="463" t="s">
        <v>4107</v>
      </c>
      <c r="AE2" s="463" t="s">
        <v>1061</v>
      </c>
      <c r="AF2" s="463" t="s">
        <v>4108</v>
      </c>
      <c r="AG2" s="463" t="s">
        <v>30</v>
      </c>
      <c r="AH2" s="463" t="s">
        <v>31</v>
      </c>
      <c r="AI2" s="463" t="s">
        <v>4109</v>
      </c>
      <c r="AJ2" s="463" t="s">
        <v>33</v>
      </c>
      <c r="AK2" s="463" t="s">
        <v>34</v>
      </c>
      <c r="AL2" s="463" t="s">
        <v>35</v>
      </c>
      <c r="AM2" s="463" t="s">
        <v>36</v>
      </c>
      <c r="AN2" s="463" t="s">
        <v>37</v>
      </c>
      <c r="AO2" s="463" t="s">
        <v>4110</v>
      </c>
      <c r="AP2" s="463" t="s">
        <v>1062</v>
      </c>
      <c r="AQ2" s="463" t="s">
        <v>4111</v>
      </c>
      <c r="AR2" s="463" t="s">
        <v>1064</v>
      </c>
      <c r="AS2" s="463" t="s">
        <v>1</v>
      </c>
      <c r="AT2" s="463" t="s">
        <v>4112</v>
      </c>
      <c r="AU2" s="272" t="s">
        <v>4268</v>
      </c>
      <c r="AX2" s="256" t="s">
        <v>1503</v>
      </c>
      <c r="AY2" s="256" t="s">
        <v>381</v>
      </c>
      <c r="AZ2" s="256" t="s">
        <v>1504</v>
      </c>
      <c r="BA2" s="256" t="s">
        <v>1504</v>
      </c>
      <c r="BB2" s="261" t="s">
        <v>1505</v>
      </c>
      <c r="BC2" s="261" t="s">
        <v>1506</v>
      </c>
    </row>
    <row r="3" spans="1:55" ht="15.75" thickTop="1">
      <c r="A3" s="377"/>
      <c r="B3" s="376"/>
      <c r="C3" s="376"/>
      <c r="D3" s="405" t="s">
        <v>1066</v>
      </c>
      <c r="E3" s="364"/>
      <c r="F3" s="405" t="s">
        <v>1074</v>
      </c>
      <c r="G3" s="405">
        <v>2022</v>
      </c>
      <c r="H3" s="405">
        <v>5</v>
      </c>
      <c r="I3" s="416" t="s">
        <v>1434</v>
      </c>
      <c r="J3" s="406">
        <v>44682</v>
      </c>
      <c r="K3" s="414" t="s">
        <v>1076</v>
      </c>
      <c r="L3" s="406" t="s">
        <v>1077</v>
      </c>
      <c r="M3" s="406">
        <v>44657</v>
      </c>
      <c r="N3" s="406">
        <v>44671</v>
      </c>
      <c r="O3" s="406"/>
      <c r="P3" s="406">
        <v>44672</v>
      </c>
      <c r="Q3" s="406">
        <v>44678</v>
      </c>
      <c r="R3" s="406">
        <v>44682</v>
      </c>
      <c r="S3" s="405" t="s">
        <v>1078</v>
      </c>
      <c r="T3" s="405">
        <v>72</v>
      </c>
      <c r="U3" s="405">
        <v>30397571</v>
      </c>
      <c r="V3" s="405" t="s">
        <v>1068</v>
      </c>
      <c r="W3" s="407">
        <v>475</v>
      </c>
      <c r="X3" s="371">
        <v>638</v>
      </c>
      <c r="Y3" s="422">
        <f>W3*X3</f>
        <v>303050</v>
      </c>
      <c r="Z3" s="409">
        <v>0.53</v>
      </c>
      <c r="AA3" s="423">
        <f t="shared" ref="AA3:AA9" si="0">Z3*Y3</f>
        <v>160616.5</v>
      </c>
      <c r="AB3" s="362"/>
      <c r="AC3" s="412">
        <f t="shared" ref="AC3:AC9" si="1">AB3*Y3</f>
        <v>0</v>
      </c>
      <c r="AD3" s="405"/>
      <c r="AE3" s="413"/>
      <c r="AF3" s="424">
        <f t="shared" ref="AF3:AF44" si="2">AE3+AD3+AA3</f>
        <v>160616.5</v>
      </c>
      <c r="AG3" s="405" t="s">
        <v>47</v>
      </c>
      <c r="AH3" s="395">
        <v>30</v>
      </c>
      <c r="AI3" s="405">
        <v>30</v>
      </c>
      <c r="AJ3" s="405" t="s">
        <v>1080</v>
      </c>
      <c r="AK3" s="405" t="s">
        <v>1081</v>
      </c>
      <c r="AL3" s="425">
        <v>32218</v>
      </c>
      <c r="AM3" s="405" t="s">
        <v>52</v>
      </c>
      <c r="AN3" s="405" t="s">
        <v>1136</v>
      </c>
      <c r="AO3" s="405"/>
      <c r="AP3" s="405" t="s">
        <v>92</v>
      </c>
      <c r="AQ3" s="405" t="s">
        <v>1083</v>
      </c>
      <c r="AR3" s="405"/>
      <c r="AS3" s="363" t="s">
        <v>1084</v>
      </c>
      <c r="AT3" s="363" t="s">
        <v>1073</v>
      </c>
      <c r="AU3" s="402"/>
      <c r="AV3" s="402">
        <f t="shared" ref="AV3:AV8" si="3">U3</f>
        <v>30397571</v>
      </c>
      <c r="AW3" s="402" cm="1">
        <f t="array" ref="AW3">SUM(MID(0&amp;AV3,LARGE(INDEX(ISNUMBER(--MID(AV3,ROW($1:$8),1))*ROW($1:$8),),ROW($1:$8))+1,1)*10^ROW($1:$8)/10)</f>
        <v>30397571</v>
      </c>
      <c r="AX3" s="402" t="str">
        <f>VLOOKUP($AW3,'Item Master Data'!$A:$F,3,FALSE)</f>
        <v>Q.PEAK DUO XL G10 BFG</v>
      </c>
      <c r="AY3" s="402">
        <f>VLOOKUP($AW3,'Item Master Data'!$A:$F,6,FALSE)</f>
        <v>475</v>
      </c>
      <c r="AZ3" s="402">
        <f t="shared" ref="AZ3:AZ8" si="4">X3/BA3</f>
        <v>22</v>
      </c>
      <c r="BA3" s="402">
        <f>VLOOKUP(AW3,'Item Master Data'!$A:$G,7,FALSE)</f>
        <v>29</v>
      </c>
      <c r="BB3" s="402"/>
      <c r="BC3" s="402">
        <f t="shared" ref="BC3:BC8" si="5">W3-AY3</f>
        <v>0</v>
      </c>
    </row>
    <row r="4" spans="1:55">
      <c r="A4" s="377"/>
      <c r="B4" s="376"/>
      <c r="C4" s="376"/>
      <c r="D4" s="405" t="s">
        <v>1066</v>
      </c>
      <c r="E4" s="364" t="s">
        <v>1158</v>
      </c>
      <c r="F4" s="405" t="s">
        <v>1074</v>
      </c>
      <c r="G4" s="405">
        <v>2022</v>
      </c>
      <c r="H4" s="405">
        <v>6</v>
      </c>
      <c r="I4" s="416"/>
      <c r="J4" s="406"/>
      <c r="K4" s="405" t="s">
        <v>4057</v>
      </c>
      <c r="L4" s="406" t="s">
        <v>4058</v>
      </c>
      <c r="M4" s="406">
        <v>44664</v>
      </c>
      <c r="N4" s="406">
        <v>44741</v>
      </c>
      <c r="O4" s="406"/>
      <c r="P4" s="406"/>
      <c r="Q4" s="406"/>
      <c r="R4" s="406"/>
      <c r="S4" s="405" t="s">
        <v>4059</v>
      </c>
      <c r="T4" s="405">
        <v>72</v>
      </c>
      <c r="U4" s="405"/>
      <c r="V4" s="405" t="s">
        <v>1068</v>
      </c>
      <c r="W4" s="407">
        <v>480</v>
      </c>
      <c r="X4" s="371">
        <v>12209</v>
      </c>
      <c r="Y4" s="422">
        <f>W4*X4</f>
        <v>5860320</v>
      </c>
      <c r="Z4" s="409">
        <v>0.54</v>
      </c>
      <c r="AA4" s="410">
        <f t="shared" si="0"/>
        <v>3164572.8000000003</v>
      </c>
      <c r="AB4" s="362"/>
      <c r="AC4" s="412">
        <f t="shared" si="1"/>
        <v>0</v>
      </c>
      <c r="AD4" s="405"/>
      <c r="AE4" s="413"/>
      <c r="AF4" s="424">
        <f t="shared" si="2"/>
        <v>3164572.8000000003</v>
      </c>
      <c r="AG4" s="405" t="s">
        <v>47</v>
      </c>
      <c r="AH4" s="395">
        <v>100</v>
      </c>
      <c r="AI4" s="405">
        <v>0</v>
      </c>
      <c r="AJ4" s="405" t="s">
        <v>4060</v>
      </c>
      <c r="AK4" s="405" t="s">
        <v>1092</v>
      </c>
      <c r="AL4" s="425">
        <v>1475</v>
      </c>
      <c r="AM4" s="405" t="s">
        <v>52</v>
      </c>
      <c r="AN4" s="405" t="s">
        <v>1071</v>
      </c>
      <c r="AO4" s="405"/>
      <c r="AP4" s="405"/>
      <c r="AQ4" s="405" t="s">
        <v>1083</v>
      </c>
      <c r="AR4" s="405"/>
      <c r="AS4" s="369" t="s">
        <v>1084</v>
      </c>
      <c r="AT4" s="363" t="s">
        <v>1073</v>
      </c>
      <c r="AU4" s="403"/>
      <c r="AV4" s="402">
        <f t="shared" si="3"/>
        <v>0</v>
      </c>
      <c r="AW4" s="402" cm="1">
        <f t="array" ref="AW4">SUM(MID(0&amp;AV4,LARGE(INDEX(ISNUMBER(--MID(AV4,ROW($1:$8),1))*ROW($1:$8),),ROW($1:$8))+1,1)*10^ROW($1:$8)/10)</f>
        <v>0</v>
      </c>
      <c r="AX4" s="402" t="e">
        <f>VLOOKUP($AW4,'Item Master Data'!$A:$F,3,FALSE)</f>
        <v>#N/A</v>
      </c>
      <c r="AY4" s="402" t="e">
        <f>VLOOKUP($AW4,'Item Master Data'!$A:$F,6,FALSE)</f>
        <v>#N/A</v>
      </c>
      <c r="AZ4" s="402" t="e">
        <f t="shared" si="4"/>
        <v>#N/A</v>
      </c>
      <c r="BA4" s="402" t="e">
        <f>VLOOKUP(AW4,'Item Master Data'!$A:$G,7,FALSE)</f>
        <v>#N/A</v>
      </c>
      <c r="BB4" s="402"/>
      <c r="BC4" s="402" t="e">
        <f t="shared" si="5"/>
        <v>#N/A</v>
      </c>
    </row>
    <row r="5" spans="1:55">
      <c r="A5" s="377" t="s">
        <v>4584</v>
      </c>
      <c r="B5" s="376" t="s">
        <v>1186</v>
      </c>
      <c r="C5" s="376" t="s">
        <v>1186</v>
      </c>
      <c r="D5" s="405" t="s">
        <v>1066</v>
      </c>
      <c r="E5" s="364"/>
      <c r="F5" s="405" t="s">
        <v>1139</v>
      </c>
      <c r="G5" s="405">
        <v>2022</v>
      </c>
      <c r="H5" s="405">
        <v>5</v>
      </c>
      <c r="I5" s="416">
        <v>128557</v>
      </c>
      <c r="J5" s="406">
        <v>44690</v>
      </c>
      <c r="K5" s="405" t="s">
        <v>3879</v>
      </c>
      <c r="L5" s="406" t="s">
        <v>1189</v>
      </c>
      <c r="M5" s="406">
        <v>44573</v>
      </c>
      <c r="N5" s="406">
        <v>44692</v>
      </c>
      <c r="O5" s="406"/>
      <c r="P5" s="406">
        <v>44680</v>
      </c>
      <c r="Q5" s="406">
        <v>44690</v>
      </c>
      <c r="R5" s="406">
        <v>44694</v>
      </c>
      <c r="S5" s="405" t="s">
        <v>1107</v>
      </c>
      <c r="T5" s="405">
        <v>60</v>
      </c>
      <c r="U5" s="405" t="s">
        <v>1559</v>
      </c>
      <c r="V5" s="405" t="s">
        <v>973</v>
      </c>
      <c r="W5" s="407">
        <v>400</v>
      </c>
      <c r="X5" s="371">
        <v>768</v>
      </c>
      <c r="Y5" s="422">
        <f>X5*W5</f>
        <v>307200</v>
      </c>
      <c r="Z5" s="409">
        <v>0.55000000000000004</v>
      </c>
      <c r="AA5" s="410">
        <f t="shared" si="0"/>
        <v>168960</v>
      </c>
      <c r="AB5" s="362"/>
      <c r="AC5" s="412">
        <f t="shared" si="1"/>
        <v>0</v>
      </c>
      <c r="AD5" s="405"/>
      <c r="AE5" s="413"/>
      <c r="AF5" s="424">
        <f t="shared" si="2"/>
        <v>168960</v>
      </c>
      <c r="AG5" s="405" t="s">
        <v>1069</v>
      </c>
      <c r="AH5" s="395">
        <v>0</v>
      </c>
      <c r="AI5" s="405">
        <v>60</v>
      </c>
      <c r="AJ5" s="405" t="s">
        <v>1190</v>
      </c>
      <c r="AK5" s="405" t="s">
        <v>1191</v>
      </c>
      <c r="AL5" s="425">
        <v>43125</v>
      </c>
      <c r="AM5" s="405" t="s">
        <v>52</v>
      </c>
      <c r="AN5" s="405" t="s">
        <v>50</v>
      </c>
      <c r="AO5" s="405"/>
      <c r="AP5" s="405" t="s">
        <v>38</v>
      </c>
      <c r="AQ5" s="405" t="s">
        <v>1083</v>
      </c>
      <c r="AR5" s="405" t="s">
        <v>1188</v>
      </c>
      <c r="AS5" s="369" t="s">
        <v>1084</v>
      </c>
      <c r="AT5" s="363" t="s">
        <v>1073</v>
      </c>
      <c r="AU5" s="403"/>
      <c r="AV5" s="402" t="str">
        <f t="shared" si="3"/>
        <v>30390156H</v>
      </c>
      <c r="AW5" s="402" cm="1">
        <f t="array" ref="AW5">SUM(MID(0&amp;AV5,LARGE(INDEX(ISNUMBER(--MID(AV5,ROW($1:$8),1))*ROW($1:$8),),ROW($1:$8))+1,1)*10^ROW($1:$8)/10)</f>
        <v>30390156</v>
      </c>
      <c r="AX5" s="402" t="str">
        <f>VLOOKUP($AW5,'Item Master Data'!$A:$F,3,FALSE)</f>
        <v>Q.PEAK DUO BLK ML G10+</v>
      </c>
      <c r="AY5" s="402">
        <f>VLOOKUP($AW5,'Item Master Data'!$A:$F,6,FALSE)</f>
        <v>400</v>
      </c>
      <c r="AZ5" s="402">
        <f t="shared" si="4"/>
        <v>24</v>
      </c>
      <c r="BA5" s="402">
        <f>VLOOKUP(AW5,'Item Master Data'!$A:$G,7,FALSE)</f>
        <v>32</v>
      </c>
      <c r="BB5" s="402"/>
      <c r="BC5" s="402">
        <f t="shared" si="5"/>
        <v>0</v>
      </c>
    </row>
    <row r="6" spans="1:55">
      <c r="A6" s="377" t="s">
        <v>4584</v>
      </c>
      <c r="B6" s="376"/>
      <c r="C6" s="376"/>
      <c r="D6" s="405" t="s">
        <v>1066</v>
      </c>
      <c r="E6" s="364" t="s">
        <v>4838</v>
      </c>
      <c r="F6" s="405"/>
      <c r="G6" s="405">
        <v>2022</v>
      </c>
      <c r="H6" s="405">
        <v>5</v>
      </c>
      <c r="I6" s="416" t="s">
        <v>1434</v>
      </c>
      <c r="J6" s="406">
        <v>44691</v>
      </c>
      <c r="K6" s="405" t="s">
        <v>1211</v>
      </c>
      <c r="L6" s="406" t="s">
        <v>1205</v>
      </c>
      <c r="M6" s="406">
        <v>44496</v>
      </c>
      <c r="N6" s="406">
        <v>44634</v>
      </c>
      <c r="O6" s="406"/>
      <c r="P6" s="406">
        <v>44663</v>
      </c>
      <c r="Q6" s="406">
        <v>44691</v>
      </c>
      <c r="R6" s="406">
        <v>44692</v>
      </c>
      <c r="S6" s="405" t="s">
        <v>1107</v>
      </c>
      <c r="T6" s="405">
        <v>60</v>
      </c>
      <c r="U6" s="405">
        <v>49203132</v>
      </c>
      <c r="V6" s="405" t="s">
        <v>986</v>
      </c>
      <c r="W6" s="407">
        <v>360</v>
      </c>
      <c r="X6" s="371">
        <v>832</v>
      </c>
      <c r="Y6" s="422">
        <f t="shared" ref="Y6:Y45" si="6">W6*X6</f>
        <v>299520</v>
      </c>
      <c r="Z6" s="409">
        <v>0.53</v>
      </c>
      <c r="AA6" s="410">
        <f t="shared" si="0"/>
        <v>158745.60000000001</v>
      </c>
      <c r="AB6" s="362"/>
      <c r="AC6" s="412">
        <f t="shared" si="1"/>
        <v>0</v>
      </c>
      <c r="AD6" s="405"/>
      <c r="AE6" s="413"/>
      <c r="AF6" s="424">
        <f t="shared" si="2"/>
        <v>158745.60000000001</v>
      </c>
      <c r="AG6" s="405" t="s">
        <v>1069</v>
      </c>
      <c r="AH6" s="395">
        <v>0</v>
      </c>
      <c r="AI6" s="405">
        <v>60</v>
      </c>
      <c r="AJ6" s="405" t="s">
        <v>1206</v>
      </c>
      <c r="AK6" s="405" t="s">
        <v>1207</v>
      </c>
      <c r="AL6" s="425" t="s">
        <v>1208</v>
      </c>
      <c r="AM6" s="405" t="s">
        <v>52</v>
      </c>
      <c r="AN6" s="405" t="s">
        <v>1071</v>
      </c>
      <c r="AO6" s="405"/>
      <c r="AP6" s="405"/>
      <c r="AQ6" s="405" t="s">
        <v>1083</v>
      </c>
      <c r="AR6" s="405"/>
      <c r="AS6" s="369" t="s">
        <v>1073</v>
      </c>
      <c r="AT6" s="363" t="s">
        <v>1073</v>
      </c>
      <c r="AU6" s="403"/>
      <c r="AV6" s="402">
        <f t="shared" si="3"/>
        <v>49203132</v>
      </c>
      <c r="AW6" s="402" cm="1">
        <f t="array" ref="AW6">SUM(MID(0&amp;AV6,LARGE(INDEX(ISNUMBER(--MID(AV6,ROW($1:$8),1))*ROW($1:$8),),ROW($1:$8))+1,1)*10^ROW($1:$8)/10)</f>
        <v>49203132</v>
      </c>
      <c r="AX6" s="402" t="str">
        <f>VLOOKUP($AW6,'Item Master Data'!$A:$F,3,FALSE)</f>
        <v>Q.PEAK DUO BLK G10+</v>
      </c>
      <c r="AY6" s="402">
        <f>VLOOKUP($AW6,'Item Master Data'!$A:$F,6,FALSE)</f>
        <v>360</v>
      </c>
      <c r="AZ6" s="402">
        <f t="shared" si="4"/>
        <v>26</v>
      </c>
      <c r="BA6" s="402">
        <f>VLOOKUP(AW6,'Item Master Data'!$A:$G,7,FALSE)</f>
        <v>32</v>
      </c>
      <c r="BB6" s="402"/>
      <c r="BC6" s="402">
        <f t="shared" si="5"/>
        <v>0</v>
      </c>
    </row>
    <row r="7" spans="1:55">
      <c r="A7" s="377" t="s">
        <v>4584</v>
      </c>
      <c r="B7" s="376">
        <v>44574</v>
      </c>
      <c r="C7" s="376">
        <v>44574</v>
      </c>
      <c r="D7" s="405" t="s">
        <v>1066</v>
      </c>
      <c r="E7" s="364" t="s">
        <v>4617</v>
      </c>
      <c r="F7" s="405"/>
      <c r="G7" s="405">
        <v>2022</v>
      </c>
      <c r="H7" s="405">
        <v>5</v>
      </c>
      <c r="I7" s="416">
        <v>128559</v>
      </c>
      <c r="J7" s="406">
        <v>44690</v>
      </c>
      <c r="K7" s="405" t="s">
        <v>1215</v>
      </c>
      <c r="L7" s="406" t="s">
        <v>1205</v>
      </c>
      <c r="M7" s="406">
        <v>44502</v>
      </c>
      <c r="N7" s="406">
        <v>44658</v>
      </c>
      <c r="O7" s="406"/>
      <c r="P7" s="406">
        <v>44680</v>
      </c>
      <c r="Q7" s="406">
        <v>44690</v>
      </c>
      <c r="R7" s="406">
        <v>44694</v>
      </c>
      <c r="S7" s="405" t="s">
        <v>1107</v>
      </c>
      <c r="T7" s="405">
        <v>60</v>
      </c>
      <c r="U7" s="405" t="s">
        <v>1237</v>
      </c>
      <c r="V7" s="405" t="s">
        <v>973</v>
      </c>
      <c r="W7" s="407">
        <v>400</v>
      </c>
      <c r="X7" s="371">
        <v>768</v>
      </c>
      <c r="Y7" s="422">
        <f t="shared" si="6"/>
        <v>307200</v>
      </c>
      <c r="Z7" s="409">
        <v>0.55000000000000004</v>
      </c>
      <c r="AA7" s="410">
        <f t="shared" si="0"/>
        <v>168960</v>
      </c>
      <c r="AB7" s="362"/>
      <c r="AC7" s="412">
        <f t="shared" si="1"/>
        <v>0</v>
      </c>
      <c r="AD7" s="405"/>
      <c r="AE7" s="413"/>
      <c r="AF7" s="424">
        <f t="shared" si="2"/>
        <v>168960</v>
      </c>
      <c r="AG7" s="405" t="s">
        <v>1069</v>
      </c>
      <c r="AH7" s="395">
        <v>0</v>
      </c>
      <c r="AI7" s="405">
        <v>60</v>
      </c>
      <c r="AJ7" s="405" t="s">
        <v>1206</v>
      </c>
      <c r="AK7" s="405" t="s">
        <v>1207</v>
      </c>
      <c r="AL7" s="425" t="s">
        <v>1208</v>
      </c>
      <c r="AM7" s="405" t="s">
        <v>52</v>
      </c>
      <c r="AN7" s="405" t="s">
        <v>50</v>
      </c>
      <c r="AO7" s="405"/>
      <c r="AP7" s="405" t="s">
        <v>92</v>
      </c>
      <c r="AQ7" s="405" t="s">
        <v>1083</v>
      </c>
      <c r="AR7" s="405" t="s">
        <v>1209</v>
      </c>
      <c r="AS7" s="369" t="s">
        <v>1073</v>
      </c>
      <c r="AT7" s="363" t="s">
        <v>1073</v>
      </c>
      <c r="AU7" s="403">
        <v>0.52</v>
      </c>
      <c r="AV7" s="402" t="str">
        <f t="shared" si="3"/>
        <v>30390456H</v>
      </c>
      <c r="AW7" s="402" cm="1">
        <f t="array" ref="AW7">SUM(MID(0&amp;AV7,LARGE(INDEX(ISNUMBER(--MID(AV7,ROW($1:$8),1))*ROW($1:$8),),ROW($1:$8))+1,1)*10^ROW($1:$8)/10)</f>
        <v>30390456</v>
      </c>
      <c r="AX7" s="402" t="str">
        <f>VLOOKUP($AW7,'Item Master Data'!$A:$F,3,FALSE)</f>
        <v>Q.PEAK DUO BLK ML G10+</v>
      </c>
      <c r="AY7" s="402">
        <f>VLOOKUP($AW7,'Item Master Data'!$A:$F,6,FALSE)</f>
        <v>400</v>
      </c>
      <c r="AZ7" s="402">
        <f t="shared" si="4"/>
        <v>24</v>
      </c>
      <c r="BA7" s="402">
        <f>VLOOKUP(AW7,'Item Master Data'!$A:$G,7,FALSE)</f>
        <v>32</v>
      </c>
      <c r="BB7" s="402"/>
      <c r="BC7" s="402">
        <f t="shared" si="5"/>
        <v>0</v>
      </c>
    </row>
    <row r="8" spans="1:55">
      <c r="A8" s="377" t="s">
        <v>4584</v>
      </c>
      <c r="B8" s="376"/>
      <c r="C8" s="376"/>
      <c r="D8" s="405" t="s">
        <v>1066</v>
      </c>
      <c r="E8" s="364"/>
      <c r="F8" s="405"/>
      <c r="G8" s="405">
        <v>2022</v>
      </c>
      <c r="H8" s="405">
        <v>5</v>
      </c>
      <c r="I8" s="416"/>
      <c r="J8" s="406"/>
      <c r="K8" s="405" t="s">
        <v>1212</v>
      </c>
      <c r="L8" s="406" t="s">
        <v>1205</v>
      </c>
      <c r="M8" s="406">
        <v>44496</v>
      </c>
      <c r="N8" s="406">
        <v>44634</v>
      </c>
      <c r="O8" s="406"/>
      <c r="P8" s="406">
        <v>44687</v>
      </c>
      <c r="Q8" s="406"/>
      <c r="R8" s="406"/>
      <c r="S8" s="405" t="s">
        <v>1107</v>
      </c>
      <c r="T8" s="405">
        <v>60</v>
      </c>
      <c r="U8" s="405">
        <v>49203132</v>
      </c>
      <c r="V8" s="405" t="s">
        <v>986</v>
      </c>
      <c r="W8" s="407">
        <v>360</v>
      </c>
      <c r="X8" s="371">
        <v>832</v>
      </c>
      <c r="Y8" s="422">
        <f t="shared" si="6"/>
        <v>299520</v>
      </c>
      <c r="Z8" s="409">
        <v>0.53</v>
      </c>
      <c r="AA8" s="410">
        <f t="shared" si="0"/>
        <v>158745.60000000001</v>
      </c>
      <c r="AB8" s="362"/>
      <c r="AC8" s="412">
        <f t="shared" si="1"/>
        <v>0</v>
      </c>
      <c r="AD8" s="405"/>
      <c r="AE8" s="413"/>
      <c r="AF8" s="424">
        <f t="shared" si="2"/>
        <v>158745.60000000001</v>
      </c>
      <c r="AG8" s="405" t="s">
        <v>1069</v>
      </c>
      <c r="AH8" s="395">
        <v>0</v>
      </c>
      <c r="AI8" s="405">
        <v>60</v>
      </c>
      <c r="AJ8" s="405" t="s">
        <v>1206</v>
      </c>
      <c r="AK8" s="405" t="s">
        <v>1207</v>
      </c>
      <c r="AL8" s="425" t="s">
        <v>1208</v>
      </c>
      <c r="AM8" s="405" t="s">
        <v>52</v>
      </c>
      <c r="AN8" s="405" t="s">
        <v>1101</v>
      </c>
      <c r="AO8" s="405"/>
      <c r="AP8" s="405"/>
      <c r="AQ8" s="405" t="s">
        <v>1083</v>
      </c>
      <c r="AR8" s="405"/>
      <c r="AS8" s="369" t="s">
        <v>1073</v>
      </c>
      <c r="AT8" s="363" t="s">
        <v>1073</v>
      </c>
      <c r="AU8" s="403"/>
      <c r="AV8" s="402">
        <f t="shared" si="3"/>
        <v>49203132</v>
      </c>
      <c r="AW8" s="402" cm="1">
        <f t="array" ref="AW8">SUM(MID(0&amp;AV8,LARGE(INDEX(ISNUMBER(--MID(AV8,ROW($1:$8),1))*ROW($1:$8),),ROW($1:$8))+1,1)*10^ROW($1:$8)/10)</f>
        <v>49203132</v>
      </c>
      <c r="AX8" s="402" t="str">
        <f>VLOOKUP($AW8,'Item Master Data'!$A:$F,3,FALSE)</f>
        <v>Q.PEAK DUO BLK G10+</v>
      </c>
      <c r="AY8" s="402">
        <f>VLOOKUP($AW8,'Item Master Data'!$A:$F,6,FALSE)</f>
        <v>360</v>
      </c>
      <c r="AZ8" s="402">
        <f t="shared" si="4"/>
        <v>26</v>
      </c>
      <c r="BA8" s="402">
        <f>VLOOKUP(AW8,'Item Master Data'!$A:$G,7,FALSE)</f>
        <v>32</v>
      </c>
      <c r="BB8" s="402"/>
      <c r="BC8" s="402">
        <f t="shared" si="5"/>
        <v>0</v>
      </c>
    </row>
    <row r="9" spans="1:55">
      <c r="A9" s="377" t="s">
        <v>4585</v>
      </c>
      <c r="B9" s="376">
        <v>44574</v>
      </c>
      <c r="C9" s="376">
        <v>44574</v>
      </c>
      <c r="D9" s="405" t="s">
        <v>1066</v>
      </c>
      <c r="E9" s="364"/>
      <c r="F9" s="405"/>
      <c r="G9" s="405">
        <v>2022</v>
      </c>
      <c r="H9" s="405">
        <v>5</v>
      </c>
      <c r="I9" s="416">
        <v>128559</v>
      </c>
      <c r="J9" s="406">
        <v>44690</v>
      </c>
      <c r="K9" s="405" t="s">
        <v>1215</v>
      </c>
      <c r="L9" s="406" t="s">
        <v>1205</v>
      </c>
      <c r="M9" s="406">
        <v>44502</v>
      </c>
      <c r="N9" s="406">
        <v>44658</v>
      </c>
      <c r="O9" s="406"/>
      <c r="P9" s="406">
        <v>44680</v>
      </c>
      <c r="Q9" s="406">
        <v>44690</v>
      </c>
      <c r="R9" s="406">
        <v>44694</v>
      </c>
      <c r="S9" s="405" t="s">
        <v>1107</v>
      </c>
      <c r="T9" s="405">
        <v>60</v>
      </c>
      <c r="U9" s="405" t="s">
        <v>1237</v>
      </c>
      <c r="V9" s="405" t="s">
        <v>973</v>
      </c>
      <c r="W9" s="407">
        <v>400</v>
      </c>
      <c r="X9" s="371">
        <v>768</v>
      </c>
      <c r="Y9" s="422">
        <f t="shared" si="6"/>
        <v>307200</v>
      </c>
      <c r="Z9" s="409">
        <v>0.55000000000000004</v>
      </c>
      <c r="AA9" s="410">
        <f t="shared" si="0"/>
        <v>168960</v>
      </c>
      <c r="AB9" s="362"/>
      <c r="AC9" s="412">
        <f t="shared" si="1"/>
        <v>0</v>
      </c>
      <c r="AD9" s="405"/>
      <c r="AE9" s="413"/>
      <c r="AF9" s="424">
        <f t="shared" si="2"/>
        <v>168960</v>
      </c>
      <c r="AG9" s="405" t="s">
        <v>1069</v>
      </c>
      <c r="AH9" s="395">
        <v>0</v>
      </c>
      <c r="AI9" s="405">
        <v>60</v>
      </c>
      <c r="AJ9" s="405" t="s">
        <v>1206</v>
      </c>
      <c r="AK9" s="405" t="s">
        <v>1207</v>
      </c>
      <c r="AL9" s="425" t="s">
        <v>1208</v>
      </c>
      <c r="AM9" s="405" t="s">
        <v>52</v>
      </c>
      <c r="AN9" s="405" t="s">
        <v>50</v>
      </c>
      <c r="AO9" s="405"/>
      <c r="AP9" s="405" t="s">
        <v>92</v>
      </c>
      <c r="AQ9" s="405" t="s">
        <v>1083</v>
      </c>
      <c r="AR9" s="405" t="s">
        <v>1209</v>
      </c>
      <c r="AS9" s="369" t="s">
        <v>1073</v>
      </c>
      <c r="AT9" s="363" t="s">
        <v>1073</v>
      </c>
      <c r="AU9" s="403">
        <v>0.52</v>
      </c>
      <c r="AV9" s="402"/>
      <c r="AW9" s="402"/>
      <c r="AX9" s="402"/>
      <c r="AY9" s="402"/>
      <c r="AZ9" s="402"/>
      <c r="BA9" s="402"/>
      <c r="BB9" s="402"/>
      <c r="BC9" s="402"/>
    </row>
    <row r="10" spans="1:55">
      <c r="A10" s="377" t="s">
        <v>4585</v>
      </c>
      <c r="B10" s="376"/>
      <c r="C10" s="376"/>
      <c r="D10" s="405" t="s">
        <v>1066</v>
      </c>
      <c r="E10" s="364" t="s">
        <v>4626</v>
      </c>
      <c r="F10" s="405"/>
      <c r="G10" s="405">
        <v>2022</v>
      </c>
      <c r="H10" s="405">
        <v>5</v>
      </c>
      <c r="I10" s="416"/>
      <c r="J10" s="406"/>
      <c r="K10" s="405" t="s">
        <v>4627</v>
      </c>
      <c r="L10" s="406" t="s">
        <v>1205</v>
      </c>
      <c r="M10" s="406">
        <v>44504</v>
      </c>
      <c r="N10" s="406">
        <v>44652</v>
      </c>
      <c r="O10" s="406"/>
      <c r="P10" s="406" t="s">
        <v>1368</v>
      </c>
      <c r="Q10" s="406"/>
      <c r="R10" s="406"/>
      <c r="S10" s="405" t="s">
        <v>1107</v>
      </c>
      <c r="T10" s="405">
        <v>60</v>
      </c>
      <c r="U10" s="405">
        <v>49203132</v>
      </c>
      <c r="V10" s="405" t="s">
        <v>986</v>
      </c>
      <c r="W10" s="407">
        <v>360</v>
      </c>
      <c r="X10" s="371">
        <v>1664</v>
      </c>
      <c r="Y10" s="422">
        <f t="shared" si="6"/>
        <v>599040</v>
      </c>
      <c r="Z10" s="409">
        <v>0.53</v>
      </c>
      <c r="AA10" s="410">
        <f>Z10*Y10</f>
        <v>317491.20000000001</v>
      </c>
      <c r="AB10" s="362"/>
      <c r="AC10" s="412">
        <f>AB10*Y10</f>
        <v>0</v>
      </c>
      <c r="AD10" s="405"/>
      <c r="AE10" s="413"/>
      <c r="AF10" s="424">
        <f t="shared" si="2"/>
        <v>317491.20000000001</v>
      </c>
      <c r="AG10" s="405" t="s">
        <v>1069</v>
      </c>
      <c r="AH10" s="395">
        <v>0</v>
      </c>
      <c r="AI10" s="405">
        <v>60</v>
      </c>
      <c r="AJ10" s="405" t="s">
        <v>1206</v>
      </c>
      <c r="AK10" s="405" t="s">
        <v>1207</v>
      </c>
      <c r="AL10" s="425" t="s">
        <v>1208</v>
      </c>
      <c r="AM10" s="405" t="s">
        <v>52</v>
      </c>
      <c r="AN10" s="405" t="s">
        <v>1071</v>
      </c>
      <c r="AO10" s="405"/>
      <c r="AP10" s="405"/>
      <c r="AQ10" s="405" t="s">
        <v>1083</v>
      </c>
      <c r="AR10" s="405"/>
      <c r="AS10" s="369" t="s">
        <v>1073</v>
      </c>
      <c r="AT10" s="363" t="s">
        <v>1073</v>
      </c>
      <c r="AU10" s="403"/>
      <c r="AV10" s="402">
        <f>U10</f>
        <v>49203132</v>
      </c>
      <c r="AW10" s="402" cm="1">
        <f t="array" ref="AW10">SUM(MID(0&amp;AV10,LARGE(INDEX(ISNUMBER(--MID(AV10,ROW($1:$8),1))*ROW($1:$8),),ROW($1:$8))+1,1)*10^ROW($1:$8)/10)</f>
        <v>49203132</v>
      </c>
      <c r="AX10" s="402" t="str">
        <f>VLOOKUP($AW10,'Item Master Data'!$A:$F,3,FALSE)</f>
        <v>Q.PEAK DUO BLK G10+</v>
      </c>
      <c r="AY10" s="402">
        <f>VLOOKUP($AW10,'Item Master Data'!$A:$F,6,FALSE)</f>
        <v>360</v>
      </c>
      <c r="AZ10" s="402">
        <f>X10/BA10</f>
        <v>52</v>
      </c>
      <c r="BA10" s="402">
        <f>VLOOKUP(AW10,'Item Master Data'!$A:$G,7,FALSE)</f>
        <v>32</v>
      </c>
      <c r="BB10" s="402"/>
      <c r="BC10" s="402">
        <f>W10-AY10</f>
        <v>0</v>
      </c>
    </row>
    <row r="11" spans="1:55">
      <c r="A11" s="377" t="s">
        <v>4585</v>
      </c>
      <c r="B11" s="376"/>
      <c r="C11" s="376"/>
      <c r="D11" s="405" t="s">
        <v>1066</v>
      </c>
      <c r="E11" s="364"/>
      <c r="F11" s="405"/>
      <c r="G11" s="405">
        <v>2022</v>
      </c>
      <c r="H11" s="405">
        <v>5</v>
      </c>
      <c r="I11" s="416">
        <v>128560</v>
      </c>
      <c r="J11" s="406">
        <v>44690</v>
      </c>
      <c r="K11" s="405" t="s">
        <v>1231</v>
      </c>
      <c r="L11" s="406" t="s">
        <v>1232</v>
      </c>
      <c r="M11" s="406">
        <v>44497</v>
      </c>
      <c r="N11" s="406">
        <v>44594</v>
      </c>
      <c r="O11" s="406" t="s">
        <v>1236</v>
      </c>
      <c r="P11" s="406">
        <v>44680</v>
      </c>
      <c r="Q11" s="406">
        <v>44690</v>
      </c>
      <c r="R11" s="406">
        <v>44693</v>
      </c>
      <c r="S11" s="405" t="s">
        <v>1107</v>
      </c>
      <c r="T11" s="405">
        <v>60</v>
      </c>
      <c r="U11" s="405" t="s">
        <v>1559</v>
      </c>
      <c r="V11" s="405" t="s">
        <v>973</v>
      </c>
      <c r="W11" s="407">
        <v>400</v>
      </c>
      <c r="X11" s="371">
        <v>1344</v>
      </c>
      <c r="Y11" s="422">
        <f t="shared" si="6"/>
        <v>537600</v>
      </c>
      <c r="Z11" s="409">
        <v>0.55000000000000004</v>
      </c>
      <c r="AA11" s="410">
        <f>Z11*Y11</f>
        <v>295680</v>
      </c>
      <c r="AB11" s="362"/>
      <c r="AC11" s="412">
        <f>AB11*Y11</f>
        <v>0</v>
      </c>
      <c r="AD11" s="405"/>
      <c r="AE11" s="413"/>
      <c r="AF11" s="424">
        <f t="shared" si="2"/>
        <v>295680</v>
      </c>
      <c r="AG11" s="405" t="s">
        <v>1069</v>
      </c>
      <c r="AH11" s="395"/>
      <c r="AI11" s="405">
        <v>60</v>
      </c>
      <c r="AJ11" s="405" t="s">
        <v>1233</v>
      </c>
      <c r="AK11" s="405" t="s">
        <v>1234</v>
      </c>
      <c r="AL11" s="425">
        <v>66105</v>
      </c>
      <c r="AM11" s="405" t="s">
        <v>52</v>
      </c>
      <c r="AN11" s="405" t="s">
        <v>50</v>
      </c>
      <c r="AO11" s="405"/>
      <c r="AP11" s="405" t="s">
        <v>92</v>
      </c>
      <c r="AQ11" s="405"/>
      <c r="AR11" s="405"/>
      <c r="AS11" s="369"/>
      <c r="AT11" s="363"/>
      <c r="AU11" s="403"/>
      <c r="AV11" s="402"/>
      <c r="AW11" s="402"/>
      <c r="AX11" s="402"/>
      <c r="AY11" s="402"/>
      <c r="AZ11" s="402"/>
      <c r="BA11" s="402"/>
      <c r="BB11" s="402"/>
      <c r="BC11" s="402"/>
    </row>
    <row r="12" spans="1:55">
      <c r="A12" s="377" t="s">
        <v>4584</v>
      </c>
      <c r="B12" s="376" t="s">
        <v>1186</v>
      </c>
      <c r="C12" s="376" t="s">
        <v>1186</v>
      </c>
      <c r="D12" s="405" t="s">
        <v>1066</v>
      </c>
      <c r="E12" s="364" t="s">
        <v>4618</v>
      </c>
      <c r="F12" s="405"/>
      <c r="G12" s="405">
        <v>2022</v>
      </c>
      <c r="H12" s="405">
        <v>5</v>
      </c>
      <c r="I12" s="416"/>
      <c r="J12" s="406"/>
      <c r="K12" s="405" t="s">
        <v>1242</v>
      </c>
      <c r="L12" s="406" t="s">
        <v>1232</v>
      </c>
      <c r="M12" s="406">
        <v>44517</v>
      </c>
      <c r="N12" s="406">
        <v>44562</v>
      </c>
      <c r="O12" s="406"/>
      <c r="P12" s="406">
        <v>44680</v>
      </c>
      <c r="Q12" s="406">
        <v>44691</v>
      </c>
      <c r="R12" s="406">
        <v>44694</v>
      </c>
      <c r="S12" s="405" t="s">
        <v>1107</v>
      </c>
      <c r="T12" s="405">
        <v>60</v>
      </c>
      <c r="U12" s="405" t="s">
        <v>1559</v>
      </c>
      <c r="V12" s="405" t="s">
        <v>973</v>
      </c>
      <c r="W12" s="407">
        <v>400</v>
      </c>
      <c r="X12" s="371">
        <v>768</v>
      </c>
      <c r="Y12" s="422">
        <f t="shared" si="6"/>
        <v>307200</v>
      </c>
      <c r="Z12" s="409">
        <v>0.55000000000000004</v>
      </c>
      <c r="AA12" s="410">
        <f>Z12*Y12</f>
        <v>168960</v>
      </c>
      <c r="AB12" s="362"/>
      <c r="AC12" s="412">
        <f>AB12*Y12</f>
        <v>0</v>
      </c>
      <c r="AD12" s="405"/>
      <c r="AE12" s="413"/>
      <c r="AF12" s="424">
        <f t="shared" si="2"/>
        <v>168960</v>
      </c>
      <c r="AG12" s="405" t="s">
        <v>1069</v>
      </c>
      <c r="AH12" s="395"/>
      <c r="AI12" s="405">
        <v>60</v>
      </c>
      <c r="AJ12" s="405" t="s">
        <v>1233</v>
      </c>
      <c r="AK12" s="405" t="s">
        <v>1234</v>
      </c>
      <c r="AL12" s="425" t="s">
        <v>1235</v>
      </c>
      <c r="AM12" s="405" t="s">
        <v>52</v>
      </c>
      <c r="AN12" s="405" t="s">
        <v>50</v>
      </c>
      <c r="AO12" s="405"/>
      <c r="AP12" s="405" t="s">
        <v>92</v>
      </c>
      <c r="AQ12" s="405"/>
      <c r="AR12" s="405" t="s">
        <v>1243</v>
      </c>
      <c r="AS12" s="369"/>
      <c r="AT12" s="363"/>
      <c r="AU12" s="403">
        <v>0.46500000000000002</v>
      </c>
      <c r="AV12" s="402" t="str">
        <f>U12</f>
        <v>30390156H</v>
      </c>
      <c r="AW12" s="402" cm="1">
        <f t="array" ref="AW12">SUM(MID(0&amp;AV12,LARGE(INDEX(ISNUMBER(--MID(AV12,ROW($1:$8),1))*ROW($1:$8),),ROW($1:$8))+1,1)*10^ROW($1:$8)/10)</f>
        <v>30390156</v>
      </c>
      <c r="AX12" s="402" t="str">
        <f>VLOOKUP($AW12,'Item Master Data'!$A:$F,3,FALSE)</f>
        <v>Q.PEAK DUO BLK ML G10+</v>
      </c>
      <c r="AY12" s="402">
        <f>VLOOKUP($AW12,'Item Master Data'!$A:$F,6,FALSE)</f>
        <v>400</v>
      </c>
      <c r="AZ12" s="402">
        <f>X12/BA12</f>
        <v>24</v>
      </c>
      <c r="BA12" s="402">
        <f>VLOOKUP(AW12,'Item Master Data'!$A:$G,7,FALSE)</f>
        <v>32</v>
      </c>
      <c r="BB12" s="402"/>
      <c r="BC12" s="402">
        <f>W12-AY12</f>
        <v>0</v>
      </c>
    </row>
    <row r="13" spans="1:55">
      <c r="A13" s="377" t="s">
        <v>4584</v>
      </c>
      <c r="B13" s="376" t="s">
        <v>1186</v>
      </c>
      <c r="C13" s="376" t="s">
        <v>1186</v>
      </c>
      <c r="D13" s="405" t="s">
        <v>1066</v>
      </c>
      <c r="E13" s="364" t="s">
        <v>1239</v>
      </c>
      <c r="F13" s="405"/>
      <c r="G13" s="405">
        <v>2022</v>
      </c>
      <c r="H13" s="405">
        <v>5</v>
      </c>
      <c r="I13" s="416"/>
      <c r="J13" s="406"/>
      <c r="K13" s="405" t="s">
        <v>1247</v>
      </c>
      <c r="L13" s="406" t="s">
        <v>1232</v>
      </c>
      <c r="M13" s="406">
        <v>44517</v>
      </c>
      <c r="N13" s="406">
        <v>44652</v>
      </c>
      <c r="O13" s="406"/>
      <c r="P13" s="406">
        <v>44687</v>
      </c>
      <c r="Q13" s="406"/>
      <c r="R13" s="406"/>
      <c r="S13" s="405" t="s">
        <v>1107</v>
      </c>
      <c r="T13" s="405">
        <v>60</v>
      </c>
      <c r="U13" s="405">
        <v>49203132</v>
      </c>
      <c r="V13" s="405" t="s">
        <v>986</v>
      </c>
      <c r="W13" s="407">
        <v>360</v>
      </c>
      <c r="X13" s="371">
        <v>1664</v>
      </c>
      <c r="Y13" s="422">
        <f t="shared" si="6"/>
        <v>599040</v>
      </c>
      <c r="Z13" s="409">
        <v>0.53</v>
      </c>
      <c r="AA13" s="410">
        <f>Z13*Y13</f>
        <v>317491.20000000001</v>
      </c>
      <c r="AB13" s="362"/>
      <c r="AC13" s="412">
        <f>AB13*Y13</f>
        <v>0</v>
      </c>
      <c r="AD13" s="405"/>
      <c r="AE13" s="413"/>
      <c r="AF13" s="424">
        <f t="shared" si="2"/>
        <v>317491.20000000001</v>
      </c>
      <c r="AG13" s="405" t="s">
        <v>1069</v>
      </c>
      <c r="AH13" s="395"/>
      <c r="AI13" s="405">
        <v>60</v>
      </c>
      <c r="AJ13" s="405" t="s">
        <v>1233</v>
      </c>
      <c r="AK13" s="405" t="s">
        <v>1234</v>
      </c>
      <c r="AL13" s="425" t="s">
        <v>1235</v>
      </c>
      <c r="AM13" s="405" t="s">
        <v>52</v>
      </c>
      <c r="AN13" s="405" t="s">
        <v>1101</v>
      </c>
      <c r="AO13" s="405"/>
      <c r="AP13" s="405"/>
      <c r="AQ13" s="405"/>
      <c r="AR13" s="405" t="s">
        <v>1188</v>
      </c>
      <c r="AS13" s="369"/>
      <c r="AT13" s="363"/>
      <c r="AU13" s="403"/>
      <c r="AV13" s="402">
        <f>U13</f>
        <v>49203132</v>
      </c>
      <c r="AW13" s="402" cm="1">
        <f t="array" ref="AW13">SUM(MID(0&amp;AV13,LARGE(INDEX(ISNUMBER(--MID(AV13,ROW($1:$8),1))*ROW($1:$8),),ROW($1:$8))+1,1)*10^ROW($1:$8)/10)</f>
        <v>49203132</v>
      </c>
      <c r="AX13" s="402" t="str">
        <f>VLOOKUP($AW13,'Item Master Data'!$A:$F,3,FALSE)</f>
        <v>Q.PEAK DUO BLK G10+</v>
      </c>
      <c r="AY13" s="402">
        <f>VLOOKUP($AW13,'Item Master Data'!$A:$F,6,FALSE)</f>
        <v>360</v>
      </c>
      <c r="AZ13" s="402">
        <f>X13/BA13</f>
        <v>52</v>
      </c>
      <c r="BA13" s="402">
        <f>VLOOKUP(AW13,'Item Master Data'!$A:$G,7,FALSE)</f>
        <v>32</v>
      </c>
      <c r="BB13" s="402"/>
      <c r="BC13" s="402">
        <f>W13-AY13</f>
        <v>0</v>
      </c>
    </row>
    <row r="14" spans="1:55">
      <c r="A14" s="377" t="s">
        <v>4585</v>
      </c>
      <c r="B14" s="376" t="s">
        <v>1186</v>
      </c>
      <c r="C14" s="376" t="s">
        <v>1186</v>
      </c>
      <c r="D14" s="405" t="s">
        <v>1066</v>
      </c>
      <c r="E14" s="364" t="s">
        <v>4629</v>
      </c>
      <c r="F14" s="405"/>
      <c r="G14" s="405">
        <v>2022</v>
      </c>
      <c r="H14" s="405">
        <v>5</v>
      </c>
      <c r="I14" s="416"/>
      <c r="J14" s="406"/>
      <c r="K14" s="405" t="s">
        <v>1248</v>
      </c>
      <c r="L14" s="406" t="s">
        <v>1232</v>
      </c>
      <c r="M14" s="406">
        <v>44517</v>
      </c>
      <c r="N14" s="406">
        <v>44652</v>
      </c>
      <c r="O14" s="406"/>
      <c r="P14" s="406" t="s">
        <v>1368</v>
      </c>
      <c r="Q14" s="406"/>
      <c r="R14" s="406"/>
      <c r="S14" s="405" t="s">
        <v>1107</v>
      </c>
      <c r="T14" s="405">
        <v>60</v>
      </c>
      <c r="U14" s="405">
        <v>49203132</v>
      </c>
      <c r="V14" s="405" t="s">
        <v>986</v>
      </c>
      <c r="W14" s="407">
        <v>360</v>
      </c>
      <c r="X14" s="371">
        <v>832</v>
      </c>
      <c r="Y14" s="422">
        <f t="shared" si="6"/>
        <v>299520</v>
      </c>
      <c r="Z14" s="409">
        <v>0.53</v>
      </c>
      <c r="AA14" s="410">
        <f>Z14*Y14</f>
        <v>158745.60000000001</v>
      </c>
      <c r="AB14" s="362"/>
      <c r="AC14" s="412">
        <f>AB14*Y14</f>
        <v>0</v>
      </c>
      <c r="AD14" s="405"/>
      <c r="AE14" s="413"/>
      <c r="AF14" s="424">
        <f t="shared" si="2"/>
        <v>158745.60000000001</v>
      </c>
      <c r="AG14" s="405" t="s">
        <v>1069</v>
      </c>
      <c r="AH14" s="395"/>
      <c r="AI14" s="405">
        <v>60</v>
      </c>
      <c r="AJ14" s="405" t="s">
        <v>1233</v>
      </c>
      <c r="AK14" s="405" t="s">
        <v>1234</v>
      </c>
      <c r="AL14" s="425" t="s">
        <v>1235</v>
      </c>
      <c r="AM14" s="405" t="s">
        <v>52</v>
      </c>
      <c r="AN14" s="405" t="s">
        <v>1071</v>
      </c>
      <c r="AO14" s="405"/>
      <c r="AP14" s="405"/>
      <c r="AQ14" s="405"/>
      <c r="AR14" s="405" t="s">
        <v>1188</v>
      </c>
      <c r="AS14" s="369"/>
      <c r="AT14" s="363"/>
      <c r="AU14" s="403"/>
      <c r="AV14" s="402">
        <f>U14</f>
        <v>49203132</v>
      </c>
      <c r="AW14" s="402" cm="1">
        <f t="array" ref="AW14">SUM(MID(0&amp;AV14,LARGE(INDEX(ISNUMBER(--MID(AV14,ROW($1:$8),1))*ROW($1:$8),),ROW($1:$8))+1,1)*10^ROW($1:$8)/10)</f>
        <v>49203132</v>
      </c>
      <c r="AX14" s="402" t="str">
        <f>VLOOKUP($AW14,'Item Master Data'!$A:$F,3,FALSE)</f>
        <v>Q.PEAK DUO BLK G10+</v>
      </c>
      <c r="AY14" s="402">
        <f>VLOOKUP($AW14,'Item Master Data'!$A:$F,6,FALSE)</f>
        <v>360</v>
      </c>
      <c r="AZ14" s="402">
        <f>X14/BA14</f>
        <v>26</v>
      </c>
      <c r="BA14" s="402">
        <f>VLOOKUP(AW14,'Item Master Data'!$A:$G,7,FALSE)</f>
        <v>32</v>
      </c>
      <c r="BB14" s="402"/>
      <c r="BC14" s="402">
        <f>W14-AY14</f>
        <v>0</v>
      </c>
    </row>
    <row r="15" spans="1:55">
      <c r="A15" s="377" t="s">
        <v>4584</v>
      </c>
      <c r="B15" s="376"/>
      <c r="C15" s="376"/>
      <c r="D15" s="405" t="s">
        <v>1066</v>
      </c>
      <c r="E15" s="364" t="s">
        <v>4838</v>
      </c>
      <c r="F15" s="405"/>
      <c r="G15" s="405">
        <v>2022</v>
      </c>
      <c r="H15" s="405">
        <v>5</v>
      </c>
      <c r="I15" s="416" t="s">
        <v>4230</v>
      </c>
      <c r="J15" s="406"/>
      <c r="K15" s="405" t="s">
        <v>1272</v>
      </c>
      <c r="L15" s="406" t="s">
        <v>1266</v>
      </c>
      <c r="M15" s="406">
        <v>44496</v>
      </c>
      <c r="N15" s="406">
        <v>44665</v>
      </c>
      <c r="O15" s="406"/>
      <c r="P15" s="406">
        <v>44663</v>
      </c>
      <c r="Q15" s="406"/>
      <c r="R15" s="406"/>
      <c r="S15" s="405" t="s">
        <v>1107</v>
      </c>
      <c r="T15" s="405">
        <v>60</v>
      </c>
      <c r="U15" s="405">
        <v>49203132</v>
      </c>
      <c r="V15" s="405" t="s">
        <v>986</v>
      </c>
      <c r="W15" s="407">
        <v>360</v>
      </c>
      <c r="X15" s="371">
        <v>832</v>
      </c>
      <c r="Y15" s="408">
        <f t="shared" si="6"/>
        <v>299520</v>
      </c>
      <c r="Z15" s="409">
        <v>0.53</v>
      </c>
      <c r="AA15" s="410">
        <f>Y15*Z15</f>
        <v>158745.60000000001</v>
      </c>
      <c r="AB15" s="362"/>
      <c r="AC15" s="412">
        <v>0</v>
      </c>
      <c r="AD15" s="405"/>
      <c r="AE15" s="413"/>
      <c r="AF15" s="424">
        <f t="shared" si="2"/>
        <v>158745.60000000001</v>
      </c>
      <c r="AG15" s="405" t="s">
        <v>1069</v>
      </c>
      <c r="AH15" s="395"/>
      <c r="AI15" s="405">
        <v>60</v>
      </c>
      <c r="AJ15" s="405" t="s">
        <v>1267</v>
      </c>
      <c r="AK15" s="405" t="s">
        <v>1117</v>
      </c>
      <c r="AL15" s="425" t="s">
        <v>1268</v>
      </c>
      <c r="AM15" s="405" t="s">
        <v>52</v>
      </c>
      <c r="AN15" s="405" t="s">
        <v>1071</v>
      </c>
      <c r="AO15" s="405"/>
      <c r="AP15" s="405"/>
      <c r="AQ15" s="405" t="s">
        <v>37</v>
      </c>
      <c r="AR15" s="405"/>
      <c r="AS15" s="369"/>
      <c r="AT15" s="363"/>
      <c r="AU15" s="403"/>
      <c r="AV15" s="402"/>
      <c r="AW15" s="402"/>
      <c r="AX15" s="402"/>
      <c r="AY15" s="402"/>
      <c r="AZ15" s="402"/>
      <c r="BA15" s="402"/>
      <c r="BB15" s="402"/>
      <c r="BC15" s="402"/>
    </row>
    <row r="16" spans="1:55">
      <c r="A16" s="377" t="s">
        <v>4584</v>
      </c>
      <c r="B16" s="376"/>
      <c r="C16" s="376"/>
      <c r="D16" s="405" t="s">
        <v>1066</v>
      </c>
      <c r="E16" s="364"/>
      <c r="F16" s="405"/>
      <c r="G16" s="405">
        <v>2022</v>
      </c>
      <c r="H16" s="405">
        <v>5</v>
      </c>
      <c r="I16" s="416" t="s">
        <v>4230</v>
      </c>
      <c r="J16" s="406"/>
      <c r="K16" s="405" t="s">
        <v>1272</v>
      </c>
      <c r="L16" s="406" t="s">
        <v>1266</v>
      </c>
      <c r="M16" s="406">
        <v>44496</v>
      </c>
      <c r="N16" s="406">
        <v>44665</v>
      </c>
      <c r="O16" s="406"/>
      <c r="P16" s="406">
        <v>44663</v>
      </c>
      <c r="Q16" s="406"/>
      <c r="R16" s="406"/>
      <c r="S16" s="405" t="s">
        <v>1107</v>
      </c>
      <c r="T16" s="405">
        <v>60</v>
      </c>
      <c r="U16" s="405">
        <v>49203132</v>
      </c>
      <c r="V16" s="405" t="s">
        <v>986</v>
      </c>
      <c r="W16" s="407">
        <v>360</v>
      </c>
      <c r="X16" s="371">
        <v>832</v>
      </c>
      <c r="Y16" s="422">
        <f t="shared" si="6"/>
        <v>299520</v>
      </c>
      <c r="Z16" s="409">
        <v>0.53</v>
      </c>
      <c r="AA16" s="410">
        <f>Y16*Z16</f>
        <v>158745.60000000001</v>
      </c>
      <c r="AB16" s="362"/>
      <c r="AC16" s="412">
        <v>0</v>
      </c>
      <c r="AD16" s="405"/>
      <c r="AE16" s="413"/>
      <c r="AF16" s="424">
        <f t="shared" si="2"/>
        <v>158745.60000000001</v>
      </c>
      <c r="AG16" s="405" t="s">
        <v>1069</v>
      </c>
      <c r="AH16" s="395"/>
      <c r="AI16" s="405">
        <v>60</v>
      </c>
      <c r="AJ16" s="405" t="s">
        <v>1267</v>
      </c>
      <c r="AK16" s="405" t="s">
        <v>1117</v>
      </c>
      <c r="AL16" s="425" t="s">
        <v>1268</v>
      </c>
      <c r="AM16" s="405" t="s">
        <v>52</v>
      </c>
      <c r="AN16" s="405" t="s">
        <v>1071</v>
      </c>
      <c r="AO16" s="405"/>
      <c r="AP16" s="405"/>
      <c r="AQ16" s="405" t="s">
        <v>37</v>
      </c>
      <c r="AR16" s="405"/>
      <c r="AS16" s="369"/>
      <c r="AT16" s="363"/>
      <c r="AU16" s="403"/>
      <c r="AV16" s="402"/>
      <c r="AW16" s="402"/>
      <c r="AX16" s="402"/>
      <c r="AY16" s="402"/>
      <c r="AZ16" s="402"/>
      <c r="BA16" s="402"/>
      <c r="BB16" s="402"/>
      <c r="BC16" s="402"/>
    </row>
    <row r="17" spans="1:55">
      <c r="A17" s="377" t="s">
        <v>4586</v>
      </c>
      <c r="B17" s="376"/>
      <c r="C17" s="376"/>
      <c r="D17" s="405" t="s">
        <v>1066</v>
      </c>
      <c r="E17" s="364"/>
      <c r="F17" s="405"/>
      <c r="G17" s="405">
        <v>2022</v>
      </c>
      <c r="H17" s="405">
        <v>5</v>
      </c>
      <c r="I17" s="416">
        <v>128561</v>
      </c>
      <c r="J17" s="406">
        <v>44685</v>
      </c>
      <c r="K17" s="405" t="s">
        <v>1274</v>
      </c>
      <c r="L17" s="406" t="s">
        <v>1266</v>
      </c>
      <c r="M17" s="406">
        <v>44502</v>
      </c>
      <c r="N17" s="406">
        <v>44564</v>
      </c>
      <c r="O17" s="406"/>
      <c r="P17" s="406">
        <v>44680</v>
      </c>
      <c r="Q17" s="406">
        <v>44685</v>
      </c>
      <c r="R17" s="406">
        <v>44687</v>
      </c>
      <c r="S17" s="405" t="s">
        <v>1107</v>
      </c>
      <c r="T17" s="405">
        <v>60</v>
      </c>
      <c r="U17" s="405" t="s">
        <v>1237</v>
      </c>
      <c r="V17" s="405" t="s">
        <v>973</v>
      </c>
      <c r="W17" s="407">
        <v>400</v>
      </c>
      <c r="X17" s="371">
        <v>3328</v>
      </c>
      <c r="Y17" s="422">
        <f t="shared" si="6"/>
        <v>1331200</v>
      </c>
      <c r="Z17" s="409">
        <v>0.55000000000000004</v>
      </c>
      <c r="AA17" s="410">
        <f>Z17*Y17</f>
        <v>732160.00000000012</v>
      </c>
      <c r="AB17" s="362"/>
      <c r="AC17" s="412">
        <f>AB17*Y17</f>
        <v>0</v>
      </c>
      <c r="AD17" s="405"/>
      <c r="AE17" s="413"/>
      <c r="AF17" s="424">
        <f t="shared" si="2"/>
        <v>732160.00000000012</v>
      </c>
      <c r="AG17" s="405" t="s">
        <v>1069</v>
      </c>
      <c r="AH17" s="395"/>
      <c r="AI17" s="405">
        <v>60</v>
      </c>
      <c r="AJ17" s="405" t="s">
        <v>1267</v>
      </c>
      <c r="AK17" s="405" t="s">
        <v>1117</v>
      </c>
      <c r="AL17" s="425">
        <v>55421</v>
      </c>
      <c r="AM17" s="405" t="s">
        <v>52</v>
      </c>
      <c r="AN17" s="405" t="s">
        <v>1082</v>
      </c>
      <c r="AO17" s="405"/>
      <c r="AP17" s="405" t="s">
        <v>38</v>
      </c>
      <c r="AQ17" s="405"/>
      <c r="AR17" s="405"/>
      <c r="AS17" s="369"/>
      <c r="AT17" s="363"/>
      <c r="AU17" s="403"/>
      <c r="AV17" s="402"/>
      <c r="AW17" s="402"/>
      <c r="AX17" s="402"/>
      <c r="AY17" s="402"/>
      <c r="AZ17" s="402"/>
      <c r="BA17" s="402"/>
      <c r="BB17" s="402"/>
      <c r="BC17" s="402"/>
    </row>
    <row r="18" spans="1:55">
      <c r="A18" s="377" t="s">
        <v>4584</v>
      </c>
      <c r="B18" s="376"/>
      <c r="C18" s="376"/>
      <c r="D18" s="405" t="s">
        <v>1066</v>
      </c>
      <c r="E18" s="364"/>
      <c r="F18" s="405"/>
      <c r="G18" s="405">
        <v>2022</v>
      </c>
      <c r="H18" s="405">
        <v>5</v>
      </c>
      <c r="I18" s="416"/>
      <c r="J18" s="406"/>
      <c r="K18" s="405" t="s">
        <v>4520</v>
      </c>
      <c r="L18" s="406" t="s">
        <v>1266</v>
      </c>
      <c r="M18" s="406">
        <v>44502</v>
      </c>
      <c r="N18" s="406">
        <v>44564</v>
      </c>
      <c r="O18" s="406"/>
      <c r="P18" s="406">
        <v>44687</v>
      </c>
      <c r="Q18" s="406"/>
      <c r="R18" s="406"/>
      <c r="S18" s="405" t="s">
        <v>1107</v>
      </c>
      <c r="T18" s="405">
        <v>60</v>
      </c>
      <c r="U18" s="405">
        <v>49203132</v>
      </c>
      <c r="V18" s="405" t="s">
        <v>986</v>
      </c>
      <c r="W18" s="407">
        <v>360</v>
      </c>
      <c r="X18" s="371">
        <v>832</v>
      </c>
      <c r="Y18" s="422">
        <f t="shared" si="6"/>
        <v>299520</v>
      </c>
      <c r="Z18" s="409">
        <v>0.53</v>
      </c>
      <c r="AA18" s="410">
        <f>Z18*Y18</f>
        <v>158745.60000000001</v>
      </c>
      <c r="AB18" s="362"/>
      <c r="AC18" s="412">
        <f>AB18*Y18</f>
        <v>0</v>
      </c>
      <c r="AD18" s="405"/>
      <c r="AE18" s="413"/>
      <c r="AF18" s="424">
        <f t="shared" si="2"/>
        <v>158745.60000000001</v>
      </c>
      <c r="AG18" s="405" t="s">
        <v>1069</v>
      </c>
      <c r="AH18" s="395"/>
      <c r="AI18" s="405">
        <v>60</v>
      </c>
      <c r="AJ18" s="405" t="s">
        <v>1267</v>
      </c>
      <c r="AK18" s="405" t="s">
        <v>1117</v>
      </c>
      <c r="AL18" s="425">
        <v>55421</v>
      </c>
      <c r="AM18" s="405" t="s">
        <v>52</v>
      </c>
      <c r="AN18" s="405" t="s">
        <v>1101</v>
      </c>
      <c r="AO18" s="405"/>
      <c r="AP18" s="405"/>
      <c r="AQ18" s="405"/>
      <c r="AR18" s="405" t="s">
        <v>1269</v>
      </c>
      <c r="AS18" s="369"/>
      <c r="AT18" s="363"/>
      <c r="AU18" s="403"/>
      <c r="AV18" s="402"/>
      <c r="AW18" s="402"/>
      <c r="AX18" s="402"/>
      <c r="AY18" s="402"/>
      <c r="AZ18" s="402"/>
      <c r="BA18" s="402"/>
      <c r="BB18" s="402"/>
      <c r="BC18" s="402"/>
    </row>
    <row r="19" spans="1:55">
      <c r="A19" s="377" t="s">
        <v>4585</v>
      </c>
      <c r="B19" s="376"/>
      <c r="C19" s="376"/>
      <c r="D19" s="405" t="s">
        <v>1066</v>
      </c>
      <c r="E19" s="364"/>
      <c r="F19" s="405"/>
      <c r="G19" s="405">
        <v>2022</v>
      </c>
      <c r="H19" s="405">
        <v>5</v>
      </c>
      <c r="I19" s="416"/>
      <c r="J19" s="406"/>
      <c r="K19" s="405" t="s">
        <v>4519</v>
      </c>
      <c r="L19" s="406" t="s">
        <v>1266</v>
      </c>
      <c r="M19" s="406">
        <v>44502</v>
      </c>
      <c r="N19" s="406">
        <v>44564</v>
      </c>
      <c r="O19" s="406"/>
      <c r="P19" s="406" t="s">
        <v>1368</v>
      </c>
      <c r="Q19" s="406"/>
      <c r="R19" s="406"/>
      <c r="S19" s="405" t="s">
        <v>1107</v>
      </c>
      <c r="T19" s="405">
        <v>60</v>
      </c>
      <c r="U19" s="405">
        <v>49203132</v>
      </c>
      <c r="V19" s="405" t="s">
        <v>986</v>
      </c>
      <c r="W19" s="407">
        <v>360</v>
      </c>
      <c r="X19" s="371">
        <v>3328</v>
      </c>
      <c r="Y19" s="422">
        <f t="shared" si="6"/>
        <v>1198080</v>
      </c>
      <c r="Z19" s="409">
        <v>0.53</v>
      </c>
      <c r="AA19" s="410">
        <f>Z19*Y19</f>
        <v>634982.40000000002</v>
      </c>
      <c r="AB19" s="362"/>
      <c r="AC19" s="412">
        <f>AB19*Y19</f>
        <v>0</v>
      </c>
      <c r="AD19" s="405"/>
      <c r="AE19" s="413"/>
      <c r="AF19" s="424">
        <f t="shared" si="2"/>
        <v>634982.40000000002</v>
      </c>
      <c r="AG19" s="405" t="s">
        <v>1069</v>
      </c>
      <c r="AH19" s="395"/>
      <c r="AI19" s="405">
        <v>60</v>
      </c>
      <c r="AJ19" s="405" t="s">
        <v>1267</v>
      </c>
      <c r="AK19" s="405" t="s">
        <v>1117</v>
      </c>
      <c r="AL19" s="425">
        <v>55421</v>
      </c>
      <c r="AM19" s="405" t="s">
        <v>52</v>
      </c>
      <c r="AN19" s="405" t="s">
        <v>1071</v>
      </c>
      <c r="AO19" s="405"/>
      <c r="AP19" s="405"/>
      <c r="AQ19" s="405"/>
      <c r="AR19" s="405" t="s">
        <v>1269</v>
      </c>
      <c r="AS19" s="369"/>
      <c r="AT19" s="363"/>
      <c r="AU19" s="403"/>
      <c r="AV19" s="402"/>
      <c r="AW19" s="402"/>
      <c r="AX19" s="402"/>
      <c r="AY19" s="402"/>
      <c r="AZ19" s="402"/>
      <c r="BA19" s="402"/>
      <c r="BB19" s="402"/>
      <c r="BC19" s="402"/>
    </row>
    <row r="20" spans="1:55">
      <c r="A20" s="377"/>
      <c r="B20" s="376"/>
      <c r="C20" s="376"/>
      <c r="D20" s="405" t="s">
        <v>1066</v>
      </c>
      <c r="E20" s="364" t="s">
        <v>4852</v>
      </c>
      <c r="F20" s="405" t="s">
        <v>1318</v>
      </c>
      <c r="G20" s="405">
        <v>2022</v>
      </c>
      <c r="H20" s="405">
        <v>6</v>
      </c>
      <c r="I20" s="416"/>
      <c r="J20" s="406"/>
      <c r="K20" s="405" t="s">
        <v>4630</v>
      </c>
      <c r="L20" s="406" t="s">
        <v>4631</v>
      </c>
      <c r="M20" s="406">
        <v>44686</v>
      </c>
      <c r="N20" s="406">
        <v>44735</v>
      </c>
      <c r="O20" s="406"/>
      <c r="P20" s="406"/>
      <c r="Q20" s="406"/>
      <c r="R20" s="406"/>
      <c r="S20" s="405" t="s">
        <v>1377</v>
      </c>
      <c r="T20" s="405">
        <v>72</v>
      </c>
      <c r="U20" s="405">
        <v>49303156</v>
      </c>
      <c r="V20" s="405" t="s">
        <v>1068</v>
      </c>
      <c r="W20" s="407">
        <v>480</v>
      </c>
      <c r="X20" s="371">
        <v>1537</v>
      </c>
      <c r="Y20" s="422">
        <f t="shared" si="6"/>
        <v>737760</v>
      </c>
      <c r="Z20" s="409">
        <v>0.52</v>
      </c>
      <c r="AA20" s="410">
        <f>Z20*Y20</f>
        <v>383635.20000000001</v>
      </c>
      <c r="AB20" s="362"/>
      <c r="AC20" s="412">
        <f>AB20*Y20</f>
        <v>0</v>
      </c>
      <c r="AD20" s="405"/>
      <c r="AE20" s="413"/>
      <c r="AF20" s="424">
        <f t="shared" si="2"/>
        <v>383635.20000000001</v>
      </c>
      <c r="AG20" s="405" t="s">
        <v>47</v>
      </c>
      <c r="AH20" s="395">
        <v>0</v>
      </c>
      <c r="AI20" s="405">
        <v>45</v>
      </c>
      <c r="AJ20" s="405" t="s">
        <v>4632</v>
      </c>
      <c r="AK20" s="405" t="s">
        <v>50</v>
      </c>
      <c r="AL20" s="425">
        <v>90723</v>
      </c>
      <c r="AM20" s="405" t="s">
        <v>52</v>
      </c>
      <c r="AN20" s="405" t="s">
        <v>1071</v>
      </c>
      <c r="AO20" s="405"/>
      <c r="AP20" s="405"/>
      <c r="AQ20" s="405" t="s">
        <v>1083</v>
      </c>
      <c r="AR20" s="405"/>
      <c r="AS20" s="369" t="s">
        <v>1084</v>
      </c>
      <c r="AT20" s="363" t="s">
        <v>1073</v>
      </c>
      <c r="AU20" s="403"/>
      <c r="AV20" s="402"/>
      <c r="AW20" s="402"/>
      <c r="AX20" s="402"/>
      <c r="AY20" s="402"/>
      <c r="AZ20" s="402"/>
      <c r="BA20" s="402"/>
      <c r="BB20" s="402"/>
      <c r="BC20" s="402"/>
    </row>
    <row r="21" spans="1:55">
      <c r="A21" s="377"/>
      <c r="B21" s="376"/>
      <c r="C21" s="376"/>
      <c r="D21" s="405" t="s">
        <v>1066</v>
      </c>
      <c r="E21" s="364" t="s">
        <v>4853</v>
      </c>
      <c r="F21" s="405"/>
      <c r="G21" s="405">
        <v>2022</v>
      </c>
      <c r="H21" s="405">
        <v>6</v>
      </c>
      <c r="I21" s="416" t="s">
        <v>1087</v>
      </c>
      <c r="J21" s="406"/>
      <c r="K21" s="405" t="s">
        <v>1090</v>
      </c>
      <c r="L21" s="406" t="s">
        <v>1085</v>
      </c>
      <c r="M21" s="406">
        <v>44652</v>
      </c>
      <c r="N21" s="406">
        <v>44666</v>
      </c>
      <c r="O21" s="406"/>
      <c r="P21" s="406"/>
      <c r="Q21" s="406"/>
      <c r="R21" s="406"/>
      <c r="S21" s="405" t="s">
        <v>1067</v>
      </c>
      <c r="T21" s="405">
        <v>72</v>
      </c>
      <c r="U21" s="405"/>
      <c r="V21" s="405" t="s">
        <v>1068</v>
      </c>
      <c r="W21" s="407">
        <v>480</v>
      </c>
      <c r="X21" s="371">
        <v>1276</v>
      </c>
      <c r="Y21" s="422">
        <f t="shared" si="6"/>
        <v>612480</v>
      </c>
      <c r="Z21" s="409">
        <v>0.48</v>
      </c>
      <c r="AA21" s="410">
        <f t="shared" ref="AA21:AA32" si="7">Y21*Z21</f>
        <v>293990.39999999997</v>
      </c>
      <c r="AB21" s="362"/>
      <c r="AC21" s="412">
        <v>0</v>
      </c>
      <c r="AD21" s="405"/>
      <c r="AE21" s="413"/>
      <c r="AF21" s="424">
        <f t="shared" si="2"/>
        <v>293990.39999999997</v>
      </c>
      <c r="AG21" s="405" t="s">
        <v>1069</v>
      </c>
      <c r="AH21" s="395">
        <v>10</v>
      </c>
      <c r="AI21" s="405">
        <v>30</v>
      </c>
      <c r="AJ21" s="405" t="s">
        <v>1091</v>
      </c>
      <c r="AK21" s="405" t="s">
        <v>1092</v>
      </c>
      <c r="AL21" s="425">
        <v>1719</v>
      </c>
      <c r="AM21" s="405" t="s">
        <v>52</v>
      </c>
      <c r="AN21" s="405" t="s">
        <v>1082</v>
      </c>
      <c r="AO21" s="405"/>
      <c r="AP21" s="405" t="s">
        <v>92</v>
      </c>
      <c r="AQ21" s="405" t="s">
        <v>37</v>
      </c>
      <c r="AR21" s="405"/>
      <c r="AS21" s="369"/>
      <c r="AT21" s="363"/>
      <c r="AU21" s="403"/>
      <c r="AV21" s="402"/>
      <c r="AW21" s="402"/>
      <c r="AX21" s="402"/>
      <c r="AY21" s="402"/>
      <c r="AZ21" s="402"/>
      <c r="BA21" s="402"/>
      <c r="BB21" s="402"/>
      <c r="BC21" s="402"/>
    </row>
    <row r="22" spans="1:55">
      <c r="A22" s="377"/>
      <c r="B22" s="376"/>
      <c r="C22" s="376"/>
      <c r="D22" s="405" t="s">
        <v>1066</v>
      </c>
      <c r="E22" s="364" t="s">
        <v>4113</v>
      </c>
      <c r="F22" s="405" t="s">
        <v>87</v>
      </c>
      <c r="G22" s="405">
        <v>2022</v>
      </c>
      <c r="H22" s="405">
        <v>5</v>
      </c>
      <c r="I22" s="416" t="s">
        <v>4230</v>
      </c>
      <c r="J22" s="406"/>
      <c r="K22" s="405" t="s">
        <v>1331</v>
      </c>
      <c r="L22" s="406" t="s">
        <v>1324</v>
      </c>
      <c r="M22" s="406">
        <v>44357</v>
      </c>
      <c r="N22" s="406"/>
      <c r="O22" s="406"/>
      <c r="P22" s="406">
        <v>44672</v>
      </c>
      <c r="Q22" s="406">
        <v>44690</v>
      </c>
      <c r="R22" s="406">
        <v>44694</v>
      </c>
      <c r="S22" s="405" t="s">
        <v>1325</v>
      </c>
      <c r="T22" s="405">
        <v>72</v>
      </c>
      <c r="U22" s="405" t="s">
        <v>4115</v>
      </c>
      <c r="V22" s="405" t="s">
        <v>1068</v>
      </c>
      <c r="W22" s="407">
        <v>475</v>
      </c>
      <c r="X22" s="371">
        <v>52</v>
      </c>
      <c r="Y22" s="422">
        <f t="shared" si="6"/>
        <v>24700</v>
      </c>
      <c r="Z22" s="409">
        <f t="shared" ref="Z22:Z32" si="8">189.6/480</f>
        <v>0.39499999999999996</v>
      </c>
      <c r="AA22" s="410">
        <f t="shared" si="7"/>
        <v>9756.4999999999982</v>
      </c>
      <c r="AB22" s="362"/>
      <c r="AC22" s="412">
        <v>0</v>
      </c>
      <c r="AD22" s="405"/>
      <c r="AE22" s="413"/>
      <c r="AF22" s="424">
        <f t="shared" si="2"/>
        <v>9756.4999999999982</v>
      </c>
      <c r="AG22" s="405" t="s">
        <v>47</v>
      </c>
      <c r="AH22" s="395">
        <v>10</v>
      </c>
      <c r="AI22" s="405">
        <v>60</v>
      </c>
      <c r="AJ22" s="405" t="s">
        <v>1327</v>
      </c>
      <c r="AK22" s="405" t="s">
        <v>1328</v>
      </c>
      <c r="AL22" s="425">
        <v>89431</v>
      </c>
      <c r="AM22" s="405" t="s">
        <v>52</v>
      </c>
      <c r="AN22" s="405" t="s">
        <v>1082</v>
      </c>
      <c r="AO22" s="405"/>
      <c r="AP22" s="405" t="s">
        <v>92</v>
      </c>
      <c r="AQ22" s="405" t="s">
        <v>1102</v>
      </c>
      <c r="AR22" s="405"/>
      <c r="AS22" s="369" t="s">
        <v>1073</v>
      </c>
      <c r="AT22" s="363" t="s">
        <v>1073</v>
      </c>
      <c r="AU22" s="403"/>
      <c r="AV22" s="402" t="str">
        <f>U22</f>
        <v>12005559C</v>
      </c>
      <c r="AW22" s="402" cm="1">
        <f t="array" ref="AW22">SUM(MID(0&amp;AV22,LARGE(INDEX(ISNUMBER(--MID(AV22,ROW($1:$8),1))*ROW($1:$8),),ROW($1:$8))+1,1)*10^ROW($1:$8)/10)</f>
        <v>12005559</v>
      </c>
      <c r="AX22" s="402" t="str">
        <f>VLOOKUP($AW22,'Item Master Data'!$A:$F,3,FALSE)</f>
        <v>Q.PEAK DUO XL G10 BFG</v>
      </c>
      <c r="AY22" s="402">
        <f>VLOOKUP($AW22,'Item Master Data'!$A:$F,6,FALSE)</f>
        <v>475</v>
      </c>
      <c r="AZ22" s="402">
        <f>X22/BA22</f>
        <v>1.7333333333333334</v>
      </c>
      <c r="BA22" s="402">
        <f>VLOOKUP(AW22,'Item Master Data'!$A:$G,7,FALSE)</f>
        <v>30</v>
      </c>
      <c r="BB22" s="402"/>
      <c r="BC22" s="402">
        <f>W22-AY22</f>
        <v>0</v>
      </c>
    </row>
    <row r="23" spans="1:55">
      <c r="A23" s="377"/>
      <c r="B23" s="376"/>
      <c r="C23" s="376"/>
      <c r="D23" s="405" t="s">
        <v>1066</v>
      </c>
      <c r="E23" s="364" t="s">
        <v>1285</v>
      </c>
      <c r="F23" s="405" t="s">
        <v>87</v>
      </c>
      <c r="G23" s="405">
        <v>2022</v>
      </c>
      <c r="H23" s="405">
        <v>5</v>
      </c>
      <c r="I23" s="416">
        <v>2005164</v>
      </c>
      <c r="J23" s="406"/>
      <c r="K23" s="405" t="s">
        <v>4810</v>
      </c>
      <c r="L23" s="406" t="s">
        <v>1324</v>
      </c>
      <c r="M23" s="406">
        <v>44357</v>
      </c>
      <c r="N23" s="406"/>
      <c r="O23" s="406"/>
      <c r="P23" s="406">
        <v>44687</v>
      </c>
      <c r="Q23" s="406"/>
      <c r="R23" s="406"/>
      <c r="S23" s="405" t="s">
        <v>1325</v>
      </c>
      <c r="T23" s="405">
        <v>72</v>
      </c>
      <c r="U23" s="405">
        <v>49304156</v>
      </c>
      <c r="V23" s="405" t="s">
        <v>1002</v>
      </c>
      <c r="W23" s="407">
        <v>480</v>
      </c>
      <c r="X23" s="371">
        <v>6264</v>
      </c>
      <c r="Y23" s="422">
        <f t="shared" si="6"/>
        <v>3006720</v>
      </c>
      <c r="Z23" s="409">
        <f t="shared" si="8"/>
        <v>0.39499999999999996</v>
      </c>
      <c r="AA23" s="410">
        <f t="shared" si="7"/>
        <v>1187654.3999999999</v>
      </c>
      <c r="AB23" s="362"/>
      <c r="AC23" s="412">
        <v>0</v>
      </c>
      <c r="AD23" s="405"/>
      <c r="AE23" s="413"/>
      <c r="AF23" s="424">
        <f t="shared" si="2"/>
        <v>1187654.3999999999</v>
      </c>
      <c r="AG23" s="405" t="s">
        <v>47</v>
      </c>
      <c r="AH23" s="395">
        <v>10</v>
      </c>
      <c r="AI23" s="405">
        <v>60</v>
      </c>
      <c r="AJ23" s="405" t="s">
        <v>1334</v>
      </c>
      <c r="AK23" s="405" t="s">
        <v>1082</v>
      </c>
      <c r="AL23" s="425">
        <v>8832</v>
      </c>
      <c r="AM23" s="405" t="s">
        <v>52</v>
      </c>
      <c r="AN23" s="405" t="s">
        <v>1071</v>
      </c>
      <c r="AO23" s="405"/>
      <c r="AP23" s="405"/>
      <c r="AQ23" s="405" t="s">
        <v>1102</v>
      </c>
      <c r="AR23" s="405"/>
      <c r="AS23" s="369" t="s">
        <v>1073</v>
      </c>
      <c r="AT23" s="363" t="s">
        <v>1073</v>
      </c>
      <c r="AU23" s="403"/>
      <c r="AV23" s="402"/>
      <c r="AW23" s="402"/>
      <c r="AX23" s="402"/>
      <c r="AY23" s="402"/>
      <c r="AZ23" s="402"/>
      <c r="BA23" s="402"/>
      <c r="BB23" s="402"/>
      <c r="BC23" s="402"/>
    </row>
    <row r="24" spans="1:55">
      <c r="A24" s="377"/>
      <c r="B24" s="376"/>
      <c r="C24" s="376"/>
      <c r="D24" s="405" t="s">
        <v>1066</v>
      </c>
      <c r="E24" s="364" t="s">
        <v>4616</v>
      </c>
      <c r="F24" s="405" t="s">
        <v>87</v>
      </c>
      <c r="G24" s="405">
        <v>2022</v>
      </c>
      <c r="H24" s="405">
        <v>5</v>
      </c>
      <c r="I24" s="416" t="s">
        <v>1087</v>
      </c>
      <c r="J24" s="406"/>
      <c r="K24" s="405" t="s">
        <v>1332</v>
      </c>
      <c r="L24" s="406" t="s">
        <v>1324</v>
      </c>
      <c r="M24" s="406">
        <v>44357</v>
      </c>
      <c r="N24" s="406"/>
      <c r="O24" s="406"/>
      <c r="P24" s="406">
        <v>44687</v>
      </c>
      <c r="Q24" s="406"/>
      <c r="R24" s="406"/>
      <c r="S24" s="405" t="s">
        <v>1325</v>
      </c>
      <c r="T24" s="405">
        <v>72</v>
      </c>
      <c r="U24" s="405">
        <v>12005832</v>
      </c>
      <c r="V24" s="405" t="s">
        <v>1068</v>
      </c>
      <c r="W24" s="407">
        <v>480</v>
      </c>
      <c r="X24" s="371">
        <v>14040</v>
      </c>
      <c r="Y24" s="422">
        <f t="shared" si="6"/>
        <v>6739200</v>
      </c>
      <c r="Z24" s="409">
        <f t="shared" si="8"/>
        <v>0.39499999999999996</v>
      </c>
      <c r="AA24" s="410">
        <f t="shared" si="7"/>
        <v>2661983.9999999995</v>
      </c>
      <c r="AB24" s="362"/>
      <c r="AC24" s="412">
        <v>0</v>
      </c>
      <c r="AD24" s="405"/>
      <c r="AE24" s="413"/>
      <c r="AF24" s="424">
        <f t="shared" si="2"/>
        <v>2661983.9999999995</v>
      </c>
      <c r="AG24" s="405" t="s">
        <v>47</v>
      </c>
      <c r="AH24" s="395">
        <v>10</v>
      </c>
      <c r="AI24" s="405">
        <v>60</v>
      </c>
      <c r="AJ24" s="405" t="s">
        <v>1330</v>
      </c>
      <c r="AK24" s="405" t="s">
        <v>1082</v>
      </c>
      <c r="AL24" s="425">
        <v>8832</v>
      </c>
      <c r="AM24" s="405" t="s">
        <v>52</v>
      </c>
      <c r="AN24" s="405" t="s">
        <v>1082</v>
      </c>
      <c r="AO24" s="405"/>
      <c r="AP24" s="405"/>
      <c r="AQ24" s="405" t="s">
        <v>1102</v>
      </c>
      <c r="AR24" s="405"/>
      <c r="AS24" s="369" t="s">
        <v>1073</v>
      </c>
      <c r="AT24" s="363" t="s">
        <v>1073</v>
      </c>
      <c r="AU24" s="403"/>
      <c r="AV24" s="402"/>
      <c r="AW24" s="402"/>
      <c r="AX24" s="402"/>
      <c r="AY24" s="402"/>
      <c r="AZ24" s="402"/>
      <c r="BA24" s="402"/>
      <c r="BB24" s="402"/>
      <c r="BC24" s="402"/>
    </row>
    <row r="25" spans="1:55">
      <c r="A25" s="377"/>
      <c r="B25" s="376"/>
      <c r="C25" s="376"/>
      <c r="D25" s="405" t="s">
        <v>1066</v>
      </c>
      <c r="E25" s="364" t="s">
        <v>4616</v>
      </c>
      <c r="F25" s="405" t="s">
        <v>87</v>
      </c>
      <c r="G25" s="405">
        <v>2022</v>
      </c>
      <c r="H25" s="405">
        <v>5</v>
      </c>
      <c r="I25" s="416" t="s">
        <v>1087</v>
      </c>
      <c r="J25" s="406"/>
      <c r="K25" s="405" t="s">
        <v>1329</v>
      </c>
      <c r="L25" s="406" t="s">
        <v>1324</v>
      </c>
      <c r="M25" s="406">
        <v>44357</v>
      </c>
      <c r="N25" s="406"/>
      <c r="O25" s="406"/>
      <c r="P25" s="406">
        <v>44687</v>
      </c>
      <c r="Q25" s="406"/>
      <c r="R25" s="406"/>
      <c r="S25" s="405" t="s">
        <v>1325</v>
      </c>
      <c r="T25" s="405">
        <v>72</v>
      </c>
      <c r="U25" s="405">
        <v>12005832</v>
      </c>
      <c r="V25" s="405" t="s">
        <v>1068</v>
      </c>
      <c r="W25" s="407">
        <v>480</v>
      </c>
      <c r="X25" s="371">
        <v>17760</v>
      </c>
      <c r="Y25" s="422">
        <f t="shared" si="6"/>
        <v>8524800</v>
      </c>
      <c r="Z25" s="409">
        <f t="shared" si="8"/>
        <v>0.39499999999999996</v>
      </c>
      <c r="AA25" s="410">
        <f t="shared" si="7"/>
        <v>3367295.9999999995</v>
      </c>
      <c r="AB25" s="362"/>
      <c r="AC25" s="412">
        <v>0</v>
      </c>
      <c r="AD25" s="405"/>
      <c r="AE25" s="413"/>
      <c r="AF25" s="424">
        <f t="shared" si="2"/>
        <v>3367295.9999999995</v>
      </c>
      <c r="AG25" s="405" t="s">
        <v>47</v>
      </c>
      <c r="AH25" s="395">
        <v>10</v>
      </c>
      <c r="AI25" s="405">
        <v>60</v>
      </c>
      <c r="AJ25" s="405" t="s">
        <v>1330</v>
      </c>
      <c r="AK25" s="405" t="s">
        <v>1082</v>
      </c>
      <c r="AL25" s="425">
        <v>8832</v>
      </c>
      <c r="AM25" s="405" t="s">
        <v>52</v>
      </c>
      <c r="AN25" s="405" t="s">
        <v>50</v>
      </c>
      <c r="AO25" s="405"/>
      <c r="AP25" s="405"/>
      <c r="AQ25" s="405" t="s">
        <v>1102</v>
      </c>
      <c r="AR25" s="405"/>
      <c r="AS25" s="369" t="s">
        <v>1073</v>
      </c>
      <c r="AT25" s="363" t="s">
        <v>1073</v>
      </c>
      <c r="AU25" s="403"/>
      <c r="AV25" s="402">
        <f>U25</f>
        <v>12005832</v>
      </c>
      <c r="AW25" s="402" cm="1">
        <f t="array" ref="AW25">SUM(MID(0&amp;AV25,LARGE(INDEX(ISNUMBER(--MID(AV25,ROW($1:$8),1))*ROW($1:$8),),ROW($1:$8))+1,1)*10^ROW($1:$8)/10)</f>
        <v>12005832</v>
      </c>
      <c r="AX25" s="402" t="str">
        <f>VLOOKUP($AW25,'Item Master Data'!$A:$F,3,FALSE)</f>
        <v>Q.PEAK DUO XL G10 BFG</v>
      </c>
      <c r="AY25" s="402">
        <f>VLOOKUP($AW25,'Item Master Data'!$A:$F,6,FALSE)</f>
        <v>480</v>
      </c>
      <c r="AZ25" s="402" t="e">
        <f>X25/BA25</f>
        <v>#VALUE!</v>
      </c>
      <c r="BA25" s="402" t="str">
        <f>VLOOKUP(AW25,'Item Master Data'!$A:$G,7,FALSE)</f>
        <v> 30</v>
      </c>
      <c r="BB25" s="402"/>
      <c r="BC25" s="402">
        <f>W25-AY25</f>
        <v>0</v>
      </c>
    </row>
    <row r="26" spans="1:55">
      <c r="A26" s="377"/>
      <c r="B26" s="376"/>
      <c r="C26" s="376"/>
      <c r="D26" s="405" t="s">
        <v>1066</v>
      </c>
      <c r="E26" s="364" t="s">
        <v>4113</v>
      </c>
      <c r="F26" s="405" t="s">
        <v>87</v>
      </c>
      <c r="G26" s="405">
        <v>2022</v>
      </c>
      <c r="H26" s="405">
        <v>5</v>
      </c>
      <c r="I26" s="416" t="s">
        <v>4230</v>
      </c>
      <c r="J26" s="406"/>
      <c r="K26" s="405" t="s">
        <v>1331</v>
      </c>
      <c r="L26" s="406" t="s">
        <v>1324</v>
      </c>
      <c r="M26" s="406">
        <v>44357</v>
      </c>
      <c r="N26" s="406"/>
      <c r="O26" s="406"/>
      <c r="P26" s="406">
        <v>44672</v>
      </c>
      <c r="Q26" s="406">
        <v>44690</v>
      </c>
      <c r="R26" s="406">
        <v>44694</v>
      </c>
      <c r="S26" s="405" t="s">
        <v>1325</v>
      </c>
      <c r="T26" s="405">
        <v>72</v>
      </c>
      <c r="U26" s="405" t="s">
        <v>1079</v>
      </c>
      <c r="V26" s="405" t="s">
        <v>1068</v>
      </c>
      <c r="W26" s="407">
        <v>475</v>
      </c>
      <c r="X26" s="371">
        <v>6117</v>
      </c>
      <c r="Y26" s="422">
        <f t="shared" si="6"/>
        <v>2905575</v>
      </c>
      <c r="Z26" s="409">
        <f t="shared" si="8"/>
        <v>0.39499999999999996</v>
      </c>
      <c r="AA26" s="410">
        <f t="shared" si="7"/>
        <v>1147702.125</v>
      </c>
      <c r="AB26" s="362"/>
      <c r="AC26" s="412">
        <v>0</v>
      </c>
      <c r="AD26" s="405"/>
      <c r="AE26" s="413"/>
      <c r="AF26" s="424">
        <f t="shared" si="2"/>
        <v>1147702.125</v>
      </c>
      <c r="AG26" s="405" t="s">
        <v>47</v>
      </c>
      <c r="AH26" s="395">
        <v>10</v>
      </c>
      <c r="AI26" s="405">
        <v>60</v>
      </c>
      <c r="AJ26" s="405" t="s">
        <v>1327</v>
      </c>
      <c r="AK26" s="405" t="s">
        <v>1328</v>
      </c>
      <c r="AL26" s="425">
        <v>89431</v>
      </c>
      <c r="AM26" s="405" t="s">
        <v>52</v>
      </c>
      <c r="AN26" s="405" t="s">
        <v>1082</v>
      </c>
      <c r="AO26" s="405"/>
      <c r="AP26" s="405" t="s">
        <v>92</v>
      </c>
      <c r="AQ26" s="405" t="s">
        <v>1102</v>
      </c>
      <c r="AR26" s="405"/>
      <c r="AS26" s="369" t="s">
        <v>1073</v>
      </c>
      <c r="AT26" s="363" t="s">
        <v>1073</v>
      </c>
      <c r="AU26" s="403"/>
      <c r="AV26" s="402" t="str">
        <f>U26</f>
        <v>12005833C</v>
      </c>
      <c r="AW26" s="402" cm="1">
        <f t="array" ref="AW26">SUM(MID(0&amp;AV26,LARGE(INDEX(ISNUMBER(--MID(AV26,ROW($1:$8),1))*ROW($1:$8),),ROW($1:$8))+1,1)*10^ROW($1:$8)/10)</f>
        <v>12005833</v>
      </c>
      <c r="AX26" s="402" t="str">
        <f>VLOOKUP($AW26,'Item Master Data'!$A:$F,3,FALSE)</f>
        <v>Q.PEAK DUO XL G10 BFG</v>
      </c>
      <c r="AY26" s="402">
        <f>VLOOKUP($AW26,'Item Master Data'!$A:$F,6,FALSE)</f>
        <v>475</v>
      </c>
      <c r="AZ26" s="402">
        <f>X26/BA26</f>
        <v>203.9</v>
      </c>
      <c r="BA26" s="402">
        <f>VLOOKUP(AW26,'Item Master Data'!$A:$G,7,FALSE)</f>
        <v>30</v>
      </c>
      <c r="BB26" s="402"/>
      <c r="BC26" s="402">
        <f>W26-AY26</f>
        <v>0</v>
      </c>
    </row>
    <row r="27" spans="1:55">
      <c r="A27" s="377"/>
      <c r="B27" s="376"/>
      <c r="C27" s="376"/>
      <c r="D27" s="405" t="s">
        <v>1066</v>
      </c>
      <c r="E27" s="364" t="s">
        <v>4113</v>
      </c>
      <c r="F27" s="405" t="s">
        <v>87</v>
      </c>
      <c r="G27" s="405">
        <v>2022</v>
      </c>
      <c r="H27" s="405">
        <v>5</v>
      </c>
      <c r="I27" s="416" t="s">
        <v>4230</v>
      </c>
      <c r="J27" s="406"/>
      <c r="K27" s="405" t="s">
        <v>1331</v>
      </c>
      <c r="L27" s="406" t="s">
        <v>1324</v>
      </c>
      <c r="M27" s="406">
        <v>44357</v>
      </c>
      <c r="N27" s="406"/>
      <c r="O27" s="406"/>
      <c r="P27" s="406">
        <v>44672</v>
      </c>
      <c r="Q27" s="406"/>
      <c r="R27" s="406"/>
      <c r="S27" s="405" t="s">
        <v>1325</v>
      </c>
      <c r="T27" s="405">
        <v>72</v>
      </c>
      <c r="U27" s="405" t="s">
        <v>1677</v>
      </c>
      <c r="V27" s="405" t="s">
        <v>1068</v>
      </c>
      <c r="W27" s="407">
        <v>475</v>
      </c>
      <c r="X27" s="371">
        <v>811</v>
      </c>
      <c r="Y27" s="422">
        <f t="shared" si="6"/>
        <v>385225</v>
      </c>
      <c r="Z27" s="409">
        <f t="shared" si="8"/>
        <v>0.39499999999999996</v>
      </c>
      <c r="AA27" s="410">
        <f t="shared" si="7"/>
        <v>152163.875</v>
      </c>
      <c r="AB27" s="362"/>
      <c r="AC27" s="412">
        <v>0</v>
      </c>
      <c r="AD27" s="405"/>
      <c r="AE27" s="413"/>
      <c r="AF27" s="424">
        <f t="shared" si="2"/>
        <v>152163.875</v>
      </c>
      <c r="AG27" s="405" t="s">
        <v>47</v>
      </c>
      <c r="AH27" s="395">
        <v>10</v>
      </c>
      <c r="AI27" s="405">
        <v>60</v>
      </c>
      <c r="AJ27" s="405" t="s">
        <v>1327</v>
      </c>
      <c r="AK27" s="405" t="s">
        <v>1328</v>
      </c>
      <c r="AL27" s="425">
        <v>89431</v>
      </c>
      <c r="AM27" s="405" t="s">
        <v>52</v>
      </c>
      <c r="AN27" s="405" t="s">
        <v>50</v>
      </c>
      <c r="AO27" s="405"/>
      <c r="AP27" s="405" t="s">
        <v>92</v>
      </c>
      <c r="AQ27" s="405" t="s">
        <v>1102</v>
      </c>
      <c r="AR27" s="405"/>
      <c r="AS27" s="369" t="s">
        <v>1073</v>
      </c>
      <c r="AT27" s="363" t="s">
        <v>1073</v>
      </c>
      <c r="AU27" s="403"/>
      <c r="AV27" s="402" t="str">
        <f>U27</f>
        <v>30397871F</v>
      </c>
      <c r="AW27" s="402" cm="1">
        <f t="array" ref="AW27">SUM(MID(0&amp;AV27,LARGE(INDEX(ISNUMBER(--MID(AV27,ROW($1:$8),1))*ROW($1:$8),),ROW($1:$8))+1,1)*10^ROW($1:$8)/10)</f>
        <v>30397871</v>
      </c>
      <c r="AX27" s="402" t="str">
        <f>VLOOKUP($AW27,'Item Master Data'!$A:$F,3,FALSE)</f>
        <v>Q.PEAK DUO XL G10 BFG</v>
      </c>
      <c r="AY27" s="402">
        <f>VLOOKUP($AW27,'Item Master Data'!$A:$F,6,FALSE)</f>
        <v>475</v>
      </c>
      <c r="AZ27" s="402">
        <f>X27/BA27</f>
        <v>27.96551724137931</v>
      </c>
      <c r="BA27" s="402">
        <f>VLOOKUP(AW27,'Item Master Data'!$A:$G,7,FALSE)</f>
        <v>29</v>
      </c>
      <c r="BB27" s="402"/>
      <c r="BC27" s="402">
        <f>W27-AY27</f>
        <v>0</v>
      </c>
    </row>
    <row r="28" spans="1:55">
      <c r="A28" s="377"/>
      <c r="B28" s="376"/>
      <c r="C28" s="376"/>
      <c r="D28" s="405" t="s">
        <v>1066</v>
      </c>
      <c r="E28" s="364" t="s">
        <v>4113</v>
      </c>
      <c r="F28" s="405" t="s">
        <v>87</v>
      </c>
      <c r="G28" s="405">
        <v>2022</v>
      </c>
      <c r="H28" s="405">
        <v>5</v>
      </c>
      <c r="I28" s="416" t="s">
        <v>4231</v>
      </c>
      <c r="J28" s="406"/>
      <c r="K28" s="405" t="s">
        <v>1331</v>
      </c>
      <c r="L28" s="406" t="s">
        <v>1324</v>
      </c>
      <c r="M28" s="406">
        <v>44357</v>
      </c>
      <c r="N28" s="406"/>
      <c r="O28" s="406"/>
      <c r="P28" s="406">
        <v>44672</v>
      </c>
      <c r="Q28" s="406">
        <v>44678</v>
      </c>
      <c r="R28" s="406">
        <v>44680</v>
      </c>
      <c r="S28" s="405" t="s">
        <v>1325</v>
      </c>
      <c r="T28" s="405">
        <v>72</v>
      </c>
      <c r="U28" s="405">
        <v>12005833</v>
      </c>
      <c r="V28" s="405" t="s">
        <v>1068</v>
      </c>
      <c r="W28" s="407">
        <v>475</v>
      </c>
      <c r="X28" s="371">
        <v>1200</v>
      </c>
      <c r="Y28" s="422">
        <f t="shared" si="6"/>
        <v>570000</v>
      </c>
      <c r="Z28" s="409">
        <f t="shared" si="8"/>
        <v>0.39499999999999996</v>
      </c>
      <c r="AA28" s="410">
        <f t="shared" si="7"/>
        <v>225149.99999999997</v>
      </c>
      <c r="AB28" s="362"/>
      <c r="AC28" s="412">
        <v>0</v>
      </c>
      <c r="AD28" s="405"/>
      <c r="AE28" s="413"/>
      <c r="AF28" s="424">
        <f t="shared" si="2"/>
        <v>225149.99999999997</v>
      </c>
      <c r="AG28" s="405" t="s">
        <v>47</v>
      </c>
      <c r="AH28" s="395">
        <v>10</v>
      </c>
      <c r="AI28" s="405">
        <v>60</v>
      </c>
      <c r="AJ28" s="405" t="s">
        <v>1327</v>
      </c>
      <c r="AK28" s="405" t="s">
        <v>1328</v>
      </c>
      <c r="AL28" s="425">
        <v>89431</v>
      </c>
      <c r="AM28" s="405" t="s">
        <v>52</v>
      </c>
      <c r="AN28" s="405" t="s">
        <v>1136</v>
      </c>
      <c r="AO28" s="405"/>
      <c r="AP28" s="405"/>
      <c r="AQ28" s="405" t="s">
        <v>1102</v>
      </c>
      <c r="AR28" s="405"/>
      <c r="AS28" s="369" t="s">
        <v>1073</v>
      </c>
      <c r="AT28" s="363" t="s">
        <v>1073</v>
      </c>
      <c r="AU28" s="403"/>
      <c r="AV28" s="402">
        <f>U28</f>
        <v>12005833</v>
      </c>
      <c r="AW28" s="402" cm="1">
        <f t="array" ref="AW28">SUM(MID(0&amp;AV28,LARGE(INDEX(ISNUMBER(--MID(AV28,ROW($1:$8),1))*ROW($1:$8),),ROW($1:$8))+1,1)*10^ROW($1:$8)/10)</f>
        <v>12005833</v>
      </c>
      <c r="AX28" s="402" t="str">
        <f>VLOOKUP($AW28,'Item Master Data'!$A:$F,3,FALSE)</f>
        <v>Q.PEAK DUO XL G10 BFG</v>
      </c>
      <c r="AY28" s="402">
        <f>VLOOKUP($AW28,'Item Master Data'!$A:$F,6,FALSE)</f>
        <v>475</v>
      </c>
      <c r="AZ28" s="402">
        <f>X28/BA28</f>
        <v>40</v>
      </c>
      <c r="BA28" s="402">
        <f>VLOOKUP(AW28,'Item Master Data'!$A:$G,7,FALSE)</f>
        <v>30</v>
      </c>
      <c r="BB28" s="402"/>
      <c r="BC28" s="402">
        <f>W28-AY28</f>
        <v>0</v>
      </c>
    </row>
    <row r="29" spans="1:55">
      <c r="A29" s="377"/>
      <c r="B29" s="376"/>
      <c r="C29" s="376"/>
      <c r="D29" s="405" t="s">
        <v>1066</v>
      </c>
      <c r="E29" s="364" t="s">
        <v>4113</v>
      </c>
      <c r="F29" s="405" t="s">
        <v>87</v>
      </c>
      <c r="G29" s="405">
        <v>2022</v>
      </c>
      <c r="H29" s="405">
        <v>5</v>
      </c>
      <c r="I29" s="416" t="s">
        <v>4231</v>
      </c>
      <c r="J29" s="406"/>
      <c r="K29" s="405" t="s">
        <v>1331</v>
      </c>
      <c r="L29" s="406" t="s">
        <v>1324</v>
      </c>
      <c r="M29" s="406">
        <v>44357</v>
      </c>
      <c r="N29" s="406"/>
      <c r="O29" s="406"/>
      <c r="P29" s="406">
        <v>44672</v>
      </c>
      <c r="Q29" s="406">
        <v>44677</v>
      </c>
      <c r="R29" s="406">
        <v>44680</v>
      </c>
      <c r="S29" s="405" t="s">
        <v>1325</v>
      </c>
      <c r="T29" s="405">
        <v>72</v>
      </c>
      <c r="U29" s="405">
        <v>30397571</v>
      </c>
      <c r="V29" s="405" t="s">
        <v>1068</v>
      </c>
      <c r="W29" s="407">
        <v>475</v>
      </c>
      <c r="X29" s="371">
        <v>580</v>
      </c>
      <c r="Y29" s="422">
        <f t="shared" si="6"/>
        <v>275500</v>
      </c>
      <c r="Z29" s="409">
        <f t="shared" si="8"/>
        <v>0.39499999999999996</v>
      </c>
      <c r="AA29" s="410">
        <f t="shared" si="7"/>
        <v>108822.49999999999</v>
      </c>
      <c r="AB29" s="362"/>
      <c r="AC29" s="412">
        <v>0</v>
      </c>
      <c r="AD29" s="405"/>
      <c r="AE29" s="413"/>
      <c r="AF29" s="424">
        <f t="shared" si="2"/>
        <v>108822.49999999999</v>
      </c>
      <c r="AG29" s="405" t="s">
        <v>47</v>
      </c>
      <c r="AH29" s="395">
        <v>10</v>
      </c>
      <c r="AI29" s="405">
        <v>60</v>
      </c>
      <c r="AJ29" s="405" t="s">
        <v>1327</v>
      </c>
      <c r="AK29" s="405" t="s">
        <v>1328</v>
      </c>
      <c r="AL29" s="425">
        <v>89431</v>
      </c>
      <c r="AM29" s="405" t="s">
        <v>52</v>
      </c>
      <c r="AN29" s="405" t="s">
        <v>1136</v>
      </c>
      <c r="AO29" s="405"/>
      <c r="AP29" s="405"/>
      <c r="AQ29" s="405" t="s">
        <v>1102</v>
      </c>
      <c r="AR29" s="405"/>
      <c r="AS29" s="369" t="s">
        <v>1073</v>
      </c>
      <c r="AT29" s="363" t="s">
        <v>1073</v>
      </c>
      <c r="AU29" s="403"/>
      <c r="AV29" s="402"/>
      <c r="AW29" s="402"/>
      <c r="AX29" s="402"/>
      <c r="AY29" s="402"/>
      <c r="AZ29" s="402"/>
      <c r="BA29" s="402"/>
      <c r="BB29" s="402"/>
      <c r="BC29" s="402"/>
    </row>
    <row r="30" spans="1:55">
      <c r="A30" s="377"/>
      <c r="B30" s="376"/>
      <c r="C30" s="376"/>
      <c r="D30" s="405" t="s">
        <v>1066</v>
      </c>
      <c r="E30" s="364" t="s">
        <v>4113</v>
      </c>
      <c r="F30" s="405" t="s">
        <v>87</v>
      </c>
      <c r="G30" s="405">
        <v>2022</v>
      </c>
      <c r="H30" s="405">
        <v>5</v>
      </c>
      <c r="I30" s="416" t="s">
        <v>4230</v>
      </c>
      <c r="J30" s="406"/>
      <c r="K30" s="405" t="s">
        <v>1331</v>
      </c>
      <c r="L30" s="406" t="s">
        <v>1324</v>
      </c>
      <c r="M30" s="406">
        <v>44357</v>
      </c>
      <c r="N30" s="406"/>
      <c r="O30" s="406"/>
      <c r="P30" s="406">
        <v>44672</v>
      </c>
      <c r="Q30" s="406"/>
      <c r="R30" s="406"/>
      <c r="S30" s="405" t="s">
        <v>1325</v>
      </c>
      <c r="T30" s="405">
        <v>72</v>
      </c>
      <c r="U30" s="405">
        <v>12005833</v>
      </c>
      <c r="V30" s="405" t="s">
        <v>1068</v>
      </c>
      <c r="W30" s="407">
        <v>475</v>
      </c>
      <c r="X30" s="371">
        <v>1920</v>
      </c>
      <c r="Y30" s="422">
        <f t="shared" si="6"/>
        <v>912000</v>
      </c>
      <c r="Z30" s="409">
        <f t="shared" si="8"/>
        <v>0.39499999999999996</v>
      </c>
      <c r="AA30" s="410">
        <f t="shared" si="7"/>
        <v>360239.99999999994</v>
      </c>
      <c r="AB30" s="362"/>
      <c r="AC30" s="412">
        <v>0</v>
      </c>
      <c r="AD30" s="405"/>
      <c r="AE30" s="413"/>
      <c r="AF30" s="424">
        <f t="shared" si="2"/>
        <v>360239.99999999994</v>
      </c>
      <c r="AG30" s="405" t="s">
        <v>47</v>
      </c>
      <c r="AH30" s="395">
        <v>10</v>
      </c>
      <c r="AI30" s="405">
        <v>60</v>
      </c>
      <c r="AJ30" s="405" t="s">
        <v>1327</v>
      </c>
      <c r="AK30" s="405" t="s">
        <v>1328</v>
      </c>
      <c r="AL30" s="425">
        <v>89431</v>
      </c>
      <c r="AM30" s="405" t="s">
        <v>52</v>
      </c>
      <c r="AN30" s="405" t="s">
        <v>50</v>
      </c>
      <c r="AO30" s="405"/>
      <c r="AP30" s="405" t="s">
        <v>92</v>
      </c>
      <c r="AQ30" s="405" t="s">
        <v>1102</v>
      </c>
      <c r="AR30" s="405"/>
      <c r="AS30" s="369" t="s">
        <v>1073</v>
      </c>
      <c r="AT30" s="363" t="s">
        <v>1073</v>
      </c>
      <c r="AU30" s="403"/>
      <c r="AV30" s="402">
        <f>U30</f>
        <v>12005833</v>
      </c>
      <c r="AW30" s="402" cm="1">
        <f t="array" ref="AW30">SUM(MID(0&amp;AV30,LARGE(INDEX(ISNUMBER(--MID(AV30,ROW($1:$8),1))*ROW($1:$8),),ROW($1:$8))+1,1)*10^ROW($1:$8)/10)</f>
        <v>12005833</v>
      </c>
      <c r="AX30" s="402" t="str">
        <f>VLOOKUP($AW30,'Item Master Data'!$A:$F,3,FALSE)</f>
        <v>Q.PEAK DUO XL G10 BFG</v>
      </c>
      <c r="AY30" s="402">
        <f>VLOOKUP($AW30,'Item Master Data'!$A:$F,6,FALSE)</f>
        <v>475</v>
      </c>
      <c r="AZ30" s="402">
        <f>X30/BA30</f>
        <v>64</v>
      </c>
      <c r="BA30" s="402">
        <f>VLOOKUP(AW30,'Item Master Data'!$A:$G,7,FALSE)</f>
        <v>30</v>
      </c>
      <c r="BB30" s="402"/>
      <c r="BC30" s="402">
        <f>W30-AY30</f>
        <v>0</v>
      </c>
    </row>
    <row r="31" spans="1:55">
      <c r="A31" s="377"/>
      <c r="B31" s="376"/>
      <c r="C31" s="376"/>
      <c r="D31" s="405" t="s">
        <v>1066</v>
      </c>
      <c r="E31" s="364" t="s">
        <v>4113</v>
      </c>
      <c r="F31" s="405" t="s">
        <v>87</v>
      </c>
      <c r="G31" s="405">
        <v>2022</v>
      </c>
      <c r="H31" s="405">
        <v>5</v>
      </c>
      <c r="I31" s="416" t="s">
        <v>1087</v>
      </c>
      <c r="J31" s="406"/>
      <c r="K31" s="405" t="s">
        <v>1331</v>
      </c>
      <c r="L31" s="406" t="s">
        <v>1324</v>
      </c>
      <c r="M31" s="406">
        <v>44357</v>
      </c>
      <c r="N31" s="406"/>
      <c r="O31" s="406"/>
      <c r="P31" s="406">
        <v>44672</v>
      </c>
      <c r="Q31" s="406"/>
      <c r="R31" s="406"/>
      <c r="S31" s="405" t="s">
        <v>1325</v>
      </c>
      <c r="T31" s="405">
        <v>72</v>
      </c>
      <c r="U31" s="405">
        <v>49303155</v>
      </c>
      <c r="V31" s="405" t="s">
        <v>1068</v>
      </c>
      <c r="W31" s="407">
        <v>475</v>
      </c>
      <c r="X31" s="371">
        <v>3540</v>
      </c>
      <c r="Y31" s="422">
        <f t="shared" si="6"/>
        <v>1681500</v>
      </c>
      <c r="Z31" s="409">
        <f t="shared" si="8"/>
        <v>0.39499999999999996</v>
      </c>
      <c r="AA31" s="410">
        <f t="shared" si="7"/>
        <v>664192.49999999988</v>
      </c>
      <c r="AB31" s="362"/>
      <c r="AC31" s="412">
        <v>0</v>
      </c>
      <c r="AD31" s="405"/>
      <c r="AE31" s="413"/>
      <c r="AF31" s="424">
        <f t="shared" si="2"/>
        <v>664192.49999999988</v>
      </c>
      <c r="AG31" s="405" t="s">
        <v>47</v>
      </c>
      <c r="AH31" s="395">
        <v>10</v>
      </c>
      <c r="AI31" s="405">
        <v>60</v>
      </c>
      <c r="AJ31" s="405" t="s">
        <v>1327</v>
      </c>
      <c r="AK31" s="405" t="s">
        <v>1328</v>
      </c>
      <c r="AL31" s="425">
        <v>89431</v>
      </c>
      <c r="AM31" s="405" t="s">
        <v>52</v>
      </c>
      <c r="AN31" s="405" t="s">
        <v>1101</v>
      </c>
      <c r="AO31" s="405"/>
      <c r="AP31" s="405"/>
      <c r="AQ31" s="405" t="s">
        <v>1102</v>
      </c>
      <c r="AR31" s="405"/>
      <c r="AS31" s="369" t="s">
        <v>1073</v>
      </c>
      <c r="AT31" s="363" t="s">
        <v>1073</v>
      </c>
      <c r="AU31" s="403"/>
      <c r="AV31" s="402">
        <f>U31</f>
        <v>49303155</v>
      </c>
      <c r="AW31" s="402" cm="1">
        <f t="array" ref="AW31">SUM(MID(0&amp;AV31,LARGE(INDEX(ISNUMBER(--MID(AV31,ROW($1:$8),1))*ROW($1:$8),),ROW($1:$8))+1,1)*10^ROW($1:$8)/10)</f>
        <v>49303155</v>
      </c>
      <c r="AX31" s="402" t="str">
        <f>VLOOKUP($AW31,'Item Master Data'!$A:$F,3,FALSE)</f>
        <v>Q.PEAK DUO XL G10 BFG</v>
      </c>
      <c r="AY31" s="402">
        <f>VLOOKUP($AW31,'Item Master Data'!$A:$F,6,FALSE)</f>
        <v>475</v>
      </c>
      <c r="AZ31" s="402">
        <f>X31/BA31</f>
        <v>122.06896551724138</v>
      </c>
      <c r="BA31" s="402">
        <f>VLOOKUP(AW31,'Item Master Data'!$A:$G,7,FALSE)</f>
        <v>29</v>
      </c>
      <c r="BB31" s="402"/>
      <c r="BC31" s="402">
        <f>W31-AY31</f>
        <v>0</v>
      </c>
    </row>
    <row r="32" spans="1:55">
      <c r="A32" s="377"/>
      <c r="B32" s="376"/>
      <c r="C32" s="376"/>
      <c r="D32" s="405" t="s">
        <v>1066</v>
      </c>
      <c r="E32" s="364" t="s">
        <v>4616</v>
      </c>
      <c r="F32" s="405" t="s">
        <v>87</v>
      </c>
      <c r="G32" s="405">
        <v>2022</v>
      </c>
      <c r="H32" s="405">
        <v>5</v>
      </c>
      <c r="I32" s="416" t="s">
        <v>1087</v>
      </c>
      <c r="J32" s="406"/>
      <c r="K32" s="405" t="s">
        <v>1333</v>
      </c>
      <c r="L32" s="406" t="s">
        <v>1324</v>
      </c>
      <c r="M32" s="406">
        <v>44357</v>
      </c>
      <c r="N32" s="406"/>
      <c r="O32" s="406"/>
      <c r="P32" s="406">
        <v>44687</v>
      </c>
      <c r="Q32" s="406"/>
      <c r="R32" s="406"/>
      <c r="S32" s="405" t="s">
        <v>1325</v>
      </c>
      <c r="T32" s="405">
        <v>72</v>
      </c>
      <c r="U32" s="405">
        <v>12005832</v>
      </c>
      <c r="V32" s="405" t="s">
        <v>1068</v>
      </c>
      <c r="W32" s="407">
        <v>480</v>
      </c>
      <c r="X32" s="371">
        <v>6990</v>
      </c>
      <c r="Y32" s="422">
        <f t="shared" si="6"/>
        <v>3355200</v>
      </c>
      <c r="Z32" s="409">
        <f t="shared" si="8"/>
        <v>0.39499999999999996</v>
      </c>
      <c r="AA32" s="410">
        <f t="shared" si="7"/>
        <v>1325303.9999999998</v>
      </c>
      <c r="AB32" s="362"/>
      <c r="AC32" s="412">
        <v>0</v>
      </c>
      <c r="AD32" s="405"/>
      <c r="AE32" s="413"/>
      <c r="AF32" s="424">
        <f t="shared" si="2"/>
        <v>1325303.9999999998</v>
      </c>
      <c r="AG32" s="405" t="s">
        <v>47</v>
      </c>
      <c r="AH32" s="395">
        <v>10</v>
      </c>
      <c r="AI32" s="405">
        <v>60</v>
      </c>
      <c r="AJ32" s="405" t="s">
        <v>1327</v>
      </c>
      <c r="AK32" s="405" t="s">
        <v>1328</v>
      </c>
      <c r="AL32" s="425">
        <v>89431</v>
      </c>
      <c r="AM32" s="405" t="s">
        <v>52</v>
      </c>
      <c r="AN32" s="405" t="s">
        <v>1136</v>
      </c>
      <c r="AO32" s="405"/>
      <c r="AP32" s="405"/>
      <c r="AQ32" s="405" t="s">
        <v>1102</v>
      </c>
      <c r="AR32" s="405"/>
      <c r="AS32" s="369" t="s">
        <v>1073</v>
      </c>
      <c r="AT32" s="363" t="s">
        <v>1073</v>
      </c>
      <c r="AU32" s="403"/>
      <c r="AV32" s="402">
        <f>U32</f>
        <v>12005832</v>
      </c>
      <c r="AW32" s="402" cm="1">
        <f t="array" ref="AW32">SUM(MID(0&amp;AV32,LARGE(INDEX(ISNUMBER(--MID(AV32,ROW($1:$8),1))*ROW($1:$8),),ROW($1:$8))+1,1)*10^ROW($1:$8)/10)</f>
        <v>12005832</v>
      </c>
      <c r="AX32" s="402" t="str">
        <f>VLOOKUP($AW32,'Item Master Data'!$A:$F,3,FALSE)</f>
        <v>Q.PEAK DUO XL G10 BFG</v>
      </c>
      <c r="AY32" s="402">
        <f>VLOOKUP($AW32,'Item Master Data'!$A:$F,6,FALSE)</f>
        <v>480</v>
      </c>
      <c r="AZ32" s="402" t="e">
        <f>X32/BA32</f>
        <v>#VALUE!</v>
      </c>
      <c r="BA32" s="402" t="str">
        <f>VLOOKUP(AW32,'Item Master Data'!$A:$G,7,FALSE)</f>
        <v> 30</v>
      </c>
      <c r="BB32" s="402"/>
      <c r="BC32" s="402">
        <f>W32-AY32</f>
        <v>0</v>
      </c>
    </row>
    <row r="33" spans="1:55">
      <c r="A33" s="377"/>
      <c r="B33" s="376"/>
      <c r="C33" s="376"/>
      <c r="D33" s="405" t="s">
        <v>1066</v>
      </c>
      <c r="E33" s="364"/>
      <c r="F33" s="405"/>
      <c r="G33" s="405">
        <v>2022</v>
      </c>
      <c r="H33" s="405">
        <v>5</v>
      </c>
      <c r="I33" s="416" t="s">
        <v>4847</v>
      </c>
      <c r="J33" s="406">
        <v>44683</v>
      </c>
      <c r="K33" s="405" t="s">
        <v>1338</v>
      </c>
      <c r="L33" s="406" t="s">
        <v>1339</v>
      </c>
      <c r="M33" s="406">
        <v>44636</v>
      </c>
      <c r="N33" s="406">
        <v>44651</v>
      </c>
      <c r="O33" s="406"/>
      <c r="P33" s="406">
        <v>44643</v>
      </c>
      <c r="Q33" s="406">
        <v>44664</v>
      </c>
      <c r="R33" s="406">
        <v>44683</v>
      </c>
      <c r="S33" s="405" t="s">
        <v>1325</v>
      </c>
      <c r="T33" s="405">
        <v>72</v>
      </c>
      <c r="U33" s="405" t="s">
        <v>1079</v>
      </c>
      <c r="V33" s="405" t="s">
        <v>1068</v>
      </c>
      <c r="W33" s="407">
        <v>475</v>
      </c>
      <c r="X33" s="371">
        <f>600+600</f>
        <v>1200</v>
      </c>
      <c r="Y33" s="422">
        <f t="shared" si="6"/>
        <v>570000</v>
      </c>
      <c r="Z33" s="409">
        <v>0.37</v>
      </c>
      <c r="AA33" s="410">
        <f t="shared" ref="AA33:AA39" si="9">Z33*Y33</f>
        <v>210900</v>
      </c>
      <c r="AB33" s="362"/>
      <c r="AC33" s="412">
        <f t="shared" ref="AC33:AC39" si="10">AB33*Y33</f>
        <v>0</v>
      </c>
      <c r="AD33" s="405"/>
      <c r="AE33" s="413"/>
      <c r="AF33" s="424">
        <f t="shared" si="2"/>
        <v>210900</v>
      </c>
      <c r="AG33" s="405" t="s">
        <v>47</v>
      </c>
      <c r="AH33" s="395">
        <v>10</v>
      </c>
      <c r="AI33" s="405">
        <v>30</v>
      </c>
      <c r="AJ33" s="405" t="s">
        <v>1340</v>
      </c>
      <c r="AK33" s="405" t="s">
        <v>1341</v>
      </c>
      <c r="AL33" s="425">
        <v>83201</v>
      </c>
      <c r="AM33" s="405" t="s">
        <v>52</v>
      </c>
      <c r="AN33" s="405" t="s">
        <v>1082</v>
      </c>
      <c r="AO33" s="405"/>
      <c r="AP33" s="405" t="s">
        <v>38</v>
      </c>
      <c r="AQ33" s="405"/>
      <c r="AR33" s="405"/>
      <c r="AS33" s="369"/>
      <c r="AT33" s="363"/>
      <c r="AU33" s="403"/>
      <c r="AV33" s="402" t="str">
        <f>U33</f>
        <v>12005833C</v>
      </c>
      <c r="AW33" s="402" cm="1">
        <f t="array" ref="AW33">SUM(MID(0&amp;AV33,LARGE(INDEX(ISNUMBER(--MID(AV33,ROW($1:$8),1))*ROW($1:$8),),ROW($1:$8))+1,1)*10^ROW($1:$8)/10)</f>
        <v>12005833</v>
      </c>
      <c r="AX33" s="402" t="str">
        <f>VLOOKUP($AW33,'Item Master Data'!$A:$F,3,FALSE)</f>
        <v>Q.PEAK DUO XL G10 BFG</v>
      </c>
      <c r="AY33" s="402">
        <f>VLOOKUP($AW33,'Item Master Data'!$A:$F,6,FALSE)</f>
        <v>475</v>
      </c>
      <c r="AZ33" s="402">
        <f>X33/BA33</f>
        <v>40</v>
      </c>
      <c r="BA33" s="402">
        <f>VLOOKUP(AW33,'Item Master Data'!$A:$G,7,FALSE)</f>
        <v>30</v>
      </c>
      <c r="BB33" s="402"/>
      <c r="BC33" s="402">
        <f>W33-AY33</f>
        <v>0</v>
      </c>
    </row>
    <row r="34" spans="1:55">
      <c r="A34" s="377"/>
      <c r="B34" s="376"/>
      <c r="C34" s="376"/>
      <c r="D34" s="405" t="s">
        <v>1066</v>
      </c>
      <c r="E34" s="364"/>
      <c r="F34" s="405" t="s">
        <v>1074</v>
      </c>
      <c r="G34" s="405">
        <v>2022</v>
      </c>
      <c r="H34" s="405">
        <v>5</v>
      </c>
      <c r="I34" s="416" t="s">
        <v>4936</v>
      </c>
      <c r="J34" s="406"/>
      <c r="K34" s="405" t="s">
        <v>4811</v>
      </c>
      <c r="L34" s="406" t="s">
        <v>1367</v>
      </c>
      <c r="M34" s="406">
        <v>44684</v>
      </c>
      <c r="N34" s="406">
        <v>44698</v>
      </c>
      <c r="O34" s="406"/>
      <c r="P34" s="406" t="s">
        <v>1089</v>
      </c>
      <c r="Q34" s="406"/>
      <c r="R34" s="406"/>
      <c r="S34" s="405" t="s">
        <v>1107</v>
      </c>
      <c r="T34" s="405">
        <v>72</v>
      </c>
      <c r="U34" s="405">
        <v>30397570</v>
      </c>
      <c r="V34" s="405" t="s">
        <v>1068</v>
      </c>
      <c r="W34" s="407">
        <v>470</v>
      </c>
      <c r="X34" s="371">
        <v>638</v>
      </c>
      <c r="Y34" s="422">
        <f t="shared" si="6"/>
        <v>299860</v>
      </c>
      <c r="Z34" s="409">
        <v>0.59499999999999997</v>
      </c>
      <c r="AA34" s="410">
        <f t="shared" si="9"/>
        <v>178416.69999999998</v>
      </c>
      <c r="AB34" s="362"/>
      <c r="AC34" s="412">
        <f t="shared" si="10"/>
        <v>0</v>
      </c>
      <c r="AD34" s="405"/>
      <c r="AE34" s="413"/>
      <c r="AF34" s="424">
        <f t="shared" si="2"/>
        <v>178416.69999999998</v>
      </c>
      <c r="AG34" s="405" t="s">
        <v>1069</v>
      </c>
      <c r="AH34" s="395">
        <v>50</v>
      </c>
      <c r="AI34" s="405">
        <v>30</v>
      </c>
      <c r="AJ34" s="405" t="s">
        <v>1369</v>
      </c>
      <c r="AK34" s="405" t="s">
        <v>1110</v>
      </c>
      <c r="AL34" s="425">
        <v>62246</v>
      </c>
      <c r="AM34" s="405" t="s">
        <v>52</v>
      </c>
      <c r="AN34" s="405" t="s">
        <v>1082</v>
      </c>
      <c r="AO34" s="405"/>
      <c r="AP34" s="405" t="s">
        <v>38</v>
      </c>
      <c r="AQ34" s="405" t="s">
        <v>1083</v>
      </c>
      <c r="AR34" s="405"/>
      <c r="AS34" s="369" t="s">
        <v>1084</v>
      </c>
      <c r="AT34" s="363" t="s">
        <v>1073</v>
      </c>
      <c r="AU34" s="403"/>
      <c r="AV34" s="402"/>
      <c r="AW34" s="402"/>
      <c r="AX34" s="402"/>
      <c r="AY34" s="402"/>
      <c r="AZ34" s="402"/>
      <c r="BA34" s="402"/>
      <c r="BB34" s="402"/>
      <c r="BC34" s="402"/>
    </row>
    <row r="35" spans="1:55">
      <c r="A35" s="377"/>
      <c r="B35" s="376"/>
      <c r="C35" s="376"/>
      <c r="D35" s="405" t="s">
        <v>1066</v>
      </c>
      <c r="E35" s="364" t="s">
        <v>4854</v>
      </c>
      <c r="F35" s="405" t="s">
        <v>1074</v>
      </c>
      <c r="G35" s="405">
        <v>2022</v>
      </c>
      <c r="H35" s="405">
        <v>6</v>
      </c>
      <c r="I35" s="416" t="s">
        <v>4936</v>
      </c>
      <c r="J35" s="406"/>
      <c r="K35" s="405" t="s">
        <v>4812</v>
      </c>
      <c r="L35" s="406" t="s">
        <v>1367</v>
      </c>
      <c r="M35" s="406">
        <v>44692</v>
      </c>
      <c r="N35" s="406">
        <v>44713</v>
      </c>
      <c r="O35" s="406"/>
      <c r="P35" s="406"/>
      <c r="Q35" s="406"/>
      <c r="R35" s="406"/>
      <c r="S35" s="405" t="s">
        <v>1107</v>
      </c>
      <c r="T35" s="405">
        <v>72</v>
      </c>
      <c r="U35" s="405">
        <v>30397570</v>
      </c>
      <c r="V35" s="405" t="s">
        <v>1068</v>
      </c>
      <c r="W35" s="407">
        <v>470</v>
      </c>
      <c r="X35" s="371">
        <v>638</v>
      </c>
      <c r="Y35" s="422">
        <f t="shared" si="6"/>
        <v>299860</v>
      </c>
      <c r="Z35" s="409">
        <v>0.59499999999999997</v>
      </c>
      <c r="AA35" s="410">
        <f t="shared" si="9"/>
        <v>178416.69999999998</v>
      </c>
      <c r="AB35" s="362"/>
      <c r="AC35" s="412">
        <f t="shared" si="10"/>
        <v>0</v>
      </c>
      <c r="AD35" s="405"/>
      <c r="AE35" s="413"/>
      <c r="AF35" s="424">
        <f t="shared" si="2"/>
        <v>178416.69999999998</v>
      </c>
      <c r="AG35" s="405" t="s">
        <v>1069</v>
      </c>
      <c r="AH35" s="395">
        <v>50</v>
      </c>
      <c r="AI35" s="405">
        <v>30</v>
      </c>
      <c r="AJ35" s="405" t="s">
        <v>1369</v>
      </c>
      <c r="AK35" s="405" t="s">
        <v>1110</v>
      </c>
      <c r="AL35" s="425">
        <v>62246</v>
      </c>
      <c r="AM35" s="405" t="s">
        <v>52</v>
      </c>
      <c r="AN35" s="405" t="s">
        <v>1082</v>
      </c>
      <c r="AO35" s="405"/>
      <c r="AP35" s="405" t="s">
        <v>38</v>
      </c>
      <c r="AQ35" s="405" t="s">
        <v>1083</v>
      </c>
      <c r="AR35" s="405"/>
      <c r="AS35" s="369" t="s">
        <v>1084</v>
      </c>
      <c r="AT35" s="363" t="s">
        <v>1073</v>
      </c>
      <c r="AU35" s="403"/>
      <c r="AV35" s="402">
        <f>U35</f>
        <v>30397570</v>
      </c>
      <c r="AW35" s="402" cm="1">
        <f t="array" ref="AW35">SUM(MID(0&amp;AV35,LARGE(INDEX(ISNUMBER(--MID(AV35,ROW($1:$8),1))*ROW($1:$8),),ROW($1:$8))+1,1)*10^ROW($1:$8)/10)</f>
        <v>30397570</v>
      </c>
      <c r="AX35" s="402" t="e">
        <f>VLOOKUP($AW35,'Item Master Data'!$A:$F,3,FALSE)</f>
        <v>#N/A</v>
      </c>
      <c r="AY35" s="402" t="e">
        <f>VLOOKUP($AW35,'Item Master Data'!$A:$F,6,FALSE)</f>
        <v>#N/A</v>
      </c>
      <c r="AZ35" s="402" t="e">
        <f>X35/BA35</f>
        <v>#N/A</v>
      </c>
      <c r="BA35" s="402" t="e">
        <f>VLOOKUP(AW35,'Item Master Data'!$A:$G,7,FALSE)</f>
        <v>#N/A</v>
      </c>
      <c r="BB35" s="402"/>
      <c r="BC35" s="402" t="e">
        <f>W35-AY35</f>
        <v>#N/A</v>
      </c>
    </row>
    <row r="36" spans="1:55">
      <c r="A36" s="377"/>
      <c r="B36" s="376"/>
      <c r="C36" s="376"/>
      <c r="D36" s="405" t="s">
        <v>1066</v>
      </c>
      <c r="E36" s="364"/>
      <c r="F36" s="405" t="s">
        <v>1074</v>
      </c>
      <c r="G36" s="405">
        <v>2022</v>
      </c>
      <c r="H36" s="405">
        <v>5</v>
      </c>
      <c r="I36" s="416" t="s">
        <v>2393</v>
      </c>
      <c r="J36" s="406">
        <v>44687</v>
      </c>
      <c r="K36" s="405" t="s">
        <v>1383</v>
      </c>
      <c r="L36" s="406" t="s">
        <v>1380</v>
      </c>
      <c r="M36" s="406">
        <v>44532</v>
      </c>
      <c r="N36" s="406">
        <v>44621</v>
      </c>
      <c r="O36" s="406"/>
      <c r="P36" s="406">
        <v>44671</v>
      </c>
      <c r="Q36" s="406">
        <v>44677</v>
      </c>
      <c r="R36" s="406">
        <v>44679</v>
      </c>
      <c r="S36" s="405" t="s">
        <v>1107</v>
      </c>
      <c r="T36" s="405">
        <v>72</v>
      </c>
      <c r="U36" s="405">
        <v>49303156</v>
      </c>
      <c r="V36" s="405" t="s">
        <v>1194</v>
      </c>
      <c r="W36" s="407">
        <v>480</v>
      </c>
      <c r="X36" s="371">
        <v>4466</v>
      </c>
      <c r="Y36" s="422">
        <f t="shared" si="6"/>
        <v>2143680</v>
      </c>
      <c r="Z36" s="409">
        <v>0.44500000000000001</v>
      </c>
      <c r="AA36" s="410">
        <f t="shared" si="9"/>
        <v>953937.6</v>
      </c>
      <c r="AB36" s="362"/>
      <c r="AC36" s="412">
        <f t="shared" si="10"/>
        <v>0</v>
      </c>
      <c r="AD36" s="405"/>
      <c r="AE36" s="413"/>
      <c r="AF36" s="424">
        <f t="shared" si="2"/>
        <v>953937.6</v>
      </c>
      <c r="AG36" s="405" t="s">
        <v>47</v>
      </c>
      <c r="AH36" s="395">
        <v>10</v>
      </c>
      <c r="AI36" s="405">
        <v>30</v>
      </c>
      <c r="AJ36" s="405" t="s">
        <v>1384</v>
      </c>
      <c r="AK36" s="405" t="s">
        <v>1207</v>
      </c>
      <c r="AL36" s="425">
        <v>46933</v>
      </c>
      <c r="AM36" s="405" t="s">
        <v>52</v>
      </c>
      <c r="AN36" s="405" t="s">
        <v>1071</v>
      </c>
      <c r="AO36" s="405"/>
      <c r="AP36" s="405"/>
      <c r="AQ36" s="405" t="s">
        <v>1083</v>
      </c>
      <c r="AR36" s="405"/>
      <c r="AS36" s="369" t="s">
        <v>1073</v>
      </c>
      <c r="AT36" s="363" t="s">
        <v>1073</v>
      </c>
      <c r="AU36" s="403"/>
      <c r="AV36" s="402">
        <f>U36</f>
        <v>49303156</v>
      </c>
      <c r="AW36" s="402" cm="1">
        <f t="array" ref="AW36">SUM(MID(0&amp;AV36,LARGE(INDEX(ISNUMBER(--MID(AV36,ROW($1:$8),1))*ROW($1:$8),),ROW($1:$8))+1,1)*10^ROW($1:$8)/10)</f>
        <v>49303156</v>
      </c>
      <c r="AX36" s="402" t="str">
        <f>VLOOKUP($AW36,'Item Master Data'!$A:$F,3,FALSE)</f>
        <v>Q.PEAK DUO XL G10 BFG</v>
      </c>
      <c r="AY36" s="402">
        <f>VLOOKUP($AW36,'Item Master Data'!$A:$F,6,FALSE)</f>
        <v>480</v>
      </c>
      <c r="AZ36" s="402">
        <f>X36/BA36</f>
        <v>154</v>
      </c>
      <c r="BA36" s="402">
        <f>VLOOKUP(AW36,'Item Master Data'!$A:$G,7,FALSE)</f>
        <v>29</v>
      </c>
      <c r="BB36" s="402"/>
      <c r="BC36" s="402">
        <f>W36-AY36</f>
        <v>0</v>
      </c>
    </row>
    <row r="37" spans="1:55">
      <c r="A37" s="377"/>
      <c r="B37" s="376"/>
      <c r="C37" s="376"/>
      <c r="D37" s="405" t="s">
        <v>1066</v>
      </c>
      <c r="E37" s="364" t="s">
        <v>4619</v>
      </c>
      <c r="F37" s="405" t="s">
        <v>1074</v>
      </c>
      <c r="G37" s="405">
        <v>2022</v>
      </c>
      <c r="H37" s="405">
        <v>5</v>
      </c>
      <c r="I37" s="416" t="s">
        <v>2393</v>
      </c>
      <c r="J37" s="406">
        <v>44687</v>
      </c>
      <c r="K37" s="405" t="s">
        <v>1383</v>
      </c>
      <c r="L37" s="406" t="s">
        <v>1380</v>
      </c>
      <c r="M37" s="406">
        <v>44532</v>
      </c>
      <c r="N37" s="406">
        <v>44621</v>
      </c>
      <c r="O37" s="406"/>
      <c r="P37" s="406">
        <v>44671</v>
      </c>
      <c r="Q37" s="406">
        <v>44679</v>
      </c>
      <c r="R37" s="406">
        <v>44683</v>
      </c>
      <c r="S37" s="405" t="s">
        <v>1107</v>
      </c>
      <c r="T37" s="405">
        <v>72</v>
      </c>
      <c r="U37" s="405">
        <v>49303156</v>
      </c>
      <c r="V37" s="405" t="s">
        <v>1194</v>
      </c>
      <c r="W37" s="407">
        <v>480</v>
      </c>
      <c r="X37" s="371">
        <v>551</v>
      </c>
      <c r="Y37" s="422">
        <f t="shared" si="6"/>
        <v>264480</v>
      </c>
      <c r="Z37" s="409">
        <v>0.44500000000000001</v>
      </c>
      <c r="AA37" s="410">
        <f t="shared" si="9"/>
        <v>117693.6</v>
      </c>
      <c r="AB37" s="362"/>
      <c r="AC37" s="412">
        <f t="shared" si="10"/>
        <v>0</v>
      </c>
      <c r="AD37" s="405"/>
      <c r="AE37" s="413"/>
      <c r="AF37" s="424">
        <f t="shared" si="2"/>
        <v>117693.6</v>
      </c>
      <c r="AG37" s="405" t="s">
        <v>47</v>
      </c>
      <c r="AH37" s="395">
        <v>10</v>
      </c>
      <c r="AI37" s="405">
        <v>30</v>
      </c>
      <c r="AJ37" s="405" t="s">
        <v>1384</v>
      </c>
      <c r="AK37" s="405" t="s">
        <v>1207</v>
      </c>
      <c r="AL37" s="425">
        <v>46933</v>
      </c>
      <c r="AM37" s="405" t="s">
        <v>52</v>
      </c>
      <c r="AN37" s="405" t="s">
        <v>1071</v>
      </c>
      <c r="AO37" s="405"/>
      <c r="AP37" s="405"/>
      <c r="AQ37" s="405" t="s">
        <v>1083</v>
      </c>
      <c r="AR37" s="405"/>
      <c r="AS37" s="369" t="s">
        <v>1073</v>
      </c>
      <c r="AT37" s="363" t="s">
        <v>1073</v>
      </c>
      <c r="AU37" s="403"/>
      <c r="AV37" s="402"/>
      <c r="AW37" s="402"/>
      <c r="AX37" s="402"/>
      <c r="AY37" s="402"/>
      <c r="AZ37" s="402"/>
      <c r="BA37" s="402"/>
      <c r="BB37" s="402"/>
      <c r="BC37" s="402"/>
    </row>
    <row r="38" spans="1:55">
      <c r="A38" s="377"/>
      <c r="B38" s="376"/>
      <c r="C38" s="376"/>
      <c r="D38" s="405" t="s">
        <v>1066</v>
      </c>
      <c r="E38" s="364" t="s">
        <v>4619</v>
      </c>
      <c r="F38" s="405" t="s">
        <v>1074</v>
      </c>
      <c r="G38" s="405">
        <v>2022</v>
      </c>
      <c r="H38" s="405">
        <v>5</v>
      </c>
      <c r="I38" s="416" t="s">
        <v>2393</v>
      </c>
      <c r="J38" s="406">
        <v>44686</v>
      </c>
      <c r="K38" s="405" t="s">
        <v>1387</v>
      </c>
      <c r="L38" s="406" t="s">
        <v>1380</v>
      </c>
      <c r="M38" s="406">
        <v>44532</v>
      </c>
      <c r="N38" s="406">
        <v>44652</v>
      </c>
      <c r="O38" s="406"/>
      <c r="P38" s="406">
        <v>44671</v>
      </c>
      <c r="Q38" s="406">
        <v>44677</v>
      </c>
      <c r="R38" s="406">
        <v>44681</v>
      </c>
      <c r="S38" s="405" t="s">
        <v>1107</v>
      </c>
      <c r="T38" s="405">
        <v>72</v>
      </c>
      <c r="U38" s="405">
        <v>49303156</v>
      </c>
      <c r="V38" s="405" t="s">
        <v>1194</v>
      </c>
      <c r="W38" s="407">
        <v>480</v>
      </c>
      <c r="X38" s="371">
        <v>12760</v>
      </c>
      <c r="Y38" s="422">
        <f t="shared" si="6"/>
        <v>6124800</v>
      </c>
      <c r="Z38" s="409">
        <v>0.44500000000000001</v>
      </c>
      <c r="AA38" s="410">
        <f t="shared" si="9"/>
        <v>2725536</v>
      </c>
      <c r="AB38" s="362"/>
      <c r="AC38" s="412">
        <f t="shared" si="10"/>
        <v>0</v>
      </c>
      <c r="AD38" s="405"/>
      <c r="AE38" s="413"/>
      <c r="AF38" s="424">
        <f t="shared" si="2"/>
        <v>2725536</v>
      </c>
      <c r="AG38" s="405" t="s">
        <v>47</v>
      </c>
      <c r="AH38" s="395">
        <v>10</v>
      </c>
      <c r="AI38" s="405">
        <v>30</v>
      </c>
      <c r="AJ38" s="405" t="s">
        <v>1316</v>
      </c>
      <c r="AK38" s="405" t="s">
        <v>1207</v>
      </c>
      <c r="AL38" s="425">
        <v>47374</v>
      </c>
      <c r="AM38" s="405" t="s">
        <v>52</v>
      </c>
      <c r="AN38" s="405" t="s">
        <v>1071</v>
      </c>
      <c r="AO38" s="405"/>
      <c r="AP38" s="405"/>
      <c r="AQ38" s="405" t="s">
        <v>1083</v>
      </c>
      <c r="AR38" s="405"/>
      <c r="AS38" s="369" t="s">
        <v>1073</v>
      </c>
      <c r="AT38" s="363" t="s">
        <v>1073</v>
      </c>
      <c r="AU38" s="403"/>
      <c r="AV38" s="402"/>
      <c r="AW38" s="402"/>
      <c r="AX38" s="402"/>
      <c r="AY38" s="402"/>
      <c r="AZ38" s="402"/>
      <c r="BA38" s="402"/>
      <c r="BB38" s="402"/>
      <c r="BC38" s="402"/>
    </row>
    <row r="39" spans="1:55">
      <c r="A39" s="377"/>
      <c r="B39" s="376"/>
      <c r="C39" s="376"/>
      <c r="D39" s="405" t="s">
        <v>1066</v>
      </c>
      <c r="E39" s="364" t="s">
        <v>4619</v>
      </c>
      <c r="F39" s="405" t="s">
        <v>1074</v>
      </c>
      <c r="G39" s="405">
        <v>2022</v>
      </c>
      <c r="H39" s="405">
        <v>5</v>
      </c>
      <c r="I39" s="416" t="s">
        <v>2393</v>
      </c>
      <c r="J39" s="406">
        <v>44686</v>
      </c>
      <c r="K39" s="405" t="s">
        <v>1387</v>
      </c>
      <c r="L39" s="406" t="s">
        <v>1380</v>
      </c>
      <c r="M39" s="406">
        <v>44532</v>
      </c>
      <c r="N39" s="406">
        <v>44652</v>
      </c>
      <c r="O39" s="406"/>
      <c r="P39" s="406">
        <v>44671</v>
      </c>
      <c r="Q39" s="406">
        <v>44684</v>
      </c>
      <c r="R39" s="406">
        <v>44685</v>
      </c>
      <c r="S39" s="405" t="s">
        <v>1107</v>
      </c>
      <c r="T39" s="405">
        <v>72</v>
      </c>
      <c r="U39" s="405">
        <v>49303156</v>
      </c>
      <c r="V39" s="405" t="s">
        <v>1194</v>
      </c>
      <c r="W39" s="407">
        <v>480</v>
      </c>
      <c r="X39" s="371">
        <v>1247</v>
      </c>
      <c r="Y39" s="422">
        <f t="shared" si="6"/>
        <v>598560</v>
      </c>
      <c r="Z39" s="409">
        <v>0.44500000000000001</v>
      </c>
      <c r="AA39" s="410">
        <f t="shared" si="9"/>
        <v>266359.2</v>
      </c>
      <c r="AB39" s="362"/>
      <c r="AC39" s="412">
        <f t="shared" si="10"/>
        <v>0</v>
      </c>
      <c r="AD39" s="405"/>
      <c r="AE39" s="413"/>
      <c r="AF39" s="424">
        <f t="shared" si="2"/>
        <v>266359.2</v>
      </c>
      <c r="AG39" s="405" t="s">
        <v>47</v>
      </c>
      <c r="AH39" s="395">
        <v>10</v>
      </c>
      <c r="AI39" s="405">
        <v>30</v>
      </c>
      <c r="AJ39" s="405" t="s">
        <v>1316</v>
      </c>
      <c r="AK39" s="405" t="s">
        <v>1207</v>
      </c>
      <c r="AL39" s="425">
        <v>47374</v>
      </c>
      <c r="AM39" s="405" t="s">
        <v>52</v>
      </c>
      <c r="AN39" s="405" t="s">
        <v>1071</v>
      </c>
      <c r="AO39" s="405"/>
      <c r="AP39" s="405"/>
      <c r="AQ39" s="405" t="s">
        <v>1083</v>
      </c>
      <c r="AR39" s="405"/>
      <c r="AS39" s="369" t="s">
        <v>1073</v>
      </c>
      <c r="AT39" s="363" t="s">
        <v>1073</v>
      </c>
      <c r="AU39" s="403"/>
      <c r="AV39" s="402">
        <f>U39</f>
        <v>49303156</v>
      </c>
      <c r="AW39" s="402" cm="1">
        <f t="array" ref="AW39">SUM(MID(0&amp;AV39,LARGE(INDEX(ISNUMBER(--MID(AV39,ROW($1:$8),1))*ROW($1:$8),),ROW($1:$8))+1,1)*10^ROW($1:$8)/10)</f>
        <v>49303156</v>
      </c>
      <c r="AX39" s="402" t="str">
        <f>VLOOKUP($AW39,'Item Master Data'!$A:$F,3,FALSE)</f>
        <v>Q.PEAK DUO XL G10 BFG</v>
      </c>
      <c r="AY39" s="402">
        <f>VLOOKUP($AW39,'Item Master Data'!$A:$F,6,FALSE)</f>
        <v>480</v>
      </c>
      <c r="AZ39" s="402">
        <f>X39/BA39</f>
        <v>43</v>
      </c>
      <c r="BA39" s="402">
        <f>VLOOKUP(AW39,'Item Master Data'!$A:$G,7,FALSE)</f>
        <v>29</v>
      </c>
      <c r="BB39" s="402"/>
      <c r="BC39" s="402">
        <f>W39-AY39</f>
        <v>0</v>
      </c>
    </row>
    <row r="40" spans="1:55">
      <c r="A40" s="377"/>
      <c r="B40" s="376"/>
      <c r="C40" s="376"/>
      <c r="D40" s="405" t="s">
        <v>1066</v>
      </c>
      <c r="E40" s="364" t="s">
        <v>4853</v>
      </c>
      <c r="F40" s="405"/>
      <c r="G40" s="405">
        <v>2022</v>
      </c>
      <c r="H40" s="405">
        <v>6</v>
      </c>
      <c r="I40" s="416" t="s">
        <v>1087</v>
      </c>
      <c r="J40" s="406"/>
      <c r="K40" s="405" t="s">
        <v>1088</v>
      </c>
      <c r="L40" s="406" t="s">
        <v>1085</v>
      </c>
      <c r="M40" s="406">
        <v>44652</v>
      </c>
      <c r="N40" s="406">
        <v>44666</v>
      </c>
      <c r="O40" s="406"/>
      <c r="P40" s="406"/>
      <c r="Q40" s="406"/>
      <c r="R40" s="406"/>
      <c r="S40" s="405" t="s">
        <v>1067</v>
      </c>
      <c r="T40" s="405">
        <v>72</v>
      </c>
      <c r="U40" s="405"/>
      <c r="V40" s="405" t="s">
        <v>1068</v>
      </c>
      <c r="W40" s="407">
        <v>480</v>
      </c>
      <c r="X40" s="371">
        <v>1276</v>
      </c>
      <c r="Y40" s="422">
        <f t="shared" si="6"/>
        <v>612480</v>
      </c>
      <c r="Z40" s="409">
        <v>0.48</v>
      </c>
      <c r="AA40" s="410">
        <f>Y40*Z40</f>
        <v>293990.39999999997</v>
      </c>
      <c r="AB40" s="362"/>
      <c r="AC40" s="412">
        <v>0</v>
      </c>
      <c r="AD40" s="405"/>
      <c r="AE40" s="413"/>
      <c r="AF40" s="424">
        <f t="shared" si="2"/>
        <v>293990.39999999997</v>
      </c>
      <c r="AG40" s="405" t="s">
        <v>1069</v>
      </c>
      <c r="AH40" s="395">
        <v>10</v>
      </c>
      <c r="AI40" s="405">
        <v>30</v>
      </c>
      <c r="AJ40" s="405" t="s">
        <v>1086</v>
      </c>
      <c r="AK40" s="405" t="s">
        <v>50</v>
      </c>
      <c r="AL40" s="425">
        <v>95482</v>
      </c>
      <c r="AM40" s="405" t="s">
        <v>52</v>
      </c>
      <c r="AN40" s="405" t="s">
        <v>1082</v>
      </c>
      <c r="AO40" s="405"/>
      <c r="AP40" s="405" t="s">
        <v>92</v>
      </c>
      <c r="AQ40" s="405" t="s">
        <v>37</v>
      </c>
      <c r="AR40" s="405"/>
      <c r="AS40" s="369"/>
      <c r="AT40" s="363"/>
      <c r="AU40" s="403"/>
      <c r="AV40" s="402"/>
      <c r="AW40" s="402"/>
      <c r="AX40" s="402"/>
      <c r="AY40" s="402"/>
      <c r="AZ40" s="402"/>
      <c r="BA40" s="402"/>
      <c r="BB40" s="402"/>
      <c r="BC40" s="402"/>
    </row>
    <row r="41" spans="1:55">
      <c r="A41" s="377"/>
      <c r="B41" s="376"/>
      <c r="C41" s="376"/>
      <c r="D41" s="405" t="s">
        <v>1066</v>
      </c>
      <c r="E41" s="364" t="s">
        <v>4616</v>
      </c>
      <c r="F41" s="405" t="s">
        <v>1074</v>
      </c>
      <c r="G41" s="405">
        <v>2022</v>
      </c>
      <c r="H41" s="405">
        <v>5</v>
      </c>
      <c r="I41" s="416"/>
      <c r="J41" s="406"/>
      <c r="K41" s="405" t="s">
        <v>184</v>
      </c>
      <c r="L41" s="406" t="s">
        <v>1405</v>
      </c>
      <c r="M41" s="406">
        <v>44530</v>
      </c>
      <c r="N41" s="406">
        <v>44652</v>
      </c>
      <c r="O41" s="406"/>
      <c r="P41" s="433">
        <v>44692</v>
      </c>
      <c r="Q41" s="406"/>
      <c r="R41" s="406"/>
      <c r="S41" s="405" t="s">
        <v>1404</v>
      </c>
      <c r="T41" s="405">
        <v>72</v>
      </c>
      <c r="U41" s="405">
        <v>12005832</v>
      </c>
      <c r="V41" s="405" t="s">
        <v>1068</v>
      </c>
      <c r="W41" s="407">
        <v>480</v>
      </c>
      <c r="X41" s="371">
        <v>1514</v>
      </c>
      <c r="Y41" s="422">
        <f t="shared" si="6"/>
        <v>726720</v>
      </c>
      <c r="Z41" s="409">
        <v>0.39500000000000002</v>
      </c>
      <c r="AA41" s="410">
        <f t="shared" ref="AA41:AA104" si="11">Z41*Y41</f>
        <v>287054.40000000002</v>
      </c>
      <c r="AB41" s="362"/>
      <c r="AC41" s="412">
        <f>AB41*Y41</f>
        <v>0</v>
      </c>
      <c r="AD41" s="405"/>
      <c r="AE41" s="413">
        <f>22246.72</f>
        <v>22246.720000000001</v>
      </c>
      <c r="AF41" s="424">
        <f t="shared" si="2"/>
        <v>309301.12</v>
      </c>
      <c r="AG41" s="405" t="s">
        <v>47</v>
      </c>
      <c r="AH41" s="395">
        <v>30</v>
      </c>
      <c r="AI41" s="405">
        <v>30</v>
      </c>
      <c r="AJ41" s="405" t="s">
        <v>4848</v>
      </c>
      <c r="AK41" s="405" t="s">
        <v>1125</v>
      </c>
      <c r="AL41" s="425">
        <v>85340</v>
      </c>
      <c r="AM41" s="405" t="s">
        <v>52</v>
      </c>
      <c r="AN41" s="405" t="s">
        <v>50</v>
      </c>
      <c r="AO41" s="405"/>
      <c r="AP41" s="405"/>
      <c r="AQ41" s="405" t="s">
        <v>1083</v>
      </c>
      <c r="AR41" s="405"/>
      <c r="AS41" s="369" t="s">
        <v>1084</v>
      </c>
      <c r="AT41" s="363" t="s">
        <v>1073</v>
      </c>
      <c r="AU41" s="403"/>
      <c r="AV41" s="402">
        <f>U41</f>
        <v>12005832</v>
      </c>
      <c r="AW41" s="402" cm="1">
        <f t="array" ref="AW41">SUM(MID(0&amp;AV41,LARGE(INDEX(ISNUMBER(--MID(AV41,ROW($1:$8),1))*ROW($1:$8),),ROW($1:$8))+1,1)*10^ROW($1:$8)/10)</f>
        <v>12005832</v>
      </c>
      <c r="AX41" s="402" t="str">
        <f>VLOOKUP($AW41,'Item Master Data'!$A:$F,3,FALSE)</f>
        <v>Q.PEAK DUO XL G10 BFG</v>
      </c>
      <c r="AY41" s="402">
        <f>VLOOKUP($AW41,'Item Master Data'!$A:$F,6,FALSE)</f>
        <v>480</v>
      </c>
      <c r="AZ41" s="402" t="e">
        <f>X41/BA41</f>
        <v>#VALUE!</v>
      </c>
      <c r="BA41" s="402" t="str">
        <f>VLOOKUP(AW41,'Item Master Data'!$A:$G,7,FALSE)</f>
        <v> 30</v>
      </c>
      <c r="BB41" s="402"/>
      <c r="BC41" s="402">
        <f>W41-AY41</f>
        <v>0</v>
      </c>
    </row>
    <row r="42" spans="1:55">
      <c r="A42" s="377"/>
      <c r="B42" s="376"/>
      <c r="C42" s="376"/>
      <c r="D42" s="405" t="s">
        <v>1066</v>
      </c>
      <c r="E42" s="364" t="s">
        <v>4616</v>
      </c>
      <c r="F42" s="405" t="s">
        <v>1074</v>
      </c>
      <c r="G42" s="405">
        <v>2022</v>
      </c>
      <c r="H42" s="405">
        <v>5</v>
      </c>
      <c r="I42" s="416"/>
      <c r="J42" s="406"/>
      <c r="K42" s="405" t="s">
        <v>184</v>
      </c>
      <c r="L42" s="406" t="s">
        <v>1405</v>
      </c>
      <c r="M42" s="406">
        <v>44530</v>
      </c>
      <c r="N42" s="406">
        <v>44652</v>
      </c>
      <c r="O42" s="406"/>
      <c r="P42" s="433">
        <v>44692</v>
      </c>
      <c r="Q42" s="406"/>
      <c r="R42" s="406"/>
      <c r="S42" s="405" t="s">
        <v>1404</v>
      </c>
      <c r="T42" s="405">
        <v>72</v>
      </c>
      <c r="U42" s="405">
        <v>12005832</v>
      </c>
      <c r="V42" s="405" t="s">
        <v>1068</v>
      </c>
      <c r="W42" s="407">
        <v>480</v>
      </c>
      <c r="X42" s="371">
        <v>638</v>
      </c>
      <c r="Y42" s="422">
        <f t="shared" si="6"/>
        <v>306240</v>
      </c>
      <c r="Z42" s="409">
        <v>0.39500000000000002</v>
      </c>
      <c r="AA42" s="410">
        <f t="shared" si="11"/>
        <v>120964.8</v>
      </c>
      <c r="AB42" s="362"/>
      <c r="AC42" s="412">
        <f>AB42*Y42</f>
        <v>0</v>
      </c>
      <c r="AD42" s="405"/>
      <c r="AE42" s="413">
        <v>9374.77</v>
      </c>
      <c r="AF42" s="424">
        <f t="shared" si="2"/>
        <v>130339.57</v>
      </c>
      <c r="AG42" s="405" t="s">
        <v>47</v>
      </c>
      <c r="AH42" s="395">
        <v>30</v>
      </c>
      <c r="AI42" s="405">
        <v>30</v>
      </c>
      <c r="AJ42" s="405" t="s">
        <v>4848</v>
      </c>
      <c r="AK42" s="405" t="s">
        <v>1125</v>
      </c>
      <c r="AL42" s="425">
        <v>85340</v>
      </c>
      <c r="AM42" s="405" t="s">
        <v>52</v>
      </c>
      <c r="AN42" s="405" t="s">
        <v>50</v>
      </c>
      <c r="AO42" s="405"/>
      <c r="AP42" s="405"/>
      <c r="AQ42" s="405" t="s">
        <v>1083</v>
      </c>
      <c r="AR42" s="405"/>
      <c r="AS42" s="369" t="s">
        <v>1084</v>
      </c>
      <c r="AT42" s="363" t="s">
        <v>1073</v>
      </c>
      <c r="AU42" s="403"/>
      <c r="AV42" s="402">
        <f>U42</f>
        <v>12005832</v>
      </c>
      <c r="AW42" s="402" cm="1">
        <f t="array" ref="AW42">SUM(MID(0&amp;AV42,LARGE(INDEX(ISNUMBER(--MID(AV42,ROW($1:$8),1))*ROW($1:$8),),ROW($1:$8))+1,1)*10^ROW($1:$8)/10)</f>
        <v>12005832</v>
      </c>
      <c r="AX42" s="402" t="str">
        <f>VLOOKUP($AW42,'Item Master Data'!$A:$F,3,FALSE)</f>
        <v>Q.PEAK DUO XL G10 BFG</v>
      </c>
      <c r="AY42" s="402">
        <f>VLOOKUP($AW42,'Item Master Data'!$A:$F,6,FALSE)</f>
        <v>480</v>
      </c>
      <c r="AZ42" s="402" t="e">
        <f>X42/BA42</f>
        <v>#VALUE!</v>
      </c>
      <c r="BA42" s="402" t="str">
        <f>VLOOKUP(AW42,'Item Master Data'!$A:$G,7,FALSE)</f>
        <v> 30</v>
      </c>
      <c r="BB42" s="402"/>
      <c r="BC42" s="402">
        <f>W42-AY42</f>
        <v>0</v>
      </c>
    </row>
    <row r="43" spans="1:55">
      <c r="A43" s="377"/>
      <c r="B43" s="376"/>
      <c r="C43" s="376"/>
      <c r="D43" s="405" t="s">
        <v>1066</v>
      </c>
      <c r="E43" s="364" t="s">
        <v>4616</v>
      </c>
      <c r="F43" s="405" t="s">
        <v>1074</v>
      </c>
      <c r="G43" s="405">
        <v>2022</v>
      </c>
      <c r="H43" s="405">
        <v>5</v>
      </c>
      <c r="I43" s="416"/>
      <c r="J43" s="406"/>
      <c r="K43" s="405" t="s">
        <v>184</v>
      </c>
      <c r="L43" s="406" t="s">
        <v>1405</v>
      </c>
      <c r="M43" s="406">
        <v>44530</v>
      </c>
      <c r="N43" s="406">
        <v>44652</v>
      </c>
      <c r="O43" s="406"/>
      <c r="P43" s="433">
        <v>44692</v>
      </c>
      <c r="Q43" s="406"/>
      <c r="R43" s="406"/>
      <c r="S43" s="405" t="s">
        <v>1404</v>
      </c>
      <c r="T43" s="405">
        <v>72</v>
      </c>
      <c r="U43" s="405">
        <v>12005832</v>
      </c>
      <c r="V43" s="405" t="s">
        <v>1068</v>
      </c>
      <c r="W43" s="407">
        <v>480</v>
      </c>
      <c r="X43" s="371">
        <v>638</v>
      </c>
      <c r="Y43" s="422">
        <f t="shared" si="6"/>
        <v>306240</v>
      </c>
      <c r="Z43" s="409">
        <v>0.39500000000000002</v>
      </c>
      <c r="AA43" s="410">
        <f t="shared" si="11"/>
        <v>120964.8</v>
      </c>
      <c r="AB43" s="362"/>
      <c r="AC43" s="412">
        <f>AB43*Y43</f>
        <v>0</v>
      </c>
      <c r="AD43" s="405"/>
      <c r="AE43" s="413">
        <v>9374.77</v>
      </c>
      <c r="AF43" s="424">
        <f t="shared" si="2"/>
        <v>130339.57</v>
      </c>
      <c r="AG43" s="405" t="s">
        <v>47</v>
      </c>
      <c r="AH43" s="395">
        <v>30</v>
      </c>
      <c r="AI43" s="405">
        <v>30</v>
      </c>
      <c r="AJ43" s="405" t="s">
        <v>4848</v>
      </c>
      <c r="AK43" s="405" t="s">
        <v>1125</v>
      </c>
      <c r="AL43" s="425">
        <v>85340</v>
      </c>
      <c r="AM43" s="405" t="s">
        <v>52</v>
      </c>
      <c r="AN43" s="405" t="s">
        <v>50</v>
      </c>
      <c r="AO43" s="405"/>
      <c r="AP43" s="405"/>
      <c r="AQ43" s="405" t="s">
        <v>1083</v>
      </c>
      <c r="AR43" s="405"/>
      <c r="AS43" s="369" t="s">
        <v>1084</v>
      </c>
      <c r="AT43" s="363" t="s">
        <v>1073</v>
      </c>
      <c r="AU43" s="403"/>
      <c r="AV43" s="402"/>
      <c r="AW43" s="402"/>
      <c r="AX43" s="402"/>
      <c r="AY43" s="402"/>
      <c r="AZ43" s="402"/>
      <c r="BA43" s="402"/>
      <c r="BB43" s="402"/>
      <c r="BC43" s="402"/>
    </row>
    <row r="44" spans="1:55">
      <c r="A44" s="377"/>
      <c r="B44" s="376"/>
      <c r="C44" s="376"/>
      <c r="D44" s="405" t="s">
        <v>1066</v>
      </c>
      <c r="E44" s="364" t="s">
        <v>1441</v>
      </c>
      <c r="F44" s="405" t="s">
        <v>1074</v>
      </c>
      <c r="G44" s="405">
        <v>2022</v>
      </c>
      <c r="H44" s="405">
        <v>5</v>
      </c>
      <c r="I44" s="416" t="s">
        <v>4230</v>
      </c>
      <c r="J44" s="406">
        <v>44685</v>
      </c>
      <c r="K44" s="405" t="s">
        <v>1439</v>
      </c>
      <c r="L44" s="406" t="s">
        <v>1429</v>
      </c>
      <c r="M44" s="406">
        <v>44470</v>
      </c>
      <c r="N44" s="406">
        <v>44228</v>
      </c>
      <c r="O44" s="406"/>
      <c r="P44" s="406">
        <v>44641</v>
      </c>
      <c r="Q44" s="406">
        <v>44684</v>
      </c>
      <c r="R44" s="406">
        <v>44685</v>
      </c>
      <c r="S44" s="405" t="s">
        <v>1098</v>
      </c>
      <c r="T44" s="405">
        <v>72</v>
      </c>
      <c r="U44" s="405" t="s">
        <v>1431</v>
      </c>
      <c r="V44" s="405" t="s">
        <v>1068</v>
      </c>
      <c r="W44" s="407">
        <v>475</v>
      </c>
      <c r="X44" s="371">
        <v>29</v>
      </c>
      <c r="Y44" s="422">
        <f t="shared" si="6"/>
        <v>13775</v>
      </c>
      <c r="Z44" s="409">
        <v>0.42</v>
      </c>
      <c r="AA44" s="410">
        <f t="shared" si="11"/>
        <v>5785.5</v>
      </c>
      <c r="AB44" s="362"/>
      <c r="AC44" s="412">
        <f>AB44*Y44</f>
        <v>0</v>
      </c>
      <c r="AD44" s="405"/>
      <c r="AE44" s="413"/>
      <c r="AF44" s="424">
        <f t="shared" si="2"/>
        <v>5785.5</v>
      </c>
      <c r="AG44" s="405" t="s">
        <v>47</v>
      </c>
      <c r="AH44" s="395">
        <v>100</v>
      </c>
      <c r="AI44" s="405">
        <v>0</v>
      </c>
      <c r="AJ44" s="405" t="s">
        <v>1430</v>
      </c>
      <c r="AK44" s="405" t="s">
        <v>1092</v>
      </c>
      <c r="AL44" s="425">
        <v>1604</v>
      </c>
      <c r="AM44" s="405" t="s">
        <v>52</v>
      </c>
      <c r="AN44" s="405" t="s">
        <v>1082</v>
      </c>
      <c r="AO44" s="405"/>
      <c r="AP44" s="405" t="s">
        <v>92</v>
      </c>
      <c r="AQ44" s="405" t="s">
        <v>1083</v>
      </c>
      <c r="AR44" s="405"/>
      <c r="AS44" s="369" t="s">
        <v>1084</v>
      </c>
      <c r="AT44" s="363" t="s">
        <v>1073</v>
      </c>
      <c r="AU44" s="403"/>
      <c r="AV44" s="402" t="str">
        <f t="shared" ref="AV44:AV49" si="12">U44</f>
        <v>30390371C</v>
      </c>
      <c r="AW44" s="402" cm="1">
        <f t="array" ref="AW44">SUM(MID(0&amp;AV44,LARGE(INDEX(ISNUMBER(--MID(AV44,ROW($1:$8),1))*ROW($1:$8),),ROW($1:$8))+1,1)*10^ROW($1:$8)/10)</f>
        <v>30390371</v>
      </c>
      <c r="AX44" s="402" t="str">
        <f>VLOOKUP($AW44,'Item Master Data'!$A:$F,3,FALSE)</f>
        <v>Q.PEAK DUO XL G10 BFG</v>
      </c>
      <c r="AY44" s="402">
        <f>VLOOKUP($AW44,'Item Master Data'!$A:$F,6,FALSE)</f>
        <v>475</v>
      </c>
      <c r="AZ44" s="402">
        <f t="shared" ref="AZ44:AZ49" si="13">X44/BA44</f>
        <v>1</v>
      </c>
      <c r="BA44" s="402">
        <f>VLOOKUP(AW44,'Item Master Data'!$A:$G,7,FALSE)</f>
        <v>29</v>
      </c>
      <c r="BB44" s="402"/>
      <c r="BC44" s="402">
        <f t="shared" ref="BC44:BC49" si="14">W44-AY44</f>
        <v>0</v>
      </c>
    </row>
    <row r="45" spans="1:55">
      <c r="A45" s="377"/>
      <c r="B45" s="376"/>
      <c r="C45" s="376"/>
      <c r="D45" s="405" t="s">
        <v>1066</v>
      </c>
      <c r="E45" s="364"/>
      <c r="F45" s="405" t="s">
        <v>1139</v>
      </c>
      <c r="G45" s="405">
        <v>2022</v>
      </c>
      <c r="H45" s="405">
        <v>6</v>
      </c>
      <c r="I45" s="416"/>
      <c r="J45" s="406"/>
      <c r="K45" s="405">
        <v>7700010822</v>
      </c>
      <c r="L45" s="406" t="s">
        <v>1442</v>
      </c>
      <c r="M45" s="406">
        <v>44468</v>
      </c>
      <c r="N45" s="406" t="s">
        <v>1461</v>
      </c>
      <c r="O45" s="406"/>
      <c r="P45" s="406"/>
      <c r="Q45" s="406"/>
      <c r="R45" s="406"/>
      <c r="S45" s="405" t="s">
        <v>1443</v>
      </c>
      <c r="T45" s="405">
        <v>60</v>
      </c>
      <c r="U45" s="405" t="s">
        <v>1459</v>
      </c>
      <c r="V45" s="405" t="s">
        <v>1447</v>
      </c>
      <c r="W45" s="407">
        <v>400</v>
      </c>
      <c r="X45" s="371">
        <v>100022</v>
      </c>
      <c r="Y45" s="422">
        <f t="shared" si="6"/>
        <v>40008800</v>
      </c>
      <c r="Z45" s="409">
        <v>0.48</v>
      </c>
      <c r="AA45" s="410">
        <f t="shared" si="11"/>
        <v>19204224</v>
      </c>
      <c r="AB45" s="362"/>
      <c r="AC45" s="412">
        <v>0</v>
      </c>
      <c r="AD45" s="405"/>
      <c r="AE45" s="413"/>
      <c r="AF45" s="424">
        <f>AA45+AE45</f>
        <v>19204224</v>
      </c>
      <c r="AG45" s="405" t="s">
        <v>47</v>
      </c>
      <c r="AH45" s="395"/>
      <c r="AI45" s="405">
        <v>75</v>
      </c>
      <c r="AJ45" s="405" t="s">
        <v>1449</v>
      </c>
      <c r="AK45" s="405" t="s">
        <v>1070</v>
      </c>
      <c r="AL45" s="425">
        <v>21075</v>
      </c>
      <c r="AM45" s="405" t="s">
        <v>52</v>
      </c>
      <c r="AN45" s="405" t="s">
        <v>50</v>
      </c>
      <c r="AO45" s="405"/>
      <c r="AP45" s="405" t="s">
        <v>92</v>
      </c>
      <c r="AQ45" s="405" t="s">
        <v>37</v>
      </c>
      <c r="AR45" s="405"/>
      <c r="AS45" s="369"/>
      <c r="AT45" s="363"/>
      <c r="AU45" s="403"/>
      <c r="AV45" s="402" t="str">
        <f t="shared" si="12"/>
        <v>30390256F</v>
      </c>
      <c r="AW45" s="402" cm="1">
        <f t="array" ref="AW45">SUM(MID(0&amp;AV45,LARGE(INDEX(ISNUMBER(--MID(AV45,ROW($1:$8),1))*ROW($1:$8),),ROW($1:$8))+1,1)*10^ROW($1:$8)/10)</f>
        <v>30390256</v>
      </c>
      <c r="AX45" s="402" t="str">
        <f>VLOOKUP($AW45,'Item Master Data'!$A:$F,3,FALSE)</f>
        <v>T400H</v>
      </c>
      <c r="AY45" s="402">
        <f>VLOOKUP($AW45,'Item Master Data'!$A:$F,6,FALSE)</f>
        <v>400</v>
      </c>
      <c r="AZ45" s="402">
        <f t="shared" si="13"/>
        <v>3847</v>
      </c>
      <c r="BA45" s="402">
        <f>VLOOKUP(AW45,'Item Master Data'!$A:$G,7,FALSE)</f>
        <v>26</v>
      </c>
      <c r="BB45" s="402"/>
      <c r="BC45" s="402">
        <f t="shared" si="14"/>
        <v>0</v>
      </c>
    </row>
    <row r="46" spans="1:55">
      <c r="A46" s="377"/>
      <c r="B46" s="376"/>
      <c r="C46" s="426"/>
      <c r="D46" s="366" t="s">
        <v>1066</v>
      </c>
      <c r="E46" s="405" t="s">
        <v>1239</v>
      </c>
      <c r="F46" s="405"/>
      <c r="G46" s="405">
        <v>2022</v>
      </c>
      <c r="H46" s="405">
        <v>5</v>
      </c>
      <c r="I46" s="405" t="s">
        <v>1498</v>
      </c>
      <c r="J46" s="406"/>
      <c r="K46" s="405">
        <v>210</v>
      </c>
      <c r="L46" s="406" t="s">
        <v>4091</v>
      </c>
      <c r="M46" s="406">
        <v>44607</v>
      </c>
      <c r="N46" s="406">
        <v>44683</v>
      </c>
      <c r="O46" s="406"/>
      <c r="P46" s="406" t="s">
        <v>1368</v>
      </c>
      <c r="Q46" s="406"/>
      <c r="R46" s="406"/>
      <c r="S46" s="405" t="s">
        <v>1107</v>
      </c>
      <c r="T46" s="405">
        <v>60</v>
      </c>
      <c r="U46" s="405">
        <v>49203132</v>
      </c>
      <c r="V46" s="405" t="s">
        <v>986</v>
      </c>
      <c r="W46" s="407">
        <v>360</v>
      </c>
      <c r="X46" s="371">
        <v>832</v>
      </c>
      <c r="Y46" s="408">
        <f>X46*W46</f>
        <v>299520</v>
      </c>
      <c r="Z46" s="409">
        <v>0.53</v>
      </c>
      <c r="AA46" s="410">
        <f t="shared" si="11"/>
        <v>158745.60000000001</v>
      </c>
      <c r="AB46" s="411"/>
      <c r="AC46" s="412">
        <f>AB46*Y46</f>
        <v>0</v>
      </c>
      <c r="AD46" s="421"/>
      <c r="AE46" s="413"/>
      <c r="AF46" s="424">
        <f>AE46+AD46+AA46</f>
        <v>158745.60000000001</v>
      </c>
      <c r="AG46" s="405" t="s">
        <v>47</v>
      </c>
      <c r="AH46" s="405">
        <v>0</v>
      </c>
      <c r="AI46" s="405">
        <v>30</v>
      </c>
      <c r="AJ46" s="405" t="s">
        <v>2454</v>
      </c>
      <c r="AK46" s="405" t="s">
        <v>1191</v>
      </c>
      <c r="AL46" s="425">
        <v>43228</v>
      </c>
      <c r="AM46" s="405" t="s">
        <v>52</v>
      </c>
      <c r="AN46" s="405" t="s">
        <v>1101</v>
      </c>
      <c r="AO46" s="405"/>
      <c r="AP46" s="413"/>
      <c r="AQ46" s="413" t="s">
        <v>1083</v>
      </c>
      <c r="AR46" s="405" t="s">
        <v>1188</v>
      </c>
      <c r="AS46" s="368" t="s">
        <v>1072</v>
      </c>
      <c r="AT46" s="386" t="s">
        <v>1084</v>
      </c>
      <c r="AU46" s="386" t="s">
        <v>1073</v>
      </c>
      <c r="AV46" s="402">
        <f t="shared" si="12"/>
        <v>49203132</v>
      </c>
      <c r="AW46" s="402" cm="1">
        <f t="array" ref="AW46">SUM(MID(0&amp;AV46,LARGE(INDEX(ISNUMBER(--MID(AV46,ROW($1:$8),1))*ROW($1:$8),),ROW($1:$8))+1,1)*10^ROW($1:$8)/10)</f>
        <v>49203132</v>
      </c>
      <c r="AX46" s="402" t="str">
        <f>VLOOKUP($AW46,'Item Master Data'!$A:$F,3,FALSE)</f>
        <v>Q.PEAK DUO BLK G10+</v>
      </c>
      <c r="AY46" s="402">
        <f>VLOOKUP($AW46,'Item Master Data'!$A:$F,6,FALSE)</f>
        <v>360</v>
      </c>
      <c r="AZ46" s="402">
        <f t="shared" si="13"/>
        <v>26</v>
      </c>
      <c r="BA46" s="402">
        <f>VLOOKUP(AW46,'Item Master Data'!$A:$G,7,FALSE)</f>
        <v>32</v>
      </c>
      <c r="BB46" s="402"/>
      <c r="BC46" s="402">
        <f t="shared" si="14"/>
        <v>0</v>
      </c>
    </row>
    <row r="47" spans="1:55">
      <c r="A47" s="377"/>
      <c r="B47" s="376"/>
      <c r="C47" s="376"/>
      <c r="D47" s="405" t="s">
        <v>1066</v>
      </c>
      <c r="E47" s="364" t="s">
        <v>4619</v>
      </c>
      <c r="F47" s="405"/>
      <c r="G47" s="405">
        <v>2022</v>
      </c>
      <c r="H47" s="405">
        <v>5</v>
      </c>
      <c r="I47" s="416"/>
      <c r="J47" s="406"/>
      <c r="K47" s="405" t="s">
        <v>4371</v>
      </c>
      <c r="L47" s="406" t="s">
        <v>4372</v>
      </c>
      <c r="M47" s="406">
        <v>44677</v>
      </c>
      <c r="N47" s="406">
        <v>44682</v>
      </c>
      <c r="O47" s="406"/>
      <c r="P47" s="406" t="s">
        <v>1053</v>
      </c>
      <c r="Q47" s="406"/>
      <c r="R47" s="406"/>
      <c r="S47" s="405" t="s">
        <v>4059</v>
      </c>
      <c r="T47" s="405">
        <v>72</v>
      </c>
      <c r="U47" s="405"/>
      <c r="V47" s="405" t="s">
        <v>1068</v>
      </c>
      <c r="W47" s="407">
        <v>480</v>
      </c>
      <c r="X47" s="371">
        <v>1392</v>
      </c>
      <c r="Y47" s="422">
        <f>X47*W47</f>
        <v>668160</v>
      </c>
      <c r="Z47" s="409">
        <v>0.47</v>
      </c>
      <c r="AA47" s="410">
        <f t="shared" si="11"/>
        <v>314035.19999999995</v>
      </c>
      <c r="AB47" s="362"/>
      <c r="AC47" s="412">
        <f>AB47*Y47</f>
        <v>0</v>
      </c>
      <c r="AD47" s="405"/>
      <c r="AE47" s="413">
        <f>AA47*0.0825</f>
        <v>25907.903999999999</v>
      </c>
      <c r="AF47" s="424">
        <f>AE47+AD47+AA47</f>
        <v>339943.10399999993</v>
      </c>
      <c r="AG47" s="405" t="s">
        <v>47</v>
      </c>
      <c r="AH47" s="395">
        <v>0</v>
      </c>
      <c r="AI47" s="405">
        <v>30</v>
      </c>
      <c r="AJ47" s="405" t="s">
        <v>1584</v>
      </c>
      <c r="AK47" s="405" t="s">
        <v>50</v>
      </c>
      <c r="AL47" s="425">
        <v>95605</v>
      </c>
      <c r="AM47" s="405" t="s">
        <v>52</v>
      </c>
      <c r="AN47" s="405" t="s">
        <v>1071</v>
      </c>
      <c r="AO47" s="405"/>
      <c r="AP47" s="405"/>
      <c r="AQ47" s="405"/>
      <c r="AR47" s="405"/>
      <c r="AS47" s="369"/>
      <c r="AT47" s="363"/>
      <c r="AU47" s="403"/>
      <c r="AV47" s="402">
        <f t="shared" si="12"/>
        <v>0</v>
      </c>
      <c r="AW47" s="402" cm="1">
        <f t="array" ref="AW47">SUM(MID(0&amp;AV47,LARGE(INDEX(ISNUMBER(--MID(AV47,ROW($1:$8),1))*ROW($1:$8),),ROW($1:$8))+1,1)*10^ROW($1:$8)/10)</f>
        <v>0</v>
      </c>
      <c r="AX47" s="402" t="e">
        <f>VLOOKUP($AW47,'Item Master Data'!$A:$F,3,FALSE)</f>
        <v>#N/A</v>
      </c>
      <c r="AY47" s="402" t="e">
        <f>VLOOKUP($AW47,'Item Master Data'!$A:$F,6,FALSE)</f>
        <v>#N/A</v>
      </c>
      <c r="AZ47" s="402" t="e">
        <f t="shared" si="13"/>
        <v>#N/A</v>
      </c>
      <c r="BA47" s="402" t="e">
        <f>VLOOKUP(AW47,'Item Master Data'!$A:$G,7,FALSE)</f>
        <v>#N/A</v>
      </c>
      <c r="BB47" s="402"/>
      <c r="BC47" s="402" t="e">
        <f t="shared" si="14"/>
        <v>#N/A</v>
      </c>
    </row>
    <row r="48" spans="1:55">
      <c r="A48" s="377"/>
      <c r="B48" s="376"/>
      <c r="C48" s="376"/>
      <c r="D48" s="405" t="s">
        <v>1066</v>
      </c>
      <c r="E48" s="364"/>
      <c r="F48" s="405" t="s">
        <v>1139</v>
      </c>
      <c r="G48" s="405">
        <v>2022</v>
      </c>
      <c r="H48" s="405">
        <v>7</v>
      </c>
      <c r="I48" s="416"/>
      <c r="J48" s="406"/>
      <c r="K48" s="405">
        <v>7700010822</v>
      </c>
      <c r="L48" s="406" t="s">
        <v>1442</v>
      </c>
      <c r="M48" s="406">
        <v>44468</v>
      </c>
      <c r="N48" s="406" t="s">
        <v>1462</v>
      </c>
      <c r="O48" s="406"/>
      <c r="P48" s="406"/>
      <c r="Q48" s="406"/>
      <c r="R48" s="406"/>
      <c r="S48" s="405" t="s">
        <v>1443</v>
      </c>
      <c r="T48" s="405">
        <v>60</v>
      </c>
      <c r="U48" s="405" t="s">
        <v>1459</v>
      </c>
      <c r="V48" s="405" t="s">
        <v>1447</v>
      </c>
      <c r="W48" s="407">
        <v>400</v>
      </c>
      <c r="X48" s="371">
        <v>75010</v>
      </c>
      <c r="Y48" s="422">
        <f t="shared" ref="Y48:Y111" si="15">W48*X48</f>
        <v>30004000</v>
      </c>
      <c r="Z48" s="409">
        <v>0.55000000000000004</v>
      </c>
      <c r="AA48" s="410">
        <f t="shared" si="11"/>
        <v>16502200.000000002</v>
      </c>
      <c r="AB48" s="362"/>
      <c r="AC48" s="412">
        <v>0</v>
      </c>
      <c r="AD48" s="405"/>
      <c r="AE48" s="413"/>
      <c r="AF48" s="424">
        <f t="shared" ref="AF48:AF111" si="16">AA48+AE48</f>
        <v>16502200.000000002</v>
      </c>
      <c r="AG48" s="405" t="s">
        <v>47</v>
      </c>
      <c r="AH48" s="395"/>
      <c r="AI48" s="405">
        <v>75</v>
      </c>
      <c r="AJ48" s="405" t="s">
        <v>1449</v>
      </c>
      <c r="AK48" s="405" t="s">
        <v>1070</v>
      </c>
      <c r="AL48" s="425">
        <v>21075</v>
      </c>
      <c r="AM48" s="405" t="s">
        <v>52</v>
      </c>
      <c r="AN48" s="405" t="s">
        <v>50</v>
      </c>
      <c r="AO48" s="405"/>
      <c r="AP48" s="405" t="s">
        <v>92</v>
      </c>
      <c r="AQ48" s="405" t="s">
        <v>37</v>
      </c>
      <c r="AR48" s="405"/>
      <c r="AS48" s="369"/>
      <c r="AT48" s="363"/>
      <c r="AU48" s="403"/>
      <c r="AV48" s="402" t="str">
        <f t="shared" si="12"/>
        <v>30390256F</v>
      </c>
      <c r="AW48" s="402" cm="1">
        <f t="array" ref="AW48">SUM(MID(0&amp;AV48,LARGE(INDEX(ISNUMBER(--MID(AV48,ROW($1:$8),1))*ROW($1:$8),),ROW($1:$8))+1,1)*10^ROW($1:$8)/10)</f>
        <v>30390256</v>
      </c>
      <c r="AX48" s="402" t="str">
        <f>VLOOKUP($AW48,'Item Master Data'!$A:$F,3,FALSE)</f>
        <v>T400H</v>
      </c>
      <c r="AY48" s="402">
        <f>VLOOKUP($AW48,'Item Master Data'!$A:$F,6,FALSE)</f>
        <v>400</v>
      </c>
      <c r="AZ48" s="402">
        <f t="shared" si="13"/>
        <v>2885</v>
      </c>
      <c r="BA48" s="402">
        <f>VLOOKUP(AW48,'Item Master Data'!$A:$G,7,FALSE)</f>
        <v>26</v>
      </c>
      <c r="BB48" s="402"/>
      <c r="BC48" s="402">
        <f t="shared" si="14"/>
        <v>0</v>
      </c>
    </row>
    <row r="49" spans="1:55">
      <c r="A49" s="377"/>
      <c r="B49" s="376"/>
      <c r="C49" s="376"/>
      <c r="D49" s="405" t="s">
        <v>1066</v>
      </c>
      <c r="E49" s="364"/>
      <c r="F49" s="405" t="s">
        <v>1139</v>
      </c>
      <c r="G49" s="405">
        <v>2022</v>
      </c>
      <c r="H49" s="405">
        <v>8</v>
      </c>
      <c r="I49" s="416"/>
      <c r="J49" s="406"/>
      <c r="K49" s="405">
        <v>7700010822</v>
      </c>
      <c r="L49" s="406" t="s">
        <v>1442</v>
      </c>
      <c r="M49" s="406">
        <v>44468</v>
      </c>
      <c r="N49" s="406" t="s">
        <v>1463</v>
      </c>
      <c r="O49" s="406"/>
      <c r="P49" s="406"/>
      <c r="Q49" s="406"/>
      <c r="R49" s="406"/>
      <c r="S49" s="405" t="s">
        <v>1443</v>
      </c>
      <c r="T49" s="405">
        <v>60</v>
      </c>
      <c r="U49" s="405" t="s">
        <v>1459</v>
      </c>
      <c r="V49" s="405" t="s">
        <v>1447</v>
      </c>
      <c r="W49" s="407">
        <v>400</v>
      </c>
      <c r="X49" s="371">
        <v>75010</v>
      </c>
      <c r="Y49" s="422">
        <f t="shared" si="15"/>
        <v>30004000</v>
      </c>
      <c r="Z49" s="409">
        <v>0.55000000000000004</v>
      </c>
      <c r="AA49" s="410">
        <f t="shared" si="11"/>
        <v>16502200.000000002</v>
      </c>
      <c r="AB49" s="362"/>
      <c r="AC49" s="412">
        <v>0</v>
      </c>
      <c r="AD49" s="405"/>
      <c r="AE49" s="413"/>
      <c r="AF49" s="424">
        <f t="shared" si="16"/>
        <v>16502200.000000002</v>
      </c>
      <c r="AG49" s="405" t="s">
        <v>47</v>
      </c>
      <c r="AH49" s="395"/>
      <c r="AI49" s="405">
        <v>75</v>
      </c>
      <c r="AJ49" s="405" t="s">
        <v>1449</v>
      </c>
      <c r="AK49" s="405" t="s">
        <v>1070</v>
      </c>
      <c r="AL49" s="425">
        <v>21075</v>
      </c>
      <c r="AM49" s="405" t="s">
        <v>52</v>
      </c>
      <c r="AN49" s="405" t="s">
        <v>50</v>
      </c>
      <c r="AO49" s="405"/>
      <c r="AP49" s="405" t="s">
        <v>92</v>
      </c>
      <c r="AQ49" s="405" t="s">
        <v>37</v>
      </c>
      <c r="AR49" s="405"/>
      <c r="AS49" s="369"/>
      <c r="AT49" s="363"/>
      <c r="AU49" s="403"/>
      <c r="AV49" s="402" t="str">
        <f t="shared" si="12"/>
        <v>30390256F</v>
      </c>
      <c r="AW49" s="402" cm="1">
        <f t="array" ref="AW49">SUM(MID(0&amp;AV49,LARGE(INDEX(ISNUMBER(--MID(AV49,ROW($1:$8),1))*ROW($1:$8),),ROW($1:$8))+1,1)*10^ROW($1:$8)/10)</f>
        <v>30390256</v>
      </c>
      <c r="AX49" s="402" t="str">
        <f>VLOOKUP($AW49,'Item Master Data'!$A:$F,3,FALSE)</f>
        <v>T400H</v>
      </c>
      <c r="AY49" s="402">
        <f>VLOOKUP($AW49,'Item Master Data'!$A:$F,6,FALSE)</f>
        <v>400</v>
      </c>
      <c r="AZ49" s="402">
        <f t="shared" si="13"/>
        <v>2885</v>
      </c>
      <c r="BA49" s="402">
        <f>VLOOKUP(AW49,'Item Master Data'!$A:$G,7,FALSE)</f>
        <v>26</v>
      </c>
      <c r="BB49" s="402"/>
      <c r="BC49" s="402">
        <f t="shared" si="14"/>
        <v>0</v>
      </c>
    </row>
    <row r="50" spans="1:55">
      <c r="A50" s="377"/>
      <c r="B50" s="376"/>
      <c r="C50" s="376"/>
      <c r="D50" s="405" t="s">
        <v>1066</v>
      </c>
      <c r="E50" s="364"/>
      <c r="F50" s="405" t="s">
        <v>1139</v>
      </c>
      <c r="G50" s="405">
        <v>2022</v>
      </c>
      <c r="H50" s="405">
        <v>9</v>
      </c>
      <c r="I50" s="416"/>
      <c r="J50" s="406"/>
      <c r="K50" s="405">
        <v>7700010822</v>
      </c>
      <c r="L50" s="406" t="s">
        <v>1442</v>
      </c>
      <c r="M50" s="406">
        <v>44468</v>
      </c>
      <c r="N50" s="406" t="s">
        <v>1464</v>
      </c>
      <c r="O50" s="406"/>
      <c r="P50" s="406"/>
      <c r="Q50" s="406"/>
      <c r="R50" s="406"/>
      <c r="S50" s="405" t="s">
        <v>1443</v>
      </c>
      <c r="T50" s="405">
        <v>60</v>
      </c>
      <c r="U50" s="405" t="s">
        <v>1459</v>
      </c>
      <c r="V50" s="405" t="s">
        <v>1447</v>
      </c>
      <c r="W50" s="407">
        <v>400</v>
      </c>
      <c r="X50" s="371">
        <v>100022</v>
      </c>
      <c r="Y50" s="422">
        <f t="shared" si="15"/>
        <v>40008800</v>
      </c>
      <c r="Z50" s="409">
        <v>0.55000000000000004</v>
      </c>
      <c r="AA50" s="410">
        <f t="shared" si="11"/>
        <v>22004840</v>
      </c>
      <c r="AB50" s="362"/>
      <c r="AC50" s="412">
        <v>0</v>
      </c>
      <c r="AD50" s="405"/>
      <c r="AE50" s="413"/>
      <c r="AF50" s="424">
        <f t="shared" si="16"/>
        <v>22004840</v>
      </c>
      <c r="AG50" s="405" t="s">
        <v>47</v>
      </c>
      <c r="AH50" s="395"/>
      <c r="AI50" s="405">
        <v>75</v>
      </c>
      <c r="AJ50" s="405" t="s">
        <v>1449</v>
      </c>
      <c r="AK50" s="405" t="s">
        <v>1070</v>
      </c>
      <c r="AL50" s="425">
        <v>21075</v>
      </c>
      <c r="AM50" s="405" t="s">
        <v>52</v>
      </c>
      <c r="AN50" s="405" t="s">
        <v>50</v>
      </c>
      <c r="AO50" s="405"/>
      <c r="AP50" s="405" t="s">
        <v>92</v>
      </c>
      <c r="AQ50" s="405" t="s">
        <v>37</v>
      </c>
      <c r="AR50" s="405"/>
      <c r="AS50" s="369"/>
      <c r="AT50" s="363"/>
      <c r="AU50" s="403"/>
      <c r="AV50" s="402"/>
      <c r="AW50" s="402"/>
      <c r="AX50" s="402"/>
      <c r="AY50" s="402"/>
      <c r="AZ50" s="402"/>
      <c r="BA50" s="402"/>
      <c r="BB50" s="402"/>
      <c r="BC50" s="402"/>
    </row>
    <row r="51" spans="1:55">
      <c r="A51" s="377"/>
      <c r="B51" s="376"/>
      <c r="C51" s="376"/>
      <c r="D51" s="405" t="s">
        <v>1066</v>
      </c>
      <c r="E51" s="364"/>
      <c r="F51" s="405" t="s">
        <v>1139</v>
      </c>
      <c r="G51" s="405">
        <v>2022</v>
      </c>
      <c r="H51" s="405">
        <v>10</v>
      </c>
      <c r="I51" s="416"/>
      <c r="J51" s="406"/>
      <c r="K51" s="405">
        <v>7700010822</v>
      </c>
      <c r="L51" s="406" t="s">
        <v>1442</v>
      </c>
      <c r="M51" s="406">
        <v>44468</v>
      </c>
      <c r="N51" s="406" t="s">
        <v>1465</v>
      </c>
      <c r="O51" s="406"/>
      <c r="P51" s="406"/>
      <c r="Q51" s="406"/>
      <c r="R51" s="406"/>
      <c r="S51" s="405" t="s">
        <v>1443</v>
      </c>
      <c r="T51" s="405">
        <v>60</v>
      </c>
      <c r="U51" s="405" t="s">
        <v>1459</v>
      </c>
      <c r="V51" s="405" t="s">
        <v>1447</v>
      </c>
      <c r="W51" s="407">
        <v>400</v>
      </c>
      <c r="X51" s="371">
        <v>75010</v>
      </c>
      <c r="Y51" s="422">
        <f t="shared" si="15"/>
        <v>30004000</v>
      </c>
      <c r="Z51" s="409">
        <v>0.55000000000000004</v>
      </c>
      <c r="AA51" s="410">
        <f t="shared" si="11"/>
        <v>16502200.000000002</v>
      </c>
      <c r="AB51" s="362"/>
      <c r="AC51" s="412">
        <v>0</v>
      </c>
      <c r="AD51" s="405"/>
      <c r="AE51" s="413"/>
      <c r="AF51" s="424">
        <f t="shared" si="16"/>
        <v>16502200.000000002</v>
      </c>
      <c r="AG51" s="405" t="s">
        <v>47</v>
      </c>
      <c r="AH51" s="395"/>
      <c r="AI51" s="405">
        <v>75</v>
      </c>
      <c r="AJ51" s="405" t="s">
        <v>1449</v>
      </c>
      <c r="AK51" s="405" t="s">
        <v>1070</v>
      </c>
      <c r="AL51" s="425">
        <v>21075</v>
      </c>
      <c r="AM51" s="405" t="s">
        <v>52</v>
      </c>
      <c r="AN51" s="405" t="s">
        <v>50</v>
      </c>
      <c r="AO51" s="405"/>
      <c r="AP51" s="405" t="s">
        <v>92</v>
      </c>
      <c r="AQ51" s="405" t="s">
        <v>37</v>
      </c>
      <c r="AR51" s="405"/>
      <c r="AS51" s="369"/>
      <c r="AT51" s="363"/>
      <c r="AU51" s="403"/>
      <c r="AV51" s="402" t="str">
        <f>U51</f>
        <v>30390256F</v>
      </c>
      <c r="AW51" s="402" cm="1">
        <f t="array" ref="AW51">SUM(MID(0&amp;AV51,LARGE(INDEX(ISNUMBER(--MID(AV51,ROW($1:$8),1))*ROW($1:$8),),ROW($1:$8))+1,1)*10^ROW($1:$8)/10)</f>
        <v>30390256</v>
      </c>
      <c r="AX51" s="402" t="str">
        <f>VLOOKUP($AW51,'Item Master Data'!$A:$F,3,FALSE)</f>
        <v>T400H</v>
      </c>
      <c r="AY51" s="402">
        <f>VLOOKUP($AW51,'Item Master Data'!$A:$F,6,FALSE)</f>
        <v>400</v>
      </c>
      <c r="AZ51" s="402">
        <f>X51/BA51</f>
        <v>2885</v>
      </c>
      <c r="BA51" s="402">
        <f>VLOOKUP(AW51,'Item Master Data'!$A:$G,7,FALSE)</f>
        <v>26</v>
      </c>
      <c r="BB51" s="402"/>
      <c r="BC51" s="402">
        <f>W51-AY51</f>
        <v>0</v>
      </c>
    </row>
    <row r="52" spans="1:55">
      <c r="A52" s="377"/>
      <c r="B52" s="376"/>
      <c r="C52" s="376"/>
      <c r="D52" s="405" t="s">
        <v>1066</v>
      </c>
      <c r="E52" s="364"/>
      <c r="F52" s="405" t="s">
        <v>1139</v>
      </c>
      <c r="G52" s="405">
        <v>2022</v>
      </c>
      <c r="H52" s="405">
        <v>11</v>
      </c>
      <c r="I52" s="416"/>
      <c r="J52" s="406"/>
      <c r="K52" s="405">
        <v>7700010822</v>
      </c>
      <c r="L52" s="406" t="s">
        <v>1442</v>
      </c>
      <c r="M52" s="406">
        <v>44468</v>
      </c>
      <c r="N52" s="406" t="s">
        <v>1466</v>
      </c>
      <c r="O52" s="406"/>
      <c r="P52" s="406"/>
      <c r="Q52" s="406"/>
      <c r="R52" s="406"/>
      <c r="S52" s="405" t="s">
        <v>1443</v>
      </c>
      <c r="T52" s="405">
        <v>60</v>
      </c>
      <c r="U52" s="405" t="s">
        <v>1459</v>
      </c>
      <c r="V52" s="405" t="s">
        <v>1447</v>
      </c>
      <c r="W52" s="407">
        <v>400</v>
      </c>
      <c r="X52" s="371">
        <v>75010</v>
      </c>
      <c r="Y52" s="422">
        <f t="shared" si="15"/>
        <v>30004000</v>
      </c>
      <c r="Z52" s="409">
        <v>0.55000000000000004</v>
      </c>
      <c r="AA52" s="410">
        <f t="shared" si="11"/>
        <v>16502200.000000002</v>
      </c>
      <c r="AB52" s="362"/>
      <c r="AC52" s="412">
        <v>0</v>
      </c>
      <c r="AD52" s="405"/>
      <c r="AE52" s="413"/>
      <c r="AF52" s="424">
        <f t="shared" si="16"/>
        <v>16502200.000000002</v>
      </c>
      <c r="AG52" s="405" t="s">
        <v>47</v>
      </c>
      <c r="AH52" s="395"/>
      <c r="AI52" s="405">
        <v>75</v>
      </c>
      <c r="AJ52" s="405" t="s">
        <v>1449</v>
      </c>
      <c r="AK52" s="405" t="s">
        <v>1070</v>
      </c>
      <c r="AL52" s="425">
        <v>21075</v>
      </c>
      <c r="AM52" s="405" t="s">
        <v>52</v>
      </c>
      <c r="AN52" s="405" t="s">
        <v>50</v>
      </c>
      <c r="AO52" s="405"/>
      <c r="AP52" s="405" t="s">
        <v>92</v>
      </c>
      <c r="AQ52" s="405" t="s">
        <v>37</v>
      </c>
      <c r="AR52" s="405"/>
      <c r="AS52" s="369"/>
      <c r="AT52" s="363"/>
      <c r="AU52" s="403"/>
      <c r="AV52" s="402" t="str">
        <f>U52</f>
        <v>30390256F</v>
      </c>
      <c r="AW52" s="402" cm="1">
        <f t="array" ref="AW52">SUM(MID(0&amp;AV52,LARGE(INDEX(ISNUMBER(--MID(AV52,ROW($1:$8),1))*ROW($1:$8),),ROW($1:$8))+1,1)*10^ROW($1:$8)/10)</f>
        <v>30390256</v>
      </c>
      <c r="AX52" s="402" t="str">
        <f>VLOOKUP($AW52,'Item Master Data'!$A:$F,3,FALSE)</f>
        <v>T400H</v>
      </c>
      <c r="AY52" s="402">
        <f>VLOOKUP($AW52,'Item Master Data'!$A:$F,6,FALSE)</f>
        <v>400</v>
      </c>
      <c r="AZ52" s="402">
        <f>X52/BA52</f>
        <v>2885</v>
      </c>
      <c r="BA52" s="402">
        <f>VLOOKUP(AW52,'Item Master Data'!$A:$G,7,FALSE)</f>
        <v>26</v>
      </c>
      <c r="BB52" s="402"/>
      <c r="BC52" s="402">
        <f>W52-AY52</f>
        <v>0</v>
      </c>
    </row>
    <row r="53" spans="1:55">
      <c r="A53" s="377"/>
      <c r="B53" s="376"/>
      <c r="C53" s="376"/>
      <c r="D53" s="405" t="s">
        <v>1066</v>
      </c>
      <c r="E53" s="364"/>
      <c r="F53" s="405" t="s">
        <v>1139</v>
      </c>
      <c r="G53" s="405">
        <v>2022</v>
      </c>
      <c r="H53" s="405">
        <v>12</v>
      </c>
      <c r="I53" s="416"/>
      <c r="J53" s="406"/>
      <c r="K53" s="405">
        <v>7700010822</v>
      </c>
      <c r="L53" s="406" t="s">
        <v>1442</v>
      </c>
      <c r="M53" s="406">
        <v>44468</v>
      </c>
      <c r="N53" s="406" t="s">
        <v>1336</v>
      </c>
      <c r="O53" s="406"/>
      <c r="P53" s="406"/>
      <c r="Q53" s="406"/>
      <c r="R53" s="406"/>
      <c r="S53" s="405" t="s">
        <v>1443</v>
      </c>
      <c r="T53" s="405">
        <v>60</v>
      </c>
      <c r="U53" s="405" t="s">
        <v>1459</v>
      </c>
      <c r="V53" s="405" t="s">
        <v>1447</v>
      </c>
      <c r="W53" s="407">
        <v>400</v>
      </c>
      <c r="X53" s="371">
        <v>100022</v>
      </c>
      <c r="Y53" s="422">
        <f t="shared" si="15"/>
        <v>40008800</v>
      </c>
      <c r="Z53" s="409">
        <v>0.55000000000000004</v>
      </c>
      <c r="AA53" s="410">
        <f t="shared" si="11"/>
        <v>22004840</v>
      </c>
      <c r="AB53" s="362"/>
      <c r="AC53" s="412">
        <v>0</v>
      </c>
      <c r="AD53" s="405"/>
      <c r="AE53" s="413"/>
      <c r="AF53" s="424">
        <f t="shared" si="16"/>
        <v>22004840</v>
      </c>
      <c r="AG53" s="405" t="s">
        <v>47</v>
      </c>
      <c r="AH53" s="395"/>
      <c r="AI53" s="405">
        <v>75</v>
      </c>
      <c r="AJ53" s="405" t="s">
        <v>1449</v>
      </c>
      <c r="AK53" s="405" t="s">
        <v>1070</v>
      </c>
      <c r="AL53" s="425">
        <v>21075</v>
      </c>
      <c r="AM53" s="405" t="s">
        <v>52</v>
      </c>
      <c r="AN53" s="405" t="s">
        <v>50</v>
      </c>
      <c r="AO53" s="405"/>
      <c r="AP53" s="405" t="s">
        <v>92</v>
      </c>
      <c r="AQ53" s="405" t="s">
        <v>37</v>
      </c>
      <c r="AR53" s="405"/>
      <c r="AS53" s="369"/>
      <c r="AT53" s="363"/>
      <c r="AU53" s="403"/>
      <c r="AV53" s="402" t="str">
        <f>U53</f>
        <v>30390256F</v>
      </c>
      <c r="AW53" s="402" cm="1">
        <f t="array" ref="AW53">SUM(MID(0&amp;AV53,LARGE(INDEX(ISNUMBER(--MID(AV53,ROW($1:$8),1))*ROW($1:$8),),ROW($1:$8))+1,1)*10^ROW($1:$8)/10)</f>
        <v>30390256</v>
      </c>
      <c r="AX53" s="402" t="str">
        <f>VLOOKUP($AW53,'Item Master Data'!$A:$F,3,FALSE)</f>
        <v>T400H</v>
      </c>
      <c r="AY53" s="402">
        <f>VLOOKUP($AW53,'Item Master Data'!$A:$F,6,FALSE)</f>
        <v>400</v>
      </c>
      <c r="AZ53" s="402">
        <f>X53/BA53</f>
        <v>3847</v>
      </c>
      <c r="BA53" s="402">
        <f>VLOOKUP(AW53,'Item Master Data'!$A:$G,7,FALSE)</f>
        <v>26</v>
      </c>
      <c r="BB53" s="402"/>
      <c r="BC53" s="402">
        <f>W53-AY53</f>
        <v>0</v>
      </c>
    </row>
    <row r="54" spans="1:55">
      <c r="A54" s="377"/>
      <c r="B54" s="376"/>
      <c r="C54" s="376"/>
      <c r="D54" s="405" t="s">
        <v>1066</v>
      </c>
      <c r="E54" s="364"/>
      <c r="F54" s="405" t="s">
        <v>1139</v>
      </c>
      <c r="G54" s="405">
        <v>2022</v>
      </c>
      <c r="H54" s="405">
        <v>5</v>
      </c>
      <c r="I54" s="416"/>
      <c r="J54" s="406" t="s">
        <v>4410</v>
      </c>
      <c r="K54" s="405" t="s">
        <v>4409</v>
      </c>
      <c r="L54" s="406" t="s">
        <v>1442</v>
      </c>
      <c r="M54" s="406">
        <v>44468</v>
      </c>
      <c r="N54" s="406" t="s">
        <v>1460</v>
      </c>
      <c r="O54" s="406"/>
      <c r="P54" s="406">
        <v>44678</v>
      </c>
      <c r="Q54" s="406"/>
      <c r="R54" s="406"/>
      <c r="S54" s="405" t="s">
        <v>1443</v>
      </c>
      <c r="T54" s="405">
        <v>60</v>
      </c>
      <c r="U54" s="405" t="s">
        <v>1450</v>
      </c>
      <c r="V54" s="405" t="s">
        <v>1444</v>
      </c>
      <c r="W54" s="407">
        <v>395</v>
      </c>
      <c r="X54" s="371">
        <f>7488-624-624</f>
        <v>6240</v>
      </c>
      <c r="Y54" s="422">
        <f t="shared" si="15"/>
        <v>2464800</v>
      </c>
      <c r="Z54" s="409">
        <v>0.48</v>
      </c>
      <c r="AA54" s="410">
        <f t="shared" si="11"/>
        <v>1183104</v>
      </c>
      <c r="AB54" s="362"/>
      <c r="AC54" s="412">
        <v>0</v>
      </c>
      <c r="AD54" s="405"/>
      <c r="AE54" s="413"/>
      <c r="AF54" s="424">
        <f t="shared" si="16"/>
        <v>1183104</v>
      </c>
      <c r="AG54" s="405" t="s">
        <v>47</v>
      </c>
      <c r="AH54" s="395"/>
      <c r="AI54" s="405">
        <v>75</v>
      </c>
      <c r="AJ54" s="405" t="s">
        <v>1445</v>
      </c>
      <c r="AK54" s="405" t="s">
        <v>50</v>
      </c>
      <c r="AL54" s="425"/>
      <c r="AM54" s="405" t="s">
        <v>52</v>
      </c>
      <c r="AN54" s="405" t="s">
        <v>50</v>
      </c>
      <c r="AO54" s="405"/>
      <c r="AP54" s="405" t="s">
        <v>92</v>
      </c>
      <c r="AQ54" s="405" t="s">
        <v>37</v>
      </c>
      <c r="AR54" s="405"/>
      <c r="AS54" s="369"/>
      <c r="AT54" s="363"/>
      <c r="AU54" s="403"/>
      <c r="AV54" s="402" t="str">
        <f>U54</f>
        <v>30390255H</v>
      </c>
      <c r="AW54" s="402" cm="1">
        <f t="array" ref="AW54">SUM(MID(0&amp;AV54,LARGE(INDEX(ISNUMBER(--MID(AV54,ROW($1:$8),1))*ROW($1:$8),),ROW($1:$8))+1,1)*10^ROW($1:$8)/10)</f>
        <v>30390255</v>
      </c>
      <c r="AX54" s="402" t="str">
        <f>VLOOKUP($AW54,'Item Master Data'!$A:$F,3,FALSE)</f>
        <v>T395H</v>
      </c>
      <c r="AY54" s="402">
        <f>VLOOKUP($AW54,'Item Master Data'!$A:$F,6,FALSE)</f>
        <v>395</v>
      </c>
      <c r="AZ54" s="402">
        <f>X54/BA54</f>
        <v>240</v>
      </c>
      <c r="BA54" s="402">
        <f>VLOOKUP(AW54,'Item Master Data'!$A:$G,7,FALSE)</f>
        <v>26</v>
      </c>
      <c r="BB54" s="402"/>
      <c r="BC54" s="402">
        <f>W54-AY54</f>
        <v>0</v>
      </c>
    </row>
    <row r="55" spans="1:55">
      <c r="A55" s="377"/>
      <c r="B55" s="376"/>
      <c r="C55" s="376"/>
      <c r="D55" s="405" t="s">
        <v>1066</v>
      </c>
      <c r="E55" s="364"/>
      <c r="F55" s="405" t="s">
        <v>1139</v>
      </c>
      <c r="G55" s="405">
        <v>2022</v>
      </c>
      <c r="H55" s="405">
        <v>5</v>
      </c>
      <c r="I55" s="416"/>
      <c r="J55" s="406" t="s">
        <v>1101</v>
      </c>
      <c r="K55" s="405" t="s">
        <v>4937</v>
      </c>
      <c r="L55" s="406" t="s">
        <v>1442</v>
      </c>
      <c r="M55" s="406">
        <v>44693</v>
      </c>
      <c r="N55" s="406" t="s">
        <v>1460</v>
      </c>
      <c r="O55" s="406"/>
      <c r="P55" s="406" t="s">
        <v>1368</v>
      </c>
      <c r="Q55" s="406">
        <v>44694</v>
      </c>
      <c r="R55" s="406">
        <v>44699</v>
      </c>
      <c r="S55" s="405" t="s">
        <v>1443</v>
      </c>
      <c r="T55" s="405">
        <v>60</v>
      </c>
      <c r="U55" s="405">
        <v>49406140</v>
      </c>
      <c r="V55" s="405" t="s">
        <v>1447</v>
      </c>
      <c r="W55" s="407">
        <v>400</v>
      </c>
      <c r="X55" s="371">
        <v>728</v>
      </c>
      <c r="Y55" s="422">
        <f t="shared" si="15"/>
        <v>291200</v>
      </c>
      <c r="Z55" s="409">
        <v>0.48</v>
      </c>
      <c r="AA55" s="410">
        <f t="shared" si="11"/>
        <v>139776</v>
      </c>
      <c r="AB55" s="362"/>
      <c r="AC55" s="412">
        <v>0</v>
      </c>
      <c r="AD55" s="405"/>
      <c r="AE55" s="413"/>
      <c r="AF55" s="424">
        <f t="shared" si="16"/>
        <v>139776</v>
      </c>
      <c r="AG55" s="405" t="s">
        <v>47</v>
      </c>
      <c r="AH55" s="395"/>
      <c r="AI55" s="405">
        <v>75</v>
      </c>
      <c r="AJ55" s="405" t="s">
        <v>1445</v>
      </c>
      <c r="AK55" s="405" t="s">
        <v>50</v>
      </c>
      <c r="AL55" s="425"/>
      <c r="AM55" s="405" t="s">
        <v>52</v>
      </c>
      <c r="AN55" s="405" t="s">
        <v>1101</v>
      </c>
      <c r="AO55" s="405"/>
      <c r="AP55" s="405"/>
      <c r="AQ55" s="405" t="s">
        <v>37</v>
      </c>
      <c r="AR55" s="405"/>
      <c r="AS55" s="369"/>
      <c r="AT55" s="363"/>
      <c r="AU55" s="403"/>
      <c r="AV55" s="402"/>
      <c r="AW55" s="402"/>
      <c r="AX55" s="402"/>
      <c r="AY55" s="402"/>
      <c r="AZ55" s="402"/>
      <c r="BA55" s="402"/>
      <c r="BB55" s="402"/>
      <c r="BC55" s="402"/>
    </row>
    <row r="56" spans="1:55">
      <c r="A56" s="377"/>
      <c r="B56" s="376"/>
      <c r="C56" s="376"/>
      <c r="D56" s="405" t="s">
        <v>1066</v>
      </c>
      <c r="E56" s="364"/>
      <c r="F56" s="405" t="s">
        <v>1139</v>
      </c>
      <c r="G56" s="405">
        <v>2022</v>
      </c>
      <c r="H56" s="405">
        <v>5</v>
      </c>
      <c r="I56" s="416"/>
      <c r="J56" s="406" t="s">
        <v>1101</v>
      </c>
      <c r="K56" s="405" t="s">
        <v>4937</v>
      </c>
      <c r="L56" s="406" t="s">
        <v>1442</v>
      </c>
      <c r="M56" s="406">
        <v>44693</v>
      </c>
      <c r="N56" s="406" t="s">
        <v>1460</v>
      </c>
      <c r="O56" s="406"/>
      <c r="P56" s="406" t="s">
        <v>1368</v>
      </c>
      <c r="Q56" s="406">
        <v>44694</v>
      </c>
      <c r="R56" s="406">
        <v>44699</v>
      </c>
      <c r="S56" s="405" t="s">
        <v>1443</v>
      </c>
      <c r="T56" s="405">
        <v>60</v>
      </c>
      <c r="U56" s="405">
        <v>49406140</v>
      </c>
      <c r="V56" s="405" t="s">
        <v>1447</v>
      </c>
      <c r="W56" s="407">
        <v>400</v>
      </c>
      <c r="X56" s="371">
        <v>728</v>
      </c>
      <c r="Y56" s="422">
        <f t="shared" si="15"/>
        <v>291200</v>
      </c>
      <c r="Z56" s="409">
        <v>0.48</v>
      </c>
      <c r="AA56" s="410">
        <f t="shared" si="11"/>
        <v>139776</v>
      </c>
      <c r="AB56" s="362"/>
      <c r="AC56" s="412">
        <v>0</v>
      </c>
      <c r="AD56" s="405"/>
      <c r="AE56" s="413"/>
      <c r="AF56" s="424">
        <f t="shared" si="16"/>
        <v>139776</v>
      </c>
      <c r="AG56" s="405" t="s">
        <v>47</v>
      </c>
      <c r="AH56" s="395"/>
      <c r="AI56" s="405">
        <v>75</v>
      </c>
      <c r="AJ56" s="405" t="s">
        <v>1445</v>
      </c>
      <c r="AK56" s="405" t="s">
        <v>50</v>
      </c>
      <c r="AL56" s="425"/>
      <c r="AM56" s="405" t="s">
        <v>52</v>
      </c>
      <c r="AN56" s="405" t="s">
        <v>1101</v>
      </c>
      <c r="AO56" s="405"/>
      <c r="AP56" s="405"/>
      <c r="AQ56" s="405" t="s">
        <v>37</v>
      </c>
      <c r="AR56" s="405"/>
      <c r="AS56" s="369"/>
      <c r="AT56" s="363"/>
      <c r="AU56" s="403"/>
      <c r="AV56" s="402"/>
      <c r="AW56" s="402"/>
      <c r="AX56" s="402"/>
      <c r="AY56" s="402"/>
      <c r="AZ56" s="402"/>
      <c r="BA56" s="402"/>
      <c r="BB56" s="402"/>
      <c r="BC56" s="402"/>
    </row>
    <row r="57" spans="1:55">
      <c r="A57" s="377"/>
      <c r="B57" s="376"/>
      <c r="C57" s="376"/>
      <c r="D57" s="405" t="s">
        <v>1066</v>
      </c>
      <c r="E57" s="364"/>
      <c r="F57" s="405" t="s">
        <v>1139</v>
      </c>
      <c r="G57" s="405">
        <v>2022</v>
      </c>
      <c r="H57" s="405">
        <v>5</v>
      </c>
      <c r="I57" s="416"/>
      <c r="J57" s="406" t="s">
        <v>1101</v>
      </c>
      <c r="K57" s="405" t="s">
        <v>4937</v>
      </c>
      <c r="L57" s="406" t="s">
        <v>1442</v>
      </c>
      <c r="M57" s="406">
        <v>44693</v>
      </c>
      <c r="N57" s="406" t="s">
        <v>1460</v>
      </c>
      <c r="O57" s="406"/>
      <c r="P57" s="406" t="s">
        <v>1368</v>
      </c>
      <c r="Q57" s="406">
        <v>44697</v>
      </c>
      <c r="R57" s="406">
        <v>44701</v>
      </c>
      <c r="S57" s="405" t="s">
        <v>1443</v>
      </c>
      <c r="T57" s="405">
        <v>60</v>
      </c>
      <c r="U57" s="405">
        <v>49406140</v>
      </c>
      <c r="V57" s="405" t="s">
        <v>1447</v>
      </c>
      <c r="W57" s="407">
        <v>400</v>
      </c>
      <c r="X57" s="371">
        <v>728</v>
      </c>
      <c r="Y57" s="422">
        <f t="shared" si="15"/>
        <v>291200</v>
      </c>
      <c r="Z57" s="409">
        <v>0.48</v>
      </c>
      <c r="AA57" s="410">
        <f t="shared" si="11"/>
        <v>139776</v>
      </c>
      <c r="AB57" s="362"/>
      <c r="AC57" s="412">
        <v>0</v>
      </c>
      <c r="AD57" s="405"/>
      <c r="AE57" s="413"/>
      <c r="AF57" s="424">
        <f t="shared" si="16"/>
        <v>139776</v>
      </c>
      <c r="AG57" s="405" t="s">
        <v>47</v>
      </c>
      <c r="AH57" s="395"/>
      <c r="AI57" s="405">
        <v>75</v>
      </c>
      <c r="AJ57" s="405" t="s">
        <v>1445</v>
      </c>
      <c r="AK57" s="405" t="s">
        <v>50</v>
      </c>
      <c r="AL57" s="425"/>
      <c r="AM57" s="405" t="s">
        <v>52</v>
      </c>
      <c r="AN57" s="405" t="s">
        <v>1101</v>
      </c>
      <c r="AO57" s="405"/>
      <c r="AP57" s="405"/>
      <c r="AQ57" s="405" t="s">
        <v>37</v>
      </c>
      <c r="AR57" s="405"/>
      <c r="AS57" s="369"/>
      <c r="AT57" s="363"/>
      <c r="AU57" s="403"/>
      <c r="AV57" s="402"/>
      <c r="AW57" s="402"/>
      <c r="AX57" s="402"/>
      <c r="AY57" s="402"/>
      <c r="AZ57" s="402"/>
      <c r="BA57" s="402"/>
      <c r="BB57" s="402"/>
      <c r="BC57" s="402"/>
    </row>
    <row r="58" spans="1:55">
      <c r="A58" s="377"/>
      <c r="B58" s="376"/>
      <c r="C58" s="376"/>
      <c r="D58" s="405" t="s">
        <v>1066</v>
      </c>
      <c r="E58" s="364"/>
      <c r="F58" s="405" t="s">
        <v>1139</v>
      </c>
      <c r="G58" s="405">
        <v>2022</v>
      </c>
      <c r="H58" s="405">
        <v>5</v>
      </c>
      <c r="I58" s="416"/>
      <c r="J58" s="406" t="s">
        <v>1101</v>
      </c>
      <c r="K58" s="405" t="s">
        <v>4937</v>
      </c>
      <c r="L58" s="406" t="s">
        <v>1442</v>
      </c>
      <c r="M58" s="406">
        <v>44693</v>
      </c>
      <c r="N58" s="406" t="s">
        <v>1460</v>
      </c>
      <c r="O58" s="406"/>
      <c r="P58" s="406" t="s">
        <v>1368</v>
      </c>
      <c r="Q58" s="406">
        <v>44697</v>
      </c>
      <c r="R58" s="406">
        <v>44701</v>
      </c>
      <c r="S58" s="405" t="s">
        <v>1443</v>
      </c>
      <c r="T58" s="405">
        <v>60</v>
      </c>
      <c r="U58" s="405">
        <v>49406140</v>
      </c>
      <c r="V58" s="405" t="s">
        <v>1447</v>
      </c>
      <c r="W58" s="407">
        <v>400</v>
      </c>
      <c r="X58" s="371">
        <v>728</v>
      </c>
      <c r="Y58" s="422">
        <f t="shared" si="15"/>
        <v>291200</v>
      </c>
      <c r="Z58" s="409">
        <v>0.48</v>
      </c>
      <c r="AA58" s="410">
        <f t="shared" si="11"/>
        <v>139776</v>
      </c>
      <c r="AB58" s="362"/>
      <c r="AC58" s="412">
        <v>0</v>
      </c>
      <c r="AD58" s="405"/>
      <c r="AE58" s="413"/>
      <c r="AF58" s="424">
        <f t="shared" si="16"/>
        <v>139776</v>
      </c>
      <c r="AG58" s="405" t="s">
        <v>47</v>
      </c>
      <c r="AH58" s="395"/>
      <c r="AI58" s="405">
        <v>75</v>
      </c>
      <c r="AJ58" s="405" t="s">
        <v>1445</v>
      </c>
      <c r="AK58" s="405" t="s">
        <v>50</v>
      </c>
      <c r="AL58" s="425"/>
      <c r="AM58" s="405" t="s">
        <v>52</v>
      </c>
      <c r="AN58" s="405" t="s">
        <v>1101</v>
      </c>
      <c r="AO58" s="405"/>
      <c r="AP58" s="405"/>
      <c r="AQ58" s="405" t="s">
        <v>37</v>
      </c>
      <c r="AR58" s="405"/>
      <c r="AS58" s="369"/>
      <c r="AT58" s="363"/>
      <c r="AU58" s="403"/>
      <c r="AV58" s="402">
        <f>U58</f>
        <v>49406140</v>
      </c>
      <c r="AW58" s="402" cm="1">
        <f t="array" ref="AW58">SUM(MID(0&amp;AV58,LARGE(INDEX(ISNUMBER(--MID(AV58,ROW($1:$8),1))*ROW($1:$8),),ROW($1:$8))+1,1)*10^ROW($1:$8)/10)</f>
        <v>49406140</v>
      </c>
      <c r="AX58" s="402" t="e">
        <f>VLOOKUP($AW58,'Item Master Data'!$A:$F,3,FALSE)</f>
        <v>#N/A</v>
      </c>
      <c r="AY58" s="402" t="e">
        <f>VLOOKUP($AW58,'Item Master Data'!$A:$F,6,FALSE)</f>
        <v>#N/A</v>
      </c>
      <c r="AZ58" s="402" t="e">
        <f>X58/BA58</f>
        <v>#N/A</v>
      </c>
      <c r="BA58" s="402" t="e">
        <f>VLOOKUP(AW58,'Item Master Data'!$A:$G,7,FALSE)</f>
        <v>#N/A</v>
      </c>
      <c r="BB58" s="402"/>
      <c r="BC58" s="402" t="e">
        <f>W58-AY58</f>
        <v>#N/A</v>
      </c>
    </row>
    <row r="59" spans="1:55">
      <c r="A59" s="377"/>
      <c r="B59" s="376"/>
      <c r="C59" s="376"/>
      <c r="D59" s="405" t="s">
        <v>1066</v>
      </c>
      <c r="E59" s="364"/>
      <c r="F59" s="405" t="s">
        <v>1139</v>
      </c>
      <c r="G59" s="405">
        <v>2022</v>
      </c>
      <c r="H59" s="405">
        <v>5</v>
      </c>
      <c r="I59" s="416"/>
      <c r="J59" s="406" t="s">
        <v>1101</v>
      </c>
      <c r="K59" s="405" t="s">
        <v>4937</v>
      </c>
      <c r="L59" s="406" t="s">
        <v>1442</v>
      </c>
      <c r="M59" s="406">
        <v>44693</v>
      </c>
      <c r="N59" s="406" t="s">
        <v>1460</v>
      </c>
      <c r="O59" s="406"/>
      <c r="P59" s="406" t="s">
        <v>1368</v>
      </c>
      <c r="Q59" s="406">
        <v>44697</v>
      </c>
      <c r="R59" s="406">
        <v>44701</v>
      </c>
      <c r="S59" s="405" t="s">
        <v>1443</v>
      </c>
      <c r="T59" s="405">
        <v>60</v>
      </c>
      <c r="U59" s="405">
        <v>49406140</v>
      </c>
      <c r="V59" s="405" t="s">
        <v>1447</v>
      </c>
      <c r="W59" s="407">
        <v>400</v>
      </c>
      <c r="X59" s="371">
        <v>728</v>
      </c>
      <c r="Y59" s="422">
        <f t="shared" si="15"/>
        <v>291200</v>
      </c>
      <c r="Z59" s="409">
        <v>0.48</v>
      </c>
      <c r="AA59" s="410">
        <f t="shared" si="11"/>
        <v>139776</v>
      </c>
      <c r="AB59" s="362"/>
      <c r="AC59" s="412">
        <v>0</v>
      </c>
      <c r="AD59" s="405"/>
      <c r="AE59" s="413"/>
      <c r="AF59" s="424">
        <f t="shared" si="16"/>
        <v>139776</v>
      </c>
      <c r="AG59" s="405" t="s">
        <v>47</v>
      </c>
      <c r="AH59" s="395"/>
      <c r="AI59" s="405">
        <v>75</v>
      </c>
      <c r="AJ59" s="405" t="s">
        <v>1445</v>
      </c>
      <c r="AK59" s="405" t="s">
        <v>50</v>
      </c>
      <c r="AL59" s="425"/>
      <c r="AM59" s="405" t="s">
        <v>52</v>
      </c>
      <c r="AN59" s="405" t="s">
        <v>1101</v>
      </c>
      <c r="AO59" s="405"/>
      <c r="AP59" s="405"/>
      <c r="AQ59" s="405" t="s">
        <v>37</v>
      </c>
      <c r="AR59" s="405"/>
      <c r="AS59" s="369"/>
      <c r="AT59" s="363"/>
      <c r="AU59" s="403"/>
      <c r="AV59" s="402">
        <f>U59</f>
        <v>49406140</v>
      </c>
      <c r="AW59" s="402" cm="1">
        <f t="array" ref="AW59">SUM(MID(0&amp;AV59,LARGE(INDEX(ISNUMBER(--MID(AV59,ROW($1:$8),1))*ROW($1:$8),),ROW($1:$8))+1,1)*10^ROW($1:$8)/10)</f>
        <v>49406140</v>
      </c>
      <c r="AX59" s="402" t="e">
        <f>VLOOKUP($AW59,'Item Master Data'!$A:$F,3,FALSE)</f>
        <v>#N/A</v>
      </c>
      <c r="AY59" s="402" t="e">
        <f>VLOOKUP($AW59,'Item Master Data'!$A:$F,6,FALSE)</f>
        <v>#N/A</v>
      </c>
      <c r="AZ59" s="402" t="e">
        <f>X59/BA59</f>
        <v>#N/A</v>
      </c>
      <c r="BA59" s="402" t="e">
        <f>VLOOKUP(AW59,'Item Master Data'!$A:$G,7,FALSE)</f>
        <v>#N/A</v>
      </c>
      <c r="BB59" s="402"/>
      <c r="BC59" s="402" t="e">
        <f>W59-AY59</f>
        <v>#N/A</v>
      </c>
    </row>
    <row r="60" spans="1:55">
      <c r="A60" s="377"/>
      <c r="B60" s="376"/>
      <c r="C60" s="376"/>
      <c r="D60" s="405" t="s">
        <v>1066</v>
      </c>
      <c r="E60" s="364"/>
      <c r="F60" s="405" t="s">
        <v>1139</v>
      </c>
      <c r="G60" s="405">
        <v>2022</v>
      </c>
      <c r="H60" s="405">
        <v>5</v>
      </c>
      <c r="I60" s="416"/>
      <c r="J60" s="406" t="s">
        <v>1101</v>
      </c>
      <c r="K60" s="405" t="s">
        <v>4937</v>
      </c>
      <c r="L60" s="406" t="s">
        <v>1442</v>
      </c>
      <c r="M60" s="406">
        <v>44693</v>
      </c>
      <c r="N60" s="406" t="s">
        <v>1460</v>
      </c>
      <c r="O60" s="406"/>
      <c r="P60" s="406" t="s">
        <v>1368</v>
      </c>
      <c r="Q60" s="406">
        <v>44697</v>
      </c>
      <c r="R60" s="406">
        <v>44701</v>
      </c>
      <c r="S60" s="405" t="s">
        <v>1443</v>
      </c>
      <c r="T60" s="405">
        <v>60</v>
      </c>
      <c r="U60" s="405">
        <v>49406140</v>
      </c>
      <c r="V60" s="405" t="s">
        <v>1447</v>
      </c>
      <c r="W60" s="407">
        <v>400</v>
      </c>
      <c r="X60" s="371">
        <v>728</v>
      </c>
      <c r="Y60" s="422">
        <f t="shared" si="15"/>
        <v>291200</v>
      </c>
      <c r="Z60" s="409">
        <v>0.48</v>
      </c>
      <c r="AA60" s="410">
        <f t="shared" si="11"/>
        <v>139776</v>
      </c>
      <c r="AB60" s="362"/>
      <c r="AC60" s="412">
        <v>0</v>
      </c>
      <c r="AD60" s="405"/>
      <c r="AE60" s="413"/>
      <c r="AF60" s="424">
        <f t="shared" si="16"/>
        <v>139776</v>
      </c>
      <c r="AG60" s="405" t="s">
        <v>47</v>
      </c>
      <c r="AH60" s="395"/>
      <c r="AI60" s="405">
        <v>75</v>
      </c>
      <c r="AJ60" s="405" t="s">
        <v>1445</v>
      </c>
      <c r="AK60" s="405" t="s">
        <v>50</v>
      </c>
      <c r="AL60" s="425"/>
      <c r="AM60" s="405" t="s">
        <v>52</v>
      </c>
      <c r="AN60" s="405" t="s">
        <v>1101</v>
      </c>
      <c r="AO60" s="405"/>
      <c r="AP60" s="405"/>
      <c r="AQ60" s="405" t="s">
        <v>37</v>
      </c>
      <c r="AR60" s="405"/>
      <c r="AS60" s="369"/>
      <c r="AT60" s="363"/>
      <c r="AU60" s="403"/>
      <c r="AV60" s="402">
        <f>U60</f>
        <v>49406140</v>
      </c>
      <c r="AW60" s="402" cm="1">
        <f t="array" ref="AW60">SUM(MID(0&amp;AV60,LARGE(INDEX(ISNUMBER(--MID(AV60,ROW($1:$8),1))*ROW($1:$8),),ROW($1:$8))+1,1)*10^ROW($1:$8)/10)</f>
        <v>49406140</v>
      </c>
      <c r="AX60" s="402" t="e">
        <f>VLOOKUP($AW60,'Item Master Data'!$A:$F,3,FALSE)</f>
        <v>#N/A</v>
      </c>
      <c r="AY60" s="402" t="e">
        <f>VLOOKUP($AW60,'Item Master Data'!$A:$F,6,FALSE)</f>
        <v>#N/A</v>
      </c>
      <c r="AZ60" s="402" t="e">
        <f>X60/BA60</f>
        <v>#N/A</v>
      </c>
      <c r="BA60" s="402" t="e">
        <f>VLOOKUP(AW60,'Item Master Data'!$A:$G,7,FALSE)</f>
        <v>#N/A</v>
      </c>
      <c r="BB60" s="402"/>
      <c r="BC60" s="402" t="e">
        <f>W60-AY60</f>
        <v>#N/A</v>
      </c>
    </row>
    <row r="61" spans="1:55">
      <c r="A61" s="377"/>
      <c r="B61" s="376"/>
      <c r="C61" s="376"/>
      <c r="D61" s="405" t="s">
        <v>1066</v>
      </c>
      <c r="E61" s="364"/>
      <c r="F61" s="405" t="s">
        <v>1139</v>
      </c>
      <c r="G61" s="405">
        <v>2022</v>
      </c>
      <c r="H61" s="405">
        <v>5</v>
      </c>
      <c r="I61" s="416"/>
      <c r="J61" s="406" t="s">
        <v>1101</v>
      </c>
      <c r="K61" s="405" t="s">
        <v>4937</v>
      </c>
      <c r="L61" s="406" t="s">
        <v>1442</v>
      </c>
      <c r="M61" s="406">
        <v>44693</v>
      </c>
      <c r="N61" s="406" t="s">
        <v>1460</v>
      </c>
      <c r="O61" s="406"/>
      <c r="P61" s="406" t="s">
        <v>1368</v>
      </c>
      <c r="Q61" s="406">
        <v>44699</v>
      </c>
      <c r="R61" s="406">
        <v>44704</v>
      </c>
      <c r="S61" s="405" t="s">
        <v>1443</v>
      </c>
      <c r="T61" s="405">
        <v>60</v>
      </c>
      <c r="U61" s="405">
        <v>49406140</v>
      </c>
      <c r="V61" s="405" t="s">
        <v>1447</v>
      </c>
      <c r="W61" s="407">
        <v>400</v>
      </c>
      <c r="X61" s="371">
        <v>728</v>
      </c>
      <c r="Y61" s="422">
        <f t="shared" si="15"/>
        <v>291200</v>
      </c>
      <c r="Z61" s="409">
        <v>0.48</v>
      </c>
      <c r="AA61" s="410">
        <f t="shared" si="11"/>
        <v>139776</v>
      </c>
      <c r="AB61" s="362"/>
      <c r="AC61" s="412">
        <v>0</v>
      </c>
      <c r="AD61" s="405"/>
      <c r="AE61" s="413"/>
      <c r="AF61" s="424">
        <f t="shared" si="16"/>
        <v>139776</v>
      </c>
      <c r="AG61" s="405" t="s">
        <v>47</v>
      </c>
      <c r="AH61" s="395"/>
      <c r="AI61" s="405">
        <v>75</v>
      </c>
      <c r="AJ61" s="405" t="s">
        <v>1445</v>
      </c>
      <c r="AK61" s="405" t="s">
        <v>50</v>
      </c>
      <c r="AL61" s="425"/>
      <c r="AM61" s="405" t="s">
        <v>52</v>
      </c>
      <c r="AN61" s="405" t="s">
        <v>1101</v>
      </c>
      <c r="AO61" s="405"/>
      <c r="AP61" s="405"/>
      <c r="AQ61" s="405" t="s">
        <v>37</v>
      </c>
      <c r="AR61" s="405"/>
      <c r="AS61" s="369"/>
      <c r="AT61" s="363"/>
      <c r="AU61" s="403"/>
      <c r="AV61" s="402"/>
      <c r="AW61" s="402"/>
      <c r="AX61" s="402"/>
      <c r="AY61" s="402"/>
      <c r="AZ61" s="402"/>
      <c r="BA61" s="402"/>
      <c r="BB61" s="402"/>
      <c r="BC61" s="402"/>
    </row>
    <row r="62" spans="1:55">
      <c r="A62" s="377"/>
      <c r="B62" s="376"/>
      <c r="C62" s="376"/>
      <c r="D62" s="405" t="s">
        <v>1066</v>
      </c>
      <c r="E62" s="364"/>
      <c r="F62" s="405" t="s">
        <v>1139</v>
      </c>
      <c r="G62" s="405">
        <v>2022</v>
      </c>
      <c r="H62" s="405">
        <v>5</v>
      </c>
      <c r="I62" s="416"/>
      <c r="J62" s="406" t="s">
        <v>1101</v>
      </c>
      <c r="K62" s="405" t="s">
        <v>4937</v>
      </c>
      <c r="L62" s="406" t="s">
        <v>1442</v>
      </c>
      <c r="M62" s="406">
        <v>44693</v>
      </c>
      <c r="N62" s="406" t="s">
        <v>1460</v>
      </c>
      <c r="O62" s="406"/>
      <c r="P62" s="406" t="s">
        <v>1368</v>
      </c>
      <c r="Q62" s="406">
        <v>44699</v>
      </c>
      <c r="R62" s="406">
        <v>44704</v>
      </c>
      <c r="S62" s="405" t="s">
        <v>1443</v>
      </c>
      <c r="T62" s="405">
        <v>60</v>
      </c>
      <c r="U62" s="405">
        <v>49406140</v>
      </c>
      <c r="V62" s="405" t="s">
        <v>1447</v>
      </c>
      <c r="W62" s="407">
        <v>400</v>
      </c>
      <c r="X62" s="371">
        <v>728</v>
      </c>
      <c r="Y62" s="422">
        <f t="shared" si="15"/>
        <v>291200</v>
      </c>
      <c r="Z62" s="409">
        <v>0.48</v>
      </c>
      <c r="AA62" s="410">
        <f t="shared" si="11"/>
        <v>139776</v>
      </c>
      <c r="AB62" s="362"/>
      <c r="AC62" s="412">
        <v>0</v>
      </c>
      <c r="AD62" s="405"/>
      <c r="AE62" s="413"/>
      <c r="AF62" s="424">
        <f t="shared" si="16"/>
        <v>139776</v>
      </c>
      <c r="AG62" s="405" t="s">
        <v>47</v>
      </c>
      <c r="AH62" s="395"/>
      <c r="AI62" s="405">
        <v>75</v>
      </c>
      <c r="AJ62" s="405" t="s">
        <v>1445</v>
      </c>
      <c r="AK62" s="405" t="s">
        <v>50</v>
      </c>
      <c r="AL62" s="425"/>
      <c r="AM62" s="405" t="s">
        <v>52</v>
      </c>
      <c r="AN62" s="405" t="s">
        <v>1101</v>
      </c>
      <c r="AO62" s="405"/>
      <c r="AP62" s="405"/>
      <c r="AQ62" s="405" t="s">
        <v>37</v>
      </c>
      <c r="AR62" s="405"/>
      <c r="AS62" s="369"/>
      <c r="AT62" s="363"/>
      <c r="AU62" s="403"/>
      <c r="AV62" s="402">
        <f>U62</f>
        <v>49406140</v>
      </c>
      <c r="AW62" s="402" cm="1">
        <f t="array" ref="AW62">SUM(MID(0&amp;AV62,LARGE(INDEX(ISNUMBER(--MID(AV62,ROW($1:$8),1))*ROW($1:$8),),ROW($1:$8))+1,1)*10^ROW($1:$8)/10)</f>
        <v>49406140</v>
      </c>
      <c r="AX62" s="402" t="e">
        <f>VLOOKUP($AW62,'Item Master Data'!$A:$F,3,FALSE)</f>
        <v>#N/A</v>
      </c>
      <c r="AY62" s="402" t="e">
        <f>VLOOKUP($AW62,'Item Master Data'!$A:$F,6,FALSE)</f>
        <v>#N/A</v>
      </c>
      <c r="AZ62" s="402" t="e">
        <f>X62/BA62</f>
        <v>#N/A</v>
      </c>
      <c r="BA62" s="402" t="e">
        <f>VLOOKUP(AW62,'Item Master Data'!$A:$G,7,FALSE)</f>
        <v>#N/A</v>
      </c>
      <c r="BB62" s="402"/>
      <c r="BC62" s="402" t="e">
        <f>W62-AY62</f>
        <v>#N/A</v>
      </c>
    </row>
    <row r="63" spans="1:55">
      <c r="A63" s="377"/>
      <c r="B63" s="376"/>
      <c r="C63" s="376"/>
      <c r="D63" s="405" t="s">
        <v>1066</v>
      </c>
      <c r="E63" s="364"/>
      <c r="F63" s="405" t="s">
        <v>1139</v>
      </c>
      <c r="G63" s="405">
        <v>2022</v>
      </c>
      <c r="H63" s="405">
        <v>5</v>
      </c>
      <c r="I63" s="416"/>
      <c r="J63" s="406" t="s">
        <v>1101</v>
      </c>
      <c r="K63" s="405" t="s">
        <v>4937</v>
      </c>
      <c r="L63" s="406" t="s">
        <v>1442</v>
      </c>
      <c r="M63" s="406">
        <v>44693</v>
      </c>
      <c r="N63" s="406" t="s">
        <v>1460</v>
      </c>
      <c r="O63" s="406"/>
      <c r="P63" s="406" t="s">
        <v>1368</v>
      </c>
      <c r="Q63" s="406">
        <v>44699</v>
      </c>
      <c r="R63" s="406">
        <v>44704</v>
      </c>
      <c r="S63" s="405" t="s">
        <v>1443</v>
      </c>
      <c r="T63" s="405">
        <v>60</v>
      </c>
      <c r="U63" s="405">
        <v>49406140</v>
      </c>
      <c r="V63" s="405" t="s">
        <v>1447</v>
      </c>
      <c r="W63" s="407">
        <v>400</v>
      </c>
      <c r="X63" s="371">
        <v>728</v>
      </c>
      <c r="Y63" s="422">
        <f t="shared" si="15"/>
        <v>291200</v>
      </c>
      <c r="Z63" s="409">
        <v>0.48</v>
      </c>
      <c r="AA63" s="410">
        <f t="shared" si="11"/>
        <v>139776</v>
      </c>
      <c r="AB63" s="362"/>
      <c r="AC63" s="412">
        <v>0</v>
      </c>
      <c r="AD63" s="405"/>
      <c r="AE63" s="413"/>
      <c r="AF63" s="424">
        <f t="shared" si="16"/>
        <v>139776</v>
      </c>
      <c r="AG63" s="405" t="s">
        <v>47</v>
      </c>
      <c r="AH63" s="395"/>
      <c r="AI63" s="405">
        <v>75</v>
      </c>
      <c r="AJ63" s="405" t="s">
        <v>1445</v>
      </c>
      <c r="AK63" s="405" t="s">
        <v>50</v>
      </c>
      <c r="AL63" s="425"/>
      <c r="AM63" s="405" t="s">
        <v>52</v>
      </c>
      <c r="AN63" s="405" t="s">
        <v>1101</v>
      </c>
      <c r="AO63" s="405"/>
      <c r="AP63" s="405"/>
      <c r="AQ63" s="405" t="s">
        <v>37</v>
      </c>
      <c r="AR63" s="405"/>
      <c r="AS63" s="369"/>
      <c r="AT63" s="363"/>
      <c r="AU63" s="403"/>
      <c r="AV63" s="402"/>
      <c r="AW63" s="402"/>
      <c r="AX63" s="402"/>
      <c r="AY63" s="402"/>
      <c r="AZ63" s="402"/>
      <c r="BA63" s="402"/>
      <c r="BB63" s="402"/>
      <c r="BC63" s="402"/>
    </row>
    <row r="64" spans="1:55">
      <c r="A64" s="377"/>
      <c r="B64" s="376"/>
      <c r="C64" s="376"/>
      <c r="D64" s="405" t="s">
        <v>1066</v>
      </c>
      <c r="E64" s="364"/>
      <c r="F64" s="405" t="s">
        <v>1139</v>
      </c>
      <c r="G64" s="405">
        <v>2022</v>
      </c>
      <c r="H64" s="405">
        <v>5</v>
      </c>
      <c r="I64" s="416"/>
      <c r="J64" s="406" t="s">
        <v>1101</v>
      </c>
      <c r="K64" s="405" t="s">
        <v>4937</v>
      </c>
      <c r="L64" s="406" t="s">
        <v>1442</v>
      </c>
      <c r="M64" s="406">
        <v>44693</v>
      </c>
      <c r="N64" s="406" t="s">
        <v>1460</v>
      </c>
      <c r="O64" s="406"/>
      <c r="P64" s="406" t="s">
        <v>1368</v>
      </c>
      <c r="Q64" s="406">
        <v>44699</v>
      </c>
      <c r="R64" s="406">
        <v>44704</v>
      </c>
      <c r="S64" s="405" t="s">
        <v>1443</v>
      </c>
      <c r="T64" s="405">
        <v>60</v>
      </c>
      <c r="U64" s="405">
        <v>49406140</v>
      </c>
      <c r="V64" s="405" t="s">
        <v>1447</v>
      </c>
      <c r="W64" s="407">
        <v>400</v>
      </c>
      <c r="X64" s="371">
        <v>728</v>
      </c>
      <c r="Y64" s="422">
        <f t="shared" si="15"/>
        <v>291200</v>
      </c>
      <c r="Z64" s="409">
        <v>0.48</v>
      </c>
      <c r="AA64" s="410">
        <f t="shared" si="11"/>
        <v>139776</v>
      </c>
      <c r="AB64" s="362"/>
      <c r="AC64" s="412">
        <v>0</v>
      </c>
      <c r="AD64" s="405"/>
      <c r="AE64" s="413"/>
      <c r="AF64" s="424">
        <f t="shared" si="16"/>
        <v>139776</v>
      </c>
      <c r="AG64" s="405" t="s">
        <v>47</v>
      </c>
      <c r="AH64" s="395"/>
      <c r="AI64" s="405">
        <v>75</v>
      </c>
      <c r="AJ64" s="405" t="s">
        <v>1445</v>
      </c>
      <c r="AK64" s="405" t="s">
        <v>50</v>
      </c>
      <c r="AL64" s="425"/>
      <c r="AM64" s="405" t="s">
        <v>52</v>
      </c>
      <c r="AN64" s="405" t="s">
        <v>1101</v>
      </c>
      <c r="AO64" s="405"/>
      <c r="AP64" s="405"/>
      <c r="AQ64" s="405" t="s">
        <v>37</v>
      </c>
      <c r="AR64" s="405"/>
      <c r="AS64" s="369"/>
      <c r="AT64" s="363"/>
      <c r="AU64" s="403"/>
      <c r="AV64" s="402"/>
      <c r="AW64" s="402"/>
      <c r="AX64" s="402"/>
      <c r="AY64" s="402"/>
      <c r="AZ64" s="402"/>
      <c r="BA64" s="402"/>
      <c r="BB64" s="402"/>
      <c r="BC64" s="402"/>
    </row>
    <row r="65" spans="1:55">
      <c r="A65" s="377"/>
      <c r="B65" s="376"/>
      <c r="C65" s="376"/>
      <c r="D65" s="405" t="s">
        <v>1066</v>
      </c>
      <c r="E65" s="364"/>
      <c r="F65" s="405" t="s">
        <v>1139</v>
      </c>
      <c r="G65" s="405">
        <v>2022</v>
      </c>
      <c r="H65" s="405">
        <v>5</v>
      </c>
      <c r="I65" s="416"/>
      <c r="J65" s="406" t="s">
        <v>1101</v>
      </c>
      <c r="K65" s="405" t="s">
        <v>4938</v>
      </c>
      <c r="L65" s="406" t="s">
        <v>1442</v>
      </c>
      <c r="M65" s="406">
        <v>44693</v>
      </c>
      <c r="N65" s="406" t="s">
        <v>1460</v>
      </c>
      <c r="O65" s="406"/>
      <c r="P65" s="406" t="s">
        <v>1368</v>
      </c>
      <c r="Q65" s="406"/>
      <c r="R65" s="406"/>
      <c r="S65" s="405" t="s">
        <v>1443</v>
      </c>
      <c r="T65" s="405">
        <v>60</v>
      </c>
      <c r="U65" s="405">
        <v>49406140</v>
      </c>
      <c r="V65" s="405" t="s">
        <v>1447</v>
      </c>
      <c r="W65" s="407">
        <v>400</v>
      </c>
      <c r="X65" s="371">
        <v>4992</v>
      </c>
      <c r="Y65" s="422">
        <f t="shared" si="15"/>
        <v>1996800</v>
      </c>
      <c r="Z65" s="409">
        <v>0.48</v>
      </c>
      <c r="AA65" s="410">
        <f t="shared" si="11"/>
        <v>958464</v>
      </c>
      <c r="AB65" s="362"/>
      <c r="AC65" s="412">
        <v>0</v>
      </c>
      <c r="AD65" s="405"/>
      <c r="AE65" s="413"/>
      <c r="AF65" s="424">
        <f t="shared" si="16"/>
        <v>958464</v>
      </c>
      <c r="AG65" s="405" t="s">
        <v>47</v>
      </c>
      <c r="AH65" s="395"/>
      <c r="AI65" s="405">
        <v>75</v>
      </c>
      <c r="AJ65" s="405" t="s">
        <v>1445</v>
      </c>
      <c r="AK65" s="405" t="s">
        <v>50</v>
      </c>
      <c r="AL65" s="425"/>
      <c r="AM65" s="405" t="s">
        <v>52</v>
      </c>
      <c r="AN65" s="405" t="s">
        <v>1101</v>
      </c>
      <c r="AO65" s="405"/>
      <c r="AP65" s="405"/>
      <c r="AQ65" s="405" t="s">
        <v>37</v>
      </c>
      <c r="AR65" s="405"/>
      <c r="AS65" s="369"/>
      <c r="AT65" s="363"/>
      <c r="AU65" s="403"/>
      <c r="AV65" s="402">
        <f>U65</f>
        <v>49406140</v>
      </c>
      <c r="AW65" s="402" cm="1">
        <f t="array" ref="AW65">SUM(MID(0&amp;AV65,LARGE(INDEX(ISNUMBER(--MID(AV65,ROW($1:$8),1))*ROW($1:$8),),ROW($1:$8))+1,1)*10^ROW($1:$8)/10)</f>
        <v>49406140</v>
      </c>
      <c r="AX65" s="402" t="e">
        <f>VLOOKUP($AW65,'Item Master Data'!$A:$F,3,FALSE)</f>
        <v>#N/A</v>
      </c>
      <c r="AY65" s="402" t="e">
        <f>VLOOKUP($AW65,'Item Master Data'!$A:$F,6,FALSE)</f>
        <v>#N/A</v>
      </c>
      <c r="AZ65" s="402" t="e">
        <f>X65/BA65</f>
        <v>#N/A</v>
      </c>
      <c r="BA65" s="402" t="e">
        <f>VLOOKUP(AW65,'Item Master Data'!$A:$G,7,FALSE)</f>
        <v>#N/A</v>
      </c>
      <c r="BB65" s="402"/>
      <c r="BC65" s="402" t="e">
        <f>W65-AY65</f>
        <v>#N/A</v>
      </c>
    </row>
    <row r="66" spans="1:55">
      <c r="A66" s="377"/>
      <c r="B66" s="376"/>
      <c r="C66" s="376"/>
      <c r="D66" s="405" t="s">
        <v>1066</v>
      </c>
      <c r="E66" s="364"/>
      <c r="F66" s="405" t="s">
        <v>1139</v>
      </c>
      <c r="G66" s="405">
        <v>2022</v>
      </c>
      <c r="H66" s="405">
        <v>6</v>
      </c>
      <c r="I66" s="416"/>
      <c r="J66" s="406"/>
      <c r="K66" s="405" t="s">
        <v>4620</v>
      </c>
      <c r="L66" s="406" t="s">
        <v>1442</v>
      </c>
      <c r="M66" s="406">
        <v>44468</v>
      </c>
      <c r="N66" s="406" t="s">
        <v>1460</v>
      </c>
      <c r="O66" s="406"/>
      <c r="P66" s="406">
        <v>44685</v>
      </c>
      <c r="Q66" s="406"/>
      <c r="R66" s="406"/>
      <c r="S66" s="405" t="s">
        <v>1443</v>
      </c>
      <c r="T66" s="405">
        <v>60</v>
      </c>
      <c r="U66" s="405" t="s">
        <v>1455</v>
      </c>
      <c r="V66" s="405" t="s">
        <v>1447</v>
      </c>
      <c r="W66" s="407">
        <v>400</v>
      </c>
      <c r="X66" s="371">
        <v>6240</v>
      </c>
      <c r="Y66" s="422">
        <f t="shared" si="15"/>
        <v>2496000</v>
      </c>
      <c r="Z66" s="409">
        <v>0.48</v>
      </c>
      <c r="AA66" s="410">
        <f t="shared" si="11"/>
        <v>1198080</v>
      </c>
      <c r="AB66" s="362"/>
      <c r="AC66" s="412">
        <v>0</v>
      </c>
      <c r="AD66" s="405"/>
      <c r="AE66" s="413"/>
      <c r="AF66" s="424">
        <f t="shared" si="16"/>
        <v>1198080</v>
      </c>
      <c r="AG66" s="405" t="s">
        <v>47</v>
      </c>
      <c r="AH66" s="395"/>
      <c r="AI66" s="405">
        <v>75</v>
      </c>
      <c r="AJ66" s="405" t="s">
        <v>1449</v>
      </c>
      <c r="AK66" s="405" t="s">
        <v>1070</v>
      </c>
      <c r="AL66" s="425">
        <v>21075</v>
      </c>
      <c r="AM66" s="405" t="s">
        <v>52</v>
      </c>
      <c r="AN66" s="405" t="s">
        <v>50</v>
      </c>
      <c r="AO66" s="405"/>
      <c r="AP66" s="405" t="s">
        <v>92</v>
      </c>
      <c r="AQ66" s="405" t="s">
        <v>37</v>
      </c>
      <c r="AR66" s="405"/>
      <c r="AS66" s="369"/>
      <c r="AT66" s="363"/>
      <c r="AU66" s="403"/>
      <c r="AV66" s="402" t="str">
        <f>U66</f>
        <v>30390256H</v>
      </c>
      <c r="AW66" s="402" cm="1">
        <f t="array" ref="AW66">SUM(MID(0&amp;AV66,LARGE(INDEX(ISNUMBER(--MID(AV66,ROW($1:$8),1))*ROW($1:$8),),ROW($1:$8))+1,1)*10^ROW($1:$8)/10)</f>
        <v>30390256</v>
      </c>
      <c r="AX66" s="402" t="str">
        <f>VLOOKUP($AW66,'Item Master Data'!$A:$F,3,FALSE)</f>
        <v>T400H</v>
      </c>
      <c r="AY66" s="402">
        <f>VLOOKUP($AW66,'Item Master Data'!$A:$F,6,FALSE)</f>
        <v>400</v>
      </c>
      <c r="AZ66" s="402">
        <f>X66/BA66</f>
        <v>240</v>
      </c>
      <c r="BA66" s="402">
        <f>VLOOKUP(AW66,'Item Master Data'!$A:$G,7,FALSE)</f>
        <v>26</v>
      </c>
      <c r="BB66" s="402"/>
      <c r="BC66" s="402">
        <f>W66-AY66</f>
        <v>0</v>
      </c>
    </row>
    <row r="67" spans="1:55">
      <c r="A67" s="377"/>
      <c r="B67" s="376"/>
      <c r="C67" s="376"/>
      <c r="D67" s="405" t="s">
        <v>1066</v>
      </c>
      <c r="E67" s="364"/>
      <c r="F67" s="405" t="s">
        <v>1139</v>
      </c>
      <c r="G67" s="405">
        <v>2022</v>
      </c>
      <c r="H67" s="405">
        <v>6</v>
      </c>
      <c r="I67" s="416"/>
      <c r="J67" s="406" t="s">
        <v>4410</v>
      </c>
      <c r="K67" s="405" t="s">
        <v>4813</v>
      </c>
      <c r="L67" s="406" t="s">
        <v>1442</v>
      </c>
      <c r="M67" s="406">
        <v>44468</v>
      </c>
      <c r="N67" s="406" t="s">
        <v>1460</v>
      </c>
      <c r="O67" s="406"/>
      <c r="P67" s="406">
        <v>44692</v>
      </c>
      <c r="Q67" s="406"/>
      <c r="R67" s="406"/>
      <c r="S67" s="405" t="s">
        <v>1443</v>
      </c>
      <c r="T67" s="405">
        <v>60</v>
      </c>
      <c r="U67" s="405" t="s">
        <v>1455</v>
      </c>
      <c r="V67" s="405" t="s">
        <v>1447</v>
      </c>
      <c r="W67" s="407">
        <v>400</v>
      </c>
      <c r="X67" s="371">
        <v>3328</v>
      </c>
      <c r="Y67" s="422">
        <f t="shared" si="15"/>
        <v>1331200</v>
      </c>
      <c r="Z67" s="409">
        <v>0.48</v>
      </c>
      <c r="AA67" s="410">
        <f t="shared" si="11"/>
        <v>638976</v>
      </c>
      <c r="AB67" s="362"/>
      <c r="AC67" s="412">
        <v>0</v>
      </c>
      <c r="AD67" s="405"/>
      <c r="AE67" s="413"/>
      <c r="AF67" s="424">
        <f t="shared" si="16"/>
        <v>638976</v>
      </c>
      <c r="AG67" s="405" t="s">
        <v>47</v>
      </c>
      <c r="AH67" s="395"/>
      <c r="AI67" s="405">
        <v>75</v>
      </c>
      <c r="AJ67" s="405" t="s">
        <v>1449</v>
      </c>
      <c r="AK67" s="405" t="s">
        <v>1070</v>
      </c>
      <c r="AL67" s="425">
        <v>21075</v>
      </c>
      <c r="AM67" s="405" t="s">
        <v>52</v>
      </c>
      <c r="AN67" s="405" t="s">
        <v>50</v>
      </c>
      <c r="AO67" s="405"/>
      <c r="AP67" s="405" t="s">
        <v>92</v>
      </c>
      <c r="AQ67" s="405" t="s">
        <v>37</v>
      </c>
      <c r="AR67" s="405"/>
      <c r="AS67" s="369"/>
      <c r="AT67" s="363"/>
      <c r="AU67" s="403"/>
      <c r="AV67" s="402" t="str">
        <f>U67</f>
        <v>30390256H</v>
      </c>
      <c r="AW67" s="402" cm="1">
        <f t="array" ref="AW67">SUM(MID(0&amp;AV67,LARGE(INDEX(ISNUMBER(--MID(AV67,ROW($1:$8),1))*ROW($1:$8),),ROW($1:$8))+1,1)*10^ROW($1:$8)/10)</f>
        <v>30390256</v>
      </c>
      <c r="AX67" s="402" t="str">
        <f>VLOOKUP($AW67,'Item Master Data'!$A:$F,3,FALSE)</f>
        <v>T400H</v>
      </c>
      <c r="AY67" s="402">
        <f>VLOOKUP($AW67,'Item Master Data'!$A:$F,6,FALSE)</f>
        <v>400</v>
      </c>
      <c r="AZ67" s="402">
        <f>X67/BA67</f>
        <v>128</v>
      </c>
      <c r="BA67" s="402">
        <f>VLOOKUP(AW67,'Item Master Data'!$A:$G,7,FALSE)</f>
        <v>26</v>
      </c>
      <c r="BB67" s="402"/>
      <c r="BC67" s="402">
        <f>W67-AY67</f>
        <v>0</v>
      </c>
    </row>
    <row r="68" spans="1:55">
      <c r="A68" s="377"/>
      <c r="B68" s="376"/>
      <c r="C68" s="376"/>
      <c r="D68" s="405" t="s">
        <v>1066</v>
      </c>
      <c r="E68" s="364"/>
      <c r="F68" s="405" t="s">
        <v>1139</v>
      </c>
      <c r="G68" s="405">
        <v>2022</v>
      </c>
      <c r="H68" s="405">
        <v>5</v>
      </c>
      <c r="I68" s="416"/>
      <c r="J68" s="406" t="s">
        <v>1101</v>
      </c>
      <c r="K68" s="405" t="s">
        <v>4939</v>
      </c>
      <c r="L68" s="406" t="s">
        <v>1442</v>
      </c>
      <c r="M68" s="406">
        <v>44468</v>
      </c>
      <c r="N68" s="406" t="s">
        <v>1460</v>
      </c>
      <c r="O68" s="406"/>
      <c r="P68" s="406" t="s">
        <v>1368</v>
      </c>
      <c r="Q68" s="406"/>
      <c r="R68" s="406"/>
      <c r="S68" s="405" t="s">
        <v>1443</v>
      </c>
      <c r="T68" s="405">
        <v>60</v>
      </c>
      <c r="U68" s="405">
        <v>49406140</v>
      </c>
      <c r="V68" s="405" t="s">
        <v>1447</v>
      </c>
      <c r="W68" s="407">
        <v>400</v>
      </c>
      <c r="X68" s="371">
        <v>4368</v>
      </c>
      <c r="Y68" s="422">
        <f t="shared" si="15"/>
        <v>1747200</v>
      </c>
      <c r="Z68" s="409">
        <v>0.48</v>
      </c>
      <c r="AA68" s="410">
        <f t="shared" si="11"/>
        <v>838656</v>
      </c>
      <c r="AB68" s="362"/>
      <c r="AC68" s="412">
        <v>0</v>
      </c>
      <c r="AD68" s="405"/>
      <c r="AE68" s="413"/>
      <c r="AF68" s="424">
        <f t="shared" si="16"/>
        <v>838656</v>
      </c>
      <c r="AG68" s="405" t="s">
        <v>47</v>
      </c>
      <c r="AH68" s="395"/>
      <c r="AI68" s="405">
        <v>75</v>
      </c>
      <c r="AJ68" s="405" t="s">
        <v>1449</v>
      </c>
      <c r="AK68" s="405" t="s">
        <v>1070</v>
      </c>
      <c r="AL68" s="425">
        <v>21075</v>
      </c>
      <c r="AM68" s="405" t="s">
        <v>52</v>
      </c>
      <c r="AN68" s="405" t="s">
        <v>1101</v>
      </c>
      <c r="AO68" s="405"/>
      <c r="AP68" s="405"/>
      <c r="AQ68" s="405" t="s">
        <v>37</v>
      </c>
      <c r="AR68" s="405"/>
      <c r="AS68" s="369"/>
      <c r="AT68" s="363"/>
      <c r="AU68" s="403"/>
      <c r="AV68" s="402"/>
      <c r="AW68" s="402"/>
      <c r="AX68" s="402"/>
      <c r="AY68" s="402"/>
      <c r="AZ68" s="402"/>
      <c r="BA68" s="402"/>
      <c r="BB68" s="402"/>
      <c r="BC68" s="402"/>
    </row>
    <row r="69" spans="1:55">
      <c r="A69" s="377"/>
      <c r="B69" s="376"/>
      <c r="C69" s="376"/>
      <c r="D69" s="405" t="s">
        <v>1066</v>
      </c>
      <c r="E69" s="364" t="s">
        <v>1114</v>
      </c>
      <c r="F69" s="405" t="s">
        <v>1139</v>
      </c>
      <c r="G69" s="405">
        <v>2022</v>
      </c>
      <c r="H69" s="405">
        <v>5</v>
      </c>
      <c r="I69" s="416">
        <v>128588</v>
      </c>
      <c r="J69" s="406">
        <v>44691</v>
      </c>
      <c r="K69" s="405" t="s">
        <v>1458</v>
      </c>
      <c r="L69" s="406" t="s">
        <v>1442</v>
      </c>
      <c r="M69" s="406">
        <v>44468</v>
      </c>
      <c r="N69" s="406" t="s">
        <v>1451</v>
      </c>
      <c r="O69" s="406"/>
      <c r="P69" s="406">
        <v>44658</v>
      </c>
      <c r="Q69" s="406">
        <v>44686</v>
      </c>
      <c r="R69" s="406">
        <v>44691</v>
      </c>
      <c r="S69" s="405" t="s">
        <v>1443</v>
      </c>
      <c r="T69" s="405">
        <v>60</v>
      </c>
      <c r="U69" s="405" t="s">
        <v>1455</v>
      </c>
      <c r="V69" s="405" t="s">
        <v>1447</v>
      </c>
      <c r="W69" s="407">
        <v>400</v>
      </c>
      <c r="X69" s="371">
        <v>624</v>
      </c>
      <c r="Y69" s="422">
        <f t="shared" si="15"/>
        <v>249600</v>
      </c>
      <c r="Z69" s="409">
        <v>0.48</v>
      </c>
      <c r="AA69" s="410">
        <f t="shared" si="11"/>
        <v>119808</v>
      </c>
      <c r="AB69" s="362"/>
      <c r="AC69" s="412">
        <v>0</v>
      </c>
      <c r="AD69" s="405"/>
      <c r="AE69" s="413"/>
      <c r="AF69" s="424">
        <f t="shared" si="16"/>
        <v>119808</v>
      </c>
      <c r="AG69" s="405" t="s">
        <v>47</v>
      </c>
      <c r="AH69" s="395"/>
      <c r="AI69" s="405">
        <v>75</v>
      </c>
      <c r="AJ69" s="405" t="s">
        <v>1449</v>
      </c>
      <c r="AK69" s="405" t="s">
        <v>1070</v>
      </c>
      <c r="AL69" s="425">
        <v>21075</v>
      </c>
      <c r="AM69" s="405" t="s">
        <v>52</v>
      </c>
      <c r="AN69" s="405" t="s">
        <v>50</v>
      </c>
      <c r="AO69" s="405"/>
      <c r="AP69" s="405" t="s">
        <v>92</v>
      </c>
      <c r="AQ69" s="405" t="s">
        <v>37</v>
      </c>
      <c r="AR69" s="405"/>
      <c r="AS69" s="369"/>
      <c r="AT69" s="363"/>
      <c r="AU69" s="403"/>
      <c r="AV69" s="402"/>
      <c r="AW69" s="402"/>
      <c r="AX69" s="402"/>
      <c r="AY69" s="402"/>
      <c r="AZ69" s="402"/>
      <c r="BA69" s="402"/>
      <c r="BB69" s="402"/>
      <c r="BC69" s="402"/>
    </row>
    <row r="70" spans="1:55">
      <c r="A70" s="377"/>
      <c r="B70" s="376"/>
      <c r="C70" s="376"/>
      <c r="D70" s="405" t="s">
        <v>1066</v>
      </c>
      <c r="E70" s="364" t="s">
        <v>1114</v>
      </c>
      <c r="F70" s="405" t="s">
        <v>1139</v>
      </c>
      <c r="G70" s="405">
        <v>2022</v>
      </c>
      <c r="H70" s="405">
        <v>5</v>
      </c>
      <c r="I70" s="416">
        <v>128587</v>
      </c>
      <c r="J70" s="406">
        <v>44691</v>
      </c>
      <c r="K70" s="405" t="s">
        <v>1458</v>
      </c>
      <c r="L70" s="406" t="s">
        <v>1442</v>
      </c>
      <c r="M70" s="406">
        <v>44468</v>
      </c>
      <c r="N70" s="406" t="s">
        <v>1451</v>
      </c>
      <c r="O70" s="406"/>
      <c r="P70" s="406">
        <v>44658</v>
      </c>
      <c r="Q70" s="406">
        <v>44686</v>
      </c>
      <c r="R70" s="406">
        <v>44691</v>
      </c>
      <c r="S70" s="405" t="s">
        <v>1443</v>
      </c>
      <c r="T70" s="405">
        <v>60</v>
      </c>
      <c r="U70" s="405" t="s">
        <v>1455</v>
      </c>
      <c r="V70" s="405" t="s">
        <v>1447</v>
      </c>
      <c r="W70" s="407">
        <v>400</v>
      </c>
      <c r="X70" s="371">
        <v>624</v>
      </c>
      <c r="Y70" s="422">
        <f t="shared" si="15"/>
        <v>249600</v>
      </c>
      <c r="Z70" s="409">
        <v>0.48</v>
      </c>
      <c r="AA70" s="410">
        <f t="shared" si="11"/>
        <v>119808</v>
      </c>
      <c r="AB70" s="362"/>
      <c r="AC70" s="412">
        <v>0</v>
      </c>
      <c r="AD70" s="405"/>
      <c r="AE70" s="413"/>
      <c r="AF70" s="424">
        <f t="shared" si="16"/>
        <v>119808</v>
      </c>
      <c r="AG70" s="405" t="s">
        <v>47</v>
      </c>
      <c r="AH70" s="395"/>
      <c r="AI70" s="405">
        <v>75</v>
      </c>
      <c r="AJ70" s="405" t="s">
        <v>1449</v>
      </c>
      <c r="AK70" s="405" t="s">
        <v>1070</v>
      </c>
      <c r="AL70" s="425">
        <v>21075</v>
      </c>
      <c r="AM70" s="405" t="s">
        <v>52</v>
      </c>
      <c r="AN70" s="405" t="s">
        <v>50</v>
      </c>
      <c r="AO70" s="405"/>
      <c r="AP70" s="405" t="s">
        <v>92</v>
      </c>
      <c r="AQ70" s="405" t="s">
        <v>37</v>
      </c>
      <c r="AR70" s="405"/>
      <c r="AS70" s="369"/>
      <c r="AT70" s="363"/>
      <c r="AU70" s="403"/>
      <c r="AV70" s="402" t="str">
        <f t="shared" ref="AV70:AV75" si="17">U70</f>
        <v>30390256H</v>
      </c>
      <c r="AW70" s="402" cm="1">
        <f t="array" ref="AW70">SUM(MID(0&amp;AV70,LARGE(INDEX(ISNUMBER(--MID(AV70,ROW($1:$8),1))*ROW($1:$8),),ROW($1:$8))+1,1)*10^ROW($1:$8)/10)</f>
        <v>30390256</v>
      </c>
      <c r="AX70" s="402" t="str">
        <f>VLOOKUP($AW70,'Item Master Data'!$A:$F,3,FALSE)</f>
        <v>T400H</v>
      </c>
      <c r="AY70" s="402">
        <f>VLOOKUP($AW70,'Item Master Data'!$A:$F,6,FALSE)</f>
        <v>400</v>
      </c>
      <c r="AZ70" s="402">
        <f t="shared" ref="AZ70:AZ75" si="18">X70/BA70</f>
        <v>24</v>
      </c>
      <c r="BA70" s="402">
        <f>VLOOKUP(AW70,'Item Master Data'!$A:$G,7,FALSE)</f>
        <v>26</v>
      </c>
      <c r="BB70" s="402"/>
      <c r="BC70" s="402">
        <f t="shared" ref="BC70:BC75" si="19">W70-AY70</f>
        <v>0</v>
      </c>
    </row>
    <row r="71" spans="1:55">
      <c r="A71" s="377"/>
      <c r="B71" s="376"/>
      <c r="C71" s="376"/>
      <c r="D71" s="405" t="s">
        <v>1066</v>
      </c>
      <c r="E71" s="364" t="s">
        <v>1114</v>
      </c>
      <c r="F71" s="405" t="s">
        <v>1139</v>
      </c>
      <c r="G71" s="405">
        <v>2022</v>
      </c>
      <c r="H71" s="405">
        <v>5</v>
      </c>
      <c r="I71" s="416">
        <v>128589</v>
      </c>
      <c r="J71" s="406">
        <v>44691</v>
      </c>
      <c r="K71" s="405" t="s">
        <v>1458</v>
      </c>
      <c r="L71" s="406" t="s">
        <v>1442</v>
      </c>
      <c r="M71" s="406">
        <v>44468</v>
      </c>
      <c r="N71" s="406" t="s">
        <v>1451</v>
      </c>
      <c r="O71" s="406"/>
      <c r="P71" s="406">
        <v>44658</v>
      </c>
      <c r="Q71" s="406">
        <v>44686</v>
      </c>
      <c r="R71" s="406">
        <v>44691</v>
      </c>
      <c r="S71" s="405" t="s">
        <v>1443</v>
      </c>
      <c r="T71" s="405">
        <v>60</v>
      </c>
      <c r="U71" s="405" t="s">
        <v>1455</v>
      </c>
      <c r="V71" s="405" t="s">
        <v>1447</v>
      </c>
      <c r="W71" s="407">
        <v>400</v>
      </c>
      <c r="X71" s="371">
        <v>624</v>
      </c>
      <c r="Y71" s="422">
        <f t="shared" si="15"/>
        <v>249600</v>
      </c>
      <c r="Z71" s="409">
        <v>0.48</v>
      </c>
      <c r="AA71" s="410">
        <f t="shared" si="11"/>
        <v>119808</v>
      </c>
      <c r="AB71" s="362"/>
      <c r="AC71" s="412">
        <v>0</v>
      </c>
      <c r="AD71" s="405"/>
      <c r="AE71" s="413"/>
      <c r="AF71" s="424">
        <f t="shared" si="16"/>
        <v>119808</v>
      </c>
      <c r="AG71" s="405" t="s">
        <v>47</v>
      </c>
      <c r="AH71" s="395"/>
      <c r="AI71" s="405">
        <v>75</v>
      </c>
      <c r="AJ71" s="405" t="s">
        <v>1449</v>
      </c>
      <c r="AK71" s="405" t="s">
        <v>1070</v>
      </c>
      <c r="AL71" s="425">
        <v>21075</v>
      </c>
      <c r="AM71" s="405" t="s">
        <v>52</v>
      </c>
      <c r="AN71" s="405" t="s">
        <v>50</v>
      </c>
      <c r="AO71" s="405"/>
      <c r="AP71" s="405" t="s">
        <v>92</v>
      </c>
      <c r="AQ71" s="405" t="s">
        <v>37</v>
      </c>
      <c r="AR71" s="405"/>
      <c r="AS71" s="369"/>
      <c r="AT71" s="363"/>
      <c r="AU71" s="403"/>
      <c r="AV71" s="402" t="str">
        <f t="shared" si="17"/>
        <v>30390256H</v>
      </c>
      <c r="AW71" s="402" cm="1">
        <f t="array" ref="AW71">SUM(MID(0&amp;AV71,LARGE(INDEX(ISNUMBER(--MID(AV71,ROW($1:$8),1))*ROW($1:$8),),ROW($1:$8))+1,1)*10^ROW($1:$8)/10)</f>
        <v>30390256</v>
      </c>
      <c r="AX71" s="402" t="str">
        <f>VLOOKUP($AW71,'Item Master Data'!$A:$F,3,FALSE)</f>
        <v>T400H</v>
      </c>
      <c r="AY71" s="402">
        <f>VLOOKUP($AW71,'Item Master Data'!$A:$F,6,FALSE)</f>
        <v>400</v>
      </c>
      <c r="AZ71" s="402">
        <f t="shared" si="18"/>
        <v>24</v>
      </c>
      <c r="BA71" s="402">
        <f>VLOOKUP(AW71,'Item Master Data'!$A:$G,7,FALSE)</f>
        <v>26</v>
      </c>
      <c r="BB71" s="402"/>
      <c r="BC71" s="402">
        <f t="shared" si="19"/>
        <v>0</v>
      </c>
    </row>
    <row r="72" spans="1:55">
      <c r="A72" s="377"/>
      <c r="B72" s="376"/>
      <c r="C72" s="376"/>
      <c r="D72" s="405" t="s">
        <v>1066</v>
      </c>
      <c r="E72" s="364" t="s">
        <v>4849</v>
      </c>
      <c r="F72" s="405" t="s">
        <v>1139</v>
      </c>
      <c r="G72" s="405">
        <v>2022</v>
      </c>
      <c r="H72" s="405">
        <v>5</v>
      </c>
      <c r="I72" s="416" t="s">
        <v>2393</v>
      </c>
      <c r="J72" s="406">
        <v>44692</v>
      </c>
      <c r="K72" s="405" t="s">
        <v>1458</v>
      </c>
      <c r="L72" s="406" t="s">
        <v>1442</v>
      </c>
      <c r="M72" s="406">
        <v>44468</v>
      </c>
      <c r="N72" s="406" t="s">
        <v>1451</v>
      </c>
      <c r="O72" s="406"/>
      <c r="P72" s="406">
        <v>44658</v>
      </c>
      <c r="Q72" s="406">
        <v>44687</v>
      </c>
      <c r="R72" s="406">
        <v>44692</v>
      </c>
      <c r="S72" s="405" t="s">
        <v>1443</v>
      </c>
      <c r="T72" s="405">
        <v>60</v>
      </c>
      <c r="U72" s="405" t="s">
        <v>1455</v>
      </c>
      <c r="V72" s="405" t="s">
        <v>1447</v>
      </c>
      <c r="W72" s="407">
        <v>400</v>
      </c>
      <c r="X72" s="371">
        <v>624</v>
      </c>
      <c r="Y72" s="422">
        <f t="shared" si="15"/>
        <v>249600</v>
      </c>
      <c r="Z72" s="409">
        <v>0.48</v>
      </c>
      <c r="AA72" s="410">
        <f t="shared" si="11"/>
        <v>119808</v>
      </c>
      <c r="AB72" s="362"/>
      <c r="AC72" s="412">
        <v>0</v>
      </c>
      <c r="AD72" s="405"/>
      <c r="AE72" s="413"/>
      <c r="AF72" s="424">
        <f t="shared" si="16"/>
        <v>119808</v>
      </c>
      <c r="AG72" s="405" t="s">
        <v>47</v>
      </c>
      <c r="AH72" s="395"/>
      <c r="AI72" s="405">
        <v>75</v>
      </c>
      <c r="AJ72" s="405" t="s">
        <v>1449</v>
      </c>
      <c r="AK72" s="405" t="s">
        <v>1070</v>
      </c>
      <c r="AL72" s="425">
        <v>21075</v>
      </c>
      <c r="AM72" s="405" t="s">
        <v>52</v>
      </c>
      <c r="AN72" s="405" t="s">
        <v>50</v>
      </c>
      <c r="AO72" s="405"/>
      <c r="AP72" s="405" t="s">
        <v>92</v>
      </c>
      <c r="AQ72" s="405" t="s">
        <v>37</v>
      </c>
      <c r="AR72" s="405"/>
      <c r="AS72" s="369"/>
      <c r="AT72" s="363"/>
      <c r="AU72" s="403"/>
      <c r="AV72" s="402" t="str">
        <f t="shared" si="17"/>
        <v>30390256H</v>
      </c>
      <c r="AW72" s="402" cm="1">
        <f t="array" ref="AW72">SUM(MID(0&amp;AV72,LARGE(INDEX(ISNUMBER(--MID(AV72,ROW($1:$8),1))*ROW($1:$8),),ROW($1:$8))+1,1)*10^ROW($1:$8)/10)</f>
        <v>30390256</v>
      </c>
      <c r="AX72" s="402" t="str">
        <f>VLOOKUP($AW72,'Item Master Data'!$A:$F,3,FALSE)</f>
        <v>T400H</v>
      </c>
      <c r="AY72" s="402">
        <f>VLOOKUP($AW72,'Item Master Data'!$A:$F,6,FALSE)</f>
        <v>400</v>
      </c>
      <c r="AZ72" s="402">
        <f t="shared" si="18"/>
        <v>24</v>
      </c>
      <c r="BA72" s="402">
        <f>VLOOKUP(AW72,'Item Master Data'!$A:$G,7,FALSE)</f>
        <v>26</v>
      </c>
      <c r="BB72" s="402"/>
      <c r="BC72" s="402">
        <f t="shared" si="19"/>
        <v>0</v>
      </c>
    </row>
    <row r="73" spans="1:55">
      <c r="A73" s="377"/>
      <c r="B73" s="376"/>
      <c r="C73" s="376"/>
      <c r="D73" s="405" t="s">
        <v>1066</v>
      </c>
      <c r="E73" s="364" t="s">
        <v>4850</v>
      </c>
      <c r="F73" s="405" t="s">
        <v>1139</v>
      </c>
      <c r="G73" s="405">
        <v>2022</v>
      </c>
      <c r="H73" s="405">
        <v>5</v>
      </c>
      <c r="I73" s="416" t="s">
        <v>2393</v>
      </c>
      <c r="J73" s="406">
        <v>44692</v>
      </c>
      <c r="K73" s="405" t="s">
        <v>1458</v>
      </c>
      <c r="L73" s="406" t="s">
        <v>1442</v>
      </c>
      <c r="M73" s="406">
        <v>44468</v>
      </c>
      <c r="N73" s="406" t="s">
        <v>1451</v>
      </c>
      <c r="O73" s="406"/>
      <c r="P73" s="406">
        <v>44658</v>
      </c>
      <c r="Q73" s="406">
        <v>44687</v>
      </c>
      <c r="R73" s="406">
        <v>44692</v>
      </c>
      <c r="S73" s="405" t="s">
        <v>1443</v>
      </c>
      <c r="T73" s="405">
        <v>60</v>
      </c>
      <c r="U73" s="405" t="s">
        <v>1455</v>
      </c>
      <c r="V73" s="405" t="s">
        <v>1447</v>
      </c>
      <c r="W73" s="407">
        <v>400</v>
      </c>
      <c r="X73" s="371">
        <v>624</v>
      </c>
      <c r="Y73" s="422">
        <f t="shared" si="15"/>
        <v>249600</v>
      </c>
      <c r="Z73" s="409">
        <v>0.48</v>
      </c>
      <c r="AA73" s="410">
        <f t="shared" si="11"/>
        <v>119808</v>
      </c>
      <c r="AB73" s="362"/>
      <c r="AC73" s="412">
        <v>0</v>
      </c>
      <c r="AD73" s="405"/>
      <c r="AE73" s="413"/>
      <c r="AF73" s="424">
        <f t="shared" si="16"/>
        <v>119808</v>
      </c>
      <c r="AG73" s="405" t="s">
        <v>47</v>
      </c>
      <c r="AH73" s="395"/>
      <c r="AI73" s="405">
        <v>75</v>
      </c>
      <c r="AJ73" s="405" t="s">
        <v>1449</v>
      </c>
      <c r="AK73" s="405" t="s">
        <v>1070</v>
      </c>
      <c r="AL73" s="425">
        <v>21075</v>
      </c>
      <c r="AM73" s="405" t="s">
        <v>52</v>
      </c>
      <c r="AN73" s="405" t="s">
        <v>50</v>
      </c>
      <c r="AO73" s="405"/>
      <c r="AP73" s="405" t="s">
        <v>92</v>
      </c>
      <c r="AQ73" s="405" t="s">
        <v>37</v>
      </c>
      <c r="AR73" s="405"/>
      <c r="AS73" s="369"/>
      <c r="AT73" s="363"/>
      <c r="AU73" s="403"/>
      <c r="AV73" s="402" t="str">
        <f t="shared" si="17"/>
        <v>30390256H</v>
      </c>
      <c r="AW73" s="402" cm="1">
        <f t="array" ref="AW73">SUM(MID(0&amp;AV73,LARGE(INDEX(ISNUMBER(--MID(AV73,ROW($1:$8),1))*ROW($1:$8),),ROW($1:$8))+1,1)*10^ROW($1:$8)/10)</f>
        <v>30390256</v>
      </c>
      <c r="AX73" s="402" t="str">
        <f>VLOOKUP($AW73,'Item Master Data'!$A:$F,3,FALSE)</f>
        <v>T400H</v>
      </c>
      <c r="AY73" s="402">
        <f>VLOOKUP($AW73,'Item Master Data'!$A:$F,6,FALSE)</f>
        <v>400</v>
      </c>
      <c r="AZ73" s="402">
        <f t="shared" si="18"/>
        <v>24</v>
      </c>
      <c r="BA73" s="402">
        <f>VLOOKUP(AW73,'Item Master Data'!$A:$G,7,FALSE)</f>
        <v>26</v>
      </c>
      <c r="BB73" s="402"/>
      <c r="BC73" s="402">
        <f t="shared" si="19"/>
        <v>0</v>
      </c>
    </row>
    <row r="74" spans="1:55">
      <c r="A74" s="377"/>
      <c r="B74" s="376"/>
      <c r="C74" s="376"/>
      <c r="D74" s="405" t="s">
        <v>1066</v>
      </c>
      <c r="E74" s="364"/>
      <c r="F74" s="405" t="s">
        <v>1139</v>
      </c>
      <c r="G74" s="405">
        <v>2022</v>
      </c>
      <c r="H74" s="405">
        <v>5</v>
      </c>
      <c r="I74" s="416"/>
      <c r="J74" s="406">
        <v>44691</v>
      </c>
      <c r="K74" s="405" t="s">
        <v>4413</v>
      </c>
      <c r="L74" s="406" t="s">
        <v>1442</v>
      </c>
      <c r="M74" s="406">
        <v>44468</v>
      </c>
      <c r="N74" s="406" t="s">
        <v>1460</v>
      </c>
      <c r="O74" s="406"/>
      <c r="P74" s="406">
        <v>44685</v>
      </c>
      <c r="Q74" s="406">
        <v>44690</v>
      </c>
      <c r="R74" s="406">
        <v>44691</v>
      </c>
      <c r="S74" s="405" t="s">
        <v>1443</v>
      </c>
      <c r="T74" s="405">
        <v>60</v>
      </c>
      <c r="U74" s="405" t="s">
        <v>1455</v>
      </c>
      <c r="V74" s="405" t="s">
        <v>1447</v>
      </c>
      <c r="W74" s="407">
        <v>400</v>
      </c>
      <c r="X74" s="371">
        <v>780</v>
      </c>
      <c r="Y74" s="422">
        <f t="shared" si="15"/>
        <v>312000</v>
      </c>
      <c r="Z74" s="409">
        <v>0.48</v>
      </c>
      <c r="AA74" s="410">
        <f t="shared" si="11"/>
        <v>149760</v>
      </c>
      <c r="AB74" s="362"/>
      <c r="AC74" s="412">
        <v>0</v>
      </c>
      <c r="AD74" s="405"/>
      <c r="AE74" s="413"/>
      <c r="AF74" s="424">
        <f t="shared" si="16"/>
        <v>149760</v>
      </c>
      <c r="AG74" s="405" t="s">
        <v>47</v>
      </c>
      <c r="AH74" s="395"/>
      <c r="AI74" s="405">
        <v>75</v>
      </c>
      <c r="AJ74" s="405" t="s">
        <v>1449</v>
      </c>
      <c r="AK74" s="405" t="s">
        <v>1070</v>
      </c>
      <c r="AL74" s="425">
        <v>21075</v>
      </c>
      <c r="AM74" s="405" t="s">
        <v>52</v>
      </c>
      <c r="AN74" s="405" t="s">
        <v>1082</v>
      </c>
      <c r="AO74" s="405"/>
      <c r="AP74" s="405" t="s">
        <v>92</v>
      </c>
      <c r="AQ74" s="405" t="s">
        <v>37</v>
      </c>
      <c r="AR74" s="405"/>
      <c r="AS74" s="369"/>
      <c r="AT74" s="363"/>
      <c r="AU74" s="403"/>
      <c r="AV74" s="402" t="str">
        <f t="shared" si="17"/>
        <v>30390256H</v>
      </c>
      <c r="AW74" s="402" cm="1">
        <f t="array" ref="AW74">SUM(MID(0&amp;AV74,LARGE(INDEX(ISNUMBER(--MID(AV74,ROW($1:$8),1))*ROW($1:$8),),ROW($1:$8))+1,1)*10^ROW($1:$8)/10)</f>
        <v>30390256</v>
      </c>
      <c r="AX74" s="402" t="str">
        <f>VLOOKUP($AW74,'Item Master Data'!$A:$F,3,FALSE)</f>
        <v>T400H</v>
      </c>
      <c r="AY74" s="402">
        <f>VLOOKUP($AW74,'Item Master Data'!$A:$F,6,FALSE)</f>
        <v>400</v>
      </c>
      <c r="AZ74" s="402">
        <f t="shared" si="18"/>
        <v>30</v>
      </c>
      <c r="BA74" s="402">
        <f>VLOOKUP(AW74,'Item Master Data'!$A:$G,7,FALSE)</f>
        <v>26</v>
      </c>
      <c r="BB74" s="402"/>
      <c r="BC74" s="402">
        <f t="shared" si="19"/>
        <v>0</v>
      </c>
    </row>
    <row r="75" spans="1:55">
      <c r="A75" s="377"/>
      <c r="B75" s="376"/>
      <c r="C75" s="376"/>
      <c r="D75" s="405" t="s">
        <v>1066</v>
      </c>
      <c r="E75" s="364"/>
      <c r="F75" s="405" t="s">
        <v>1139</v>
      </c>
      <c r="G75" s="405">
        <v>2022</v>
      </c>
      <c r="H75" s="405">
        <v>5</v>
      </c>
      <c r="I75" s="416"/>
      <c r="J75" s="406">
        <v>44691</v>
      </c>
      <c r="K75" s="405" t="s">
        <v>4413</v>
      </c>
      <c r="L75" s="406" t="s">
        <v>1442</v>
      </c>
      <c r="M75" s="406">
        <v>44468</v>
      </c>
      <c r="N75" s="406" t="s">
        <v>1460</v>
      </c>
      <c r="O75" s="406"/>
      <c r="P75" s="406">
        <v>44685</v>
      </c>
      <c r="Q75" s="406">
        <v>44690</v>
      </c>
      <c r="R75" s="406">
        <v>44691</v>
      </c>
      <c r="S75" s="405" t="s">
        <v>1443</v>
      </c>
      <c r="T75" s="405">
        <v>60</v>
      </c>
      <c r="U75" s="405" t="s">
        <v>1455</v>
      </c>
      <c r="V75" s="405" t="s">
        <v>1447</v>
      </c>
      <c r="W75" s="407">
        <v>400</v>
      </c>
      <c r="X75" s="371">
        <v>780</v>
      </c>
      <c r="Y75" s="422">
        <f t="shared" si="15"/>
        <v>312000</v>
      </c>
      <c r="Z75" s="409">
        <v>0.48</v>
      </c>
      <c r="AA75" s="410">
        <f t="shared" si="11"/>
        <v>149760</v>
      </c>
      <c r="AB75" s="362"/>
      <c r="AC75" s="412">
        <v>0</v>
      </c>
      <c r="AD75" s="405"/>
      <c r="AE75" s="413"/>
      <c r="AF75" s="424">
        <f t="shared" si="16"/>
        <v>149760</v>
      </c>
      <c r="AG75" s="405" t="s">
        <v>47</v>
      </c>
      <c r="AH75" s="395"/>
      <c r="AI75" s="405">
        <v>75</v>
      </c>
      <c r="AJ75" s="405" t="s">
        <v>1449</v>
      </c>
      <c r="AK75" s="405" t="s">
        <v>1070</v>
      </c>
      <c r="AL75" s="425">
        <v>21075</v>
      </c>
      <c r="AM75" s="405" t="s">
        <v>52</v>
      </c>
      <c r="AN75" s="405" t="s">
        <v>1082</v>
      </c>
      <c r="AO75" s="405"/>
      <c r="AP75" s="405" t="s">
        <v>92</v>
      </c>
      <c r="AQ75" s="405" t="s">
        <v>37</v>
      </c>
      <c r="AR75" s="405"/>
      <c r="AS75" s="369"/>
      <c r="AT75" s="363"/>
      <c r="AU75" s="403"/>
      <c r="AV75" s="402" t="str">
        <f t="shared" si="17"/>
        <v>30390256H</v>
      </c>
      <c r="AW75" s="402" cm="1">
        <f t="array" ref="AW75">SUM(MID(0&amp;AV75,LARGE(INDEX(ISNUMBER(--MID(AV75,ROW($1:$8),1))*ROW($1:$8),),ROW($1:$8))+1,1)*10^ROW($1:$8)/10)</f>
        <v>30390256</v>
      </c>
      <c r="AX75" s="402" t="str">
        <f>VLOOKUP($AW75,'Item Master Data'!$A:$F,3,FALSE)</f>
        <v>T400H</v>
      </c>
      <c r="AY75" s="402">
        <f>VLOOKUP($AW75,'Item Master Data'!$A:$F,6,FALSE)</f>
        <v>400</v>
      </c>
      <c r="AZ75" s="402">
        <f t="shared" si="18"/>
        <v>30</v>
      </c>
      <c r="BA75" s="402">
        <f>VLOOKUP(AW75,'Item Master Data'!$A:$G,7,FALSE)</f>
        <v>26</v>
      </c>
      <c r="BB75" s="402"/>
      <c r="BC75" s="402">
        <f t="shared" si="19"/>
        <v>0</v>
      </c>
    </row>
    <row r="76" spans="1:55">
      <c r="A76" s="377"/>
      <c r="B76" s="376"/>
      <c r="C76" s="376"/>
      <c r="D76" s="405" t="s">
        <v>1066</v>
      </c>
      <c r="E76" s="364"/>
      <c r="F76" s="405" t="s">
        <v>1139</v>
      </c>
      <c r="G76" s="405">
        <v>2022</v>
      </c>
      <c r="H76" s="405">
        <v>5</v>
      </c>
      <c r="I76" s="416"/>
      <c r="J76" s="406">
        <v>44691</v>
      </c>
      <c r="K76" s="405" t="s">
        <v>4413</v>
      </c>
      <c r="L76" s="406" t="s">
        <v>1442</v>
      </c>
      <c r="M76" s="406">
        <v>44468</v>
      </c>
      <c r="N76" s="406" t="s">
        <v>1460</v>
      </c>
      <c r="O76" s="406"/>
      <c r="P76" s="406">
        <v>44685</v>
      </c>
      <c r="Q76" s="406">
        <v>44690</v>
      </c>
      <c r="R76" s="406">
        <v>44691</v>
      </c>
      <c r="S76" s="405" t="s">
        <v>1443</v>
      </c>
      <c r="T76" s="405">
        <v>60</v>
      </c>
      <c r="U76" s="405" t="s">
        <v>1455</v>
      </c>
      <c r="V76" s="405" t="s">
        <v>1447</v>
      </c>
      <c r="W76" s="407">
        <v>400</v>
      </c>
      <c r="X76" s="371">
        <v>780</v>
      </c>
      <c r="Y76" s="422">
        <f t="shared" si="15"/>
        <v>312000</v>
      </c>
      <c r="Z76" s="409">
        <v>0.48</v>
      </c>
      <c r="AA76" s="410">
        <f t="shared" si="11"/>
        <v>149760</v>
      </c>
      <c r="AB76" s="362"/>
      <c r="AC76" s="412">
        <v>0</v>
      </c>
      <c r="AD76" s="405"/>
      <c r="AE76" s="413"/>
      <c r="AF76" s="424">
        <f t="shared" si="16"/>
        <v>149760</v>
      </c>
      <c r="AG76" s="405" t="s">
        <v>47</v>
      </c>
      <c r="AH76" s="395"/>
      <c r="AI76" s="405">
        <v>75</v>
      </c>
      <c r="AJ76" s="405" t="s">
        <v>1449</v>
      </c>
      <c r="AK76" s="405" t="s">
        <v>1070</v>
      </c>
      <c r="AL76" s="425">
        <v>21075</v>
      </c>
      <c r="AM76" s="405" t="s">
        <v>52</v>
      </c>
      <c r="AN76" s="405" t="s">
        <v>1082</v>
      </c>
      <c r="AO76" s="405"/>
      <c r="AP76" s="405" t="s">
        <v>92</v>
      </c>
      <c r="AQ76" s="405" t="s">
        <v>37</v>
      </c>
      <c r="AR76" s="405"/>
      <c r="AS76" s="369"/>
      <c r="AT76" s="363"/>
      <c r="AU76" s="403"/>
      <c r="AV76" s="402"/>
      <c r="AW76" s="402"/>
      <c r="AX76" s="402"/>
      <c r="AY76" s="402"/>
      <c r="AZ76" s="402"/>
      <c r="BA76" s="402"/>
      <c r="BB76" s="402"/>
      <c r="BC76" s="402"/>
    </row>
    <row r="77" spans="1:55">
      <c r="A77" s="377"/>
      <c r="B77" s="376"/>
      <c r="C77" s="376"/>
      <c r="D77" s="405" t="s">
        <v>1066</v>
      </c>
      <c r="E77" s="364"/>
      <c r="F77" s="405" t="s">
        <v>1139</v>
      </c>
      <c r="G77" s="405">
        <v>2022</v>
      </c>
      <c r="H77" s="405">
        <v>5</v>
      </c>
      <c r="I77" s="416"/>
      <c r="J77" s="406">
        <v>44692</v>
      </c>
      <c r="K77" s="405" t="s">
        <v>4413</v>
      </c>
      <c r="L77" s="406" t="s">
        <v>1442</v>
      </c>
      <c r="M77" s="406">
        <v>44468</v>
      </c>
      <c r="N77" s="406" t="s">
        <v>1460</v>
      </c>
      <c r="O77" s="406"/>
      <c r="P77" s="406">
        <v>44685</v>
      </c>
      <c r="Q77" s="406">
        <v>44691</v>
      </c>
      <c r="R77" s="406">
        <v>44692</v>
      </c>
      <c r="S77" s="405" t="s">
        <v>1443</v>
      </c>
      <c r="T77" s="405">
        <v>60</v>
      </c>
      <c r="U77" s="405" t="s">
        <v>1455</v>
      </c>
      <c r="V77" s="405" t="s">
        <v>1447</v>
      </c>
      <c r="W77" s="407">
        <v>400</v>
      </c>
      <c r="X77" s="371">
        <v>780</v>
      </c>
      <c r="Y77" s="422">
        <f t="shared" si="15"/>
        <v>312000</v>
      </c>
      <c r="Z77" s="409">
        <v>0.48</v>
      </c>
      <c r="AA77" s="410">
        <f t="shared" si="11"/>
        <v>149760</v>
      </c>
      <c r="AB77" s="362"/>
      <c r="AC77" s="412">
        <v>0</v>
      </c>
      <c r="AD77" s="405"/>
      <c r="AE77" s="413"/>
      <c r="AF77" s="424">
        <f t="shared" si="16"/>
        <v>149760</v>
      </c>
      <c r="AG77" s="405" t="s">
        <v>47</v>
      </c>
      <c r="AH77" s="395"/>
      <c r="AI77" s="405">
        <v>75</v>
      </c>
      <c r="AJ77" s="405" t="s">
        <v>1449</v>
      </c>
      <c r="AK77" s="405" t="s">
        <v>1070</v>
      </c>
      <c r="AL77" s="425">
        <v>21075</v>
      </c>
      <c r="AM77" s="405" t="s">
        <v>52</v>
      </c>
      <c r="AN77" s="405" t="s">
        <v>1082</v>
      </c>
      <c r="AO77" s="405"/>
      <c r="AP77" s="405" t="s">
        <v>92</v>
      </c>
      <c r="AQ77" s="405" t="s">
        <v>37</v>
      </c>
      <c r="AR77" s="405"/>
      <c r="AS77" s="369"/>
      <c r="AT77" s="363"/>
      <c r="AU77" s="403"/>
      <c r="AV77" s="402" t="str">
        <f>U77</f>
        <v>30390256H</v>
      </c>
      <c r="AW77" s="402" cm="1">
        <f t="array" ref="AW77">SUM(MID(0&amp;AV77,LARGE(INDEX(ISNUMBER(--MID(AV77,ROW($1:$8),1))*ROW($1:$8),),ROW($1:$8))+1,1)*10^ROW($1:$8)/10)</f>
        <v>30390256</v>
      </c>
      <c r="AX77" s="402" t="str">
        <f>VLOOKUP($AW77,'Item Master Data'!$A:$F,3,FALSE)</f>
        <v>T400H</v>
      </c>
      <c r="AY77" s="402">
        <f>VLOOKUP($AW77,'Item Master Data'!$A:$F,6,FALSE)</f>
        <v>400</v>
      </c>
      <c r="AZ77" s="402">
        <f>X77/BA77</f>
        <v>30</v>
      </c>
      <c r="BA77" s="402">
        <f>VLOOKUP(AW77,'Item Master Data'!$A:$G,7,FALSE)</f>
        <v>26</v>
      </c>
      <c r="BB77" s="402"/>
      <c r="BC77" s="402">
        <f>W77-AY77</f>
        <v>0</v>
      </c>
    </row>
    <row r="78" spans="1:55">
      <c r="A78" s="377"/>
      <c r="B78" s="376"/>
      <c r="C78" s="376"/>
      <c r="D78" s="405" t="s">
        <v>1066</v>
      </c>
      <c r="E78" s="364"/>
      <c r="F78" s="405" t="s">
        <v>1139</v>
      </c>
      <c r="G78" s="405">
        <v>2022</v>
      </c>
      <c r="H78" s="405">
        <v>5</v>
      </c>
      <c r="I78" s="416"/>
      <c r="J78" s="406">
        <v>44692</v>
      </c>
      <c r="K78" s="405" t="s">
        <v>4413</v>
      </c>
      <c r="L78" s="406" t="s">
        <v>1442</v>
      </c>
      <c r="M78" s="406">
        <v>44468</v>
      </c>
      <c r="N78" s="406" t="s">
        <v>1460</v>
      </c>
      <c r="O78" s="406"/>
      <c r="P78" s="406">
        <v>44685</v>
      </c>
      <c r="Q78" s="406">
        <v>44691</v>
      </c>
      <c r="R78" s="406">
        <v>44692</v>
      </c>
      <c r="S78" s="405" t="s">
        <v>1443</v>
      </c>
      <c r="T78" s="405">
        <v>60</v>
      </c>
      <c r="U78" s="405" t="s">
        <v>1455</v>
      </c>
      <c r="V78" s="405" t="s">
        <v>1447</v>
      </c>
      <c r="W78" s="407">
        <v>400</v>
      </c>
      <c r="X78" s="371">
        <v>780</v>
      </c>
      <c r="Y78" s="422">
        <f t="shared" si="15"/>
        <v>312000</v>
      </c>
      <c r="Z78" s="409">
        <v>0.48</v>
      </c>
      <c r="AA78" s="410">
        <f t="shared" si="11"/>
        <v>149760</v>
      </c>
      <c r="AB78" s="362"/>
      <c r="AC78" s="412">
        <v>0</v>
      </c>
      <c r="AD78" s="405"/>
      <c r="AE78" s="413"/>
      <c r="AF78" s="424">
        <f t="shared" si="16"/>
        <v>149760</v>
      </c>
      <c r="AG78" s="405" t="s">
        <v>47</v>
      </c>
      <c r="AH78" s="395"/>
      <c r="AI78" s="405">
        <v>75</v>
      </c>
      <c r="AJ78" s="405" t="s">
        <v>1449</v>
      </c>
      <c r="AK78" s="405" t="s">
        <v>1070</v>
      </c>
      <c r="AL78" s="425">
        <v>21075</v>
      </c>
      <c r="AM78" s="405" t="s">
        <v>52</v>
      </c>
      <c r="AN78" s="405" t="s">
        <v>1082</v>
      </c>
      <c r="AO78" s="405"/>
      <c r="AP78" s="405" t="s">
        <v>92</v>
      </c>
      <c r="AQ78" s="405" t="s">
        <v>37</v>
      </c>
      <c r="AR78" s="405"/>
      <c r="AS78" s="369"/>
      <c r="AT78" s="363"/>
      <c r="AU78" s="403"/>
      <c r="AV78" s="402" t="str">
        <f>U78</f>
        <v>30390256H</v>
      </c>
      <c r="AW78" s="402" cm="1">
        <f t="array" ref="AW78">SUM(MID(0&amp;AV78,LARGE(INDEX(ISNUMBER(--MID(AV78,ROW($1:$8),1))*ROW($1:$8),),ROW($1:$8))+1,1)*10^ROW($1:$8)/10)</f>
        <v>30390256</v>
      </c>
      <c r="AX78" s="402" t="str">
        <f>VLOOKUP($AW78,'Item Master Data'!$A:$F,3,FALSE)</f>
        <v>T400H</v>
      </c>
      <c r="AY78" s="402">
        <f>VLOOKUP($AW78,'Item Master Data'!$A:$F,6,FALSE)</f>
        <v>400</v>
      </c>
      <c r="AZ78" s="402">
        <f>X78/BA78</f>
        <v>30</v>
      </c>
      <c r="BA78" s="402">
        <f>VLOOKUP(AW78,'Item Master Data'!$A:$G,7,FALSE)</f>
        <v>26</v>
      </c>
      <c r="BB78" s="402"/>
      <c r="BC78" s="402">
        <f>W78-AY78</f>
        <v>0</v>
      </c>
    </row>
    <row r="79" spans="1:55">
      <c r="A79" s="377"/>
      <c r="B79" s="376"/>
      <c r="C79" s="376"/>
      <c r="D79" s="405" t="s">
        <v>1066</v>
      </c>
      <c r="E79" s="364"/>
      <c r="F79" s="405" t="s">
        <v>1139</v>
      </c>
      <c r="G79" s="405">
        <v>2022</v>
      </c>
      <c r="H79" s="405">
        <v>5</v>
      </c>
      <c r="I79" s="416"/>
      <c r="J79" s="406">
        <v>44692</v>
      </c>
      <c r="K79" s="405" t="s">
        <v>4413</v>
      </c>
      <c r="L79" s="406" t="s">
        <v>1442</v>
      </c>
      <c r="M79" s="406">
        <v>44468</v>
      </c>
      <c r="N79" s="406" t="s">
        <v>1460</v>
      </c>
      <c r="O79" s="406"/>
      <c r="P79" s="406">
        <v>44685</v>
      </c>
      <c r="Q79" s="406">
        <v>44691</v>
      </c>
      <c r="R79" s="406">
        <v>44692</v>
      </c>
      <c r="S79" s="405" t="s">
        <v>1443</v>
      </c>
      <c r="T79" s="405">
        <v>60</v>
      </c>
      <c r="U79" s="405" t="s">
        <v>1455</v>
      </c>
      <c r="V79" s="405" t="s">
        <v>1447</v>
      </c>
      <c r="W79" s="407">
        <v>400</v>
      </c>
      <c r="X79" s="371">
        <v>780</v>
      </c>
      <c r="Y79" s="422">
        <f t="shared" si="15"/>
        <v>312000</v>
      </c>
      <c r="Z79" s="409">
        <v>0.48</v>
      </c>
      <c r="AA79" s="410">
        <f t="shared" si="11"/>
        <v>149760</v>
      </c>
      <c r="AB79" s="362"/>
      <c r="AC79" s="412">
        <v>0</v>
      </c>
      <c r="AD79" s="405"/>
      <c r="AE79" s="413"/>
      <c r="AF79" s="424">
        <f t="shared" si="16"/>
        <v>149760</v>
      </c>
      <c r="AG79" s="405" t="s">
        <v>47</v>
      </c>
      <c r="AH79" s="395"/>
      <c r="AI79" s="405">
        <v>75</v>
      </c>
      <c r="AJ79" s="405" t="s">
        <v>1449</v>
      </c>
      <c r="AK79" s="405" t="s">
        <v>1070</v>
      </c>
      <c r="AL79" s="425">
        <v>21075</v>
      </c>
      <c r="AM79" s="405" t="s">
        <v>52</v>
      </c>
      <c r="AN79" s="405" t="s">
        <v>1082</v>
      </c>
      <c r="AO79" s="405"/>
      <c r="AP79" s="405" t="s">
        <v>92</v>
      </c>
      <c r="AQ79" s="405" t="s">
        <v>37</v>
      </c>
      <c r="AR79" s="405"/>
      <c r="AS79" s="369"/>
      <c r="AT79" s="363"/>
      <c r="AU79" s="403"/>
      <c r="AV79" s="402" t="str">
        <f>U79</f>
        <v>30390256H</v>
      </c>
      <c r="AW79" s="402" cm="1">
        <f t="array" ref="AW79">SUM(MID(0&amp;AV79,LARGE(INDEX(ISNUMBER(--MID(AV79,ROW($1:$8),1))*ROW($1:$8),),ROW($1:$8))+1,1)*10^ROW($1:$8)/10)</f>
        <v>30390256</v>
      </c>
      <c r="AX79" s="402" t="str">
        <f>VLOOKUP($AW79,'Item Master Data'!$A:$F,3,FALSE)</f>
        <v>T400H</v>
      </c>
      <c r="AY79" s="402">
        <f>VLOOKUP($AW79,'Item Master Data'!$A:$F,6,FALSE)</f>
        <v>400</v>
      </c>
      <c r="AZ79" s="402">
        <f>X79/BA79</f>
        <v>30</v>
      </c>
      <c r="BA79" s="402">
        <f>VLOOKUP(AW79,'Item Master Data'!$A:$G,7,FALSE)</f>
        <v>26</v>
      </c>
      <c r="BB79" s="402"/>
      <c r="BC79" s="402">
        <f>W79-AY79</f>
        <v>0</v>
      </c>
    </row>
    <row r="80" spans="1:55">
      <c r="A80" s="377"/>
      <c r="B80" s="376"/>
      <c r="C80" s="376"/>
      <c r="D80" s="405" t="s">
        <v>1066</v>
      </c>
      <c r="E80" s="364"/>
      <c r="F80" s="405" t="s">
        <v>1139</v>
      </c>
      <c r="G80" s="405">
        <v>2022</v>
      </c>
      <c r="H80" s="405">
        <v>5</v>
      </c>
      <c r="I80" s="416"/>
      <c r="J80" s="406">
        <v>44692</v>
      </c>
      <c r="K80" s="405" t="s">
        <v>4413</v>
      </c>
      <c r="L80" s="406" t="s">
        <v>1442</v>
      </c>
      <c r="M80" s="406">
        <v>44468</v>
      </c>
      <c r="N80" s="406" t="s">
        <v>1460</v>
      </c>
      <c r="O80" s="406"/>
      <c r="P80" s="406">
        <v>44685</v>
      </c>
      <c r="Q80" s="406">
        <v>44691</v>
      </c>
      <c r="R80" s="406">
        <v>44692</v>
      </c>
      <c r="S80" s="405" t="s">
        <v>1443</v>
      </c>
      <c r="T80" s="405">
        <v>60</v>
      </c>
      <c r="U80" s="405" t="s">
        <v>1455</v>
      </c>
      <c r="V80" s="405" t="s">
        <v>1447</v>
      </c>
      <c r="W80" s="407">
        <v>400</v>
      </c>
      <c r="X80" s="371">
        <v>780</v>
      </c>
      <c r="Y80" s="422">
        <f t="shared" si="15"/>
        <v>312000</v>
      </c>
      <c r="Z80" s="409">
        <v>0.48</v>
      </c>
      <c r="AA80" s="410">
        <f t="shared" si="11"/>
        <v>149760</v>
      </c>
      <c r="AB80" s="362"/>
      <c r="AC80" s="412">
        <v>0</v>
      </c>
      <c r="AD80" s="405"/>
      <c r="AE80" s="413"/>
      <c r="AF80" s="424">
        <f t="shared" si="16"/>
        <v>149760</v>
      </c>
      <c r="AG80" s="405" t="s">
        <v>47</v>
      </c>
      <c r="AH80" s="395"/>
      <c r="AI80" s="405">
        <v>75</v>
      </c>
      <c r="AJ80" s="405" t="s">
        <v>1449</v>
      </c>
      <c r="AK80" s="405" t="s">
        <v>1070</v>
      </c>
      <c r="AL80" s="425">
        <v>21075</v>
      </c>
      <c r="AM80" s="405" t="s">
        <v>52</v>
      </c>
      <c r="AN80" s="405" t="s">
        <v>1082</v>
      </c>
      <c r="AO80" s="405"/>
      <c r="AP80" s="405" t="s">
        <v>92</v>
      </c>
      <c r="AQ80" s="405" t="s">
        <v>37</v>
      </c>
      <c r="AR80" s="405"/>
      <c r="AS80" s="369"/>
      <c r="AT80" s="363"/>
      <c r="AU80" s="403"/>
      <c r="AV80" s="402" t="str">
        <f>U80</f>
        <v>30390256H</v>
      </c>
      <c r="AW80" s="402" cm="1">
        <f t="array" ref="AW80">SUM(MID(0&amp;AV80,LARGE(INDEX(ISNUMBER(--MID(AV80,ROW($1:$8),1))*ROW($1:$8),),ROW($1:$8))+1,1)*10^ROW($1:$8)/10)</f>
        <v>30390256</v>
      </c>
      <c r="AX80" s="402" t="str">
        <f>VLOOKUP($AW80,'Item Master Data'!$A:$F,3,FALSE)</f>
        <v>T400H</v>
      </c>
      <c r="AY80" s="402">
        <f>VLOOKUP($AW80,'Item Master Data'!$A:$F,6,FALSE)</f>
        <v>400</v>
      </c>
      <c r="AZ80" s="402">
        <f>X80/BA80</f>
        <v>30</v>
      </c>
      <c r="BA80" s="402">
        <f>VLOOKUP(AW80,'Item Master Data'!$A:$G,7,FALSE)</f>
        <v>26</v>
      </c>
      <c r="BB80" s="402"/>
      <c r="BC80" s="402">
        <f>W80-AY80</f>
        <v>0</v>
      </c>
    </row>
    <row r="81" spans="1:55">
      <c r="A81" s="377"/>
      <c r="B81" s="376"/>
      <c r="C81" s="376"/>
      <c r="D81" s="405" t="s">
        <v>1066</v>
      </c>
      <c r="E81" s="364"/>
      <c r="F81" s="405" t="s">
        <v>1139</v>
      </c>
      <c r="G81" s="405">
        <v>2022</v>
      </c>
      <c r="H81" s="405">
        <v>5</v>
      </c>
      <c r="I81" s="416"/>
      <c r="J81" s="406">
        <v>44693</v>
      </c>
      <c r="K81" s="405" t="s">
        <v>4413</v>
      </c>
      <c r="L81" s="406" t="s">
        <v>1442</v>
      </c>
      <c r="M81" s="406">
        <v>44468</v>
      </c>
      <c r="N81" s="406" t="s">
        <v>1460</v>
      </c>
      <c r="O81" s="406"/>
      <c r="P81" s="406">
        <v>44685</v>
      </c>
      <c r="Q81" s="406">
        <v>44692</v>
      </c>
      <c r="R81" s="406">
        <v>44693</v>
      </c>
      <c r="S81" s="405" t="s">
        <v>1443</v>
      </c>
      <c r="T81" s="405">
        <v>60</v>
      </c>
      <c r="U81" s="405" t="s">
        <v>1455</v>
      </c>
      <c r="V81" s="405" t="s">
        <v>1447</v>
      </c>
      <c r="W81" s="407">
        <v>400</v>
      </c>
      <c r="X81" s="371">
        <v>780</v>
      </c>
      <c r="Y81" s="422">
        <f t="shared" si="15"/>
        <v>312000</v>
      </c>
      <c r="Z81" s="409">
        <v>0.48</v>
      </c>
      <c r="AA81" s="410">
        <f t="shared" si="11"/>
        <v>149760</v>
      </c>
      <c r="AB81" s="362"/>
      <c r="AC81" s="412">
        <v>0</v>
      </c>
      <c r="AD81" s="405"/>
      <c r="AE81" s="413"/>
      <c r="AF81" s="424">
        <f t="shared" si="16"/>
        <v>149760</v>
      </c>
      <c r="AG81" s="405" t="s">
        <v>47</v>
      </c>
      <c r="AH81" s="395"/>
      <c r="AI81" s="405">
        <v>75</v>
      </c>
      <c r="AJ81" s="405" t="s">
        <v>1449</v>
      </c>
      <c r="AK81" s="405" t="s">
        <v>1070</v>
      </c>
      <c r="AL81" s="425">
        <v>21075</v>
      </c>
      <c r="AM81" s="405" t="s">
        <v>52</v>
      </c>
      <c r="AN81" s="405" t="s">
        <v>1082</v>
      </c>
      <c r="AO81" s="405"/>
      <c r="AP81" s="405" t="s">
        <v>92</v>
      </c>
      <c r="AQ81" s="405" t="s">
        <v>37</v>
      </c>
      <c r="AR81" s="405"/>
      <c r="AS81" s="369"/>
      <c r="AT81" s="363"/>
      <c r="AU81" s="403"/>
      <c r="AV81" s="402"/>
      <c r="AW81" s="402"/>
      <c r="AX81" s="402"/>
      <c r="AY81" s="402"/>
      <c r="AZ81" s="402"/>
      <c r="BA81" s="402"/>
      <c r="BB81" s="402"/>
      <c r="BC81" s="402"/>
    </row>
    <row r="82" spans="1:55">
      <c r="A82" s="377"/>
      <c r="B82" s="376"/>
      <c r="C82" s="376"/>
      <c r="D82" s="405" t="s">
        <v>1066</v>
      </c>
      <c r="E82" s="364"/>
      <c r="F82" s="405" t="s">
        <v>1139</v>
      </c>
      <c r="G82" s="405">
        <v>2022</v>
      </c>
      <c r="H82" s="405">
        <v>5</v>
      </c>
      <c r="I82" s="416"/>
      <c r="J82" s="406">
        <v>44693</v>
      </c>
      <c r="K82" s="405" t="s">
        <v>4413</v>
      </c>
      <c r="L82" s="406" t="s">
        <v>1442</v>
      </c>
      <c r="M82" s="406">
        <v>44468</v>
      </c>
      <c r="N82" s="406" t="s">
        <v>1460</v>
      </c>
      <c r="O82" s="406"/>
      <c r="P82" s="406">
        <v>44685</v>
      </c>
      <c r="Q82" s="406">
        <v>44692</v>
      </c>
      <c r="R82" s="406">
        <v>44693</v>
      </c>
      <c r="S82" s="405" t="s">
        <v>1443</v>
      </c>
      <c r="T82" s="405">
        <v>60</v>
      </c>
      <c r="U82" s="405" t="s">
        <v>1455</v>
      </c>
      <c r="V82" s="405" t="s">
        <v>1447</v>
      </c>
      <c r="W82" s="407">
        <v>400</v>
      </c>
      <c r="X82" s="371">
        <v>780</v>
      </c>
      <c r="Y82" s="422">
        <f t="shared" si="15"/>
        <v>312000</v>
      </c>
      <c r="Z82" s="409">
        <v>0.48</v>
      </c>
      <c r="AA82" s="410">
        <f t="shared" si="11"/>
        <v>149760</v>
      </c>
      <c r="AB82" s="362"/>
      <c r="AC82" s="412">
        <v>0</v>
      </c>
      <c r="AD82" s="405"/>
      <c r="AE82" s="413"/>
      <c r="AF82" s="424">
        <f t="shared" si="16"/>
        <v>149760</v>
      </c>
      <c r="AG82" s="405" t="s">
        <v>47</v>
      </c>
      <c r="AH82" s="395"/>
      <c r="AI82" s="405">
        <v>75</v>
      </c>
      <c r="AJ82" s="405" t="s">
        <v>1449</v>
      </c>
      <c r="AK82" s="405" t="s">
        <v>1070</v>
      </c>
      <c r="AL82" s="425">
        <v>21075</v>
      </c>
      <c r="AM82" s="405" t="s">
        <v>52</v>
      </c>
      <c r="AN82" s="405" t="s">
        <v>1082</v>
      </c>
      <c r="AO82" s="405"/>
      <c r="AP82" s="405" t="s">
        <v>92</v>
      </c>
      <c r="AQ82" s="405" t="s">
        <v>37</v>
      </c>
      <c r="AR82" s="405"/>
      <c r="AS82" s="369"/>
      <c r="AT82" s="363"/>
      <c r="AU82" s="403"/>
      <c r="AV82" s="402" t="str">
        <f>U82</f>
        <v>30390256H</v>
      </c>
      <c r="AW82" s="402" cm="1">
        <f t="array" ref="AW82">SUM(MID(0&amp;AV82,LARGE(INDEX(ISNUMBER(--MID(AV82,ROW($1:$8),1))*ROW($1:$8),),ROW($1:$8))+1,1)*10^ROW($1:$8)/10)</f>
        <v>30390256</v>
      </c>
      <c r="AX82" s="402" t="str">
        <f>VLOOKUP($AW82,'Item Master Data'!$A:$F,3,FALSE)</f>
        <v>T400H</v>
      </c>
      <c r="AY82" s="402">
        <f>VLOOKUP($AW82,'Item Master Data'!$A:$F,6,FALSE)</f>
        <v>400</v>
      </c>
      <c r="AZ82" s="402">
        <f>X82/BA82</f>
        <v>30</v>
      </c>
      <c r="BA82" s="402">
        <f>VLOOKUP(AW82,'Item Master Data'!$A:$G,7,FALSE)</f>
        <v>26</v>
      </c>
      <c r="BB82" s="402"/>
      <c r="BC82" s="402">
        <f>W82-AY82</f>
        <v>0</v>
      </c>
    </row>
    <row r="83" spans="1:55">
      <c r="A83" s="377"/>
      <c r="B83" s="376"/>
      <c r="C83" s="376"/>
      <c r="D83" s="405" t="s">
        <v>1066</v>
      </c>
      <c r="E83" s="364"/>
      <c r="F83" s="405" t="s">
        <v>1139</v>
      </c>
      <c r="G83" s="405">
        <v>2022</v>
      </c>
      <c r="H83" s="405">
        <v>5</v>
      </c>
      <c r="I83" s="416"/>
      <c r="J83" s="406">
        <v>44693</v>
      </c>
      <c r="K83" s="405" t="s">
        <v>4413</v>
      </c>
      <c r="L83" s="406" t="s">
        <v>1442</v>
      </c>
      <c r="M83" s="406">
        <v>44468</v>
      </c>
      <c r="N83" s="406" t="s">
        <v>1460</v>
      </c>
      <c r="O83" s="406"/>
      <c r="P83" s="406">
        <v>44685</v>
      </c>
      <c r="Q83" s="406">
        <v>44692</v>
      </c>
      <c r="R83" s="406">
        <v>44693</v>
      </c>
      <c r="S83" s="405" t="s">
        <v>1443</v>
      </c>
      <c r="T83" s="405">
        <v>60</v>
      </c>
      <c r="U83" s="405" t="s">
        <v>1455</v>
      </c>
      <c r="V83" s="405" t="s">
        <v>1447</v>
      </c>
      <c r="W83" s="407">
        <v>400</v>
      </c>
      <c r="X83" s="371">
        <v>780</v>
      </c>
      <c r="Y83" s="422">
        <f t="shared" si="15"/>
        <v>312000</v>
      </c>
      <c r="Z83" s="409">
        <v>0.48</v>
      </c>
      <c r="AA83" s="410">
        <f t="shared" si="11"/>
        <v>149760</v>
      </c>
      <c r="AB83" s="362"/>
      <c r="AC83" s="412">
        <v>0</v>
      </c>
      <c r="AD83" s="405"/>
      <c r="AE83" s="413"/>
      <c r="AF83" s="424">
        <f t="shared" si="16"/>
        <v>149760</v>
      </c>
      <c r="AG83" s="405" t="s">
        <v>47</v>
      </c>
      <c r="AH83" s="395"/>
      <c r="AI83" s="405">
        <v>75</v>
      </c>
      <c r="AJ83" s="405" t="s">
        <v>1449</v>
      </c>
      <c r="AK83" s="405" t="s">
        <v>1070</v>
      </c>
      <c r="AL83" s="425">
        <v>21075</v>
      </c>
      <c r="AM83" s="405" t="s">
        <v>52</v>
      </c>
      <c r="AN83" s="405" t="s">
        <v>1082</v>
      </c>
      <c r="AO83" s="405"/>
      <c r="AP83" s="405" t="s">
        <v>92</v>
      </c>
      <c r="AQ83" s="405" t="s">
        <v>37</v>
      </c>
      <c r="AR83" s="405"/>
      <c r="AS83" s="369"/>
      <c r="AT83" s="363"/>
      <c r="AU83" s="403"/>
      <c r="AV83" s="402"/>
      <c r="AW83" s="402"/>
      <c r="AX83" s="402"/>
      <c r="AY83" s="402"/>
      <c r="AZ83" s="402"/>
      <c r="BA83" s="402"/>
      <c r="BB83" s="402"/>
      <c r="BC83" s="402"/>
    </row>
    <row r="84" spans="1:55">
      <c r="A84" s="377"/>
      <c r="B84" s="376"/>
      <c r="C84" s="376"/>
      <c r="D84" s="405" t="s">
        <v>1066</v>
      </c>
      <c r="E84" s="364"/>
      <c r="F84" s="405" t="s">
        <v>1139</v>
      </c>
      <c r="G84" s="405">
        <v>2022</v>
      </c>
      <c r="H84" s="405">
        <v>5</v>
      </c>
      <c r="I84" s="416"/>
      <c r="J84" s="406">
        <v>44694</v>
      </c>
      <c r="K84" s="405" t="s">
        <v>4413</v>
      </c>
      <c r="L84" s="406" t="s">
        <v>1442</v>
      </c>
      <c r="M84" s="406">
        <v>44468</v>
      </c>
      <c r="N84" s="406" t="s">
        <v>1460</v>
      </c>
      <c r="O84" s="406"/>
      <c r="P84" s="406">
        <v>44685</v>
      </c>
      <c r="Q84" s="406">
        <v>44693</v>
      </c>
      <c r="R84" s="406">
        <v>44694</v>
      </c>
      <c r="S84" s="405" t="s">
        <v>1443</v>
      </c>
      <c r="T84" s="405">
        <v>60</v>
      </c>
      <c r="U84" s="405" t="s">
        <v>1455</v>
      </c>
      <c r="V84" s="405" t="s">
        <v>1447</v>
      </c>
      <c r="W84" s="407">
        <v>400</v>
      </c>
      <c r="X84" s="371">
        <v>780</v>
      </c>
      <c r="Y84" s="422">
        <f t="shared" si="15"/>
        <v>312000</v>
      </c>
      <c r="Z84" s="409">
        <v>0.48</v>
      </c>
      <c r="AA84" s="410">
        <f t="shared" si="11"/>
        <v>149760</v>
      </c>
      <c r="AB84" s="362"/>
      <c r="AC84" s="412">
        <v>0</v>
      </c>
      <c r="AD84" s="405"/>
      <c r="AE84" s="413"/>
      <c r="AF84" s="424">
        <f t="shared" si="16"/>
        <v>149760</v>
      </c>
      <c r="AG84" s="405" t="s">
        <v>47</v>
      </c>
      <c r="AH84" s="395"/>
      <c r="AI84" s="405">
        <v>75</v>
      </c>
      <c r="AJ84" s="405" t="s">
        <v>1449</v>
      </c>
      <c r="AK84" s="405" t="s">
        <v>1070</v>
      </c>
      <c r="AL84" s="425">
        <v>21075</v>
      </c>
      <c r="AM84" s="405" t="s">
        <v>52</v>
      </c>
      <c r="AN84" s="405" t="s">
        <v>1082</v>
      </c>
      <c r="AO84" s="405"/>
      <c r="AP84" s="405" t="s">
        <v>92</v>
      </c>
      <c r="AQ84" s="405" t="s">
        <v>37</v>
      </c>
      <c r="AR84" s="405"/>
      <c r="AS84" s="369"/>
      <c r="AT84" s="363"/>
      <c r="AU84" s="403"/>
      <c r="AV84" s="402"/>
      <c r="AW84" s="402"/>
      <c r="AX84" s="402"/>
      <c r="AY84" s="402"/>
      <c r="AZ84" s="402"/>
      <c r="BA84" s="402"/>
      <c r="BB84" s="402"/>
      <c r="BC84" s="402"/>
    </row>
    <row r="85" spans="1:55">
      <c r="A85" s="377"/>
      <c r="B85" s="376"/>
      <c r="C85" s="376"/>
      <c r="D85" s="405" t="s">
        <v>1066</v>
      </c>
      <c r="E85" s="364"/>
      <c r="F85" s="405" t="s">
        <v>1139</v>
      </c>
      <c r="G85" s="405">
        <v>2022</v>
      </c>
      <c r="H85" s="405">
        <v>5</v>
      </c>
      <c r="I85" s="416"/>
      <c r="J85" s="406">
        <v>44694</v>
      </c>
      <c r="K85" s="405" t="s">
        <v>4413</v>
      </c>
      <c r="L85" s="406" t="s">
        <v>1442</v>
      </c>
      <c r="M85" s="406">
        <v>44468</v>
      </c>
      <c r="N85" s="406" t="s">
        <v>1460</v>
      </c>
      <c r="O85" s="406"/>
      <c r="P85" s="406">
        <v>44685</v>
      </c>
      <c r="Q85" s="406">
        <v>44693</v>
      </c>
      <c r="R85" s="406">
        <v>44694</v>
      </c>
      <c r="S85" s="405" t="s">
        <v>1443</v>
      </c>
      <c r="T85" s="405">
        <v>60</v>
      </c>
      <c r="U85" s="405" t="s">
        <v>1455</v>
      </c>
      <c r="V85" s="405" t="s">
        <v>1447</v>
      </c>
      <c r="W85" s="407">
        <v>400</v>
      </c>
      <c r="X85" s="371">
        <v>780</v>
      </c>
      <c r="Y85" s="422">
        <f t="shared" si="15"/>
        <v>312000</v>
      </c>
      <c r="Z85" s="409">
        <v>0.48</v>
      </c>
      <c r="AA85" s="410">
        <f t="shared" si="11"/>
        <v>149760</v>
      </c>
      <c r="AB85" s="362"/>
      <c r="AC85" s="412">
        <v>0</v>
      </c>
      <c r="AD85" s="405"/>
      <c r="AE85" s="413"/>
      <c r="AF85" s="424">
        <f t="shared" si="16"/>
        <v>149760</v>
      </c>
      <c r="AG85" s="405" t="s">
        <v>47</v>
      </c>
      <c r="AH85" s="395"/>
      <c r="AI85" s="405">
        <v>75</v>
      </c>
      <c r="AJ85" s="405" t="s">
        <v>1449</v>
      </c>
      <c r="AK85" s="405" t="s">
        <v>1070</v>
      </c>
      <c r="AL85" s="425">
        <v>21075</v>
      </c>
      <c r="AM85" s="405" t="s">
        <v>52</v>
      </c>
      <c r="AN85" s="405" t="s">
        <v>1082</v>
      </c>
      <c r="AO85" s="405"/>
      <c r="AP85" s="405" t="s">
        <v>92</v>
      </c>
      <c r="AQ85" s="405" t="s">
        <v>37</v>
      </c>
      <c r="AR85" s="405"/>
      <c r="AS85" s="369"/>
      <c r="AT85" s="363"/>
      <c r="AU85" s="403"/>
      <c r="AV85" s="402" t="str">
        <f>U85</f>
        <v>30390256H</v>
      </c>
      <c r="AW85" s="402" cm="1">
        <f t="array" ref="AW85">SUM(MID(0&amp;AV85,LARGE(INDEX(ISNUMBER(--MID(AV85,ROW($1:$8),1))*ROW($1:$8),),ROW($1:$8))+1,1)*10^ROW($1:$8)/10)</f>
        <v>30390256</v>
      </c>
      <c r="AX85" s="402" t="str">
        <f>VLOOKUP($AW85,'Item Master Data'!$A:$F,3,FALSE)</f>
        <v>T400H</v>
      </c>
      <c r="AY85" s="402">
        <f>VLOOKUP($AW85,'Item Master Data'!$A:$F,6,FALSE)</f>
        <v>400</v>
      </c>
      <c r="AZ85" s="402">
        <f>X85/BA85</f>
        <v>30</v>
      </c>
      <c r="BA85" s="402">
        <f>VLOOKUP(AW85,'Item Master Data'!$A:$G,7,FALSE)</f>
        <v>26</v>
      </c>
      <c r="BB85" s="402"/>
      <c r="BC85" s="402">
        <f>W85-AY85</f>
        <v>0</v>
      </c>
    </row>
    <row r="86" spans="1:55">
      <c r="A86" s="377"/>
      <c r="B86" s="376"/>
      <c r="C86" s="376"/>
      <c r="D86" s="405" t="s">
        <v>1066</v>
      </c>
      <c r="E86" s="364"/>
      <c r="F86" s="405" t="s">
        <v>1139</v>
      </c>
      <c r="G86" s="405">
        <v>2022</v>
      </c>
      <c r="H86" s="405">
        <v>5</v>
      </c>
      <c r="I86" s="416"/>
      <c r="J86" s="406">
        <v>44694</v>
      </c>
      <c r="K86" s="405" t="s">
        <v>4413</v>
      </c>
      <c r="L86" s="406" t="s">
        <v>1442</v>
      </c>
      <c r="M86" s="406">
        <v>44468</v>
      </c>
      <c r="N86" s="406" t="s">
        <v>1460</v>
      </c>
      <c r="O86" s="406"/>
      <c r="P86" s="406">
        <v>44685</v>
      </c>
      <c r="Q86" s="406">
        <v>44693</v>
      </c>
      <c r="R86" s="406">
        <v>44694</v>
      </c>
      <c r="S86" s="405" t="s">
        <v>1443</v>
      </c>
      <c r="T86" s="405">
        <v>60</v>
      </c>
      <c r="U86" s="405" t="s">
        <v>1455</v>
      </c>
      <c r="V86" s="405" t="s">
        <v>1447</v>
      </c>
      <c r="W86" s="407">
        <v>400</v>
      </c>
      <c r="X86" s="371">
        <v>780</v>
      </c>
      <c r="Y86" s="422">
        <f t="shared" si="15"/>
        <v>312000</v>
      </c>
      <c r="Z86" s="409">
        <v>0.48</v>
      </c>
      <c r="AA86" s="410">
        <f t="shared" si="11"/>
        <v>149760</v>
      </c>
      <c r="AB86" s="362"/>
      <c r="AC86" s="412">
        <v>0</v>
      </c>
      <c r="AD86" s="405"/>
      <c r="AE86" s="413"/>
      <c r="AF86" s="424">
        <f t="shared" si="16"/>
        <v>149760</v>
      </c>
      <c r="AG86" s="405" t="s">
        <v>47</v>
      </c>
      <c r="AH86" s="395"/>
      <c r="AI86" s="405">
        <v>75</v>
      </c>
      <c r="AJ86" s="405" t="s">
        <v>1449</v>
      </c>
      <c r="AK86" s="405" t="s">
        <v>1070</v>
      </c>
      <c r="AL86" s="425">
        <v>21075</v>
      </c>
      <c r="AM86" s="405" t="s">
        <v>52</v>
      </c>
      <c r="AN86" s="405" t="s">
        <v>1082</v>
      </c>
      <c r="AO86" s="405"/>
      <c r="AP86" s="405" t="s">
        <v>92</v>
      </c>
      <c r="AQ86" s="405" t="s">
        <v>37</v>
      </c>
      <c r="AR86" s="405"/>
      <c r="AS86" s="369"/>
      <c r="AT86" s="363"/>
      <c r="AU86" s="403"/>
      <c r="AV86" s="402" t="str">
        <f>U86</f>
        <v>30390256H</v>
      </c>
      <c r="AW86" s="402" cm="1">
        <f t="array" ref="AW86">SUM(MID(0&amp;AV86,LARGE(INDEX(ISNUMBER(--MID(AV86,ROW($1:$8),1))*ROW($1:$8),),ROW($1:$8))+1,1)*10^ROW($1:$8)/10)</f>
        <v>30390256</v>
      </c>
      <c r="AX86" s="402" t="str">
        <f>VLOOKUP($AW86,'Item Master Data'!$A:$F,3,FALSE)</f>
        <v>T400H</v>
      </c>
      <c r="AY86" s="402">
        <f>VLOOKUP($AW86,'Item Master Data'!$A:$F,6,FALSE)</f>
        <v>400</v>
      </c>
      <c r="AZ86" s="402">
        <f>X86/BA86</f>
        <v>30</v>
      </c>
      <c r="BA86" s="402">
        <f>VLOOKUP(AW86,'Item Master Data'!$A:$G,7,FALSE)</f>
        <v>26</v>
      </c>
      <c r="BB86" s="402"/>
      <c r="BC86" s="402">
        <f>W86-AY86</f>
        <v>0</v>
      </c>
    </row>
    <row r="87" spans="1:55">
      <c r="A87" s="377"/>
      <c r="B87" s="376"/>
      <c r="C87" s="376"/>
      <c r="D87" s="405" t="s">
        <v>1066</v>
      </c>
      <c r="E87" s="364"/>
      <c r="F87" s="405" t="s">
        <v>1139</v>
      </c>
      <c r="G87" s="405">
        <v>2022</v>
      </c>
      <c r="H87" s="405">
        <v>5</v>
      </c>
      <c r="I87" s="416"/>
      <c r="J87" s="406" t="s">
        <v>1082</v>
      </c>
      <c r="K87" s="405" t="s">
        <v>4413</v>
      </c>
      <c r="L87" s="406" t="s">
        <v>1442</v>
      </c>
      <c r="M87" s="406">
        <v>44468</v>
      </c>
      <c r="N87" s="406" t="s">
        <v>1460</v>
      </c>
      <c r="O87" s="406"/>
      <c r="P87" s="406">
        <v>44685</v>
      </c>
      <c r="Q87" s="406">
        <v>44694</v>
      </c>
      <c r="R87" s="406">
        <v>44695</v>
      </c>
      <c r="S87" s="405" t="s">
        <v>1443</v>
      </c>
      <c r="T87" s="405">
        <v>60</v>
      </c>
      <c r="U87" s="405" t="s">
        <v>1455</v>
      </c>
      <c r="V87" s="405" t="s">
        <v>1447</v>
      </c>
      <c r="W87" s="407">
        <v>400</v>
      </c>
      <c r="X87" s="371">
        <v>780</v>
      </c>
      <c r="Y87" s="422">
        <f t="shared" si="15"/>
        <v>312000</v>
      </c>
      <c r="Z87" s="409">
        <v>0.48</v>
      </c>
      <c r="AA87" s="410">
        <f t="shared" si="11"/>
        <v>149760</v>
      </c>
      <c r="AB87" s="362"/>
      <c r="AC87" s="412">
        <v>0</v>
      </c>
      <c r="AD87" s="405"/>
      <c r="AE87" s="413"/>
      <c r="AF87" s="424">
        <f t="shared" si="16"/>
        <v>149760</v>
      </c>
      <c r="AG87" s="405" t="s">
        <v>47</v>
      </c>
      <c r="AH87" s="395"/>
      <c r="AI87" s="405">
        <v>75</v>
      </c>
      <c r="AJ87" s="405" t="s">
        <v>1449</v>
      </c>
      <c r="AK87" s="405" t="s">
        <v>1070</v>
      </c>
      <c r="AL87" s="425">
        <v>21075</v>
      </c>
      <c r="AM87" s="405" t="s">
        <v>52</v>
      </c>
      <c r="AN87" s="405" t="s">
        <v>1082</v>
      </c>
      <c r="AO87" s="405"/>
      <c r="AP87" s="405" t="s">
        <v>92</v>
      </c>
      <c r="AQ87" s="405" t="s">
        <v>37</v>
      </c>
      <c r="AR87" s="405"/>
      <c r="AS87" s="369"/>
      <c r="AT87" s="363"/>
      <c r="AU87" s="403"/>
      <c r="AV87" s="402"/>
      <c r="AW87" s="402"/>
      <c r="AX87" s="402"/>
      <c r="AY87" s="402"/>
      <c r="AZ87" s="402"/>
      <c r="BA87" s="402"/>
      <c r="BB87" s="402"/>
      <c r="BC87" s="402"/>
    </row>
    <row r="88" spans="1:55">
      <c r="A88" s="377"/>
      <c r="B88" s="376"/>
      <c r="C88" s="376"/>
      <c r="D88" s="405" t="s">
        <v>1066</v>
      </c>
      <c r="E88" s="364"/>
      <c r="F88" s="405" t="s">
        <v>1139</v>
      </c>
      <c r="G88" s="405">
        <v>2022</v>
      </c>
      <c r="H88" s="405">
        <v>5</v>
      </c>
      <c r="I88" s="416"/>
      <c r="J88" s="406" t="s">
        <v>1082</v>
      </c>
      <c r="K88" s="405" t="s">
        <v>4413</v>
      </c>
      <c r="L88" s="406" t="s">
        <v>1442</v>
      </c>
      <c r="M88" s="406">
        <v>44468</v>
      </c>
      <c r="N88" s="406" t="s">
        <v>1460</v>
      </c>
      <c r="O88" s="406"/>
      <c r="P88" s="406">
        <v>44685</v>
      </c>
      <c r="Q88" s="406">
        <v>44694</v>
      </c>
      <c r="R88" s="406">
        <v>44695</v>
      </c>
      <c r="S88" s="405" t="s">
        <v>1443</v>
      </c>
      <c r="T88" s="405">
        <v>60</v>
      </c>
      <c r="U88" s="405" t="s">
        <v>1455</v>
      </c>
      <c r="V88" s="405" t="s">
        <v>1447</v>
      </c>
      <c r="W88" s="407">
        <v>400</v>
      </c>
      <c r="X88" s="371">
        <v>780</v>
      </c>
      <c r="Y88" s="422">
        <f t="shared" si="15"/>
        <v>312000</v>
      </c>
      <c r="Z88" s="409">
        <v>0.48</v>
      </c>
      <c r="AA88" s="410">
        <f t="shared" si="11"/>
        <v>149760</v>
      </c>
      <c r="AB88" s="362"/>
      <c r="AC88" s="412">
        <v>0</v>
      </c>
      <c r="AD88" s="405"/>
      <c r="AE88" s="413"/>
      <c r="AF88" s="424">
        <f t="shared" si="16"/>
        <v>149760</v>
      </c>
      <c r="AG88" s="405" t="s">
        <v>47</v>
      </c>
      <c r="AH88" s="395"/>
      <c r="AI88" s="405">
        <v>75</v>
      </c>
      <c r="AJ88" s="405" t="s">
        <v>1449</v>
      </c>
      <c r="AK88" s="405" t="s">
        <v>1070</v>
      </c>
      <c r="AL88" s="425">
        <v>21075</v>
      </c>
      <c r="AM88" s="405" t="s">
        <v>52</v>
      </c>
      <c r="AN88" s="405" t="s">
        <v>1082</v>
      </c>
      <c r="AO88" s="405"/>
      <c r="AP88" s="405" t="s">
        <v>92</v>
      </c>
      <c r="AQ88" s="405" t="s">
        <v>37</v>
      </c>
      <c r="AR88" s="405"/>
      <c r="AS88" s="369"/>
      <c r="AT88" s="363"/>
      <c r="AU88" s="403"/>
      <c r="AV88" s="402"/>
      <c r="AW88" s="402"/>
      <c r="AX88" s="402"/>
      <c r="AY88" s="402"/>
      <c r="AZ88" s="402"/>
      <c r="BA88" s="402"/>
      <c r="BB88" s="402"/>
      <c r="BC88" s="402"/>
    </row>
    <row r="89" spans="1:55">
      <c r="A89" s="377"/>
      <c r="B89" s="376"/>
      <c r="C89" s="376"/>
      <c r="D89" s="405" t="s">
        <v>1066</v>
      </c>
      <c r="E89" s="364"/>
      <c r="F89" s="405" t="s">
        <v>1139</v>
      </c>
      <c r="G89" s="405">
        <v>2022</v>
      </c>
      <c r="H89" s="405">
        <v>5</v>
      </c>
      <c r="I89" s="416"/>
      <c r="J89" s="406" t="s">
        <v>1082</v>
      </c>
      <c r="K89" s="405" t="s">
        <v>4413</v>
      </c>
      <c r="L89" s="406" t="s">
        <v>1442</v>
      </c>
      <c r="M89" s="406">
        <v>44468</v>
      </c>
      <c r="N89" s="406" t="s">
        <v>1460</v>
      </c>
      <c r="O89" s="406"/>
      <c r="P89" s="406">
        <v>44685</v>
      </c>
      <c r="Q89" s="406">
        <v>44694</v>
      </c>
      <c r="R89" s="406">
        <v>44695</v>
      </c>
      <c r="S89" s="405" t="s">
        <v>1443</v>
      </c>
      <c r="T89" s="405">
        <v>60</v>
      </c>
      <c r="U89" s="405" t="s">
        <v>1455</v>
      </c>
      <c r="V89" s="405" t="s">
        <v>1447</v>
      </c>
      <c r="W89" s="407">
        <v>400</v>
      </c>
      <c r="X89" s="371">
        <v>780</v>
      </c>
      <c r="Y89" s="422">
        <f t="shared" si="15"/>
        <v>312000</v>
      </c>
      <c r="Z89" s="409">
        <v>0.48</v>
      </c>
      <c r="AA89" s="410">
        <f t="shared" si="11"/>
        <v>149760</v>
      </c>
      <c r="AB89" s="362"/>
      <c r="AC89" s="412">
        <v>0</v>
      </c>
      <c r="AD89" s="405"/>
      <c r="AE89" s="413"/>
      <c r="AF89" s="424">
        <f t="shared" si="16"/>
        <v>149760</v>
      </c>
      <c r="AG89" s="405" t="s">
        <v>47</v>
      </c>
      <c r="AH89" s="395"/>
      <c r="AI89" s="405">
        <v>75</v>
      </c>
      <c r="AJ89" s="405" t="s">
        <v>1449</v>
      </c>
      <c r="AK89" s="405" t="s">
        <v>1070</v>
      </c>
      <c r="AL89" s="425">
        <v>21075</v>
      </c>
      <c r="AM89" s="405" t="s">
        <v>52</v>
      </c>
      <c r="AN89" s="405" t="s">
        <v>1082</v>
      </c>
      <c r="AO89" s="405"/>
      <c r="AP89" s="405" t="s">
        <v>92</v>
      </c>
      <c r="AQ89" s="405" t="s">
        <v>37</v>
      </c>
      <c r="AR89" s="405"/>
      <c r="AS89" s="369"/>
      <c r="AT89" s="363"/>
      <c r="AU89" s="403"/>
      <c r="AV89" s="402" t="str">
        <f>U89</f>
        <v>30390256H</v>
      </c>
      <c r="AW89" s="402" cm="1">
        <f t="array" ref="AW89">SUM(MID(0&amp;AV89,LARGE(INDEX(ISNUMBER(--MID(AV89,ROW($1:$8),1))*ROW($1:$8),),ROW($1:$8))+1,1)*10^ROW($1:$8)/10)</f>
        <v>30390256</v>
      </c>
      <c r="AX89" s="402" t="str">
        <f>VLOOKUP($AW89,'Item Master Data'!$A:$F,3,FALSE)</f>
        <v>T400H</v>
      </c>
      <c r="AY89" s="402">
        <f>VLOOKUP($AW89,'Item Master Data'!$A:$F,6,FALSE)</f>
        <v>400</v>
      </c>
      <c r="AZ89" s="402">
        <f>X89/BA89</f>
        <v>30</v>
      </c>
      <c r="BA89" s="402">
        <f>VLOOKUP(AW89,'Item Master Data'!$A:$G,7,FALSE)</f>
        <v>26</v>
      </c>
      <c r="BB89" s="402"/>
      <c r="BC89" s="402">
        <f>W89-AY89</f>
        <v>0</v>
      </c>
    </row>
    <row r="90" spans="1:55">
      <c r="A90" s="377"/>
      <c r="B90" s="376"/>
      <c r="C90" s="376"/>
      <c r="D90" s="405" t="s">
        <v>1066</v>
      </c>
      <c r="E90" s="364"/>
      <c r="F90" s="405" t="s">
        <v>1139</v>
      </c>
      <c r="G90" s="405">
        <v>2022</v>
      </c>
      <c r="H90" s="405">
        <v>5</v>
      </c>
      <c r="I90" s="416"/>
      <c r="J90" s="406" t="s">
        <v>1101</v>
      </c>
      <c r="K90" s="405" t="s">
        <v>4414</v>
      </c>
      <c r="L90" s="406" t="s">
        <v>1442</v>
      </c>
      <c r="M90" s="406">
        <v>44468</v>
      </c>
      <c r="N90" s="406" t="s">
        <v>1460</v>
      </c>
      <c r="O90" s="406"/>
      <c r="P90" s="406">
        <v>44678</v>
      </c>
      <c r="Q90" s="406">
        <v>44694</v>
      </c>
      <c r="R90" s="406">
        <v>44697</v>
      </c>
      <c r="S90" s="405" t="s">
        <v>1443</v>
      </c>
      <c r="T90" s="405">
        <v>60</v>
      </c>
      <c r="U90" s="405">
        <v>49406140</v>
      </c>
      <c r="V90" s="405" t="s">
        <v>1447</v>
      </c>
      <c r="W90" s="407">
        <v>400</v>
      </c>
      <c r="X90" s="371">
        <v>728</v>
      </c>
      <c r="Y90" s="422">
        <f t="shared" si="15"/>
        <v>291200</v>
      </c>
      <c r="Z90" s="409">
        <v>0.48</v>
      </c>
      <c r="AA90" s="410">
        <f t="shared" si="11"/>
        <v>139776</v>
      </c>
      <c r="AB90" s="362"/>
      <c r="AC90" s="412">
        <v>0</v>
      </c>
      <c r="AD90" s="405"/>
      <c r="AE90" s="413"/>
      <c r="AF90" s="424">
        <f t="shared" si="16"/>
        <v>139776</v>
      </c>
      <c r="AG90" s="405" t="s">
        <v>47</v>
      </c>
      <c r="AH90" s="395"/>
      <c r="AI90" s="405">
        <v>75</v>
      </c>
      <c r="AJ90" s="405" t="s">
        <v>1449</v>
      </c>
      <c r="AK90" s="405" t="s">
        <v>1070</v>
      </c>
      <c r="AL90" s="425">
        <v>21075</v>
      </c>
      <c r="AM90" s="405" t="s">
        <v>52</v>
      </c>
      <c r="AN90" s="405" t="s">
        <v>1101</v>
      </c>
      <c r="AO90" s="405"/>
      <c r="AP90" s="405"/>
      <c r="AQ90" s="405" t="s">
        <v>37</v>
      </c>
      <c r="AR90" s="405"/>
      <c r="AS90" s="369"/>
      <c r="AT90" s="363"/>
      <c r="AU90" s="403"/>
      <c r="AV90" s="402">
        <f>U90</f>
        <v>49406140</v>
      </c>
      <c r="AW90" s="402" cm="1">
        <f t="array" ref="AW90">SUM(MID(0&amp;AV90,LARGE(INDEX(ISNUMBER(--MID(AV90,ROW($1:$8),1))*ROW($1:$8),),ROW($1:$8))+1,1)*10^ROW($1:$8)/10)</f>
        <v>49406140</v>
      </c>
      <c r="AX90" s="402" t="e">
        <f>VLOOKUP($AW90,'Item Master Data'!$A:$F,3,FALSE)</f>
        <v>#N/A</v>
      </c>
      <c r="AY90" s="402" t="e">
        <f>VLOOKUP($AW90,'Item Master Data'!$A:$F,6,FALSE)</f>
        <v>#N/A</v>
      </c>
      <c r="AZ90" s="402" t="e">
        <f>X90/BA90</f>
        <v>#N/A</v>
      </c>
      <c r="BA90" s="402" t="e">
        <f>VLOOKUP(AW90,'Item Master Data'!$A:$G,7,FALSE)</f>
        <v>#N/A</v>
      </c>
      <c r="BB90" s="402"/>
      <c r="BC90" s="402" t="e">
        <f>W90-AY90</f>
        <v>#N/A</v>
      </c>
    </row>
    <row r="91" spans="1:55">
      <c r="A91" s="377"/>
      <c r="B91" s="376"/>
      <c r="C91" s="376"/>
      <c r="D91" s="405" t="s">
        <v>1066</v>
      </c>
      <c r="E91" s="364"/>
      <c r="F91" s="405" t="s">
        <v>1139</v>
      </c>
      <c r="G91" s="405">
        <v>2022</v>
      </c>
      <c r="H91" s="405">
        <v>5</v>
      </c>
      <c r="I91" s="416"/>
      <c r="J91" s="406" t="s">
        <v>1101</v>
      </c>
      <c r="K91" s="405" t="s">
        <v>4414</v>
      </c>
      <c r="L91" s="406" t="s">
        <v>1442</v>
      </c>
      <c r="M91" s="406">
        <v>44468</v>
      </c>
      <c r="N91" s="406" t="s">
        <v>1460</v>
      </c>
      <c r="O91" s="406"/>
      <c r="P91" s="406">
        <v>44678</v>
      </c>
      <c r="Q91" s="406">
        <v>44697</v>
      </c>
      <c r="R91" s="406">
        <v>44699</v>
      </c>
      <c r="S91" s="405" t="s">
        <v>1443</v>
      </c>
      <c r="T91" s="405">
        <v>60</v>
      </c>
      <c r="U91" s="405">
        <v>49406140</v>
      </c>
      <c r="V91" s="405" t="s">
        <v>1447</v>
      </c>
      <c r="W91" s="407">
        <v>400</v>
      </c>
      <c r="X91" s="371">
        <v>728</v>
      </c>
      <c r="Y91" s="422">
        <f t="shared" si="15"/>
        <v>291200</v>
      </c>
      <c r="Z91" s="409">
        <v>0.48</v>
      </c>
      <c r="AA91" s="410">
        <f t="shared" si="11"/>
        <v>139776</v>
      </c>
      <c r="AB91" s="362"/>
      <c r="AC91" s="412">
        <v>0</v>
      </c>
      <c r="AD91" s="405"/>
      <c r="AE91" s="413"/>
      <c r="AF91" s="424">
        <f t="shared" si="16"/>
        <v>139776</v>
      </c>
      <c r="AG91" s="405" t="s">
        <v>47</v>
      </c>
      <c r="AH91" s="395"/>
      <c r="AI91" s="405">
        <v>75</v>
      </c>
      <c r="AJ91" s="405" t="s">
        <v>1449</v>
      </c>
      <c r="AK91" s="405" t="s">
        <v>1070</v>
      </c>
      <c r="AL91" s="425">
        <v>21075</v>
      </c>
      <c r="AM91" s="405" t="s">
        <v>52</v>
      </c>
      <c r="AN91" s="405" t="s">
        <v>1101</v>
      </c>
      <c r="AO91" s="405"/>
      <c r="AP91" s="405"/>
      <c r="AQ91" s="405" t="s">
        <v>37</v>
      </c>
      <c r="AR91" s="405"/>
      <c r="AS91" s="369"/>
      <c r="AT91" s="363"/>
      <c r="AU91" s="403"/>
      <c r="AV91" s="402">
        <f>U91</f>
        <v>49406140</v>
      </c>
      <c r="AW91" s="402" cm="1">
        <f t="array" ref="AW91">SUM(MID(0&amp;AV91,LARGE(INDEX(ISNUMBER(--MID(AV91,ROW($1:$8),1))*ROW($1:$8),),ROW($1:$8))+1,1)*10^ROW($1:$8)/10)</f>
        <v>49406140</v>
      </c>
      <c r="AX91" s="402" t="e">
        <f>VLOOKUP($AW91,'Item Master Data'!$A:$F,3,FALSE)</f>
        <v>#N/A</v>
      </c>
      <c r="AY91" s="402" t="e">
        <f>VLOOKUP($AW91,'Item Master Data'!$A:$F,6,FALSE)</f>
        <v>#N/A</v>
      </c>
      <c r="AZ91" s="402" t="e">
        <f>X91/BA91</f>
        <v>#N/A</v>
      </c>
      <c r="BA91" s="402" t="e">
        <f>VLOOKUP(AW91,'Item Master Data'!$A:$G,7,FALSE)</f>
        <v>#N/A</v>
      </c>
      <c r="BB91" s="402"/>
      <c r="BC91" s="402" t="e">
        <f>W91-AY91</f>
        <v>#N/A</v>
      </c>
    </row>
    <row r="92" spans="1:55">
      <c r="A92" s="377"/>
      <c r="B92" s="376"/>
      <c r="C92" s="376"/>
      <c r="D92" s="405" t="s">
        <v>1066</v>
      </c>
      <c r="E92" s="364"/>
      <c r="F92" s="405" t="s">
        <v>1139</v>
      </c>
      <c r="G92" s="405">
        <v>2022</v>
      </c>
      <c r="H92" s="405">
        <v>5</v>
      </c>
      <c r="I92" s="416"/>
      <c r="J92" s="406" t="s">
        <v>1101</v>
      </c>
      <c r="K92" s="405" t="s">
        <v>4414</v>
      </c>
      <c r="L92" s="406" t="s">
        <v>1442</v>
      </c>
      <c r="M92" s="406">
        <v>44468</v>
      </c>
      <c r="N92" s="406" t="s">
        <v>1460</v>
      </c>
      <c r="O92" s="406"/>
      <c r="P92" s="406">
        <v>44678</v>
      </c>
      <c r="Q92" s="406">
        <v>44697</v>
      </c>
      <c r="R92" s="406">
        <v>44699</v>
      </c>
      <c r="S92" s="405" t="s">
        <v>1443</v>
      </c>
      <c r="T92" s="405">
        <v>60</v>
      </c>
      <c r="U92" s="405">
        <v>49406140</v>
      </c>
      <c r="V92" s="405" t="s">
        <v>1447</v>
      </c>
      <c r="W92" s="407">
        <v>400</v>
      </c>
      <c r="X92" s="371">
        <v>728</v>
      </c>
      <c r="Y92" s="422">
        <f t="shared" si="15"/>
        <v>291200</v>
      </c>
      <c r="Z92" s="409">
        <v>0.48</v>
      </c>
      <c r="AA92" s="410">
        <f t="shared" si="11"/>
        <v>139776</v>
      </c>
      <c r="AB92" s="362"/>
      <c r="AC92" s="412">
        <v>0</v>
      </c>
      <c r="AD92" s="405"/>
      <c r="AE92" s="413"/>
      <c r="AF92" s="424">
        <f t="shared" si="16"/>
        <v>139776</v>
      </c>
      <c r="AG92" s="405" t="s">
        <v>47</v>
      </c>
      <c r="AH92" s="395"/>
      <c r="AI92" s="405">
        <v>75</v>
      </c>
      <c r="AJ92" s="405" t="s">
        <v>1449</v>
      </c>
      <c r="AK92" s="405" t="s">
        <v>1070</v>
      </c>
      <c r="AL92" s="425">
        <v>21075</v>
      </c>
      <c r="AM92" s="405" t="s">
        <v>52</v>
      </c>
      <c r="AN92" s="405" t="s">
        <v>1101</v>
      </c>
      <c r="AO92" s="405"/>
      <c r="AP92" s="405"/>
      <c r="AQ92" s="405" t="s">
        <v>37</v>
      </c>
      <c r="AR92" s="405"/>
      <c r="AS92" s="369"/>
      <c r="AT92" s="363"/>
      <c r="AU92" s="403"/>
      <c r="AV92" s="402"/>
      <c r="AW92" s="402"/>
      <c r="AX92" s="402"/>
      <c r="AY92" s="402"/>
      <c r="AZ92" s="402"/>
      <c r="BA92" s="402"/>
      <c r="BB92" s="402"/>
      <c r="BC92" s="402"/>
    </row>
    <row r="93" spans="1:55">
      <c r="A93" s="377"/>
      <c r="B93" s="376"/>
      <c r="C93" s="376"/>
      <c r="D93" s="405" t="s">
        <v>1066</v>
      </c>
      <c r="E93" s="364"/>
      <c r="F93" s="405" t="s">
        <v>1139</v>
      </c>
      <c r="G93" s="405">
        <v>2022</v>
      </c>
      <c r="H93" s="405">
        <v>5</v>
      </c>
      <c r="I93" s="416"/>
      <c r="J93" s="406" t="s">
        <v>1101</v>
      </c>
      <c r="K93" s="405" t="s">
        <v>4414</v>
      </c>
      <c r="L93" s="406" t="s">
        <v>1442</v>
      </c>
      <c r="M93" s="406">
        <v>44468</v>
      </c>
      <c r="N93" s="406" t="s">
        <v>1460</v>
      </c>
      <c r="O93" s="406"/>
      <c r="P93" s="406">
        <v>44678</v>
      </c>
      <c r="Q93" s="406">
        <v>44697</v>
      </c>
      <c r="R93" s="406">
        <v>44699</v>
      </c>
      <c r="S93" s="405" t="s">
        <v>1443</v>
      </c>
      <c r="T93" s="405">
        <v>60</v>
      </c>
      <c r="U93" s="405">
        <v>49406140</v>
      </c>
      <c r="V93" s="405" t="s">
        <v>1447</v>
      </c>
      <c r="W93" s="407">
        <v>400</v>
      </c>
      <c r="X93" s="371">
        <v>416</v>
      </c>
      <c r="Y93" s="422">
        <f t="shared" si="15"/>
        <v>166400</v>
      </c>
      <c r="Z93" s="409">
        <v>0.48</v>
      </c>
      <c r="AA93" s="410">
        <f t="shared" si="11"/>
        <v>79872</v>
      </c>
      <c r="AB93" s="362"/>
      <c r="AC93" s="412">
        <v>0</v>
      </c>
      <c r="AD93" s="405"/>
      <c r="AE93" s="413"/>
      <c r="AF93" s="424">
        <f t="shared" si="16"/>
        <v>79872</v>
      </c>
      <c r="AG93" s="405" t="s">
        <v>47</v>
      </c>
      <c r="AH93" s="395"/>
      <c r="AI93" s="405">
        <v>75</v>
      </c>
      <c r="AJ93" s="405" t="s">
        <v>1449</v>
      </c>
      <c r="AK93" s="405" t="s">
        <v>1070</v>
      </c>
      <c r="AL93" s="425">
        <v>21075</v>
      </c>
      <c r="AM93" s="405" t="s">
        <v>52</v>
      </c>
      <c r="AN93" s="405" t="s">
        <v>1101</v>
      </c>
      <c r="AO93" s="405"/>
      <c r="AP93" s="405"/>
      <c r="AQ93" s="405" t="s">
        <v>37</v>
      </c>
      <c r="AR93" s="405"/>
      <c r="AS93" s="369"/>
      <c r="AT93" s="363"/>
      <c r="AU93" s="403"/>
      <c r="AV93" s="402">
        <f>U93</f>
        <v>49406140</v>
      </c>
      <c r="AW93" s="402" cm="1">
        <f t="array" ref="AW93">SUM(MID(0&amp;AV93,LARGE(INDEX(ISNUMBER(--MID(AV93,ROW($1:$8),1))*ROW($1:$8),),ROW($1:$8))+1,1)*10^ROW($1:$8)/10)</f>
        <v>49406140</v>
      </c>
      <c r="AX93" s="402" t="e">
        <f>VLOOKUP($AW93,'Item Master Data'!$A:$F,3,FALSE)</f>
        <v>#N/A</v>
      </c>
      <c r="AY93" s="402" t="e">
        <f>VLOOKUP($AW93,'Item Master Data'!$A:$F,6,FALSE)</f>
        <v>#N/A</v>
      </c>
      <c r="AZ93" s="402" t="e">
        <f>X93/BA93</f>
        <v>#N/A</v>
      </c>
      <c r="BA93" s="402" t="e">
        <f>VLOOKUP(AW93,'Item Master Data'!$A:$G,7,FALSE)</f>
        <v>#N/A</v>
      </c>
      <c r="BB93" s="402"/>
      <c r="BC93" s="402" t="e">
        <f>W93-AY93</f>
        <v>#N/A</v>
      </c>
    </row>
    <row r="94" spans="1:55">
      <c r="A94" s="377"/>
      <c r="B94" s="376"/>
      <c r="C94" s="376"/>
      <c r="D94" s="405" t="s">
        <v>1066</v>
      </c>
      <c r="E94" s="364"/>
      <c r="F94" s="405" t="s">
        <v>1139</v>
      </c>
      <c r="G94" s="405">
        <v>2022</v>
      </c>
      <c r="H94" s="405">
        <v>5</v>
      </c>
      <c r="I94" s="416"/>
      <c r="J94" s="406" t="s">
        <v>1101</v>
      </c>
      <c r="K94" s="405" t="s">
        <v>4414</v>
      </c>
      <c r="L94" s="406" t="s">
        <v>1442</v>
      </c>
      <c r="M94" s="406">
        <v>44468</v>
      </c>
      <c r="N94" s="406" t="s">
        <v>1460</v>
      </c>
      <c r="O94" s="406"/>
      <c r="P94" s="406">
        <v>44678</v>
      </c>
      <c r="Q94" s="406">
        <v>44697</v>
      </c>
      <c r="R94" s="406">
        <v>44699</v>
      </c>
      <c r="S94" s="405" t="s">
        <v>1443</v>
      </c>
      <c r="T94" s="405">
        <v>60</v>
      </c>
      <c r="U94" s="405">
        <v>49406140</v>
      </c>
      <c r="V94" s="405" t="s">
        <v>1447</v>
      </c>
      <c r="W94" s="407">
        <v>400</v>
      </c>
      <c r="X94" s="371">
        <v>728</v>
      </c>
      <c r="Y94" s="422">
        <f t="shared" si="15"/>
        <v>291200</v>
      </c>
      <c r="Z94" s="409">
        <v>0.48</v>
      </c>
      <c r="AA94" s="410">
        <f t="shared" si="11"/>
        <v>139776</v>
      </c>
      <c r="AB94" s="362"/>
      <c r="AC94" s="412">
        <v>0</v>
      </c>
      <c r="AD94" s="405"/>
      <c r="AE94" s="413"/>
      <c r="AF94" s="424">
        <f t="shared" si="16"/>
        <v>139776</v>
      </c>
      <c r="AG94" s="405" t="s">
        <v>47</v>
      </c>
      <c r="AH94" s="395"/>
      <c r="AI94" s="405">
        <v>75</v>
      </c>
      <c r="AJ94" s="405" t="s">
        <v>1449</v>
      </c>
      <c r="AK94" s="405" t="s">
        <v>1070</v>
      </c>
      <c r="AL94" s="425">
        <v>21075</v>
      </c>
      <c r="AM94" s="405" t="s">
        <v>52</v>
      </c>
      <c r="AN94" s="405" t="s">
        <v>1101</v>
      </c>
      <c r="AO94" s="405"/>
      <c r="AP94" s="405"/>
      <c r="AQ94" s="405" t="s">
        <v>37</v>
      </c>
      <c r="AR94" s="405"/>
      <c r="AS94" s="369"/>
      <c r="AT94" s="363"/>
      <c r="AU94" s="403"/>
      <c r="AV94" s="402"/>
      <c r="AW94" s="402"/>
      <c r="AX94" s="402"/>
      <c r="AY94" s="402"/>
      <c r="AZ94" s="402"/>
      <c r="BA94" s="402"/>
      <c r="BB94" s="402"/>
      <c r="BC94" s="402"/>
    </row>
    <row r="95" spans="1:55">
      <c r="A95" s="377"/>
      <c r="B95" s="376"/>
      <c r="C95" s="376"/>
      <c r="D95" s="405" t="s">
        <v>1066</v>
      </c>
      <c r="E95" s="364"/>
      <c r="F95" s="405" t="s">
        <v>1139</v>
      </c>
      <c r="G95" s="405">
        <v>2022</v>
      </c>
      <c r="H95" s="405">
        <v>5</v>
      </c>
      <c r="I95" s="416"/>
      <c r="J95" s="406" t="s">
        <v>1101</v>
      </c>
      <c r="K95" s="405" t="s">
        <v>4414</v>
      </c>
      <c r="L95" s="406" t="s">
        <v>1442</v>
      </c>
      <c r="M95" s="406">
        <v>44468</v>
      </c>
      <c r="N95" s="406" t="s">
        <v>1460</v>
      </c>
      <c r="O95" s="406"/>
      <c r="P95" s="406">
        <v>44678</v>
      </c>
      <c r="Q95" s="406"/>
      <c r="R95" s="406"/>
      <c r="S95" s="405" t="s">
        <v>1443</v>
      </c>
      <c r="T95" s="405">
        <v>60</v>
      </c>
      <c r="U95" s="405">
        <v>49406140</v>
      </c>
      <c r="V95" s="405" t="s">
        <v>1447</v>
      </c>
      <c r="W95" s="407">
        <v>400</v>
      </c>
      <c r="X95" s="371">
        <f>29328-18720-3328</f>
        <v>7280</v>
      </c>
      <c r="Y95" s="422">
        <f t="shared" si="15"/>
        <v>2912000</v>
      </c>
      <c r="Z95" s="409">
        <v>0.48</v>
      </c>
      <c r="AA95" s="410">
        <f t="shared" si="11"/>
        <v>1397760</v>
      </c>
      <c r="AB95" s="362"/>
      <c r="AC95" s="412">
        <v>0</v>
      </c>
      <c r="AD95" s="405"/>
      <c r="AE95" s="413"/>
      <c r="AF95" s="424">
        <f t="shared" si="16"/>
        <v>1397760</v>
      </c>
      <c r="AG95" s="405" t="s">
        <v>47</v>
      </c>
      <c r="AH95" s="395"/>
      <c r="AI95" s="405">
        <v>75</v>
      </c>
      <c r="AJ95" s="405" t="s">
        <v>1449</v>
      </c>
      <c r="AK95" s="405" t="s">
        <v>1070</v>
      </c>
      <c r="AL95" s="425">
        <v>21075</v>
      </c>
      <c r="AM95" s="405" t="s">
        <v>52</v>
      </c>
      <c r="AN95" s="405" t="s">
        <v>1101</v>
      </c>
      <c r="AO95" s="405"/>
      <c r="AP95" s="405"/>
      <c r="AQ95" s="405" t="s">
        <v>37</v>
      </c>
      <c r="AR95" s="405"/>
      <c r="AS95" s="369"/>
      <c r="AT95" s="363"/>
      <c r="AU95" s="403"/>
      <c r="AV95" s="402">
        <f>U95</f>
        <v>49406140</v>
      </c>
      <c r="AW95" s="402" cm="1">
        <f t="array" ref="AW95">SUM(MID(0&amp;AV95,LARGE(INDEX(ISNUMBER(--MID(AV95,ROW($1:$8),1))*ROW($1:$8),),ROW($1:$8))+1,1)*10^ROW($1:$8)/10)</f>
        <v>49406140</v>
      </c>
      <c r="AX95" s="402" t="e">
        <f>VLOOKUP($AW95,'Item Master Data'!$A:$F,3,FALSE)</f>
        <v>#N/A</v>
      </c>
      <c r="AY95" s="402" t="e">
        <f>VLOOKUP($AW95,'Item Master Data'!$A:$F,6,FALSE)</f>
        <v>#N/A</v>
      </c>
      <c r="AZ95" s="402" t="e">
        <f>X95/BA95</f>
        <v>#N/A</v>
      </c>
      <c r="BA95" s="402" t="e">
        <f>VLOOKUP(AW95,'Item Master Data'!$A:$G,7,FALSE)</f>
        <v>#N/A</v>
      </c>
      <c r="BB95" s="402"/>
      <c r="BC95" s="402" t="e">
        <f>W95-AY95</f>
        <v>#N/A</v>
      </c>
    </row>
    <row r="96" spans="1:55">
      <c r="A96" s="377"/>
      <c r="B96" s="376"/>
      <c r="C96" s="376"/>
      <c r="D96" s="405" t="s">
        <v>1066</v>
      </c>
      <c r="E96" s="364" t="s">
        <v>1114</v>
      </c>
      <c r="F96" s="405" t="s">
        <v>1139</v>
      </c>
      <c r="G96" s="405">
        <v>2022</v>
      </c>
      <c r="H96" s="405">
        <v>5</v>
      </c>
      <c r="I96" s="416">
        <v>128579</v>
      </c>
      <c r="J96" s="406">
        <v>44686</v>
      </c>
      <c r="K96" s="405" t="s">
        <v>4411</v>
      </c>
      <c r="L96" s="406" t="s">
        <v>1442</v>
      </c>
      <c r="M96" s="406">
        <v>44468</v>
      </c>
      <c r="N96" s="406" t="s">
        <v>1460</v>
      </c>
      <c r="O96" s="406"/>
      <c r="P96" s="406">
        <v>44678</v>
      </c>
      <c r="Q96" s="406">
        <v>44684</v>
      </c>
      <c r="R96" s="406">
        <v>44686</v>
      </c>
      <c r="S96" s="405" t="s">
        <v>1443</v>
      </c>
      <c r="T96" s="405">
        <v>60</v>
      </c>
      <c r="U96" s="405" t="s">
        <v>1455</v>
      </c>
      <c r="V96" s="405" t="s">
        <v>1447</v>
      </c>
      <c r="W96" s="407">
        <v>400</v>
      </c>
      <c r="X96" s="371">
        <v>624</v>
      </c>
      <c r="Y96" s="422">
        <f t="shared" si="15"/>
        <v>249600</v>
      </c>
      <c r="Z96" s="409">
        <v>0.48</v>
      </c>
      <c r="AA96" s="410">
        <f t="shared" si="11"/>
        <v>119808</v>
      </c>
      <c r="AB96" s="362"/>
      <c r="AC96" s="412">
        <v>0</v>
      </c>
      <c r="AD96" s="405"/>
      <c r="AE96" s="413"/>
      <c r="AF96" s="424">
        <f t="shared" si="16"/>
        <v>119808</v>
      </c>
      <c r="AG96" s="405" t="s">
        <v>47</v>
      </c>
      <c r="AH96" s="395"/>
      <c r="AI96" s="405">
        <v>75</v>
      </c>
      <c r="AJ96" s="405" t="s">
        <v>1449</v>
      </c>
      <c r="AK96" s="405" t="s">
        <v>1070</v>
      </c>
      <c r="AL96" s="425">
        <v>21075</v>
      </c>
      <c r="AM96" s="405" t="s">
        <v>52</v>
      </c>
      <c r="AN96" s="405" t="s">
        <v>50</v>
      </c>
      <c r="AO96" s="405"/>
      <c r="AP96" s="405" t="s">
        <v>92</v>
      </c>
      <c r="AQ96" s="405" t="s">
        <v>37</v>
      </c>
      <c r="AR96" s="405"/>
      <c r="AS96" s="369"/>
      <c r="AT96" s="363"/>
      <c r="AU96" s="403"/>
      <c r="AV96" s="402" t="str">
        <f>U96</f>
        <v>30390256H</v>
      </c>
      <c r="AW96" s="402" cm="1">
        <f t="array" ref="AW96">SUM(MID(0&amp;AV96,LARGE(INDEX(ISNUMBER(--MID(AV96,ROW($1:$8),1))*ROW($1:$8),),ROW($1:$8))+1,1)*10^ROW($1:$8)/10)</f>
        <v>30390256</v>
      </c>
      <c r="AX96" s="402" t="str">
        <f>VLOOKUP($AW96,'Item Master Data'!$A:$F,3,FALSE)</f>
        <v>T400H</v>
      </c>
      <c r="AY96" s="402">
        <f>VLOOKUP($AW96,'Item Master Data'!$A:$F,6,FALSE)</f>
        <v>400</v>
      </c>
      <c r="AZ96" s="402">
        <f>X96/BA96</f>
        <v>24</v>
      </c>
      <c r="BA96" s="402">
        <f>VLOOKUP(AW96,'Item Master Data'!$A:$G,7,FALSE)</f>
        <v>26</v>
      </c>
      <c r="BB96" s="402"/>
      <c r="BC96" s="402">
        <f>W96-AY96</f>
        <v>0</v>
      </c>
    </row>
    <row r="97" spans="1:55">
      <c r="A97" s="377"/>
      <c r="B97" s="376"/>
      <c r="C97" s="376"/>
      <c r="D97" s="405" t="s">
        <v>1066</v>
      </c>
      <c r="E97" s="364" t="s">
        <v>1114</v>
      </c>
      <c r="F97" s="405" t="s">
        <v>1139</v>
      </c>
      <c r="G97" s="405">
        <v>2022</v>
      </c>
      <c r="H97" s="405">
        <v>5</v>
      </c>
      <c r="I97" s="416">
        <v>128580</v>
      </c>
      <c r="J97" s="406">
        <v>44686</v>
      </c>
      <c r="K97" s="405" t="s">
        <v>4411</v>
      </c>
      <c r="L97" s="406" t="s">
        <v>1442</v>
      </c>
      <c r="M97" s="406">
        <v>44468</v>
      </c>
      <c r="N97" s="406" t="s">
        <v>1460</v>
      </c>
      <c r="O97" s="406"/>
      <c r="P97" s="406">
        <v>44678</v>
      </c>
      <c r="Q97" s="406">
        <v>44684</v>
      </c>
      <c r="R97" s="406">
        <v>44686</v>
      </c>
      <c r="S97" s="405" t="s">
        <v>1443</v>
      </c>
      <c r="T97" s="405">
        <v>60</v>
      </c>
      <c r="U97" s="405" t="s">
        <v>1455</v>
      </c>
      <c r="V97" s="405" t="s">
        <v>1447</v>
      </c>
      <c r="W97" s="407">
        <v>400</v>
      </c>
      <c r="X97" s="371">
        <v>624</v>
      </c>
      <c r="Y97" s="422">
        <f t="shared" si="15"/>
        <v>249600</v>
      </c>
      <c r="Z97" s="409">
        <v>0.48</v>
      </c>
      <c r="AA97" s="410">
        <f t="shared" si="11"/>
        <v>119808</v>
      </c>
      <c r="AB97" s="362"/>
      <c r="AC97" s="412">
        <v>0</v>
      </c>
      <c r="AD97" s="405"/>
      <c r="AE97" s="413"/>
      <c r="AF97" s="424">
        <f t="shared" si="16"/>
        <v>119808</v>
      </c>
      <c r="AG97" s="405" t="s">
        <v>47</v>
      </c>
      <c r="AH97" s="395"/>
      <c r="AI97" s="405">
        <v>75</v>
      </c>
      <c r="AJ97" s="405" t="s">
        <v>1449</v>
      </c>
      <c r="AK97" s="405" t="s">
        <v>1070</v>
      </c>
      <c r="AL97" s="425">
        <v>21075</v>
      </c>
      <c r="AM97" s="405" t="s">
        <v>52</v>
      </c>
      <c r="AN97" s="405" t="s">
        <v>50</v>
      </c>
      <c r="AO97" s="405"/>
      <c r="AP97" s="405" t="s">
        <v>92</v>
      </c>
      <c r="AQ97" s="405" t="s">
        <v>37</v>
      </c>
      <c r="AR97" s="405"/>
      <c r="AS97" s="369"/>
      <c r="AT97" s="363"/>
      <c r="AU97" s="403"/>
      <c r="AV97" s="402"/>
      <c r="AW97" s="402"/>
      <c r="AX97" s="402"/>
      <c r="AY97" s="402"/>
      <c r="AZ97" s="402"/>
      <c r="BA97" s="402"/>
      <c r="BB97" s="402"/>
      <c r="BC97" s="402"/>
    </row>
    <row r="98" spans="1:55">
      <c r="A98" s="377"/>
      <c r="B98" s="376"/>
      <c r="C98" s="376"/>
      <c r="D98" s="405" t="s">
        <v>1066</v>
      </c>
      <c r="E98" s="364" t="s">
        <v>1114</v>
      </c>
      <c r="F98" s="405" t="s">
        <v>1139</v>
      </c>
      <c r="G98" s="405">
        <v>2022</v>
      </c>
      <c r="H98" s="405">
        <v>5</v>
      </c>
      <c r="I98" s="416">
        <v>128581</v>
      </c>
      <c r="J98" s="406">
        <v>44686</v>
      </c>
      <c r="K98" s="405" t="s">
        <v>4411</v>
      </c>
      <c r="L98" s="406" t="s">
        <v>1442</v>
      </c>
      <c r="M98" s="406">
        <v>44468</v>
      </c>
      <c r="N98" s="406" t="s">
        <v>1460</v>
      </c>
      <c r="O98" s="406"/>
      <c r="P98" s="406">
        <v>44678</v>
      </c>
      <c r="Q98" s="406">
        <v>44684</v>
      </c>
      <c r="R98" s="406">
        <v>44686</v>
      </c>
      <c r="S98" s="405" t="s">
        <v>1443</v>
      </c>
      <c r="T98" s="405">
        <v>60</v>
      </c>
      <c r="U98" s="405" t="s">
        <v>1455</v>
      </c>
      <c r="V98" s="405" t="s">
        <v>1447</v>
      </c>
      <c r="W98" s="407">
        <v>400</v>
      </c>
      <c r="X98" s="371">
        <v>624</v>
      </c>
      <c r="Y98" s="422">
        <f t="shared" si="15"/>
        <v>249600</v>
      </c>
      <c r="Z98" s="409">
        <v>0.48</v>
      </c>
      <c r="AA98" s="410">
        <f t="shared" si="11"/>
        <v>119808</v>
      </c>
      <c r="AB98" s="362"/>
      <c r="AC98" s="412">
        <v>0</v>
      </c>
      <c r="AD98" s="405"/>
      <c r="AE98" s="413"/>
      <c r="AF98" s="424">
        <f t="shared" si="16"/>
        <v>119808</v>
      </c>
      <c r="AG98" s="405" t="s">
        <v>47</v>
      </c>
      <c r="AH98" s="395"/>
      <c r="AI98" s="405">
        <v>75</v>
      </c>
      <c r="AJ98" s="405" t="s">
        <v>1449</v>
      </c>
      <c r="AK98" s="405" t="s">
        <v>1070</v>
      </c>
      <c r="AL98" s="425">
        <v>21075</v>
      </c>
      <c r="AM98" s="405" t="s">
        <v>52</v>
      </c>
      <c r="AN98" s="405" t="s">
        <v>50</v>
      </c>
      <c r="AO98" s="405"/>
      <c r="AP98" s="405" t="s">
        <v>92</v>
      </c>
      <c r="AQ98" s="405" t="s">
        <v>37</v>
      </c>
      <c r="AR98" s="405"/>
      <c r="AS98" s="369"/>
      <c r="AT98" s="363"/>
      <c r="AU98" s="403"/>
      <c r="AV98" s="402" t="str">
        <f>U98</f>
        <v>30390256H</v>
      </c>
      <c r="AW98" s="402" cm="1">
        <f t="array" ref="AW98">SUM(MID(0&amp;AV98,LARGE(INDEX(ISNUMBER(--MID(AV98,ROW($1:$8),1))*ROW($1:$8),),ROW($1:$8))+1,1)*10^ROW($1:$8)/10)</f>
        <v>30390256</v>
      </c>
      <c r="AX98" s="402" t="str">
        <f>VLOOKUP($AW98,'Item Master Data'!$A:$F,3,FALSE)</f>
        <v>T400H</v>
      </c>
      <c r="AY98" s="402">
        <f>VLOOKUP($AW98,'Item Master Data'!$A:$F,6,FALSE)</f>
        <v>400</v>
      </c>
      <c r="AZ98" s="402">
        <f>X98/BA98</f>
        <v>24</v>
      </c>
      <c r="BA98" s="402">
        <f>VLOOKUP(AW98,'Item Master Data'!$A:$G,7,FALSE)</f>
        <v>26</v>
      </c>
      <c r="BB98" s="402"/>
      <c r="BC98" s="402">
        <f>W98-AY98</f>
        <v>0</v>
      </c>
    </row>
    <row r="99" spans="1:55">
      <c r="A99" s="377"/>
      <c r="B99" s="376"/>
      <c r="C99" s="376"/>
      <c r="D99" s="405" t="s">
        <v>1066</v>
      </c>
      <c r="E99" s="364" t="s">
        <v>1114</v>
      </c>
      <c r="F99" s="405" t="s">
        <v>1139</v>
      </c>
      <c r="G99" s="405">
        <v>2022</v>
      </c>
      <c r="H99" s="405">
        <v>5</v>
      </c>
      <c r="I99" s="416">
        <v>128582</v>
      </c>
      <c r="J99" s="406">
        <v>44686</v>
      </c>
      <c r="K99" s="405" t="s">
        <v>4411</v>
      </c>
      <c r="L99" s="406" t="s">
        <v>1442</v>
      </c>
      <c r="M99" s="406">
        <v>44468</v>
      </c>
      <c r="N99" s="406" t="s">
        <v>1460</v>
      </c>
      <c r="O99" s="406"/>
      <c r="P99" s="406">
        <v>44678</v>
      </c>
      <c r="Q99" s="406">
        <v>44684</v>
      </c>
      <c r="R99" s="406">
        <v>44686</v>
      </c>
      <c r="S99" s="405" t="s">
        <v>1443</v>
      </c>
      <c r="T99" s="405">
        <v>60</v>
      </c>
      <c r="U99" s="405" t="s">
        <v>1455</v>
      </c>
      <c r="V99" s="405" t="s">
        <v>1447</v>
      </c>
      <c r="W99" s="407">
        <v>400</v>
      </c>
      <c r="X99" s="371">
        <v>624</v>
      </c>
      <c r="Y99" s="422">
        <f t="shared" si="15"/>
        <v>249600</v>
      </c>
      <c r="Z99" s="409">
        <v>0.48</v>
      </c>
      <c r="AA99" s="410">
        <f t="shared" si="11"/>
        <v>119808</v>
      </c>
      <c r="AB99" s="362"/>
      <c r="AC99" s="412">
        <v>0</v>
      </c>
      <c r="AD99" s="405"/>
      <c r="AE99" s="413"/>
      <c r="AF99" s="424">
        <f t="shared" si="16"/>
        <v>119808</v>
      </c>
      <c r="AG99" s="405" t="s">
        <v>47</v>
      </c>
      <c r="AH99" s="395"/>
      <c r="AI99" s="405">
        <v>75</v>
      </c>
      <c r="AJ99" s="405" t="s">
        <v>1449</v>
      </c>
      <c r="AK99" s="405" t="s">
        <v>1070</v>
      </c>
      <c r="AL99" s="425">
        <v>21075</v>
      </c>
      <c r="AM99" s="405" t="s">
        <v>52</v>
      </c>
      <c r="AN99" s="405" t="s">
        <v>50</v>
      </c>
      <c r="AO99" s="405"/>
      <c r="AP99" s="405" t="s">
        <v>92</v>
      </c>
      <c r="AQ99" s="405" t="s">
        <v>37</v>
      </c>
      <c r="AR99" s="405"/>
      <c r="AS99" s="369"/>
      <c r="AT99" s="363"/>
      <c r="AU99" s="403"/>
      <c r="AV99" s="402" t="str">
        <f>U99</f>
        <v>30390256H</v>
      </c>
      <c r="AW99" s="402" cm="1">
        <f t="array" ref="AW99">SUM(MID(0&amp;AV99,LARGE(INDEX(ISNUMBER(--MID(AV99,ROW($1:$8),1))*ROW($1:$8),),ROW($1:$8))+1,1)*10^ROW($1:$8)/10)</f>
        <v>30390256</v>
      </c>
      <c r="AX99" s="402" t="str">
        <f>VLOOKUP($AW99,'Item Master Data'!$A:$F,3,FALSE)</f>
        <v>T400H</v>
      </c>
      <c r="AY99" s="402">
        <f>VLOOKUP($AW99,'Item Master Data'!$A:$F,6,FALSE)</f>
        <v>400</v>
      </c>
      <c r="AZ99" s="402">
        <f>X99/BA99</f>
        <v>24</v>
      </c>
      <c r="BA99" s="402">
        <f>VLOOKUP(AW99,'Item Master Data'!$A:$G,7,FALSE)</f>
        <v>26</v>
      </c>
      <c r="BB99" s="402"/>
      <c r="BC99" s="402">
        <f>W99-AY99</f>
        <v>0</v>
      </c>
    </row>
    <row r="100" spans="1:55">
      <c r="A100" s="377"/>
      <c r="B100" s="376"/>
      <c r="C100" s="376"/>
      <c r="D100" s="405" t="s">
        <v>1066</v>
      </c>
      <c r="E100" s="364" t="s">
        <v>1114</v>
      </c>
      <c r="F100" s="405" t="s">
        <v>1139</v>
      </c>
      <c r="G100" s="405">
        <v>2022</v>
      </c>
      <c r="H100" s="405">
        <v>5</v>
      </c>
      <c r="I100" s="416">
        <v>128578</v>
      </c>
      <c r="J100" s="406">
        <v>44686</v>
      </c>
      <c r="K100" s="405" t="s">
        <v>4411</v>
      </c>
      <c r="L100" s="406" t="s">
        <v>1442</v>
      </c>
      <c r="M100" s="406">
        <v>44468</v>
      </c>
      <c r="N100" s="406" t="s">
        <v>1460</v>
      </c>
      <c r="O100" s="406"/>
      <c r="P100" s="406">
        <v>44678</v>
      </c>
      <c r="Q100" s="406">
        <v>44684</v>
      </c>
      <c r="R100" s="406">
        <v>44686</v>
      </c>
      <c r="S100" s="405" t="s">
        <v>1443</v>
      </c>
      <c r="T100" s="405">
        <v>60</v>
      </c>
      <c r="U100" s="405" t="s">
        <v>1455</v>
      </c>
      <c r="V100" s="405" t="s">
        <v>1447</v>
      </c>
      <c r="W100" s="407">
        <v>400</v>
      </c>
      <c r="X100" s="371">
        <v>624</v>
      </c>
      <c r="Y100" s="422">
        <f t="shared" si="15"/>
        <v>249600</v>
      </c>
      <c r="Z100" s="409">
        <v>0.48</v>
      </c>
      <c r="AA100" s="410">
        <f t="shared" si="11"/>
        <v>119808</v>
      </c>
      <c r="AB100" s="362"/>
      <c r="AC100" s="412">
        <v>0</v>
      </c>
      <c r="AD100" s="405"/>
      <c r="AE100" s="413"/>
      <c r="AF100" s="424">
        <f t="shared" si="16"/>
        <v>119808</v>
      </c>
      <c r="AG100" s="405" t="s">
        <v>47</v>
      </c>
      <c r="AH100" s="395"/>
      <c r="AI100" s="405">
        <v>75</v>
      </c>
      <c r="AJ100" s="405" t="s">
        <v>1449</v>
      </c>
      <c r="AK100" s="405" t="s">
        <v>1070</v>
      </c>
      <c r="AL100" s="425">
        <v>21075</v>
      </c>
      <c r="AM100" s="405" t="s">
        <v>52</v>
      </c>
      <c r="AN100" s="405" t="s">
        <v>50</v>
      </c>
      <c r="AO100" s="405"/>
      <c r="AP100" s="405" t="s">
        <v>92</v>
      </c>
      <c r="AQ100" s="405" t="s">
        <v>37</v>
      </c>
      <c r="AR100" s="405"/>
      <c r="AS100" s="369"/>
      <c r="AT100" s="363"/>
      <c r="AU100" s="403"/>
      <c r="AV100" s="402" t="str">
        <f>U100</f>
        <v>30390256H</v>
      </c>
      <c r="AW100" s="402" cm="1">
        <f t="array" ref="AW100">SUM(MID(0&amp;AV100,LARGE(INDEX(ISNUMBER(--MID(AV100,ROW($1:$8),1))*ROW($1:$8),),ROW($1:$8))+1,1)*10^ROW($1:$8)/10)</f>
        <v>30390256</v>
      </c>
      <c r="AX100" s="402" t="str">
        <f>VLOOKUP($AW100,'Item Master Data'!$A:$F,3,FALSE)</f>
        <v>T400H</v>
      </c>
      <c r="AY100" s="402">
        <f>VLOOKUP($AW100,'Item Master Data'!$A:$F,6,FALSE)</f>
        <v>400</v>
      </c>
      <c r="AZ100" s="402">
        <f>X100/BA100</f>
        <v>24</v>
      </c>
      <c r="BA100" s="402">
        <f>VLOOKUP(AW100,'Item Master Data'!$A:$G,7,FALSE)</f>
        <v>26</v>
      </c>
      <c r="BB100" s="402"/>
      <c r="BC100" s="402">
        <f>W100-AY100</f>
        <v>0</v>
      </c>
    </row>
    <row r="101" spans="1:55">
      <c r="A101" s="377"/>
      <c r="B101" s="376"/>
      <c r="C101" s="376"/>
      <c r="D101" s="405" t="s">
        <v>1066</v>
      </c>
      <c r="E101" s="364" t="s">
        <v>1114</v>
      </c>
      <c r="F101" s="405" t="s">
        <v>1139</v>
      </c>
      <c r="G101" s="405">
        <v>2022</v>
      </c>
      <c r="H101" s="405">
        <v>5</v>
      </c>
      <c r="I101" s="416">
        <v>128583</v>
      </c>
      <c r="J101" s="406">
        <v>44687</v>
      </c>
      <c r="K101" s="405" t="s">
        <v>4411</v>
      </c>
      <c r="L101" s="406" t="s">
        <v>1442</v>
      </c>
      <c r="M101" s="406">
        <v>44468</v>
      </c>
      <c r="N101" s="406" t="s">
        <v>1460</v>
      </c>
      <c r="O101" s="406"/>
      <c r="P101" s="406">
        <v>44678</v>
      </c>
      <c r="Q101" s="406">
        <v>44685</v>
      </c>
      <c r="R101" s="406">
        <v>44687</v>
      </c>
      <c r="S101" s="405" t="s">
        <v>1443</v>
      </c>
      <c r="T101" s="405">
        <v>60</v>
      </c>
      <c r="U101" s="405" t="s">
        <v>1455</v>
      </c>
      <c r="V101" s="405" t="s">
        <v>1447</v>
      </c>
      <c r="W101" s="407">
        <v>400</v>
      </c>
      <c r="X101" s="371">
        <v>624</v>
      </c>
      <c r="Y101" s="422">
        <f t="shared" si="15"/>
        <v>249600</v>
      </c>
      <c r="Z101" s="409">
        <v>0.48</v>
      </c>
      <c r="AA101" s="410">
        <f t="shared" si="11"/>
        <v>119808</v>
      </c>
      <c r="AB101" s="362"/>
      <c r="AC101" s="412">
        <v>0</v>
      </c>
      <c r="AD101" s="405"/>
      <c r="AE101" s="413"/>
      <c r="AF101" s="424">
        <f t="shared" si="16"/>
        <v>119808</v>
      </c>
      <c r="AG101" s="405" t="s">
        <v>47</v>
      </c>
      <c r="AH101" s="395"/>
      <c r="AI101" s="405">
        <v>75</v>
      </c>
      <c r="AJ101" s="405" t="s">
        <v>1449</v>
      </c>
      <c r="AK101" s="405" t="s">
        <v>1070</v>
      </c>
      <c r="AL101" s="425">
        <v>21075</v>
      </c>
      <c r="AM101" s="405" t="s">
        <v>52</v>
      </c>
      <c r="AN101" s="405" t="s">
        <v>50</v>
      </c>
      <c r="AO101" s="405"/>
      <c r="AP101" s="405" t="s">
        <v>92</v>
      </c>
      <c r="AQ101" s="405" t="s">
        <v>37</v>
      </c>
      <c r="AR101" s="405"/>
      <c r="AS101" s="369"/>
      <c r="AT101" s="363"/>
      <c r="AU101" s="403"/>
      <c r="AV101" s="402"/>
      <c r="AW101" s="402"/>
      <c r="AX101" s="402"/>
      <c r="AY101" s="402"/>
      <c r="AZ101" s="402"/>
      <c r="BA101" s="402"/>
      <c r="BB101" s="402"/>
      <c r="BC101" s="402"/>
    </row>
    <row r="102" spans="1:55">
      <c r="A102" s="377"/>
      <c r="B102" s="376"/>
      <c r="C102" s="376"/>
      <c r="D102" s="405" t="s">
        <v>1066</v>
      </c>
      <c r="E102" s="364" t="s">
        <v>1114</v>
      </c>
      <c r="F102" s="405" t="s">
        <v>1139</v>
      </c>
      <c r="G102" s="405">
        <v>2022</v>
      </c>
      <c r="H102" s="405">
        <v>5</v>
      </c>
      <c r="I102" s="416">
        <v>128584</v>
      </c>
      <c r="J102" s="406">
        <v>44687</v>
      </c>
      <c r="K102" s="405" t="s">
        <v>4411</v>
      </c>
      <c r="L102" s="406" t="s">
        <v>1442</v>
      </c>
      <c r="M102" s="406">
        <v>44468</v>
      </c>
      <c r="N102" s="406" t="s">
        <v>1460</v>
      </c>
      <c r="O102" s="406"/>
      <c r="P102" s="406">
        <v>44678</v>
      </c>
      <c r="Q102" s="406">
        <v>44685</v>
      </c>
      <c r="R102" s="406">
        <v>44687</v>
      </c>
      <c r="S102" s="405" t="s">
        <v>1443</v>
      </c>
      <c r="T102" s="405">
        <v>60</v>
      </c>
      <c r="U102" s="405" t="s">
        <v>1455</v>
      </c>
      <c r="V102" s="405" t="s">
        <v>1447</v>
      </c>
      <c r="W102" s="407">
        <v>400</v>
      </c>
      <c r="X102" s="371">
        <v>624</v>
      </c>
      <c r="Y102" s="422">
        <f t="shared" si="15"/>
        <v>249600</v>
      </c>
      <c r="Z102" s="409">
        <v>0.48</v>
      </c>
      <c r="AA102" s="410">
        <f t="shared" si="11"/>
        <v>119808</v>
      </c>
      <c r="AB102" s="362"/>
      <c r="AC102" s="412">
        <v>0</v>
      </c>
      <c r="AD102" s="405"/>
      <c r="AE102" s="413"/>
      <c r="AF102" s="424">
        <f t="shared" si="16"/>
        <v>119808</v>
      </c>
      <c r="AG102" s="405" t="s">
        <v>47</v>
      </c>
      <c r="AH102" s="395"/>
      <c r="AI102" s="405">
        <v>75</v>
      </c>
      <c r="AJ102" s="405" t="s">
        <v>1449</v>
      </c>
      <c r="AK102" s="405" t="s">
        <v>1070</v>
      </c>
      <c r="AL102" s="425">
        <v>21075</v>
      </c>
      <c r="AM102" s="405" t="s">
        <v>52</v>
      </c>
      <c r="AN102" s="405" t="s">
        <v>50</v>
      </c>
      <c r="AO102" s="405"/>
      <c r="AP102" s="405" t="s">
        <v>92</v>
      </c>
      <c r="AQ102" s="405" t="s">
        <v>37</v>
      </c>
      <c r="AR102" s="405"/>
      <c r="AS102" s="369"/>
      <c r="AT102" s="363"/>
      <c r="AU102" s="403"/>
      <c r="AV102" s="402" t="str">
        <f t="shared" ref="AV102:AV107" si="20">U102</f>
        <v>30390256H</v>
      </c>
      <c r="AW102" s="402" cm="1">
        <f t="array" ref="AW102">SUM(MID(0&amp;AV102,LARGE(INDEX(ISNUMBER(--MID(AV102,ROW($1:$8),1))*ROW($1:$8),),ROW($1:$8))+1,1)*10^ROW($1:$8)/10)</f>
        <v>30390256</v>
      </c>
      <c r="AX102" s="402" t="str">
        <f>VLOOKUP($AW102,'Item Master Data'!$A:$F,3,FALSE)</f>
        <v>T400H</v>
      </c>
      <c r="AY102" s="402">
        <f>VLOOKUP($AW102,'Item Master Data'!$A:$F,6,FALSE)</f>
        <v>400</v>
      </c>
      <c r="AZ102" s="402">
        <f t="shared" ref="AZ102:AZ107" si="21">X102/BA102</f>
        <v>24</v>
      </c>
      <c r="BA102" s="402">
        <f>VLOOKUP(AW102,'Item Master Data'!$A:$G,7,FALSE)</f>
        <v>26</v>
      </c>
      <c r="BB102" s="402"/>
      <c r="BC102" s="402">
        <f t="shared" ref="BC102:BC107" si="22">W102-AY102</f>
        <v>0</v>
      </c>
    </row>
    <row r="103" spans="1:55">
      <c r="A103" s="377"/>
      <c r="B103" s="376"/>
      <c r="C103" s="376"/>
      <c r="D103" s="405" t="s">
        <v>1066</v>
      </c>
      <c r="E103" s="364" t="s">
        <v>1114</v>
      </c>
      <c r="F103" s="405" t="s">
        <v>1139</v>
      </c>
      <c r="G103" s="405">
        <v>2022</v>
      </c>
      <c r="H103" s="405">
        <v>5</v>
      </c>
      <c r="I103" s="416">
        <v>128585</v>
      </c>
      <c r="J103" s="406">
        <v>44687</v>
      </c>
      <c r="K103" s="405" t="s">
        <v>4411</v>
      </c>
      <c r="L103" s="406" t="s">
        <v>1442</v>
      </c>
      <c r="M103" s="406">
        <v>44468</v>
      </c>
      <c r="N103" s="406" t="s">
        <v>1460</v>
      </c>
      <c r="O103" s="406"/>
      <c r="P103" s="406">
        <v>44678</v>
      </c>
      <c r="Q103" s="406">
        <v>44685</v>
      </c>
      <c r="R103" s="406">
        <v>44687</v>
      </c>
      <c r="S103" s="405" t="s">
        <v>1443</v>
      </c>
      <c r="T103" s="405">
        <v>60</v>
      </c>
      <c r="U103" s="405" t="s">
        <v>1455</v>
      </c>
      <c r="V103" s="405" t="s">
        <v>1447</v>
      </c>
      <c r="W103" s="407">
        <v>400</v>
      </c>
      <c r="X103" s="371">
        <v>624</v>
      </c>
      <c r="Y103" s="422">
        <f t="shared" si="15"/>
        <v>249600</v>
      </c>
      <c r="Z103" s="409">
        <v>0.48</v>
      </c>
      <c r="AA103" s="410">
        <f t="shared" si="11"/>
        <v>119808</v>
      </c>
      <c r="AB103" s="362"/>
      <c r="AC103" s="412">
        <v>0</v>
      </c>
      <c r="AD103" s="405"/>
      <c r="AE103" s="413"/>
      <c r="AF103" s="424">
        <f t="shared" si="16"/>
        <v>119808</v>
      </c>
      <c r="AG103" s="405" t="s">
        <v>47</v>
      </c>
      <c r="AH103" s="395"/>
      <c r="AI103" s="405">
        <v>75</v>
      </c>
      <c r="AJ103" s="405" t="s">
        <v>1449</v>
      </c>
      <c r="AK103" s="405" t="s">
        <v>1070</v>
      </c>
      <c r="AL103" s="425">
        <v>21075</v>
      </c>
      <c r="AM103" s="405" t="s">
        <v>52</v>
      </c>
      <c r="AN103" s="405" t="s">
        <v>50</v>
      </c>
      <c r="AO103" s="405"/>
      <c r="AP103" s="405" t="s">
        <v>92</v>
      </c>
      <c r="AQ103" s="405" t="s">
        <v>37</v>
      </c>
      <c r="AR103" s="405"/>
      <c r="AS103" s="369"/>
      <c r="AT103" s="363"/>
      <c r="AU103" s="403"/>
      <c r="AV103" s="402" t="str">
        <f t="shared" si="20"/>
        <v>30390256H</v>
      </c>
      <c r="AW103" s="402" cm="1">
        <f t="array" ref="AW103">SUM(MID(0&amp;AV103,LARGE(INDEX(ISNUMBER(--MID(AV103,ROW($1:$8),1))*ROW($1:$8),),ROW($1:$8))+1,1)*10^ROW($1:$8)/10)</f>
        <v>30390256</v>
      </c>
      <c r="AX103" s="402" t="str">
        <f>VLOOKUP($AW103,'Item Master Data'!$A:$F,3,FALSE)</f>
        <v>T400H</v>
      </c>
      <c r="AY103" s="402">
        <f>VLOOKUP($AW103,'Item Master Data'!$A:$F,6,FALSE)</f>
        <v>400</v>
      </c>
      <c r="AZ103" s="402">
        <f t="shared" si="21"/>
        <v>24</v>
      </c>
      <c r="BA103" s="402">
        <f>VLOOKUP(AW103,'Item Master Data'!$A:$G,7,FALSE)</f>
        <v>26</v>
      </c>
      <c r="BB103" s="402"/>
      <c r="BC103" s="402">
        <f t="shared" si="22"/>
        <v>0</v>
      </c>
    </row>
    <row r="104" spans="1:55">
      <c r="A104" s="377"/>
      <c r="B104" s="376"/>
      <c r="C104" s="376"/>
      <c r="D104" s="405" t="s">
        <v>1066</v>
      </c>
      <c r="E104" s="364" t="s">
        <v>1114</v>
      </c>
      <c r="F104" s="405" t="s">
        <v>1139</v>
      </c>
      <c r="G104" s="405">
        <v>2022</v>
      </c>
      <c r="H104" s="405">
        <v>5</v>
      </c>
      <c r="I104" s="416">
        <v>128586</v>
      </c>
      <c r="J104" s="406">
        <v>44687</v>
      </c>
      <c r="K104" s="405" t="s">
        <v>4411</v>
      </c>
      <c r="L104" s="406" t="s">
        <v>1442</v>
      </c>
      <c r="M104" s="406">
        <v>44468</v>
      </c>
      <c r="N104" s="406" t="s">
        <v>1460</v>
      </c>
      <c r="O104" s="406"/>
      <c r="P104" s="406">
        <v>44678</v>
      </c>
      <c r="Q104" s="406">
        <v>44685</v>
      </c>
      <c r="R104" s="406">
        <v>44687</v>
      </c>
      <c r="S104" s="405" t="s">
        <v>1443</v>
      </c>
      <c r="T104" s="405">
        <v>60</v>
      </c>
      <c r="U104" s="405" t="s">
        <v>1455</v>
      </c>
      <c r="V104" s="405" t="s">
        <v>1447</v>
      </c>
      <c r="W104" s="407">
        <v>400</v>
      </c>
      <c r="X104" s="371">
        <v>624</v>
      </c>
      <c r="Y104" s="422">
        <f t="shared" si="15"/>
        <v>249600</v>
      </c>
      <c r="Z104" s="409">
        <v>0.48</v>
      </c>
      <c r="AA104" s="410">
        <f t="shared" si="11"/>
        <v>119808</v>
      </c>
      <c r="AB104" s="362"/>
      <c r="AC104" s="412">
        <v>0</v>
      </c>
      <c r="AD104" s="405"/>
      <c r="AE104" s="413"/>
      <c r="AF104" s="424">
        <f t="shared" si="16"/>
        <v>119808</v>
      </c>
      <c r="AG104" s="405" t="s">
        <v>47</v>
      </c>
      <c r="AH104" s="395"/>
      <c r="AI104" s="405">
        <v>75</v>
      </c>
      <c r="AJ104" s="405" t="s">
        <v>1449</v>
      </c>
      <c r="AK104" s="405" t="s">
        <v>1070</v>
      </c>
      <c r="AL104" s="425">
        <v>21075</v>
      </c>
      <c r="AM104" s="405" t="s">
        <v>52</v>
      </c>
      <c r="AN104" s="405" t="s">
        <v>50</v>
      </c>
      <c r="AO104" s="405"/>
      <c r="AP104" s="405" t="s">
        <v>92</v>
      </c>
      <c r="AQ104" s="405" t="s">
        <v>37</v>
      </c>
      <c r="AR104" s="405"/>
      <c r="AS104" s="369"/>
      <c r="AT104" s="363"/>
      <c r="AU104" s="403"/>
      <c r="AV104" s="402" t="str">
        <f t="shared" si="20"/>
        <v>30390256H</v>
      </c>
      <c r="AW104" s="402" cm="1">
        <f t="array" ref="AW104">SUM(MID(0&amp;AV104,LARGE(INDEX(ISNUMBER(--MID(AV104,ROW($1:$8),1))*ROW($1:$8),),ROW($1:$8))+1,1)*10^ROW($1:$8)/10)</f>
        <v>30390256</v>
      </c>
      <c r="AX104" s="402" t="str">
        <f>VLOOKUP($AW104,'Item Master Data'!$A:$F,3,FALSE)</f>
        <v>T400H</v>
      </c>
      <c r="AY104" s="402">
        <f>VLOOKUP($AW104,'Item Master Data'!$A:$F,6,FALSE)</f>
        <v>400</v>
      </c>
      <c r="AZ104" s="402">
        <f t="shared" si="21"/>
        <v>24</v>
      </c>
      <c r="BA104" s="402">
        <f>VLOOKUP(AW104,'Item Master Data'!$A:$G,7,FALSE)</f>
        <v>26</v>
      </c>
      <c r="BB104" s="402"/>
      <c r="BC104" s="402">
        <f t="shared" si="22"/>
        <v>0</v>
      </c>
    </row>
    <row r="105" spans="1:55">
      <c r="A105" s="377"/>
      <c r="B105" s="376"/>
      <c r="C105" s="376"/>
      <c r="D105" s="405" t="s">
        <v>1066</v>
      </c>
      <c r="E105" s="364"/>
      <c r="F105" s="405" t="s">
        <v>1139</v>
      </c>
      <c r="G105" s="405">
        <v>2022</v>
      </c>
      <c r="H105" s="405">
        <v>5</v>
      </c>
      <c r="I105" s="416"/>
      <c r="J105" s="406">
        <v>44691</v>
      </c>
      <c r="K105" s="405" t="s">
        <v>4411</v>
      </c>
      <c r="L105" s="406" t="s">
        <v>1442</v>
      </c>
      <c r="M105" s="406">
        <v>44468</v>
      </c>
      <c r="N105" s="406" t="s">
        <v>1460</v>
      </c>
      <c r="O105" s="406"/>
      <c r="P105" s="406">
        <v>44678</v>
      </c>
      <c r="Q105" s="406">
        <v>44690</v>
      </c>
      <c r="R105" s="406">
        <v>44691</v>
      </c>
      <c r="S105" s="405" t="s">
        <v>1443</v>
      </c>
      <c r="T105" s="405">
        <v>60</v>
      </c>
      <c r="U105" s="405" t="s">
        <v>1455</v>
      </c>
      <c r="V105" s="405" t="s">
        <v>1447</v>
      </c>
      <c r="W105" s="407">
        <v>400</v>
      </c>
      <c r="X105" s="371">
        <v>624</v>
      </c>
      <c r="Y105" s="422">
        <f t="shared" si="15"/>
        <v>249600</v>
      </c>
      <c r="Z105" s="409">
        <v>0.48</v>
      </c>
      <c r="AA105" s="410">
        <f t="shared" ref="AA105:AA161" si="23">Z105*Y105</f>
        <v>119808</v>
      </c>
      <c r="AB105" s="362"/>
      <c r="AC105" s="412">
        <v>0</v>
      </c>
      <c r="AD105" s="405"/>
      <c r="AE105" s="413"/>
      <c r="AF105" s="424">
        <f t="shared" si="16"/>
        <v>119808</v>
      </c>
      <c r="AG105" s="405" t="s">
        <v>47</v>
      </c>
      <c r="AH105" s="395"/>
      <c r="AI105" s="405">
        <v>75</v>
      </c>
      <c r="AJ105" s="405" t="s">
        <v>1449</v>
      </c>
      <c r="AK105" s="405" t="s">
        <v>1070</v>
      </c>
      <c r="AL105" s="425">
        <v>21075</v>
      </c>
      <c r="AM105" s="405" t="s">
        <v>52</v>
      </c>
      <c r="AN105" s="405" t="s">
        <v>50</v>
      </c>
      <c r="AO105" s="405"/>
      <c r="AP105" s="405" t="s">
        <v>92</v>
      </c>
      <c r="AQ105" s="405" t="s">
        <v>37</v>
      </c>
      <c r="AR105" s="405"/>
      <c r="AS105" s="369"/>
      <c r="AT105" s="363"/>
      <c r="AU105" s="403"/>
      <c r="AV105" s="402" t="str">
        <f t="shared" si="20"/>
        <v>30390256H</v>
      </c>
      <c r="AW105" s="402" cm="1">
        <f t="array" ref="AW105">SUM(MID(0&amp;AV105,LARGE(INDEX(ISNUMBER(--MID(AV105,ROW($1:$8),1))*ROW($1:$8),),ROW($1:$8))+1,1)*10^ROW($1:$8)/10)</f>
        <v>30390256</v>
      </c>
      <c r="AX105" s="402" t="str">
        <f>VLOOKUP($AW105,'Item Master Data'!$A:$F,3,FALSE)</f>
        <v>T400H</v>
      </c>
      <c r="AY105" s="402">
        <f>VLOOKUP($AW105,'Item Master Data'!$A:$F,6,FALSE)</f>
        <v>400</v>
      </c>
      <c r="AZ105" s="402">
        <f t="shared" si="21"/>
        <v>24</v>
      </c>
      <c r="BA105" s="402">
        <f>VLOOKUP(AW105,'Item Master Data'!$A:$G,7,FALSE)</f>
        <v>26</v>
      </c>
      <c r="BB105" s="402"/>
      <c r="BC105" s="402">
        <f t="shared" si="22"/>
        <v>0</v>
      </c>
    </row>
    <row r="106" spans="1:55">
      <c r="A106" s="377"/>
      <c r="B106" s="376"/>
      <c r="C106" s="376"/>
      <c r="D106" s="405" t="s">
        <v>1066</v>
      </c>
      <c r="E106" s="364"/>
      <c r="F106" s="405" t="s">
        <v>1139</v>
      </c>
      <c r="G106" s="405">
        <v>2022</v>
      </c>
      <c r="H106" s="405">
        <v>5</v>
      </c>
      <c r="I106" s="416"/>
      <c r="J106" s="406">
        <v>44691</v>
      </c>
      <c r="K106" s="405" t="s">
        <v>4411</v>
      </c>
      <c r="L106" s="406" t="s">
        <v>1442</v>
      </c>
      <c r="M106" s="406">
        <v>44468</v>
      </c>
      <c r="N106" s="406" t="s">
        <v>1460</v>
      </c>
      <c r="O106" s="406"/>
      <c r="P106" s="406">
        <v>44678</v>
      </c>
      <c r="Q106" s="406">
        <v>44690</v>
      </c>
      <c r="R106" s="406">
        <v>44691</v>
      </c>
      <c r="S106" s="405" t="s">
        <v>1443</v>
      </c>
      <c r="T106" s="405">
        <v>60</v>
      </c>
      <c r="U106" s="405" t="s">
        <v>1455</v>
      </c>
      <c r="V106" s="405" t="s">
        <v>1447</v>
      </c>
      <c r="W106" s="407">
        <v>400</v>
      </c>
      <c r="X106" s="371">
        <v>624</v>
      </c>
      <c r="Y106" s="422">
        <f t="shared" si="15"/>
        <v>249600</v>
      </c>
      <c r="Z106" s="409">
        <v>0.48</v>
      </c>
      <c r="AA106" s="410">
        <f t="shared" si="23"/>
        <v>119808</v>
      </c>
      <c r="AB106" s="362"/>
      <c r="AC106" s="412">
        <v>0</v>
      </c>
      <c r="AD106" s="405"/>
      <c r="AE106" s="413"/>
      <c r="AF106" s="424">
        <f t="shared" si="16"/>
        <v>119808</v>
      </c>
      <c r="AG106" s="405" t="s">
        <v>47</v>
      </c>
      <c r="AH106" s="395"/>
      <c r="AI106" s="405">
        <v>75</v>
      </c>
      <c r="AJ106" s="405" t="s">
        <v>1449</v>
      </c>
      <c r="AK106" s="405" t="s">
        <v>1070</v>
      </c>
      <c r="AL106" s="425">
        <v>21075</v>
      </c>
      <c r="AM106" s="405" t="s">
        <v>52</v>
      </c>
      <c r="AN106" s="405" t="s">
        <v>50</v>
      </c>
      <c r="AO106" s="405"/>
      <c r="AP106" s="405" t="s">
        <v>92</v>
      </c>
      <c r="AQ106" s="405" t="s">
        <v>37</v>
      </c>
      <c r="AR106" s="405"/>
      <c r="AS106" s="369"/>
      <c r="AT106" s="363"/>
      <c r="AU106" s="403"/>
      <c r="AV106" s="402" t="str">
        <f t="shared" si="20"/>
        <v>30390256H</v>
      </c>
      <c r="AW106" s="402" cm="1">
        <f t="array" ref="AW106">SUM(MID(0&amp;AV106,LARGE(INDEX(ISNUMBER(--MID(AV106,ROW($1:$8),1))*ROW($1:$8),),ROW($1:$8))+1,1)*10^ROW($1:$8)/10)</f>
        <v>30390256</v>
      </c>
      <c r="AX106" s="402" t="str">
        <f>VLOOKUP($AW106,'Item Master Data'!$A:$F,3,FALSE)</f>
        <v>T400H</v>
      </c>
      <c r="AY106" s="402">
        <f>VLOOKUP($AW106,'Item Master Data'!$A:$F,6,FALSE)</f>
        <v>400</v>
      </c>
      <c r="AZ106" s="402">
        <f t="shared" si="21"/>
        <v>24</v>
      </c>
      <c r="BA106" s="402">
        <f>VLOOKUP(AW106,'Item Master Data'!$A:$G,7,FALSE)</f>
        <v>26</v>
      </c>
      <c r="BB106" s="402"/>
      <c r="BC106" s="402">
        <f t="shared" si="22"/>
        <v>0</v>
      </c>
    </row>
    <row r="107" spans="1:55">
      <c r="A107" s="377"/>
      <c r="B107" s="376"/>
      <c r="C107" s="376"/>
      <c r="D107" s="405" t="s">
        <v>1066</v>
      </c>
      <c r="E107" s="364"/>
      <c r="F107" s="405" t="s">
        <v>1139</v>
      </c>
      <c r="G107" s="405">
        <v>2022</v>
      </c>
      <c r="H107" s="405">
        <v>5</v>
      </c>
      <c r="I107" s="416"/>
      <c r="J107" s="406">
        <v>44691</v>
      </c>
      <c r="K107" s="405" t="s">
        <v>4411</v>
      </c>
      <c r="L107" s="406" t="s">
        <v>1442</v>
      </c>
      <c r="M107" s="406">
        <v>44468</v>
      </c>
      <c r="N107" s="406" t="s">
        <v>1460</v>
      </c>
      <c r="O107" s="406"/>
      <c r="P107" s="406">
        <v>44678</v>
      </c>
      <c r="Q107" s="406">
        <v>44690</v>
      </c>
      <c r="R107" s="406">
        <v>44691</v>
      </c>
      <c r="S107" s="405" t="s">
        <v>1443</v>
      </c>
      <c r="T107" s="405">
        <v>60</v>
      </c>
      <c r="U107" s="405" t="s">
        <v>1455</v>
      </c>
      <c r="V107" s="405" t="s">
        <v>1447</v>
      </c>
      <c r="W107" s="407">
        <v>400</v>
      </c>
      <c r="X107" s="371">
        <v>624</v>
      </c>
      <c r="Y107" s="422">
        <f t="shared" si="15"/>
        <v>249600</v>
      </c>
      <c r="Z107" s="409">
        <v>0.48</v>
      </c>
      <c r="AA107" s="410">
        <f t="shared" si="23"/>
        <v>119808</v>
      </c>
      <c r="AB107" s="362"/>
      <c r="AC107" s="412">
        <v>0</v>
      </c>
      <c r="AD107" s="405"/>
      <c r="AE107" s="413"/>
      <c r="AF107" s="424">
        <f t="shared" si="16"/>
        <v>119808</v>
      </c>
      <c r="AG107" s="405" t="s">
        <v>47</v>
      </c>
      <c r="AH107" s="395"/>
      <c r="AI107" s="405">
        <v>75</v>
      </c>
      <c r="AJ107" s="405" t="s">
        <v>1449</v>
      </c>
      <c r="AK107" s="405" t="s">
        <v>1070</v>
      </c>
      <c r="AL107" s="425">
        <v>21075</v>
      </c>
      <c r="AM107" s="405" t="s">
        <v>52</v>
      </c>
      <c r="AN107" s="405" t="s">
        <v>50</v>
      </c>
      <c r="AO107" s="405"/>
      <c r="AP107" s="405" t="s">
        <v>92</v>
      </c>
      <c r="AQ107" s="405" t="s">
        <v>37</v>
      </c>
      <c r="AR107" s="405"/>
      <c r="AS107" s="369"/>
      <c r="AT107" s="363"/>
      <c r="AU107" s="403"/>
      <c r="AV107" s="402" t="str">
        <f t="shared" si="20"/>
        <v>30390256H</v>
      </c>
      <c r="AW107" s="402" cm="1">
        <f t="array" ref="AW107">SUM(MID(0&amp;AV107,LARGE(INDEX(ISNUMBER(--MID(AV107,ROW($1:$8),1))*ROW($1:$8),),ROW($1:$8))+1,1)*10^ROW($1:$8)/10)</f>
        <v>30390256</v>
      </c>
      <c r="AX107" s="402" t="str">
        <f>VLOOKUP($AW107,'Item Master Data'!$A:$F,3,FALSE)</f>
        <v>T400H</v>
      </c>
      <c r="AY107" s="402">
        <f>VLOOKUP($AW107,'Item Master Data'!$A:$F,6,FALSE)</f>
        <v>400</v>
      </c>
      <c r="AZ107" s="402">
        <f t="shared" si="21"/>
        <v>24</v>
      </c>
      <c r="BA107" s="402">
        <f>VLOOKUP(AW107,'Item Master Data'!$A:$G,7,FALSE)</f>
        <v>26</v>
      </c>
      <c r="BB107" s="402"/>
      <c r="BC107" s="402">
        <f t="shared" si="22"/>
        <v>0</v>
      </c>
    </row>
    <row r="108" spans="1:55">
      <c r="A108" s="377"/>
      <c r="B108" s="376"/>
      <c r="C108" s="376"/>
      <c r="D108" s="405" t="s">
        <v>1066</v>
      </c>
      <c r="E108" s="364"/>
      <c r="F108" s="405" t="s">
        <v>1139</v>
      </c>
      <c r="G108" s="405">
        <v>2022</v>
      </c>
      <c r="H108" s="405">
        <v>5</v>
      </c>
      <c r="I108" s="416"/>
      <c r="J108" s="406">
        <v>44692</v>
      </c>
      <c r="K108" s="405" t="s">
        <v>4411</v>
      </c>
      <c r="L108" s="406" t="s">
        <v>1442</v>
      </c>
      <c r="M108" s="406">
        <v>44468</v>
      </c>
      <c r="N108" s="406" t="s">
        <v>1460</v>
      </c>
      <c r="O108" s="406"/>
      <c r="P108" s="406">
        <v>44678</v>
      </c>
      <c r="Q108" s="406">
        <v>44691</v>
      </c>
      <c r="R108" s="406">
        <v>44692</v>
      </c>
      <c r="S108" s="405" t="s">
        <v>1443</v>
      </c>
      <c r="T108" s="405">
        <v>60</v>
      </c>
      <c r="U108" s="405" t="s">
        <v>1455</v>
      </c>
      <c r="V108" s="405" t="s">
        <v>1447</v>
      </c>
      <c r="W108" s="407">
        <v>400</v>
      </c>
      <c r="X108" s="371">
        <v>624</v>
      </c>
      <c r="Y108" s="422">
        <f t="shared" si="15"/>
        <v>249600</v>
      </c>
      <c r="Z108" s="409">
        <v>0.48</v>
      </c>
      <c r="AA108" s="410">
        <f t="shared" si="23"/>
        <v>119808</v>
      </c>
      <c r="AB108" s="362"/>
      <c r="AC108" s="412">
        <v>0</v>
      </c>
      <c r="AD108" s="405"/>
      <c r="AE108" s="413"/>
      <c r="AF108" s="424">
        <f t="shared" si="16"/>
        <v>119808</v>
      </c>
      <c r="AG108" s="405" t="s">
        <v>47</v>
      </c>
      <c r="AH108" s="395"/>
      <c r="AI108" s="405">
        <v>75</v>
      </c>
      <c r="AJ108" s="405" t="s">
        <v>1449</v>
      </c>
      <c r="AK108" s="405" t="s">
        <v>1070</v>
      </c>
      <c r="AL108" s="425">
        <v>21075</v>
      </c>
      <c r="AM108" s="405" t="s">
        <v>52</v>
      </c>
      <c r="AN108" s="405" t="s">
        <v>50</v>
      </c>
      <c r="AO108" s="405"/>
      <c r="AP108" s="405" t="s">
        <v>92</v>
      </c>
      <c r="AQ108" s="405" t="s">
        <v>37</v>
      </c>
      <c r="AR108" s="405"/>
      <c r="AS108" s="369"/>
      <c r="AT108" s="363"/>
      <c r="AU108" s="403"/>
      <c r="AV108" s="402"/>
      <c r="AW108" s="402"/>
      <c r="AX108" s="402"/>
      <c r="AY108" s="402"/>
      <c r="AZ108" s="402"/>
      <c r="BA108" s="402"/>
      <c r="BB108" s="402"/>
      <c r="BC108" s="402"/>
    </row>
    <row r="109" spans="1:55">
      <c r="A109" s="377"/>
      <c r="B109" s="376"/>
      <c r="C109" s="376"/>
      <c r="D109" s="405" t="s">
        <v>1066</v>
      </c>
      <c r="E109" s="364"/>
      <c r="F109" s="405" t="s">
        <v>1139</v>
      </c>
      <c r="G109" s="405">
        <v>2022</v>
      </c>
      <c r="H109" s="405">
        <v>5</v>
      </c>
      <c r="I109" s="416"/>
      <c r="J109" s="406">
        <v>44692</v>
      </c>
      <c r="K109" s="405" t="s">
        <v>4411</v>
      </c>
      <c r="L109" s="406" t="s">
        <v>1442</v>
      </c>
      <c r="M109" s="406">
        <v>44468</v>
      </c>
      <c r="N109" s="406" t="s">
        <v>1460</v>
      </c>
      <c r="O109" s="406"/>
      <c r="P109" s="406">
        <v>44678</v>
      </c>
      <c r="Q109" s="406">
        <v>44691</v>
      </c>
      <c r="R109" s="406">
        <v>44692</v>
      </c>
      <c r="S109" s="405" t="s">
        <v>1443</v>
      </c>
      <c r="T109" s="405">
        <v>60</v>
      </c>
      <c r="U109" s="405" t="s">
        <v>1455</v>
      </c>
      <c r="V109" s="405" t="s">
        <v>1447</v>
      </c>
      <c r="W109" s="407">
        <v>400</v>
      </c>
      <c r="X109" s="371">
        <v>624</v>
      </c>
      <c r="Y109" s="422">
        <f t="shared" si="15"/>
        <v>249600</v>
      </c>
      <c r="Z109" s="409">
        <v>0.48</v>
      </c>
      <c r="AA109" s="410">
        <f t="shared" si="23"/>
        <v>119808</v>
      </c>
      <c r="AB109" s="362"/>
      <c r="AC109" s="412">
        <v>0</v>
      </c>
      <c r="AD109" s="405"/>
      <c r="AE109" s="413"/>
      <c r="AF109" s="424">
        <f t="shared" si="16"/>
        <v>119808</v>
      </c>
      <c r="AG109" s="405" t="s">
        <v>47</v>
      </c>
      <c r="AH109" s="395"/>
      <c r="AI109" s="405">
        <v>75</v>
      </c>
      <c r="AJ109" s="405" t="s">
        <v>1449</v>
      </c>
      <c r="AK109" s="405" t="s">
        <v>1070</v>
      </c>
      <c r="AL109" s="425">
        <v>21075</v>
      </c>
      <c r="AM109" s="405" t="s">
        <v>52</v>
      </c>
      <c r="AN109" s="405" t="s">
        <v>50</v>
      </c>
      <c r="AO109" s="405"/>
      <c r="AP109" s="405" t="s">
        <v>92</v>
      </c>
      <c r="AQ109" s="405" t="s">
        <v>37</v>
      </c>
      <c r="AR109" s="405"/>
      <c r="AS109" s="369"/>
      <c r="AT109" s="363"/>
      <c r="AU109" s="403"/>
      <c r="AV109" s="402"/>
      <c r="AW109" s="402"/>
      <c r="AX109" s="402"/>
      <c r="AY109" s="402"/>
      <c r="AZ109" s="402"/>
      <c r="BA109" s="402"/>
      <c r="BB109" s="402"/>
      <c r="BC109" s="402"/>
    </row>
    <row r="110" spans="1:55">
      <c r="A110" s="377"/>
      <c r="B110" s="376"/>
      <c r="C110" s="376"/>
      <c r="D110" s="405" t="s">
        <v>1066</v>
      </c>
      <c r="E110" s="364"/>
      <c r="F110" s="405" t="s">
        <v>1139</v>
      </c>
      <c r="G110" s="405">
        <v>2022</v>
      </c>
      <c r="H110" s="405">
        <v>5</v>
      </c>
      <c r="I110" s="416"/>
      <c r="J110" s="406">
        <v>44692</v>
      </c>
      <c r="K110" s="405" t="s">
        <v>4411</v>
      </c>
      <c r="L110" s="406" t="s">
        <v>1442</v>
      </c>
      <c r="M110" s="406">
        <v>44468</v>
      </c>
      <c r="N110" s="406" t="s">
        <v>1460</v>
      </c>
      <c r="O110" s="406"/>
      <c r="P110" s="406">
        <v>44678</v>
      </c>
      <c r="Q110" s="406">
        <v>44691</v>
      </c>
      <c r="R110" s="406">
        <v>44692</v>
      </c>
      <c r="S110" s="405" t="s">
        <v>1443</v>
      </c>
      <c r="T110" s="405">
        <v>60</v>
      </c>
      <c r="U110" s="405" t="s">
        <v>1455</v>
      </c>
      <c r="V110" s="405" t="s">
        <v>1447</v>
      </c>
      <c r="W110" s="407">
        <v>400</v>
      </c>
      <c r="X110" s="371">
        <v>624</v>
      </c>
      <c r="Y110" s="422">
        <f t="shared" si="15"/>
        <v>249600</v>
      </c>
      <c r="Z110" s="409">
        <v>0.48</v>
      </c>
      <c r="AA110" s="410">
        <f t="shared" si="23"/>
        <v>119808</v>
      </c>
      <c r="AB110" s="362"/>
      <c r="AC110" s="412">
        <v>0</v>
      </c>
      <c r="AD110" s="405"/>
      <c r="AE110" s="413"/>
      <c r="AF110" s="424">
        <f t="shared" si="16"/>
        <v>119808</v>
      </c>
      <c r="AG110" s="405" t="s">
        <v>47</v>
      </c>
      <c r="AH110" s="395"/>
      <c r="AI110" s="405">
        <v>75</v>
      </c>
      <c r="AJ110" s="405" t="s">
        <v>1449</v>
      </c>
      <c r="AK110" s="405" t="s">
        <v>1070</v>
      </c>
      <c r="AL110" s="425">
        <v>21075</v>
      </c>
      <c r="AM110" s="405" t="s">
        <v>52</v>
      </c>
      <c r="AN110" s="405" t="s">
        <v>50</v>
      </c>
      <c r="AO110" s="405"/>
      <c r="AP110" s="405" t="s">
        <v>92</v>
      </c>
      <c r="AQ110" s="405" t="s">
        <v>37</v>
      </c>
      <c r="AR110" s="405"/>
      <c r="AS110" s="369"/>
      <c r="AT110" s="363"/>
      <c r="AU110" s="403"/>
      <c r="AV110" s="402"/>
      <c r="AW110" s="402"/>
      <c r="AX110" s="402"/>
      <c r="AY110" s="402"/>
      <c r="AZ110" s="402"/>
      <c r="BA110" s="402"/>
      <c r="BB110" s="402"/>
      <c r="BC110" s="402"/>
    </row>
    <row r="111" spans="1:55">
      <c r="A111" s="377"/>
      <c r="B111" s="376"/>
      <c r="C111" s="376"/>
      <c r="D111" s="405" t="s">
        <v>1066</v>
      </c>
      <c r="E111" s="364"/>
      <c r="F111" s="405" t="s">
        <v>1139</v>
      </c>
      <c r="G111" s="405">
        <v>2022</v>
      </c>
      <c r="H111" s="405">
        <v>5</v>
      </c>
      <c r="I111" s="416"/>
      <c r="J111" s="406">
        <v>44693</v>
      </c>
      <c r="K111" s="405" t="s">
        <v>4411</v>
      </c>
      <c r="L111" s="406" t="s">
        <v>1442</v>
      </c>
      <c r="M111" s="406">
        <v>44468</v>
      </c>
      <c r="N111" s="406" t="s">
        <v>1460</v>
      </c>
      <c r="O111" s="406"/>
      <c r="P111" s="406">
        <v>44678</v>
      </c>
      <c r="Q111" s="406">
        <v>44692</v>
      </c>
      <c r="R111" s="406">
        <v>44693</v>
      </c>
      <c r="S111" s="405" t="s">
        <v>1443</v>
      </c>
      <c r="T111" s="405">
        <v>60</v>
      </c>
      <c r="U111" s="405" t="s">
        <v>1455</v>
      </c>
      <c r="V111" s="405" t="s">
        <v>1447</v>
      </c>
      <c r="W111" s="407">
        <v>400</v>
      </c>
      <c r="X111" s="371">
        <v>624</v>
      </c>
      <c r="Y111" s="422">
        <f t="shared" si="15"/>
        <v>249600</v>
      </c>
      <c r="Z111" s="409">
        <v>0.48</v>
      </c>
      <c r="AA111" s="410">
        <f t="shared" si="23"/>
        <v>119808</v>
      </c>
      <c r="AB111" s="362"/>
      <c r="AC111" s="412">
        <v>0</v>
      </c>
      <c r="AD111" s="405"/>
      <c r="AE111" s="413"/>
      <c r="AF111" s="424">
        <f t="shared" si="16"/>
        <v>119808</v>
      </c>
      <c r="AG111" s="405" t="s">
        <v>47</v>
      </c>
      <c r="AH111" s="395"/>
      <c r="AI111" s="405">
        <v>75</v>
      </c>
      <c r="AJ111" s="405" t="s">
        <v>1449</v>
      </c>
      <c r="AK111" s="405" t="s">
        <v>1070</v>
      </c>
      <c r="AL111" s="425">
        <v>21075</v>
      </c>
      <c r="AM111" s="405" t="s">
        <v>52</v>
      </c>
      <c r="AN111" s="405" t="s">
        <v>50</v>
      </c>
      <c r="AO111" s="405"/>
      <c r="AP111" s="405" t="s">
        <v>92</v>
      </c>
      <c r="AQ111" s="405" t="s">
        <v>37</v>
      </c>
      <c r="AR111" s="405"/>
      <c r="AS111" s="369"/>
      <c r="AT111" s="363"/>
      <c r="AU111" s="403"/>
      <c r="AV111" s="402"/>
      <c r="AW111" s="402"/>
      <c r="AX111" s="402"/>
      <c r="AY111" s="402"/>
      <c r="AZ111" s="402"/>
      <c r="BA111" s="402"/>
      <c r="BB111" s="402"/>
      <c r="BC111" s="402"/>
    </row>
    <row r="112" spans="1:55">
      <c r="A112" s="377"/>
      <c r="B112" s="376"/>
      <c r="C112" s="376"/>
      <c r="D112" s="405" t="s">
        <v>1066</v>
      </c>
      <c r="E112" s="364"/>
      <c r="F112" s="405" t="s">
        <v>1139</v>
      </c>
      <c r="G112" s="405">
        <v>2022</v>
      </c>
      <c r="H112" s="405">
        <v>5</v>
      </c>
      <c r="I112" s="416"/>
      <c r="J112" s="406">
        <v>44693</v>
      </c>
      <c r="K112" s="405" t="s">
        <v>4411</v>
      </c>
      <c r="L112" s="406" t="s">
        <v>1442</v>
      </c>
      <c r="M112" s="406">
        <v>44468</v>
      </c>
      <c r="N112" s="406" t="s">
        <v>1460</v>
      </c>
      <c r="O112" s="406"/>
      <c r="P112" s="406">
        <v>44678</v>
      </c>
      <c r="Q112" s="406">
        <v>44692</v>
      </c>
      <c r="R112" s="406">
        <v>44693</v>
      </c>
      <c r="S112" s="405" t="s">
        <v>1443</v>
      </c>
      <c r="T112" s="405">
        <v>60</v>
      </c>
      <c r="U112" s="405" t="s">
        <v>1455</v>
      </c>
      <c r="V112" s="405" t="s">
        <v>1447</v>
      </c>
      <c r="W112" s="407">
        <v>400</v>
      </c>
      <c r="X112" s="371">
        <v>624</v>
      </c>
      <c r="Y112" s="422">
        <f t="shared" ref="Y112:Y175" si="24">W112*X112</f>
        <v>249600</v>
      </c>
      <c r="Z112" s="409">
        <v>0.48</v>
      </c>
      <c r="AA112" s="410">
        <f t="shared" si="23"/>
        <v>119808</v>
      </c>
      <c r="AB112" s="362"/>
      <c r="AC112" s="412">
        <v>0</v>
      </c>
      <c r="AD112" s="405"/>
      <c r="AE112" s="413"/>
      <c r="AF112" s="424">
        <f t="shared" ref="AF112:AF161" si="25">AA112+AE112</f>
        <v>119808</v>
      </c>
      <c r="AG112" s="405" t="s">
        <v>47</v>
      </c>
      <c r="AH112" s="395"/>
      <c r="AI112" s="405">
        <v>75</v>
      </c>
      <c r="AJ112" s="405" t="s">
        <v>1449</v>
      </c>
      <c r="AK112" s="405" t="s">
        <v>1070</v>
      </c>
      <c r="AL112" s="425">
        <v>21075</v>
      </c>
      <c r="AM112" s="405" t="s">
        <v>52</v>
      </c>
      <c r="AN112" s="405" t="s">
        <v>50</v>
      </c>
      <c r="AO112" s="405"/>
      <c r="AP112" s="405" t="s">
        <v>92</v>
      </c>
      <c r="AQ112" s="405" t="s">
        <v>37</v>
      </c>
      <c r="AR112" s="405"/>
      <c r="AS112" s="369"/>
      <c r="AT112" s="363"/>
      <c r="AU112" s="403"/>
      <c r="AV112" s="402"/>
      <c r="AW112" s="402"/>
      <c r="AX112" s="402"/>
      <c r="AY112" s="402"/>
      <c r="AZ112" s="402"/>
      <c r="BA112" s="402"/>
      <c r="BB112" s="402"/>
      <c r="BC112" s="402"/>
    </row>
    <row r="113" spans="1:55">
      <c r="A113" s="377"/>
      <c r="B113" s="376"/>
      <c r="C113" s="376"/>
      <c r="D113" s="405" t="s">
        <v>1066</v>
      </c>
      <c r="E113" s="364"/>
      <c r="F113" s="405" t="s">
        <v>1139</v>
      </c>
      <c r="G113" s="405">
        <v>2022</v>
      </c>
      <c r="H113" s="405">
        <v>5</v>
      </c>
      <c r="I113" s="416"/>
      <c r="J113" s="406">
        <v>44693</v>
      </c>
      <c r="K113" s="405" t="s">
        <v>4411</v>
      </c>
      <c r="L113" s="406" t="s">
        <v>1442</v>
      </c>
      <c r="M113" s="406">
        <v>44468</v>
      </c>
      <c r="N113" s="406" t="s">
        <v>1460</v>
      </c>
      <c r="O113" s="406"/>
      <c r="P113" s="406">
        <v>44678</v>
      </c>
      <c r="Q113" s="406">
        <v>44692</v>
      </c>
      <c r="R113" s="406">
        <v>44693</v>
      </c>
      <c r="S113" s="405" t="s">
        <v>1443</v>
      </c>
      <c r="T113" s="405">
        <v>60</v>
      </c>
      <c r="U113" s="405" t="s">
        <v>1455</v>
      </c>
      <c r="V113" s="405" t="s">
        <v>1447</v>
      </c>
      <c r="W113" s="407">
        <v>400</v>
      </c>
      <c r="X113" s="371">
        <v>624</v>
      </c>
      <c r="Y113" s="422">
        <f t="shared" si="24"/>
        <v>249600</v>
      </c>
      <c r="Z113" s="409">
        <v>0.48</v>
      </c>
      <c r="AA113" s="410">
        <f t="shared" si="23"/>
        <v>119808</v>
      </c>
      <c r="AB113" s="362"/>
      <c r="AC113" s="412">
        <v>0</v>
      </c>
      <c r="AD113" s="405"/>
      <c r="AE113" s="413"/>
      <c r="AF113" s="424">
        <f t="shared" si="25"/>
        <v>119808</v>
      </c>
      <c r="AG113" s="405" t="s">
        <v>47</v>
      </c>
      <c r="AH113" s="395"/>
      <c r="AI113" s="405">
        <v>75</v>
      </c>
      <c r="AJ113" s="405" t="s">
        <v>1449</v>
      </c>
      <c r="AK113" s="405" t="s">
        <v>1070</v>
      </c>
      <c r="AL113" s="425">
        <v>21075</v>
      </c>
      <c r="AM113" s="405" t="s">
        <v>52</v>
      </c>
      <c r="AN113" s="405" t="s">
        <v>50</v>
      </c>
      <c r="AO113" s="405"/>
      <c r="AP113" s="405" t="s">
        <v>92</v>
      </c>
      <c r="AQ113" s="405" t="s">
        <v>37</v>
      </c>
      <c r="AR113" s="405"/>
      <c r="AS113" s="369"/>
      <c r="AT113" s="363"/>
      <c r="AU113" s="403"/>
      <c r="AV113" s="402"/>
      <c r="AW113" s="402"/>
      <c r="AX113" s="402"/>
      <c r="AY113" s="402"/>
      <c r="AZ113" s="402"/>
      <c r="BA113" s="402"/>
      <c r="BB113" s="402"/>
      <c r="BC113" s="402"/>
    </row>
    <row r="114" spans="1:55">
      <c r="A114" s="377"/>
      <c r="B114" s="376"/>
      <c r="C114" s="376"/>
      <c r="D114" s="405" t="s">
        <v>1066</v>
      </c>
      <c r="E114" s="364"/>
      <c r="F114" s="405" t="s">
        <v>1139</v>
      </c>
      <c r="G114" s="405">
        <v>2022</v>
      </c>
      <c r="H114" s="405">
        <v>5</v>
      </c>
      <c r="I114" s="416"/>
      <c r="J114" s="406">
        <v>44693</v>
      </c>
      <c r="K114" s="405" t="s">
        <v>4411</v>
      </c>
      <c r="L114" s="406" t="s">
        <v>1442</v>
      </c>
      <c r="M114" s="406">
        <v>44468</v>
      </c>
      <c r="N114" s="406" t="s">
        <v>1460</v>
      </c>
      <c r="O114" s="406"/>
      <c r="P114" s="406">
        <v>44678</v>
      </c>
      <c r="Q114" s="406">
        <v>44692</v>
      </c>
      <c r="R114" s="406">
        <v>44693</v>
      </c>
      <c r="S114" s="405" t="s">
        <v>1443</v>
      </c>
      <c r="T114" s="405">
        <v>60</v>
      </c>
      <c r="U114" s="405" t="s">
        <v>1455</v>
      </c>
      <c r="V114" s="405" t="s">
        <v>1447</v>
      </c>
      <c r="W114" s="407">
        <v>400</v>
      </c>
      <c r="X114" s="371">
        <v>624</v>
      </c>
      <c r="Y114" s="422">
        <f t="shared" si="24"/>
        <v>249600</v>
      </c>
      <c r="Z114" s="409">
        <v>0.48</v>
      </c>
      <c r="AA114" s="410">
        <f t="shared" si="23"/>
        <v>119808</v>
      </c>
      <c r="AB114" s="362"/>
      <c r="AC114" s="412">
        <v>0</v>
      </c>
      <c r="AD114" s="405"/>
      <c r="AE114" s="413"/>
      <c r="AF114" s="424">
        <f t="shared" si="25"/>
        <v>119808</v>
      </c>
      <c r="AG114" s="405" t="s">
        <v>47</v>
      </c>
      <c r="AH114" s="395"/>
      <c r="AI114" s="405">
        <v>75</v>
      </c>
      <c r="AJ114" s="405" t="s">
        <v>1449</v>
      </c>
      <c r="AK114" s="405" t="s">
        <v>1070</v>
      </c>
      <c r="AL114" s="425">
        <v>21075</v>
      </c>
      <c r="AM114" s="405" t="s">
        <v>52</v>
      </c>
      <c r="AN114" s="405" t="s">
        <v>50</v>
      </c>
      <c r="AO114" s="405"/>
      <c r="AP114" s="405" t="s">
        <v>92</v>
      </c>
      <c r="AQ114" s="405" t="s">
        <v>37</v>
      </c>
      <c r="AR114" s="405"/>
      <c r="AS114" s="369"/>
      <c r="AT114" s="363"/>
      <c r="AU114" s="403"/>
      <c r="AV114" s="402"/>
      <c r="AW114" s="402"/>
      <c r="AX114" s="402"/>
      <c r="AY114" s="402"/>
      <c r="AZ114" s="402"/>
      <c r="BA114" s="402"/>
      <c r="BB114" s="402"/>
      <c r="BC114" s="402"/>
    </row>
    <row r="115" spans="1:55">
      <c r="A115" s="377"/>
      <c r="B115" s="376"/>
      <c r="C115" s="376"/>
      <c r="D115" s="405" t="s">
        <v>1066</v>
      </c>
      <c r="E115" s="364" t="s">
        <v>1114</v>
      </c>
      <c r="F115" s="405" t="s">
        <v>1139</v>
      </c>
      <c r="G115" s="405">
        <v>2022</v>
      </c>
      <c r="H115" s="405">
        <v>5</v>
      </c>
      <c r="I115" s="416"/>
      <c r="J115" s="406">
        <v>44694</v>
      </c>
      <c r="K115" s="405" t="s">
        <v>4411</v>
      </c>
      <c r="L115" s="406" t="s">
        <v>1442</v>
      </c>
      <c r="M115" s="406">
        <v>44468</v>
      </c>
      <c r="N115" s="406" t="s">
        <v>1460</v>
      </c>
      <c r="O115" s="406"/>
      <c r="P115" s="406">
        <v>44678</v>
      </c>
      <c r="Q115" s="406">
        <v>44692</v>
      </c>
      <c r="R115" s="406">
        <v>44694</v>
      </c>
      <c r="S115" s="405" t="s">
        <v>1443</v>
      </c>
      <c r="T115" s="405">
        <v>60</v>
      </c>
      <c r="U115" s="405" t="s">
        <v>1455</v>
      </c>
      <c r="V115" s="405" t="s">
        <v>1447</v>
      </c>
      <c r="W115" s="407">
        <v>400</v>
      </c>
      <c r="X115" s="371">
        <v>624</v>
      </c>
      <c r="Y115" s="422">
        <f t="shared" si="24"/>
        <v>249600</v>
      </c>
      <c r="Z115" s="409">
        <v>0.48</v>
      </c>
      <c r="AA115" s="410">
        <f t="shared" si="23"/>
        <v>119808</v>
      </c>
      <c r="AB115" s="362"/>
      <c r="AC115" s="412">
        <v>0</v>
      </c>
      <c r="AD115" s="405"/>
      <c r="AE115" s="413"/>
      <c r="AF115" s="424">
        <f t="shared" si="25"/>
        <v>119808</v>
      </c>
      <c r="AG115" s="405" t="s">
        <v>47</v>
      </c>
      <c r="AH115" s="395"/>
      <c r="AI115" s="405">
        <v>75</v>
      </c>
      <c r="AJ115" s="405" t="s">
        <v>1449</v>
      </c>
      <c r="AK115" s="405" t="s">
        <v>1070</v>
      </c>
      <c r="AL115" s="425">
        <v>21075</v>
      </c>
      <c r="AM115" s="405" t="s">
        <v>52</v>
      </c>
      <c r="AN115" s="405" t="s">
        <v>50</v>
      </c>
      <c r="AO115" s="405"/>
      <c r="AP115" s="405" t="s">
        <v>92</v>
      </c>
      <c r="AQ115" s="405" t="s">
        <v>37</v>
      </c>
      <c r="AR115" s="405"/>
      <c r="AS115" s="369"/>
      <c r="AT115" s="363"/>
      <c r="AU115" s="403"/>
      <c r="AV115" s="402"/>
      <c r="AW115" s="402"/>
      <c r="AX115" s="402"/>
      <c r="AY115" s="402"/>
      <c r="AZ115" s="402"/>
      <c r="BA115" s="402"/>
      <c r="BB115" s="402"/>
      <c r="BC115" s="402"/>
    </row>
    <row r="116" spans="1:55">
      <c r="A116" s="377"/>
      <c r="B116" s="376"/>
      <c r="C116" s="376"/>
      <c r="D116" s="405" t="s">
        <v>1066</v>
      </c>
      <c r="E116" s="364" t="s">
        <v>1114</v>
      </c>
      <c r="F116" s="405" t="s">
        <v>1139</v>
      </c>
      <c r="G116" s="405">
        <v>2022</v>
      </c>
      <c r="H116" s="405">
        <v>5</v>
      </c>
      <c r="I116" s="416"/>
      <c r="J116" s="406">
        <v>44694</v>
      </c>
      <c r="K116" s="405" t="s">
        <v>4411</v>
      </c>
      <c r="L116" s="406" t="s">
        <v>1442</v>
      </c>
      <c r="M116" s="406">
        <v>44468</v>
      </c>
      <c r="N116" s="406" t="s">
        <v>1460</v>
      </c>
      <c r="O116" s="406"/>
      <c r="P116" s="406">
        <v>44678</v>
      </c>
      <c r="Q116" s="406">
        <v>44692</v>
      </c>
      <c r="R116" s="406">
        <v>44694</v>
      </c>
      <c r="S116" s="405" t="s">
        <v>1443</v>
      </c>
      <c r="T116" s="405">
        <v>60</v>
      </c>
      <c r="U116" s="405" t="s">
        <v>1455</v>
      </c>
      <c r="V116" s="405" t="s">
        <v>1447</v>
      </c>
      <c r="W116" s="407">
        <v>400</v>
      </c>
      <c r="X116" s="371">
        <v>624</v>
      </c>
      <c r="Y116" s="422">
        <f t="shared" si="24"/>
        <v>249600</v>
      </c>
      <c r="Z116" s="409">
        <v>0.48</v>
      </c>
      <c r="AA116" s="410">
        <f t="shared" si="23"/>
        <v>119808</v>
      </c>
      <c r="AB116" s="362"/>
      <c r="AC116" s="412">
        <v>0</v>
      </c>
      <c r="AD116" s="405"/>
      <c r="AE116" s="413"/>
      <c r="AF116" s="424">
        <f t="shared" si="25"/>
        <v>119808</v>
      </c>
      <c r="AG116" s="405" t="s">
        <v>47</v>
      </c>
      <c r="AH116" s="395"/>
      <c r="AI116" s="405">
        <v>75</v>
      </c>
      <c r="AJ116" s="405" t="s">
        <v>1449</v>
      </c>
      <c r="AK116" s="405" t="s">
        <v>1070</v>
      </c>
      <c r="AL116" s="425">
        <v>21075</v>
      </c>
      <c r="AM116" s="405" t="s">
        <v>52</v>
      </c>
      <c r="AN116" s="405" t="s">
        <v>50</v>
      </c>
      <c r="AO116" s="405"/>
      <c r="AP116" s="405" t="s">
        <v>92</v>
      </c>
      <c r="AQ116" s="405" t="s">
        <v>37</v>
      </c>
      <c r="AR116" s="405"/>
      <c r="AS116" s="369"/>
      <c r="AT116" s="363"/>
      <c r="AU116" s="403"/>
      <c r="AV116" s="402"/>
      <c r="AW116" s="402"/>
      <c r="AX116" s="402"/>
      <c r="AY116" s="402"/>
      <c r="AZ116" s="402"/>
      <c r="BA116" s="402"/>
      <c r="BB116" s="402"/>
      <c r="BC116" s="402"/>
    </row>
    <row r="117" spans="1:55">
      <c r="A117" s="377"/>
      <c r="B117" s="376"/>
      <c r="C117" s="376"/>
      <c r="D117" s="405" t="s">
        <v>1066</v>
      </c>
      <c r="E117" s="364" t="s">
        <v>1114</v>
      </c>
      <c r="F117" s="405" t="s">
        <v>1139</v>
      </c>
      <c r="G117" s="405">
        <v>2022</v>
      </c>
      <c r="H117" s="405">
        <v>5</v>
      </c>
      <c r="I117" s="416"/>
      <c r="J117" s="406">
        <v>44694</v>
      </c>
      <c r="K117" s="405" t="s">
        <v>4411</v>
      </c>
      <c r="L117" s="406" t="s">
        <v>1442</v>
      </c>
      <c r="M117" s="406">
        <v>44468</v>
      </c>
      <c r="N117" s="406" t="s">
        <v>1460</v>
      </c>
      <c r="O117" s="406"/>
      <c r="P117" s="406">
        <v>44678</v>
      </c>
      <c r="Q117" s="406">
        <v>44692</v>
      </c>
      <c r="R117" s="406">
        <v>44694</v>
      </c>
      <c r="S117" s="405" t="s">
        <v>1443</v>
      </c>
      <c r="T117" s="405">
        <v>60</v>
      </c>
      <c r="U117" s="405" t="s">
        <v>1455</v>
      </c>
      <c r="V117" s="405" t="s">
        <v>1447</v>
      </c>
      <c r="W117" s="407">
        <v>400</v>
      </c>
      <c r="X117" s="371">
        <v>624</v>
      </c>
      <c r="Y117" s="422">
        <f t="shared" si="24"/>
        <v>249600</v>
      </c>
      <c r="Z117" s="409">
        <v>0.48</v>
      </c>
      <c r="AA117" s="410">
        <f t="shared" si="23"/>
        <v>119808</v>
      </c>
      <c r="AB117" s="362"/>
      <c r="AC117" s="412">
        <v>0</v>
      </c>
      <c r="AD117" s="405"/>
      <c r="AE117" s="413"/>
      <c r="AF117" s="424">
        <f t="shared" si="25"/>
        <v>119808</v>
      </c>
      <c r="AG117" s="405" t="s">
        <v>47</v>
      </c>
      <c r="AH117" s="395"/>
      <c r="AI117" s="405">
        <v>75</v>
      </c>
      <c r="AJ117" s="405" t="s">
        <v>1449</v>
      </c>
      <c r="AK117" s="405" t="s">
        <v>1070</v>
      </c>
      <c r="AL117" s="425">
        <v>21075</v>
      </c>
      <c r="AM117" s="405" t="s">
        <v>52</v>
      </c>
      <c r="AN117" s="405" t="s">
        <v>50</v>
      </c>
      <c r="AO117" s="405"/>
      <c r="AP117" s="405" t="s">
        <v>92</v>
      </c>
      <c r="AQ117" s="405" t="s">
        <v>37</v>
      </c>
      <c r="AR117" s="405"/>
      <c r="AS117" s="369"/>
      <c r="AT117" s="363"/>
      <c r="AU117" s="403"/>
      <c r="AV117" s="402"/>
      <c r="AW117" s="402"/>
      <c r="AX117" s="402"/>
      <c r="AY117" s="402"/>
      <c r="AZ117" s="402"/>
      <c r="BA117" s="402"/>
      <c r="BB117" s="402"/>
      <c r="BC117" s="402"/>
    </row>
    <row r="118" spans="1:55">
      <c r="A118" s="377"/>
      <c r="B118" s="376"/>
      <c r="C118" s="376"/>
      <c r="D118" s="405" t="s">
        <v>1066</v>
      </c>
      <c r="E118" s="364" t="s">
        <v>1114</v>
      </c>
      <c r="F118" s="405" t="s">
        <v>1139</v>
      </c>
      <c r="G118" s="405">
        <v>2022</v>
      </c>
      <c r="H118" s="405">
        <v>5</v>
      </c>
      <c r="I118" s="416"/>
      <c r="J118" s="406" t="s">
        <v>4940</v>
      </c>
      <c r="K118" s="405" t="s">
        <v>4411</v>
      </c>
      <c r="L118" s="406" t="s">
        <v>1442</v>
      </c>
      <c r="M118" s="406">
        <v>44468</v>
      </c>
      <c r="N118" s="406" t="s">
        <v>1460</v>
      </c>
      <c r="O118" s="406"/>
      <c r="P118" s="406">
        <v>44678</v>
      </c>
      <c r="Q118" s="406">
        <v>44694</v>
      </c>
      <c r="R118" s="406">
        <v>44697</v>
      </c>
      <c r="S118" s="405" t="s">
        <v>1443</v>
      </c>
      <c r="T118" s="405">
        <v>60</v>
      </c>
      <c r="U118" s="405" t="s">
        <v>1455</v>
      </c>
      <c r="V118" s="405" t="s">
        <v>1447</v>
      </c>
      <c r="W118" s="407">
        <v>400</v>
      </c>
      <c r="X118" s="371">
        <v>624</v>
      </c>
      <c r="Y118" s="422">
        <f t="shared" si="24"/>
        <v>249600</v>
      </c>
      <c r="Z118" s="409">
        <v>0.48</v>
      </c>
      <c r="AA118" s="410">
        <f t="shared" si="23"/>
        <v>119808</v>
      </c>
      <c r="AB118" s="362"/>
      <c r="AC118" s="412">
        <v>0</v>
      </c>
      <c r="AD118" s="405"/>
      <c r="AE118" s="413"/>
      <c r="AF118" s="424">
        <f t="shared" si="25"/>
        <v>119808</v>
      </c>
      <c r="AG118" s="405" t="s">
        <v>47</v>
      </c>
      <c r="AH118" s="395"/>
      <c r="AI118" s="405">
        <v>75</v>
      </c>
      <c r="AJ118" s="405" t="s">
        <v>1449</v>
      </c>
      <c r="AK118" s="405" t="s">
        <v>1070</v>
      </c>
      <c r="AL118" s="425">
        <v>21075</v>
      </c>
      <c r="AM118" s="405" t="s">
        <v>52</v>
      </c>
      <c r="AN118" s="405" t="s">
        <v>50</v>
      </c>
      <c r="AO118" s="405"/>
      <c r="AP118" s="405" t="s">
        <v>92</v>
      </c>
      <c r="AQ118" s="405" t="s">
        <v>37</v>
      </c>
      <c r="AR118" s="405"/>
      <c r="AS118" s="369"/>
      <c r="AT118" s="363"/>
      <c r="AU118" s="403"/>
      <c r="AV118" s="402" t="str">
        <f>U118</f>
        <v>30390256H</v>
      </c>
      <c r="AW118" s="402" cm="1">
        <f t="array" ref="AW118">SUM(MID(0&amp;AV118,LARGE(INDEX(ISNUMBER(--MID(AV118,ROW($1:$8),1))*ROW($1:$8),),ROW($1:$8))+1,1)*10^ROW($1:$8)/10)</f>
        <v>30390256</v>
      </c>
      <c r="AX118" s="402" t="str">
        <f>VLOOKUP($AW118,'Item Master Data'!$A:$F,3,FALSE)</f>
        <v>T400H</v>
      </c>
      <c r="AY118" s="402">
        <f>VLOOKUP($AW118,'Item Master Data'!$A:$F,6,FALSE)</f>
        <v>400</v>
      </c>
      <c r="AZ118" s="402">
        <f>X118/BA118</f>
        <v>24</v>
      </c>
      <c r="BA118" s="402">
        <f>VLOOKUP(AW118,'Item Master Data'!$A:$G,7,FALSE)</f>
        <v>26</v>
      </c>
      <c r="BB118" s="402"/>
      <c r="BC118" s="402">
        <f>W118-AY118</f>
        <v>0</v>
      </c>
    </row>
    <row r="119" spans="1:55">
      <c r="A119" s="377"/>
      <c r="B119" s="376"/>
      <c r="C119" s="376"/>
      <c r="D119" s="405" t="s">
        <v>1066</v>
      </c>
      <c r="E119" s="364" t="s">
        <v>1114</v>
      </c>
      <c r="F119" s="405" t="s">
        <v>1139</v>
      </c>
      <c r="G119" s="405">
        <v>2022</v>
      </c>
      <c r="H119" s="405">
        <v>5</v>
      </c>
      <c r="I119" s="416"/>
      <c r="J119" s="406" t="s">
        <v>4940</v>
      </c>
      <c r="K119" s="405" t="s">
        <v>4411</v>
      </c>
      <c r="L119" s="406" t="s">
        <v>1442</v>
      </c>
      <c r="M119" s="406">
        <v>44468</v>
      </c>
      <c r="N119" s="406" t="s">
        <v>1460</v>
      </c>
      <c r="O119" s="406"/>
      <c r="P119" s="406">
        <v>44678</v>
      </c>
      <c r="Q119" s="406">
        <v>44694</v>
      </c>
      <c r="R119" s="406">
        <v>44697</v>
      </c>
      <c r="S119" s="405" t="s">
        <v>1443</v>
      </c>
      <c r="T119" s="405">
        <v>60</v>
      </c>
      <c r="U119" s="405" t="s">
        <v>1455</v>
      </c>
      <c r="V119" s="405" t="s">
        <v>1447</v>
      </c>
      <c r="W119" s="407">
        <v>400</v>
      </c>
      <c r="X119" s="371">
        <v>624</v>
      </c>
      <c r="Y119" s="422">
        <f t="shared" si="24"/>
        <v>249600</v>
      </c>
      <c r="Z119" s="409">
        <v>0.48</v>
      </c>
      <c r="AA119" s="410">
        <f t="shared" si="23"/>
        <v>119808</v>
      </c>
      <c r="AB119" s="362"/>
      <c r="AC119" s="412">
        <v>0</v>
      </c>
      <c r="AD119" s="405"/>
      <c r="AE119" s="413"/>
      <c r="AF119" s="424">
        <f t="shared" si="25"/>
        <v>119808</v>
      </c>
      <c r="AG119" s="405" t="s">
        <v>47</v>
      </c>
      <c r="AH119" s="395"/>
      <c r="AI119" s="405">
        <v>75</v>
      </c>
      <c r="AJ119" s="405" t="s">
        <v>1449</v>
      </c>
      <c r="AK119" s="405" t="s">
        <v>1070</v>
      </c>
      <c r="AL119" s="425">
        <v>21075</v>
      </c>
      <c r="AM119" s="405" t="s">
        <v>52</v>
      </c>
      <c r="AN119" s="405" t="s">
        <v>50</v>
      </c>
      <c r="AO119" s="405"/>
      <c r="AP119" s="405" t="s">
        <v>92</v>
      </c>
      <c r="AQ119" s="405" t="s">
        <v>37</v>
      </c>
      <c r="AR119" s="405"/>
      <c r="AS119" s="369"/>
      <c r="AT119" s="363"/>
      <c r="AU119" s="403"/>
      <c r="AV119" s="402"/>
      <c r="AW119" s="402"/>
      <c r="AX119" s="402"/>
      <c r="AY119" s="402"/>
      <c r="AZ119" s="402"/>
      <c r="BA119" s="402"/>
      <c r="BB119" s="402"/>
      <c r="BC119" s="402"/>
    </row>
    <row r="120" spans="1:55">
      <c r="A120" s="377"/>
      <c r="B120" s="376"/>
      <c r="C120" s="376"/>
      <c r="D120" s="405" t="s">
        <v>1066</v>
      </c>
      <c r="E120" s="364"/>
      <c r="F120" s="405" t="s">
        <v>1139</v>
      </c>
      <c r="G120" s="405">
        <v>2022</v>
      </c>
      <c r="H120" s="405">
        <v>5</v>
      </c>
      <c r="I120" s="416"/>
      <c r="J120" s="406" t="s">
        <v>4410</v>
      </c>
      <c r="K120" s="405" t="s">
        <v>4411</v>
      </c>
      <c r="L120" s="406" t="s">
        <v>1442</v>
      </c>
      <c r="M120" s="406">
        <v>44468</v>
      </c>
      <c r="N120" s="406" t="s">
        <v>1460</v>
      </c>
      <c r="O120" s="406"/>
      <c r="P120" s="406">
        <v>44678</v>
      </c>
      <c r="Q120" s="406"/>
      <c r="R120" s="406"/>
      <c r="S120" s="405" t="s">
        <v>1443</v>
      </c>
      <c r="T120" s="405">
        <v>60</v>
      </c>
      <c r="U120" s="405" t="s">
        <v>1455</v>
      </c>
      <c r="V120" s="405" t="s">
        <v>1447</v>
      </c>
      <c r="W120" s="407">
        <v>400</v>
      </c>
      <c r="X120" s="371">
        <f>33072-624-624-624-1248-5616+1248-6240-6656-624-624-624-624-624</f>
        <v>9568</v>
      </c>
      <c r="Y120" s="422">
        <f t="shared" si="24"/>
        <v>3827200</v>
      </c>
      <c r="Z120" s="409">
        <v>0.48</v>
      </c>
      <c r="AA120" s="410">
        <f t="shared" si="23"/>
        <v>1837056</v>
      </c>
      <c r="AB120" s="362"/>
      <c r="AC120" s="412">
        <v>0</v>
      </c>
      <c r="AD120" s="405"/>
      <c r="AE120" s="413"/>
      <c r="AF120" s="424">
        <f t="shared" si="25"/>
        <v>1837056</v>
      </c>
      <c r="AG120" s="405" t="s">
        <v>47</v>
      </c>
      <c r="AH120" s="395"/>
      <c r="AI120" s="405">
        <v>75</v>
      </c>
      <c r="AJ120" s="405" t="s">
        <v>1449</v>
      </c>
      <c r="AK120" s="405" t="s">
        <v>1070</v>
      </c>
      <c r="AL120" s="425">
        <v>21075</v>
      </c>
      <c r="AM120" s="405" t="s">
        <v>52</v>
      </c>
      <c r="AN120" s="405" t="s">
        <v>50</v>
      </c>
      <c r="AO120" s="405"/>
      <c r="AP120" s="405" t="s">
        <v>92</v>
      </c>
      <c r="AQ120" s="405" t="s">
        <v>37</v>
      </c>
      <c r="AR120" s="405"/>
      <c r="AS120" s="369"/>
      <c r="AT120" s="363"/>
      <c r="AU120" s="403"/>
      <c r="AV120" s="402"/>
      <c r="AW120" s="402"/>
      <c r="AX120" s="402"/>
      <c r="AY120" s="402"/>
      <c r="AZ120" s="402"/>
      <c r="BA120" s="402"/>
      <c r="BB120" s="402"/>
      <c r="BC120" s="402"/>
    </row>
    <row r="121" spans="1:55">
      <c r="A121" s="377"/>
      <c r="B121" s="376"/>
      <c r="C121" s="376"/>
      <c r="D121" s="405" t="s">
        <v>1066</v>
      </c>
      <c r="E121" s="364"/>
      <c r="F121" s="405" t="s">
        <v>1139</v>
      </c>
      <c r="G121" s="405">
        <v>2022</v>
      </c>
      <c r="H121" s="405">
        <v>6</v>
      </c>
      <c r="I121" s="416"/>
      <c r="J121" s="406" t="s">
        <v>4410</v>
      </c>
      <c r="K121" s="405" t="s">
        <v>4411</v>
      </c>
      <c r="L121" s="406" t="s">
        <v>1442</v>
      </c>
      <c r="M121" s="406">
        <v>44468</v>
      </c>
      <c r="N121" s="406" t="s">
        <v>1460</v>
      </c>
      <c r="O121" s="406"/>
      <c r="P121" s="406">
        <v>44678</v>
      </c>
      <c r="Q121" s="406"/>
      <c r="R121" s="406"/>
      <c r="S121" s="405" t="s">
        <v>1443</v>
      </c>
      <c r="T121" s="405">
        <v>60</v>
      </c>
      <c r="U121" s="405" t="s">
        <v>1455</v>
      </c>
      <c r="V121" s="405" t="s">
        <v>1447</v>
      </c>
      <c r="W121" s="407">
        <v>400</v>
      </c>
      <c r="X121" s="371">
        <v>6656</v>
      </c>
      <c r="Y121" s="422">
        <f t="shared" si="24"/>
        <v>2662400</v>
      </c>
      <c r="Z121" s="409">
        <v>0.48</v>
      </c>
      <c r="AA121" s="410">
        <f t="shared" si="23"/>
        <v>1277952</v>
      </c>
      <c r="AB121" s="362"/>
      <c r="AC121" s="412">
        <v>0</v>
      </c>
      <c r="AD121" s="405"/>
      <c r="AE121" s="413"/>
      <c r="AF121" s="424">
        <f t="shared" si="25"/>
        <v>1277952</v>
      </c>
      <c r="AG121" s="405" t="s">
        <v>47</v>
      </c>
      <c r="AH121" s="395"/>
      <c r="AI121" s="405">
        <v>75</v>
      </c>
      <c r="AJ121" s="405" t="s">
        <v>1449</v>
      </c>
      <c r="AK121" s="405" t="s">
        <v>1070</v>
      </c>
      <c r="AL121" s="425">
        <v>21075</v>
      </c>
      <c r="AM121" s="405" t="s">
        <v>52</v>
      </c>
      <c r="AN121" s="405" t="s">
        <v>50</v>
      </c>
      <c r="AO121" s="405"/>
      <c r="AP121" s="405" t="s">
        <v>92</v>
      </c>
      <c r="AQ121" s="405" t="s">
        <v>37</v>
      </c>
      <c r="AR121" s="405"/>
      <c r="AS121" s="369"/>
      <c r="AT121" s="363"/>
      <c r="AU121" s="403"/>
      <c r="AV121" s="402" t="str">
        <f>U121</f>
        <v>30390256H</v>
      </c>
      <c r="AW121" s="402" cm="1">
        <f t="array" ref="AW121">SUM(MID(0&amp;AV121,LARGE(INDEX(ISNUMBER(--MID(AV121,ROW($1:$8),1))*ROW($1:$8),),ROW($1:$8))+1,1)*10^ROW($1:$8)/10)</f>
        <v>30390256</v>
      </c>
      <c r="AX121" s="402" t="str">
        <f>VLOOKUP($AW121,'Item Master Data'!$A:$F,3,FALSE)</f>
        <v>T400H</v>
      </c>
      <c r="AY121" s="402">
        <f>VLOOKUP($AW121,'Item Master Data'!$A:$F,6,FALSE)</f>
        <v>400</v>
      </c>
      <c r="AZ121" s="402">
        <f>X121/BA121</f>
        <v>256</v>
      </c>
      <c r="BA121" s="402">
        <f>VLOOKUP(AW121,'Item Master Data'!$A:$G,7,FALSE)</f>
        <v>26</v>
      </c>
      <c r="BB121" s="402"/>
      <c r="BC121" s="402">
        <f>W121-AY121</f>
        <v>0</v>
      </c>
    </row>
    <row r="122" spans="1:55">
      <c r="A122" s="377"/>
      <c r="B122" s="376"/>
      <c r="C122" s="376"/>
      <c r="D122" s="405" t="s">
        <v>1066</v>
      </c>
      <c r="E122" s="364"/>
      <c r="F122" s="405" t="s">
        <v>1139</v>
      </c>
      <c r="G122" s="405">
        <v>2022</v>
      </c>
      <c r="H122" s="405">
        <v>6</v>
      </c>
      <c r="I122" s="416"/>
      <c r="J122" s="406" t="s">
        <v>4410</v>
      </c>
      <c r="K122" s="405" t="s">
        <v>4814</v>
      </c>
      <c r="L122" s="406" t="s">
        <v>1442</v>
      </c>
      <c r="M122" s="406">
        <v>44468</v>
      </c>
      <c r="N122" s="406" t="s">
        <v>1460</v>
      </c>
      <c r="O122" s="406"/>
      <c r="P122" s="406">
        <v>44692</v>
      </c>
      <c r="Q122" s="406"/>
      <c r="R122" s="406"/>
      <c r="S122" s="405" t="s">
        <v>1443</v>
      </c>
      <c r="T122" s="405">
        <v>60</v>
      </c>
      <c r="U122" s="405" t="s">
        <v>1455</v>
      </c>
      <c r="V122" s="405" t="s">
        <v>1447</v>
      </c>
      <c r="W122" s="407">
        <v>400</v>
      </c>
      <c r="X122" s="371">
        <v>3328</v>
      </c>
      <c r="Y122" s="422">
        <f t="shared" si="24"/>
        <v>1331200</v>
      </c>
      <c r="Z122" s="409">
        <v>0.48</v>
      </c>
      <c r="AA122" s="410">
        <f t="shared" si="23"/>
        <v>638976</v>
      </c>
      <c r="AB122" s="362"/>
      <c r="AC122" s="412">
        <v>0</v>
      </c>
      <c r="AD122" s="405"/>
      <c r="AE122" s="413"/>
      <c r="AF122" s="424">
        <f t="shared" si="25"/>
        <v>638976</v>
      </c>
      <c r="AG122" s="405" t="s">
        <v>47</v>
      </c>
      <c r="AH122" s="395"/>
      <c r="AI122" s="405">
        <v>75</v>
      </c>
      <c r="AJ122" s="405" t="s">
        <v>1449</v>
      </c>
      <c r="AK122" s="405" t="s">
        <v>1070</v>
      </c>
      <c r="AL122" s="425">
        <v>21075</v>
      </c>
      <c r="AM122" s="405" t="s">
        <v>52</v>
      </c>
      <c r="AN122" s="405" t="s">
        <v>50</v>
      </c>
      <c r="AO122" s="405"/>
      <c r="AP122" s="405" t="s">
        <v>92</v>
      </c>
      <c r="AQ122" s="405" t="s">
        <v>37</v>
      </c>
      <c r="AR122" s="405"/>
      <c r="AS122" s="369"/>
      <c r="AT122" s="363"/>
      <c r="AU122" s="403"/>
      <c r="AV122" s="402"/>
      <c r="AW122" s="402"/>
      <c r="AX122" s="402"/>
      <c r="AY122" s="402"/>
      <c r="AZ122" s="402"/>
      <c r="BA122" s="402"/>
      <c r="BB122" s="402"/>
      <c r="BC122" s="402"/>
    </row>
    <row r="123" spans="1:55">
      <c r="A123" s="377"/>
      <c r="B123" s="376"/>
      <c r="C123" s="376"/>
      <c r="D123" s="405" t="s">
        <v>1066</v>
      </c>
      <c r="E123" s="364"/>
      <c r="F123" s="405" t="s">
        <v>1139</v>
      </c>
      <c r="G123" s="405">
        <v>2022</v>
      </c>
      <c r="H123" s="405">
        <v>5</v>
      </c>
      <c r="I123" s="416"/>
      <c r="J123" s="406" t="s">
        <v>1101</v>
      </c>
      <c r="K123" s="405" t="s">
        <v>4941</v>
      </c>
      <c r="L123" s="406" t="s">
        <v>1442</v>
      </c>
      <c r="M123" s="406">
        <v>44468</v>
      </c>
      <c r="N123" s="406" t="s">
        <v>1460</v>
      </c>
      <c r="O123" s="406"/>
      <c r="P123" s="406" t="s">
        <v>1368</v>
      </c>
      <c r="Q123" s="406"/>
      <c r="R123" s="406"/>
      <c r="S123" s="405" t="s">
        <v>1443</v>
      </c>
      <c r="T123" s="405">
        <v>60</v>
      </c>
      <c r="U123" s="405">
        <v>49406140</v>
      </c>
      <c r="V123" s="405" t="s">
        <v>1447</v>
      </c>
      <c r="W123" s="407">
        <v>400</v>
      </c>
      <c r="X123" s="371">
        <v>2496</v>
      </c>
      <c r="Y123" s="422">
        <f t="shared" si="24"/>
        <v>998400</v>
      </c>
      <c r="Z123" s="409">
        <v>0.48</v>
      </c>
      <c r="AA123" s="410">
        <f t="shared" si="23"/>
        <v>479232</v>
      </c>
      <c r="AB123" s="362"/>
      <c r="AC123" s="412">
        <v>0</v>
      </c>
      <c r="AD123" s="405"/>
      <c r="AE123" s="413"/>
      <c r="AF123" s="424">
        <f t="shared" si="25"/>
        <v>479232</v>
      </c>
      <c r="AG123" s="405" t="s">
        <v>47</v>
      </c>
      <c r="AH123" s="395"/>
      <c r="AI123" s="405">
        <v>75</v>
      </c>
      <c r="AJ123" s="405" t="s">
        <v>1449</v>
      </c>
      <c r="AK123" s="405" t="s">
        <v>1070</v>
      </c>
      <c r="AL123" s="425">
        <v>21075</v>
      </c>
      <c r="AM123" s="405" t="s">
        <v>52</v>
      </c>
      <c r="AN123" s="405" t="s">
        <v>1101</v>
      </c>
      <c r="AO123" s="405"/>
      <c r="AP123" s="405"/>
      <c r="AQ123" s="405" t="s">
        <v>37</v>
      </c>
      <c r="AR123" s="405"/>
      <c r="AS123" s="369"/>
      <c r="AT123" s="363"/>
      <c r="AU123" s="403"/>
      <c r="AV123" s="402">
        <f t="shared" ref="AV123:AV133" si="26">U123</f>
        <v>49406140</v>
      </c>
      <c r="AW123" s="402" cm="1">
        <f t="array" ref="AW123">SUM(MID(0&amp;AV123,LARGE(INDEX(ISNUMBER(--MID(AV123,ROW($1:$8),1))*ROW($1:$8),),ROW($1:$8))+1,1)*10^ROW($1:$8)/10)</f>
        <v>49406140</v>
      </c>
      <c r="AX123" s="402" t="e">
        <f>VLOOKUP($AW123,'Item Master Data'!$A:$F,3,FALSE)</f>
        <v>#N/A</v>
      </c>
      <c r="AY123" s="402" t="e">
        <f>VLOOKUP($AW123,'Item Master Data'!$A:$F,6,FALSE)</f>
        <v>#N/A</v>
      </c>
      <c r="AZ123" s="402" t="e">
        <f t="shared" ref="AZ123:AZ133" si="27">X123/BA123</f>
        <v>#N/A</v>
      </c>
      <c r="BA123" s="402" t="e">
        <f>VLOOKUP(AW123,'Item Master Data'!$A:$G,7,FALSE)</f>
        <v>#N/A</v>
      </c>
      <c r="BB123" s="402"/>
      <c r="BC123" s="402" t="e">
        <f t="shared" ref="BC123:BC133" si="28">W123-AY123</f>
        <v>#N/A</v>
      </c>
    </row>
    <row r="124" spans="1:55">
      <c r="A124" s="377"/>
      <c r="B124" s="376"/>
      <c r="C124" s="376"/>
      <c r="D124" s="405" t="s">
        <v>1066</v>
      </c>
      <c r="E124" s="364"/>
      <c r="F124" s="405" t="s">
        <v>1139</v>
      </c>
      <c r="G124" s="405">
        <v>2022</v>
      </c>
      <c r="H124" s="405">
        <v>5</v>
      </c>
      <c r="I124" s="416">
        <v>128618</v>
      </c>
      <c r="J124" s="406">
        <v>44683</v>
      </c>
      <c r="K124" s="405" t="s">
        <v>4412</v>
      </c>
      <c r="L124" s="406" t="s">
        <v>1442</v>
      </c>
      <c r="M124" s="406">
        <v>44468</v>
      </c>
      <c r="N124" s="406" t="s">
        <v>1460</v>
      </c>
      <c r="O124" s="406"/>
      <c r="P124" s="406">
        <v>44678</v>
      </c>
      <c r="Q124" s="406">
        <v>44683</v>
      </c>
      <c r="R124" s="406">
        <v>44683</v>
      </c>
      <c r="S124" s="405" t="s">
        <v>1443</v>
      </c>
      <c r="T124" s="405">
        <v>60</v>
      </c>
      <c r="U124" s="405" t="s">
        <v>1455</v>
      </c>
      <c r="V124" s="405" t="s">
        <v>1447</v>
      </c>
      <c r="W124" s="407">
        <v>400</v>
      </c>
      <c r="X124" s="371">
        <v>624</v>
      </c>
      <c r="Y124" s="422">
        <f t="shared" si="24"/>
        <v>249600</v>
      </c>
      <c r="Z124" s="409">
        <v>0.48</v>
      </c>
      <c r="AA124" s="410">
        <f t="shared" si="23"/>
        <v>119808</v>
      </c>
      <c r="AB124" s="362"/>
      <c r="AC124" s="412">
        <v>0</v>
      </c>
      <c r="AD124" s="405"/>
      <c r="AE124" s="413"/>
      <c r="AF124" s="424">
        <f t="shared" si="25"/>
        <v>119808</v>
      </c>
      <c r="AG124" s="405" t="s">
        <v>47</v>
      </c>
      <c r="AH124" s="395"/>
      <c r="AI124" s="405">
        <v>75</v>
      </c>
      <c r="AJ124" s="405" t="s">
        <v>4942</v>
      </c>
      <c r="AK124" s="405" t="s">
        <v>50</v>
      </c>
      <c r="AL124" s="425">
        <v>92407</v>
      </c>
      <c r="AM124" s="405" t="s">
        <v>52</v>
      </c>
      <c r="AN124" s="405" t="s">
        <v>50</v>
      </c>
      <c r="AO124" s="405"/>
      <c r="AP124" s="405" t="s">
        <v>92</v>
      </c>
      <c r="AQ124" s="405" t="s">
        <v>37</v>
      </c>
      <c r="AR124" s="405"/>
      <c r="AS124" s="369"/>
      <c r="AT124" s="363"/>
      <c r="AU124" s="403"/>
      <c r="AV124" s="402" t="str">
        <f t="shared" si="26"/>
        <v>30390256H</v>
      </c>
      <c r="AW124" s="402" cm="1">
        <f t="array" ref="AW124">SUM(MID(0&amp;AV124,LARGE(INDEX(ISNUMBER(--MID(AV124,ROW($1:$8),1))*ROW($1:$8),),ROW($1:$8))+1,1)*10^ROW($1:$8)/10)</f>
        <v>30390256</v>
      </c>
      <c r="AX124" s="402" t="str">
        <f>VLOOKUP($AW124,'Item Master Data'!$A:$F,3,FALSE)</f>
        <v>T400H</v>
      </c>
      <c r="AY124" s="402">
        <f>VLOOKUP($AW124,'Item Master Data'!$A:$F,6,FALSE)</f>
        <v>400</v>
      </c>
      <c r="AZ124" s="402">
        <f t="shared" si="27"/>
        <v>24</v>
      </c>
      <c r="BA124" s="402">
        <f>VLOOKUP(AW124,'Item Master Data'!$A:$G,7,FALSE)</f>
        <v>26</v>
      </c>
      <c r="BB124" s="402"/>
      <c r="BC124" s="402">
        <f t="shared" si="28"/>
        <v>0</v>
      </c>
    </row>
    <row r="125" spans="1:55">
      <c r="A125" s="377"/>
      <c r="B125" s="376"/>
      <c r="C125" s="376"/>
      <c r="D125" s="405" t="s">
        <v>1066</v>
      </c>
      <c r="E125" s="364"/>
      <c r="F125" s="405" t="s">
        <v>1139</v>
      </c>
      <c r="G125" s="405">
        <v>2022</v>
      </c>
      <c r="H125" s="405">
        <v>5</v>
      </c>
      <c r="I125" s="416">
        <v>128619</v>
      </c>
      <c r="J125" s="406">
        <v>44683</v>
      </c>
      <c r="K125" s="405" t="s">
        <v>4412</v>
      </c>
      <c r="L125" s="406" t="s">
        <v>1442</v>
      </c>
      <c r="M125" s="406">
        <v>44468</v>
      </c>
      <c r="N125" s="406" t="s">
        <v>1460</v>
      </c>
      <c r="O125" s="406"/>
      <c r="P125" s="406">
        <v>44678</v>
      </c>
      <c r="Q125" s="406">
        <v>44683</v>
      </c>
      <c r="R125" s="406">
        <v>44683</v>
      </c>
      <c r="S125" s="405" t="s">
        <v>1443</v>
      </c>
      <c r="T125" s="405">
        <v>60</v>
      </c>
      <c r="U125" s="405" t="s">
        <v>1455</v>
      </c>
      <c r="V125" s="405" t="s">
        <v>1447</v>
      </c>
      <c r="W125" s="407">
        <v>400</v>
      </c>
      <c r="X125" s="371">
        <v>624</v>
      </c>
      <c r="Y125" s="422">
        <f t="shared" si="24"/>
        <v>249600</v>
      </c>
      <c r="Z125" s="409">
        <v>0.48</v>
      </c>
      <c r="AA125" s="410">
        <f t="shared" si="23"/>
        <v>119808</v>
      </c>
      <c r="AB125" s="362"/>
      <c r="AC125" s="412">
        <v>0</v>
      </c>
      <c r="AD125" s="405"/>
      <c r="AE125" s="413"/>
      <c r="AF125" s="424">
        <f t="shared" si="25"/>
        <v>119808</v>
      </c>
      <c r="AG125" s="405" t="s">
        <v>47</v>
      </c>
      <c r="AH125" s="395"/>
      <c r="AI125" s="405">
        <v>75</v>
      </c>
      <c r="AJ125" s="405" t="s">
        <v>4942</v>
      </c>
      <c r="AK125" s="405" t="s">
        <v>50</v>
      </c>
      <c r="AL125" s="425">
        <v>92407</v>
      </c>
      <c r="AM125" s="405" t="s">
        <v>52</v>
      </c>
      <c r="AN125" s="405" t="s">
        <v>50</v>
      </c>
      <c r="AO125" s="405"/>
      <c r="AP125" s="405" t="s">
        <v>92</v>
      </c>
      <c r="AQ125" s="405" t="s">
        <v>37</v>
      </c>
      <c r="AR125" s="405"/>
      <c r="AS125" s="369"/>
      <c r="AT125" s="363"/>
      <c r="AU125" s="403"/>
      <c r="AV125" s="402" t="str">
        <f t="shared" si="26"/>
        <v>30390256H</v>
      </c>
      <c r="AW125" s="402" cm="1">
        <f t="array" ref="AW125">SUM(MID(0&amp;AV125,LARGE(INDEX(ISNUMBER(--MID(AV125,ROW($1:$8),1))*ROW($1:$8),),ROW($1:$8))+1,1)*10^ROW($1:$8)/10)</f>
        <v>30390256</v>
      </c>
      <c r="AX125" s="402" t="str">
        <f>VLOOKUP($AW125,'Item Master Data'!$A:$F,3,FALSE)</f>
        <v>T400H</v>
      </c>
      <c r="AY125" s="402">
        <f>VLOOKUP($AW125,'Item Master Data'!$A:$F,6,FALSE)</f>
        <v>400</v>
      </c>
      <c r="AZ125" s="402">
        <f t="shared" si="27"/>
        <v>24</v>
      </c>
      <c r="BA125" s="402">
        <f>VLOOKUP(AW125,'Item Master Data'!$A:$G,7,FALSE)</f>
        <v>26</v>
      </c>
      <c r="BB125" s="402"/>
      <c r="BC125" s="402">
        <f t="shared" si="28"/>
        <v>0</v>
      </c>
    </row>
    <row r="126" spans="1:55">
      <c r="A126" s="377"/>
      <c r="B126" s="376"/>
      <c r="C126" s="376"/>
      <c r="D126" s="405" t="s">
        <v>1066</v>
      </c>
      <c r="E126" s="364"/>
      <c r="F126" s="405" t="s">
        <v>1139</v>
      </c>
      <c r="G126" s="405">
        <v>2022</v>
      </c>
      <c r="H126" s="405">
        <v>5</v>
      </c>
      <c r="I126" s="416">
        <v>128612</v>
      </c>
      <c r="J126" s="406">
        <v>44684</v>
      </c>
      <c r="K126" s="405" t="s">
        <v>4412</v>
      </c>
      <c r="L126" s="406" t="s">
        <v>1442</v>
      </c>
      <c r="M126" s="406">
        <v>44468</v>
      </c>
      <c r="N126" s="406" t="s">
        <v>1460</v>
      </c>
      <c r="O126" s="406"/>
      <c r="P126" s="406">
        <v>44678</v>
      </c>
      <c r="Q126" s="406">
        <v>44684</v>
      </c>
      <c r="R126" s="406">
        <v>44684</v>
      </c>
      <c r="S126" s="405" t="s">
        <v>1443</v>
      </c>
      <c r="T126" s="405">
        <v>60</v>
      </c>
      <c r="U126" s="405" t="s">
        <v>1455</v>
      </c>
      <c r="V126" s="405" t="s">
        <v>1447</v>
      </c>
      <c r="W126" s="407">
        <v>400</v>
      </c>
      <c r="X126" s="371">
        <v>624</v>
      </c>
      <c r="Y126" s="422">
        <f t="shared" si="24"/>
        <v>249600</v>
      </c>
      <c r="Z126" s="409">
        <v>0.48</v>
      </c>
      <c r="AA126" s="410">
        <f t="shared" si="23"/>
        <v>119808</v>
      </c>
      <c r="AB126" s="362"/>
      <c r="AC126" s="412">
        <v>0</v>
      </c>
      <c r="AD126" s="405"/>
      <c r="AE126" s="413"/>
      <c r="AF126" s="424">
        <f t="shared" si="25"/>
        <v>119808</v>
      </c>
      <c r="AG126" s="405" t="s">
        <v>47</v>
      </c>
      <c r="AH126" s="395"/>
      <c r="AI126" s="405">
        <v>75</v>
      </c>
      <c r="AJ126" s="405" t="s">
        <v>4942</v>
      </c>
      <c r="AK126" s="405" t="s">
        <v>50</v>
      </c>
      <c r="AL126" s="425">
        <v>92407</v>
      </c>
      <c r="AM126" s="405" t="s">
        <v>52</v>
      </c>
      <c r="AN126" s="405" t="s">
        <v>50</v>
      </c>
      <c r="AO126" s="405"/>
      <c r="AP126" s="405" t="s">
        <v>92</v>
      </c>
      <c r="AQ126" s="405" t="s">
        <v>37</v>
      </c>
      <c r="AR126" s="405"/>
      <c r="AS126" s="369"/>
      <c r="AT126" s="363"/>
      <c r="AU126" s="403"/>
      <c r="AV126" s="402" t="str">
        <f t="shared" si="26"/>
        <v>30390256H</v>
      </c>
      <c r="AW126" s="402" cm="1">
        <f t="array" ref="AW126">SUM(MID(0&amp;AV126,LARGE(INDEX(ISNUMBER(--MID(AV126,ROW($1:$8),1))*ROW($1:$8),),ROW($1:$8))+1,1)*10^ROW($1:$8)/10)</f>
        <v>30390256</v>
      </c>
      <c r="AX126" s="402" t="str">
        <f>VLOOKUP($AW126,'Item Master Data'!$A:$F,3,FALSE)</f>
        <v>T400H</v>
      </c>
      <c r="AY126" s="402">
        <f>VLOOKUP($AW126,'Item Master Data'!$A:$F,6,FALSE)</f>
        <v>400</v>
      </c>
      <c r="AZ126" s="402">
        <f t="shared" si="27"/>
        <v>24</v>
      </c>
      <c r="BA126" s="402">
        <f>VLOOKUP(AW126,'Item Master Data'!$A:$G,7,FALSE)</f>
        <v>26</v>
      </c>
      <c r="BB126" s="402"/>
      <c r="BC126" s="402">
        <f t="shared" si="28"/>
        <v>0</v>
      </c>
    </row>
    <row r="127" spans="1:55">
      <c r="A127" s="377"/>
      <c r="B127" s="376"/>
      <c r="C127" s="376"/>
      <c r="D127" s="405" t="s">
        <v>1066</v>
      </c>
      <c r="E127" s="364"/>
      <c r="F127" s="405" t="s">
        <v>1139</v>
      </c>
      <c r="G127" s="405">
        <v>2022</v>
      </c>
      <c r="H127" s="405">
        <v>5</v>
      </c>
      <c r="I127" s="416">
        <v>128616</v>
      </c>
      <c r="J127" s="406">
        <v>44684</v>
      </c>
      <c r="K127" s="405" t="s">
        <v>4412</v>
      </c>
      <c r="L127" s="406" t="s">
        <v>1442</v>
      </c>
      <c r="M127" s="406">
        <v>44468</v>
      </c>
      <c r="N127" s="406" t="s">
        <v>1460</v>
      </c>
      <c r="O127" s="406"/>
      <c r="P127" s="406">
        <v>44678</v>
      </c>
      <c r="Q127" s="406">
        <v>44684</v>
      </c>
      <c r="R127" s="406">
        <v>44684</v>
      </c>
      <c r="S127" s="405" t="s">
        <v>1443</v>
      </c>
      <c r="T127" s="405">
        <v>60</v>
      </c>
      <c r="U127" s="405" t="s">
        <v>1455</v>
      </c>
      <c r="V127" s="405" t="s">
        <v>1447</v>
      </c>
      <c r="W127" s="407">
        <v>400</v>
      </c>
      <c r="X127" s="371">
        <v>624</v>
      </c>
      <c r="Y127" s="422">
        <f t="shared" si="24"/>
        <v>249600</v>
      </c>
      <c r="Z127" s="409">
        <v>0.48</v>
      </c>
      <c r="AA127" s="410">
        <f t="shared" si="23"/>
        <v>119808</v>
      </c>
      <c r="AB127" s="362"/>
      <c r="AC127" s="412">
        <v>0</v>
      </c>
      <c r="AD127" s="405"/>
      <c r="AE127" s="413"/>
      <c r="AF127" s="424">
        <f t="shared" si="25"/>
        <v>119808</v>
      </c>
      <c r="AG127" s="405" t="s">
        <v>47</v>
      </c>
      <c r="AH127" s="395"/>
      <c r="AI127" s="405">
        <v>75</v>
      </c>
      <c r="AJ127" s="405" t="s">
        <v>4942</v>
      </c>
      <c r="AK127" s="405" t="s">
        <v>50</v>
      </c>
      <c r="AL127" s="425">
        <v>92407</v>
      </c>
      <c r="AM127" s="405" t="s">
        <v>52</v>
      </c>
      <c r="AN127" s="405" t="s">
        <v>50</v>
      </c>
      <c r="AO127" s="405"/>
      <c r="AP127" s="405" t="s">
        <v>92</v>
      </c>
      <c r="AQ127" s="405" t="s">
        <v>37</v>
      </c>
      <c r="AR127" s="405"/>
      <c r="AS127" s="369"/>
      <c r="AT127" s="363"/>
      <c r="AU127" s="403"/>
      <c r="AV127" s="402" t="str">
        <f t="shared" si="26"/>
        <v>30390256H</v>
      </c>
      <c r="AW127" s="402" cm="1">
        <f t="array" ref="AW127">SUM(MID(0&amp;AV127,LARGE(INDEX(ISNUMBER(--MID(AV127,ROW($1:$8),1))*ROW($1:$8),),ROW($1:$8))+1,1)*10^ROW($1:$8)/10)</f>
        <v>30390256</v>
      </c>
      <c r="AX127" s="402" t="str">
        <f>VLOOKUP($AW127,'Item Master Data'!$A:$F,3,FALSE)</f>
        <v>T400H</v>
      </c>
      <c r="AY127" s="402">
        <f>VLOOKUP($AW127,'Item Master Data'!$A:$F,6,FALSE)</f>
        <v>400</v>
      </c>
      <c r="AZ127" s="402">
        <f t="shared" si="27"/>
        <v>24</v>
      </c>
      <c r="BA127" s="402">
        <f>VLOOKUP(AW127,'Item Master Data'!$A:$G,7,FALSE)</f>
        <v>26</v>
      </c>
      <c r="BB127" s="402"/>
      <c r="BC127" s="402">
        <f t="shared" si="28"/>
        <v>0</v>
      </c>
    </row>
    <row r="128" spans="1:55">
      <c r="A128" s="377"/>
      <c r="B128" s="376"/>
      <c r="C128" s="376"/>
      <c r="D128" s="405" t="s">
        <v>1066</v>
      </c>
      <c r="E128" s="364"/>
      <c r="F128" s="405" t="s">
        <v>1139</v>
      </c>
      <c r="G128" s="405">
        <v>2022</v>
      </c>
      <c r="H128" s="405">
        <v>5</v>
      </c>
      <c r="I128" s="416">
        <v>128617</v>
      </c>
      <c r="J128" s="406">
        <v>44684</v>
      </c>
      <c r="K128" s="405" t="s">
        <v>4412</v>
      </c>
      <c r="L128" s="406" t="s">
        <v>1442</v>
      </c>
      <c r="M128" s="406">
        <v>44468</v>
      </c>
      <c r="N128" s="406" t="s">
        <v>1460</v>
      </c>
      <c r="O128" s="406"/>
      <c r="P128" s="406">
        <v>44678</v>
      </c>
      <c r="Q128" s="406">
        <v>44684</v>
      </c>
      <c r="R128" s="406">
        <v>44684</v>
      </c>
      <c r="S128" s="405" t="s">
        <v>1443</v>
      </c>
      <c r="T128" s="405">
        <v>60</v>
      </c>
      <c r="U128" s="405" t="s">
        <v>1455</v>
      </c>
      <c r="V128" s="405" t="s">
        <v>1447</v>
      </c>
      <c r="W128" s="407">
        <v>400</v>
      </c>
      <c r="X128" s="371">
        <v>624</v>
      </c>
      <c r="Y128" s="422">
        <f t="shared" si="24"/>
        <v>249600</v>
      </c>
      <c r="Z128" s="409">
        <v>0.48</v>
      </c>
      <c r="AA128" s="410">
        <f t="shared" si="23"/>
        <v>119808</v>
      </c>
      <c r="AB128" s="362"/>
      <c r="AC128" s="412">
        <v>0</v>
      </c>
      <c r="AD128" s="405"/>
      <c r="AE128" s="413"/>
      <c r="AF128" s="424">
        <f t="shared" si="25"/>
        <v>119808</v>
      </c>
      <c r="AG128" s="405" t="s">
        <v>47</v>
      </c>
      <c r="AH128" s="395"/>
      <c r="AI128" s="405">
        <v>75</v>
      </c>
      <c r="AJ128" s="405" t="s">
        <v>4942</v>
      </c>
      <c r="AK128" s="405" t="s">
        <v>50</v>
      </c>
      <c r="AL128" s="425">
        <v>92407</v>
      </c>
      <c r="AM128" s="405" t="s">
        <v>52</v>
      </c>
      <c r="AN128" s="405" t="s">
        <v>50</v>
      </c>
      <c r="AO128" s="405"/>
      <c r="AP128" s="405" t="s">
        <v>92</v>
      </c>
      <c r="AQ128" s="405" t="s">
        <v>37</v>
      </c>
      <c r="AR128" s="405"/>
      <c r="AS128" s="369"/>
      <c r="AT128" s="363"/>
      <c r="AU128" s="403"/>
      <c r="AV128" s="402" t="str">
        <f t="shared" si="26"/>
        <v>30390256H</v>
      </c>
      <c r="AW128" s="402" cm="1">
        <f t="array" ref="AW128">SUM(MID(0&amp;AV128,LARGE(INDEX(ISNUMBER(--MID(AV128,ROW($1:$8),1))*ROW($1:$8),),ROW($1:$8))+1,1)*10^ROW($1:$8)/10)</f>
        <v>30390256</v>
      </c>
      <c r="AX128" s="402" t="str">
        <f>VLOOKUP($AW128,'Item Master Data'!$A:$F,3,FALSE)</f>
        <v>T400H</v>
      </c>
      <c r="AY128" s="402">
        <f>VLOOKUP($AW128,'Item Master Data'!$A:$F,6,FALSE)</f>
        <v>400</v>
      </c>
      <c r="AZ128" s="402">
        <f t="shared" si="27"/>
        <v>24</v>
      </c>
      <c r="BA128" s="402">
        <f>VLOOKUP(AW128,'Item Master Data'!$A:$G,7,FALSE)</f>
        <v>26</v>
      </c>
      <c r="BB128" s="402"/>
      <c r="BC128" s="402">
        <f t="shared" si="28"/>
        <v>0</v>
      </c>
    </row>
    <row r="129" spans="1:55">
      <c r="A129" s="377"/>
      <c r="B129" s="376"/>
      <c r="C129" s="376"/>
      <c r="D129" s="405" t="s">
        <v>1066</v>
      </c>
      <c r="E129" s="364"/>
      <c r="F129" s="405" t="s">
        <v>1139</v>
      </c>
      <c r="G129" s="405">
        <v>2022</v>
      </c>
      <c r="H129" s="405">
        <v>5</v>
      </c>
      <c r="I129" s="416">
        <v>128613</v>
      </c>
      <c r="J129" s="406">
        <v>44685</v>
      </c>
      <c r="K129" s="405" t="s">
        <v>4412</v>
      </c>
      <c r="L129" s="406" t="s">
        <v>1442</v>
      </c>
      <c r="M129" s="406">
        <v>44468</v>
      </c>
      <c r="N129" s="406" t="s">
        <v>1460</v>
      </c>
      <c r="O129" s="406"/>
      <c r="P129" s="406">
        <v>44678</v>
      </c>
      <c r="Q129" s="406">
        <v>44685</v>
      </c>
      <c r="R129" s="406">
        <v>44685</v>
      </c>
      <c r="S129" s="405" t="s">
        <v>1443</v>
      </c>
      <c r="T129" s="405">
        <v>60</v>
      </c>
      <c r="U129" s="405" t="s">
        <v>1455</v>
      </c>
      <c r="V129" s="405" t="s">
        <v>1447</v>
      </c>
      <c r="W129" s="407">
        <v>400</v>
      </c>
      <c r="X129" s="371">
        <v>624</v>
      </c>
      <c r="Y129" s="422">
        <f t="shared" si="24"/>
        <v>249600</v>
      </c>
      <c r="Z129" s="409">
        <v>0.48</v>
      </c>
      <c r="AA129" s="410">
        <f t="shared" si="23"/>
        <v>119808</v>
      </c>
      <c r="AB129" s="362"/>
      <c r="AC129" s="412">
        <v>0</v>
      </c>
      <c r="AD129" s="405"/>
      <c r="AE129" s="413"/>
      <c r="AF129" s="424">
        <f t="shared" si="25"/>
        <v>119808</v>
      </c>
      <c r="AG129" s="405" t="s">
        <v>47</v>
      </c>
      <c r="AH129" s="395"/>
      <c r="AI129" s="405">
        <v>75</v>
      </c>
      <c r="AJ129" s="405" t="s">
        <v>4942</v>
      </c>
      <c r="AK129" s="405" t="s">
        <v>50</v>
      </c>
      <c r="AL129" s="425">
        <v>92407</v>
      </c>
      <c r="AM129" s="405" t="s">
        <v>52</v>
      </c>
      <c r="AN129" s="405" t="s">
        <v>50</v>
      </c>
      <c r="AO129" s="405"/>
      <c r="AP129" s="405" t="s">
        <v>92</v>
      </c>
      <c r="AQ129" s="405" t="s">
        <v>37</v>
      </c>
      <c r="AR129" s="405"/>
      <c r="AS129" s="369"/>
      <c r="AT129" s="363"/>
      <c r="AU129" s="403"/>
      <c r="AV129" s="402" t="str">
        <f t="shared" si="26"/>
        <v>30390256H</v>
      </c>
      <c r="AW129" s="402" cm="1">
        <f t="array" ref="AW129">SUM(MID(0&amp;AV129,LARGE(INDEX(ISNUMBER(--MID(AV129,ROW($1:$8),1))*ROW($1:$8),),ROW($1:$8))+1,1)*10^ROW($1:$8)/10)</f>
        <v>30390256</v>
      </c>
      <c r="AX129" s="402" t="str">
        <f>VLOOKUP($AW129,'Item Master Data'!$A:$F,3,FALSE)</f>
        <v>T400H</v>
      </c>
      <c r="AY129" s="402">
        <f>VLOOKUP($AW129,'Item Master Data'!$A:$F,6,FALSE)</f>
        <v>400</v>
      </c>
      <c r="AZ129" s="402">
        <f t="shared" si="27"/>
        <v>24</v>
      </c>
      <c r="BA129" s="402">
        <f>VLOOKUP(AW129,'Item Master Data'!$A:$G,7,FALSE)</f>
        <v>26</v>
      </c>
      <c r="BB129" s="402"/>
      <c r="BC129" s="402">
        <f t="shared" si="28"/>
        <v>0</v>
      </c>
    </row>
    <row r="130" spans="1:55">
      <c r="A130" s="377"/>
      <c r="B130" s="376"/>
      <c r="C130" s="376"/>
      <c r="D130" s="405" t="s">
        <v>1066</v>
      </c>
      <c r="E130" s="364"/>
      <c r="F130" s="405" t="s">
        <v>1139</v>
      </c>
      <c r="G130" s="405">
        <v>2022</v>
      </c>
      <c r="H130" s="405">
        <v>5</v>
      </c>
      <c r="I130" s="416">
        <v>128614</v>
      </c>
      <c r="J130" s="406">
        <v>44685</v>
      </c>
      <c r="K130" s="405" t="s">
        <v>4412</v>
      </c>
      <c r="L130" s="406" t="s">
        <v>1442</v>
      </c>
      <c r="M130" s="406">
        <v>44468</v>
      </c>
      <c r="N130" s="406" t="s">
        <v>1460</v>
      </c>
      <c r="O130" s="406"/>
      <c r="P130" s="406">
        <v>44678</v>
      </c>
      <c r="Q130" s="406">
        <v>44685</v>
      </c>
      <c r="R130" s="406">
        <v>44685</v>
      </c>
      <c r="S130" s="405" t="s">
        <v>1443</v>
      </c>
      <c r="T130" s="405">
        <v>60</v>
      </c>
      <c r="U130" s="405" t="s">
        <v>1455</v>
      </c>
      <c r="V130" s="405" t="s">
        <v>1447</v>
      </c>
      <c r="W130" s="407">
        <v>400</v>
      </c>
      <c r="X130" s="371">
        <v>624</v>
      </c>
      <c r="Y130" s="422">
        <f t="shared" si="24"/>
        <v>249600</v>
      </c>
      <c r="Z130" s="409">
        <v>0.48</v>
      </c>
      <c r="AA130" s="410">
        <f t="shared" si="23"/>
        <v>119808</v>
      </c>
      <c r="AB130" s="362"/>
      <c r="AC130" s="412">
        <v>0</v>
      </c>
      <c r="AD130" s="405"/>
      <c r="AE130" s="413"/>
      <c r="AF130" s="424">
        <f t="shared" si="25"/>
        <v>119808</v>
      </c>
      <c r="AG130" s="405" t="s">
        <v>47</v>
      </c>
      <c r="AH130" s="395"/>
      <c r="AI130" s="405">
        <v>75</v>
      </c>
      <c r="AJ130" s="405" t="s">
        <v>4942</v>
      </c>
      <c r="AK130" s="405" t="s">
        <v>50</v>
      </c>
      <c r="AL130" s="425">
        <v>92407</v>
      </c>
      <c r="AM130" s="405" t="s">
        <v>52</v>
      </c>
      <c r="AN130" s="405" t="s">
        <v>50</v>
      </c>
      <c r="AO130" s="405"/>
      <c r="AP130" s="405" t="s">
        <v>92</v>
      </c>
      <c r="AQ130" s="405" t="s">
        <v>37</v>
      </c>
      <c r="AR130" s="405"/>
      <c r="AS130" s="369"/>
      <c r="AT130" s="363"/>
      <c r="AU130" s="403"/>
      <c r="AV130" s="402" t="str">
        <f t="shared" si="26"/>
        <v>30390256H</v>
      </c>
      <c r="AW130" s="402" cm="1">
        <f t="array" ref="AW130">SUM(MID(0&amp;AV130,LARGE(INDEX(ISNUMBER(--MID(AV130,ROW($1:$8),1))*ROW($1:$8),),ROW($1:$8))+1,1)*10^ROW($1:$8)/10)</f>
        <v>30390256</v>
      </c>
      <c r="AX130" s="402" t="str">
        <f>VLOOKUP($AW130,'Item Master Data'!$A:$F,3,FALSE)</f>
        <v>T400H</v>
      </c>
      <c r="AY130" s="402">
        <f>VLOOKUP($AW130,'Item Master Data'!$A:$F,6,FALSE)</f>
        <v>400</v>
      </c>
      <c r="AZ130" s="402">
        <f t="shared" si="27"/>
        <v>24</v>
      </c>
      <c r="BA130" s="402">
        <f>VLOOKUP(AW130,'Item Master Data'!$A:$G,7,FALSE)</f>
        <v>26</v>
      </c>
      <c r="BB130" s="402"/>
      <c r="BC130" s="402">
        <f t="shared" si="28"/>
        <v>0</v>
      </c>
    </row>
    <row r="131" spans="1:55">
      <c r="A131" s="377"/>
      <c r="B131" s="376"/>
      <c r="C131" s="376"/>
      <c r="D131" s="405" t="s">
        <v>1066</v>
      </c>
      <c r="E131" s="364"/>
      <c r="F131" s="405" t="s">
        <v>1139</v>
      </c>
      <c r="G131" s="405">
        <v>2022</v>
      </c>
      <c r="H131" s="405">
        <v>5</v>
      </c>
      <c r="I131" s="416">
        <v>128615</v>
      </c>
      <c r="J131" s="406">
        <v>44685</v>
      </c>
      <c r="K131" s="405" t="s">
        <v>4412</v>
      </c>
      <c r="L131" s="406" t="s">
        <v>1442</v>
      </c>
      <c r="M131" s="406">
        <v>44468</v>
      </c>
      <c r="N131" s="406" t="s">
        <v>1460</v>
      </c>
      <c r="O131" s="406"/>
      <c r="P131" s="406">
        <v>44678</v>
      </c>
      <c r="Q131" s="406">
        <v>44685</v>
      </c>
      <c r="R131" s="406">
        <v>44685</v>
      </c>
      <c r="S131" s="405" t="s">
        <v>1443</v>
      </c>
      <c r="T131" s="405">
        <v>60</v>
      </c>
      <c r="U131" s="405" t="s">
        <v>1455</v>
      </c>
      <c r="V131" s="405" t="s">
        <v>1447</v>
      </c>
      <c r="W131" s="407">
        <v>400</v>
      </c>
      <c r="X131" s="371">
        <v>624</v>
      </c>
      <c r="Y131" s="422">
        <f t="shared" si="24"/>
        <v>249600</v>
      </c>
      <c r="Z131" s="409">
        <v>0.48</v>
      </c>
      <c r="AA131" s="410">
        <f t="shared" si="23"/>
        <v>119808</v>
      </c>
      <c r="AB131" s="362"/>
      <c r="AC131" s="412">
        <v>0</v>
      </c>
      <c r="AD131" s="405"/>
      <c r="AE131" s="413"/>
      <c r="AF131" s="424">
        <f t="shared" si="25"/>
        <v>119808</v>
      </c>
      <c r="AG131" s="405" t="s">
        <v>47</v>
      </c>
      <c r="AH131" s="395"/>
      <c r="AI131" s="405">
        <v>75</v>
      </c>
      <c r="AJ131" s="405" t="s">
        <v>4942</v>
      </c>
      <c r="AK131" s="405" t="s">
        <v>50</v>
      </c>
      <c r="AL131" s="425">
        <v>92407</v>
      </c>
      <c r="AM131" s="405" t="s">
        <v>52</v>
      </c>
      <c r="AN131" s="405" t="s">
        <v>50</v>
      </c>
      <c r="AO131" s="405"/>
      <c r="AP131" s="405" t="s">
        <v>92</v>
      </c>
      <c r="AQ131" s="405" t="s">
        <v>37</v>
      </c>
      <c r="AR131" s="405"/>
      <c r="AS131" s="369"/>
      <c r="AT131" s="363"/>
      <c r="AU131" s="403"/>
      <c r="AV131" s="402" t="str">
        <f t="shared" si="26"/>
        <v>30390256H</v>
      </c>
      <c r="AW131" s="402" cm="1">
        <f t="array" ref="AW131">SUM(MID(0&amp;AV131,LARGE(INDEX(ISNUMBER(--MID(AV131,ROW($1:$8),1))*ROW($1:$8),),ROW($1:$8))+1,1)*10^ROW($1:$8)/10)</f>
        <v>30390256</v>
      </c>
      <c r="AX131" s="402" t="str">
        <f>VLOOKUP($AW131,'Item Master Data'!$A:$F,3,FALSE)</f>
        <v>T400H</v>
      </c>
      <c r="AY131" s="402">
        <f>VLOOKUP($AW131,'Item Master Data'!$A:$F,6,FALSE)</f>
        <v>400</v>
      </c>
      <c r="AZ131" s="402">
        <f t="shared" si="27"/>
        <v>24</v>
      </c>
      <c r="BA131" s="402">
        <f>VLOOKUP(AW131,'Item Master Data'!$A:$G,7,FALSE)</f>
        <v>26</v>
      </c>
      <c r="BB131" s="402"/>
      <c r="BC131" s="402">
        <f t="shared" si="28"/>
        <v>0</v>
      </c>
    </row>
    <row r="132" spans="1:55">
      <c r="A132" s="377"/>
      <c r="B132" s="376"/>
      <c r="C132" s="376"/>
      <c r="D132" s="405" t="s">
        <v>1066</v>
      </c>
      <c r="E132" s="364"/>
      <c r="F132" s="405" t="s">
        <v>1139</v>
      </c>
      <c r="G132" s="405">
        <v>2022</v>
      </c>
      <c r="H132" s="405">
        <v>5</v>
      </c>
      <c r="I132" s="416">
        <v>128609</v>
      </c>
      <c r="J132" s="406">
        <v>44686</v>
      </c>
      <c r="K132" s="405" t="s">
        <v>4412</v>
      </c>
      <c r="L132" s="406" t="s">
        <v>1442</v>
      </c>
      <c r="M132" s="406">
        <v>44468</v>
      </c>
      <c r="N132" s="406" t="s">
        <v>1460</v>
      </c>
      <c r="O132" s="406"/>
      <c r="P132" s="406">
        <v>44678</v>
      </c>
      <c r="Q132" s="406">
        <v>44686</v>
      </c>
      <c r="R132" s="406">
        <v>44686</v>
      </c>
      <c r="S132" s="405" t="s">
        <v>1443</v>
      </c>
      <c r="T132" s="405">
        <v>60</v>
      </c>
      <c r="U132" s="405" t="s">
        <v>1455</v>
      </c>
      <c r="V132" s="405" t="s">
        <v>1447</v>
      </c>
      <c r="W132" s="407">
        <v>400</v>
      </c>
      <c r="X132" s="371">
        <v>624</v>
      </c>
      <c r="Y132" s="422">
        <f t="shared" si="24"/>
        <v>249600</v>
      </c>
      <c r="Z132" s="409">
        <v>0.48</v>
      </c>
      <c r="AA132" s="410">
        <f t="shared" si="23"/>
        <v>119808</v>
      </c>
      <c r="AB132" s="362"/>
      <c r="AC132" s="412">
        <v>0</v>
      </c>
      <c r="AD132" s="405"/>
      <c r="AE132" s="413"/>
      <c r="AF132" s="424">
        <f t="shared" si="25"/>
        <v>119808</v>
      </c>
      <c r="AG132" s="405" t="s">
        <v>47</v>
      </c>
      <c r="AH132" s="395"/>
      <c r="AI132" s="405">
        <v>75</v>
      </c>
      <c r="AJ132" s="405" t="s">
        <v>4942</v>
      </c>
      <c r="AK132" s="405" t="s">
        <v>50</v>
      </c>
      <c r="AL132" s="425">
        <v>92407</v>
      </c>
      <c r="AM132" s="405" t="s">
        <v>52</v>
      </c>
      <c r="AN132" s="405" t="s">
        <v>50</v>
      </c>
      <c r="AO132" s="405"/>
      <c r="AP132" s="405" t="s">
        <v>92</v>
      </c>
      <c r="AQ132" s="405" t="s">
        <v>37</v>
      </c>
      <c r="AR132" s="405"/>
      <c r="AS132" s="369"/>
      <c r="AT132" s="363"/>
      <c r="AU132" s="403"/>
      <c r="AV132" s="402" t="str">
        <f t="shared" si="26"/>
        <v>30390256H</v>
      </c>
      <c r="AW132" s="402" cm="1">
        <f t="array" ref="AW132">SUM(MID(0&amp;AV132,LARGE(INDEX(ISNUMBER(--MID(AV132,ROW($1:$8),1))*ROW($1:$8),),ROW($1:$8))+1,1)*10^ROW($1:$8)/10)</f>
        <v>30390256</v>
      </c>
      <c r="AX132" s="402" t="str">
        <f>VLOOKUP($AW132,'Item Master Data'!$A:$F,3,FALSE)</f>
        <v>T400H</v>
      </c>
      <c r="AY132" s="402">
        <f>VLOOKUP($AW132,'Item Master Data'!$A:$F,6,FALSE)</f>
        <v>400</v>
      </c>
      <c r="AZ132" s="402">
        <f t="shared" si="27"/>
        <v>24</v>
      </c>
      <c r="BA132" s="402">
        <f>VLOOKUP(AW132,'Item Master Data'!$A:$G,7,FALSE)</f>
        <v>26</v>
      </c>
      <c r="BB132" s="402"/>
      <c r="BC132" s="402">
        <f t="shared" si="28"/>
        <v>0</v>
      </c>
    </row>
    <row r="133" spans="1:55">
      <c r="A133" s="377"/>
      <c r="B133" s="376"/>
      <c r="C133" s="376"/>
      <c r="D133" s="405" t="s">
        <v>1066</v>
      </c>
      <c r="E133" s="364"/>
      <c r="F133" s="405" t="s">
        <v>1139</v>
      </c>
      <c r="G133" s="405">
        <v>2022</v>
      </c>
      <c r="H133" s="405">
        <v>5</v>
      </c>
      <c r="I133" s="416">
        <v>128610</v>
      </c>
      <c r="J133" s="406">
        <v>44686</v>
      </c>
      <c r="K133" s="405" t="s">
        <v>4412</v>
      </c>
      <c r="L133" s="406" t="s">
        <v>1442</v>
      </c>
      <c r="M133" s="406">
        <v>44468</v>
      </c>
      <c r="N133" s="406" t="s">
        <v>1460</v>
      </c>
      <c r="O133" s="406"/>
      <c r="P133" s="406">
        <v>44678</v>
      </c>
      <c r="Q133" s="406">
        <v>44686</v>
      </c>
      <c r="R133" s="406">
        <v>44686</v>
      </c>
      <c r="S133" s="405" t="s">
        <v>1443</v>
      </c>
      <c r="T133" s="405">
        <v>60</v>
      </c>
      <c r="U133" s="405" t="s">
        <v>1455</v>
      </c>
      <c r="V133" s="405" t="s">
        <v>1447</v>
      </c>
      <c r="W133" s="407">
        <v>400</v>
      </c>
      <c r="X133" s="371">
        <v>624</v>
      </c>
      <c r="Y133" s="422">
        <f t="shared" si="24"/>
        <v>249600</v>
      </c>
      <c r="Z133" s="409">
        <v>0.48</v>
      </c>
      <c r="AA133" s="410">
        <f t="shared" si="23"/>
        <v>119808</v>
      </c>
      <c r="AB133" s="362"/>
      <c r="AC133" s="412">
        <v>0</v>
      </c>
      <c r="AD133" s="405"/>
      <c r="AE133" s="413"/>
      <c r="AF133" s="424">
        <f t="shared" si="25"/>
        <v>119808</v>
      </c>
      <c r="AG133" s="405" t="s">
        <v>47</v>
      </c>
      <c r="AH133" s="395"/>
      <c r="AI133" s="405">
        <v>75</v>
      </c>
      <c r="AJ133" s="405" t="s">
        <v>4942</v>
      </c>
      <c r="AK133" s="405" t="s">
        <v>50</v>
      </c>
      <c r="AL133" s="425">
        <v>92407</v>
      </c>
      <c r="AM133" s="405" t="s">
        <v>52</v>
      </c>
      <c r="AN133" s="405" t="s">
        <v>50</v>
      </c>
      <c r="AO133" s="405"/>
      <c r="AP133" s="405" t="s">
        <v>92</v>
      </c>
      <c r="AQ133" s="405" t="s">
        <v>37</v>
      </c>
      <c r="AR133" s="405"/>
      <c r="AS133" s="369"/>
      <c r="AT133" s="363"/>
      <c r="AU133" s="403"/>
      <c r="AV133" s="402" t="str">
        <f t="shared" si="26"/>
        <v>30390256H</v>
      </c>
      <c r="AW133" s="402" cm="1">
        <f t="array" ref="AW133">SUM(MID(0&amp;AV133,LARGE(INDEX(ISNUMBER(--MID(AV133,ROW($1:$8),1))*ROW($1:$8),),ROW($1:$8))+1,1)*10^ROW($1:$8)/10)</f>
        <v>30390256</v>
      </c>
      <c r="AX133" s="402" t="str">
        <f>VLOOKUP($AW133,'Item Master Data'!$A:$F,3,FALSE)</f>
        <v>T400H</v>
      </c>
      <c r="AY133" s="402">
        <f>VLOOKUP($AW133,'Item Master Data'!$A:$F,6,FALSE)</f>
        <v>400</v>
      </c>
      <c r="AZ133" s="402">
        <f t="shared" si="27"/>
        <v>24</v>
      </c>
      <c r="BA133" s="402">
        <f>VLOOKUP(AW133,'Item Master Data'!$A:$G,7,FALSE)</f>
        <v>26</v>
      </c>
      <c r="BB133" s="402"/>
      <c r="BC133" s="402">
        <f t="shared" si="28"/>
        <v>0</v>
      </c>
    </row>
    <row r="134" spans="1:55">
      <c r="A134" s="377"/>
      <c r="B134" s="376"/>
      <c r="C134" s="376"/>
      <c r="D134" s="405" t="s">
        <v>1066</v>
      </c>
      <c r="E134" s="364"/>
      <c r="F134" s="405" t="s">
        <v>1139</v>
      </c>
      <c r="G134" s="405">
        <v>2022</v>
      </c>
      <c r="H134" s="405">
        <v>5</v>
      </c>
      <c r="I134" s="416">
        <v>128611</v>
      </c>
      <c r="J134" s="406">
        <v>44686</v>
      </c>
      <c r="K134" s="405" t="s">
        <v>4412</v>
      </c>
      <c r="L134" s="406" t="s">
        <v>1442</v>
      </c>
      <c r="M134" s="406">
        <v>44468</v>
      </c>
      <c r="N134" s="406" t="s">
        <v>1460</v>
      </c>
      <c r="O134" s="406"/>
      <c r="P134" s="406">
        <v>44678</v>
      </c>
      <c r="Q134" s="406">
        <v>44686</v>
      </c>
      <c r="R134" s="406">
        <v>44686</v>
      </c>
      <c r="S134" s="405" t="s">
        <v>1443</v>
      </c>
      <c r="T134" s="405">
        <v>60</v>
      </c>
      <c r="U134" s="405" t="s">
        <v>1455</v>
      </c>
      <c r="V134" s="405" t="s">
        <v>1447</v>
      </c>
      <c r="W134" s="407">
        <v>400</v>
      </c>
      <c r="X134" s="371">
        <v>624</v>
      </c>
      <c r="Y134" s="422">
        <f t="shared" si="24"/>
        <v>249600</v>
      </c>
      <c r="Z134" s="409">
        <v>0.48</v>
      </c>
      <c r="AA134" s="410">
        <f t="shared" si="23"/>
        <v>119808</v>
      </c>
      <c r="AB134" s="362"/>
      <c r="AC134" s="412">
        <v>0</v>
      </c>
      <c r="AD134" s="405"/>
      <c r="AE134" s="413"/>
      <c r="AF134" s="424">
        <f t="shared" si="25"/>
        <v>119808</v>
      </c>
      <c r="AG134" s="405" t="s">
        <v>47</v>
      </c>
      <c r="AH134" s="395"/>
      <c r="AI134" s="405">
        <v>75</v>
      </c>
      <c r="AJ134" s="405" t="s">
        <v>4942</v>
      </c>
      <c r="AK134" s="405" t="s">
        <v>50</v>
      </c>
      <c r="AL134" s="425">
        <v>92407</v>
      </c>
      <c r="AM134" s="405" t="s">
        <v>52</v>
      </c>
      <c r="AN134" s="405" t="s">
        <v>50</v>
      </c>
      <c r="AO134" s="405"/>
      <c r="AP134" s="405" t="s">
        <v>92</v>
      </c>
      <c r="AQ134" s="405" t="s">
        <v>37</v>
      </c>
      <c r="AR134" s="405"/>
      <c r="AS134" s="369"/>
      <c r="AT134" s="363"/>
      <c r="AU134" s="403"/>
      <c r="AV134" s="402"/>
      <c r="AW134" s="402"/>
      <c r="AX134" s="402"/>
      <c r="AY134" s="402"/>
      <c r="AZ134" s="402"/>
      <c r="BA134" s="402"/>
      <c r="BB134" s="402"/>
      <c r="BC134" s="402"/>
    </row>
    <row r="135" spans="1:55">
      <c r="A135" s="377"/>
      <c r="B135" s="376"/>
      <c r="C135" s="376"/>
      <c r="D135" s="405" t="s">
        <v>1066</v>
      </c>
      <c r="E135" s="364"/>
      <c r="F135" s="405" t="s">
        <v>1139</v>
      </c>
      <c r="G135" s="405">
        <v>2022</v>
      </c>
      <c r="H135" s="405">
        <v>5</v>
      </c>
      <c r="I135" s="416">
        <v>128608</v>
      </c>
      <c r="J135" s="406">
        <v>44686</v>
      </c>
      <c r="K135" s="405" t="s">
        <v>4412</v>
      </c>
      <c r="L135" s="406" t="s">
        <v>1442</v>
      </c>
      <c r="M135" s="406">
        <v>44468</v>
      </c>
      <c r="N135" s="406" t="s">
        <v>1460</v>
      </c>
      <c r="O135" s="406"/>
      <c r="P135" s="406">
        <v>44678</v>
      </c>
      <c r="Q135" s="406">
        <v>44686</v>
      </c>
      <c r="R135" s="406">
        <v>44686</v>
      </c>
      <c r="S135" s="405" t="s">
        <v>1443</v>
      </c>
      <c r="T135" s="405">
        <v>60</v>
      </c>
      <c r="U135" s="405" t="s">
        <v>1455</v>
      </c>
      <c r="V135" s="405" t="s">
        <v>1447</v>
      </c>
      <c r="W135" s="407">
        <v>400</v>
      </c>
      <c r="X135" s="371">
        <v>624</v>
      </c>
      <c r="Y135" s="422">
        <f t="shared" si="24"/>
        <v>249600</v>
      </c>
      <c r="Z135" s="409">
        <v>0.48</v>
      </c>
      <c r="AA135" s="410">
        <f t="shared" si="23"/>
        <v>119808</v>
      </c>
      <c r="AB135" s="362"/>
      <c r="AC135" s="412">
        <v>0</v>
      </c>
      <c r="AD135" s="405"/>
      <c r="AE135" s="413"/>
      <c r="AF135" s="424">
        <f t="shared" si="25"/>
        <v>119808</v>
      </c>
      <c r="AG135" s="405" t="s">
        <v>47</v>
      </c>
      <c r="AH135" s="395"/>
      <c r="AI135" s="405">
        <v>75</v>
      </c>
      <c r="AJ135" s="405" t="s">
        <v>4942</v>
      </c>
      <c r="AK135" s="405" t="s">
        <v>50</v>
      </c>
      <c r="AL135" s="425">
        <v>92407</v>
      </c>
      <c r="AM135" s="405" t="s">
        <v>52</v>
      </c>
      <c r="AN135" s="405" t="s">
        <v>50</v>
      </c>
      <c r="AO135" s="405"/>
      <c r="AP135" s="405" t="s">
        <v>92</v>
      </c>
      <c r="AQ135" s="405" t="s">
        <v>37</v>
      </c>
      <c r="AR135" s="405"/>
      <c r="AS135" s="369"/>
      <c r="AT135" s="363"/>
      <c r="AU135" s="403"/>
      <c r="AV135" s="402" t="str">
        <f>U135</f>
        <v>30390256H</v>
      </c>
      <c r="AW135" s="402" cm="1">
        <f t="array" ref="AW135">SUM(MID(0&amp;AV135,LARGE(INDEX(ISNUMBER(--MID(AV135,ROW($1:$8),1))*ROW($1:$8),),ROW($1:$8))+1,1)*10^ROW($1:$8)/10)</f>
        <v>30390256</v>
      </c>
      <c r="AX135" s="402" t="str">
        <f>VLOOKUP($AW135,'Item Master Data'!$A:$F,3,FALSE)</f>
        <v>T400H</v>
      </c>
      <c r="AY135" s="402">
        <f>VLOOKUP($AW135,'Item Master Data'!$A:$F,6,FALSE)</f>
        <v>400</v>
      </c>
      <c r="AZ135" s="402">
        <f>X135/BA135</f>
        <v>24</v>
      </c>
      <c r="BA135" s="402">
        <f>VLOOKUP(AW135,'Item Master Data'!$A:$G,7,FALSE)</f>
        <v>26</v>
      </c>
      <c r="BB135" s="402"/>
      <c r="BC135" s="402">
        <f>W135-AY135</f>
        <v>0</v>
      </c>
    </row>
    <row r="136" spans="1:55">
      <c r="A136" s="377"/>
      <c r="B136" s="376"/>
      <c r="C136" s="376"/>
      <c r="D136" s="405" t="s">
        <v>1066</v>
      </c>
      <c r="E136" s="364"/>
      <c r="F136" s="405" t="s">
        <v>1139</v>
      </c>
      <c r="G136" s="405">
        <v>2022</v>
      </c>
      <c r="H136" s="405">
        <v>5</v>
      </c>
      <c r="I136" s="416">
        <v>128604</v>
      </c>
      <c r="J136" s="406">
        <v>44687</v>
      </c>
      <c r="K136" s="405" t="s">
        <v>4412</v>
      </c>
      <c r="L136" s="406" t="s">
        <v>1442</v>
      </c>
      <c r="M136" s="406">
        <v>44468</v>
      </c>
      <c r="N136" s="406" t="s">
        <v>1460</v>
      </c>
      <c r="O136" s="406"/>
      <c r="P136" s="406">
        <v>44678</v>
      </c>
      <c r="Q136" s="406">
        <v>44687</v>
      </c>
      <c r="R136" s="406">
        <v>44687</v>
      </c>
      <c r="S136" s="405" t="s">
        <v>1443</v>
      </c>
      <c r="T136" s="405">
        <v>60</v>
      </c>
      <c r="U136" s="405" t="s">
        <v>1455</v>
      </c>
      <c r="V136" s="405" t="s">
        <v>1447</v>
      </c>
      <c r="W136" s="407">
        <v>400</v>
      </c>
      <c r="X136" s="371">
        <v>624</v>
      </c>
      <c r="Y136" s="422">
        <f t="shared" si="24"/>
        <v>249600</v>
      </c>
      <c r="Z136" s="409">
        <v>0.48</v>
      </c>
      <c r="AA136" s="410">
        <f t="shared" si="23"/>
        <v>119808</v>
      </c>
      <c r="AB136" s="362"/>
      <c r="AC136" s="412">
        <v>0</v>
      </c>
      <c r="AD136" s="405"/>
      <c r="AE136" s="413"/>
      <c r="AF136" s="424">
        <f t="shared" si="25"/>
        <v>119808</v>
      </c>
      <c r="AG136" s="405" t="s">
        <v>47</v>
      </c>
      <c r="AH136" s="395"/>
      <c r="AI136" s="405">
        <v>75</v>
      </c>
      <c r="AJ136" s="405" t="s">
        <v>4942</v>
      </c>
      <c r="AK136" s="405" t="s">
        <v>50</v>
      </c>
      <c r="AL136" s="425">
        <v>92407</v>
      </c>
      <c r="AM136" s="405" t="s">
        <v>52</v>
      </c>
      <c r="AN136" s="405" t="s">
        <v>50</v>
      </c>
      <c r="AO136" s="405"/>
      <c r="AP136" s="405" t="s">
        <v>92</v>
      </c>
      <c r="AQ136" s="405" t="s">
        <v>37</v>
      </c>
      <c r="AR136" s="405"/>
      <c r="AS136" s="369"/>
      <c r="AT136" s="363"/>
      <c r="AU136" s="403"/>
      <c r="AV136" s="402" t="str">
        <f>U136</f>
        <v>30390256H</v>
      </c>
      <c r="AW136" s="402" cm="1">
        <f t="array" ref="AW136">SUM(MID(0&amp;AV136,LARGE(INDEX(ISNUMBER(--MID(AV136,ROW($1:$8),1))*ROW($1:$8),),ROW($1:$8))+1,1)*10^ROW($1:$8)/10)</f>
        <v>30390256</v>
      </c>
      <c r="AX136" s="402" t="str">
        <f>VLOOKUP($AW136,'Item Master Data'!$A:$F,3,FALSE)</f>
        <v>T400H</v>
      </c>
      <c r="AY136" s="402">
        <f>VLOOKUP($AW136,'Item Master Data'!$A:$F,6,FALSE)</f>
        <v>400</v>
      </c>
      <c r="AZ136" s="402">
        <f>X136/BA136</f>
        <v>24</v>
      </c>
      <c r="BA136" s="402">
        <f>VLOOKUP(AW136,'Item Master Data'!$A:$G,7,FALSE)</f>
        <v>26</v>
      </c>
      <c r="BB136" s="402"/>
      <c r="BC136" s="402">
        <f>W136-AY136</f>
        <v>0</v>
      </c>
    </row>
    <row r="137" spans="1:55">
      <c r="A137" s="377"/>
      <c r="B137" s="376"/>
      <c r="C137" s="376"/>
      <c r="D137" s="405" t="s">
        <v>1066</v>
      </c>
      <c r="E137" s="364"/>
      <c r="F137" s="405" t="s">
        <v>1139</v>
      </c>
      <c r="G137" s="405">
        <v>2022</v>
      </c>
      <c r="H137" s="405">
        <v>5</v>
      </c>
      <c r="I137" s="416">
        <v>128605</v>
      </c>
      <c r="J137" s="406">
        <v>44687</v>
      </c>
      <c r="K137" s="405" t="s">
        <v>4412</v>
      </c>
      <c r="L137" s="406" t="s">
        <v>1442</v>
      </c>
      <c r="M137" s="406">
        <v>44468</v>
      </c>
      <c r="N137" s="406" t="s">
        <v>1460</v>
      </c>
      <c r="O137" s="406"/>
      <c r="P137" s="406">
        <v>44678</v>
      </c>
      <c r="Q137" s="406">
        <v>44687</v>
      </c>
      <c r="R137" s="406">
        <v>44687</v>
      </c>
      <c r="S137" s="405" t="s">
        <v>1443</v>
      </c>
      <c r="T137" s="405">
        <v>60</v>
      </c>
      <c r="U137" s="405" t="s">
        <v>1455</v>
      </c>
      <c r="V137" s="405" t="s">
        <v>1447</v>
      </c>
      <c r="W137" s="407">
        <v>400</v>
      </c>
      <c r="X137" s="371">
        <v>624</v>
      </c>
      <c r="Y137" s="422">
        <f t="shared" si="24"/>
        <v>249600</v>
      </c>
      <c r="Z137" s="409">
        <v>0.48</v>
      </c>
      <c r="AA137" s="410">
        <f t="shared" si="23"/>
        <v>119808</v>
      </c>
      <c r="AB137" s="362"/>
      <c r="AC137" s="412">
        <v>0</v>
      </c>
      <c r="AD137" s="405"/>
      <c r="AE137" s="413"/>
      <c r="AF137" s="424">
        <f t="shared" si="25"/>
        <v>119808</v>
      </c>
      <c r="AG137" s="405" t="s">
        <v>47</v>
      </c>
      <c r="AH137" s="395"/>
      <c r="AI137" s="405">
        <v>75</v>
      </c>
      <c r="AJ137" s="405" t="s">
        <v>4942</v>
      </c>
      <c r="AK137" s="405" t="s">
        <v>50</v>
      </c>
      <c r="AL137" s="425">
        <v>92407</v>
      </c>
      <c r="AM137" s="405" t="s">
        <v>52</v>
      </c>
      <c r="AN137" s="405" t="s">
        <v>50</v>
      </c>
      <c r="AO137" s="405"/>
      <c r="AP137" s="405" t="s">
        <v>92</v>
      </c>
      <c r="AQ137" s="405" t="s">
        <v>37</v>
      </c>
      <c r="AR137" s="405"/>
      <c r="AS137" s="369"/>
      <c r="AT137" s="363"/>
      <c r="AU137" s="403"/>
      <c r="AV137" s="402" t="str">
        <f>U137</f>
        <v>30390256H</v>
      </c>
      <c r="AW137" s="402" cm="1">
        <f t="array" ref="AW137">SUM(MID(0&amp;AV137,LARGE(INDEX(ISNUMBER(--MID(AV137,ROW($1:$8),1))*ROW($1:$8),),ROW($1:$8))+1,1)*10^ROW($1:$8)/10)</f>
        <v>30390256</v>
      </c>
      <c r="AX137" s="402" t="str">
        <f>VLOOKUP($AW137,'Item Master Data'!$A:$F,3,FALSE)</f>
        <v>T400H</v>
      </c>
      <c r="AY137" s="402">
        <f>VLOOKUP($AW137,'Item Master Data'!$A:$F,6,FALSE)</f>
        <v>400</v>
      </c>
      <c r="AZ137" s="402">
        <f>X137/BA137</f>
        <v>24</v>
      </c>
      <c r="BA137" s="402">
        <f>VLOOKUP(AW137,'Item Master Data'!$A:$G,7,FALSE)</f>
        <v>26</v>
      </c>
      <c r="BB137" s="402"/>
      <c r="BC137" s="402">
        <f>W137-AY137</f>
        <v>0</v>
      </c>
    </row>
    <row r="138" spans="1:55">
      <c r="A138" s="377"/>
      <c r="B138" s="376"/>
      <c r="C138" s="376"/>
      <c r="D138" s="405" t="s">
        <v>1066</v>
      </c>
      <c r="E138" s="364"/>
      <c r="F138" s="405" t="s">
        <v>1139</v>
      </c>
      <c r="G138" s="405">
        <v>2022</v>
      </c>
      <c r="H138" s="405">
        <v>5</v>
      </c>
      <c r="I138" s="416">
        <v>128606</v>
      </c>
      <c r="J138" s="406">
        <v>44687</v>
      </c>
      <c r="K138" s="405" t="s">
        <v>4412</v>
      </c>
      <c r="L138" s="406" t="s">
        <v>1442</v>
      </c>
      <c r="M138" s="406">
        <v>44468</v>
      </c>
      <c r="N138" s="406" t="s">
        <v>1460</v>
      </c>
      <c r="O138" s="406"/>
      <c r="P138" s="406">
        <v>44678</v>
      </c>
      <c r="Q138" s="406">
        <v>44687</v>
      </c>
      <c r="R138" s="406">
        <v>44687</v>
      </c>
      <c r="S138" s="405" t="s">
        <v>1443</v>
      </c>
      <c r="T138" s="405">
        <v>60</v>
      </c>
      <c r="U138" s="405" t="s">
        <v>1455</v>
      </c>
      <c r="V138" s="405" t="s">
        <v>1447</v>
      </c>
      <c r="W138" s="407">
        <v>400</v>
      </c>
      <c r="X138" s="371">
        <v>624</v>
      </c>
      <c r="Y138" s="422">
        <f t="shared" si="24"/>
        <v>249600</v>
      </c>
      <c r="Z138" s="409">
        <v>0.48</v>
      </c>
      <c r="AA138" s="410">
        <f t="shared" si="23"/>
        <v>119808</v>
      </c>
      <c r="AB138" s="362"/>
      <c r="AC138" s="412">
        <v>0</v>
      </c>
      <c r="AD138" s="405"/>
      <c r="AE138" s="413"/>
      <c r="AF138" s="424">
        <f t="shared" si="25"/>
        <v>119808</v>
      </c>
      <c r="AG138" s="405" t="s">
        <v>47</v>
      </c>
      <c r="AH138" s="395"/>
      <c r="AI138" s="405">
        <v>75</v>
      </c>
      <c r="AJ138" s="405" t="s">
        <v>4942</v>
      </c>
      <c r="AK138" s="405" t="s">
        <v>50</v>
      </c>
      <c r="AL138" s="425">
        <v>92407</v>
      </c>
      <c r="AM138" s="405" t="s">
        <v>52</v>
      </c>
      <c r="AN138" s="405" t="s">
        <v>50</v>
      </c>
      <c r="AO138" s="405"/>
      <c r="AP138" s="405" t="s">
        <v>92</v>
      </c>
      <c r="AQ138" s="405" t="s">
        <v>37</v>
      </c>
      <c r="AR138" s="405"/>
      <c r="AS138" s="369"/>
      <c r="AT138" s="363"/>
      <c r="AU138" s="403"/>
      <c r="AV138" s="402"/>
      <c r="AW138" s="402"/>
      <c r="AX138" s="402"/>
      <c r="AY138" s="402"/>
      <c r="AZ138" s="402"/>
      <c r="BA138" s="402"/>
      <c r="BB138" s="402"/>
      <c r="BC138" s="402"/>
    </row>
    <row r="139" spans="1:55">
      <c r="A139" s="377"/>
      <c r="B139" s="376"/>
      <c r="C139" s="376"/>
      <c r="D139" s="405" t="s">
        <v>1066</v>
      </c>
      <c r="E139" s="364"/>
      <c r="F139" s="405" t="s">
        <v>1139</v>
      </c>
      <c r="G139" s="405">
        <v>2022</v>
      </c>
      <c r="H139" s="405">
        <v>5</v>
      </c>
      <c r="I139" s="416">
        <v>128607</v>
      </c>
      <c r="J139" s="406">
        <v>44687</v>
      </c>
      <c r="K139" s="405" t="s">
        <v>4412</v>
      </c>
      <c r="L139" s="406" t="s">
        <v>1442</v>
      </c>
      <c r="M139" s="406">
        <v>44468</v>
      </c>
      <c r="N139" s="406" t="s">
        <v>1460</v>
      </c>
      <c r="O139" s="406"/>
      <c r="P139" s="406">
        <v>44678</v>
      </c>
      <c r="Q139" s="406">
        <v>44686</v>
      </c>
      <c r="R139" s="406">
        <v>44687</v>
      </c>
      <c r="S139" s="405" t="s">
        <v>1443</v>
      </c>
      <c r="T139" s="405">
        <v>60</v>
      </c>
      <c r="U139" s="405" t="s">
        <v>1455</v>
      </c>
      <c r="V139" s="405" t="s">
        <v>1447</v>
      </c>
      <c r="W139" s="407">
        <v>400</v>
      </c>
      <c r="X139" s="371">
        <v>624</v>
      </c>
      <c r="Y139" s="422">
        <f t="shared" si="24"/>
        <v>249600</v>
      </c>
      <c r="Z139" s="409">
        <v>0.48</v>
      </c>
      <c r="AA139" s="410">
        <f t="shared" si="23"/>
        <v>119808</v>
      </c>
      <c r="AB139" s="362"/>
      <c r="AC139" s="412">
        <v>0</v>
      </c>
      <c r="AD139" s="405"/>
      <c r="AE139" s="413"/>
      <c r="AF139" s="424">
        <f t="shared" si="25"/>
        <v>119808</v>
      </c>
      <c r="AG139" s="405" t="s">
        <v>47</v>
      </c>
      <c r="AH139" s="395"/>
      <c r="AI139" s="405">
        <v>75</v>
      </c>
      <c r="AJ139" s="405" t="s">
        <v>4942</v>
      </c>
      <c r="AK139" s="405" t="s">
        <v>50</v>
      </c>
      <c r="AL139" s="425">
        <v>92407</v>
      </c>
      <c r="AM139" s="405" t="s">
        <v>52</v>
      </c>
      <c r="AN139" s="405" t="s">
        <v>50</v>
      </c>
      <c r="AO139" s="405"/>
      <c r="AP139" s="405" t="s">
        <v>92</v>
      </c>
      <c r="AQ139" s="405" t="s">
        <v>37</v>
      </c>
      <c r="AR139" s="405"/>
      <c r="AS139" s="369"/>
      <c r="AT139" s="363"/>
      <c r="AU139" s="403"/>
      <c r="AV139" s="402"/>
      <c r="AW139" s="402"/>
      <c r="AX139" s="402"/>
      <c r="AY139" s="402"/>
      <c r="AZ139" s="402"/>
      <c r="BA139" s="402"/>
      <c r="BB139" s="402"/>
      <c r="BC139" s="402"/>
    </row>
    <row r="140" spans="1:55">
      <c r="A140" s="377"/>
      <c r="B140" s="376"/>
      <c r="C140" s="376"/>
      <c r="D140" s="405" t="s">
        <v>1066</v>
      </c>
      <c r="E140" s="364"/>
      <c r="F140" s="405" t="s">
        <v>1139</v>
      </c>
      <c r="G140" s="405">
        <v>2022</v>
      </c>
      <c r="H140" s="405">
        <v>5</v>
      </c>
      <c r="I140" s="416"/>
      <c r="J140" s="406">
        <v>44691</v>
      </c>
      <c r="K140" s="405" t="s">
        <v>4412</v>
      </c>
      <c r="L140" s="406" t="s">
        <v>1442</v>
      </c>
      <c r="M140" s="406">
        <v>44468</v>
      </c>
      <c r="N140" s="406" t="s">
        <v>1460</v>
      </c>
      <c r="O140" s="406"/>
      <c r="P140" s="406">
        <v>44678</v>
      </c>
      <c r="Q140" s="406">
        <v>44691</v>
      </c>
      <c r="R140" s="406">
        <v>44691</v>
      </c>
      <c r="S140" s="405" t="s">
        <v>1443</v>
      </c>
      <c r="T140" s="405">
        <v>60</v>
      </c>
      <c r="U140" s="405" t="s">
        <v>1455</v>
      </c>
      <c r="V140" s="405" t="s">
        <v>1447</v>
      </c>
      <c r="W140" s="407">
        <v>400</v>
      </c>
      <c r="X140" s="371">
        <v>624</v>
      </c>
      <c r="Y140" s="422">
        <f t="shared" si="24"/>
        <v>249600</v>
      </c>
      <c r="Z140" s="409">
        <v>0.48</v>
      </c>
      <c r="AA140" s="410">
        <f t="shared" si="23"/>
        <v>119808</v>
      </c>
      <c r="AB140" s="362"/>
      <c r="AC140" s="412">
        <v>0</v>
      </c>
      <c r="AD140" s="405"/>
      <c r="AE140" s="413"/>
      <c r="AF140" s="424">
        <f t="shared" si="25"/>
        <v>119808</v>
      </c>
      <c r="AG140" s="405" t="s">
        <v>47</v>
      </c>
      <c r="AH140" s="395"/>
      <c r="AI140" s="405">
        <v>75</v>
      </c>
      <c r="AJ140" s="405" t="s">
        <v>4942</v>
      </c>
      <c r="AK140" s="405" t="s">
        <v>50</v>
      </c>
      <c r="AL140" s="425">
        <v>92407</v>
      </c>
      <c r="AM140" s="405" t="s">
        <v>52</v>
      </c>
      <c r="AN140" s="405" t="s">
        <v>50</v>
      </c>
      <c r="AO140" s="405"/>
      <c r="AP140" s="405" t="s">
        <v>92</v>
      </c>
      <c r="AQ140" s="405" t="s">
        <v>37</v>
      </c>
      <c r="AR140" s="405"/>
      <c r="AS140" s="369"/>
      <c r="AT140" s="363"/>
      <c r="AU140" s="403"/>
      <c r="AV140" s="402" t="str">
        <f>U140</f>
        <v>30390256H</v>
      </c>
      <c r="AW140" s="402" cm="1">
        <f t="array" ref="AW140">SUM(MID(0&amp;AV140,LARGE(INDEX(ISNUMBER(--MID(AV140,ROW($1:$8),1))*ROW($1:$8),),ROW($1:$8))+1,1)*10^ROW($1:$8)/10)</f>
        <v>30390256</v>
      </c>
      <c r="AX140" s="402" t="str">
        <f>VLOOKUP($AW140,'Item Master Data'!$A:$F,3,FALSE)</f>
        <v>T400H</v>
      </c>
      <c r="AY140" s="402">
        <f>VLOOKUP($AW140,'Item Master Data'!$A:$F,6,FALSE)</f>
        <v>400</v>
      </c>
      <c r="AZ140" s="402">
        <f>X140/BA140</f>
        <v>24</v>
      </c>
      <c r="BA140" s="402">
        <f>VLOOKUP(AW140,'Item Master Data'!$A:$G,7,FALSE)</f>
        <v>26</v>
      </c>
      <c r="BB140" s="402"/>
      <c r="BC140" s="402">
        <f>W140-AY140</f>
        <v>0</v>
      </c>
    </row>
    <row r="141" spans="1:55">
      <c r="A141" s="377"/>
      <c r="B141" s="376"/>
      <c r="C141" s="376"/>
      <c r="D141" s="405" t="s">
        <v>1066</v>
      </c>
      <c r="E141" s="364"/>
      <c r="F141" s="405" t="s">
        <v>1139</v>
      </c>
      <c r="G141" s="405">
        <v>2022</v>
      </c>
      <c r="H141" s="405">
        <v>5</v>
      </c>
      <c r="I141" s="416"/>
      <c r="J141" s="406">
        <v>44691</v>
      </c>
      <c r="K141" s="405" t="s">
        <v>4412</v>
      </c>
      <c r="L141" s="406" t="s">
        <v>1442</v>
      </c>
      <c r="M141" s="406">
        <v>44468</v>
      </c>
      <c r="N141" s="406" t="s">
        <v>1460</v>
      </c>
      <c r="O141" s="406"/>
      <c r="P141" s="406">
        <v>44678</v>
      </c>
      <c r="Q141" s="406">
        <v>44691</v>
      </c>
      <c r="R141" s="406">
        <v>44691</v>
      </c>
      <c r="S141" s="405" t="s">
        <v>1443</v>
      </c>
      <c r="T141" s="405">
        <v>60</v>
      </c>
      <c r="U141" s="405" t="s">
        <v>1455</v>
      </c>
      <c r="V141" s="405" t="s">
        <v>1447</v>
      </c>
      <c r="W141" s="407">
        <v>400</v>
      </c>
      <c r="X141" s="371">
        <v>624</v>
      </c>
      <c r="Y141" s="422">
        <f t="shared" si="24"/>
        <v>249600</v>
      </c>
      <c r="Z141" s="409">
        <v>0.48</v>
      </c>
      <c r="AA141" s="410">
        <f t="shared" si="23"/>
        <v>119808</v>
      </c>
      <c r="AB141" s="362"/>
      <c r="AC141" s="412">
        <v>0</v>
      </c>
      <c r="AD141" s="405"/>
      <c r="AE141" s="413"/>
      <c r="AF141" s="424">
        <f t="shared" si="25"/>
        <v>119808</v>
      </c>
      <c r="AG141" s="405" t="s">
        <v>47</v>
      </c>
      <c r="AH141" s="395"/>
      <c r="AI141" s="405">
        <v>75</v>
      </c>
      <c r="AJ141" s="405" t="s">
        <v>4942</v>
      </c>
      <c r="AK141" s="405" t="s">
        <v>50</v>
      </c>
      <c r="AL141" s="425">
        <v>92407</v>
      </c>
      <c r="AM141" s="405" t="s">
        <v>52</v>
      </c>
      <c r="AN141" s="405" t="s">
        <v>50</v>
      </c>
      <c r="AO141" s="405"/>
      <c r="AP141" s="405" t="s">
        <v>92</v>
      </c>
      <c r="AQ141" s="405" t="s">
        <v>37</v>
      </c>
      <c r="AR141" s="405"/>
      <c r="AS141" s="369"/>
      <c r="AT141" s="363"/>
      <c r="AU141" s="403"/>
      <c r="AV141" s="402"/>
      <c r="AW141" s="402"/>
      <c r="AX141" s="402"/>
      <c r="AY141" s="402"/>
      <c r="AZ141" s="402"/>
      <c r="BA141" s="402"/>
      <c r="BB141" s="402"/>
      <c r="BC141" s="402"/>
    </row>
    <row r="142" spans="1:55">
      <c r="A142" s="377"/>
      <c r="B142" s="376"/>
      <c r="C142" s="376"/>
      <c r="D142" s="405" t="s">
        <v>1066</v>
      </c>
      <c r="E142" s="364"/>
      <c r="F142" s="405" t="s">
        <v>1139</v>
      </c>
      <c r="G142" s="405">
        <v>2022</v>
      </c>
      <c r="H142" s="405">
        <v>5</v>
      </c>
      <c r="I142" s="416"/>
      <c r="J142" s="406">
        <v>44691</v>
      </c>
      <c r="K142" s="405" t="s">
        <v>4412</v>
      </c>
      <c r="L142" s="406" t="s">
        <v>1442</v>
      </c>
      <c r="M142" s="406">
        <v>44468</v>
      </c>
      <c r="N142" s="406" t="s">
        <v>1460</v>
      </c>
      <c r="O142" s="406"/>
      <c r="P142" s="406">
        <v>44678</v>
      </c>
      <c r="Q142" s="406">
        <v>44691</v>
      </c>
      <c r="R142" s="406">
        <v>44691</v>
      </c>
      <c r="S142" s="405" t="s">
        <v>1443</v>
      </c>
      <c r="T142" s="405">
        <v>60</v>
      </c>
      <c r="U142" s="405" t="s">
        <v>1455</v>
      </c>
      <c r="V142" s="405" t="s">
        <v>1447</v>
      </c>
      <c r="W142" s="407">
        <v>400</v>
      </c>
      <c r="X142" s="371">
        <v>624</v>
      </c>
      <c r="Y142" s="422">
        <f t="shared" si="24"/>
        <v>249600</v>
      </c>
      <c r="Z142" s="409">
        <v>0.48</v>
      </c>
      <c r="AA142" s="410">
        <f t="shared" si="23"/>
        <v>119808</v>
      </c>
      <c r="AB142" s="362"/>
      <c r="AC142" s="412">
        <v>0</v>
      </c>
      <c r="AD142" s="405"/>
      <c r="AE142" s="413"/>
      <c r="AF142" s="424">
        <f t="shared" si="25"/>
        <v>119808</v>
      </c>
      <c r="AG142" s="405" t="s">
        <v>47</v>
      </c>
      <c r="AH142" s="395"/>
      <c r="AI142" s="405">
        <v>75</v>
      </c>
      <c r="AJ142" s="405" t="s">
        <v>4942</v>
      </c>
      <c r="AK142" s="405" t="s">
        <v>50</v>
      </c>
      <c r="AL142" s="425">
        <v>92407</v>
      </c>
      <c r="AM142" s="405" t="s">
        <v>52</v>
      </c>
      <c r="AN142" s="405" t="s">
        <v>50</v>
      </c>
      <c r="AO142" s="405"/>
      <c r="AP142" s="405" t="s">
        <v>92</v>
      </c>
      <c r="AQ142" s="405" t="s">
        <v>37</v>
      </c>
      <c r="AR142" s="405"/>
      <c r="AS142" s="369"/>
      <c r="AT142" s="363"/>
      <c r="AU142" s="403"/>
      <c r="AV142" s="402"/>
      <c r="AW142" s="402"/>
      <c r="AX142" s="402"/>
      <c r="AY142" s="402"/>
      <c r="AZ142" s="402"/>
      <c r="BA142" s="402"/>
      <c r="BB142" s="402"/>
      <c r="BC142" s="402"/>
    </row>
    <row r="143" spans="1:55">
      <c r="A143" s="377"/>
      <c r="B143" s="376"/>
      <c r="C143" s="376"/>
      <c r="D143" s="405" t="s">
        <v>1066</v>
      </c>
      <c r="E143" s="364"/>
      <c r="F143" s="405" t="s">
        <v>1139</v>
      </c>
      <c r="G143" s="405">
        <v>2022</v>
      </c>
      <c r="H143" s="405">
        <v>5</v>
      </c>
      <c r="I143" s="416"/>
      <c r="J143" s="406">
        <v>44691</v>
      </c>
      <c r="K143" s="405" t="s">
        <v>4412</v>
      </c>
      <c r="L143" s="406" t="s">
        <v>1442</v>
      </c>
      <c r="M143" s="406">
        <v>44468</v>
      </c>
      <c r="N143" s="406" t="s">
        <v>1460</v>
      </c>
      <c r="O143" s="406"/>
      <c r="P143" s="406">
        <v>44678</v>
      </c>
      <c r="Q143" s="406">
        <v>44691</v>
      </c>
      <c r="R143" s="406">
        <v>44691</v>
      </c>
      <c r="S143" s="405" t="s">
        <v>1443</v>
      </c>
      <c r="T143" s="405">
        <v>60</v>
      </c>
      <c r="U143" s="405" t="s">
        <v>1455</v>
      </c>
      <c r="V143" s="405" t="s">
        <v>1447</v>
      </c>
      <c r="W143" s="407">
        <v>400</v>
      </c>
      <c r="X143" s="371">
        <v>624</v>
      </c>
      <c r="Y143" s="422">
        <f t="shared" si="24"/>
        <v>249600</v>
      </c>
      <c r="Z143" s="409">
        <v>0.48</v>
      </c>
      <c r="AA143" s="410">
        <f t="shared" si="23"/>
        <v>119808</v>
      </c>
      <c r="AB143" s="362"/>
      <c r="AC143" s="412">
        <v>0</v>
      </c>
      <c r="AD143" s="405"/>
      <c r="AE143" s="413"/>
      <c r="AF143" s="424">
        <f t="shared" si="25"/>
        <v>119808</v>
      </c>
      <c r="AG143" s="405" t="s">
        <v>47</v>
      </c>
      <c r="AH143" s="395"/>
      <c r="AI143" s="405">
        <v>75</v>
      </c>
      <c r="AJ143" s="405" t="s">
        <v>4942</v>
      </c>
      <c r="AK143" s="405" t="s">
        <v>50</v>
      </c>
      <c r="AL143" s="425">
        <v>92407</v>
      </c>
      <c r="AM143" s="405" t="s">
        <v>52</v>
      </c>
      <c r="AN143" s="405" t="s">
        <v>50</v>
      </c>
      <c r="AO143" s="405"/>
      <c r="AP143" s="405" t="s">
        <v>92</v>
      </c>
      <c r="AQ143" s="405" t="s">
        <v>37</v>
      </c>
      <c r="AR143" s="405"/>
      <c r="AS143" s="369"/>
      <c r="AT143" s="363"/>
      <c r="AU143" s="403"/>
      <c r="AV143" s="402"/>
      <c r="AW143" s="402"/>
      <c r="AX143" s="402"/>
      <c r="AY143" s="402"/>
      <c r="AZ143" s="402"/>
      <c r="BA143" s="402"/>
      <c r="BB143" s="402"/>
      <c r="BC143" s="402"/>
    </row>
    <row r="144" spans="1:55">
      <c r="A144" s="377"/>
      <c r="B144" s="376"/>
      <c r="C144" s="376"/>
      <c r="D144" s="405" t="s">
        <v>1066</v>
      </c>
      <c r="E144" s="364"/>
      <c r="F144" s="405" t="s">
        <v>1139</v>
      </c>
      <c r="G144" s="405">
        <v>2022</v>
      </c>
      <c r="H144" s="405">
        <v>5</v>
      </c>
      <c r="I144" s="416"/>
      <c r="J144" s="406">
        <v>44692</v>
      </c>
      <c r="K144" s="405" t="s">
        <v>4412</v>
      </c>
      <c r="L144" s="406" t="s">
        <v>1442</v>
      </c>
      <c r="M144" s="406">
        <v>44468</v>
      </c>
      <c r="N144" s="406" t="s">
        <v>1460</v>
      </c>
      <c r="O144" s="406"/>
      <c r="P144" s="406">
        <v>44678</v>
      </c>
      <c r="Q144" s="406">
        <v>44692</v>
      </c>
      <c r="R144" s="406">
        <v>44692</v>
      </c>
      <c r="S144" s="405" t="s">
        <v>1443</v>
      </c>
      <c r="T144" s="405">
        <v>60</v>
      </c>
      <c r="U144" s="405" t="s">
        <v>1455</v>
      </c>
      <c r="V144" s="405" t="s">
        <v>1447</v>
      </c>
      <c r="W144" s="407">
        <v>400</v>
      </c>
      <c r="X144" s="371">
        <v>624</v>
      </c>
      <c r="Y144" s="422">
        <f t="shared" si="24"/>
        <v>249600</v>
      </c>
      <c r="Z144" s="409">
        <v>0.48</v>
      </c>
      <c r="AA144" s="410">
        <f t="shared" si="23"/>
        <v>119808</v>
      </c>
      <c r="AB144" s="362"/>
      <c r="AC144" s="412">
        <v>0</v>
      </c>
      <c r="AD144" s="405"/>
      <c r="AE144" s="413"/>
      <c r="AF144" s="424">
        <f t="shared" si="25"/>
        <v>119808</v>
      </c>
      <c r="AG144" s="405" t="s">
        <v>47</v>
      </c>
      <c r="AH144" s="395"/>
      <c r="AI144" s="405">
        <v>75</v>
      </c>
      <c r="AJ144" s="405" t="s">
        <v>4942</v>
      </c>
      <c r="AK144" s="405" t="s">
        <v>50</v>
      </c>
      <c r="AL144" s="425">
        <v>92407</v>
      </c>
      <c r="AM144" s="405" t="s">
        <v>52</v>
      </c>
      <c r="AN144" s="405" t="s">
        <v>50</v>
      </c>
      <c r="AO144" s="405"/>
      <c r="AP144" s="405" t="s">
        <v>92</v>
      </c>
      <c r="AQ144" s="405" t="s">
        <v>37</v>
      </c>
      <c r="AR144" s="405"/>
      <c r="AS144" s="369"/>
      <c r="AT144" s="363"/>
      <c r="AU144" s="403"/>
      <c r="AV144" s="402"/>
      <c r="AW144" s="402"/>
      <c r="AX144" s="402"/>
      <c r="AY144" s="402"/>
      <c r="AZ144" s="402"/>
      <c r="BA144" s="402"/>
      <c r="BB144" s="402"/>
      <c r="BC144" s="402"/>
    </row>
    <row r="145" spans="1:55">
      <c r="A145" s="377"/>
      <c r="B145" s="376"/>
      <c r="C145" s="376"/>
      <c r="D145" s="405" t="s">
        <v>1066</v>
      </c>
      <c r="E145" s="364"/>
      <c r="F145" s="405" t="s">
        <v>1139</v>
      </c>
      <c r="G145" s="405">
        <v>2022</v>
      </c>
      <c r="H145" s="405">
        <v>5</v>
      </c>
      <c r="I145" s="416"/>
      <c r="J145" s="406">
        <v>44692</v>
      </c>
      <c r="K145" s="405" t="s">
        <v>4412</v>
      </c>
      <c r="L145" s="406" t="s">
        <v>1442</v>
      </c>
      <c r="M145" s="406">
        <v>44468</v>
      </c>
      <c r="N145" s="406" t="s">
        <v>1460</v>
      </c>
      <c r="O145" s="406"/>
      <c r="P145" s="406">
        <v>44678</v>
      </c>
      <c r="Q145" s="406">
        <v>44692</v>
      </c>
      <c r="R145" s="406">
        <v>44692</v>
      </c>
      <c r="S145" s="405" t="s">
        <v>1443</v>
      </c>
      <c r="T145" s="405">
        <v>60</v>
      </c>
      <c r="U145" s="405" t="s">
        <v>1455</v>
      </c>
      <c r="V145" s="405" t="s">
        <v>1447</v>
      </c>
      <c r="W145" s="407">
        <v>400</v>
      </c>
      <c r="X145" s="371">
        <v>624</v>
      </c>
      <c r="Y145" s="422">
        <f t="shared" si="24"/>
        <v>249600</v>
      </c>
      <c r="Z145" s="409">
        <v>0.48</v>
      </c>
      <c r="AA145" s="410">
        <f t="shared" si="23"/>
        <v>119808</v>
      </c>
      <c r="AB145" s="362"/>
      <c r="AC145" s="412">
        <v>0</v>
      </c>
      <c r="AD145" s="405"/>
      <c r="AE145" s="413"/>
      <c r="AF145" s="424">
        <f t="shared" si="25"/>
        <v>119808</v>
      </c>
      <c r="AG145" s="405" t="s">
        <v>47</v>
      </c>
      <c r="AH145" s="395"/>
      <c r="AI145" s="405">
        <v>75</v>
      </c>
      <c r="AJ145" s="405" t="s">
        <v>4942</v>
      </c>
      <c r="AK145" s="405" t="s">
        <v>50</v>
      </c>
      <c r="AL145" s="425">
        <v>92407</v>
      </c>
      <c r="AM145" s="405" t="s">
        <v>52</v>
      </c>
      <c r="AN145" s="405" t="s">
        <v>50</v>
      </c>
      <c r="AO145" s="405"/>
      <c r="AP145" s="405" t="s">
        <v>92</v>
      </c>
      <c r="AQ145" s="405" t="s">
        <v>37</v>
      </c>
      <c r="AR145" s="405"/>
      <c r="AS145" s="369"/>
      <c r="AT145" s="363"/>
      <c r="AU145" s="403"/>
      <c r="AV145" s="402"/>
      <c r="AW145" s="402"/>
      <c r="AX145" s="402"/>
      <c r="AY145" s="402"/>
      <c r="AZ145" s="402"/>
      <c r="BA145" s="402"/>
      <c r="BB145" s="402"/>
      <c r="BC145" s="402"/>
    </row>
    <row r="146" spans="1:55">
      <c r="A146" s="377"/>
      <c r="B146" s="376"/>
      <c r="C146" s="376"/>
      <c r="D146" s="405" t="s">
        <v>1066</v>
      </c>
      <c r="E146" s="364"/>
      <c r="F146" s="405" t="s">
        <v>1139</v>
      </c>
      <c r="G146" s="405">
        <v>2022</v>
      </c>
      <c r="H146" s="405">
        <v>5</v>
      </c>
      <c r="I146" s="416"/>
      <c r="J146" s="406">
        <v>44692</v>
      </c>
      <c r="K146" s="405" t="s">
        <v>4412</v>
      </c>
      <c r="L146" s="406" t="s">
        <v>1442</v>
      </c>
      <c r="M146" s="406">
        <v>44468</v>
      </c>
      <c r="N146" s="406" t="s">
        <v>1460</v>
      </c>
      <c r="O146" s="406"/>
      <c r="P146" s="406">
        <v>44678</v>
      </c>
      <c r="Q146" s="406">
        <v>44692</v>
      </c>
      <c r="R146" s="406">
        <v>44692</v>
      </c>
      <c r="S146" s="405" t="s">
        <v>1443</v>
      </c>
      <c r="T146" s="405">
        <v>60</v>
      </c>
      <c r="U146" s="405" t="s">
        <v>1455</v>
      </c>
      <c r="V146" s="405" t="s">
        <v>1447</v>
      </c>
      <c r="W146" s="407">
        <v>400</v>
      </c>
      <c r="X146" s="371">
        <v>624</v>
      </c>
      <c r="Y146" s="422">
        <f t="shared" si="24"/>
        <v>249600</v>
      </c>
      <c r="Z146" s="409">
        <v>0.48</v>
      </c>
      <c r="AA146" s="410">
        <f t="shared" si="23"/>
        <v>119808</v>
      </c>
      <c r="AB146" s="362"/>
      <c r="AC146" s="412">
        <v>0</v>
      </c>
      <c r="AD146" s="405"/>
      <c r="AE146" s="413"/>
      <c r="AF146" s="424">
        <f t="shared" si="25"/>
        <v>119808</v>
      </c>
      <c r="AG146" s="405" t="s">
        <v>47</v>
      </c>
      <c r="AH146" s="395"/>
      <c r="AI146" s="405">
        <v>75</v>
      </c>
      <c r="AJ146" s="405" t="s">
        <v>4942</v>
      </c>
      <c r="AK146" s="405" t="s">
        <v>50</v>
      </c>
      <c r="AL146" s="425">
        <v>92407</v>
      </c>
      <c r="AM146" s="405" t="s">
        <v>52</v>
      </c>
      <c r="AN146" s="405" t="s">
        <v>50</v>
      </c>
      <c r="AO146" s="405"/>
      <c r="AP146" s="405" t="s">
        <v>92</v>
      </c>
      <c r="AQ146" s="405" t="s">
        <v>37</v>
      </c>
      <c r="AR146" s="405"/>
      <c r="AS146" s="369"/>
      <c r="AT146" s="363"/>
      <c r="AU146" s="403"/>
      <c r="AV146" s="402" t="str">
        <f>U146</f>
        <v>30390256H</v>
      </c>
      <c r="AW146" s="402" cm="1">
        <f t="array" ref="AW146">SUM(MID(0&amp;AV146,LARGE(INDEX(ISNUMBER(--MID(AV146,ROW($1:$8),1))*ROW($1:$8),),ROW($1:$8))+1,1)*10^ROW($1:$8)/10)</f>
        <v>30390256</v>
      </c>
      <c r="AX146" s="402" t="str">
        <f>VLOOKUP($AW146,'Item Master Data'!$A:$F,3,FALSE)</f>
        <v>T400H</v>
      </c>
      <c r="AY146" s="402">
        <f>VLOOKUP($AW146,'Item Master Data'!$A:$F,6,FALSE)</f>
        <v>400</v>
      </c>
      <c r="AZ146" s="402">
        <f>X146/BA146</f>
        <v>24</v>
      </c>
      <c r="BA146" s="402">
        <f>VLOOKUP(AW146,'Item Master Data'!$A:$G,7,FALSE)</f>
        <v>26</v>
      </c>
      <c r="BB146" s="402"/>
      <c r="BC146" s="402">
        <f>W146-AY146</f>
        <v>0</v>
      </c>
    </row>
    <row r="147" spans="1:55">
      <c r="A147" s="377"/>
      <c r="B147" s="376"/>
      <c r="C147" s="376"/>
      <c r="D147" s="405" t="s">
        <v>1066</v>
      </c>
      <c r="E147" s="364"/>
      <c r="F147" s="405" t="s">
        <v>1139</v>
      </c>
      <c r="G147" s="405">
        <v>2022</v>
      </c>
      <c r="H147" s="405">
        <v>5</v>
      </c>
      <c r="I147" s="416"/>
      <c r="J147" s="406">
        <v>44692</v>
      </c>
      <c r="K147" s="405" t="s">
        <v>4412</v>
      </c>
      <c r="L147" s="406" t="s">
        <v>1442</v>
      </c>
      <c r="M147" s="406">
        <v>44468</v>
      </c>
      <c r="N147" s="406" t="s">
        <v>1460</v>
      </c>
      <c r="O147" s="406"/>
      <c r="P147" s="406">
        <v>44678</v>
      </c>
      <c r="Q147" s="406">
        <v>44692</v>
      </c>
      <c r="R147" s="406">
        <v>44692</v>
      </c>
      <c r="S147" s="405" t="s">
        <v>1443</v>
      </c>
      <c r="T147" s="405">
        <v>60</v>
      </c>
      <c r="U147" s="405" t="s">
        <v>1455</v>
      </c>
      <c r="V147" s="405" t="s">
        <v>1447</v>
      </c>
      <c r="W147" s="407">
        <v>400</v>
      </c>
      <c r="X147" s="371">
        <v>624</v>
      </c>
      <c r="Y147" s="422">
        <f t="shared" si="24"/>
        <v>249600</v>
      </c>
      <c r="Z147" s="409">
        <v>0.48</v>
      </c>
      <c r="AA147" s="410">
        <f t="shared" si="23"/>
        <v>119808</v>
      </c>
      <c r="AB147" s="362"/>
      <c r="AC147" s="412">
        <v>0</v>
      </c>
      <c r="AD147" s="405"/>
      <c r="AE147" s="413"/>
      <c r="AF147" s="424">
        <f t="shared" si="25"/>
        <v>119808</v>
      </c>
      <c r="AG147" s="405" t="s">
        <v>47</v>
      </c>
      <c r="AH147" s="395"/>
      <c r="AI147" s="405">
        <v>75</v>
      </c>
      <c r="AJ147" s="405" t="s">
        <v>4942</v>
      </c>
      <c r="AK147" s="405" t="s">
        <v>50</v>
      </c>
      <c r="AL147" s="425">
        <v>92407</v>
      </c>
      <c r="AM147" s="405" t="s">
        <v>52</v>
      </c>
      <c r="AN147" s="405" t="s">
        <v>50</v>
      </c>
      <c r="AO147" s="405"/>
      <c r="AP147" s="405" t="s">
        <v>92</v>
      </c>
      <c r="AQ147" s="405" t="s">
        <v>37</v>
      </c>
      <c r="AR147" s="405"/>
      <c r="AS147" s="369"/>
      <c r="AT147" s="363"/>
      <c r="AU147" s="403"/>
      <c r="AV147" s="402" t="str">
        <f>U147</f>
        <v>30390256H</v>
      </c>
      <c r="AW147" s="402" cm="1">
        <f t="array" ref="AW147">SUM(MID(0&amp;AV147,LARGE(INDEX(ISNUMBER(--MID(AV147,ROW($1:$8),1))*ROW($1:$8),),ROW($1:$8))+1,1)*10^ROW($1:$8)/10)</f>
        <v>30390256</v>
      </c>
      <c r="AX147" s="402" t="str">
        <f>VLOOKUP($AW147,'Item Master Data'!$A:$F,3,FALSE)</f>
        <v>T400H</v>
      </c>
      <c r="AY147" s="402">
        <f>VLOOKUP($AW147,'Item Master Data'!$A:$F,6,FALSE)</f>
        <v>400</v>
      </c>
      <c r="AZ147" s="402">
        <f>X147/BA147</f>
        <v>24</v>
      </c>
      <c r="BA147" s="402">
        <f>VLOOKUP(AW147,'Item Master Data'!$A:$G,7,FALSE)</f>
        <v>26</v>
      </c>
      <c r="BB147" s="402"/>
      <c r="BC147" s="402">
        <f>W147-AY147</f>
        <v>0</v>
      </c>
    </row>
    <row r="148" spans="1:55">
      <c r="A148" s="377"/>
      <c r="B148" s="376"/>
      <c r="C148" s="376"/>
      <c r="D148" s="405" t="s">
        <v>1066</v>
      </c>
      <c r="E148" s="364"/>
      <c r="F148" s="405" t="s">
        <v>1139</v>
      </c>
      <c r="G148" s="405">
        <v>2022</v>
      </c>
      <c r="H148" s="405">
        <v>5</v>
      </c>
      <c r="I148" s="416"/>
      <c r="J148" s="406">
        <v>44693</v>
      </c>
      <c r="K148" s="405" t="s">
        <v>4412</v>
      </c>
      <c r="L148" s="406" t="s">
        <v>1442</v>
      </c>
      <c r="M148" s="406">
        <v>44468</v>
      </c>
      <c r="N148" s="406" t="s">
        <v>1460</v>
      </c>
      <c r="O148" s="406"/>
      <c r="P148" s="406">
        <v>44678</v>
      </c>
      <c r="Q148" s="406">
        <v>44693</v>
      </c>
      <c r="R148" s="406">
        <v>44693</v>
      </c>
      <c r="S148" s="405" t="s">
        <v>1443</v>
      </c>
      <c r="T148" s="405">
        <v>60</v>
      </c>
      <c r="U148" s="405" t="s">
        <v>1455</v>
      </c>
      <c r="V148" s="405" t="s">
        <v>1447</v>
      </c>
      <c r="W148" s="407">
        <v>400</v>
      </c>
      <c r="X148" s="371">
        <v>624</v>
      </c>
      <c r="Y148" s="422">
        <f t="shared" si="24"/>
        <v>249600</v>
      </c>
      <c r="Z148" s="409">
        <v>0.48</v>
      </c>
      <c r="AA148" s="410">
        <f t="shared" si="23"/>
        <v>119808</v>
      </c>
      <c r="AB148" s="362"/>
      <c r="AC148" s="412">
        <v>0</v>
      </c>
      <c r="AD148" s="405"/>
      <c r="AE148" s="413"/>
      <c r="AF148" s="424">
        <f t="shared" si="25"/>
        <v>119808</v>
      </c>
      <c r="AG148" s="405" t="s">
        <v>47</v>
      </c>
      <c r="AH148" s="395"/>
      <c r="AI148" s="405">
        <v>75</v>
      </c>
      <c r="AJ148" s="405" t="s">
        <v>4942</v>
      </c>
      <c r="AK148" s="405" t="s">
        <v>50</v>
      </c>
      <c r="AL148" s="425">
        <v>92407</v>
      </c>
      <c r="AM148" s="405" t="s">
        <v>52</v>
      </c>
      <c r="AN148" s="405" t="s">
        <v>50</v>
      </c>
      <c r="AO148" s="405"/>
      <c r="AP148" s="405" t="s">
        <v>92</v>
      </c>
      <c r="AQ148" s="405" t="s">
        <v>37</v>
      </c>
      <c r="AR148" s="405"/>
      <c r="AS148" s="369"/>
      <c r="AT148" s="363"/>
      <c r="AU148" s="403"/>
      <c r="AV148" s="402" t="str">
        <f>U148</f>
        <v>30390256H</v>
      </c>
      <c r="AW148" s="402" cm="1">
        <f t="array" ref="AW148">SUM(MID(0&amp;AV148,LARGE(INDEX(ISNUMBER(--MID(AV148,ROW($1:$8),1))*ROW($1:$8),),ROW($1:$8))+1,1)*10^ROW($1:$8)/10)</f>
        <v>30390256</v>
      </c>
      <c r="AX148" s="402" t="str">
        <f>VLOOKUP($AW148,'Item Master Data'!$A:$F,3,FALSE)</f>
        <v>T400H</v>
      </c>
      <c r="AY148" s="402">
        <f>VLOOKUP($AW148,'Item Master Data'!$A:$F,6,FALSE)</f>
        <v>400</v>
      </c>
      <c r="AZ148" s="402">
        <f>X148/BA148</f>
        <v>24</v>
      </c>
      <c r="BA148" s="402">
        <f>VLOOKUP(AW148,'Item Master Data'!$A:$G,7,FALSE)</f>
        <v>26</v>
      </c>
      <c r="BB148" s="402"/>
      <c r="BC148" s="402">
        <f>W148-AY148</f>
        <v>0</v>
      </c>
    </row>
    <row r="149" spans="1:55">
      <c r="A149" s="377"/>
      <c r="B149" s="376"/>
      <c r="C149" s="376"/>
      <c r="D149" s="405" t="s">
        <v>1066</v>
      </c>
      <c r="E149" s="364"/>
      <c r="F149" s="405" t="s">
        <v>1139</v>
      </c>
      <c r="G149" s="405">
        <v>2022</v>
      </c>
      <c r="H149" s="405">
        <v>5</v>
      </c>
      <c r="I149" s="416"/>
      <c r="J149" s="406">
        <v>44693</v>
      </c>
      <c r="K149" s="405" t="s">
        <v>4412</v>
      </c>
      <c r="L149" s="406" t="s">
        <v>1442</v>
      </c>
      <c r="M149" s="406">
        <v>44468</v>
      </c>
      <c r="N149" s="406" t="s">
        <v>1460</v>
      </c>
      <c r="O149" s="406"/>
      <c r="P149" s="406">
        <v>44678</v>
      </c>
      <c r="Q149" s="406">
        <v>44693</v>
      </c>
      <c r="R149" s="406">
        <v>44693</v>
      </c>
      <c r="S149" s="405" t="s">
        <v>1443</v>
      </c>
      <c r="T149" s="405">
        <v>60</v>
      </c>
      <c r="U149" s="405" t="s">
        <v>1455</v>
      </c>
      <c r="V149" s="405" t="s">
        <v>1447</v>
      </c>
      <c r="W149" s="407">
        <v>400</v>
      </c>
      <c r="X149" s="371">
        <v>624</v>
      </c>
      <c r="Y149" s="422">
        <f t="shared" si="24"/>
        <v>249600</v>
      </c>
      <c r="Z149" s="409">
        <v>0.48</v>
      </c>
      <c r="AA149" s="410">
        <f t="shared" si="23"/>
        <v>119808</v>
      </c>
      <c r="AB149" s="362"/>
      <c r="AC149" s="412">
        <v>0</v>
      </c>
      <c r="AD149" s="405"/>
      <c r="AE149" s="413"/>
      <c r="AF149" s="424">
        <f t="shared" si="25"/>
        <v>119808</v>
      </c>
      <c r="AG149" s="405" t="s">
        <v>47</v>
      </c>
      <c r="AH149" s="395"/>
      <c r="AI149" s="405">
        <v>75</v>
      </c>
      <c r="AJ149" s="405" t="s">
        <v>4942</v>
      </c>
      <c r="AK149" s="405" t="s">
        <v>50</v>
      </c>
      <c r="AL149" s="425">
        <v>92407</v>
      </c>
      <c r="AM149" s="405" t="s">
        <v>52</v>
      </c>
      <c r="AN149" s="405" t="s">
        <v>50</v>
      </c>
      <c r="AO149" s="405"/>
      <c r="AP149" s="405" t="s">
        <v>92</v>
      </c>
      <c r="AQ149" s="405" t="s">
        <v>37</v>
      </c>
      <c r="AR149" s="405"/>
      <c r="AS149" s="369"/>
      <c r="AT149" s="363"/>
      <c r="AU149" s="403"/>
      <c r="AV149" s="402"/>
      <c r="AW149" s="402"/>
      <c r="AX149" s="402"/>
      <c r="AY149" s="402"/>
      <c r="AZ149" s="402"/>
      <c r="BA149" s="402"/>
      <c r="BB149" s="402"/>
      <c r="BC149" s="402"/>
    </row>
    <row r="150" spans="1:55">
      <c r="A150" s="377"/>
      <c r="B150" s="376"/>
      <c r="C150" s="376"/>
      <c r="D150" s="405" t="s">
        <v>1066</v>
      </c>
      <c r="E150" s="364"/>
      <c r="F150" s="405" t="s">
        <v>1139</v>
      </c>
      <c r="G150" s="405">
        <v>2022</v>
      </c>
      <c r="H150" s="405">
        <v>5</v>
      </c>
      <c r="I150" s="416"/>
      <c r="J150" s="406">
        <v>44693</v>
      </c>
      <c r="K150" s="405" t="s">
        <v>4412</v>
      </c>
      <c r="L150" s="406" t="s">
        <v>1442</v>
      </c>
      <c r="M150" s="406">
        <v>44468</v>
      </c>
      <c r="N150" s="406" t="s">
        <v>1460</v>
      </c>
      <c r="O150" s="406"/>
      <c r="P150" s="406">
        <v>44678</v>
      </c>
      <c r="Q150" s="406">
        <v>44693</v>
      </c>
      <c r="R150" s="406">
        <v>44693</v>
      </c>
      <c r="S150" s="405" t="s">
        <v>1443</v>
      </c>
      <c r="T150" s="405">
        <v>60</v>
      </c>
      <c r="U150" s="405" t="s">
        <v>1455</v>
      </c>
      <c r="V150" s="405" t="s">
        <v>1447</v>
      </c>
      <c r="W150" s="407">
        <v>400</v>
      </c>
      <c r="X150" s="371">
        <v>624</v>
      </c>
      <c r="Y150" s="422">
        <f t="shared" si="24"/>
        <v>249600</v>
      </c>
      <c r="Z150" s="409">
        <v>0.48</v>
      </c>
      <c r="AA150" s="410">
        <f t="shared" si="23"/>
        <v>119808</v>
      </c>
      <c r="AB150" s="362"/>
      <c r="AC150" s="412">
        <v>0</v>
      </c>
      <c r="AD150" s="405"/>
      <c r="AE150" s="413"/>
      <c r="AF150" s="424">
        <f t="shared" si="25"/>
        <v>119808</v>
      </c>
      <c r="AG150" s="405" t="s">
        <v>47</v>
      </c>
      <c r="AH150" s="395"/>
      <c r="AI150" s="405">
        <v>75</v>
      </c>
      <c r="AJ150" s="405" t="s">
        <v>4942</v>
      </c>
      <c r="AK150" s="405" t="s">
        <v>50</v>
      </c>
      <c r="AL150" s="425">
        <v>92407</v>
      </c>
      <c r="AM150" s="405" t="s">
        <v>52</v>
      </c>
      <c r="AN150" s="405" t="s">
        <v>50</v>
      </c>
      <c r="AO150" s="405"/>
      <c r="AP150" s="405" t="s">
        <v>92</v>
      </c>
      <c r="AQ150" s="405" t="s">
        <v>37</v>
      </c>
      <c r="AR150" s="405"/>
      <c r="AS150" s="369"/>
      <c r="AT150" s="363"/>
      <c r="AU150" s="403"/>
      <c r="AV150" s="402" t="str">
        <f t="shared" ref="AV150:AV155" si="29">U150</f>
        <v>30390256H</v>
      </c>
      <c r="AW150" s="402" cm="1">
        <f t="array" ref="AW150">SUM(MID(0&amp;AV150,LARGE(INDEX(ISNUMBER(--MID(AV150,ROW($1:$8),1))*ROW($1:$8),),ROW($1:$8))+1,1)*10^ROW($1:$8)/10)</f>
        <v>30390256</v>
      </c>
      <c r="AX150" s="402" t="str">
        <f>VLOOKUP($AW150,'Item Master Data'!$A:$F,3,FALSE)</f>
        <v>T400H</v>
      </c>
      <c r="AY150" s="402">
        <f>VLOOKUP($AW150,'Item Master Data'!$A:$F,6,FALSE)</f>
        <v>400</v>
      </c>
      <c r="AZ150" s="402">
        <f t="shared" ref="AZ150:AZ155" si="30">X150/BA150</f>
        <v>24</v>
      </c>
      <c r="BA150" s="402">
        <f>VLOOKUP(AW150,'Item Master Data'!$A:$G,7,FALSE)</f>
        <v>26</v>
      </c>
      <c r="BB150" s="402"/>
      <c r="BC150" s="402">
        <f t="shared" ref="BC150:BC155" si="31">W150-AY150</f>
        <v>0</v>
      </c>
    </row>
    <row r="151" spans="1:55">
      <c r="A151" s="377"/>
      <c r="B151" s="376"/>
      <c r="C151" s="376"/>
      <c r="D151" s="405" t="s">
        <v>1066</v>
      </c>
      <c r="E151" s="364"/>
      <c r="F151" s="405" t="s">
        <v>1139</v>
      </c>
      <c r="G151" s="405">
        <v>2022</v>
      </c>
      <c r="H151" s="405">
        <v>5</v>
      </c>
      <c r="I151" s="416"/>
      <c r="J151" s="406">
        <v>44694</v>
      </c>
      <c r="K151" s="405" t="s">
        <v>4412</v>
      </c>
      <c r="L151" s="406" t="s">
        <v>1442</v>
      </c>
      <c r="M151" s="406">
        <v>44468</v>
      </c>
      <c r="N151" s="406" t="s">
        <v>1460</v>
      </c>
      <c r="O151" s="406"/>
      <c r="P151" s="406">
        <v>44678</v>
      </c>
      <c r="Q151" s="406">
        <v>44694</v>
      </c>
      <c r="R151" s="406">
        <v>44694</v>
      </c>
      <c r="S151" s="405" t="s">
        <v>1443</v>
      </c>
      <c r="T151" s="405">
        <v>60</v>
      </c>
      <c r="U151" s="405" t="s">
        <v>1455</v>
      </c>
      <c r="V151" s="405" t="s">
        <v>1447</v>
      </c>
      <c r="W151" s="407">
        <v>400</v>
      </c>
      <c r="X151" s="371">
        <v>624</v>
      </c>
      <c r="Y151" s="422">
        <f t="shared" si="24"/>
        <v>249600</v>
      </c>
      <c r="Z151" s="409">
        <v>0.48</v>
      </c>
      <c r="AA151" s="410">
        <f t="shared" si="23"/>
        <v>119808</v>
      </c>
      <c r="AB151" s="362"/>
      <c r="AC151" s="412">
        <v>0</v>
      </c>
      <c r="AD151" s="405"/>
      <c r="AE151" s="413"/>
      <c r="AF151" s="424">
        <f t="shared" si="25"/>
        <v>119808</v>
      </c>
      <c r="AG151" s="405" t="s">
        <v>47</v>
      </c>
      <c r="AH151" s="395"/>
      <c r="AI151" s="405">
        <v>75</v>
      </c>
      <c r="AJ151" s="405" t="s">
        <v>4942</v>
      </c>
      <c r="AK151" s="405" t="s">
        <v>50</v>
      </c>
      <c r="AL151" s="425">
        <v>92407</v>
      </c>
      <c r="AM151" s="405" t="s">
        <v>52</v>
      </c>
      <c r="AN151" s="405" t="s">
        <v>50</v>
      </c>
      <c r="AO151" s="405"/>
      <c r="AP151" s="405" t="s">
        <v>92</v>
      </c>
      <c r="AQ151" s="405" t="s">
        <v>37</v>
      </c>
      <c r="AR151" s="405"/>
      <c r="AS151" s="369"/>
      <c r="AT151" s="363"/>
      <c r="AU151" s="403"/>
      <c r="AV151" s="402" t="str">
        <f t="shared" si="29"/>
        <v>30390256H</v>
      </c>
      <c r="AW151" s="402" cm="1">
        <f t="array" ref="AW151">SUM(MID(0&amp;AV151,LARGE(INDEX(ISNUMBER(--MID(AV151,ROW($1:$8),1))*ROW($1:$8),),ROW($1:$8))+1,1)*10^ROW($1:$8)/10)</f>
        <v>30390256</v>
      </c>
      <c r="AX151" s="402" t="str">
        <f>VLOOKUP($AW151,'Item Master Data'!$A:$F,3,FALSE)</f>
        <v>T400H</v>
      </c>
      <c r="AY151" s="402">
        <f>VLOOKUP($AW151,'Item Master Data'!$A:$F,6,FALSE)</f>
        <v>400</v>
      </c>
      <c r="AZ151" s="402">
        <f t="shared" si="30"/>
        <v>24</v>
      </c>
      <c r="BA151" s="402">
        <f>VLOOKUP(AW151,'Item Master Data'!$A:$G,7,FALSE)</f>
        <v>26</v>
      </c>
      <c r="BB151" s="402"/>
      <c r="BC151" s="402">
        <f t="shared" si="31"/>
        <v>0</v>
      </c>
    </row>
    <row r="152" spans="1:55">
      <c r="A152" s="377"/>
      <c r="B152" s="376"/>
      <c r="C152" s="376"/>
      <c r="D152" s="405" t="s">
        <v>1066</v>
      </c>
      <c r="E152" s="364"/>
      <c r="F152" s="405" t="s">
        <v>1139</v>
      </c>
      <c r="G152" s="405">
        <v>2022</v>
      </c>
      <c r="H152" s="405">
        <v>5</v>
      </c>
      <c r="I152" s="416"/>
      <c r="J152" s="406">
        <v>44694</v>
      </c>
      <c r="K152" s="405" t="s">
        <v>4412</v>
      </c>
      <c r="L152" s="406" t="s">
        <v>1442</v>
      </c>
      <c r="M152" s="406">
        <v>44468</v>
      </c>
      <c r="N152" s="406" t="s">
        <v>1460</v>
      </c>
      <c r="O152" s="406"/>
      <c r="P152" s="406">
        <v>44678</v>
      </c>
      <c r="Q152" s="406">
        <v>44694</v>
      </c>
      <c r="R152" s="406">
        <v>44694</v>
      </c>
      <c r="S152" s="405" t="s">
        <v>1443</v>
      </c>
      <c r="T152" s="405">
        <v>60</v>
      </c>
      <c r="U152" s="405" t="s">
        <v>1455</v>
      </c>
      <c r="V152" s="405" t="s">
        <v>1447</v>
      </c>
      <c r="W152" s="407">
        <v>400</v>
      </c>
      <c r="X152" s="371">
        <v>624</v>
      </c>
      <c r="Y152" s="422">
        <f t="shared" si="24"/>
        <v>249600</v>
      </c>
      <c r="Z152" s="409">
        <v>0.48</v>
      </c>
      <c r="AA152" s="410">
        <f t="shared" si="23"/>
        <v>119808</v>
      </c>
      <c r="AB152" s="362"/>
      <c r="AC152" s="412">
        <v>0</v>
      </c>
      <c r="AD152" s="405"/>
      <c r="AE152" s="413"/>
      <c r="AF152" s="424">
        <f t="shared" si="25"/>
        <v>119808</v>
      </c>
      <c r="AG152" s="405" t="s">
        <v>47</v>
      </c>
      <c r="AH152" s="395"/>
      <c r="AI152" s="405">
        <v>75</v>
      </c>
      <c r="AJ152" s="405" t="s">
        <v>4942</v>
      </c>
      <c r="AK152" s="405" t="s">
        <v>50</v>
      </c>
      <c r="AL152" s="425">
        <v>92407</v>
      </c>
      <c r="AM152" s="405" t="s">
        <v>52</v>
      </c>
      <c r="AN152" s="405" t="s">
        <v>50</v>
      </c>
      <c r="AO152" s="405"/>
      <c r="AP152" s="405" t="s">
        <v>92</v>
      </c>
      <c r="AQ152" s="405" t="s">
        <v>37</v>
      </c>
      <c r="AR152" s="405"/>
      <c r="AS152" s="369"/>
      <c r="AT152" s="363"/>
      <c r="AU152" s="403"/>
      <c r="AV152" s="402" t="str">
        <f t="shared" si="29"/>
        <v>30390256H</v>
      </c>
      <c r="AW152" s="402" cm="1">
        <f t="array" ref="AW152">SUM(MID(0&amp;AV152,LARGE(INDEX(ISNUMBER(--MID(AV152,ROW($1:$8),1))*ROW($1:$8),),ROW($1:$8))+1,1)*10^ROW($1:$8)/10)</f>
        <v>30390256</v>
      </c>
      <c r="AX152" s="402" t="str">
        <f>VLOOKUP($AW152,'Item Master Data'!$A:$F,3,FALSE)</f>
        <v>T400H</v>
      </c>
      <c r="AY152" s="402">
        <f>VLOOKUP($AW152,'Item Master Data'!$A:$F,6,FALSE)</f>
        <v>400</v>
      </c>
      <c r="AZ152" s="402">
        <f t="shared" si="30"/>
        <v>24</v>
      </c>
      <c r="BA152" s="402">
        <f>VLOOKUP(AW152,'Item Master Data'!$A:$G,7,FALSE)</f>
        <v>26</v>
      </c>
      <c r="BB152" s="402"/>
      <c r="BC152" s="402">
        <f t="shared" si="31"/>
        <v>0</v>
      </c>
    </row>
    <row r="153" spans="1:55">
      <c r="A153" s="377"/>
      <c r="B153" s="376"/>
      <c r="C153" s="376"/>
      <c r="D153" s="405" t="s">
        <v>1066</v>
      </c>
      <c r="E153" s="364"/>
      <c r="F153" s="405" t="s">
        <v>1139</v>
      </c>
      <c r="G153" s="405">
        <v>2022</v>
      </c>
      <c r="H153" s="405">
        <v>5</v>
      </c>
      <c r="I153" s="416"/>
      <c r="J153" s="406">
        <v>44694</v>
      </c>
      <c r="K153" s="405" t="s">
        <v>4412</v>
      </c>
      <c r="L153" s="406" t="s">
        <v>1442</v>
      </c>
      <c r="M153" s="406">
        <v>44468</v>
      </c>
      <c r="N153" s="406" t="s">
        <v>1460</v>
      </c>
      <c r="O153" s="406"/>
      <c r="P153" s="406">
        <v>44678</v>
      </c>
      <c r="Q153" s="406">
        <v>44694</v>
      </c>
      <c r="R153" s="406">
        <v>44694</v>
      </c>
      <c r="S153" s="405" t="s">
        <v>1443</v>
      </c>
      <c r="T153" s="405">
        <v>60</v>
      </c>
      <c r="U153" s="405" t="s">
        <v>1455</v>
      </c>
      <c r="V153" s="405" t="s">
        <v>1447</v>
      </c>
      <c r="W153" s="407">
        <v>400</v>
      </c>
      <c r="X153" s="371">
        <v>624</v>
      </c>
      <c r="Y153" s="422">
        <f t="shared" si="24"/>
        <v>249600</v>
      </c>
      <c r="Z153" s="409">
        <v>0.48</v>
      </c>
      <c r="AA153" s="410">
        <f t="shared" si="23"/>
        <v>119808</v>
      </c>
      <c r="AB153" s="362"/>
      <c r="AC153" s="412">
        <v>0</v>
      </c>
      <c r="AD153" s="405"/>
      <c r="AE153" s="413"/>
      <c r="AF153" s="424">
        <f t="shared" si="25"/>
        <v>119808</v>
      </c>
      <c r="AG153" s="405" t="s">
        <v>47</v>
      </c>
      <c r="AH153" s="395"/>
      <c r="AI153" s="405">
        <v>75</v>
      </c>
      <c r="AJ153" s="405" t="s">
        <v>4942</v>
      </c>
      <c r="AK153" s="405" t="s">
        <v>50</v>
      </c>
      <c r="AL153" s="425">
        <v>92407</v>
      </c>
      <c r="AM153" s="405" t="s">
        <v>52</v>
      </c>
      <c r="AN153" s="405" t="s">
        <v>50</v>
      </c>
      <c r="AO153" s="405"/>
      <c r="AP153" s="405" t="s">
        <v>92</v>
      </c>
      <c r="AQ153" s="405" t="s">
        <v>37</v>
      </c>
      <c r="AR153" s="405"/>
      <c r="AS153" s="369"/>
      <c r="AT153" s="363"/>
      <c r="AU153" s="403"/>
      <c r="AV153" s="402" t="str">
        <f t="shared" si="29"/>
        <v>30390256H</v>
      </c>
      <c r="AW153" s="402" cm="1">
        <f t="array" ref="AW153">SUM(MID(0&amp;AV153,LARGE(INDEX(ISNUMBER(--MID(AV153,ROW($1:$8),1))*ROW($1:$8),),ROW($1:$8))+1,1)*10^ROW($1:$8)/10)</f>
        <v>30390256</v>
      </c>
      <c r="AX153" s="402" t="str">
        <f>VLOOKUP($AW153,'Item Master Data'!$A:$F,3,FALSE)</f>
        <v>T400H</v>
      </c>
      <c r="AY153" s="402">
        <f>VLOOKUP($AW153,'Item Master Data'!$A:$F,6,FALSE)</f>
        <v>400</v>
      </c>
      <c r="AZ153" s="402">
        <f t="shared" si="30"/>
        <v>24</v>
      </c>
      <c r="BA153" s="402">
        <f>VLOOKUP(AW153,'Item Master Data'!$A:$G,7,FALSE)</f>
        <v>26</v>
      </c>
      <c r="BB153" s="402"/>
      <c r="BC153" s="402">
        <f t="shared" si="31"/>
        <v>0</v>
      </c>
    </row>
    <row r="154" spans="1:55">
      <c r="A154" s="377"/>
      <c r="B154" s="376"/>
      <c r="C154" s="376"/>
      <c r="D154" s="405" t="s">
        <v>1066</v>
      </c>
      <c r="E154" s="364"/>
      <c r="F154" s="405" t="s">
        <v>1139</v>
      </c>
      <c r="G154" s="405">
        <v>2022</v>
      </c>
      <c r="H154" s="405">
        <v>5</v>
      </c>
      <c r="I154" s="416"/>
      <c r="J154" s="406">
        <v>44694</v>
      </c>
      <c r="K154" s="405" t="s">
        <v>4412</v>
      </c>
      <c r="L154" s="406" t="s">
        <v>1442</v>
      </c>
      <c r="M154" s="406">
        <v>44468</v>
      </c>
      <c r="N154" s="406" t="s">
        <v>1460</v>
      </c>
      <c r="O154" s="406"/>
      <c r="P154" s="406">
        <v>44678</v>
      </c>
      <c r="Q154" s="406">
        <v>44694</v>
      </c>
      <c r="R154" s="406">
        <v>44694</v>
      </c>
      <c r="S154" s="405" t="s">
        <v>1443</v>
      </c>
      <c r="T154" s="405">
        <v>60</v>
      </c>
      <c r="U154" s="405" t="s">
        <v>1455</v>
      </c>
      <c r="V154" s="405" t="s">
        <v>1447</v>
      </c>
      <c r="W154" s="407">
        <v>400</v>
      </c>
      <c r="X154" s="371">
        <v>624</v>
      </c>
      <c r="Y154" s="422">
        <f t="shared" si="24"/>
        <v>249600</v>
      </c>
      <c r="Z154" s="409">
        <v>0.48</v>
      </c>
      <c r="AA154" s="410">
        <f t="shared" si="23"/>
        <v>119808</v>
      </c>
      <c r="AB154" s="362"/>
      <c r="AC154" s="412">
        <v>0</v>
      </c>
      <c r="AD154" s="405"/>
      <c r="AE154" s="413"/>
      <c r="AF154" s="424">
        <f t="shared" si="25"/>
        <v>119808</v>
      </c>
      <c r="AG154" s="405" t="s">
        <v>47</v>
      </c>
      <c r="AH154" s="395"/>
      <c r="AI154" s="405">
        <v>75</v>
      </c>
      <c r="AJ154" s="405" t="s">
        <v>4942</v>
      </c>
      <c r="AK154" s="405" t="s">
        <v>50</v>
      </c>
      <c r="AL154" s="425">
        <v>92407</v>
      </c>
      <c r="AM154" s="405" t="s">
        <v>52</v>
      </c>
      <c r="AN154" s="405" t="s">
        <v>50</v>
      </c>
      <c r="AO154" s="405"/>
      <c r="AP154" s="405" t="s">
        <v>92</v>
      </c>
      <c r="AQ154" s="405" t="s">
        <v>37</v>
      </c>
      <c r="AR154" s="405"/>
      <c r="AS154" s="369"/>
      <c r="AT154" s="363"/>
      <c r="AU154" s="403"/>
      <c r="AV154" s="402" t="str">
        <f t="shared" si="29"/>
        <v>30390256H</v>
      </c>
      <c r="AW154" s="402" cm="1">
        <f t="array" ref="AW154">SUM(MID(0&amp;AV154,LARGE(INDEX(ISNUMBER(--MID(AV154,ROW($1:$8),1))*ROW($1:$8),),ROW($1:$8))+1,1)*10^ROW($1:$8)/10)</f>
        <v>30390256</v>
      </c>
      <c r="AX154" s="402" t="str">
        <f>VLOOKUP($AW154,'Item Master Data'!$A:$F,3,FALSE)</f>
        <v>T400H</v>
      </c>
      <c r="AY154" s="402">
        <f>VLOOKUP($AW154,'Item Master Data'!$A:$F,6,FALSE)</f>
        <v>400</v>
      </c>
      <c r="AZ154" s="402">
        <f t="shared" si="30"/>
        <v>24</v>
      </c>
      <c r="BA154" s="402">
        <f>VLOOKUP(AW154,'Item Master Data'!$A:$G,7,FALSE)</f>
        <v>26</v>
      </c>
      <c r="BB154" s="402"/>
      <c r="BC154" s="402">
        <f t="shared" si="31"/>
        <v>0</v>
      </c>
    </row>
    <row r="155" spans="1:55">
      <c r="A155" s="377"/>
      <c r="B155" s="376"/>
      <c r="C155" s="376"/>
      <c r="D155" s="405" t="s">
        <v>1066</v>
      </c>
      <c r="E155" s="364"/>
      <c r="F155" s="405" t="s">
        <v>1139</v>
      </c>
      <c r="G155" s="405">
        <v>2022</v>
      </c>
      <c r="H155" s="405">
        <v>5</v>
      </c>
      <c r="I155" s="416"/>
      <c r="J155" s="406" t="s">
        <v>4410</v>
      </c>
      <c r="K155" s="405" t="s">
        <v>4412</v>
      </c>
      <c r="L155" s="406" t="s">
        <v>1442</v>
      </c>
      <c r="M155" s="406">
        <v>44468</v>
      </c>
      <c r="N155" s="406" t="s">
        <v>1460</v>
      </c>
      <c r="O155" s="406"/>
      <c r="P155" s="406">
        <v>44678</v>
      </c>
      <c r="Q155" s="406"/>
      <c r="R155" s="406"/>
      <c r="S155" s="405" t="s">
        <v>1443</v>
      </c>
      <c r="T155" s="405">
        <v>60</v>
      </c>
      <c r="U155" s="405" t="s">
        <v>1455</v>
      </c>
      <c r="V155" s="405" t="s">
        <v>1447</v>
      </c>
      <c r="W155" s="407">
        <v>400</v>
      </c>
      <c r="X155" s="371">
        <f>34320-624-624-624-624-4992-10608-624-624-624-624</f>
        <v>13728</v>
      </c>
      <c r="Y155" s="422">
        <f t="shared" si="24"/>
        <v>5491200</v>
      </c>
      <c r="Z155" s="409">
        <v>0.48</v>
      </c>
      <c r="AA155" s="410">
        <f t="shared" si="23"/>
        <v>2635776</v>
      </c>
      <c r="AB155" s="362"/>
      <c r="AC155" s="412">
        <v>0</v>
      </c>
      <c r="AD155" s="405"/>
      <c r="AE155" s="413"/>
      <c r="AF155" s="424">
        <f t="shared" si="25"/>
        <v>2635776</v>
      </c>
      <c r="AG155" s="405" t="s">
        <v>47</v>
      </c>
      <c r="AH155" s="395"/>
      <c r="AI155" s="405">
        <v>75</v>
      </c>
      <c r="AJ155" s="405" t="s">
        <v>4942</v>
      </c>
      <c r="AK155" s="405" t="s">
        <v>50</v>
      </c>
      <c r="AL155" s="425">
        <v>92407</v>
      </c>
      <c r="AM155" s="405" t="s">
        <v>52</v>
      </c>
      <c r="AN155" s="405" t="s">
        <v>50</v>
      </c>
      <c r="AO155" s="405"/>
      <c r="AP155" s="405" t="s">
        <v>92</v>
      </c>
      <c r="AQ155" s="405" t="s">
        <v>37</v>
      </c>
      <c r="AR155" s="405"/>
      <c r="AS155" s="369"/>
      <c r="AT155" s="363"/>
      <c r="AU155" s="403"/>
      <c r="AV155" s="402" t="str">
        <f t="shared" si="29"/>
        <v>30390256H</v>
      </c>
      <c r="AW155" s="402" cm="1">
        <f t="array" ref="AW155">SUM(MID(0&amp;AV155,LARGE(INDEX(ISNUMBER(--MID(AV155,ROW($1:$8),1))*ROW($1:$8),),ROW($1:$8))+1,1)*10^ROW($1:$8)/10)</f>
        <v>30390256</v>
      </c>
      <c r="AX155" s="402" t="str">
        <f>VLOOKUP($AW155,'Item Master Data'!$A:$F,3,FALSE)</f>
        <v>T400H</v>
      </c>
      <c r="AY155" s="402">
        <f>VLOOKUP($AW155,'Item Master Data'!$A:$F,6,FALSE)</f>
        <v>400</v>
      </c>
      <c r="AZ155" s="402">
        <f t="shared" si="30"/>
        <v>528</v>
      </c>
      <c r="BA155" s="402">
        <f>VLOOKUP(AW155,'Item Master Data'!$A:$G,7,FALSE)</f>
        <v>26</v>
      </c>
      <c r="BB155" s="402"/>
      <c r="BC155" s="402">
        <f t="shared" si="31"/>
        <v>0</v>
      </c>
    </row>
    <row r="156" spans="1:55">
      <c r="A156" s="377"/>
      <c r="B156" s="376"/>
      <c r="C156" s="376"/>
      <c r="D156" s="405" t="s">
        <v>1066</v>
      </c>
      <c r="E156" s="364"/>
      <c r="F156" s="405" t="s">
        <v>1139</v>
      </c>
      <c r="G156" s="405">
        <v>2022</v>
      </c>
      <c r="H156" s="405">
        <v>6</v>
      </c>
      <c r="I156" s="416"/>
      <c r="J156" s="406" t="s">
        <v>4410</v>
      </c>
      <c r="K156" s="405" t="s">
        <v>4815</v>
      </c>
      <c r="L156" s="406" t="s">
        <v>1442</v>
      </c>
      <c r="M156" s="406">
        <v>44468</v>
      </c>
      <c r="N156" s="406" t="s">
        <v>1460</v>
      </c>
      <c r="O156" s="406"/>
      <c r="P156" s="406">
        <v>44692</v>
      </c>
      <c r="Q156" s="406"/>
      <c r="R156" s="406"/>
      <c r="S156" s="405" t="s">
        <v>1443</v>
      </c>
      <c r="T156" s="405">
        <v>60</v>
      </c>
      <c r="U156" s="405" t="s">
        <v>1455</v>
      </c>
      <c r="V156" s="405" t="s">
        <v>1447</v>
      </c>
      <c r="W156" s="407">
        <v>400</v>
      </c>
      <c r="X156" s="371">
        <v>3328</v>
      </c>
      <c r="Y156" s="422">
        <f t="shared" si="24"/>
        <v>1331200</v>
      </c>
      <c r="Z156" s="409">
        <v>0.48</v>
      </c>
      <c r="AA156" s="410">
        <f t="shared" si="23"/>
        <v>638976</v>
      </c>
      <c r="AB156" s="362"/>
      <c r="AC156" s="412">
        <v>0</v>
      </c>
      <c r="AD156" s="405"/>
      <c r="AE156" s="413"/>
      <c r="AF156" s="424">
        <f t="shared" si="25"/>
        <v>638976</v>
      </c>
      <c r="AG156" s="405" t="s">
        <v>47</v>
      </c>
      <c r="AH156" s="395"/>
      <c r="AI156" s="405">
        <v>75</v>
      </c>
      <c r="AJ156" s="405" t="s">
        <v>4942</v>
      </c>
      <c r="AK156" s="405" t="s">
        <v>50</v>
      </c>
      <c r="AL156" s="425">
        <v>92407</v>
      </c>
      <c r="AM156" s="405" t="s">
        <v>52</v>
      </c>
      <c r="AN156" s="405" t="s">
        <v>50</v>
      </c>
      <c r="AO156" s="405"/>
      <c r="AP156" s="405" t="s">
        <v>92</v>
      </c>
      <c r="AQ156" s="405" t="s">
        <v>37</v>
      </c>
      <c r="AR156" s="405"/>
      <c r="AS156" s="369"/>
      <c r="AT156" s="363"/>
      <c r="AU156" s="403"/>
      <c r="AV156" s="402"/>
      <c r="AW156" s="402"/>
      <c r="AX156" s="402"/>
      <c r="AY156" s="402"/>
      <c r="AZ156" s="402"/>
      <c r="BA156" s="402"/>
      <c r="BB156" s="402"/>
      <c r="BC156" s="402"/>
    </row>
    <row r="157" spans="1:55">
      <c r="A157" s="377"/>
      <c r="B157" s="376"/>
      <c r="C157" s="376"/>
      <c r="D157" s="405" t="s">
        <v>1066</v>
      </c>
      <c r="E157" s="364"/>
      <c r="F157" s="405" t="s">
        <v>1139</v>
      </c>
      <c r="G157" s="405">
        <v>2022</v>
      </c>
      <c r="H157" s="405">
        <v>5</v>
      </c>
      <c r="I157" s="416"/>
      <c r="J157" s="406" t="s">
        <v>1101</v>
      </c>
      <c r="K157" s="405" t="s">
        <v>4943</v>
      </c>
      <c r="L157" s="406" t="s">
        <v>1442</v>
      </c>
      <c r="M157" s="406">
        <v>44468</v>
      </c>
      <c r="N157" s="406" t="s">
        <v>1460</v>
      </c>
      <c r="O157" s="406"/>
      <c r="P157" s="406" t="s">
        <v>1368</v>
      </c>
      <c r="Q157" s="406"/>
      <c r="R157" s="406"/>
      <c r="S157" s="405" t="s">
        <v>1443</v>
      </c>
      <c r="T157" s="405">
        <v>60</v>
      </c>
      <c r="U157" s="405">
        <v>49406140</v>
      </c>
      <c r="V157" s="405" t="s">
        <v>1447</v>
      </c>
      <c r="W157" s="407">
        <v>400</v>
      </c>
      <c r="X157" s="371">
        <v>2496</v>
      </c>
      <c r="Y157" s="422">
        <f t="shared" si="24"/>
        <v>998400</v>
      </c>
      <c r="Z157" s="409">
        <v>0.48</v>
      </c>
      <c r="AA157" s="410">
        <f t="shared" si="23"/>
        <v>479232</v>
      </c>
      <c r="AB157" s="362"/>
      <c r="AC157" s="412">
        <v>0</v>
      </c>
      <c r="AD157" s="405"/>
      <c r="AE157" s="413"/>
      <c r="AF157" s="424">
        <f t="shared" si="25"/>
        <v>479232</v>
      </c>
      <c r="AG157" s="405" t="s">
        <v>47</v>
      </c>
      <c r="AH157" s="395"/>
      <c r="AI157" s="405">
        <v>75</v>
      </c>
      <c r="AJ157" s="405" t="s">
        <v>4942</v>
      </c>
      <c r="AK157" s="405" t="s">
        <v>50</v>
      </c>
      <c r="AL157" s="425">
        <v>92407</v>
      </c>
      <c r="AM157" s="405" t="s">
        <v>52</v>
      </c>
      <c r="AN157" s="405" t="s">
        <v>1101</v>
      </c>
      <c r="AO157" s="405"/>
      <c r="AP157" s="405"/>
      <c r="AQ157" s="405" t="s">
        <v>37</v>
      </c>
      <c r="AR157" s="405"/>
      <c r="AS157" s="369"/>
      <c r="AT157" s="363"/>
      <c r="AU157" s="403"/>
      <c r="AV157" s="402">
        <f>U157</f>
        <v>49406140</v>
      </c>
      <c r="AW157" s="402" cm="1">
        <f t="array" ref="AW157">SUM(MID(0&amp;AV157,LARGE(INDEX(ISNUMBER(--MID(AV157,ROW($1:$8),1))*ROW($1:$8),),ROW($1:$8))+1,1)*10^ROW($1:$8)/10)</f>
        <v>49406140</v>
      </c>
      <c r="AX157" s="402" t="e">
        <f>VLOOKUP($AW157,'Item Master Data'!$A:$F,3,FALSE)</f>
        <v>#N/A</v>
      </c>
      <c r="AY157" s="402" t="e">
        <f>VLOOKUP($AW157,'Item Master Data'!$A:$F,6,FALSE)</f>
        <v>#N/A</v>
      </c>
      <c r="AZ157" s="402" t="e">
        <f>X157/BA157</f>
        <v>#N/A</v>
      </c>
      <c r="BA157" s="402" t="e">
        <f>VLOOKUP(AW157,'Item Master Data'!$A:$G,7,FALSE)</f>
        <v>#N/A</v>
      </c>
      <c r="BB157" s="402"/>
      <c r="BC157" s="402" t="e">
        <f>W157-AY157</f>
        <v>#N/A</v>
      </c>
    </row>
    <row r="158" spans="1:55">
      <c r="A158" s="377"/>
      <c r="B158" s="376"/>
      <c r="C158" s="376"/>
      <c r="D158" s="405" t="s">
        <v>1066</v>
      </c>
      <c r="E158" s="364"/>
      <c r="F158" s="405" t="s">
        <v>87</v>
      </c>
      <c r="G158" s="405">
        <v>2022</v>
      </c>
      <c r="H158" s="405">
        <v>5</v>
      </c>
      <c r="I158" s="416">
        <v>128576</v>
      </c>
      <c r="J158" s="406">
        <v>44692</v>
      </c>
      <c r="K158" s="405" t="s">
        <v>1453</v>
      </c>
      <c r="L158" s="406" t="s">
        <v>1442</v>
      </c>
      <c r="M158" s="406">
        <v>44592</v>
      </c>
      <c r="N158" s="406">
        <v>44596</v>
      </c>
      <c r="O158" s="406"/>
      <c r="P158" s="406">
        <v>44606</v>
      </c>
      <c r="Q158" s="406">
        <v>44687</v>
      </c>
      <c r="R158" s="406">
        <v>44691</v>
      </c>
      <c r="S158" s="405" t="s">
        <v>1443</v>
      </c>
      <c r="T158" s="405">
        <v>72</v>
      </c>
      <c r="U158" s="405" t="s">
        <v>1433</v>
      </c>
      <c r="V158" s="405" t="s">
        <v>1068</v>
      </c>
      <c r="W158" s="407">
        <v>475</v>
      </c>
      <c r="X158" s="371">
        <v>638</v>
      </c>
      <c r="Y158" s="422">
        <f t="shared" si="24"/>
        <v>303050</v>
      </c>
      <c r="Z158" s="409">
        <v>0.47</v>
      </c>
      <c r="AA158" s="410">
        <f t="shared" si="23"/>
        <v>142433.5</v>
      </c>
      <c r="AB158" s="362"/>
      <c r="AC158" s="412">
        <v>0</v>
      </c>
      <c r="AD158" s="405"/>
      <c r="AE158" s="413"/>
      <c r="AF158" s="424">
        <f t="shared" si="25"/>
        <v>142433.5</v>
      </c>
      <c r="AG158" s="405" t="s">
        <v>47</v>
      </c>
      <c r="AH158" s="395"/>
      <c r="AI158" s="405">
        <v>60</v>
      </c>
      <c r="AJ158" s="405" t="s">
        <v>1454</v>
      </c>
      <c r="AK158" s="405" t="s">
        <v>1136</v>
      </c>
      <c r="AL158" s="425">
        <v>78725</v>
      </c>
      <c r="AM158" s="405" t="s">
        <v>52</v>
      </c>
      <c r="AN158" s="405" t="s">
        <v>1082</v>
      </c>
      <c r="AO158" s="405"/>
      <c r="AP158" s="405" t="s">
        <v>92</v>
      </c>
      <c r="AQ158" s="405" t="s">
        <v>37</v>
      </c>
      <c r="AR158" s="405"/>
      <c r="AS158" s="369"/>
      <c r="AT158" s="363"/>
      <c r="AU158" s="403"/>
      <c r="AV158" s="402"/>
      <c r="AW158" s="402"/>
      <c r="AX158" s="402"/>
      <c r="AY158" s="402"/>
      <c r="AZ158" s="402"/>
      <c r="BA158" s="402"/>
      <c r="BB158" s="402"/>
      <c r="BC158" s="402"/>
    </row>
    <row r="159" spans="1:55">
      <c r="A159" s="377"/>
      <c r="B159" s="376"/>
      <c r="C159" s="376"/>
      <c r="D159" s="405" t="s">
        <v>1066</v>
      </c>
      <c r="E159" s="364"/>
      <c r="F159" s="405" t="s">
        <v>87</v>
      </c>
      <c r="G159" s="405">
        <v>2022</v>
      </c>
      <c r="H159" s="405">
        <v>5</v>
      </c>
      <c r="I159" s="416">
        <v>128577</v>
      </c>
      <c r="J159" s="406">
        <v>44692</v>
      </c>
      <c r="K159" s="405" t="s">
        <v>1453</v>
      </c>
      <c r="L159" s="406" t="s">
        <v>1442</v>
      </c>
      <c r="M159" s="406">
        <v>44592</v>
      </c>
      <c r="N159" s="406">
        <v>44596</v>
      </c>
      <c r="O159" s="406"/>
      <c r="P159" s="406">
        <v>44606</v>
      </c>
      <c r="Q159" s="406">
        <v>44687</v>
      </c>
      <c r="R159" s="406">
        <v>44691</v>
      </c>
      <c r="S159" s="405" t="s">
        <v>1443</v>
      </c>
      <c r="T159" s="405">
        <v>72</v>
      </c>
      <c r="U159" s="405" t="s">
        <v>1433</v>
      </c>
      <c r="V159" s="405" t="s">
        <v>1068</v>
      </c>
      <c r="W159" s="407">
        <v>475</v>
      </c>
      <c r="X159" s="371">
        <v>638</v>
      </c>
      <c r="Y159" s="422">
        <f t="shared" si="24"/>
        <v>303050</v>
      </c>
      <c r="Z159" s="409">
        <v>0.47</v>
      </c>
      <c r="AA159" s="410">
        <f t="shared" si="23"/>
        <v>142433.5</v>
      </c>
      <c r="AB159" s="362"/>
      <c r="AC159" s="412">
        <v>0</v>
      </c>
      <c r="AD159" s="405"/>
      <c r="AE159" s="413"/>
      <c r="AF159" s="424">
        <f t="shared" si="25"/>
        <v>142433.5</v>
      </c>
      <c r="AG159" s="405" t="s">
        <v>47</v>
      </c>
      <c r="AH159" s="395"/>
      <c r="AI159" s="405">
        <v>60</v>
      </c>
      <c r="AJ159" s="405" t="s">
        <v>1454</v>
      </c>
      <c r="AK159" s="405" t="s">
        <v>1136</v>
      </c>
      <c r="AL159" s="425">
        <v>78725</v>
      </c>
      <c r="AM159" s="405" t="s">
        <v>52</v>
      </c>
      <c r="AN159" s="405" t="s">
        <v>1082</v>
      </c>
      <c r="AO159" s="405"/>
      <c r="AP159" s="405" t="s">
        <v>92</v>
      </c>
      <c r="AQ159" s="405" t="s">
        <v>37</v>
      </c>
      <c r="AR159" s="405"/>
      <c r="AS159" s="369"/>
      <c r="AT159" s="363"/>
      <c r="AU159" s="403"/>
      <c r="AV159" s="402" t="str">
        <f>U159</f>
        <v>30397571C</v>
      </c>
      <c r="AW159" s="402" cm="1">
        <f t="array" ref="AW159">SUM(MID(0&amp;AV159,LARGE(INDEX(ISNUMBER(--MID(AV159,ROW($1:$8),1))*ROW($1:$8),),ROW($1:$8))+1,1)*10^ROW($1:$8)/10)</f>
        <v>30397571</v>
      </c>
      <c r="AX159" s="402" t="str">
        <f>VLOOKUP($AW159,'Item Master Data'!$A:$F,3,FALSE)</f>
        <v>Q.PEAK DUO XL G10 BFG</v>
      </c>
      <c r="AY159" s="402">
        <f>VLOOKUP($AW159,'Item Master Data'!$A:$F,6,FALSE)</f>
        <v>475</v>
      </c>
      <c r="AZ159" s="402">
        <f>X159/BA159</f>
        <v>22</v>
      </c>
      <c r="BA159" s="402">
        <f>VLOOKUP(AW159,'Item Master Data'!$A:$G,7,FALSE)</f>
        <v>29</v>
      </c>
      <c r="BB159" s="402"/>
      <c r="BC159" s="402">
        <f>W159-AY159</f>
        <v>0</v>
      </c>
    </row>
    <row r="160" spans="1:55">
      <c r="A160" s="377"/>
      <c r="B160" s="376"/>
      <c r="C160" s="376"/>
      <c r="D160" s="405" t="s">
        <v>1066</v>
      </c>
      <c r="E160" s="364"/>
      <c r="F160" s="405" t="s">
        <v>87</v>
      </c>
      <c r="G160" s="405">
        <v>2022</v>
      </c>
      <c r="H160" s="405">
        <v>5</v>
      </c>
      <c r="I160" s="416"/>
      <c r="J160" s="406">
        <v>44692</v>
      </c>
      <c r="K160" s="405" t="s">
        <v>1453</v>
      </c>
      <c r="L160" s="406" t="s">
        <v>1442</v>
      </c>
      <c r="M160" s="406">
        <v>44592</v>
      </c>
      <c r="N160" s="406">
        <v>44596</v>
      </c>
      <c r="O160" s="406"/>
      <c r="P160" s="406">
        <v>44606</v>
      </c>
      <c r="Q160" s="406">
        <v>44690</v>
      </c>
      <c r="R160" s="406">
        <v>44693</v>
      </c>
      <c r="S160" s="405" t="s">
        <v>1443</v>
      </c>
      <c r="T160" s="405">
        <v>72</v>
      </c>
      <c r="U160" s="405" t="s">
        <v>1433</v>
      </c>
      <c r="V160" s="405" t="s">
        <v>1068</v>
      </c>
      <c r="W160" s="407">
        <v>475</v>
      </c>
      <c r="X160" s="371">
        <v>638</v>
      </c>
      <c r="Y160" s="422">
        <f t="shared" si="24"/>
        <v>303050</v>
      </c>
      <c r="Z160" s="409">
        <v>0.47</v>
      </c>
      <c r="AA160" s="410">
        <f t="shared" si="23"/>
        <v>142433.5</v>
      </c>
      <c r="AB160" s="362"/>
      <c r="AC160" s="412">
        <v>0</v>
      </c>
      <c r="AD160" s="405"/>
      <c r="AE160" s="413"/>
      <c r="AF160" s="424">
        <f t="shared" si="25"/>
        <v>142433.5</v>
      </c>
      <c r="AG160" s="405" t="s">
        <v>47</v>
      </c>
      <c r="AH160" s="395"/>
      <c r="AI160" s="405">
        <v>60</v>
      </c>
      <c r="AJ160" s="405" t="s">
        <v>1454</v>
      </c>
      <c r="AK160" s="405" t="s">
        <v>1136</v>
      </c>
      <c r="AL160" s="425">
        <v>78725</v>
      </c>
      <c r="AM160" s="405" t="s">
        <v>52</v>
      </c>
      <c r="AN160" s="405" t="s">
        <v>1082</v>
      </c>
      <c r="AO160" s="405"/>
      <c r="AP160" s="405" t="s">
        <v>92</v>
      </c>
      <c r="AQ160" s="405" t="s">
        <v>37</v>
      </c>
      <c r="AR160" s="405"/>
      <c r="AS160" s="369"/>
      <c r="AT160" s="363"/>
      <c r="AU160" s="403"/>
      <c r="AV160" s="402"/>
      <c r="AW160" s="402"/>
      <c r="AX160" s="402"/>
      <c r="AY160" s="402"/>
      <c r="AZ160" s="402"/>
      <c r="BA160" s="402"/>
      <c r="BB160" s="402"/>
      <c r="BC160" s="402"/>
    </row>
    <row r="161" spans="1:55">
      <c r="A161" s="377"/>
      <c r="B161" s="376"/>
      <c r="C161" s="376"/>
      <c r="D161" s="405" t="s">
        <v>1066</v>
      </c>
      <c r="E161" s="364"/>
      <c r="F161" s="405" t="s">
        <v>87</v>
      </c>
      <c r="G161" s="405">
        <v>2022</v>
      </c>
      <c r="H161" s="405">
        <v>5</v>
      </c>
      <c r="I161" s="416"/>
      <c r="J161" s="406"/>
      <c r="K161" s="405" t="s">
        <v>1453</v>
      </c>
      <c r="L161" s="406" t="s">
        <v>1442</v>
      </c>
      <c r="M161" s="406">
        <v>44592</v>
      </c>
      <c r="N161" s="406">
        <v>44596</v>
      </c>
      <c r="O161" s="406"/>
      <c r="P161" s="406">
        <v>44606</v>
      </c>
      <c r="Q161" s="406">
        <v>44694</v>
      </c>
      <c r="R161" s="406">
        <v>44698</v>
      </c>
      <c r="S161" s="405" t="s">
        <v>1443</v>
      </c>
      <c r="T161" s="405">
        <v>72</v>
      </c>
      <c r="U161" s="405" t="s">
        <v>1433</v>
      </c>
      <c r="V161" s="405" t="s">
        <v>1068</v>
      </c>
      <c r="W161" s="407">
        <v>475</v>
      </c>
      <c r="X161" s="371">
        <v>638</v>
      </c>
      <c r="Y161" s="422">
        <f t="shared" si="24"/>
        <v>303050</v>
      </c>
      <c r="Z161" s="409">
        <v>0.47</v>
      </c>
      <c r="AA161" s="410">
        <f t="shared" si="23"/>
        <v>142433.5</v>
      </c>
      <c r="AB161" s="362"/>
      <c r="AC161" s="412">
        <v>0</v>
      </c>
      <c r="AD161" s="405"/>
      <c r="AE161" s="413"/>
      <c r="AF161" s="424">
        <f t="shared" si="25"/>
        <v>142433.5</v>
      </c>
      <c r="AG161" s="405" t="s">
        <v>47</v>
      </c>
      <c r="AH161" s="395"/>
      <c r="AI161" s="405">
        <v>60</v>
      </c>
      <c r="AJ161" s="405" t="s">
        <v>1454</v>
      </c>
      <c r="AK161" s="405" t="s">
        <v>1136</v>
      </c>
      <c r="AL161" s="425">
        <v>78725</v>
      </c>
      <c r="AM161" s="405" t="s">
        <v>52</v>
      </c>
      <c r="AN161" s="405" t="s">
        <v>1082</v>
      </c>
      <c r="AO161" s="405"/>
      <c r="AP161" s="405" t="s">
        <v>92</v>
      </c>
      <c r="AQ161" s="405" t="s">
        <v>37</v>
      </c>
      <c r="AR161" s="405"/>
      <c r="AS161" s="369"/>
      <c r="AT161" s="363"/>
      <c r="AU161" s="403"/>
      <c r="AV161" s="402" t="str">
        <f>U161</f>
        <v>30397571C</v>
      </c>
      <c r="AW161" s="402" cm="1">
        <f t="array" ref="AW161">SUM(MID(0&amp;AV161,LARGE(INDEX(ISNUMBER(--MID(AV161,ROW($1:$8),1))*ROW($1:$8),),ROW($1:$8))+1,1)*10^ROW($1:$8)/10)</f>
        <v>30397571</v>
      </c>
      <c r="AX161" s="402" t="str">
        <f>VLOOKUP($AW161,'Item Master Data'!$A:$F,3,FALSE)</f>
        <v>Q.PEAK DUO XL G10 BFG</v>
      </c>
      <c r="AY161" s="402">
        <f>VLOOKUP($AW161,'Item Master Data'!$A:$F,6,FALSE)</f>
        <v>475</v>
      </c>
      <c r="AZ161" s="402">
        <f>X161/BA161</f>
        <v>22</v>
      </c>
      <c r="BA161" s="402">
        <f>VLOOKUP(AW161,'Item Master Data'!$A:$G,7,FALSE)</f>
        <v>29</v>
      </c>
      <c r="BB161" s="402"/>
      <c r="BC161" s="402">
        <f>W161-AY161</f>
        <v>0</v>
      </c>
    </row>
    <row r="162" spans="1:55">
      <c r="A162" s="377"/>
      <c r="B162" s="376"/>
      <c r="C162" s="376"/>
      <c r="D162" s="405" t="s">
        <v>1066</v>
      </c>
      <c r="E162" s="364" t="s">
        <v>4853</v>
      </c>
      <c r="F162" s="405"/>
      <c r="G162" s="405">
        <v>2022</v>
      </c>
      <c r="H162" s="405">
        <v>6</v>
      </c>
      <c r="I162" s="416"/>
      <c r="J162" s="406"/>
      <c r="K162" s="405" t="s">
        <v>1095</v>
      </c>
      <c r="L162" s="406" t="s">
        <v>1085</v>
      </c>
      <c r="M162" s="406">
        <v>44505</v>
      </c>
      <c r="N162" s="406">
        <v>44682</v>
      </c>
      <c r="O162" s="406"/>
      <c r="P162" s="406"/>
      <c r="Q162" s="406"/>
      <c r="R162" s="406"/>
      <c r="S162" s="405" t="s">
        <v>1067</v>
      </c>
      <c r="T162" s="405">
        <v>72</v>
      </c>
      <c r="U162" s="405"/>
      <c r="V162" s="405" t="s">
        <v>1068</v>
      </c>
      <c r="W162" s="407">
        <v>480</v>
      </c>
      <c r="X162" s="371">
        <v>638</v>
      </c>
      <c r="Y162" s="422">
        <f t="shared" si="24"/>
        <v>306240</v>
      </c>
      <c r="Z162" s="409">
        <v>0.48</v>
      </c>
      <c r="AA162" s="410">
        <f>Y162*Z162</f>
        <v>146995.19999999998</v>
      </c>
      <c r="AB162" s="362"/>
      <c r="AC162" s="412">
        <v>0</v>
      </c>
      <c r="AD162" s="405"/>
      <c r="AE162" s="413"/>
      <c r="AF162" s="424">
        <f t="shared" ref="AF162:AF225" si="32">AE162+AD162+AA162</f>
        <v>146995.19999999998</v>
      </c>
      <c r="AG162" s="405" t="s">
        <v>1069</v>
      </c>
      <c r="AH162" s="395">
        <v>10</v>
      </c>
      <c r="AI162" s="405">
        <v>45</v>
      </c>
      <c r="AJ162" s="405" t="s">
        <v>1086</v>
      </c>
      <c r="AK162" s="405" t="s">
        <v>50</v>
      </c>
      <c r="AL162" s="425">
        <v>95482</v>
      </c>
      <c r="AM162" s="405" t="s">
        <v>52</v>
      </c>
      <c r="AN162" s="405" t="s">
        <v>1082</v>
      </c>
      <c r="AO162" s="405"/>
      <c r="AP162" s="405" t="s">
        <v>92</v>
      </c>
      <c r="AQ162" s="405" t="s">
        <v>37</v>
      </c>
      <c r="AR162" s="405"/>
      <c r="AS162" s="369"/>
      <c r="AT162" s="363"/>
      <c r="AU162" s="403"/>
      <c r="AV162" s="402"/>
      <c r="AW162" s="402"/>
      <c r="AX162" s="402"/>
      <c r="AY162" s="402"/>
      <c r="AZ162" s="402"/>
      <c r="BA162" s="402"/>
      <c r="BB162" s="402"/>
      <c r="BC162" s="402"/>
    </row>
    <row r="163" spans="1:55">
      <c r="A163" s="377"/>
      <c r="B163" s="376"/>
      <c r="C163" s="376"/>
      <c r="D163" s="405" t="s">
        <v>1066</v>
      </c>
      <c r="E163" s="364" t="s">
        <v>1470</v>
      </c>
      <c r="F163" s="405" t="s">
        <v>1074</v>
      </c>
      <c r="G163" s="405">
        <v>2022</v>
      </c>
      <c r="H163" s="405">
        <v>5</v>
      </c>
      <c r="I163" s="416"/>
      <c r="J163" s="406"/>
      <c r="K163" s="405" t="s">
        <v>1467</v>
      </c>
      <c r="L163" s="406" t="s">
        <v>1468</v>
      </c>
      <c r="M163" s="406">
        <v>44489</v>
      </c>
      <c r="N163" s="406">
        <v>44489</v>
      </c>
      <c r="O163" s="406"/>
      <c r="P163" s="406" t="s">
        <v>1410</v>
      </c>
      <c r="Q163" s="406"/>
      <c r="R163" s="406"/>
      <c r="S163" s="405" t="s">
        <v>1098</v>
      </c>
      <c r="T163" s="405">
        <v>72</v>
      </c>
      <c r="U163" s="405" t="s">
        <v>1179</v>
      </c>
      <c r="V163" s="405" t="s">
        <v>1175</v>
      </c>
      <c r="W163" s="407">
        <v>425</v>
      </c>
      <c r="X163" s="371">
        <v>986</v>
      </c>
      <c r="Y163" s="422">
        <f t="shared" si="24"/>
        <v>419050</v>
      </c>
      <c r="Z163" s="409">
        <v>0.44</v>
      </c>
      <c r="AA163" s="410">
        <f>Y163*Z163</f>
        <v>184382</v>
      </c>
      <c r="AB163" s="362"/>
      <c r="AC163" s="412">
        <v>0</v>
      </c>
      <c r="AD163" s="405"/>
      <c r="AE163" s="413"/>
      <c r="AF163" s="424">
        <f t="shared" si="32"/>
        <v>184382</v>
      </c>
      <c r="AG163" s="405" t="s">
        <v>1069</v>
      </c>
      <c r="AH163" s="395">
        <v>100</v>
      </c>
      <c r="AI163" s="405">
        <v>0</v>
      </c>
      <c r="AJ163" s="405" t="s">
        <v>1469</v>
      </c>
      <c r="AK163" s="405" t="s">
        <v>1082</v>
      </c>
      <c r="AL163" s="425">
        <v>8071</v>
      </c>
      <c r="AM163" s="405" t="s">
        <v>52</v>
      </c>
      <c r="AN163" s="405" t="s">
        <v>1082</v>
      </c>
      <c r="AO163" s="405"/>
      <c r="AP163" s="405" t="s">
        <v>38</v>
      </c>
      <c r="AQ163" s="405" t="s">
        <v>37</v>
      </c>
      <c r="AR163" s="405"/>
      <c r="AS163" s="369" t="s">
        <v>1073</v>
      </c>
      <c r="AT163" s="363" t="s">
        <v>1073</v>
      </c>
      <c r="AU163" s="403"/>
      <c r="AV163" s="402" t="str">
        <f>U163</f>
        <v>30384561C</v>
      </c>
      <c r="AW163" s="402" cm="1">
        <f t="array" ref="AW163">SUM(MID(0&amp;AV163,LARGE(INDEX(ISNUMBER(--MID(AV163,ROW($1:$8),1))*ROW($1:$8),),ROW($1:$8))+1,1)*10^ROW($1:$8)/10)</f>
        <v>30384561</v>
      </c>
      <c r="AX163" s="402" t="str">
        <f>VLOOKUP($AW163,'Item Master Data'!$A:$F,3,FALSE)</f>
        <v xml:space="preserve">Q.PEAK DUO L G6 </v>
      </c>
      <c r="AY163" s="402">
        <f>VLOOKUP($AW163,'Item Master Data'!$A:$F,6,FALSE)</f>
        <v>425</v>
      </c>
      <c r="AZ163" s="402">
        <f>X163/BA163</f>
        <v>34</v>
      </c>
      <c r="BA163" s="402">
        <f>VLOOKUP(AW163,'Item Master Data'!$A:$G,7,FALSE)</f>
        <v>29</v>
      </c>
      <c r="BB163" s="402"/>
      <c r="BC163" s="402">
        <f>W163-AY163</f>
        <v>0</v>
      </c>
    </row>
    <row r="164" spans="1:55">
      <c r="A164" s="377"/>
      <c r="B164" s="376"/>
      <c r="C164" s="376"/>
      <c r="D164" s="405" t="s">
        <v>1066</v>
      </c>
      <c r="E164" s="364" t="s">
        <v>1470</v>
      </c>
      <c r="F164" s="405" t="s">
        <v>1074</v>
      </c>
      <c r="G164" s="405">
        <v>2022</v>
      </c>
      <c r="H164" s="405">
        <v>5</v>
      </c>
      <c r="I164" s="416"/>
      <c r="J164" s="406"/>
      <c r="K164" s="405" t="s">
        <v>1467</v>
      </c>
      <c r="L164" s="406" t="s">
        <v>1468</v>
      </c>
      <c r="M164" s="406">
        <v>44489</v>
      </c>
      <c r="N164" s="406">
        <v>44489</v>
      </c>
      <c r="O164" s="406"/>
      <c r="P164" s="406" t="s">
        <v>1410</v>
      </c>
      <c r="Q164" s="406"/>
      <c r="R164" s="406"/>
      <c r="S164" s="405" t="s">
        <v>1098</v>
      </c>
      <c r="T164" s="405">
        <v>72</v>
      </c>
      <c r="U164" s="405">
        <v>46108145</v>
      </c>
      <c r="V164" s="405" t="s">
        <v>1175</v>
      </c>
      <c r="W164" s="407">
        <v>425</v>
      </c>
      <c r="X164" s="371">
        <f>464-116</f>
        <v>348</v>
      </c>
      <c r="Y164" s="422">
        <f t="shared" si="24"/>
        <v>147900</v>
      </c>
      <c r="Z164" s="409">
        <v>0.44</v>
      </c>
      <c r="AA164" s="410">
        <f>Y164*Z164</f>
        <v>65076</v>
      </c>
      <c r="AB164" s="362"/>
      <c r="AC164" s="412">
        <v>0</v>
      </c>
      <c r="AD164" s="405"/>
      <c r="AE164" s="413"/>
      <c r="AF164" s="424">
        <f t="shared" si="32"/>
        <v>65076</v>
      </c>
      <c r="AG164" s="405" t="s">
        <v>1069</v>
      </c>
      <c r="AH164" s="395">
        <v>100</v>
      </c>
      <c r="AI164" s="405">
        <v>0</v>
      </c>
      <c r="AJ164" s="405" t="s">
        <v>1469</v>
      </c>
      <c r="AK164" s="405" t="s">
        <v>1082</v>
      </c>
      <c r="AL164" s="425">
        <v>8071</v>
      </c>
      <c r="AM164" s="405" t="s">
        <v>52</v>
      </c>
      <c r="AN164" s="405" t="s">
        <v>1071</v>
      </c>
      <c r="AO164" s="405"/>
      <c r="AP164" s="405"/>
      <c r="AQ164" s="405" t="s">
        <v>37</v>
      </c>
      <c r="AR164" s="405"/>
      <c r="AS164" s="369" t="s">
        <v>1073</v>
      </c>
      <c r="AT164" s="363" t="s">
        <v>1073</v>
      </c>
      <c r="AU164" s="403"/>
      <c r="AV164" s="402">
        <f>U164</f>
        <v>46108145</v>
      </c>
      <c r="AW164" s="402" cm="1">
        <f t="array" ref="AW164">SUM(MID(0&amp;AV164,LARGE(INDEX(ISNUMBER(--MID(AV164,ROW($1:$8),1))*ROW($1:$8),),ROW($1:$8))+1,1)*10^ROW($1:$8)/10)</f>
        <v>46108145</v>
      </c>
      <c r="AX164" s="402" t="str">
        <f>VLOOKUP($AW164,'Item Master Data'!$A:$F,3,FALSE)</f>
        <v xml:space="preserve">Q.PEAK DUO L G6 </v>
      </c>
      <c r="AY164" s="402">
        <f>VLOOKUP($AW164,'Item Master Data'!$A:$F,6,FALSE)</f>
        <v>425</v>
      </c>
      <c r="AZ164" s="402">
        <f>X164/BA164</f>
        <v>12</v>
      </c>
      <c r="BA164" s="402">
        <f>VLOOKUP(AW164,'Item Master Data'!$A:$G,7,FALSE)</f>
        <v>29</v>
      </c>
      <c r="BB164" s="402"/>
      <c r="BC164" s="402">
        <f>W164-AY164</f>
        <v>0</v>
      </c>
    </row>
    <row r="165" spans="1:55">
      <c r="A165" s="377"/>
      <c r="B165" s="376"/>
      <c r="C165" s="376"/>
      <c r="D165" s="405" t="s">
        <v>1066</v>
      </c>
      <c r="E165" s="364"/>
      <c r="F165" s="405"/>
      <c r="G165" s="405">
        <v>2022</v>
      </c>
      <c r="H165" s="405">
        <v>5</v>
      </c>
      <c r="I165" s="416">
        <v>2005250</v>
      </c>
      <c r="J165" s="406"/>
      <c r="K165" s="405" t="s">
        <v>4621</v>
      </c>
      <c r="L165" s="406" t="s">
        <v>4622</v>
      </c>
      <c r="M165" s="406">
        <v>44659</v>
      </c>
      <c r="N165" s="406">
        <v>44682</v>
      </c>
      <c r="O165" s="406"/>
      <c r="P165" s="406" t="s">
        <v>1368</v>
      </c>
      <c r="Q165" s="406"/>
      <c r="R165" s="406"/>
      <c r="S165" s="405" t="s">
        <v>1325</v>
      </c>
      <c r="T165" s="405">
        <v>72</v>
      </c>
      <c r="U165" s="405">
        <v>49303155</v>
      </c>
      <c r="V165" s="405" t="s">
        <v>1068</v>
      </c>
      <c r="W165" s="407">
        <v>475</v>
      </c>
      <c r="X165" s="371">
        <v>5017</v>
      </c>
      <c r="Y165" s="422">
        <f t="shared" si="24"/>
        <v>2383075</v>
      </c>
      <c r="Z165" s="409">
        <v>0.55000000000000004</v>
      </c>
      <c r="AA165" s="410">
        <f>Z165*Y165</f>
        <v>1310691.25</v>
      </c>
      <c r="AB165" s="362"/>
      <c r="AC165" s="412">
        <f>AB165*Y165</f>
        <v>0</v>
      </c>
      <c r="AD165" s="405"/>
      <c r="AE165" s="413"/>
      <c r="AF165" s="424">
        <f t="shared" si="32"/>
        <v>1310691.25</v>
      </c>
      <c r="AG165" s="405" t="s">
        <v>47</v>
      </c>
      <c r="AH165" s="395">
        <v>10</v>
      </c>
      <c r="AI165" s="405">
        <v>30</v>
      </c>
      <c r="AJ165" s="405" t="s">
        <v>4623</v>
      </c>
      <c r="AK165" s="405" t="s">
        <v>1081</v>
      </c>
      <c r="AL165" s="425">
        <v>34428</v>
      </c>
      <c r="AM165" s="405" t="s">
        <v>52</v>
      </c>
      <c r="AN165" s="405" t="s">
        <v>1101</v>
      </c>
      <c r="AO165" s="405"/>
      <c r="AP165" s="405"/>
      <c r="AQ165" s="405" t="s">
        <v>1083</v>
      </c>
      <c r="AR165" s="405"/>
      <c r="AS165" s="369" t="s">
        <v>1142</v>
      </c>
      <c r="AT165" s="363" t="s">
        <v>1073</v>
      </c>
      <c r="AU165" s="403" t="s">
        <v>1073</v>
      </c>
      <c r="AV165" s="402"/>
      <c r="AW165" s="402"/>
      <c r="AX165" s="402"/>
      <c r="AY165" s="402"/>
      <c r="AZ165" s="402"/>
      <c r="BA165" s="402"/>
      <c r="BB165" s="402"/>
      <c r="BC165" s="402"/>
    </row>
    <row r="166" spans="1:55">
      <c r="A166" s="377"/>
      <c r="B166" s="376"/>
      <c r="C166" s="376"/>
      <c r="D166" s="405" t="s">
        <v>1066</v>
      </c>
      <c r="E166" s="364" t="s">
        <v>4851</v>
      </c>
      <c r="F166" s="405" t="s">
        <v>87</v>
      </c>
      <c r="G166" s="405">
        <v>2022</v>
      </c>
      <c r="H166" s="405">
        <v>6</v>
      </c>
      <c r="I166" s="416"/>
      <c r="J166" s="406"/>
      <c r="K166" s="405">
        <v>178510</v>
      </c>
      <c r="L166" s="406" t="s">
        <v>1097</v>
      </c>
      <c r="M166" s="406">
        <v>44508</v>
      </c>
      <c r="N166" s="406">
        <v>44666</v>
      </c>
      <c r="O166" s="406"/>
      <c r="P166" s="406" t="s">
        <v>4453</v>
      </c>
      <c r="Q166" s="406"/>
      <c r="R166" s="406"/>
      <c r="S166" s="405" t="s">
        <v>1098</v>
      </c>
      <c r="T166" s="405">
        <v>72</v>
      </c>
      <c r="U166" s="405" t="s">
        <v>1102</v>
      </c>
      <c r="V166" s="405" t="s">
        <v>1103</v>
      </c>
      <c r="W166" s="407">
        <v>485</v>
      </c>
      <c r="X166" s="371">
        <v>2436</v>
      </c>
      <c r="Y166" s="422">
        <f t="shared" si="24"/>
        <v>1181460</v>
      </c>
      <c r="Z166" s="409">
        <v>0.46</v>
      </c>
      <c r="AA166" s="410">
        <f>Z166*Y166</f>
        <v>543471.6</v>
      </c>
      <c r="AB166" s="362"/>
      <c r="AC166" s="412">
        <f>AB166*Y166</f>
        <v>0</v>
      </c>
      <c r="AD166" s="405"/>
      <c r="AE166" s="413"/>
      <c r="AF166" s="424">
        <f t="shared" si="32"/>
        <v>543471.6</v>
      </c>
      <c r="AG166" s="405" t="s">
        <v>47</v>
      </c>
      <c r="AH166" s="395">
        <v>10</v>
      </c>
      <c r="AI166" s="405">
        <v>30</v>
      </c>
      <c r="AJ166" s="405" t="s">
        <v>1102</v>
      </c>
      <c r="AK166" s="405" t="s">
        <v>1102</v>
      </c>
      <c r="AL166" s="425" t="s">
        <v>1102</v>
      </c>
      <c r="AM166" s="405" t="s">
        <v>52</v>
      </c>
      <c r="AN166" s="405" t="s">
        <v>1102</v>
      </c>
      <c r="AO166" s="405"/>
      <c r="AP166" s="405" t="s">
        <v>1102</v>
      </c>
      <c r="AQ166" s="405" t="s">
        <v>1083</v>
      </c>
      <c r="AR166" s="405"/>
      <c r="AS166" s="369" t="s">
        <v>1072</v>
      </c>
      <c r="AT166" s="363" t="s">
        <v>1072</v>
      </c>
      <c r="AU166" s="403"/>
      <c r="AV166" s="402" t="str">
        <f>U166</f>
        <v>TBD</v>
      </c>
      <c r="AW166" s="402" cm="1">
        <f t="array" ref="AW166">SUM(MID(0&amp;AV166,LARGE(INDEX(ISNUMBER(--MID(AV166,ROW($1:$8),1))*ROW($1:$8),),ROW($1:$8))+1,1)*10^ROW($1:$8)/10)</f>
        <v>0</v>
      </c>
      <c r="AX166" s="402" t="e">
        <f>VLOOKUP($AW166,'Item Master Data'!$A:$F,3,FALSE)</f>
        <v>#N/A</v>
      </c>
      <c r="AY166" s="402" t="e">
        <f>VLOOKUP($AW166,'Item Master Data'!$A:$F,6,FALSE)</f>
        <v>#N/A</v>
      </c>
      <c r="AZ166" s="402" t="e">
        <f>X166/BA166</f>
        <v>#N/A</v>
      </c>
      <c r="BA166" s="402" t="e">
        <f>VLOOKUP(AW166,'Item Master Data'!$A:$G,7,FALSE)</f>
        <v>#N/A</v>
      </c>
      <c r="BB166" s="402"/>
      <c r="BC166" s="402" t="e">
        <f>W166-AY166</f>
        <v>#N/A</v>
      </c>
    </row>
    <row r="167" spans="1:55">
      <c r="A167" s="377"/>
      <c r="B167" s="376"/>
      <c r="C167" s="376"/>
      <c r="D167" s="405" t="s">
        <v>1066</v>
      </c>
      <c r="E167" s="364" t="s">
        <v>4851</v>
      </c>
      <c r="F167" s="405" t="s">
        <v>87</v>
      </c>
      <c r="G167" s="405">
        <v>2022</v>
      </c>
      <c r="H167" s="405">
        <v>6</v>
      </c>
      <c r="I167" s="416"/>
      <c r="J167" s="406"/>
      <c r="K167" s="405">
        <v>178531</v>
      </c>
      <c r="L167" s="406" t="s">
        <v>1097</v>
      </c>
      <c r="M167" s="406">
        <v>44508</v>
      </c>
      <c r="N167" s="406">
        <v>44666</v>
      </c>
      <c r="O167" s="406"/>
      <c r="P167" s="406" t="s">
        <v>4453</v>
      </c>
      <c r="Q167" s="406"/>
      <c r="R167" s="406"/>
      <c r="S167" s="405" t="s">
        <v>1098</v>
      </c>
      <c r="T167" s="405">
        <v>72</v>
      </c>
      <c r="U167" s="405" t="s">
        <v>1102</v>
      </c>
      <c r="V167" s="405" t="s">
        <v>1103</v>
      </c>
      <c r="W167" s="407">
        <v>485</v>
      </c>
      <c r="X167" s="371">
        <v>10324</v>
      </c>
      <c r="Y167" s="422">
        <f t="shared" si="24"/>
        <v>5007140</v>
      </c>
      <c r="Z167" s="409">
        <v>0.46</v>
      </c>
      <c r="AA167" s="410">
        <f>Z167*Y167</f>
        <v>2303284.4</v>
      </c>
      <c r="AB167" s="362"/>
      <c r="AC167" s="412">
        <f>AB167*Y167</f>
        <v>0</v>
      </c>
      <c r="AD167" s="405"/>
      <c r="AE167" s="413">
        <f>AA167*0.045625</f>
        <v>105087.35075</v>
      </c>
      <c r="AF167" s="424">
        <f t="shared" si="32"/>
        <v>2408371.7507500001</v>
      </c>
      <c r="AG167" s="405" t="s">
        <v>47</v>
      </c>
      <c r="AH167" s="395">
        <v>10</v>
      </c>
      <c r="AI167" s="405">
        <v>30</v>
      </c>
      <c r="AJ167" s="405" t="s">
        <v>1104</v>
      </c>
      <c r="AK167" s="405" t="s">
        <v>50</v>
      </c>
      <c r="AL167" s="425">
        <v>3076</v>
      </c>
      <c r="AM167" s="405" t="s">
        <v>52</v>
      </c>
      <c r="AN167" s="405" t="s">
        <v>1102</v>
      </c>
      <c r="AO167" s="405"/>
      <c r="AP167" s="405" t="s">
        <v>1102</v>
      </c>
      <c r="AQ167" s="405" t="s">
        <v>1083</v>
      </c>
      <c r="AR167" s="405"/>
      <c r="AS167" s="369" t="s">
        <v>1072</v>
      </c>
      <c r="AT167" s="363" t="s">
        <v>1072</v>
      </c>
      <c r="AU167" s="403"/>
      <c r="AV167" s="402" t="str">
        <f>U167</f>
        <v>TBD</v>
      </c>
      <c r="AW167" s="402" cm="1">
        <f t="array" ref="AW167">SUM(MID(0&amp;AV167,LARGE(INDEX(ISNUMBER(--MID(AV167,ROW($1:$8),1))*ROW($1:$8),),ROW($1:$8))+1,1)*10^ROW($1:$8)/10)</f>
        <v>0</v>
      </c>
      <c r="AX167" s="402" t="e">
        <f>VLOOKUP($AW167,'Item Master Data'!$A:$F,3,FALSE)</f>
        <v>#N/A</v>
      </c>
      <c r="AY167" s="402" t="e">
        <f>VLOOKUP($AW167,'Item Master Data'!$A:$F,6,FALSE)</f>
        <v>#N/A</v>
      </c>
      <c r="AZ167" s="402" t="e">
        <f>X167/BA167</f>
        <v>#N/A</v>
      </c>
      <c r="BA167" s="402" t="e">
        <f>VLOOKUP(AW167,'Item Master Data'!$A:$G,7,FALSE)</f>
        <v>#N/A</v>
      </c>
      <c r="BB167" s="402"/>
      <c r="BC167" s="402" t="e">
        <f>W167-AY167</f>
        <v>#N/A</v>
      </c>
    </row>
    <row r="168" spans="1:55">
      <c r="A168" s="377"/>
      <c r="B168" s="376"/>
      <c r="C168" s="376"/>
      <c r="D168" s="405" t="s">
        <v>1066</v>
      </c>
      <c r="E168" s="364" t="s">
        <v>1093</v>
      </c>
      <c r="F168" s="405"/>
      <c r="G168" s="405">
        <v>2022</v>
      </c>
      <c r="H168" s="405">
        <v>8</v>
      </c>
      <c r="I168" s="416"/>
      <c r="J168" s="406"/>
      <c r="K168" s="405" t="s">
        <v>4359</v>
      </c>
      <c r="L168" s="406" t="s">
        <v>1085</v>
      </c>
      <c r="M168" s="406">
        <v>44676</v>
      </c>
      <c r="N168" s="406">
        <v>44774</v>
      </c>
      <c r="O168" s="406"/>
      <c r="P168" s="406"/>
      <c r="Q168" s="406"/>
      <c r="R168" s="406"/>
      <c r="S168" s="405" t="s">
        <v>1067</v>
      </c>
      <c r="T168" s="405">
        <v>72</v>
      </c>
      <c r="U168" s="405"/>
      <c r="V168" s="405" t="s">
        <v>1068</v>
      </c>
      <c r="W168" s="407">
        <v>480</v>
      </c>
      <c r="X168" s="371">
        <v>638</v>
      </c>
      <c r="Y168" s="422">
        <f t="shared" si="24"/>
        <v>306240</v>
      </c>
      <c r="Z168" s="409">
        <v>0.59</v>
      </c>
      <c r="AA168" s="410">
        <f t="shared" ref="AA168:AA178" si="33">Y168*Z168</f>
        <v>180681.59999999998</v>
      </c>
      <c r="AB168" s="362"/>
      <c r="AC168" s="412">
        <v>0</v>
      </c>
      <c r="AD168" s="405"/>
      <c r="AE168" s="413"/>
      <c r="AF168" s="424">
        <f t="shared" si="32"/>
        <v>180681.59999999998</v>
      </c>
      <c r="AG168" s="405" t="s">
        <v>1069</v>
      </c>
      <c r="AH168" s="395">
        <v>10</v>
      </c>
      <c r="AI168" s="405">
        <v>30</v>
      </c>
      <c r="AJ168" s="405" t="s">
        <v>1091</v>
      </c>
      <c r="AK168" s="405" t="s">
        <v>1092</v>
      </c>
      <c r="AL168" s="425">
        <v>1719</v>
      </c>
      <c r="AM168" s="405" t="s">
        <v>52</v>
      </c>
      <c r="AN168" s="405" t="s">
        <v>1082</v>
      </c>
      <c r="AO168" s="405"/>
      <c r="AP168" s="405" t="s">
        <v>92</v>
      </c>
      <c r="AQ168" s="405" t="s">
        <v>37</v>
      </c>
      <c r="AR168" s="405"/>
      <c r="AS168" s="369"/>
      <c r="AT168" s="363"/>
      <c r="AU168" s="403"/>
      <c r="AV168" s="402">
        <f>U168</f>
        <v>0</v>
      </c>
      <c r="AW168" s="402" cm="1">
        <f t="array" ref="AW168">SUM(MID(0&amp;AV168,LARGE(INDEX(ISNUMBER(--MID(AV168,ROW($1:$8),1))*ROW($1:$8),),ROW($1:$8))+1,1)*10^ROW($1:$8)/10)</f>
        <v>0</v>
      </c>
      <c r="AX168" s="402" t="e">
        <f>VLOOKUP($AW168,'Item Master Data'!$A:$F,3,FALSE)</f>
        <v>#N/A</v>
      </c>
      <c r="AY168" s="402" t="e">
        <f>VLOOKUP($AW168,'Item Master Data'!$A:$F,6,FALSE)</f>
        <v>#N/A</v>
      </c>
      <c r="AZ168" s="402" t="e">
        <f>X168/BA168</f>
        <v>#N/A</v>
      </c>
      <c r="BA168" s="402" t="e">
        <f>VLOOKUP(AW168,'Item Master Data'!$A:$G,7,FALSE)</f>
        <v>#N/A</v>
      </c>
      <c r="BB168" s="402"/>
      <c r="BC168" s="402" t="e">
        <f>W168-AY168</f>
        <v>#N/A</v>
      </c>
    </row>
    <row r="169" spans="1:55">
      <c r="A169" s="377"/>
      <c r="B169" s="376"/>
      <c r="C169" s="376"/>
      <c r="D169" s="405" t="s">
        <v>1066</v>
      </c>
      <c r="E169" s="364" t="s">
        <v>4925</v>
      </c>
      <c r="F169" s="405" t="s">
        <v>87</v>
      </c>
      <c r="G169" s="405">
        <v>2022</v>
      </c>
      <c r="H169" s="405">
        <v>6</v>
      </c>
      <c r="I169" s="416"/>
      <c r="J169" s="406"/>
      <c r="K169" s="405" t="s">
        <v>1196</v>
      </c>
      <c r="L169" s="406" t="s">
        <v>1195</v>
      </c>
      <c r="M169" s="406">
        <v>44538</v>
      </c>
      <c r="N169" s="406">
        <v>44227</v>
      </c>
      <c r="O169" s="406"/>
      <c r="P169" s="406" t="s">
        <v>4453</v>
      </c>
      <c r="Q169" s="406"/>
      <c r="R169" s="406"/>
      <c r="S169" s="405" t="s">
        <v>1067</v>
      </c>
      <c r="T169" s="405">
        <v>72</v>
      </c>
      <c r="U169" s="405">
        <v>49303155</v>
      </c>
      <c r="V169" s="405" t="s">
        <v>1068</v>
      </c>
      <c r="W169" s="407">
        <v>475</v>
      </c>
      <c r="X169" s="371">
        <v>1102</v>
      </c>
      <c r="Y169" s="422">
        <f t="shared" si="24"/>
        <v>523450</v>
      </c>
      <c r="Z169" s="409">
        <v>0.47</v>
      </c>
      <c r="AA169" s="410">
        <f t="shared" si="33"/>
        <v>246021.5</v>
      </c>
      <c r="AB169" s="362"/>
      <c r="AC169" s="412">
        <v>0</v>
      </c>
      <c r="AD169" s="405"/>
      <c r="AE169" s="413"/>
      <c r="AF169" s="424">
        <f t="shared" si="32"/>
        <v>246021.5</v>
      </c>
      <c r="AG169" s="405" t="s">
        <v>1069</v>
      </c>
      <c r="AH169" s="395"/>
      <c r="AI169" s="405">
        <v>60</v>
      </c>
      <c r="AJ169" s="405" t="s">
        <v>1197</v>
      </c>
      <c r="AK169" s="405" t="s">
        <v>1176</v>
      </c>
      <c r="AL169" s="425">
        <v>6492</v>
      </c>
      <c r="AM169" s="405" t="s">
        <v>52</v>
      </c>
      <c r="AN169" s="405" t="s">
        <v>1071</v>
      </c>
      <c r="AO169" s="405"/>
      <c r="AP169" s="405"/>
      <c r="AQ169" s="405" t="s">
        <v>37</v>
      </c>
      <c r="AR169" s="405"/>
      <c r="AS169" s="369"/>
      <c r="AT169" s="363"/>
      <c r="AU169" s="403"/>
      <c r="AV169" s="402">
        <f>U169</f>
        <v>49303155</v>
      </c>
      <c r="AW169" s="402" cm="1">
        <f t="array" ref="AW169">SUM(MID(0&amp;AV169,LARGE(INDEX(ISNUMBER(--MID(AV169,ROW($1:$8),1))*ROW($1:$8),),ROW($1:$8))+1,1)*10^ROW($1:$8)/10)</f>
        <v>49303155</v>
      </c>
      <c r="AX169" s="402" t="str">
        <f>VLOOKUP($AW169,'Item Master Data'!$A:$F,3,FALSE)</f>
        <v>Q.PEAK DUO XL G10 BFG</v>
      </c>
      <c r="AY169" s="402">
        <f>VLOOKUP($AW169,'Item Master Data'!$A:$F,6,FALSE)</f>
        <v>475</v>
      </c>
      <c r="AZ169" s="402">
        <f>X169/BA169</f>
        <v>38</v>
      </c>
      <c r="BA169" s="402">
        <f>VLOOKUP(AW169,'Item Master Data'!$A:$G,7,FALSE)</f>
        <v>29</v>
      </c>
      <c r="BB169" s="402"/>
      <c r="BC169" s="402">
        <f>W169-AY169</f>
        <v>0</v>
      </c>
    </row>
    <row r="170" spans="1:55">
      <c r="A170" s="377"/>
      <c r="B170" s="376"/>
      <c r="C170" s="376"/>
      <c r="D170" s="405" t="s">
        <v>1066</v>
      </c>
      <c r="E170" s="364" t="s">
        <v>4113</v>
      </c>
      <c r="F170" s="405"/>
      <c r="G170" s="405">
        <v>2022</v>
      </c>
      <c r="H170" s="405">
        <v>9</v>
      </c>
      <c r="I170" s="416"/>
      <c r="J170" s="406"/>
      <c r="K170" s="405" t="s">
        <v>1096</v>
      </c>
      <c r="L170" s="406" t="s">
        <v>1085</v>
      </c>
      <c r="M170" s="406">
        <v>44665</v>
      </c>
      <c r="N170" s="406">
        <v>44805</v>
      </c>
      <c r="O170" s="406"/>
      <c r="P170" s="406"/>
      <c r="Q170" s="406"/>
      <c r="R170" s="406"/>
      <c r="S170" s="405" t="s">
        <v>1067</v>
      </c>
      <c r="T170" s="405">
        <v>72</v>
      </c>
      <c r="U170" s="405"/>
      <c r="V170" s="405" t="s">
        <v>1068</v>
      </c>
      <c r="W170" s="407">
        <v>480</v>
      </c>
      <c r="X170" s="371">
        <v>1276</v>
      </c>
      <c r="Y170" s="422">
        <f t="shared" si="24"/>
        <v>612480</v>
      </c>
      <c r="Z170" s="409">
        <v>0.48</v>
      </c>
      <c r="AA170" s="410">
        <f t="shared" si="33"/>
        <v>293990.39999999997</v>
      </c>
      <c r="AB170" s="362"/>
      <c r="AC170" s="412">
        <v>0</v>
      </c>
      <c r="AD170" s="405"/>
      <c r="AE170" s="413"/>
      <c r="AF170" s="424">
        <f t="shared" si="32"/>
        <v>293990.39999999997</v>
      </c>
      <c r="AG170" s="405" t="s">
        <v>1069</v>
      </c>
      <c r="AH170" s="395">
        <v>10</v>
      </c>
      <c r="AI170" s="405">
        <v>45</v>
      </c>
      <c r="AJ170" s="405" t="s">
        <v>1091</v>
      </c>
      <c r="AK170" s="405" t="s">
        <v>1092</v>
      </c>
      <c r="AL170" s="425">
        <v>1719</v>
      </c>
      <c r="AM170" s="405" t="s">
        <v>52</v>
      </c>
      <c r="AN170" s="405" t="s">
        <v>1082</v>
      </c>
      <c r="AO170" s="405"/>
      <c r="AP170" s="405" t="s">
        <v>92</v>
      </c>
      <c r="AQ170" s="405" t="s">
        <v>37</v>
      </c>
      <c r="AR170" s="405"/>
      <c r="AS170" s="369"/>
      <c r="AT170" s="363"/>
      <c r="AU170" s="403"/>
      <c r="AV170" s="402">
        <f>U170</f>
        <v>0</v>
      </c>
      <c r="AW170" s="402" cm="1">
        <f t="array" ref="AW170">SUM(MID(0&amp;AV170,LARGE(INDEX(ISNUMBER(--MID(AV170,ROW($1:$8),1))*ROW($1:$8),),ROW($1:$8))+1,1)*10^ROW($1:$8)/10)</f>
        <v>0</v>
      </c>
      <c r="AX170" s="402" t="e">
        <f>VLOOKUP($AW170,'Item Master Data'!$A:$F,3,FALSE)</f>
        <v>#N/A</v>
      </c>
      <c r="AY170" s="402" t="e">
        <f>VLOOKUP($AW170,'Item Master Data'!$A:$F,6,FALSE)</f>
        <v>#N/A</v>
      </c>
      <c r="AZ170" s="402" t="e">
        <f>X170/BA170</f>
        <v>#N/A</v>
      </c>
      <c r="BA170" s="402" t="e">
        <f>VLOOKUP(AW170,'Item Master Data'!$A:$G,7,FALSE)</f>
        <v>#N/A</v>
      </c>
      <c r="BB170" s="402"/>
      <c r="BC170" s="402" t="e">
        <f>W170-AY170</f>
        <v>#N/A</v>
      </c>
    </row>
    <row r="171" spans="1:55">
      <c r="A171" s="377"/>
      <c r="B171" s="376"/>
      <c r="C171" s="376"/>
      <c r="D171" s="405" t="s">
        <v>1066</v>
      </c>
      <c r="E171" s="364" t="s">
        <v>4113</v>
      </c>
      <c r="F171" s="405"/>
      <c r="G171" s="405">
        <v>2022</v>
      </c>
      <c r="H171" s="405">
        <v>9</v>
      </c>
      <c r="I171" s="416"/>
      <c r="J171" s="406"/>
      <c r="K171" s="405" t="s">
        <v>1094</v>
      </c>
      <c r="L171" s="406" t="s">
        <v>1085</v>
      </c>
      <c r="M171" s="406">
        <v>44665</v>
      </c>
      <c r="N171" s="406">
        <v>44743</v>
      </c>
      <c r="O171" s="406"/>
      <c r="P171" s="406"/>
      <c r="Q171" s="406"/>
      <c r="R171" s="406"/>
      <c r="S171" s="405" t="s">
        <v>1067</v>
      </c>
      <c r="T171" s="405">
        <v>72</v>
      </c>
      <c r="U171" s="405"/>
      <c r="V171" s="405" t="s">
        <v>1068</v>
      </c>
      <c r="W171" s="407">
        <v>480</v>
      </c>
      <c r="X171" s="371">
        <v>638</v>
      </c>
      <c r="Y171" s="422">
        <f t="shared" si="24"/>
        <v>306240</v>
      </c>
      <c r="Z171" s="409">
        <v>0.59</v>
      </c>
      <c r="AA171" s="410">
        <f t="shared" si="33"/>
        <v>180681.59999999998</v>
      </c>
      <c r="AB171" s="362"/>
      <c r="AC171" s="412">
        <v>0</v>
      </c>
      <c r="AD171" s="405"/>
      <c r="AE171" s="413"/>
      <c r="AF171" s="424">
        <f t="shared" si="32"/>
        <v>180681.59999999998</v>
      </c>
      <c r="AG171" s="405" t="s">
        <v>1069</v>
      </c>
      <c r="AH171" s="395">
        <v>10</v>
      </c>
      <c r="AI171" s="405">
        <v>45</v>
      </c>
      <c r="AJ171" s="405" t="s">
        <v>1091</v>
      </c>
      <c r="AK171" s="405" t="s">
        <v>1092</v>
      </c>
      <c r="AL171" s="425">
        <v>1719</v>
      </c>
      <c r="AM171" s="405" t="s">
        <v>52</v>
      </c>
      <c r="AN171" s="405" t="s">
        <v>1082</v>
      </c>
      <c r="AO171" s="405"/>
      <c r="AP171" s="405" t="s">
        <v>92</v>
      </c>
      <c r="AQ171" s="405" t="s">
        <v>37</v>
      </c>
      <c r="AR171" s="405"/>
      <c r="AS171" s="369"/>
      <c r="AT171" s="363"/>
      <c r="AU171" s="403"/>
      <c r="AV171" s="402"/>
      <c r="AW171" s="402"/>
      <c r="AX171" s="402"/>
      <c r="AY171" s="402"/>
      <c r="AZ171" s="402"/>
      <c r="BA171" s="402"/>
      <c r="BB171" s="402"/>
      <c r="BC171" s="402"/>
    </row>
    <row r="172" spans="1:55">
      <c r="A172" s="377"/>
      <c r="B172" s="376"/>
      <c r="C172" s="376"/>
      <c r="D172" s="405" t="s">
        <v>1066</v>
      </c>
      <c r="E172" s="364" t="s">
        <v>1093</v>
      </c>
      <c r="F172" s="405"/>
      <c r="G172" s="405">
        <v>2022</v>
      </c>
      <c r="H172" s="405">
        <v>9</v>
      </c>
      <c r="I172" s="416"/>
      <c r="J172" s="406"/>
      <c r="K172" s="405" t="s">
        <v>4360</v>
      </c>
      <c r="L172" s="406" t="s">
        <v>1085</v>
      </c>
      <c r="M172" s="406">
        <v>44676</v>
      </c>
      <c r="N172" s="406">
        <v>44805</v>
      </c>
      <c r="O172" s="406"/>
      <c r="P172" s="406"/>
      <c r="Q172" s="406"/>
      <c r="R172" s="406"/>
      <c r="S172" s="405" t="s">
        <v>1067</v>
      </c>
      <c r="T172" s="405">
        <v>72</v>
      </c>
      <c r="U172" s="405"/>
      <c r="V172" s="405" t="s">
        <v>1068</v>
      </c>
      <c r="W172" s="407">
        <v>480</v>
      </c>
      <c r="X172" s="371">
        <v>638</v>
      </c>
      <c r="Y172" s="422">
        <f t="shared" si="24"/>
        <v>306240</v>
      </c>
      <c r="Z172" s="409">
        <v>0.59</v>
      </c>
      <c r="AA172" s="410">
        <f t="shared" si="33"/>
        <v>180681.59999999998</v>
      </c>
      <c r="AB172" s="362"/>
      <c r="AC172" s="412">
        <v>0</v>
      </c>
      <c r="AD172" s="405"/>
      <c r="AE172" s="413"/>
      <c r="AF172" s="424">
        <f t="shared" si="32"/>
        <v>180681.59999999998</v>
      </c>
      <c r="AG172" s="405" t="s">
        <v>1069</v>
      </c>
      <c r="AH172" s="395">
        <v>10</v>
      </c>
      <c r="AI172" s="405">
        <v>30</v>
      </c>
      <c r="AJ172" s="405" t="s">
        <v>1091</v>
      </c>
      <c r="AK172" s="405" t="s">
        <v>1092</v>
      </c>
      <c r="AL172" s="425">
        <v>1719</v>
      </c>
      <c r="AM172" s="405" t="s">
        <v>52</v>
      </c>
      <c r="AN172" s="405" t="s">
        <v>1082</v>
      </c>
      <c r="AO172" s="405"/>
      <c r="AP172" s="405" t="s">
        <v>92</v>
      </c>
      <c r="AQ172" s="405" t="s">
        <v>37</v>
      </c>
      <c r="AR172" s="405"/>
      <c r="AS172" s="369"/>
      <c r="AT172" s="363"/>
      <c r="AU172" s="403"/>
      <c r="AV172" s="402"/>
      <c r="AW172" s="402"/>
      <c r="AX172" s="402"/>
      <c r="AY172" s="402"/>
      <c r="AZ172" s="402"/>
      <c r="BA172" s="402"/>
      <c r="BB172" s="402"/>
      <c r="BC172" s="402"/>
    </row>
    <row r="173" spans="1:55">
      <c r="A173" s="377"/>
      <c r="B173" s="376"/>
      <c r="C173" s="376"/>
      <c r="D173" s="405" t="s">
        <v>1066</v>
      </c>
      <c r="E173" s="364" t="s">
        <v>1093</v>
      </c>
      <c r="F173" s="405"/>
      <c r="G173" s="405">
        <v>2022</v>
      </c>
      <c r="H173" s="405">
        <v>10</v>
      </c>
      <c r="I173" s="416"/>
      <c r="J173" s="406"/>
      <c r="K173" s="405" t="s">
        <v>4361</v>
      </c>
      <c r="L173" s="406" t="s">
        <v>1085</v>
      </c>
      <c r="M173" s="406">
        <v>44676</v>
      </c>
      <c r="N173" s="406">
        <v>44835</v>
      </c>
      <c r="O173" s="406"/>
      <c r="P173" s="406"/>
      <c r="Q173" s="406"/>
      <c r="R173" s="406"/>
      <c r="S173" s="405" t="s">
        <v>1067</v>
      </c>
      <c r="T173" s="405">
        <v>72</v>
      </c>
      <c r="U173" s="405"/>
      <c r="V173" s="405" t="s">
        <v>1068</v>
      </c>
      <c r="W173" s="407">
        <v>480</v>
      </c>
      <c r="X173" s="371">
        <v>638</v>
      </c>
      <c r="Y173" s="422">
        <f t="shared" si="24"/>
        <v>306240</v>
      </c>
      <c r="Z173" s="409">
        <v>0.59</v>
      </c>
      <c r="AA173" s="410">
        <f t="shared" si="33"/>
        <v>180681.59999999998</v>
      </c>
      <c r="AB173" s="362"/>
      <c r="AC173" s="412">
        <v>0</v>
      </c>
      <c r="AD173" s="405"/>
      <c r="AE173" s="413"/>
      <c r="AF173" s="424">
        <f t="shared" si="32"/>
        <v>180681.59999999998</v>
      </c>
      <c r="AG173" s="405" t="s">
        <v>1069</v>
      </c>
      <c r="AH173" s="395">
        <v>10</v>
      </c>
      <c r="AI173" s="405">
        <v>30</v>
      </c>
      <c r="AJ173" s="405" t="s">
        <v>1091</v>
      </c>
      <c r="AK173" s="405" t="s">
        <v>1092</v>
      </c>
      <c r="AL173" s="425">
        <v>1719</v>
      </c>
      <c r="AM173" s="405" t="s">
        <v>52</v>
      </c>
      <c r="AN173" s="405" t="s">
        <v>1082</v>
      </c>
      <c r="AO173" s="405"/>
      <c r="AP173" s="405" t="s">
        <v>92</v>
      </c>
      <c r="AQ173" s="405" t="s">
        <v>37</v>
      </c>
      <c r="AR173" s="405"/>
      <c r="AS173" s="369"/>
      <c r="AT173" s="363"/>
      <c r="AU173" s="403"/>
      <c r="AV173" s="402">
        <f>U173</f>
        <v>0</v>
      </c>
      <c r="AW173" s="402" cm="1">
        <f t="array" ref="AW173">SUM(MID(0&amp;AV173,LARGE(INDEX(ISNUMBER(--MID(AV173,ROW($1:$8),1))*ROW($1:$8),),ROW($1:$8))+1,1)*10^ROW($1:$8)/10)</f>
        <v>0</v>
      </c>
      <c r="AX173" s="402" t="e">
        <f>VLOOKUP($AW173,'Item Master Data'!$A:$F,3,FALSE)</f>
        <v>#N/A</v>
      </c>
      <c r="AY173" s="402" t="e">
        <f>VLOOKUP($AW173,'Item Master Data'!$A:$F,6,FALSE)</f>
        <v>#N/A</v>
      </c>
      <c r="AZ173" s="402" t="e">
        <f>X173/BA173</f>
        <v>#N/A</v>
      </c>
      <c r="BA173" s="402" t="e">
        <f>VLOOKUP(AW173,'Item Master Data'!$A:$G,7,FALSE)</f>
        <v>#N/A</v>
      </c>
      <c r="BB173" s="402"/>
      <c r="BC173" s="402" t="e">
        <f>W173-AY173</f>
        <v>#N/A</v>
      </c>
    </row>
    <row r="174" spans="1:55">
      <c r="A174" s="377"/>
      <c r="B174" s="376"/>
      <c r="C174" s="376"/>
      <c r="D174" s="405" t="s">
        <v>1066</v>
      </c>
      <c r="E174" s="364" t="s">
        <v>1093</v>
      </c>
      <c r="F174" s="405"/>
      <c r="G174" s="405">
        <v>2022</v>
      </c>
      <c r="H174" s="405">
        <v>10</v>
      </c>
      <c r="I174" s="416"/>
      <c r="J174" s="406"/>
      <c r="K174" s="405" t="s">
        <v>4362</v>
      </c>
      <c r="L174" s="406" t="s">
        <v>1085</v>
      </c>
      <c r="M174" s="406">
        <v>44676</v>
      </c>
      <c r="N174" s="406">
        <v>44835</v>
      </c>
      <c r="O174" s="406"/>
      <c r="P174" s="406"/>
      <c r="Q174" s="406"/>
      <c r="R174" s="406"/>
      <c r="S174" s="405" t="s">
        <v>1067</v>
      </c>
      <c r="T174" s="405">
        <v>72</v>
      </c>
      <c r="U174" s="405"/>
      <c r="V174" s="405" t="s">
        <v>1068</v>
      </c>
      <c r="W174" s="407">
        <v>480</v>
      </c>
      <c r="X174" s="371">
        <v>638</v>
      </c>
      <c r="Y174" s="422">
        <f t="shared" si="24"/>
        <v>306240</v>
      </c>
      <c r="Z174" s="409">
        <v>0.59</v>
      </c>
      <c r="AA174" s="410">
        <f t="shared" si="33"/>
        <v>180681.59999999998</v>
      </c>
      <c r="AB174" s="362"/>
      <c r="AC174" s="412">
        <v>0</v>
      </c>
      <c r="AD174" s="405"/>
      <c r="AE174" s="413"/>
      <c r="AF174" s="424">
        <f t="shared" si="32"/>
        <v>180681.59999999998</v>
      </c>
      <c r="AG174" s="405" t="s">
        <v>1069</v>
      </c>
      <c r="AH174" s="395">
        <v>10</v>
      </c>
      <c r="AI174" s="405">
        <v>30</v>
      </c>
      <c r="AJ174" s="405" t="s">
        <v>1086</v>
      </c>
      <c r="AK174" s="405" t="s">
        <v>50</v>
      </c>
      <c r="AL174" s="425">
        <v>95482</v>
      </c>
      <c r="AM174" s="405" t="s">
        <v>52</v>
      </c>
      <c r="AN174" s="405" t="s">
        <v>1082</v>
      </c>
      <c r="AO174" s="405"/>
      <c r="AP174" s="405" t="s">
        <v>92</v>
      </c>
      <c r="AQ174" s="405" t="s">
        <v>37</v>
      </c>
      <c r="AR174" s="405"/>
      <c r="AS174" s="369"/>
      <c r="AT174" s="363"/>
      <c r="AU174" s="403"/>
      <c r="AV174" s="402">
        <f>U174</f>
        <v>0</v>
      </c>
      <c r="AW174" s="402" cm="1">
        <f t="array" ref="AW174">SUM(MID(0&amp;AV174,LARGE(INDEX(ISNUMBER(--MID(AV174,ROW($1:$8),1))*ROW($1:$8),),ROW($1:$8))+1,1)*10^ROW($1:$8)/10)</f>
        <v>0</v>
      </c>
      <c r="AX174" s="402" t="e">
        <f>VLOOKUP($AW174,'Item Master Data'!$A:$F,3,FALSE)</f>
        <v>#N/A</v>
      </c>
      <c r="AY174" s="402" t="e">
        <f>VLOOKUP($AW174,'Item Master Data'!$A:$F,6,FALSE)</f>
        <v>#N/A</v>
      </c>
      <c r="AZ174" s="402" t="e">
        <f>X174/BA174</f>
        <v>#N/A</v>
      </c>
      <c r="BA174" s="402" t="e">
        <f>VLOOKUP(AW174,'Item Master Data'!$A:$G,7,FALSE)</f>
        <v>#N/A</v>
      </c>
      <c r="BB174" s="402"/>
      <c r="BC174" s="402" t="e">
        <f>W174-AY174</f>
        <v>#N/A</v>
      </c>
    </row>
    <row r="175" spans="1:55">
      <c r="A175" s="377"/>
      <c r="B175" s="376"/>
      <c r="C175" s="376"/>
      <c r="D175" s="405" t="s">
        <v>1066</v>
      </c>
      <c r="E175" s="364" t="s">
        <v>1093</v>
      </c>
      <c r="F175" s="405"/>
      <c r="G175" s="405">
        <v>2022</v>
      </c>
      <c r="H175" s="405">
        <v>11</v>
      </c>
      <c r="I175" s="416"/>
      <c r="J175" s="406"/>
      <c r="K175" s="405" t="s">
        <v>4363</v>
      </c>
      <c r="L175" s="406" t="s">
        <v>1085</v>
      </c>
      <c r="M175" s="406">
        <v>44676</v>
      </c>
      <c r="N175" s="406">
        <v>44866</v>
      </c>
      <c r="O175" s="406"/>
      <c r="P175" s="406"/>
      <c r="Q175" s="406"/>
      <c r="R175" s="406"/>
      <c r="S175" s="405" t="s">
        <v>1067</v>
      </c>
      <c r="T175" s="405">
        <v>72</v>
      </c>
      <c r="U175" s="405"/>
      <c r="V175" s="405" t="s">
        <v>1068</v>
      </c>
      <c r="W175" s="407">
        <v>480</v>
      </c>
      <c r="X175" s="371">
        <v>638</v>
      </c>
      <c r="Y175" s="422">
        <f t="shared" si="24"/>
        <v>306240</v>
      </c>
      <c r="Z175" s="409">
        <v>0.59</v>
      </c>
      <c r="AA175" s="410">
        <f t="shared" si="33"/>
        <v>180681.59999999998</v>
      </c>
      <c r="AB175" s="362"/>
      <c r="AC175" s="412">
        <v>0</v>
      </c>
      <c r="AD175" s="405"/>
      <c r="AE175" s="413"/>
      <c r="AF175" s="424">
        <f t="shared" si="32"/>
        <v>180681.59999999998</v>
      </c>
      <c r="AG175" s="405" t="s">
        <v>1069</v>
      </c>
      <c r="AH175" s="395">
        <v>10</v>
      </c>
      <c r="AI175" s="405">
        <v>30</v>
      </c>
      <c r="AJ175" s="405" t="s">
        <v>1091</v>
      </c>
      <c r="AK175" s="405" t="s">
        <v>1092</v>
      </c>
      <c r="AL175" s="425">
        <v>1719</v>
      </c>
      <c r="AM175" s="405" t="s">
        <v>52</v>
      </c>
      <c r="AN175" s="405" t="s">
        <v>1082</v>
      </c>
      <c r="AO175" s="405"/>
      <c r="AP175" s="405" t="s">
        <v>92</v>
      </c>
      <c r="AQ175" s="405" t="s">
        <v>37</v>
      </c>
      <c r="AR175" s="405"/>
      <c r="AS175" s="369"/>
      <c r="AT175" s="363"/>
      <c r="AU175" s="403"/>
      <c r="AV175" s="402"/>
      <c r="AW175" s="402"/>
      <c r="AX175" s="402"/>
      <c r="AY175" s="402"/>
      <c r="AZ175" s="402"/>
      <c r="BA175" s="402"/>
      <c r="BB175" s="402"/>
      <c r="BC175" s="402"/>
    </row>
    <row r="176" spans="1:55">
      <c r="A176" s="377"/>
      <c r="B176" s="376">
        <v>44574</v>
      </c>
      <c r="C176" s="376">
        <v>44575</v>
      </c>
      <c r="D176" s="405" t="s">
        <v>1066</v>
      </c>
      <c r="E176" s="364" t="s">
        <v>1306</v>
      </c>
      <c r="F176" s="405"/>
      <c r="G176" s="405">
        <v>2022</v>
      </c>
      <c r="H176" s="405">
        <v>6</v>
      </c>
      <c r="I176" s="416"/>
      <c r="J176" s="406"/>
      <c r="K176" s="405" t="s">
        <v>1303</v>
      </c>
      <c r="L176" s="406" t="s">
        <v>1302</v>
      </c>
      <c r="M176" s="406">
        <v>44574</v>
      </c>
      <c r="N176" s="406">
        <v>44682</v>
      </c>
      <c r="O176" s="406"/>
      <c r="P176" s="406"/>
      <c r="Q176" s="406"/>
      <c r="R176" s="406"/>
      <c r="S176" s="405" t="s">
        <v>1107</v>
      </c>
      <c r="T176" s="405">
        <v>60</v>
      </c>
      <c r="U176" s="405" t="s">
        <v>1102</v>
      </c>
      <c r="V176" s="405" t="s">
        <v>986</v>
      </c>
      <c r="W176" s="407">
        <v>360</v>
      </c>
      <c r="X176" s="371">
        <v>832</v>
      </c>
      <c r="Y176" s="422">
        <f t="shared" ref="Y176:Y197" si="34">W176*X176</f>
        <v>299520</v>
      </c>
      <c r="Z176" s="409">
        <v>0.53</v>
      </c>
      <c r="AA176" s="410">
        <f t="shared" si="33"/>
        <v>158745.60000000001</v>
      </c>
      <c r="AB176" s="362"/>
      <c r="AC176" s="412">
        <v>0</v>
      </c>
      <c r="AD176" s="405"/>
      <c r="AE176" s="413"/>
      <c r="AF176" s="424">
        <f t="shared" si="32"/>
        <v>158745.60000000001</v>
      </c>
      <c r="AG176" s="405" t="s">
        <v>1069</v>
      </c>
      <c r="AH176" s="395"/>
      <c r="AI176" s="405">
        <v>60</v>
      </c>
      <c r="AJ176" s="405" t="s">
        <v>1238</v>
      </c>
      <c r="AK176" s="405" t="s">
        <v>1234</v>
      </c>
      <c r="AL176" s="425">
        <v>63134</v>
      </c>
      <c r="AM176" s="405" t="s">
        <v>52</v>
      </c>
      <c r="AN176" s="405" t="s">
        <v>1071</v>
      </c>
      <c r="AO176" s="405"/>
      <c r="AP176" s="405"/>
      <c r="AQ176" s="405"/>
      <c r="AR176" s="405" t="s">
        <v>1188</v>
      </c>
      <c r="AS176" s="369"/>
      <c r="AT176" s="363" t="s">
        <v>1073</v>
      </c>
      <c r="AU176" s="403"/>
      <c r="AV176" s="402" t="str">
        <f>U176</f>
        <v>TBD</v>
      </c>
      <c r="AW176" s="402" cm="1">
        <f t="array" ref="AW176">SUM(MID(0&amp;AV176,LARGE(INDEX(ISNUMBER(--MID(AV176,ROW($1:$8),1))*ROW($1:$8),),ROW($1:$8))+1,1)*10^ROW($1:$8)/10)</f>
        <v>0</v>
      </c>
      <c r="AX176" s="402" t="e">
        <f>VLOOKUP($AW176,'Item Master Data'!$A:$F,3,FALSE)</f>
        <v>#N/A</v>
      </c>
      <c r="AY176" s="402" t="e">
        <f>VLOOKUP($AW176,'Item Master Data'!$A:$F,6,FALSE)</f>
        <v>#N/A</v>
      </c>
      <c r="AZ176" s="402" t="e">
        <f>X176/BA176</f>
        <v>#N/A</v>
      </c>
      <c r="BA176" s="402" t="e">
        <f>VLOOKUP(AW176,'Item Master Data'!$A:$G,7,FALSE)</f>
        <v>#N/A</v>
      </c>
      <c r="BB176" s="402"/>
      <c r="BC176" s="402" t="e">
        <f>W176-AY176</f>
        <v>#N/A</v>
      </c>
    </row>
    <row r="177" spans="1:55">
      <c r="A177" s="377"/>
      <c r="B177" s="376"/>
      <c r="C177" s="376"/>
      <c r="D177" s="405" t="s">
        <v>1066</v>
      </c>
      <c r="E177" s="364" t="s">
        <v>1093</v>
      </c>
      <c r="F177" s="405"/>
      <c r="G177" s="405">
        <v>2022</v>
      </c>
      <c r="H177" s="405">
        <v>12</v>
      </c>
      <c r="I177" s="416"/>
      <c r="J177" s="406"/>
      <c r="K177" s="405" t="s">
        <v>4364</v>
      </c>
      <c r="L177" s="406" t="s">
        <v>1085</v>
      </c>
      <c r="M177" s="406">
        <v>44676</v>
      </c>
      <c r="N177" s="406">
        <v>44896</v>
      </c>
      <c r="O177" s="406"/>
      <c r="P177" s="406"/>
      <c r="Q177" s="406"/>
      <c r="R177" s="406"/>
      <c r="S177" s="405" t="s">
        <v>1067</v>
      </c>
      <c r="T177" s="405">
        <v>72</v>
      </c>
      <c r="U177" s="405"/>
      <c r="V177" s="405" t="s">
        <v>1068</v>
      </c>
      <c r="W177" s="407">
        <v>480</v>
      </c>
      <c r="X177" s="371">
        <v>638</v>
      </c>
      <c r="Y177" s="422">
        <f t="shared" si="34"/>
        <v>306240</v>
      </c>
      <c r="Z177" s="409">
        <v>0.59</v>
      </c>
      <c r="AA177" s="410">
        <f t="shared" si="33"/>
        <v>180681.59999999998</v>
      </c>
      <c r="AB177" s="362"/>
      <c r="AC177" s="412">
        <v>0</v>
      </c>
      <c r="AD177" s="405"/>
      <c r="AE177" s="413"/>
      <c r="AF177" s="424">
        <f t="shared" si="32"/>
        <v>180681.59999999998</v>
      </c>
      <c r="AG177" s="405" t="s">
        <v>1069</v>
      </c>
      <c r="AH177" s="395">
        <v>10</v>
      </c>
      <c r="AI177" s="405">
        <v>30</v>
      </c>
      <c r="AJ177" s="405" t="s">
        <v>1091</v>
      </c>
      <c r="AK177" s="405" t="s">
        <v>1092</v>
      </c>
      <c r="AL177" s="425">
        <v>1719</v>
      </c>
      <c r="AM177" s="405" t="s">
        <v>52</v>
      </c>
      <c r="AN177" s="405" t="s">
        <v>1082</v>
      </c>
      <c r="AO177" s="405"/>
      <c r="AP177" s="405" t="s">
        <v>92</v>
      </c>
      <c r="AQ177" s="405" t="s">
        <v>37</v>
      </c>
      <c r="AR177" s="405"/>
      <c r="AS177" s="369"/>
      <c r="AT177" s="363"/>
      <c r="AU177" s="403"/>
      <c r="AV177" s="402">
        <f>U177</f>
        <v>0</v>
      </c>
      <c r="AW177" s="402" cm="1">
        <f t="array" ref="AW177">SUM(MID(0&amp;AV177,LARGE(INDEX(ISNUMBER(--MID(AV177,ROW($1:$8),1))*ROW($1:$8),),ROW($1:$8))+1,1)*10^ROW($1:$8)/10)</f>
        <v>0</v>
      </c>
      <c r="AX177" s="402" t="e">
        <f>VLOOKUP($AW177,'Item Master Data'!$A:$F,3,FALSE)</f>
        <v>#N/A</v>
      </c>
      <c r="AY177" s="402" t="e">
        <f>VLOOKUP($AW177,'Item Master Data'!$A:$F,6,FALSE)</f>
        <v>#N/A</v>
      </c>
      <c r="AZ177" s="402" t="e">
        <f>X177/BA177</f>
        <v>#N/A</v>
      </c>
      <c r="BA177" s="402" t="e">
        <f>VLOOKUP(AW177,'Item Master Data'!$A:$G,7,FALSE)</f>
        <v>#N/A</v>
      </c>
      <c r="BB177" s="402"/>
      <c r="BC177" s="402" t="e">
        <f>W177-AY177</f>
        <v>#N/A</v>
      </c>
    </row>
    <row r="178" spans="1:55">
      <c r="A178" s="377"/>
      <c r="B178" s="376"/>
      <c r="C178" s="376"/>
      <c r="D178" s="405" t="s">
        <v>1066</v>
      </c>
      <c r="E178" s="364" t="s">
        <v>1093</v>
      </c>
      <c r="F178" s="405"/>
      <c r="G178" s="405">
        <v>2022</v>
      </c>
      <c r="H178" s="405">
        <v>12</v>
      </c>
      <c r="I178" s="416"/>
      <c r="J178" s="406"/>
      <c r="K178" s="405" t="s">
        <v>4365</v>
      </c>
      <c r="L178" s="406" t="s">
        <v>1085</v>
      </c>
      <c r="M178" s="406">
        <v>44676</v>
      </c>
      <c r="N178" s="406">
        <v>44896</v>
      </c>
      <c r="O178" s="406"/>
      <c r="P178" s="406"/>
      <c r="Q178" s="406"/>
      <c r="R178" s="406"/>
      <c r="S178" s="405" t="s">
        <v>1067</v>
      </c>
      <c r="T178" s="405">
        <v>72</v>
      </c>
      <c r="U178" s="405"/>
      <c r="V178" s="405" t="s">
        <v>1068</v>
      </c>
      <c r="W178" s="407">
        <v>480</v>
      </c>
      <c r="X178" s="371">
        <v>638</v>
      </c>
      <c r="Y178" s="422">
        <f t="shared" si="34"/>
        <v>306240</v>
      </c>
      <c r="Z178" s="409">
        <v>0.59</v>
      </c>
      <c r="AA178" s="410">
        <f t="shared" si="33"/>
        <v>180681.59999999998</v>
      </c>
      <c r="AB178" s="362"/>
      <c r="AC178" s="412">
        <v>0</v>
      </c>
      <c r="AD178" s="405"/>
      <c r="AE178" s="413"/>
      <c r="AF178" s="424">
        <f t="shared" si="32"/>
        <v>180681.59999999998</v>
      </c>
      <c r="AG178" s="405" t="s">
        <v>1069</v>
      </c>
      <c r="AH178" s="395">
        <v>10</v>
      </c>
      <c r="AI178" s="405">
        <v>30</v>
      </c>
      <c r="AJ178" s="405" t="s">
        <v>1086</v>
      </c>
      <c r="AK178" s="405" t="s">
        <v>50</v>
      </c>
      <c r="AL178" s="425">
        <v>95482</v>
      </c>
      <c r="AM178" s="405" t="s">
        <v>52</v>
      </c>
      <c r="AN178" s="405" t="s">
        <v>1082</v>
      </c>
      <c r="AO178" s="405"/>
      <c r="AP178" s="405" t="s">
        <v>92</v>
      </c>
      <c r="AQ178" s="405" t="s">
        <v>37</v>
      </c>
      <c r="AR178" s="405"/>
      <c r="AS178" s="369"/>
      <c r="AT178" s="363"/>
      <c r="AU178" s="403"/>
      <c r="AV178" s="402"/>
      <c r="AW178" s="402"/>
      <c r="AX178" s="402"/>
      <c r="AY178" s="402"/>
      <c r="AZ178" s="402"/>
      <c r="BA178" s="402"/>
      <c r="BB178" s="402"/>
      <c r="BC178" s="402"/>
    </row>
    <row r="179" spans="1:55">
      <c r="A179" s="377"/>
      <c r="B179" s="376"/>
      <c r="C179" s="376"/>
      <c r="D179" s="405" t="s">
        <v>1066</v>
      </c>
      <c r="E179" s="364" t="s">
        <v>4926</v>
      </c>
      <c r="F179" s="405" t="s">
        <v>1074</v>
      </c>
      <c r="G179" s="405">
        <v>2022</v>
      </c>
      <c r="H179" s="405">
        <v>6</v>
      </c>
      <c r="I179" s="416">
        <v>2005153</v>
      </c>
      <c r="J179" s="406"/>
      <c r="K179" s="405" t="s">
        <v>1408</v>
      </c>
      <c r="L179" s="406" t="s">
        <v>1409</v>
      </c>
      <c r="M179" s="406">
        <v>44599</v>
      </c>
      <c r="N179" s="406">
        <v>44682</v>
      </c>
      <c r="O179" s="406"/>
      <c r="P179" s="406"/>
      <c r="Q179" s="406"/>
      <c r="R179" s="406"/>
      <c r="S179" s="405" t="s">
        <v>1067</v>
      </c>
      <c r="T179" s="405">
        <v>72</v>
      </c>
      <c r="U179" s="405" t="s">
        <v>1079</v>
      </c>
      <c r="V179" s="405" t="s">
        <v>1068</v>
      </c>
      <c r="W179" s="407">
        <v>475</v>
      </c>
      <c r="X179" s="371">
        <v>3480</v>
      </c>
      <c r="Y179" s="422">
        <f t="shared" si="34"/>
        <v>1653000</v>
      </c>
      <c r="Z179" s="409">
        <v>0.47499999999999998</v>
      </c>
      <c r="AA179" s="410">
        <f t="shared" ref="AA179:AA196" si="35">Z179*Y179</f>
        <v>785175</v>
      </c>
      <c r="AB179" s="362"/>
      <c r="AC179" s="412">
        <f t="shared" ref="AC179:AC196" si="36">AB179*Y179</f>
        <v>0</v>
      </c>
      <c r="AD179" s="405"/>
      <c r="AE179" s="413"/>
      <c r="AF179" s="424">
        <f t="shared" si="32"/>
        <v>785175</v>
      </c>
      <c r="AG179" s="405" t="s">
        <v>47</v>
      </c>
      <c r="AH179" s="395">
        <v>0</v>
      </c>
      <c r="AI179" s="405">
        <v>45</v>
      </c>
      <c r="AJ179" s="405" t="s">
        <v>1411</v>
      </c>
      <c r="AK179" s="405" t="s">
        <v>1092</v>
      </c>
      <c r="AL179" s="425">
        <v>2766</v>
      </c>
      <c r="AM179" s="405" t="s">
        <v>52</v>
      </c>
      <c r="AN179" s="405" t="s">
        <v>1082</v>
      </c>
      <c r="AO179" s="405"/>
      <c r="AP179" s="405" t="s">
        <v>38</v>
      </c>
      <c r="AQ179" s="405" t="s">
        <v>1083</v>
      </c>
      <c r="AR179" s="405"/>
      <c r="AS179" s="369" t="s">
        <v>1084</v>
      </c>
      <c r="AT179" s="363" t="s">
        <v>1073</v>
      </c>
      <c r="AU179" s="403"/>
      <c r="AV179" s="402"/>
      <c r="AW179" s="402"/>
      <c r="AX179" s="402"/>
      <c r="AY179" s="402"/>
      <c r="AZ179" s="402"/>
      <c r="BA179" s="402"/>
      <c r="BB179" s="402"/>
      <c r="BC179" s="402"/>
    </row>
    <row r="180" spans="1:55">
      <c r="A180" s="377"/>
      <c r="B180" s="376"/>
      <c r="C180" s="376"/>
      <c r="D180" s="405" t="s">
        <v>1066</v>
      </c>
      <c r="E180" s="364" t="s">
        <v>4925</v>
      </c>
      <c r="F180" s="405" t="s">
        <v>1074</v>
      </c>
      <c r="G180" s="405">
        <v>2022</v>
      </c>
      <c r="H180" s="405">
        <v>6</v>
      </c>
      <c r="I180" s="416"/>
      <c r="J180" s="406"/>
      <c r="K180" s="405" t="s">
        <v>1471</v>
      </c>
      <c r="L180" s="406" t="s">
        <v>1472</v>
      </c>
      <c r="M180" s="406">
        <v>44510</v>
      </c>
      <c r="N180" s="406">
        <v>44566</v>
      </c>
      <c r="O180" s="406">
        <v>44681</v>
      </c>
      <c r="P180" s="406"/>
      <c r="Q180" s="406"/>
      <c r="R180" s="406"/>
      <c r="S180" s="405" t="s">
        <v>1067</v>
      </c>
      <c r="T180" s="405">
        <v>72</v>
      </c>
      <c r="U180" s="405">
        <v>49303155</v>
      </c>
      <c r="V180" s="405" t="s">
        <v>1068</v>
      </c>
      <c r="W180" s="407">
        <v>475</v>
      </c>
      <c r="X180" s="371">
        <v>638</v>
      </c>
      <c r="Y180" s="422">
        <f t="shared" si="34"/>
        <v>303050</v>
      </c>
      <c r="Z180" s="409">
        <v>0.45</v>
      </c>
      <c r="AA180" s="410">
        <f t="shared" si="35"/>
        <v>136372.5</v>
      </c>
      <c r="AB180" s="362"/>
      <c r="AC180" s="412">
        <f t="shared" si="36"/>
        <v>0</v>
      </c>
      <c r="AD180" s="405"/>
      <c r="AE180" s="413"/>
      <c r="AF180" s="424">
        <f t="shared" si="32"/>
        <v>136372.5</v>
      </c>
      <c r="AG180" s="405" t="s">
        <v>1069</v>
      </c>
      <c r="AH180" s="395">
        <v>10</v>
      </c>
      <c r="AI180" s="405">
        <v>30</v>
      </c>
      <c r="AJ180" s="405" t="s">
        <v>1473</v>
      </c>
      <c r="AK180" s="405" t="s">
        <v>1092</v>
      </c>
      <c r="AL180" s="425">
        <v>2072</v>
      </c>
      <c r="AM180" s="405" t="s">
        <v>52</v>
      </c>
      <c r="AN180" s="405" t="s">
        <v>1071</v>
      </c>
      <c r="AO180" s="405"/>
      <c r="AP180" s="405"/>
      <c r="AQ180" s="405" t="s">
        <v>1083</v>
      </c>
      <c r="AR180" s="405"/>
      <c r="AS180" s="369" t="s">
        <v>1084</v>
      </c>
      <c r="AT180" s="363" t="s">
        <v>1073</v>
      </c>
      <c r="AU180" s="403"/>
      <c r="AV180" s="402">
        <f t="shared" ref="AV180:AV185" si="37">U180</f>
        <v>49303155</v>
      </c>
      <c r="AW180" s="402" cm="1">
        <f t="array" ref="AW180">SUM(MID(0&amp;AV180,LARGE(INDEX(ISNUMBER(--MID(AV180,ROW($1:$8),1))*ROW($1:$8),),ROW($1:$8))+1,1)*10^ROW($1:$8)/10)</f>
        <v>49303155</v>
      </c>
      <c r="AX180" s="402" t="str">
        <f>VLOOKUP($AW180,'Item Master Data'!$A:$F,3,FALSE)</f>
        <v>Q.PEAK DUO XL G10 BFG</v>
      </c>
      <c r="AY180" s="402">
        <f>VLOOKUP($AW180,'Item Master Data'!$A:$F,6,FALSE)</f>
        <v>475</v>
      </c>
      <c r="AZ180" s="402">
        <f t="shared" ref="AZ180:AZ185" si="38">X180/BA180</f>
        <v>22</v>
      </c>
      <c r="BA180" s="402">
        <f>VLOOKUP(AW180,'Item Master Data'!$A:$G,7,FALSE)</f>
        <v>29</v>
      </c>
      <c r="BB180" s="402"/>
      <c r="BC180" s="402">
        <f t="shared" ref="BC180:BC185" si="39">W180-AY180</f>
        <v>0</v>
      </c>
    </row>
    <row r="181" spans="1:55">
      <c r="A181" s="377"/>
      <c r="B181" s="376"/>
      <c r="C181" s="376"/>
      <c r="D181" s="405" t="s">
        <v>1066</v>
      </c>
      <c r="E181" s="364" t="s">
        <v>4925</v>
      </c>
      <c r="F181" s="405" t="s">
        <v>1074</v>
      </c>
      <c r="G181" s="405">
        <v>2022</v>
      </c>
      <c r="H181" s="405">
        <v>6</v>
      </c>
      <c r="I181" s="416"/>
      <c r="J181" s="406"/>
      <c r="K181" s="405" t="s">
        <v>1479</v>
      </c>
      <c r="L181" s="406" t="s">
        <v>1472</v>
      </c>
      <c r="M181" s="406">
        <v>44510</v>
      </c>
      <c r="N181" s="406">
        <v>44616</v>
      </c>
      <c r="O181" s="406"/>
      <c r="P181" s="406"/>
      <c r="Q181" s="406"/>
      <c r="R181" s="406"/>
      <c r="S181" s="405" t="s">
        <v>1067</v>
      </c>
      <c r="T181" s="405">
        <v>72</v>
      </c>
      <c r="U181" s="405">
        <v>49301156</v>
      </c>
      <c r="V181" s="405" t="s">
        <v>995</v>
      </c>
      <c r="W181" s="407">
        <v>475</v>
      </c>
      <c r="X181" s="371">
        <v>638</v>
      </c>
      <c r="Y181" s="422">
        <f t="shared" si="34"/>
        <v>303050</v>
      </c>
      <c r="Z181" s="409">
        <v>0.46500000000000002</v>
      </c>
      <c r="AA181" s="410">
        <f t="shared" si="35"/>
        <v>140918.25</v>
      </c>
      <c r="AB181" s="362"/>
      <c r="AC181" s="412">
        <f t="shared" si="36"/>
        <v>0</v>
      </c>
      <c r="AD181" s="405"/>
      <c r="AE181" s="413"/>
      <c r="AF181" s="424">
        <f t="shared" si="32"/>
        <v>140918.25</v>
      </c>
      <c r="AG181" s="405" t="s">
        <v>1069</v>
      </c>
      <c r="AH181" s="395">
        <v>10</v>
      </c>
      <c r="AI181" s="405">
        <v>30</v>
      </c>
      <c r="AJ181" s="405" t="s">
        <v>1473</v>
      </c>
      <c r="AK181" s="405" t="s">
        <v>1092</v>
      </c>
      <c r="AL181" s="425">
        <v>2072</v>
      </c>
      <c r="AM181" s="405" t="s">
        <v>52</v>
      </c>
      <c r="AN181" s="405" t="s">
        <v>1071</v>
      </c>
      <c r="AO181" s="405"/>
      <c r="AP181" s="405" t="s">
        <v>92</v>
      </c>
      <c r="AQ181" s="405" t="s">
        <v>1083</v>
      </c>
      <c r="AR181" s="405"/>
      <c r="AS181" s="369" t="s">
        <v>1084</v>
      </c>
      <c r="AT181" s="363" t="s">
        <v>1073</v>
      </c>
      <c r="AU181" s="403"/>
      <c r="AV181" s="402">
        <f t="shared" si="37"/>
        <v>49301156</v>
      </c>
      <c r="AW181" s="402" cm="1">
        <f t="array" ref="AW181">SUM(MID(0&amp;AV181,LARGE(INDEX(ISNUMBER(--MID(AV181,ROW($1:$8),1))*ROW($1:$8),),ROW($1:$8))+1,1)*10^ROW($1:$8)/10)</f>
        <v>49301156</v>
      </c>
      <c r="AX181" s="402" t="str">
        <f>VLOOKUP($AW181,'Item Master Data'!$A:$F,3,FALSE)</f>
        <v>Q.PEAK DUO XL G10</v>
      </c>
      <c r="AY181" s="402">
        <f>VLOOKUP($AW181,'Item Master Data'!$A:$F,6,FALSE)</f>
        <v>480</v>
      </c>
      <c r="AZ181" s="402">
        <f t="shared" si="38"/>
        <v>22</v>
      </c>
      <c r="BA181" s="402">
        <f>VLOOKUP(AW181,'Item Master Data'!$A:$G,7,FALSE)</f>
        <v>29</v>
      </c>
      <c r="BB181" s="402"/>
      <c r="BC181" s="402">
        <f t="shared" si="39"/>
        <v>-5</v>
      </c>
    </row>
    <row r="182" spans="1:55">
      <c r="A182" s="377"/>
      <c r="B182" s="376"/>
      <c r="C182" s="376"/>
      <c r="D182" s="405" t="s">
        <v>1066</v>
      </c>
      <c r="E182" s="364" t="s">
        <v>4925</v>
      </c>
      <c r="F182" s="405" t="s">
        <v>1074</v>
      </c>
      <c r="G182" s="405">
        <v>2022</v>
      </c>
      <c r="H182" s="405">
        <v>6</v>
      </c>
      <c r="I182" s="416">
        <v>2005088</v>
      </c>
      <c r="J182" s="406"/>
      <c r="K182" s="405" t="s">
        <v>1480</v>
      </c>
      <c r="L182" s="406" t="s">
        <v>1472</v>
      </c>
      <c r="M182" s="406">
        <v>44510</v>
      </c>
      <c r="N182" s="406">
        <v>44630</v>
      </c>
      <c r="O182" s="406"/>
      <c r="P182" s="406"/>
      <c r="Q182" s="406"/>
      <c r="R182" s="406"/>
      <c r="S182" s="405" t="s">
        <v>1067</v>
      </c>
      <c r="T182" s="405">
        <v>72</v>
      </c>
      <c r="U182" s="405" t="s">
        <v>1079</v>
      </c>
      <c r="V182" s="405" t="s">
        <v>995</v>
      </c>
      <c r="W182" s="407">
        <v>475</v>
      </c>
      <c r="X182" s="371">
        <v>638</v>
      </c>
      <c r="Y182" s="422">
        <f t="shared" si="34"/>
        <v>303050</v>
      </c>
      <c r="Z182" s="409">
        <v>0.46500000000000002</v>
      </c>
      <c r="AA182" s="410">
        <f t="shared" si="35"/>
        <v>140918.25</v>
      </c>
      <c r="AB182" s="362"/>
      <c r="AC182" s="412">
        <f t="shared" si="36"/>
        <v>0</v>
      </c>
      <c r="AD182" s="405"/>
      <c r="AE182" s="413"/>
      <c r="AF182" s="424">
        <f t="shared" si="32"/>
        <v>140918.25</v>
      </c>
      <c r="AG182" s="405" t="s">
        <v>1069</v>
      </c>
      <c r="AH182" s="395">
        <v>10</v>
      </c>
      <c r="AI182" s="405">
        <v>30</v>
      </c>
      <c r="AJ182" s="405" t="s">
        <v>1473</v>
      </c>
      <c r="AK182" s="405" t="s">
        <v>1092</v>
      </c>
      <c r="AL182" s="425">
        <v>2072</v>
      </c>
      <c r="AM182" s="405" t="s">
        <v>52</v>
      </c>
      <c r="AN182" s="405" t="s">
        <v>1082</v>
      </c>
      <c r="AO182" s="405"/>
      <c r="AP182" s="405" t="s">
        <v>92</v>
      </c>
      <c r="AQ182" s="405" t="s">
        <v>1083</v>
      </c>
      <c r="AR182" s="405"/>
      <c r="AS182" s="369" t="s">
        <v>1084</v>
      </c>
      <c r="AT182" s="363" t="s">
        <v>1073</v>
      </c>
      <c r="AU182" s="403"/>
      <c r="AV182" s="402" t="str">
        <f t="shared" si="37"/>
        <v>12005833C</v>
      </c>
      <c r="AW182" s="402" cm="1">
        <f t="array" ref="AW182">SUM(MID(0&amp;AV182,LARGE(INDEX(ISNUMBER(--MID(AV182,ROW($1:$8),1))*ROW($1:$8),),ROW($1:$8))+1,1)*10^ROW($1:$8)/10)</f>
        <v>12005833</v>
      </c>
      <c r="AX182" s="402" t="str">
        <f>VLOOKUP($AW182,'Item Master Data'!$A:$F,3,FALSE)</f>
        <v>Q.PEAK DUO XL G10 BFG</v>
      </c>
      <c r="AY182" s="402">
        <f>VLOOKUP($AW182,'Item Master Data'!$A:$F,6,FALSE)</f>
        <v>475</v>
      </c>
      <c r="AZ182" s="402">
        <f t="shared" si="38"/>
        <v>21.266666666666666</v>
      </c>
      <c r="BA182" s="402">
        <f>VLOOKUP(AW182,'Item Master Data'!$A:$G,7,FALSE)</f>
        <v>30</v>
      </c>
      <c r="BB182" s="402"/>
      <c r="BC182" s="402">
        <f t="shared" si="39"/>
        <v>0</v>
      </c>
    </row>
    <row r="183" spans="1:55">
      <c r="A183" s="377"/>
      <c r="B183" s="376"/>
      <c r="C183" s="376"/>
      <c r="D183" s="405" t="s">
        <v>1066</v>
      </c>
      <c r="E183" s="364" t="s">
        <v>4925</v>
      </c>
      <c r="F183" s="405" t="s">
        <v>1074</v>
      </c>
      <c r="G183" s="405">
        <v>2022</v>
      </c>
      <c r="H183" s="405">
        <v>6</v>
      </c>
      <c r="I183" s="416">
        <v>2005089</v>
      </c>
      <c r="J183" s="406"/>
      <c r="K183" s="405" t="s">
        <v>1474</v>
      </c>
      <c r="L183" s="406" t="s">
        <v>1472</v>
      </c>
      <c r="M183" s="406">
        <v>44510</v>
      </c>
      <c r="N183" s="406">
        <v>44644</v>
      </c>
      <c r="O183" s="406"/>
      <c r="P183" s="406"/>
      <c r="Q183" s="406"/>
      <c r="R183" s="406"/>
      <c r="S183" s="405" t="s">
        <v>1067</v>
      </c>
      <c r="T183" s="405">
        <v>72</v>
      </c>
      <c r="U183" s="405" t="s">
        <v>1099</v>
      </c>
      <c r="V183" s="405" t="s">
        <v>995</v>
      </c>
      <c r="W183" s="407">
        <v>475</v>
      </c>
      <c r="X183" s="371">
        <v>638</v>
      </c>
      <c r="Y183" s="422">
        <f t="shared" si="34"/>
        <v>303050</v>
      </c>
      <c r="Z183" s="409">
        <v>0.46500000000000002</v>
      </c>
      <c r="AA183" s="410">
        <f t="shared" si="35"/>
        <v>140918.25</v>
      </c>
      <c r="AB183" s="362"/>
      <c r="AC183" s="412">
        <f t="shared" si="36"/>
        <v>0</v>
      </c>
      <c r="AD183" s="405"/>
      <c r="AE183" s="413"/>
      <c r="AF183" s="424">
        <f t="shared" si="32"/>
        <v>140918.25</v>
      </c>
      <c r="AG183" s="405" t="s">
        <v>1069</v>
      </c>
      <c r="AH183" s="395">
        <v>10</v>
      </c>
      <c r="AI183" s="405">
        <v>30</v>
      </c>
      <c r="AJ183" s="405" t="s">
        <v>1473</v>
      </c>
      <c r="AK183" s="405" t="s">
        <v>1092</v>
      </c>
      <c r="AL183" s="425">
        <v>2072</v>
      </c>
      <c r="AM183" s="405" t="s">
        <v>52</v>
      </c>
      <c r="AN183" s="405" t="s">
        <v>1082</v>
      </c>
      <c r="AO183" s="405"/>
      <c r="AP183" s="405" t="s">
        <v>92</v>
      </c>
      <c r="AQ183" s="405" t="s">
        <v>1083</v>
      </c>
      <c r="AR183" s="405"/>
      <c r="AS183" s="369" t="s">
        <v>1084</v>
      </c>
      <c r="AT183" s="363" t="s">
        <v>1073</v>
      </c>
      <c r="AU183" s="403"/>
      <c r="AV183" s="402" t="str">
        <f t="shared" si="37"/>
        <v>30397472F</v>
      </c>
      <c r="AW183" s="402" cm="1">
        <f t="array" ref="AW183">SUM(MID(0&amp;AV183,LARGE(INDEX(ISNUMBER(--MID(AV183,ROW($1:$8),1))*ROW($1:$8),),ROW($1:$8))+1,1)*10^ROW($1:$8)/10)</f>
        <v>30397472</v>
      </c>
      <c r="AX183" s="402" t="str">
        <f>VLOOKUP($AW183,'Item Master Data'!$A:$F,3,FALSE)</f>
        <v>Q.PEAK DUO XL G10</v>
      </c>
      <c r="AY183" s="402">
        <f>VLOOKUP($AW183,'Item Master Data'!$A:$F,6,FALSE)</f>
        <v>480</v>
      </c>
      <c r="AZ183" s="402">
        <f t="shared" si="38"/>
        <v>22</v>
      </c>
      <c r="BA183" s="402">
        <f>VLOOKUP(AW183,'Item Master Data'!$A:$G,7,FALSE)</f>
        <v>29</v>
      </c>
      <c r="BB183" s="402"/>
      <c r="BC183" s="402">
        <f t="shared" si="39"/>
        <v>-5</v>
      </c>
    </row>
    <row r="184" spans="1:55">
      <c r="A184" s="377"/>
      <c r="B184" s="376"/>
      <c r="C184" s="376"/>
      <c r="D184" s="405" t="s">
        <v>1066</v>
      </c>
      <c r="E184" s="364" t="s">
        <v>4925</v>
      </c>
      <c r="F184" s="405" t="s">
        <v>1074</v>
      </c>
      <c r="G184" s="405">
        <v>2022</v>
      </c>
      <c r="H184" s="405">
        <v>6</v>
      </c>
      <c r="I184" s="416">
        <v>2005090</v>
      </c>
      <c r="J184" s="406"/>
      <c r="K184" s="405" t="s">
        <v>1475</v>
      </c>
      <c r="L184" s="406" t="s">
        <v>1472</v>
      </c>
      <c r="M184" s="406">
        <v>44510</v>
      </c>
      <c r="N184" s="406">
        <v>44699</v>
      </c>
      <c r="O184" s="406"/>
      <c r="P184" s="406"/>
      <c r="Q184" s="406"/>
      <c r="R184" s="406"/>
      <c r="S184" s="405" t="s">
        <v>1067</v>
      </c>
      <c r="T184" s="405">
        <v>72</v>
      </c>
      <c r="U184" s="405"/>
      <c r="V184" s="405" t="s">
        <v>1068</v>
      </c>
      <c r="W184" s="407">
        <v>475</v>
      </c>
      <c r="X184" s="371">
        <v>5742</v>
      </c>
      <c r="Y184" s="422">
        <f t="shared" si="34"/>
        <v>2727450</v>
      </c>
      <c r="Z184" s="409">
        <v>0.46500000000000002</v>
      </c>
      <c r="AA184" s="410">
        <f t="shared" si="35"/>
        <v>1268264.25</v>
      </c>
      <c r="AB184" s="362"/>
      <c r="AC184" s="412">
        <f t="shared" si="36"/>
        <v>0</v>
      </c>
      <c r="AD184" s="405"/>
      <c r="AE184" s="413"/>
      <c r="AF184" s="424">
        <f t="shared" si="32"/>
        <v>1268264.25</v>
      </c>
      <c r="AG184" s="405" t="s">
        <v>1069</v>
      </c>
      <c r="AH184" s="395">
        <v>10</v>
      </c>
      <c r="AI184" s="405">
        <v>30</v>
      </c>
      <c r="AJ184" s="405" t="s">
        <v>1102</v>
      </c>
      <c r="AK184" s="405" t="s">
        <v>1102</v>
      </c>
      <c r="AL184" s="425" t="s">
        <v>1102</v>
      </c>
      <c r="AM184" s="405" t="s">
        <v>52</v>
      </c>
      <c r="AN184" s="405" t="s">
        <v>1082</v>
      </c>
      <c r="AO184" s="405"/>
      <c r="AP184" s="405" t="s">
        <v>92</v>
      </c>
      <c r="AQ184" s="405" t="s">
        <v>1083</v>
      </c>
      <c r="AR184" s="405"/>
      <c r="AS184" s="369" t="s">
        <v>1084</v>
      </c>
      <c r="AT184" s="363" t="s">
        <v>1073</v>
      </c>
      <c r="AU184" s="403"/>
      <c r="AV184" s="402">
        <f t="shared" si="37"/>
        <v>0</v>
      </c>
      <c r="AW184" s="402" cm="1">
        <f t="array" ref="AW184">SUM(MID(0&amp;AV184,LARGE(INDEX(ISNUMBER(--MID(AV184,ROW($1:$8),1))*ROW($1:$8),),ROW($1:$8))+1,1)*10^ROW($1:$8)/10)</f>
        <v>0</v>
      </c>
      <c r="AX184" s="402" t="e">
        <f>VLOOKUP($AW184,'Item Master Data'!$A:$F,3,FALSE)</f>
        <v>#N/A</v>
      </c>
      <c r="AY184" s="402" t="e">
        <f>VLOOKUP($AW184,'Item Master Data'!$A:$F,6,FALSE)</f>
        <v>#N/A</v>
      </c>
      <c r="AZ184" s="402" t="e">
        <f t="shared" si="38"/>
        <v>#N/A</v>
      </c>
      <c r="BA184" s="402" t="e">
        <f>VLOOKUP(AW184,'Item Master Data'!$A:$G,7,FALSE)</f>
        <v>#N/A</v>
      </c>
      <c r="BB184" s="402"/>
      <c r="BC184" s="402" t="e">
        <f t="shared" si="39"/>
        <v>#N/A</v>
      </c>
    </row>
    <row r="185" spans="1:55">
      <c r="A185" s="377"/>
      <c r="B185" s="376"/>
      <c r="C185" s="376"/>
      <c r="D185" s="405" t="s">
        <v>1066</v>
      </c>
      <c r="E185" s="364" t="s">
        <v>1143</v>
      </c>
      <c r="F185" s="405"/>
      <c r="G185" s="405">
        <v>2022</v>
      </c>
      <c r="H185" s="405">
        <v>8</v>
      </c>
      <c r="I185" s="416" t="s">
        <v>1075</v>
      </c>
      <c r="J185" s="406"/>
      <c r="K185" s="405" t="s">
        <v>1144</v>
      </c>
      <c r="L185" s="406" t="s">
        <v>1145</v>
      </c>
      <c r="M185" s="406">
        <v>44607</v>
      </c>
      <c r="N185" s="406">
        <v>44774</v>
      </c>
      <c r="O185" s="406"/>
      <c r="P185" s="406"/>
      <c r="Q185" s="406"/>
      <c r="R185" s="406"/>
      <c r="S185" s="405" t="s">
        <v>1078</v>
      </c>
      <c r="T185" s="405">
        <v>72</v>
      </c>
      <c r="U185" s="405" t="s">
        <v>1146</v>
      </c>
      <c r="V185" s="405" t="s">
        <v>1068</v>
      </c>
      <c r="W185" s="407">
        <v>480</v>
      </c>
      <c r="X185" s="371">
        <v>377</v>
      </c>
      <c r="Y185" s="422">
        <f t="shared" si="34"/>
        <v>180960</v>
      </c>
      <c r="Z185" s="409">
        <v>0.48</v>
      </c>
      <c r="AA185" s="410">
        <f t="shared" si="35"/>
        <v>86860.800000000003</v>
      </c>
      <c r="AB185" s="362"/>
      <c r="AC185" s="412">
        <f t="shared" si="36"/>
        <v>0</v>
      </c>
      <c r="AD185" s="405"/>
      <c r="AE185" s="413">
        <f>AA185*0.0675</f>
        <v>5863.1040000000003</v>
      </c>
      <c r="AF185" s="424">
        <f t="shared" si="32"/>
        <v>92723.90400000001</v>
      </c>
      <c r="AG185" s="405" t="s">
        <v>47</v>
      </c>
      <c r="AH185" s="395">
        <v>100</v>
      </c>
      <c r="AI185" s="405">
        <v>0</v>
      </c>
      <c r="AJ185" s="405" t="s">
        <v>1147</v>
      </c>
      <c r="AK185" s="405" t="s">
        <v>1148</v>
      </c>
      <c r="AL185" s="425">
        <v>28734</v>
      </c>
      <c r="AM185" s="405" t="s">
        <v>52</v>
      </c>
      <c r="AN185" s="405" t="s">
        <v>1102</v>
      </c>
      <c r="AO185" s="405"/>
      <c r="AP185" s="405" t="s">
        <v>1102</v>
      </c>
      <c r="AQ185" s="405"/>
      <c r="AR185" s="405"/>
      <c r="AS185" s="369"/>
      <c r="AT185" s="363"/>
      <c r="AU185" s="403"/>
      <c r="AV185" s="402" t="str">
        <f t="shared" si="37"/>
        <v>12005832C</v>
      </c>
      <c r="AW185" s="402" cm="1">
        <f t="array" ref="AW185">SUM(MID(0&amp;AV185,LARGE(INDEX(ISNUMBER(--MID(AV185,ROW($1:$8),1))*ROW($1:$8),),ROW($1:$8))+1,1)*10^ROW($1:$8)/10)</f>
        <v>12005832</v>
      </c>
      <c r="AX185" s="402" t="str">
        <f>VLOOKUP($AW185,'Item Master Data'!$A:$F,3,FALSE)</f>
        <v>Q.PEAK DUO XL G10 BFG</v>
      </c>
      <c r="AY185" s="402">
        <f>VLOOKUP($AW185,'Item Master Data'!$A:$F,6,FALSE)</f>
        <v>480</v>
      </c>
      <c r="AZ185" s="402" t="e">
        <f t="shared" si="38"/>
        <v>#VALUE!</v>
      </c>
      <c r="BA185" s="402" t="str">
        <f>VLOOKUP(AW185,'Item Master Data'!$A:$G,7,FALSE)</f>
        <v> 30</v>
      </c>
      <c r="BB185" s="402"/>
      <c r="BC185" s="402">
        <f t="shared" si="39"/>
        <v>0</v>
      </c>
    </row>
    <row r="186" spans="1:55">
      <c r="A186" s="377"/>
      <c r="B186" s="376"/>
      <c r="C186" s="376"/>
      <c r="D186" s="405" t="s">
        <v>1066</v>
      </c>
      <c r="E186" s="364" t="s">
        <v>1143</v>
      </c>
      <c r="F186" s="405"/>
      <c r="G186" s="405">
        <v>2022</v>
      </c>
      <c r="H186" s="405">
        <v>8</v>
      </c>
      <c r="I186" s="416" t="s">
        <v>1075</v>
      </c>
      <c r="J186" s="406"/>
      <c r="K186" s="405" t="s">
        <v>1144</v>
      </c>
      <c r="L186" s="406" t="s">
        <v>1145</v>
      </c>
      <c r="M186" s="406">
        <v>44607</v>
      </c>
      <c r="N186" s="406">
        <v>44774</v>
      </c>
      <c r="O186" s="406"/>
      <c r="P186" s="406"/>
      <c r="Q186" s="406"/>
      <c r="R186" s="406"/>
      <c r="S186" s="405" t="s">
        <v>1078</v>
      </c>
      <c r="T186" s="405">
        <v>72</v>
      </c>
      <c r="U186" s="405" t="s">
        <v>1146</v>
      </c>
      <c r="V186" s="405" t="s">
        <v>1068</v>
      </c>
      <c r="W186" s="407">
        <v>480</v>
      </c>
      <c r="X186" s="371">
        <v>522</v>
      </c>
      <c r="Y186" s="422">
        <f t="shared" si="34"/>
        <v>250560</v>
      </c>
      <c r="Z186" s="409">
        <v>0.48</v>
      </c>
      <c r="AA186" s="410">
        <f t="shared" si="35"/>
        <v>120268.79999999999</v>
      </c>
      <c r="AB186" s="362"/>
      <c r="AC186" s="412">
        <f t="shared" si="36"/>
        <v>0</v>
      </c>
      <c r="AD186" s="405"/>
      <c r="AE186" s="413">
        <f>AA186*0.07</f>
        <v>8418.8160000000007</v>
      </c>
      <c r="AF186" s="424">
        <f t="shared" si="32"/>
        <v>128687.61599999999</v>
      </c>
      <c r="AG186" s="405" t="s">
        <v>47</v>
      </c>
      <c r="AH186" s="395">
        <v>100</v>
      </c>
      <c r="AI186" s="405">
        <v>0</v>
      </c>
      <c r="AJ186" s="405" t="s">
        <v>1149</v>
      </c>
      <c r="AK186" s="405" t="s">
        <v>1148</v>
      </c>
      <c r="AL186" s="425">
        <v>28659</v>
      </c>
      <c r="AM186" s="405" t="s">
        <v>52</v>
      </c>
      <c r="AN186" s="405" t="s">
        <v>1102</v>
      </c>
      <c r="AO186" s="405"/>
      <c r="AP186" s="405" t="s">
        <v>1102</v>
      </c>
      <c r="AQ186" s="405"/>
      <c r="AR186" s="405"/>
      <c r="AS186" s="369"/>
      <c r="AT186" s="363"/>
      <c r="AU186" s="403"/>
      <c r="AV186" s="402"/>
      <c r="AW186" s="402"/>
      <c r="AX186" s="402"/>
      <c r="AY186" s="402"/>
      <c r="AZ186" s="402"/>
      <c r="BA186" s="402"/>
      <c r="BB186" s="402"/>
      <c r="BC186" s="402"/>
    </row>
    <row r="187" spans="1:55">
      <c r="A187" s="377"/>
      <c r="B187" s="376"/>
      <c r="C187" s="376"/>
      <c r="D187" s="405" t="s">
        <v>1066</v>
      </c>
      <c r="E187" s="364" t="s">
        <v>1143</v>
      </c>
      <c r="F187" s="405"/>
      <c r="G187" s="405">
        <v>2022</v>
      </c>
      <c r="H187" s="405">
        <v>8</v>
      </c>
      <c r="I187" s="416" t="s">
        <v>1075</v>
      </c>
      <c r="J187" s="406"/>
      <c r="K187" s="405" t="s">
        <v>1144</v>
      </c>
      <c r="L187" s="406" t="s">
        <v>1145</v>
      </c>
      <c r="M187" s="406">
        <v>44607</v>
      </c>
      <c r="N187" s="406">
        <v>44774</v>
      </c>
      <c r="O187" s="406"/>
      <c r="P187" s="406"/>
      <c r="Q187" s="406"/>
      <c r="R187" s="406"/>
      <c r="S187" s="405" t="s">
        <v>1078</v>
      </c>
      <c r="T187" s="405">
        <v>72</v>
      </c>
      <c r="U187" s="405" t="s">
        <v>1146</v>
      </c>
      <c r="V187" s="405" t="s">
        <v>1068</v>
      </c>
      <c r="W187" s="407">
        <v>480</v>
      </c>
      <c r="X187" s="371">
        <v>290</v>
      </c>
      <c r="Y187" s="422">
        <f t="shared" si="34"/>
        <v>139200</v>
      </c>
      <c r="Z187" s="409">
        <v>0.48</v>
      </c>
      <c r="AA187" s="410">
        <f t="shared" si="35"/>
        <v>66816</v>
      </c>
      <c r="AB187" s="362"/>
      <c r="AC187" s="412">
        <f t="shared" si="36"/>
        <v>0</v>
      </c>
      <c r="AD187" s="405"/>
      <c r="AE187" s="413">
        <f>AA187*0.0675</f>
        <v>4510.08</v>
      </c>
      <c r="AF187" s="424">
        <f t="shared" si="32"/>
        <v>71326.080000000002</v>
      </c>
      <c r="AG187" s="405" t="s">
        <v>47</v>
      </c>
      <c r="AH187" s="395">
        <v>100</v>
      </c>
      <c r="AI187" s="405">
        <v>0</v>
      </c>
      <c r="AJ187" s="405" t="s">
        <v>1150</v>
      </c>
      <c r="AK187" s="405" t="s">
        <v>1148</v>
      </c>
      <c r="AL187" s="425">
        <v>28345</v>
      </c>
      <c r="AM187" s="405" t="s">
        <v>52</v>
      </c>
      <c r="AN187" s="405" t="s">
        <v>1102</v>
      </c>
      <c r="AO187" s="405"/>
      <c r="AP187" s="405" t="s">
        <v>1102</v>
      </c>
      <c r="AQ187" s="405"/>
      <c r="AR187" s="405"/>
      <c r="AS187" s="369"/>
      <c r="AT187" s="363"/>
      <c r="AU187" s="403"/>
      <c r="AV187" s="402"/>
      <c r="AW187" s="402"/>
      <c r="AX187" s="402"/>
      <c r="AY187" s="402"/>
      <c r="AZ187" s="402"/>
      <c r="BA187" s="402"/>
      <c r="BB187" s="402"/>
      <c r="BC187" s="402"/>
    </row>
    <row r="188" spans="1:55">
      <c r="A188" s="377"/>
      <c r="B188" s="376"/>
      <c r="C188" s="376"/>
      <c r="D188" s="405" t="s">
        <v>1066</v>
      </c>
      <c r="E188" s="364" t="s">
        <v>1143</v>
      </c>
      <c r="F188" s="405"/>
      <c r="G188" s="405">
        <v>2022</v>
      </c>
      <c r="H188" s="405">
        <v>8</v>
      </c>
      <c r="I188" s="416" t="s">
        <v>1075</v>
      </c>
      <c r="J188" s="406"/>
      <c r="K188" s="405" t="s">
        <v>1144</v>
      </c>
      <c r="L188" s="406" t="s">
        <v>1145</v>
      </c>
      <c r="M188" s="406">
        <v>44607</v>
      </c>
      <c r="N188" s="406">
        <v>44774</v>
      </c>
      <c r="O188" s="406"/>
      <c r="P188" s="406"/>
      <c r="Q188" s="406"/>
      <c r="R188" s="406"/>
      <c r="S188" s="405" t="s">
        <v>1078</v>
      </c>
      <c r="T188" s="405">
        <v>72</v>
      </c>
      <c r="U188" s="405" t="s">
        <v>1146</v>
      </c>
      <c r="V188" s="405" t="s">
        <v>1068</v>
      </c>
      <c r="W188" s="407">
        <v>480</v>
      </c>
      <c r="X188" s="371">
        <v>522</v>
      </c>
      <c r="Y188" s="422">
        <f t="shared" si="34"/>
        <v>250560</v>
      </c>
      <c r="Z188" s="409">
        <v>0.48</v>
      </c>
      <c r="AA188" s="410">
        <f t="shared" si="35"/>
        <v>120268.79999999999</v>
      </c>
      <c r="AB188" s="362"/>
      <c r="AC188" s="412">
        <f t="shared" si="36"/>
        <v>0</v>
      </c>
      <c r="AD188" s="405"/>
      <c r="AE188" s="413">
        <f>AA188*0.0675</f>
        <v>8118.1439999999993</v>
      </c>
      <c r="AF188" s="424">
        <f t="shared" si="32"/>
        <v>128386.94399999999</v>
      </c>
      <c r="AG188" s="405" t="s">
        <v>47</v>
      </c>
      <c r="AH188" s="395">
        <v>100</v>
      </c>
      <c r="AI188" s="405">
        <v>0</v>
      </c>
      <c r="AJ188" s="405" t="s">
        <v>1151</v>
      </c>
      <c r="AK188" s="405" t="s">
        <v>1148</v>
      </c>
      <c r="AL188" s="425">
        <v>28759</v>
      </c>
      <c r="AM188" s="405" t="s">
        <v>52</v>
      </c>
      <c r="AN188" s="405" t="s">
        <v>1102</v>
      </c>
      <c r="AO188" s="405"/>
      <c r="AP188" s="405" t="s">
        <v>1102</v>
      </c>
      <c r="AQ188" s="405"/>
      <c r="AR188" s="405"/>
      <c r="AS188" s="369"/>
      <c r="AT188" s="363"/>
      <c r="AU188" s="403"/>
      <c r="AV188" s="402"/>
      <c r="AW188" s="402"/>
      <c r="AX188" s="402"/>
      <c r="AY188" s="402"/>
      <c r="AZ188" s="402"/>
      <c r="BA188" s="402"/>
      <c r="BB188" s="402"/>
      <c r="BC188" s="402"/>
    </row>
    <row r="189" spans="1:55">
      <c r="A189" s="377"/>
      <c r="B189" s="376"/>
      <c r="C189" s="376"/>
      <c r="D189" s="405" t="s">
        <v>1066</v>
      </c>
      <c r="E189" s="364" t="s">
        <v>4854</v>
      </c>
      <c r="F189" s="405" t="s">
        <v>1074</v>
      </c>
      <c r="G189" s="405">
        <v>2022</v>
      </c>
      <c r="H189" s="405">
        <v>6</v>
      </c>
      <c r="I189" s="416" t="s">
        <v>4227</v>
      </c>
      <c r="J189" s="406"/>
      <c r="K189" s="405" t="s">
        <v>1105</v>
      </c>
      <c r="L189" s="406" t="s">
        <v>1106</v>
      </c>
      <c r="M189" s="406">
        <v>44656</v>
      </c>
      <c r="N189" s="406">
        <v>44727</v>
      </c>
      <c r="O189" s="406"/>
      <c r="P189" s="406"/>
      <c r="Q189" s="406"/>
      <c r="R189" s="406"/>
      <c r="S189" s="405" t="s">
        <v>1107</v>
      </c>
      <c r="T189" s="405">
        <v>72</v>
      </c>
      <c r="U189" s="405"/>
      <c r="V189" s="405" t="s">
        <v>1108</v>
      </c>
      <c r="W189" s="407">
        <v>580</v>
      </c>
      <c r="X189" s="371">
        <v>5425</v>
      </c>
      <c r="Y189" s="422">
        <f t="shared" si="34"/>
        <v>3146500</v>
      </c>
      <c r="Z189" s="409">
        <v>0.53</v>
      </c>
      <c r="AA189" s="410">
        <f t="shared" si="35"/>
        <v>1667645</v>
      </c>
      <c r="AB189" s="362"/>
      <c r="AC189" s="412">
        <f t="shared" si="36"/>
        <v>0</v>
      </c>
      <c r="AD189" s="405"/>
      <c r="AE189" s="413">
        <f>AA189*0.0885</f>
        <v>147586.58249999999</v>
      </c>
      <c r="AF189" s="424">
        <f t="shared" si="32"/>
        <v>1815231.5825</v>
      </c>
      <c r="AG189" s="405" t="s">
        <v>1069</v>
      </c>
      <c r="AH189" s="395">
        <v>10</v>
      </c>
      <c r="AI189" s="405">
        <v>30</v>
      </c>
      <c r="AJ189" s="405" t="s">
        <v>1109</v>
      </c>
      <c r="AK189" s="405" t="s">
        <v>1110</v>
      </c>
      <c r="AL189" s="425">
        <v>62205</v>
      </c>
      <c r="AM189" s="405" t="s">
        <v>52</v>
      </c>
      <c r="AN189" s="405" t="s">
        <v>1082</v>
      </c>
      <c r="AO189" s="405"/>
      <c r="AP189" s="405" t="s">
        <v>92</v>
      </c>
      <c r="AQ189" s="405" t="s">
        <v>1083</v>
      </c>
      <c r="AR189" s="405"/>
      <c r="AS189" s="369" t="s">
        <v>1084</v>
      </c>
      <c r="AT189" s="363" t="s">
        <v>1073</v>
      </c>
      <c r="AU189" s="403"/>
      <c r="AV189" s="402"/>
      <c r="AW189" s="402"/>
      <c r="AX189" s="402"/>
      <c r="AY189" s="402"/>
      <c r="AZ189" s="402"/>
      <c r="BA189" s="402"/>
      <c r="BB189" s="402"/>
      <c r="BC189" s="402"/>
    </row>
    <row r="190" spans="1:55">
      <c r="A190" s="377"/>
      <c r="B190" s="376"/>
      <c r="C190" s="376"/>
      <c r="D190" s="405" t="s">
        <v>1066</v>
      </c>
      <c r="E190" s="364" t="s">
        <v>4944</v>
      </c>
      <c r="F190" s="405" t="s">
        <v>1074</v>
      </c>
      <c r="G190" s="405">
        <v>2022</v>
      </c>
      <c r="H190" s="405">
        <v>7</v>
      </c>
      <c r="I190" s="416"/>
      <c r="J190" s="406"/>
      <c r="K190" s="405" t="s">
        <v>1115</v>
      </c>
      <c r="L190" s="406" t="s">
        <v>1112</v>
      </c>
      <c r="M190" s="406">
        <v>44580</v>
      </c>
      <c r="N190" s="406">
        <v>44607</v>
      </c>
      <c r="O190" s="406"/>
      <c r="P190" s="406"/>
      <c r="Q190" s="406"/>
      <c r="R190" s="406"/>
      <c r="S190" s="405" t="s">
        <v>1098</v>
      </c>
      <c r="T190" s="405">
        <v>72</v>
      </c>
      <c r="U190" s="405" t="s">
        <v>1102</v>
      </c>
      <c r="V190" s="405" t="s">
        <v>1068</v>
      </c>
      <c r="W190" s="407">
        <v>485</v>
      </c>
      <c r="X190" s="371">
        <v>638</v>
      </c>
      <c r="Y190" s="422">
        <f t="shared" si="34"/>
        <v>309430</v>
      </c>
      <c r="Z190" s="409">
        <v>0.48</v>
      </c>
      <c r="AA190" s="410">
        <f t="shared" si="35"/>
        <v>148526.39999999999</v>
      </c>
      <c r="AB190" s="362"/>
      <c r="AC190" s="412">
        <f t="shared" si="36"/>
        <v>0</v>
      </c>
      <c r="AD190" s="405"/>
      <c r="AE190" s="413"/>
      <c r="AF190" s="424">
        <f t="shared" si="32"/>
        <v>148526.39999999999</v>
      </c>
      <c r="AG190" s="405" t="s">
        <v>47</v>
      </c>
      <c r="AH190" s="395">
        <v>0</v>
      </c>
      <c r="AI190" s="405">
        <v>45</v>
      </c>
      <c r="AJ190" s="405" t="s">
        <v>1116</v>
      </c>
      <c r="AK190" s="405" t="s">
        <v>1117</v>
      </c>
      <c r="AL190" s="425">
        <v>55122</v>
      </c>
      <c r="AM190" s="405" t="s">
        <v>52</v>
      </c>
      <c r="AN190" s="405" t="s">
        <v>1102</v>
      </c>
      <c r="AO190" s="405"/>
      <c r="AP190" s="405" t="s">
        <v>38</v>
      </c>
      <c r="AQ190" s="405" t="s">
        <v>1083</v>
      </c>
      <c r="AR190" s="405"/>
      <c r="AS190" s="369" t="s">
        <v>1084</v>
      </c>
      <c r="AT190" s="363" t="s">
        <v>1073</v>
      </c>
      <c r="AU190" s="403"/>
      <c r="AV190" s="402" t="str">
        <f>U190</f>
        <v>TBD</v>
      </c>
      <c r="AW190" s="402" cm="1">
        <f t="array" ref="AW190">SUM(MID(0&amp;AV190,LARGE(INDEX(ISNUMBER(--MID(AV190,ROW($1:$8),1))*ROW($1:$8),),ROW($1:$8))+1,1)*10^ROW($1:$8)/10)</f>
        <v>0</v>
      </c>
      <c r="AX190" s="402" t="e">
        <f>VLOOKUP($AW190,'Item Master Data'!$A:$F,3,FALSE)</f>
        <v>#N/A</v>
      </c>
      <c r="AY190" s="402" t="e">
        <f>VLOOKUP($AW190,'Item Master Data'!$A:$F,6,FALSE)</f>
        <v>#N/A</v>
      </c>
      <c r="AZ190" s="402" t="e">
        <f>X190/BA190</f>
        <v>#N/A</v>
      </c>
      <c r="BA190" s="402" t="e">
        <f>VLOOKUP(AW190,'Item Master Data'!$A:$G,7,FALSE)</f>
        <v>#N/A</v>
      </c>
      <c r="BB190" s="402"/>
      <c r="BC190" s="402" t="e">
        <f>W190-AY190</f>
        <v>#N/A</v>
      </c>
    </row>
    <row r="191" spans="1:55">
      <c r="A191" s="377"/>
      <c r="B191" s="376"/>
      <c r="C191" s="376"/>
      <c r="D191" s="405" t="s">
        <v>1066</v>
      </c>
      <c r="E191" s="364" t="s">
        <v>4944</v>
      </c>
      <c r="F191" s="405" t="s">
        <v>1074</v>
      </c>
      <c r="G191" s="405">
        <v>2022</v>
      </c>
      <c r="H191" s="405">
        <v>7</v>
      </c>
      <c r="I191" s="416"/>
      <c r="J191" s="406"/>
      <c r="K191" s="405" t="s">
        <v>1118</v>
      </c>
      <c r="L191" s="406" t="s">
        <v>1112</v>
      </c>
      <c r="M191" s="406">
        <v>44580</v>
      </c>
      <c r="N191" s="406">
        <v>44607</v>
      </c>
      <c r="O191" s="406"/>
      <c r="P191" s="406"/>
      <c r="Q191" s="406"/>
      <c r="R191" s="406"/>
      <c r="S191" s="405" t="s">
        <v>1098</v>
      </c>
      <c r="T191" s="405">
        <v>72</v>
      </c>
      <c r="U191" s="405" t="s">
        <v>1102</v>
      </c>
      <c r="V191" s="405" t="s">
        <v>1068</v>
      </c>
      <c r="W191" s="407">
        <v>485</v>
      </c>
      <c r="X191" s="371">
        <v>638</v>
      </c>
      <c r="Y191" s="422">
        <f t="shared" si="34"/>
        <v>309430</v>
      </c>
      <c r="Z191" s="409">
        <v>0.48</v>
      </c>
      <c r="AA191" s="410">
        <f t="shared" si="35"/>
        <v>148526.39999999999</v>
      </c>
      <c r="AB191" s="362"/>
      <c r="AC191" s="412">
        <f t="shared" si="36"/>
        <v>0</v>
      </c>
      <c r="AD191" s="405"/>
      <c r="AE191" s="413"/>
      <c r="AF191" s="424">
        <f t="shared" si="32"/>
        <v>148526.39999999999</v>
      </c>
      <c r="AG191" s="405" t="s">
        <v>47</v>
      </c>
      <c r="AH191" s="395">
        <v>0</v>
      </c>
      <c r="AI191" s="405">
        <v>45</v>
      </c>
      <c r="AJ191" s="405" t="s">
        <v>1113</v>
      </c>
      <c r="AK191" s="405" t="s">
        <v>1110</v>
      </c>
      <c r="AL191" s="425">
        <v>60433</v>
      </c>
      <c r="AM191" s="405" t="s">
        <v>52</v>
      </c>
      <c r="AN191" s="405" t="s">
        <v>1102</v>
      </c>
      <c r="AO191" s="405"/>
      <c r="AP191" s="405" t="s">
        <v>38</v>
      </c>
      <c r="AQ191" s="405" t="s">
        <v>1083</v>
      </c>
      <c r="AR191" s="405"/>
      <c r="AS191" s="369" t="s">
        <v>1084</v>
      </c>
      <c r="AT191" s="363" t="s">
        <v>1073</v>
      </c>
      <c r="AU191" s="403"/>
      <c r="AV191" s="402" t="str">
        <f>U191</f>
        <v>TBD</v>
      </c>
      <c r="AW191" s="402" cm="1">
        <f t="array" ref="AW191">SUM(MID(0&amp;AV191,LARGE(INDEX(ISNUMBER(--MID(AV191,ROW($1:$8),1))*ROW($1:$8),),ROW($1:$8))+1,1)*10^ROW($1:$8)/10)</f>
        <v>0</v>
      </c>
      <c r="AX191" s="402" t="e">
        <f>VLOOKUP($AW191,'Item Master Data'!$A:$F,3,FALSE)</f>
        <v>#N/A</v>
      </c>
      <c r="AY191" s="402" t="e">
        <f>VLOOKUP($AW191,'Item Master Data'!$A:$F,6,FALSE)</f>
        <v>#N/A</v>
      </c>
      <c r="AZ191" s="402" t="e">
        <f>X191/BA191</f>
        <v>#N/A</v>
      </c>
      <c r="BA191" s="402" t="e">
        <f>VLOOKUP(AW191,'Item Master Data'!$A:$G,7,FALSE)</f>
        <v>#N/A</v>
      </c>
      <c r="BB191" s="402"/>
      <c r="BC191" s="402" t="e">
        <f>W191-AY191</f>
        <v>#N/A</v>
      </c>
    </row>
    <row r="192" spans="1:55">
      <c r="A192" s="377"/>
      <c r="B192" s="376"/>
      <c r="C192" s="376"/>
      <c r="D192" s="405" t="s">
        <v>1066</v>
      </c>
      <c r="E192" s="364" t="s">
        <v>4944</v>
      </c>
      <c r="F192" s="405" t="s">
        <v>1074</v>
      </c>
      <c r="G192" s="405">
        <v>2022</v>
      </c>
      <c r="H192" s="405">
        <v>7</v>
      </c>
      <c r="I192" s="416"/>
      <c r="J192" s="406"/>
      <c r="K192" s="405" t="s">
        <v>1119</v>
      </c>
      <c r="L192" s="406" t="s">
        <v>1112</v>
      </c>
      <c r="M192" s="406">
        <v>44580</v>
      </c>
      <c r="N192" s="406">
        <v>44697</v>
      </c>
      <c r="O192" s="406"/>
      <c r="P192" s="406"/>
      <c r="Q192" s="406"/>
      <c r="R192" s="406"/>
      <c r="S192" s="405" t="s">
        <v>1098</v>
      </c>
      <c r="T192" s="405">
        <v>72</v>
      </c>
      <c r="U192" s="405" t="s">
        <v>1102</v>
      </c>
      <c r="V192" s="405" t="s">
        <v>1068</v>
      </c>
      <c r="W192" s="407">
        <v>485</v>
      </c>
      <c r="X192" s="371">
        <v>638</v>
      </c>
      <c r="Y192" s="422">
        <f t="shared" si="34"/>
        <v>309430</v>
      </c>
      <c r="Z192" s="409">
        <v>0.48</v>
      </c>
      <c r="AA192" s="410">
        <f t="shared" si="35"/>
        <v>148526.39999999999</v>
      </c>
      <c r="AB192" s="362"/>
      <c r="AC192" s="412">
        <f t="shared" si="36"/>
        <v>0</v>
      </c>
      <c r="AD192" s="405"/>
      <c r="AE192" s="413"/>
      <c r="AF192" s="424">
        <f t="shared" si="32"/>
        <v>148526.39999999999</v>
      </c>
      <c r="AG192" s="405" t="s">
        <v>47</v>
      </c>
      <c r="AH192" s="395">
        <v>0</v>
      </c>
      <c r="AI192" s="405">
        <v>45</v>
      </c>
      <c r="AJ192" s="405" t="s">
        <v>1120</v>
      </c>
      <c r="AK192" s="405" t="s">
        <v>1082</v>
      </c>
      <c r="AL192" s="425">
        <v>8505</v>
      </c>
      <c r="AM192" s="405" t="s">
        <v>52</v>
      </c>
      <c r="AN192" s="405" t="s">
        <v>1102</v>
      </c>
      <c r="AO192" s="405"/>
      <c r="AP192" s="405" t="s">
        <v>38</v>
      </c>
      <c r="AQ192" s="405" t="s">
        <v>1083</v>
      </c>
      <c r="AR192" s="405"/>
      <c r="AS192" s="369" t="s">
        <v>1084</v>
      </c>
      <c r="AT192" s="363" t="s">
        <v>1073</v>
      </c>
      <c r="AU192" s="403"/>
      <c r="AV192" s="402"/>
      <c r="AW192" s="402"/>
      <c r="AX192" s="402"/>
      <c r="AY192" s="402"/>
      <c r="AZ192" s="402"/>
      <c r="BA192" s="402"/>
      <c r="BB192" s="402"/>
      <c r="BC192" s="402"/>
    </row>
    <row r="193" spans="1:55">
      <c r="A193" s="377"/>
      <c r="B193" s="376"/>
      <c r="C193" s="376"/>
      <c r="D193" s="405" t="s">
        <v>1066</v>
      </c>
      <c r="E193" s="364" t="s">
        <v>4944</v>
      </c>
      <c r="F193" s="405" t="s">
        <v>1074</v>
      </c>
      <c r="G193" s="405">
        <v>2022</v>
      </c>
      <c r="H193" s="405">
        <v>7</v>
      </c>
      <c r="I193" s="416"/>
      <c r="J193" s="406"/>
      <c r="K193" s="405" t="s">
        <v>1121</v>
      </c>
      <c r="L193" s="406" t="s">
        <v>1112</v>
      </c>
      <c r="M193" s="406">
        <v>44580</v>
      </c>
      <c r="N193" s="406">
        <v>44697</v>
      </c>
      <c r="O193" s="406"/>
      <c r="P193" s="406"/>
      <c r="Q193" s="406"/>
      <c r="R193" s="406"/>
      <c r="S193" s="405" t="s">
        <v>1098</v>
      </c>
      <c r="T193" s="405">
        <v>72</v>
      </c>
      <c r="U193" s="405" t="s">
        <v>1102</v>
      </c>
      <c r="V193" s="405" t="s">
        <v>1068</v>
      </c>
      <c r="W193" s="407">
        <v>485</v>
      </c>
      <c r="X193" s="371">
        <v>638</v>
      </c>
      <c r="Y193" s="422">
        <f t="shared" si="34"/>
        <v>309430</v>
      </c>
      <c r="Z193" s="409">
        <v>0.48</v>
      </c>
      <c r="AA193" s="410">
        <f t="shared" si="35"/>
        <v>148526.39999999999</v>
      </c>
      <c r="AB193" s="362"/>
      <c r="AC193" s="412">
        <f t="shared" si="36"/>
        <v>0</v>
      </c>
      <c r="AD193" s="405"/>
      <c r="AE193" s="413"/>
      <c r="AF193" s="424">
        <f t="shared" si="32"/>
        <v>148526.39999999999</v>
      </c>
      <c r="AG193" s="405" t="s">
        <v>47</v>
      </c>
      <c r="AH193" s="395">
        <v>0</v>
      </c>
      <c r="AI193" s="405">
        <v>45</v>
      </c>
      <c r="AJ193" s="405" t="s">
        <v>1116</v>
      </c>
      <c r="AK193" s="405" t="s">
        <v>1117</v>
      </c>
      <c r="AL193" s="425">
        <v>55122</v>
      </c>
      <c r="AM193" s="405" t="s">
        <v>52</v>
      </c>
      <c r="AN193" s="405" t="s">
        <v>1102</v>
      </c>
      <c r="AO193" s="405"/>
      <c r="AP193" s="405" t="s">
        <v>38</v>
      </c>
      <c r="AQ193" s="405" t="s">
        <v>1083</v>
      </c>
      <c r="AR193" s="405"/>
      <c r="AS193" s="369" t="s">
        <v>1084</v>
      </c>
      <c r="AT193" s="363" t="s">
        <v>1073</v>
      </c>
      <c r="AU193" s="403"/>
      <c r="AV193" s="402" t="str">
        <f t="shared" ref="AV193:AV203" si="40">U193</f>
        <v>TBD</v>
      </c>
      <c r="AW193" s="402" cm="1">
        <f t="array" ref="AW193">SUM(MID(0&amp;AV193,LARGE(INDEX(ISNUMBER(--MID(AV193,ROW($1:$8),1))*ROW($1:$8),),ROW($1:$8))+1,1)*10^ROW($1:$8)/10)</f>
        <v>0</v>
      </c>
      <c r="AX193" s="402" t="e">
        <f>VLOOKUP($AW193,'Item Master Data'!$A:$F,3,FALSE)</f>
        <v>#N/A</v>
      </c>
      <c r="AY193" s="402" t="e">
        <f>VLOOKUP($AW193,'Item Master Data'!$A:$F,6,FALSE)</f>
        <v>#N/A</v>
      </c>
      <c r="AZ193" s="402" t="e">
        <f t="shared" ref="AZ193:AZ203" si="41">X193/BA193</f>
        <v>#N/A</v>
      </c>
      <c r="BA193" s="402" t="e">
        <f>VLOOKUP(AW193,'Item Master Data'!$A:$G,7,FALSE)</f>
        <v>#N/A</v>
      </c>
      <c r="BB193" s="402"/>
      <c r="BC193" s="402" t="e">
        <f t="shared" ref="BC193:BC203" si="42">W193-AY193</f>
        <v>#N/A</v>
      </c>
    </row>
    <row r="194" spans="1:55">
      <c r="A194" s="377"/>
      <c r="B194" s="376"/>
      <c r="C194" s="376"/>
      <c r="D194" s="405" t="s">
        <v>1066</v>
      </c>
      <c r="E194" s="364" t="s">
        <v>4944</v>
      </c>
      <c r="F194" s="405" t="s">
        <v>1074</v>
      </c>
      <c r="G194" s="405">
        <v>2022</v>
      </c>
      <c r="H194" s="405">
        <v>7</v>
      </c>
      <c r="I194" s="416"/>
      <c r="J194" s="406"/>
      <c r="K194" s="405" t="s">
        <v>1122</v>
      </c>
      <c r="L194" s="406" t="s">
        <v>1112</v>
      </c>
      <c r="M194" s="406">
        <v>44580</v>
      </c>
      <c r="N194" s="406">
        <v>44697</v>
      </c>
      <c r="O194" s="406"/>
      <c r="P194" s="406"/>
      <c r="Q194" s="406"/>
      <c r="R194" s="406"/>
      <c r="S194" s="405" t="s">
        <v>1098</v>
      </c>
      <c r="T194" s="405">
        <v>72</v>
      </c>
      <c r="U194" s="405" t="s">
        <v>1102</v>
      </c>
      <c r="V194" s="405" t="s">
        <v>1068</v>
      </c>
      <c r="W194" s="407">
        <v>485</v>
      </c>
      <c r="X194" s="371">
        <v>638</v>
      </c>
      <c r="Y194" s="422">
        <f t="shared" si="34"/>
        <v>309430</v>
      </c>
      <c r="Z194" s="409">
        <v>0.48</v>
      </c>
      <c r="AA194" s="410">
        <f t="shared" si="35"/>
        <v>148526.39999999999</v>
      </c>
      <c r="AB194" s="362"/>
      <c r="AC194" s="412">
        <f t="shared" si="36"/>
        <v>0</v>
      </c>
      <c r="AD194" s="405"/>
      <c r="AE194" s="413"/>
      <c r="AF194" s="424">
        <f t="shared" si="32"/>
        <v>148526.39999999999</v>
      </c>
      <c r="AG194" s="405" t="s">
        <v>47</v>
      </c>
      <c r="AH194" s="395">
        <v>0</v>
      </c>
      <c r="AI194" s="405">
        <v>45</v>
      </c>
      <c r="AJ194" s="405" t="s">
        <v>1113</v>
      </c>
      <c r="AK194" s="405" t="s">
        <v>1110</v>
      </c>
      <c r="AL194" s="425">
        <v>60433</v>
      </c>
      <c r="AM194" s="405" t="s">
        <v>52</v>
      </c>
      <c r="AN194" s="405" t="s">
        <v>1102</v>
      </c>
      <c r="AO194" s="405"/>
      <c r="AP194" s="405" t="s">
        <v>38</v>
      </c>
      <c r="AQ194" s="405" t="s">
        <v>1083</v>
      </c>
      <c r="AR194" s="405"/>
      <c r="AS194" s="369" t="s">
        <v>1084</v>
      </c>
      <c r="AT194" s="363" t="s">
        <v>1073</v>
      </c>
      <c r="AU194" s="403"/>
      <c r="AV194" s="402" t="str">
        <f t="shared" si="40"/>
        <v>TBD</v>
      </c>
      <c r="AW194" s="402" cm="1">
        <f t="array" ref="AW194">SUM(MID(0&amp;AV194,LARGE(INDEX(ISNUMBER(--MID(AV194,ROW($1:$8),1))*ROW($1:$8),),ROW($1:$8))+1,1)*10^ROW($1:$8)/10)</f>
        <v>0</v>
      </c>
      <c r="AX194" s="402" t="e">
        <f>VLOOKUP($AW194,'Item Master Data'!$A:$F,3,FALSE)</f>
        <v>#N/A</v>
      </c>
      <c r="AY194" s="402" t="e">
        <f>VLOOKUP($AW194,'Item Master Data'!$A:$F,6,FALSE)</f>
        <v>#N/A</v>
      </c>
      <c r="AZ194" s="402" t="e">
        <f t="shared" si="41"/>
        <v>#N/A</v>
      </c>
      <c r="BA194" s="402" t="e">
        <f>VLOOKUP(AW194,'Item Master Data'!$A:$G,7,FALSE)</f>
        <v>#N/A</v>
      </c>
      <c r="BB194" s="402"/>
      <c r="BC194" s="402" t="e">
        <f t="shared" si="42"/>
        <v>#N/A</v>
      </c>
    </row>
    <row r="195" spans="1:55">
      <c r="A195" s="377"/>
      <c r="B195" s="376"/>
      <c r="C195" s="376"/>
      <c r="D195" s="405" t="s">
        <v>1066</v>
      </c>
      <c r="E195" s="364" t="s">
        <v>1143</v>
      </c>
      <c r="F195" s="405"/>
      <c r="G195" s="405">
        <v>2022</v>
      </c>
      <c r="H195" s="405">
        <v>8</v>
      </c>
      <c r="I195" s="416" t="s">
        <v>1075</v>
      </c>
      <c r="J195" s="406"/>
      <c r="K195" s="405" t="s">
        <v>1144</v>
      </c>
      <c r="L195" s="406" t="s">
        <v>1145</v>
      </c>
      <c r="M195" s="406">
        <v>44607</v>
      </c>
      <c r="N195" s="406">
        <v>44774</v>
      </c>
      <c r="O195" s="406"/>
      <c r="P195" s="406"/>
      <c r="Q195" s="406"/>
      <c r="R195" s="406"/>
      <c r="S195" s="405" t="s">
        <v>1078</v>
      </c>
      <c r="T195" s="405">
        <v>72</v>
      </c>
      <c r="U195" s="405" t="s">
        <v>1146</v>
      </c>
      <c r="V195" s="405" t="s">
        <v>1068</v>
      </c>
      <c r="W195" s="407">
        <v>480</v>
      </c>
      <c r="X195" s="371">
        <v>348</v>
      </c>
      <c r="Y195" s="422">
        <f t="shared" si="34"/>
        <v>167040</v>
      </c>
      <c r="Z195" s="409">
        <v>0.48</v>
      </c>
      <c r="AA195" s="410">
        <f t="shared" si="35"/>
        <v>80179.199999999997</v>
      </c>
      <c r="AB195" s="362"/>
      <c r="AC195" s="412">
        <f t="shared" si="36"/>
        <v>0</v>
      </c>
      <c r="AD195" s="405"/>
      <c r="AE195" s="413">
        <f>AA195*0.0725</f>
        <v>5812.9919999999993</v>
      </c>
      <c r="AF195" s="424">
        <f t="shared" si="32"/>
        <v>85992.191999999995</v>
      </c>
      <c r="AG195" s="405" t="s">
        <v>47</v>
      </c>
      <c r="AH195" s="395">
        <v>100</v>
      </c>
      <c r="AI195" s="405">
        <v>0</v>
      </c>
      <c r="AJ195" s="405" t="s">
        <v>1152</v>
      </c>
      <c r="AK195" s="405" t="s">
        <v>1148</v>
      </c>
      <c r="AL195" s="425">
        <v>28216</v>
      </c>
      <c r="AM195" s="405" t="s">
        <v>52</v>
      </c>
      <c r="AN195" s="405" t="s">
        <v>1102</v>
      </c>
      <c r="AO195" s="405"/>
      <c r="AP195" s="405" t="s">
        <v>1102</v>
      </c>
      <c r="AQ195" s="405"/>
      <c r="AR195" s="405"/>
      <c r="AS195" s="369"/>
      <c r="AT195" s="363"/>
      <c r="AU195" s="403"/>
      <c r="AV195" s="402" t="str">
        <f t="shared" si="40"/>
        <v>12005832C</v>
      </c>
      <c r="AW195" s="402" cm="1">
        <f t="array" ref="AW195">SUM(MID(0&amp;AV195,LARGE(INDEX(ISNUMBER(--MID(AV195,ROW($1:$8),1))*ROW($1:$8),),ROW($1:$8))+1,1)*10^ROW($1:$8)/10)</f>
        <v>12005832</v>
      </c>
      <c r="AX195" s="402" t="str">
        <f>VLOOKUP($AW195,'Item Master Data'!$A:$F,3,FALSE)</f>
        <v>Q.PEAK DUO XL G10 BFG</v>
      </c>
      <c r="AY195" s="402">
        <f>VLOOKUP($AW195,'Item Master Data'!$A:$F,6,FALSE)</f>
        <v>480</v>
      </c>
      <c r="AZ195" s="402" t="e">
        <f t="shared" si="41"/>
        <v>#VALUE!</v>
      </c>
      <c r="BA195" s="402" t="str">
        <f>VLOOKUP(AW195,'Item Master Data'!$A:$G,7,FALSE)</f>
        <v> 30</v>
      </c>
      <c r="BB195" s="402"/>
      <c r="BC195" s="402">
        <f t="shared" si="42"/>
        <v>0</v>
      </c>
    </row>
    <row r="196" spans="1:55">
      <c r="A196" s="377"/>
      <c r="B196" s="376"/>
      <c r="C196" s="376"/>
      <c r="D196" s="405" t="s">
        <v>1066</v>
      </c>
      <c r="E196" s="364" t="s">
        <v>1143</v>
      </c>
      <c r="F196" s="405"/>
      <c r="G196" s="405">
        <v>2022</v>
      </c>
      <c r="H196" s="405">
        <v>8</v>
      </c>
      <c r="I196" s="416" t="s">
        <v>1075</v>
      </c>
      <c r="J196" s="406"/>
      <c r="K196" s="405" t="s">
        <v>1144</v>
      </c>
      <c r="L196" s="406" t="s">
        <v>1145</v>
      </c>
      <c r="M196" s="406">
        <v>44607</v>
      </c>
      <c r="N196" s="406">
        <v>44774</v>
      </c>
      <c r="O196" s="406"/>
      <c r="P196" s="406"/>
      <c r="Q196" s="406"/>
      <c r="R196" s="406"/>
      <c r="S196" s="405" t="s">
        <v>1078</v>
      </c>
      <c r="T196" s="405">
        <v>72</v>
      </c>
      <c r="U196" s="405" t="s">
        <v>1146</v>
      </c>
      <c r="V196" s="405" t="s">
        <v>1068</v>
      </c>
      <c r="W196" s="407">
        <v>480</v>
      </c>
      <c r="X196" s="371">
        <v>377</v>
      </c>
      <c r="Y196" s="422">
        <f t="shared" si="34"/>
        <v>180960</v>
      </c>
      <c r="Z196" s="409">
        <v>0.48</v>
      </c>
      <c r="AA196" s="410">
        <f t="shared" si="35"/>
        <v>86860.800000000003</v>
      </c>
      <c r="AB196" s="362"/>
      <c r="AC196" s="412">
        <f t="shared" si="36"/>
        <v>0</v>
      </c>
      <c r="AD196" s="405"/>
      <c r="AE196" s="413">
        <f>AA196*0.07</f>
        <v>6080.2560000000012</v>
      </c>
      <c r="AF196" s="424">
        <f t="shared" si="32"/>
        <v>92941.056000000011</v>
      </c>
      <c r="AG196" s="405" t="s">
        <v>47</v>
      </c>
      <c r="AH196" s="395">
        <v>100</v>
      </c>
      <c r="AI196" s="405">
        <v>0</v>
      </c>
      <c r="AJ196" s="405" t="s">
        <v>1153</v>
      </c>
      <c r="AK196" s="405" t="s">
        <v>1148</v>
      </c>
      <c r="AL196" s="425">
        <v>28081</v>
      </c>
      <c r="AM196" s="405" t="s">
        <v>52</v>
      </c>
      <c r="AN196" s="405" t="s">
        <v>1102</v>
      </c>
      <c r="AO196" s="405"/>
      <c r="AP196" s="405" t="s">
        <v>1102</v>
      </c>
      <c r="AQ196" s="405"/>
      <c r="AR196" s="405"/>
      <c r="AS196" s="369"/>
      <c r="AT196" s="363"/>
      <c r="AU196" s="403"/>
      <c r="AV196" s="402" t="str">
        <f t="shared" si="40"/>
        <v>12005832C</v>
      </c>
      <c r="AW196" s="402" cm="1">
        <f t="array" ref="AW196">SUM(MID(0&amp;AV196,LARGE(INDEX(ISNUMBER(--MID(AV196,ROW($1:$8),1))*ROW($1:$8),),ROW($1:$8))+1,1)*10^ROW($1:$8)/10)</f>
        <v>12005832</v>
      </c>
      <c r="AX196" s="402" t="str">
        <f>VLOOKUP($AW196,'Item Master Data'!$A:$F,3,FALSE)</f>
        <v>Q.PEAK DUO XL G10 BFG</v>
      </c>
      <c r="AY196" s="402">
        <f>VLOOKUP($AW196,'Item Master Data'!$A:$F,6,FALSE)</f>
        <v>480</v>
      </c>
      <c r="AZ196" s="402" t="e">
        <f t="shared" si="41"/>
        <v>#VALUE!</v>
      </c>
      <c r="BA196" s="402" t="str">
        <f>VLOOKUP(AW196,'Item Master Data'!$A:$G,7,FALSE)</f>
        <v> 30</v>
      </c>
      <c r="BB196" s="402"/>
      <c r="BC196" s="402">
        <f t="shared" si="42"/>
        <v>0</v>
      </c>
    </row>
    <row r="197" spans="1:55">
      <c r="A197" s="377"/>
      <c r="B197" s="376"/>
      <c r="C197" s="376"/>
      <c r="D197" s="405" t="s">
        <v>1066</v>
      </c>
      <c r="E197" s="364" t="s">
        <v>4927</v>
      </c>
      <c r="F197" s="405"/>
      <c r="G197" s="405">
        <v>2022</v>
      </c>
      <c r="H197" s="405">
        <v>6</v>
      </c>
      <c r="I197" s="416"/>
      <c r="J197" s="406"/>
      <c r="K197" s="405" t="s">
        <v>1184</v>
      </c>
      <c r="L197" s="406" t="s">
        <v>1174</v>
      </c>
      <c r="M197" s="406">
        <v>44619</v>
      </c>
      <c r="N197" s="406">
        <v>44713</v>
      </c>
      <c r="O197" s="406"/>
      <c r="P197" s="406"/>
      <c r="Q197" s="406"/>
      <c r="R197" s="406"/>
      <c r="S197" s="405" t="s">
        <v>1067</v>
      </c>
      <c r="T197" s="405">
        <v>72</v>
      </c>
      <c r="U197" s="405">
        <v>12005833</v>
      </c>
      <c r="V197" s="405" t="s">
        <v>1068</v>
      </c>
      <c r="W197" s="407">
        <v>480</v>
      </c>
      <c r="X197" s="371">
        <v>3780</v>
      </c>
      <c r="Y197" s="422">
        <f t="shared" si="34"/>
        <v>1814400</v>
      </c>
      <c r="Z197" s="409">
        <v>0.5</v>
      </c>
      <c r="AA197" s="410">
        <f>Y197*Z197</f>
        <v>907200</v>
      </c>
      <c r="AB197" s="362"/>
      <c r="AC197" s="412">
        <v>0</v>
      </c>
      <c r="AD197" s="405"/>
      <c r="AE197" s="413"/>
      <c r="AF197" s="424">
        <f t="shared" si="32"/>
        <v>907200</v>
      </c>
      <c r="AG197" s="405" t="s">
        <v>1069</v>
      </c>
      <c r="AH197" s="395"/>
      <c r="AI197" s="405">
        <v>60</v>
      </c>
      <c r="AJ197" s="405" t="s">
        <v>1185</v>
      </c>
      <c r="AK197" s="405" t="s">
        <v>1092</v>
      </c>
      <c r="AL197" s="425">
        <v>1501</v>
      </c>
      <c r="AM197" s="405" t="s">
        <v>52</v>
      </c>
      <c r="AN197" s="405" t="s">
        <v>1071</v>
      </c>
      <c r="AO197" s="405"/>
      <c r="AP197" s="405"/>
      <c r="AQ197" s="405" t="s">
        <v>37</v>
      </c>
      <c r="AR197" s="405"/>
      <c r="AS197" s="369"/>
      <c r="AT197" s="363"/>
      <c r="AU197" s="403"/>
      <c r="AV197" s="402">
        <f t="shared" si="40"/>
        <v>12005833</v>
      </c>
      <c r="AW197" s="402" cm="1">
        <f t="array" ref="AW197">SUM(MID(0&amp;AV197,LARGE(INDEX(ISNUMBER(--MID(AV197,ROW($1:$8),1))*ROW($1:$8),),ROW($1:$8))+1,1)*10^ROW($1:$8)/10)</f>
        <v>12005833</v>
      </c>
      <c r="AX197" s="402" t="str">
        <f>VLOOKUP($AW197,'Item Master Data'!$A:$F,3,FALSE)</f>
        <v>Q.PEAK DUO XL G10 BFG</v>
      </c>
      <c r="AY197" s="402">
        <f>VLOOKUP($AW197,'Item Master Data'!$A:$F,6,FALSE)</f>
        <v>475</v>
      </c>
      <c r="AZ197" s="402">
        <f t="shared" si="41"/>
        <v>126</v>
      </c>
      <c r="BA197" s="402">
        <f>VLOOKUP(AW197,'Item Master Data'!$A:$G,7,FALSE)</f>
        <v>30</v>
      </c>
      <c r="BB197" s="402"/>
      <c r="BC197" s="402">
        <f t="shared" si="42"/>
        <v>5</v>
      </c>
    </row>
    <row r="198" spans="1:55">
      <c r="A198" s="377"/>
      <c r="B198" s="376" t="s">
        <v>1186</v>
      </c>
      <c r="C198" s="376" t="s">
        <v>1186</v>
      </c>
      <c r="D198" s="405" t="s">
        <v>1066</v>
      </c>
      <c r="E198" s="364" t="s">
        <v>4928</v>
      </c>
      <c r="F198" s="405" t="s">
        <v>87</v>
      </c>
      <c r="G198" s="405">
        <v>2022</v>
      </c>
      <c r="H198" s="405">
        <v>6</v>
      </c>
      <c r="I198" s="416"/>
      <c r="J198" s="406"/>
      <c r="K198" s="405" t="s">
        <v>4366</v>
      </c>
      <c r="L198" s="406" t="s">
        <v>2512</v>
      </c>
      <c r="M198" s="406">
        <v>44664</v>
      </c>
      <c r="N198" s="406">
        <v>44713</v>
      </c>
      <c r="O198" s="406"/>
      <c r="P198" s="406"/>
      <c r="Q198" s="406"/>
      <c r="R198" s="406"/>
      <c r="S198" s="405" t="s">
        <v>4116</v>
      </c>
      <c r="T198" s="405">
        <v>72</v>
      </c>
      <c r="U198" s="405"/>
      <c r="V198" s="405" t="s">
        <v>1108</v>
      </c>
      <c r="W198" s="407">
        <v>580</v>
      </c>
      <c r="X198" s="371">
        <v>1427</v>
      </c>
      <c r="Y198" s="422">
        <f>X198*W198</f>
        <v>827660</v>
      </c>
      <c r="Z198" s="409">
        <v>0.57499999999999996</v>
      </c>
      <c r="AA198" s="410">
        <f>Z198*Y198</f>
        <v>475904.49999999994</v>
      </c>
      <c r="AB198" s="362"/>
      <c r="AC198" s="412">
        <f>AB198*Y198</f>
        <v>0</v>
      </c>
      <c r="AD198" s="405"/>
      <c r="AE198" s="413"/>
      <c r="AF198" s="424">
        <f t="shared" si="32"/>
        <v>475904.49999999994</v>
      </c>
      <c r="AG198" s="405" t="s">
        <v>1069</v>
      </c>
      <c r="AH198" s="395">
        <v>0</v>
      </c>
      <c r="AI198" s="405">
        <v>60</v>
      </c>
      <c r="AJ198" s="405" t="s">
        <v>4367</v>
      </c>
      <c r="AK198" s="405" t="s">
        <v>1092</v>
      </c>
      <c r="AL198" s="425">
        <v>2745</v>
      </c>
      <c r="AM198" s="405" t="s">
        <v>52</v>
      </c>
      <c r="AN198" s="405" t="s">
        <v>1071</v>
      </c>
      <c r="AO198" s="405"/>
      <c r="AP198" s="405"/>
      <c r="AQ198" s="405" t="s">
        <v>1083</v>
      </c>
      <c r="AR198" s="405" t="s">
        <v>1188</v>
      </c>
      <c r="AS198" s="369" t="s">
        <v>1084</v>
      </c>
      <c r="AT198" s="363" t="s">
        <v>1073</v>
      </c>
      <c r="AU198" s="403"/>
      <c r="AV198" s="402">
        <f t="shared" si="40"/>
        <v>0</v>
      </c>
      <c r="AW198" s="402" cm="1">
        <f t="array" ref="AW198">SUM(MID(0&amp;AV198,LARGE(INDEX(ISNUMBER(--MID(AV198,ROW($1:$8),1))*ROW($1:$8),),ROW($1:$8))+1,1)*10^ROW($1:$8)/10)</f>
        <v>0</v>
      </c>
      <c r="AX198" s="402" t="e">
        <f>VLOOKUP($AW198,'Item Master Data'!$A:$F,3,FALSE)</f>
        <v>#N/A</v>
      </c>
      <c r="AY198" s="402" t="e">
        <f>VLOOKUP($AW198,'Item Master Data'!$A:$F,6,FALSE)</f>
        <v>#N/A</v>
      </c>
      <c r="AZ198" s="402" t="e">
        <f t="shared" si="41"/>
        <v>#N/A</v>
      </c>
      <c r="BA198" s="402" t="e">
        <f>VLOOKUP(AW198,'Item Master Data'!$A:$G,7,FALSE)</f>
        <v>#N/A</v>
      </c>
      <c r="BB198" s="402"/>
      <c r="BC198" s="402" t="e">
        <f t="shared" si="42"/>
        <v>#N/A</v>
      </c>
    </row>
    <row r="199" spans="1:55">
      <c r="A199" s="377"/>
      <c r="B199" s="376"/>
      <c r="C199" s="376"/>
      <c r="D199" s="405" t="s">
        <v>1066</v>
      </c>
      <c r="E199" s="364" t="s">
        <v>4518</v>
      </c>
      <c r="F199" s="405" t="s">
        <v>87</v>
      </c>
      <c r="G199" s="405">
        <v>2022</v>
      </c>
      <c r="H199" s="405">
        <v>5</v>
      </c>
      <c r="I199" s="416"/>
      <c r="J199" s="406"/>
      <c r="K199" s="405" t="s">
        <v>1154</v>
      </c>
      <c r="L199" s="406" t="s">
        <v>1155</v>
      </c>
      <c r="M199" s="406">
        <v>44434</v>
      </c>
      <c r="N199" s="406">
        <v>44620</v>
      </c>
      <c r="O199" s="406"/>
      <c r="P199" s="406">
        <v>44635</v>
      </c>
      <c r="Q199" s="406"/>
      <c r="R199" s="406"/>
      <c r="S199" s="405" t="s">
        <v>1098</v>
      </c>
      <c r="T199" s="405">
        <v>72</v>
      </c>
      <c r="U199" s="405">
        <v>49303156</v>
      </c>
      <c r="V199" s="405" t="s">
        <v>1068</v>
      </c>
      <c r="W199" s="407">
        <v>480</v>
      </c>
      <c r="X199" s="371">
        <v>580</v>
      </c>
      <c r="Y199" s="422">
        <f>W199*X199</f>
        <v>278400</v>
      </c>
      <c r="Z199" s="409">
        <v>0.42</v>
      </c>
      <c r="AA199" s="410">
        <f>Z199*Y199</f>
        <v>116928</v>
      </c>
      <c r="AB199" s="362"/>
      <c r="AC199" s="412">
        <f>AB199*Y199</f>
        <v>0</v>
      </c>
      <c r="AD199" s="405"/>
      <c r="AE199" s="413"/>
      <c r="AF199" s="424">
        <f t="shared" si="32"/>
        <v>116928</v>
      </c>
      <c r="AG199" s="405" t="s">
        <v>47</v>
      </c>
      <c r="AH199" s="395">
        <v>10</v>
      </c>
      <c r="AI199" s="405">
        <v>30</v>
      </c>
      <c r="AJ199" s="405" t="s">
        <v>1156</v>
      </c>
      <c r="AK199" s="405" t="s">
        <v>1070</v>
      </c>
      <c r="AL199" s="425" t="s">
        <v>1157</v>
      </c>
      <c r="AM199" s="405" t="s">
        <v>52</v>
      </c>
      <c r="AN199" s="405" t="s">
        <v>1101</v>
      </c>
      <c r="AO199" s="405"/>
      <c r="AP199" s="405"/>
      <c r="AQ199" s="405" t="s">
        <v>1083</v>
      </c>
      <c r="AR199" s="405"/>
      <c r="AS199" s="369" t="s">
        <v>1084</v>
      </c>
      <c r="AT199" s="363" t="s">
        <v>1073</v>
      </c>
      <c r="AU199" s="403"/>
      <c r="AV199" s="402">
        <f t="shared" si="40"/>
        <v>49303156</v>
      </c>
      <c r="AW199" s="402" cm="1">
        <f t="array" ref="AW199">SUM(MID(0&amp;AV199,LARGE(INDEX(ISNUMBER(--MID(AV199,ROW($1:$8),1))*ROW($1:$8),),ROW($1:$8))+1,1)*10^ROW($1:$8)/10)</f>
        <v>49303156</v>
      </c>
      <c r="AX199" s="402" t="str">
        <f>VLOOKUP($AW199,'Item Master Data'!$A:$F,3,FALSE)</f>
        <v>Q.PEAK DUO XL G10 BFG</v>
      </c>
      <c r="AY199" s="402">
        <f>VLOOKUP($AW199,'Item Master Data'!$A:$F,6,FALSE)</f>
        <v>480</v>
      </c>
      <c r="AZ199" s="402">
        <f t="shared" si="41"/>
        <v>20</v>
      </c>
      <c r="BA199" s="402">
        <f>VLOOKUP(AW199,'Item Master Data'!$A:$G,7,FALSE)</f>
        <v>29</v>
      </c>
      <c r="BB199" s="402"/>
      <c r="BC199" s="402">
        <f t="shared" si="42"/>
        <v>0</v>
      </c>
    </row>
    <row r="200" spans="1:55">
      <c r="A200" s="377"/>
      <c r="B200" s="376"/>
      <c r="C200" s="376"/>
      <c r="D200" s="405" t="s">
        <v>1066</v>
      </c>
      <c r="E200" s="364" t="s">
        <v>4855</v>
      </c>
      <c r="F200" s="405"/>
      <c r="G200" s="405">
        <v>2022</v>
      </c>
      <c r="H200" s="405">
        <v>6</v>
      </c>
      <c r="I200" s="416"/>
      <c r="J200" s="406"/>
      <c r="K200" s="405" t="s">
        <v>1161</v>
      </c>
      <c r="L200" s="406" t="s">
        <v>1162</v>
      </c>
      <c r="M200" s="406">
        <v>44545</v>
      </c>
      <c r="N200" s="406">
        <v>44652</v>
      </c>
      <c r="O200" s="406"/>
      <c r="P200" s="406"/>
      <c r="Q200" s="406"/>
      <c r="R200" s="406"/>
      <c r="S200" s="405" t="s">
        <v>1067</v>
      </c>
      <c r="T200" s="405">
        <v>72</v>
      </c>
      <c r="U200" s="405"/>
      <c r="V200" s="405" t="s">
        <v>1068</v>
      </c>
      <c r="W200" s="407">
        <v>480</v>
      </c>
      <c r="X200" s="371">
        <v>1276</v>
      </c>
      <c r="Y200" s="422">
        <f>W200*X200</f>
        <v>612480</v>
      </c>
      <c r="Z200" s="409">
        <v>0.47</v>
      </c>
      <c r="AA200" s="410">
        <f>Y200*Z200</f>
        <v>287865.59999999998</v>
      </c>
      <c r="AB200" s="362"/>
      <c r="AC200" s="412">
        <v>0</v>
      </c>
      <c r="AD200" s="405"/>
      <c r="AE200" s="413"/>
      <c r="AF200" s="424">
        <f t="shared" si="32"/>
        <v>287865.59999999998</v>
      </c>
      <c r="AG200" s="405" t="s">
        <v>1069</v>
      </c>
      <c r="AH200" s="395"/>
      <c r="AI200" s="405">
        <v>60</v>
      </c>
      <c r="AJ200" s="405" t="s">
        <v>1163</v>
      </c>
      <c r="AK200" s="405" t="s">
        <v>1130</v>
      </c>
      <c r="AL200" s="425" t="s">
        <v>1164</v>
      </c>
      <c r="AM200" s="405" t="s">
        <v>52</v>
      </c>
      <c r="AN200" s="405" t="s">
        <v>1071</v>
      </c>
      <c r="AO200" s="405"/>
      <c r="AP200" s="405"/>
      <c r="AQ200" s="405" t="s">
        <v>37</v>
      </c>
      <c r="AR200" s="405"/>
      <c r="AS200" s="369"/>
      <c r="AT200" s="363"/>
      <c r="AU200" s="403"/>
      <c r="AV200" s="402">
        <f t="shared" si="40"/>
        <v>0</v>
      </c>
      <c r="AW200" s="402" cm="1">
        <f t="array" ref="AW200">SUM(MID(0&amp;AV200,LARGE(INDEX(ISNUMBER(--MID(AV200,ROW($1:$8),1))*ROW($1:$8),),ROW($1:$8))+1,1)*10^ROW($1:$8)/10)</f>
        <v>0</v>
      </c>
      <c r="AX200" s="402" t="e">
        <f>VLOOKUP($AW200,'Item Master Data'!$A:$F,3,FALSE)</f>
        <v>#N/A</v>
      </c>
      <c r="AY200" s="402" t="e">
        <f>VLOOKUP($AW200,'Item Master Data'!$A:$F,6,FALSE)</f>
        <v>#N/A</v>
      </c>
      <c r="AZ200" s="402" t="e">
        <f t="shared" si="41"/>
        <v>#N/A</v>
      </c>
      <c r="BA200" s="402" t="e">
        <f>VLOOKUP(AW200,'Item Master Data'!$A:$G,7,FALSE)</f>
        <v>#N/A</v>
      </c>
      <c r="BB200" s="402"/>
      <c r="BC200" s="402" t="e">
        <f t="shared" si="42"/>
        <v>#N/A</v>
      </c>
    </row>
    <row r="201" spans="1:55">
      <c r="A201" s="377"/>
      <c r="B201" s="376" t="s">
        <v>1186</v>
      </c>
      <c r="C201" s="376" t="s">
        <v>1186</v>
      </c>
      <c r="D201" s="405" t="s">
        <v>1066</v>
      </c>
      <c r="E201" s="364" t="s">
        <v>1093</v>
      </c>
      <c r="F201" s="405" t="s">
        <v>1139</v>
      </c>
      <c r="G201" s="405">
        <v>2022</v>
      </c>
      <c r="H201" s="405">
        <v>6</v>
      </c>
      <c r="I201" s="416"/>
      <c r="J201" s="406"/>
      <c r="K201" s="405" t="s">
        <v>3880</v>
      </c>
      <c r="L201" s="406" t="s">
        <v>1189</v>
      </c>
      <c r="M201" s="406">
        <v>44573</v>
      </c>
      <c r="N201" s="406">
        <v>44723</v>
      </c>
      <c r="O201" s="406"/>
      <c r="P201" s="406" t="s">
        <v>1216</v>
      </c>
      <c r="Q201" s="406"/>
      <c r="R201" s="406"/>
      <c r="S201" s="405" t="s">
        <v>1107</v>
      </c>
      <c r="T201" s="405">
        <v>60</v>
      </c>
      <c r="U201" s="405"/>
      <c r="V201" s="405" t="s">
        <v>973</v>
      </c>
      <c r="W201" s="407">
        <v>400</v>
      </c>
      <c r="X201" s="371">
        <v>768</v>
      </c>
      <c r="Y201" s="422">
        <f>X201*W201</f>
        <v>307200</v>
      </c>
      <c r="Z201" s="409">
        <v>0.64</v>
      </c>
      <c r="AA201" s="410">
        <f>Z201*Y201</f>
        <v>196608</v>
      </c>
      <c r="AB201" s="362"/>
      <c r="AC201" s="412">
        <f>AB201*Y201</f>
        <v>0</v>
      </c>
      <c r="AD201" s="405"/>
      <c r="AE201" s="413"/>
      <c r="AF201" s="424">
        <f t="shared" si="32"/>
        <v>196608</v>
      </c>
      <c r="AG201" s="405" t="s">
        <v>1069</v>
      </c>
      <c r="AH201" s="395">
        <v>0</v>
      </c>
      <c r="AI201" s="405">
        <v>60</v>
      </c>
      <c r="AJ201" s="405" t="s">
        <v>1190</v>
      </c>
      <c r="AK201" s="405" t="s">
        <v>1191</v>
      </c>
      <c r="AL201" s="425">
        <v>43125</v>
      </c>
      <c r="AM201" s="405" t="s">
        <v>52</v>
      </c>
      <c r="AN201" s="405" t="s">
        <v>1071</v>
      </c>
      <c r="AO201" s="405"/>
      <c r="AP201" s="405"/>
      <c r="AQ201" s="405" t="s">
        <v>1083</v>
      </c>
      <c r="AR201" s="405" t="s">
        <v>1188</v>
      </c>
      <c r="AS201" s="369" t="s">
        <v>1084</v>
      </c>
      <c r="AT201" s="363" t="s">
        <v>1073</v>
      </c>
      <c r="AU201" s="403"/>
      <c r="AV201" s="402">
        <f t="shared" si="40"/>
        <v>0</v>
      </c>
      <c r="AW201" s="402" cm="1">
        <f t="array" ref="AW201">SUM(MID(0&amp;AV201,LARGE(INDEX(ISNUMBER(--MID(AV201,ROW($1:$8),1))*ROW($1:$8),),ROW($1:$8))+1,1)*10^ROW($1:$8)/10)</f>
        <v>0</v>
      </c>
      <c r="AX201" s="402" t="e">
        <f>VLOOKUP($AW201,'Item Master Data'!$A:$F,3,FALSE)</f>
        <v>#N/A</v>
      </c>
      <c r="AY201" s="402" t="e">
        <f>VLOOKUP($AW201,'Item Master Data'!$A:$F,6,FALSE)</f>
        <v>#N/A</v>
      </c>
      <c r="AZ201" s="402" t="e">
        <f t="shared" si="41"/>
        <v>#N/A</v>
      </c>
      <c r="BA201" s="402" t="e">
        <f>VLOOKUP(AW201,'Item Master Data'!$A:$G,7,FALSE)</f>
        <v>#N/A</v>
      </c>
      <c r="BB201" s="402"/>
      <c r="BC201" s="402" t="e">
        <f t="shared" si="42"/>
        <v>#N/A</v>
      </c>
    </row>
    <row r="202" spans="1:55">
      <c r="A202" s="377"/>
      <c r="B202" s="376"/>
      <c r="C202" s="376"/>
      <c r="D202" s="405" t="s">
        <v>1066</v>
      </c>
      <c r="E202" s="364" t="s">
        <v>4856</v>
      </c>
      <c r="F202" s="405"/>
      <c r="G202" s="405">
        <v>2022</v>
      </c>
      <c r="H202" s="405">
        <v>6</v>
      </c>
      <c r="I202" s="416"/>
      <c r="J202" s="406"/>
      <c r="K202" s="405" t="s">
        <v>1165</v>
      </c>
      <c r="L202" s="406" t="s">
        <v>1162</v>
      </c>
      <c r="M202" s="406">
        <v>44558</v>
      </c>
      <c r="N202" s="406">
        <v>44682</v>
      </c>
      <c r="O202" s="406"/>
      <c r="P202" s="406"/>
      <c r="Q202" s="406"/>
      <c r="R202" s="406"/>
      <c r="S202" s="405" t="s">
        <v>1067</v>
      </c>
      <c r="T202" s="405">
        <v>72</v>
      </c>
      <c r="U202" s="405">
        <v>49303155</v>
      </c>
      <c r="V202" s="405" t="s">
        <v>1068</v>
      </c>
      <c r="W202" s="407">
        <v>480</v>
      </c>
      <c r="X202" s="371">
        <v>1276</v>
      </c>
      <c r="Y202" s="422">
        <f t="shared" ref="Y202:Y214" si="43">W202*X202</f>
        <v>612480</v>
      </c>
      <c r="Z202" s="409">
        <v>0.47</v>
      </c>
      <c r="AA202" s="410">
        <f>Y202*Z202</f>
        <v>287865.59999999998</v>
      </c>
      <c r="AB202" s="362"/>
      <c r="AC202" s="412">
        <v>0</v>
      </c>
      <c r="AD202" s="405"/>
      <c r="AE202" s="413"/>
      <c r="AF202" s="424">
        <f t="shared" si="32"/>
        <v>287865.59999999998</v>
      </c>
      <c r="AG202" s="405" t="s">
        <v>1069</v>
      </c>
      <c r="AH202" s="395"/>
      <c r="AI202" s="405">
        <v>60</v>
      </c>
      <c r="AJ202" s="405" t="s">
        <v>1163</v>
      </c>
      <c r="AK202" s="405" t="s">
        <v>1130</v>
      </c>
      <c r="AL202" s="425" t="s">
        <v>1164</v>
      </c>
      <c r="AM202" s="405" t="s">
        <v>52</v>
      </c>
      <c r="AN202" s="405" t="s">
        <v>1071</v>
      </c>
      <c r="AO202" s="405"/>
      <c r="AP202" s="405"/>
      <c r="AQ202" s="405" t="s">
        <v>37</v>
      </c>
      <c r="AR202" s="405"/>
      <c r="AS202" s="369"/>
      <c r="AT202" s="363"/>
      <c r="AU202" s="403"/>
      <c r="AV202" s="402">
        <f t="shared" si="40"/>
        <v>49303155</v>
      </c>
      <c r="AW202" s="402" cm="1">
        <f t="array" ref="AW202">SUM(MID(0&amp;AV202,LARGE(INDEX(ISNUMBER(--MID(AV202,ROW($1:$8),1))*ROW($1:$8),),ROW($1:$8))+1,1)*10^ROW($1:$8)/10)</f>
        <v>49303155</v>
      </c>
      <c r="AX202" s="402" t="str">
        <f>VLOOKUP($AW202,'Item Master Data'!$A:$F,3,FALSE)</f>
        <v>Q.PEAK DUO XL G10 BFG</v>
      </c>
      <c r="AY202" s="402">
        <f>VLOOKUP($AW202,'Item Master Data'!$A:$F,6,FALSE)</f>
        <v>475</v>
      </c>
      <c r="AZ202" s="402">
        <f t="shared" si="41"/>
        <v>44</v>
      </c>
      <c r="BA202" s="402">
        <f>VLOOKUP(AW202,'Item Master Data'!$A:$G,7,FALSE)</f>
        <v>29</v>
      </c>
      <c r="BB202" s="402"/>
      <c r="BC202" s="402">
        <f t="shared" si="42"/>
        <v>5</v>
      </c>
    </row>
    <row r="203" spans="1:55">
      <c r="A203" s="377"/>
      <c r="B203" s="376">
        <v>44574</v>
      </c>
      <c r="C203" s="376">
        <v>44574</v>
      </c>
      <c r="D203" s="405" t="s">
        <v>1066</v>
      </c>
      <c r="E203" s="364" t="s">
        <v>1225</v>
      </c>
      <c r="F203" s="405"/>
      <c r="G203" s="405">
        <v>2022</v>
      </c>
      <c r="H203" s="405">
        <v>6</v>
      </c>
      <c r="I203" s="416"/>
      <c r="J203" s="406"/>
      <c r="K203" s="405" t="s">
        <v>1226</v>
      </c>
      <c r="L203" s="406" t="s">
        <v>1205</v>
      </c>
      <c r="M203" s="406">
        <v>44502</v>
      </c>
      <c r="N203" s="406">
        <v>44683</v>
      </c>
      <c r="O203" s="406"/>
      <c r="P203" s="406" t="s">
        <v>1216</v>
      </c>
      <c r="Q203" s="406"/>
      <c r="R203" s="406"/>
      <c r="S203" s="405" t="s">
        <v>1107</v>
      </c>
      <c r="T203" s="405">
        <v>60</v>
      </c>
      <c r="U203" s="405">
        <v>49401140</v>
      </c>
      <c r="V203" s="405" t="s">
        <v>973</v>
      </c>
      <c r="W203" s="407">
        <v>400</v>
      </c>
      <c r="X203" s="371">
        <v>1536</v>
      </c>
      <c r="Y203" s="422">
        <f t="shared" si="43"/>
        <v>614400</v>
      </c>
      <c r="Z203" s="409">
        <v>0.52</v>
      </c>
      <c r="AA203" s="410">
        <f>Z203*Y203</f>
        <v>319488</v>
      </c>
      <c r="AB203" s="362"/>
      <c r="AC203" s="412">
        <f>AB203*Y203</f>
        <v>0</v>
      </c>
      <c r="AD203" s="405"/>
      <c r="AE203" s="413"/>
      <c r="AF203" s="424">
        <f t="shared" si="32"/>
        <v>319488</v>
      </c>
      <c r="AG203" s="405" t="s">
        <v>1069</v>
      </c>
      <c r="AH203" s="395">
        <v>0</v>
      </c>
      <c r="AI203" s="405">
        <v>60</v>
      </c>
      <c r="AJ203" s="405" t="s">
        <v>1206</v>
      </c>
      <c r="AK203" s="405" t="s">
        <v>1207</v>
      </c>
      <c r="AL203" s="425" t="s">
        <v>1208</v>
      </c>
      <c r="AM203" s="405" t="s">
        <v>52</v>
      </c>
      <c r="AN203" s="405" t="s">
        <v>1071</v>
      </c>
      <c r="AO203" s="405"/>
      <c r="AP203" s="405"/>
      <c r="AQ203" s="405" t="s">
        <v>1083</v>
      </c>
      <c r="AR203" s="405" t="s">
        <v>1209</v>
      </c>
      <c r="AS203" s="369" t="s">
        <v>1073</v>
      </c>
      <c r="AT203" s="363" t="s">
        <v>1073</v>
      </c>
      <c r="AU203" s="403">
        <v>0.52</v>
      </c>
      <c r="AV203" s="402">
        <f t="shared" si="40"/>
        <v>49401140</v>
      </c>
      <c r="AW203" s="402" cm="1">
        <f t="array" ref="AW203">SUM(MID(0&amp;AV203,LARGE(INDEX(ISNUMBER(--MID(AV203,ROW($1:$8),1))*ROW($1:$8),),ROW($1:$8))+1,1)*10^ROW($1:$8)/10)</f>
        <v>49401140</v>
      </c>
      <c r="AX203" s="402" t="str">
        <f>VLOOKUP($AW203,'Item Master Data'!$A:$F,3,FALSE)</f>
        <v>Q.PEAK DUO BLK ML G10.a+</v>
      </c>
      <c r="AY203" s="402">
        <f>VLOOKUP($AW203,'Item Master Data'!$A:$F,6,FALSE)</f>
        <v>400</v>
      </c>
      <c r="AZ203" s="402">
        <f t="shared" si="41"/>
        <v>48</v>
      </c>
      <c r="BA203" s="402">
        <f>VLOOKUP(AW203,'Item Master Data'!$A:$G,7,FALSE)</f>
        <v>32</v>
      </c>
      <c r="BB203" s="402"/>
      <c r="BC203" s="402">
        <f t="shared" si="42"/>
        <v>0</v>
      </c>
    </row>
    <row r="204" spans="1:55">
      <c r="A204" s="377"/>
      <c r="B204" s="376"/>
      <c r="C204" s="376"/>
      <c r="D204" s="405" t="s">
        <v>1066</v>
      </c>
      <c r="E204" s="364"/>
      <c r="F204" s="405"/>
      <c r="G204" s="405">
        <v>2022</v>
      </c>
      <c r="H204" s="405">
        <v>6</v>
      </c>
      <c r="I204" s="416"/>
      <c r="J204" s="406"/>
      <c r="K204" s="405" t="s">
        <v>1213</v>
      </c>
      <c r="L204" s="406" t="s">
        <v>1205</v>
      </c>
      <c r="M204" s="406">
        <v>44504</v>
      </c>
      <c r="N204" s="406">
        <v>44652</v>
      </c>
      <c r="O204" s="406"/>
      <c r="P204" s="406"/>
      <c r="Q204" s="406"/>
      <c r="R204" s="406"/>
      <c r="S204" s="405" t="s">
        <v>1107</v>
      </c>
      <c r="T204" s="405">
        <v>60</v>
      </c>
      <c r="U204" s="405">
        <v>49201132</v>
      </c>
      <c r="V204" s="405" t="s">
        <v>986</v>
      </c>
      <c r="W204" s="407">
        <v>360</v>
      </c>
      <c r="X204" s="371">
        <v>832</v>
      </c>
      <c r="Y204" s="422">
        <f t="shared" si="43"/>
        <v>299520</v>
      </c>
      <c r="Z204" s="409">
        <v>0.53</v>
      </c>
      <c r="AA204" s="410">
        <f>Z204*Y204</f>
        <v>158745.60000000001</v>
      </c>
      <c r="AB204" s="362"/>
      <c r="AC204" s="412">
        <f>AB204*Y204</f>
        <v>0</v>
      </c>
      <c r="AD204" s="405"/>
      <c r="AE204" s="413"/>
      <c r="AF204" s="424">
        <f t="shared" si="32"/>
        <v>158745.60000000001</v>
      </c>
      <c r="AG204" s="405" t="s">
        <v>1069</v>
      </c>
      <c r="AH204" s="395">
        <v>0</v>
      </c>
      <c r="AI204" s="405">
        <v>60</v>
      </c>
      <c r="AJ204" s="405" t="s">
        <v>1206</v>
      </c>
      <c r="AK204" s="405" t="s">
        <v>1207</v>
      </c>
      <c r="AL204" s="425" t="s">
        <v>1208</v>
      </c>
      <c r="AM204" s="405" t="s">
        <v>52</v>
      </c>
      <c r="AN204" s="405" t="s">
        <v>1071</v>
      </c>
      <c r="AO204" s="405"/>
      <c r="AP204" s="405"/>
      <c r="AQ204" s="405" t="s">
        <v>1083</v>
      </c>
      <c r="AR204" s="405"/>
      <c r="AS204" s="369" t="s">
        <v>1073</v>
      </c>
      <c r="AT204" s="363" t="s">
        <v>1073</v>
      </c>
      <c r="AU204" s="403"/>
      <c r="AV204" s="402"/>
      <c r="AW204" s="402"/>
      <c r="AX204" s="402"/>
      <c r="AY204" s="402"/>
      <c r="AZ204" s="402"/>
      <c r="BA204" s="402"/>
      <c r="BB204" s="402"/>
      <c r="BC204" s="402"/>
    </row>
    <row r="205" spans="1:55">
      <c r="A205" s="377"/>
      <c r="B205" s="376"/>
      <c r="C205" s="376"/>
      <c r="D205" s="405" t="s">
        <v>1066</v>
      </c>
      <c r="E205" s="364"/>
      <c r="F205" s="405"/>
      <c r="G205" s="405">
        <v>2022</v>
      </c>
      <c r="H205" s="405">
        <v>6</v>
      </c>
      <c r="I205" s="416"/>
      <c r="J205" s="406"/>
      <c r="K205" s="405" t="s">
        <v>1217</v>
      </c>
      <c r="L205" s="406" t="s">
        <v>1205</v>
      </c>
      <c r="M205" s="406">
        <v>44504</v>
      </c>
      <c r="N205" s="406">
        <v>44682</v>
      </c>
      <c r="O205" s="406"/>
      <c r="P205" s="406"/>
      <c r="Q205" s="406"/>
      <c r="R205" s="406"/>
      <c r="S205" s="405" t="s">
        <v>1107</v>
      </c>
      <c r="T205" s="405">
        <v>60</v>
      </c>
      <c r="U205" s="405">
        <v>49201132</v>
      </c>
      <c r="V205" s="405" t="s">
        <v>986</v>
      </c>
      <c r="W205" s="407">
        <v>360</v>
      </c>
      <c r="X205" s="371">
        <v>1664</v>
      </c>
      <c r="Y205" s="422">
        <f t="shared" si="43"/>
        <v>599040</v>
      </c>
      <c r="Z205" s="409">
        <v>0.53</v>
      </c>
      <c r="AA205" s="410">
        <f>Z205*Y205</f>
        <v>317491.20000000001</v>
      </c>
      <c r="AB205" s="362"/>
      <c r="AC205" s="412">
        <f>AB205*Y205</f>
        <v>0</v>
      </c>
      <c r="AD205" s="405"/>
      <c r="AE205" s="413"/>
      <c r="AF205" s="424">
        <f t="shared" si="32"/>
        <v>317491.20000000001</v>
      </c>
      <c r="AG205" s="405" t="s">
        <v>1069</v>
      </c>
      <c r="AH205" s="395">
        <v>0</v>
      </c>
      <c r="AI205" s="405">
        <v>60</v>
      </c>
      <c r="AJ205" s="405" t="s">
        <v>1206</v>
      </c>
      <c r="AK205" s="405" t="s">
        <v>1207</v>
      </c>
      <c r="AL205" s="425" t="s">
        <v>1208</v>
      </c>
      <c r="AM205" s="405" t="s">
        <v>52</v>
      </c>
      <c r="AN205" s="405" t="s">
        <v>1071</v>
      </c>
      <c r="AO205" s="405"/>
      <c r="AP205" s="405"/>
      <c r="AQ205" s="405" t="s">
        <v>1083</v>
      </c>
      <c r="AR205" s="405"/>
      <c r="AS205" s="369" t="s">
        <v>1073</v>
      </c>
      <c r="AT205" s="363" t="s">
        <v>1073</v>
      </c>
      <c r="AU205" s="403"/>
      <c r="AV205" s="402"/>
      <c r="AW205" s="402"/>
      <c r="AX205" s="402"/>
      <c r="AY205" s="402"/>
      <c r="AZ205" s="402"/>
      <c r="BA205" s="402"/>
      <c r="BB205" s="402"/>
      <c r="BC205" s="402"/>
    </row>
    <row r="206" spans="1:55">
      <c r="A206" s="377"/>
      <c r="B206" s="376"/>
      <c r="C206" s="376"/>
      <c r="D206" s="405" t="s">
        <v>1066</v>
      </c>
      <c r="E206" s="364" t="s">
        <v>4261</v>
      </c>
      <c r="F206" s="405"/>
      <c r="G206" s="405">
        <v>2022</v>
      </c>
      <c r="H206" s="405">
        <v>7</v>
      </c>
      <c r="I206" s="416"/>
      <c r="J206" s="406"/>
      <c r="K206" s="405" t="s">
        <v>1168</v>
      </c>
      <c r="L206" s="406" t="s">
        <v>1162</v>
      </c>
      <c r="M206" s="406">
        <v>44656</v>
      </c>
      <c r="N206" s="406">
        <v>44747</v>
      </c>
      <c r="O206" s="406"/>
      <c r="P206" s="406"/>
      <c r="Q206" s="406"/>
      <c r="R206" s="406"/>
      <c r="S206" s="405" t="s">
        <v>1067</v>
      </c>
      <c r="T206" s="405">
        <v>72</v>
      </c>
      <c r="U206" s="405"/>
      <c r="V206" s="405" t="s">
        <v>1068</v>
      </c>
      <c r="W206" s="407">
        <v>480</v>
      </c>
      <c r="X206" s="371">
        <v>1914</v>
      </c>
      <c r="Y206" s="422">
        <f t="shared" si="43"/>
        <v>918720</v>
      </c>
      <c r="Z206" s="409">
        <v>0.5</v>
      </c>
      <c r="AA206" s="410">
        <f>Y206*Z206</f>
        <v>459360</v>
      </c>
      <c r="AB206" s="362"/>
      <c r="AC206" s="412">
        <v>0</v>
      </c>
      <c r="AD206" s="405"/>
      <c r="AE206" s="413"/>
      <c r="AF206" s="424">
        <f t="shared" si="32"/>
        <v>459360</v>
      </c>
      <c r="AG206" s="405" t="s">
        <v>1069</v>
      </c>
      <c r="AH206" s="395"/>
      <c r="AI206" s="405">
        <v>60</v>
      </c>
      <c r="AJ206" s="405" t="s">
        <v>1163</v>
      </c>
      <c r="AK206" s="405" t="s">
        <v>1130</v>
      </c>
      <c r="AL206" s="425" t="s">
        <v>1164</v>
      </c>
      <c r="AM206" s="405" t="s">
        <v>52</v>
      </c>
      <c r="AN206" s="405" t="s">
        <v>1102</v>
      </c>
      <c r="AO206" s="405"/>
      <c r="AP206" s="405" t="s">
        <v>1102</v>
      </c>
      <c r="AQ206" s="405" t="s">
        <v>37</v>
      </c>
      <c r="AR206" s="405"/>
      <c r="AS206" s="369"/>
      <c r="AT206" s="363"/>
      <c r="AU206" s="403"/>
      <c r="AV206" s="402"/>
      <c r="AW206" s="402"/>
      <c r="AX206" s="402"/>
      <c r="AY206" s="402"/>
      <c r="AZ206" s="402"/>
      <c r="BA206" s="402"/>
      <c r="BB206" s="402"/>
      <c r="BC206" s="402"/>
    </row>
    <row r="207" spans="1:55">
      <c r="A207" s="377"/>
      <c r="B207" s="376"/>
      <c r="C207" s="376"/>
      <c r="D207" s="405" t="s">
        <v>1066</v>
      </c>
      <c r="E207" s="364" t="s">
        <v>4261</v>
      </c>
      <c r="F207" s="405"/>
      <c r="G207" s="405">
        <v>2022</v>
      </c>
      <c r="H207" s="405">
        <v>8</v>
      </c>
      <c r="I207" s="416"/>
      <c r="J207" s="406"/>
      <c r="K207" s="405" t="s">
        <v>1169</v>
      </c>
      <c r="L207" s="406" t="s">
        <v>1162</v>
      </c>
      <c r="M207" s="406">
        <v>44656</v>
      </c>
      <c r="N207" s="406">
        <v>44774</v>
      </c>
      <c r="O207" s="406"/>
      <c r="P207" s="406"/>
      <c r="Q207" s="406"/>
      <c r="R207" s="406"/>
      <c r="S207" s="405" t="s">
        <v>1067</v>
      </c>
      <c r="T207" s="405">
        <v>72</v>
      </c>
      <c r="U207" s="405"/>
      <c r="V207" s="405" t="s">
        <v>1068</v>
      </c>
      <c r="W207" s="407">
        <v>480</v>
      </c>
      <c r="X207" s="371">
        <v>1914</v>
      </c>
      <c r="Y207" s="422">
        <f t="shared" si="43"/>
        <v>918720</v>
      </c>
      <c r="Z207" s="409">
        <v>0.5</v>
      </c>
      <c r="AA207" s="410">
        <f>Y207*Z207</f>
        <v>459360</v>
      </c>
      <c r="AB207" s="362"/>
      <c r="AC207" s="412">
        <v>0</v>
      </c>
      <c r="AD207" s="405"/>
      <c r="AE207" s="413"/>
      <c r="AF207" s="424">
        <f t="shared" si="32"/>
        <v>459360</v>
      </c>
      <c r="AG207" s="405" t="s">
        <v>1069</v>
      </c>
      <c r="AH207" s="395"/>
      <c r="AI207" s="405">
        <v>60</v>
      </c>
      <c r="AJ207" s="405" t="s">
        <v>1163</v>
      </c>
      <c r="AK207" s="405" t="s">
        <v>1130</v>
      </c>
      <c r="AL207" s="425" t="s">
        <v>1164</v>
      </c>
      <c r="AM207" s="405" t="s">
        <v>52</v>
      </c>
      <c r="AN207" s="405" t="s">
        <v>1102</v>
      </c>
      <c r="AO207" s="405"/>
      <c r="AP207" s="405" t="s">
        <v>1102</v>
      </c>
      <c r="AQ207" s="405" t="s">
        <v>37</v>
      </c>
      <c r="AR207" s="405"/>
      <c r="AS207" s="369"/>
      <c r="AT207" s="363"/>
      <c r="AU207" s="403"/>
      <c r="AV207" s="402">
        <f>U207</f>
        <v>0</v>
      </c>
      <c r="AW207" s="402" cm="1">
        <f t="array" ref="AW207">SUM(MID(0&amp;AV207,LARGE(INDEX(ISNUMBER(--MID(AV207,ROW($1:$8),1))*ROW($1:$8),),ROW($1:$8))+1,1)*10^ROW($1:$8)/10)</f>
        <v>0</v>
      </c>
      <c r="AX207" s="402" t="e">
        <f>VLOOKUP($AW207,'Item Master Data'!$A:$F,3,FALSE)</f>
        <v>#N/A</v>
      </c>
      <c r="AY207" s="402" t="e">
        <f>VLOOKUP($AW207,'Item Master Data'!$A:$F,6,FALSE)</f>
        <v>#N/A</v>
      </c>
      <c r="AZ207" s="402" t="e">
        <f>X207/BA207</f>
        <v>#N/A</v>
      </c>
      <c r="BA207" s="402" t="e">
        <f>VLOOKUP(AW207,'Item Master Data'!$A:$G,7,FALSE)</f>
        <v>#N/A</v>
      </c>
      <c r="BB207" s="402"/>
      <c r="BC207" s="402" t="e">
        <f>W207-AY207</f>
        <v>#N/A</v>
      </c>
    </row>
    <row r="208" spans="1:55">
      <c r="A208" s="377"/>
      <c r="B208" s="376"/>
      <c r="C208" s="376"/>
      <c r="D208" s="405" t="s">
        <v>1066</v>
      </c>
      <c r="E208" s="364" t="s">
        <v>4261</v>
      </c>
      <c r="F208" s="405"/>
      <c r="G208" s="405">
        <v>2022</v>
      </c>
      <c r="H208" s="405">
        <v>9</v>
      </c>
      <c r="I208" s="416"/>
      <c r="J208" s="406"/>
      <c r="K208" s="405" t="s">
        <v>1170</v>
      </c>
      <c r="L208" s="406" t="s">
        <v>1162</v>
      </c>
      <c r="M208" s="406">
        <v>44656</v>
      </c>
      <c r="N208" s="406">
        <v>44805</v>
      </c>
      <c r="O208" s="406"/>
      <c r="P208" s="406"/>
      <c r="Q208" s="406"/>
      <c r="R208" s="406"/>
      <c r="S208" s="405" t="s">
        <v>1067</v>
      </c>
      <c r="T208" s="405">
        <v>72</v>
      </c>
      <c r="U208" s="405"/>
      <c r="V208" s="405" t="s">
        <v>1068</v>
      </c>
      <c r="W208" s="407">
        <v>480</v>
      </c>
      <c r="X208" s="371">
        <v>1914</v>
      </c>
      <c r="Y208" s="422">
        <f t="shared" si="43"/>
        <v>918720</v>
      </c>
      <c r="Z208" s="409">
        <v>0.5</v>
      </c>
      <c r="AA208" s="410">
        <f>Y208*Z208</f>
        <v>459360</v>
      </c>
      <c r="AB208" s="362"/>
      <c r="AC208" s="412">
        <v>0</v>
      </c>
      <c r="AD208" s="405"/>
      <c r="AE208" s="413"/>
      <c r="AF208" s="424">
        <f t="shared" si="32"/>
        <v>459360</v>
      </c>
      <c r="AG208" s="405" t="s">
        <v>1069</v>
      </c>
      <c r="AH208" s="395"/>
      <c r="AI208" s="405">
        <v>60</v>
      </c>
      <c r="AJ208" s="405" t="s">
        <v>1163</v>
      </c>
      <c r="AK208" s="405" t="s">
        <v>1130</v>
      </c>
      <c r="AL208" s="425" t="s">
        <v>1164</v>
      </c>
      <c r="AM208" s="405" t="s">
        <v>52</v>
      </c>
      <c r="AN208" s="405" t="s">
        <v>1102</v>
      </c>
      <c r="AO208" s="405"/>
      <c r="AP208" s="405" t="s">
        <v>1102</v>
      </c>
      <c r="AQ208" s="405" t="s">
        <v>37</v>
      </c>
      <c r="AR208" s="405"/>
      <c r="AS208" s="369"/>
      <c r="AT208" s="363"/>
      <c r="AU208" s="403"/>
      <c r="AV208" s="402"/>
      <c r="AW208" s="402"/>
      <c r="AX208" s="402"/>
      <c r="AY208" s="402"/>
      <c r="AZ208" s="402"/>
      <c r="BA208" s="402"/>
      <c r="BB208" s="402"/>
      <c r="BC208" s="402"/>
    </row>
    <row r="209" spans="1:55">
      <c r="A209" s="377"/>
      <c r="B209" s="376"/>
      <c r="C209" s="376"/>
      <c r="D209" s="405" t="s">
        <v>1066</v>
      </c>
      <c r="E209" s="364" t="s">
        <v>4261</v>
      </c>
      <c r="F209" s="405"/>
      <c r="G209" s="405">
        <v>2022</v>
      </c>
      <c r="H209" s="405">
        <v>10</v>
      </c>
      <c r="I209" s="416"/>
      <c r="J209" s="406"/>
      <c r="K209" s="405" t="s">
        <v>1171</v>
      </c>
      <c r="L209" s="406" t="s">
        <v>1162</v>
      </c>
      <c r="M209" s="406">
        <v>44656</v>
      </c>
      <c r="N209" s="406">
        <v>44835</v>
      </c>
      <c r="O209" s="406"/>
      <c r="P209" s="406"/>
      <c r="Q209" s="406"/>
      <c r="R209" s="406"/>
      <c r="S209" s="405" t="s">
        <v>1067</v>
      </c>
      <c r="T209" s="405">
        <v>72</v>
      </c>
      <c r="U209" s="405"/>
      <c r="V209" s="405" t="s">
        <v>1068</v>
      </c>
      <c r="W209" s="407">
        <v>480</v>
      </c>
      <c r="X209" s="371">
        <v>1914</v>
      </c>
      <c r="Y209" s="422">
        <f t="shared" si="43"/>
        <v>918720</v>
      </c>
      <c r="Z209" s="409">
        <v>0.5</v>
      </c>
      <c r="AA209" s="410">
        <f>Y209*Z209</f>
        <v>459360</v>
      </c>
      <c r="AB209" s="362"/>
      <c r="AC209" s="412">
        <v>0</v>
      </c>
      <c r="AD209" s="405"/>
      <c r="AE209" s="413"/>
      <c r="AF209" s="424">
        <f t="shared" si="32"/>
        <v>459360</v>
      </c>
      <c r="AG209" s="405" t="s">
        <v>1069</v>
      </c>
      <c r="AH209" s="395"/>
      <c r="AI209" s="405">
        <v>60</v>
      </c>
      <c r="AJ209" s="405" t="s">
        <v>1163</v>
      </c>
      <c r="AK209" s="405" t="s">
        <v>1130</v>
      </c>
      <c r="AL209" s="425" t="s">
        <v>1164</v>
      </c>
      <c r="AM209" s="405" t="s">
        <v>52</v>
      </c>
      <c r="AN209" s="405" t="s">
        <v>1102</v>
      </c>
      <c r="AO209" s="405"/>
      <c r="AP209" s="405" t="s">
        <v>1102</v>
      </c>
      <c r="AQ209" s="405" t="s">
        <v>37</v>
      </c>
      <c r="AR209" s="405"/>
      <c r="AS209" s="369"/>
      <c r="AT209" s="363"/>
      <c r="AU209" s="403"/>
      <c r="AV209" s="402"/>
      <c r="AW209" s="402"/>
      <c r="AX209" s="402"/>
      <c r="AY209" s="402"/>
      <c r="AZ209" s="402"/>
      <c r="BA209" s="402"/>
      <c r="BB209" s="402"/>
      <c r="BC209" s="402"/>
    </row>
    <row r="210" spans="1:55">
      <c r="A210" s="377"/>
      <c r="B210" s="376"/>
      <c r="C210" s="376"/>
      <c r="D210" s="405" t="s">
        <v>1066</v>
      </c>
      <c r="E210" s="364"/>
      <c r="F210" s="405"/>
      <c r="G210" s="405">
        <v>2022</v>
      </c>
      <c r="H210" s="405">
        <v>6</v>
      </c>
      <c r="I210" s="416"/>
      <c r="J210" s="406"/>
      <c r="K210" s="405" t="s">
        <v>1244</v>
      </c>
      <c r="L210" s="406" t="s">
        <v>1232</v>
      </c>
      <c r="M210" s="406">
        <v>44497</v>
      </c>
      <c r="N210" s="406">
        <v>44562</v>
      </c>
      <c r="O210" s="406" t="s">
        <v>1236</v>
      </c>
      <c r="P210" s="406"/>
      <c r="Q210" s="406"/>
      <c r="R210" s="406"/>
      <c r="S210" s="405" t="s">
        <v>1107</v>
      </c>
      <c r="T210" s="405">
        <v>60</v>
      </c>
      <c r="U210" s="405">
        <v>49401140</v>
      </c>
      <c r="V210" s="405" t="s">
        <v>973</v>
      </c>
      <c r="W210" s="407">
        <v>400</v>
      </c>
      <c r="X210" s="371">
        <v>1536</v>
      </c>
      <c r="Y210" s="422">
        <f t="shared" si="43"/>
        <v>614400</v>
      </c>
      <c r="Z210" s="409">
        <v>0.55000000000000004</v>
      </c>
      <c r="AA210" s="410">
        <f>Z210*Y210</f>
        <v>337920</v>
      </c>
      <c r="AB210" s="362"/>
      <c r="AC210" s="412">
        <f>AB210*Y210</f>
        <v>0</v>
      </c>
      <c r="AD210" s="405"/>
      <c r="AE210" s="413"/>
      <c r="AF210" s="424">
        <f t="shared" si="32"/>
        <v>337920</v>
      </c>
      <c r="AG210" s="405" t="s">
        <v>1069</v>
      </c>
      <c r="AH210" s="395"/>
      <c r="AI210" s="405">
        <v>60</v>
      </c>
      <c r="AJ210" s="405" t="s">
        <v>1233</v>
      </c>
      <c r="AK210" s="405" t="s">
        <v>1234</v>
      </c>
      <c r="AL210" s="425" t="s">
        <v>1235</v>
      </c>
      <c r="AM210" s="405" t="s">
        <v>52</v>
      </c>
      <c r="AN210" s="405" t="s">
        <v>1071</v>
      </c>
      <c r="AO210" s="405"/>
      <c r="AP210" s="405"/>
      <c r="AQ210" s="405"/>
      <c r="AR210" s="405"/>
      <c r="AS210" s="369"/>
      <c r="AT210" s="363"/>
      <c r="AU210" s="403"/>
      <c r="AV210" s="402"/>
      <c r="AW210" s="402"/>
      <c r="AX210" s="402"/>
      <c r="AY210" s="402"/>
      <c r="AZ210" s="402"/>
      <c r="BA210" s="402"/>
      <c r="BB210" s="402"/>
      <c r="BC210" s="402"/>
    </row>
    <row r="211" spans="1:55">
      <c r="A211" s="377"/>
      <c r="B211" s="376" t="s">
        <v>1186</v>
      </c>
      <c r="C211" s="376" t="s">
        <v>1186</v>
      </c>
      <c r="D211" s="405" t="s">
        <v>1066</v>
      </c>
      <c r="E211" s="364" t="s">
        <v>1239</v>
      </c>
      <c r="F211" s="405"/>
      <c r="G211" s="405">
        <v>2022</v>
      </c>
      <c r="H211" s="405">
        <v>6</v>
      </c>
      <c r="I211" s="416"/>
      <c r="J211" s="406"/>
      <c r="K211" s="405" t="s">
        <v>1247</v>
      </c>
      <c r="L211" s="406" t="s">
        <v>1232</v>
      </c>
      <c r="M211" s="406">
        <v>44517</v>
      </c>
      <c r="N211" s="406">
        <v>44682</v>
      </c>
      <c r="O211" s="406"/>
      <c r="P211" s="406"/>
      <c r="Q211" s="406"/>
      <c r="R211" s="406"/>
      <c r="S211" s="405" t="s">
        <v>1107</v>
      </c>
      <c r="T211" s="405">
        <v>60</v>
      </c>
      <c r="U211" s="405">
        <v>49201132</v>
      </c>
      <c r="V211" s="405" t="s">
        <v>986</v>
      </c>
      <c r="W211" s="407">
        <v>360</v>
      </c>
      <c r="X211" s="371">
        <f>2496-832+832</f>
        <v>2496</v>
      </c>
      <c r="Y211" s="422">
        <f t="shared" si="43"/>
        <v>898560</v>
      </c>
      <c r="Z211" s="409">
        <v>0.53</v>
      </c>
      <c r="AA211" s="410">
        <f>Z211*Y211</f>
        <v>476236.80000000005</v>
      </c>
      <c r="AB211" s="362"/>
      <c r="AC211" s="412">
        <f>AB211*Y211</f>
        <v>0</v>
      </c>
      <c r="AD211" s="405"/>
      <c r="AE211" s="413"/>
      <c r="AF211" s="424">
        <f t="shared" si="32"/>
        <v>476236.80000000005</v>
      </c>
      <c r="AG211" s="405" t="s">
        <v>1069</v>
      </c>
      <c r="AH211" s="395"/>
      <c r="AI211" s="405">
        <v>60</v>
      </c>
      <c r="AJ211" s="405" t="s">
        <v>1233</v>
      </c>
      <c r="AK211" s="405" t="s">
        <v>1234</v>
      </c>
      <c r="AL211" s="425" t="s">
        <v>1235</v>
      </c>
      <c r="AM211" s="405" t="s">
        <v>52</v>
      </c>
      <c r="AN211" s="405" t="s">
        <v>1071</v>
      </c>
      <c r="AO211" s="405"/>
      <c r="AP211" s="405"/>
      <c r="AQ211" s="405"/>
      <c r="AR211" s="405" t="s">
        <v>1188</v>
      </c>
      <c r="AS211" s="369"/>
      <c r="AT211" s="363"/>
      <c r="AU211" s="403"/>
      <c r="AV211" s="402"/>
      <c r="AW211" s="402"/>
      <c r="AX211" s="402"/>
      <c r="AY211" s="402"/>
      <c r="AZ211" s="402"/>
      <c r="BA211" s="402"/>
      <c r="BB211" s="402"/>
      <c r="BC211" s="402"/>
    </row>
    <row r="212" spans="1:55">
      <c r="A212" s="377"/>
      <c r="B212" s="376" t="s">
        <v>1186</v>
      </c>
      <c r="C212" s="376" t="s">
        <v>1186</v>
      </c>
      <c r="D212" s="405" t="s">
        <v>1066</v>
      </c>
      <c r="E212" s="364"/>
      <c r="F212" s="405"/>
      <c r="G212" s="405">
        <v>2022</v>
      </c>
      <c r="H212" s="405">
        <v>6</v>
      </c>
      <c r="I212" s="416"/>
      <c r="J212" s="406"/>
      <c r="K212" s="405" t="s">
        <v>1245</v>
      </c>
      <c r="L212" s="406" t="s">
        <v>1232</v>
      </c>
      <c r="M212" s="406">
        <v>44517</v>
      </c>
      <c r="N212" s="406">
        <v>44593</v>
      </c>
      <c r="O212" s="406"/>
      <c r="P212" s="406" t="s">
        <v>4453</v>
      </c>
      <c r="Q212" s="406"/>
      <c r="R212" s="406"/>
      <c r="S212" s="405" t="s">
        <v>1107</v>
      </c>
      <c r="T212" s="405">
        <v>60</v>
      </c>
      <c r="U212" s="405">
        <v>49401140</v>
      </c>
      <c r="V212" s="405" t="s">
        <v>973</v>
      </c>
      <c r="W212" s="407">
        <v>400</v>
      </c>
      <c r="X212" s="371">
        <v>768</v>
      </c>
      <c r="Y212" s="422">
        <f t="shared" si="43"/>
        <v>307200</v>
      </c>
      <c r="Z212" s="409">
        <v>0.46500000000000002</v>
      </c>
      <c r="AA212" s="410">
        <f>Z212*Y212</f>
        <v>142848</v>
      </c>
      <c r="AB212" s="362"/>
      <c r="AC212" s="412">
        <f>AB212*Y212</f>
        <v>0</v>
      </c>
      <c r="AD212" s="405"/>
      <c r="AE212" s="413"/>
      <c r="AF212" s="424">
        <f t="shared" si="32"/>
        <v>142848</v>
      </c>
      <c r="AG212" s="405" t="s">
        <v>1069</v>
      </c>
      <c r="AH212" s="395"/>
      <c r="AI212" s="405">
        <v>60</v>
      </c>
      <c r="AJ212" s="405" t="s">
        <v>1233</v>
      </c>
      <c r="AK212" s="405" t="s">
        <v>1234</v>
      </c>
      <c r="AL212" s="425" t="s">
        <v>1235</v>
      </c>
      <c r="AM212" s="405" t="s">
        <v>52</v>
      </c>
      <c r="AN212" s="405" t="s">
        <v>1071</v>
      </c>
      <c r="AO212" s="405"/>
      <c r="AP212" s="405"/>
      <c r="AQ212" s="405"/>
      <c r="AR212" s="405" t="s">
        <v>1243</v>
      </c>
      <c r="AS212" s="369"/>
      <c r="AT212" s="363"/>
      <c r="AU212" s="403">
        <v>0.46500000000000002</v>
      </c>
      <c r="AV212" s="402">
        <f>U212</f>
        <v>49401140</v>
      </c>
      <c r="AW212" s="402" cm="1">
        <f t="array" ref="AW212">SUM(MID(0&amp;AV212,LARGE(INDEX(ISNUMBER(--MID(AV212,ROW($1:$8),1))*ROW($1:$8),),ROW($1:$8))+1,1)*10^ROW($1:$8)/10)</f>
        <v>49401140</v>
      </c>
      <c r="AX212" s="402" t="str">
        <f>VLOOKUP($AW212,'Item Master Data'!$A:$F,3,FALSE)</f>
        <v>Q.PEAK DUO BLK ML G10.a+</v>
      </c>
      <c r="AY212" s="402">
        <f>VLOOKUP($AW212,'Item Master Data'!$A:$F,6,FALSE)</f>
        <v>400</v>
      </c>
      <c r="AZ212" s="402">
        <f>X212/BA212</f>
        <v>24</v>
      </c>
      <c r="BA212" s="402">
        <f>VLOOKUP(AW212,'Item Master Data'!$A:$G,7,FALSE)</f>
        <v>32</v>
      </c>
      <c r="BB212" s="402"/>
      <c r="BC212" s="402">
        <f>W212-AY212</f>
        <v>0</v>
      </c>
    </row>
    <row r="213" spans="1:55">
      <c r="A213" s="377"/>
      <c r="B213" s="376"/>
      <c r="C213" s="376"/>
      <c r="D213" s="405" t="s">
        <v>1066</v>
      </c>
      <c r="E213" s="364" t="s">
        <v>4261</v>
      </c>
      <c r="F213" s="405"/>
      <c r="G213" s="405">
        <v>2022</v>
      </c>
      <c r="H213" s="405">
        <v>11</v>
      </c>
      <c r="I213" s="416"/>
      <c r="J213" s="406"/>
      <c r="K213" s="405" t="s">
        <v>1172</v>
      </c>
      <c r="L213" s="406" t="s">
        <v>1162</v>
      </c>
      <c r="M213" s="406">
        <v>44656</v>
      </c>
      <c r="N213" s="406">
        <v>44866</v>
      </c>
      <c r="O213" s="406"/>
      <c r="P213" s="406"/>
      <c r="Q213" s="406"/>
      <c r="R213" s="406"/>
      <c r="S213" s="405" t="s">
        <v>1067</v>
      </c>
      <c r="T213" s="405">
        <v>72</v>
      </c>
      <c r="U213" s="405"/>
      <c r="V213" s="405" t="s">
        <v>1068</v>
      </c>
      <c r="W213" s="407">
        <v>480</v>
      </c>
      <c r="X213" s="371">
        <v>1276</v>
      </c>
      <c r="Y213" s="422">
        <f t="shared" si="43"/>
        <v>612480</v>
      </c>
      <c r="Z213" s="409">
        <v>0.5</v>
      </c>
      <c r="AA213" s="410">
        <f>Y213*Z213</f>
        <v>306240</v>
      </c>
      <c r="AB213" s="362"/>
      <c r="AC213" s="412">
        <v>0</v>
      </c>
      <c r="AD213" s="405"/>
      <c r="AE213" s="413"/>
      <c r="AF213" s="424">
        <f t="shared" si="32"/>
        <v>306240</v>
      </c>
      <c r="AG213" s="405" t="s">
        <v>1069</v>
      </c>
      <c r="AH213" s="395"/>
      <c r="AI213" s="405">
        <v>60</v>
      </c>
      <c r="AJ213" s="405" t="s">
        <v>1163</v>
      </c>
      <c r="AK213" s="405" t="s">
        <v>1130</v>
      </c>
      <c r="AL213" s="425" t="s">
        <v>1164</v>
      </c>
      <c r="AM213" s="405" t="s">
        <v>52</v>
      </c>
      <c r="AN213" s="405" t="s">
        <v>1102</v>
      </c>
      <c r="AO213" s="405"/>
      <c r="AP213" s="405" t="s">
        <v>1102</v>
      </c>
      <c r="AQ213" s="405" t="s">
        <v>37</v>
      </c>
      <c r="AR213" s="405"/>
      <c r="AS213" s="369"/>
      <c r="AT213" s="363"/>
      <c r="AU213" s="403"/>
      <c r="AV213" s="402">
        <f>U213</f>
        <v>0</v>
      </c>
      <c r="AW213" s="402" cm="1">
        <f t="array" ref="AW213">SUM(MID(0&amp;AV213,LARGE(INDEX(ISNUMBER(--MID(AV213,ROW($1:$8),1))*ROW($1:$8),),ROW($1:$8))+1,1)*10^ROW($1:$8)/10)</f>
        <v>0</v>
      </c>
      <c r="AX213" s="402" t="e">
        <f>VLOOKUP($AW213,'Item Master Data'!$A:$F,3,FALSE)</f>
        <v>#N/A</v>
      </c>
      <c r="AY213" s="402" t="e">
        <f>VLOOKUP($AW213,'Item Master Data'!$A:$F,6,FALSE)</f>
        <v>#N/A</v>
      </c>
      <c r="AZ213" s="402" t="e">
        <f>X213/BA213</f>
        <v>#N/A</v>
      </c>
      <c r="BA213" s="402" t="e">
        <f>VLOOKUP(AW213,'Item Master Data'!$A:$G,7,FALSE)</f>
        <v>#N/A</v>
      </c>
      <c r="BB213" s="402"/>
      <c r="BC213" s="402" t="e">
        <f>W213-AY213</f>
        <v>#N/A</v>
      </c>
    </row>
    <row r="214" spans="1:55">
      <c r="A214" s="377"/>
      <c r="B214" s="376"/>
      <c r="C214" s="376"/>
      <c r="D214" s="405" t="s">
        <v>1066</v>
      </c>
      <c r="E214" s="364" t="s">
        <v>4261</v>
      </c>
      <c r="F214" s="405"/>
      <c r="G214" s="405">
        <v>2022</v>
      </c>
      <c r="H214" s="405">
        <v>12</v>
      </c>
      <c r="I214" s="416"/>
      <c r="J214" s="406"/>
      <c r="K214" s="405" t="s">
        <v>1173</v>
      </c>
      <c r="L214" s="406" t="s">
        <v>1162</v>
      </c>
      <c r="M214" s="406">
        <v>44656</v>
      </c>
      <c r="N214" s="406">
        <v>44896</v>
      </c>
      <c r="O214" s="406"/>
      <c r="P214" s="406"/>
      <c r="Q214" s="406"/>
      <c r="R214" s="406"/>
      <c r="S214" s="405" t="s">
        <v>1067</v>
      </c>
      <c r="T214" s="405">
        <v>72</v>
      </c>
      <c r="U214" s="405"/>
      <c r="V214" s="405" t="s">
        <v>1068</v>
      </c>
      <c r="W214" s="407">
        <v>480</v>
      </c>
      <c r="X214" s="371">
        <v>1276</v>
      </c>
      <c r="Y214" s="422">
        <f t="shared" si="43"/>
        <v>612480</v>
      </c>
      <c r="Z214" s="409">
        <v>0.5</v>
      </c>
      <c r="AA214" s="410">
        <f>Y214*Z214</f>
        <v>306240</v>
      </c>
      <c r="AB214" s="362"/>
      <c r="AC214" s="412">
        <v>0</v>
      </c>
      <c r="AD214" s="405"/>
      <c r="AE214" s="413"/>
      <c r="AF214" s="424">
        <f t="shared" si="32"/>
        <v>306240</v>
      </c>
      <c r="AG214" s="405" t="s">
        <v>1069</v>
      </c>
      <c r="AH214" s="395"/>
      <c r="AI214" s="405">
        <v>60</v>
      </c>
      <c r="AJ214" s="405" t="s">
        <v>1163</v>
      </c>
      <c r="AK214" s="405" t="s">
        <v>1130</v>
      </c>
      <c r="AL214" s="425" t="s">
        <v>1164</v>
      </c>
      <c r="AM214" s="405" t="s">
        <v>52</v>
      </c>
      <c r="AN214" s="405" t="s">
        <v>1102</v>
      </c>
      <c r="AO214" s="405"/>
      <c r="AP214" s="405" t="s">
        <v>1102</v>
      </c>
      <c r="AQ214" s="405" t="s">
        <v>37</v>
      </c>
      <c r="AR214" s="405"/>
      <c r="AS214" s="369"/>
      <c r="AT214" s="363"/>
      <c r="AU214" s="403"/>
      <c r="AV214" s="402"/>
      <c r="AW214" s="402"/>
      <c r="AX214" s="402"/>
      <c r="AY214" s="402"/>
      <c r="AZ214" s="402"/>
      <c r="BA214" s="402"/>
      <c r="BB214" s="402"/>
      <c r="BC214" s="402"/>
    </row>
    <row r="215" spans="1:55">
      <c r="A215" s="377"/>
      <c r="B215" s="376" t="s">
        <v>1186</v>
      </c>
      <c r="C215" s="376" t="s">
        <v>1186</v>
      </c>
      <c r="D215" s="405" t="s">
        <v>1066</v>
      </c>
      <c r="E215" s="364" t="s">
        <v>4854</v>
      </c>
      <c r="F215" s="405" t="s">
        <v>87</v>
      </c>
      <c r="G215" s="405">
        <v>2022</v>
      </c>
      <c r="H215" s="405">
        <v>6</v>
      </c>
      <c r="I215" s="416"/>
      <c r="J215" s="406"/>
      <c r="K215" s="405" t="s">
        <v>4407</v>
      </c>
      <c r="L215" s="406" t="s">
        <v>2512</v>
      </c>
      <c r="M215" s="406">
        <v>44666</v>
      </c>
      <c r="N215" s="406">
        <v>44682</v>
      </c>
      <c r="O215" s="406"/>
      <c r="P215" s="406"/>
      <c r="Q215" s="406"/>
      <c r="R215" s="406"/>
      <c r="S215" s="405" t="s">
        <v>4116</v>
      </c>
      <c r="T215" s="405">
        <v>72</v>
      </c>
      <c r="U215" s="405"/>
      <c r="V215" s="405" t="s">
        <v>1068</v>
      </c>
      <c r="W215" s="407">
        <v>480</v>
      </c>
      <c r="X215" s="371">
        <v>638</v>
      </c>
      <c r="Y215" s="422">
        <f>X215*W215</f>
        <v>306240</v>
      </c>
      <c r="Z215" s="409">
        <v>0.55000000000000004</v>
      </c>
      <c r="AA215" s="410">
        <f>Z215*Y215</f>
        <v>168432</v>
      </c>
      <c r="AB215" s="362"/>
      <c r="AC215" s="412">
        <f>AB215*Y215</f>
        <v>0</v>
      </c>
      <c r="AD215" s="405"/>
      <c r="AE215" s="413"/>
      <c r="AF215" s="424">
        <f t="shared" si="32"/>
        <v>168432</v>
      </c>
      <c r="AG215" s="405" t="s">
        <v>1069</v>
      </c>
      <c r="AH215" s="395">
        <v>0</v>
      </c>
      <c r="AI215" s="405">
        <v>60</v>
      </c>
      <c r="AJ215" s="405" t="s">
        <v>1233</v>
      </c>
      <c r="AK215" s="405" t="s">
        <v>1955</v>
      </c>
      <c r="AL215" s="425">
        <v>66105</v>
      </c>
      <c r="AM215" s="405" t="s">
        <v>52</v>
      </c>
      <c r="AN215" s="405" t="s">
        <v>1071</v>
      </c>
      <c r="AO215" s="405"/>
      <c r="AP215" s="405"/>
      <c r="AQ215" s="405" t="s">
        <v>1083</v>
      </c>
      <c r="AR215" s="405" t="s">
        <v>1188</v>
      </c>
      <c r="AS215" s="369" t="s">
        <v>1084</v>
      </c>
      <c r="AT215" s="363" t="s">
        <v>1073</v>
      </c>
      <c r="AU215" s="403"/>
      <c r="AV215" s="402"/>
      <c r="AW215" s="402"/>
      <c r="AX215" s="402"/>
      <c r="AY215" s="402"/>
      <c r="AZ215" s="402"/>
      <c r="BA215" s="402"/>
      <c r="BB215" s="402"/>
      <c r="BC215" s="402"/>
    </row>
    <row r="216" spans="1:55">
      <c r="A216" s="377"/>
      <c r="B216" s="376" t="s">
        <v>1186</v>
      </c>
      <c r="C216" s="376" t="s">
        <v>1186</v>
      </c>
      <c r="D216" s="405" t="s">
        <v>1066</v>
      </c>
      <c r="E216" s="364" t="s">
        <v>4854</v>
      </c>
      <c r="F216" s="405" t="s">
        <v>87</v>
      </c>
      <c r="G216" s="405">
        <v>2022</v>
      </c>
      <c r="H216" s="405">
        <v>6</v>
      </c>
      <c r="I216" s="416"/>
      <c r="J216" s="406"/>
      <c r="K216" s="405" t="s">
        <v>4408</v>
      </c>
      <c r="L216" s="406" t="s">
        <v>2512</v>
      </c>
      <c r="M216" s="406">
        <v>44666</v>
      </c>
      <c r="N216" s="406">
        <v>44682</v>
      </c>
      <c r="O216" s="406"/>
      <c r="P216" s="406"/>
      <c r="Q216" s="406"/>
      <c r="R216" s="406"/>
      <c r="S216" s="405" t="s">
        <v>4116</v>
      </c>
      <c r="T216" s="405">
        <v>72</v>
      </c>
      <c r="U216" s="405"/>
      <c r="V216" s="405" t="s">
        <v>1068</v>
      </c>
      <c r="W216" s="407">
        <v>480</v>
      </c>
      <c r="X216" s="371">
        <f>5220-638</f>
        <v>4582</v>
      </c>
      <c r="Y216" s="422">
        <f>X216*W216</f>
        <v>2199360</v>
      </c>
      <c r="Z216" s="409">
        <v>0.55000000000000004</v>
      </c>
      <c r="AA216" s="410">
        <f>Z216*Y216</f>
        <v>1209648</v>
      </c>
      <c r="AB216" s="362"/>
      <c r="AC216" s="412">
        <f>AB216*Y216</f>
        <v>0</v>
      </c>
      <c r="AD216" s="405"/>
      <c r="AE216" s="413"/>
      <c r="AF216" s="424">
        <f t="shared" si="32"/>
        <v>1209648</v>
      </c>
      <c r="AG216" s="405" t="s">
        <v>1069</v>
      </c>
      <c r="AH216" s="395">
        <v>0</v>
      </c>
      <c r="AI216" s="405">
        <v>60</v>
      </c>
      <c r="AJ216" s="405" t="s">
        <v>1233</v>
      </c>
      <c r="AK216" s="405" t="s">
        <v>1955</v>
      </c>
      <c r="AL216" s="425">
        <v>66105</v>
      </c>
      <c r="AM216" s="405" t="s">
        <v>52</v>
      </c>
      <c r="AN216" s="405" t="s">
        <v>1071</v>
      </c>
      <c r="AO216" s="405"/>
      <c r="AP216" s="405"/>
      <c r="AQ216" s="405" t="s">
        <v>1083</v>
      </c>
      <c r="AR216" s="405" t="s">
        <v>1188</v>
      </c>
      <c r="AS216" s="369" t="s">
        <v>1084</v>
      </c>
      <c r="AT216" s="363" t="s">
        <v>1073</v>
      </c>
      <c r="AU216" s="403"/>
      <c r="AV216" s="402">
        <f t="shared" ref="AV216:AV238" si="44">U216</f>
        <v>0</v>
      </c>
      <c r="AW216" s="402" cm="1">
        <f t="array" ref="AW216">SUM(MID(0&amp;AV216,LARGE(INDEX(ISNUMBER(--MID(AV216,ROW($1:$8),1))*ROW($1:$8),),ROW($1:$8))+1,1)*10^ROW($1:$8)/10)</f>
        <v>0</v>
      </c>
      <c r="AX216" s="402" t="e">
        <f>VLOOKUP($AW216,'Item Master Data'!$A:$F,3,FALSE)</f>
        <v>#N/A</v>
      </c>
      <c r="AY216" s="402" t="e">
        <f>VLOOKUP($AW216,'Item Master Data'!$A:$F,6,FALSE)</f>
        <v>#N/A</v>
      </c>
      <c r="AZ216" s="402" t="e">
        <f t="shared" ref="AZ216:AZ238" si="45">X216/BA216</f>
        <v>#N/A</v>
      </c>
      <c r="BA216" s="402" t="e">
        <f>VLOOKUP(AW216,'Item Master Data'!$A:$G,7,FALSE)</f>
        <v>#N/A</v>
      </c>
      <c r="BB216" s="402"/>
      <c r="BC216" s="402" t="e">
        <f t="shared" ref="BC216:BC238" si="46">W216-AY216</f>
        <v>#N/A</v>
      </c>
    </row>
    <row r="217" spans="1:55">
      <c r="A217" s="377"/>
      <c r="B217" s="376"/>
      <c r="C217" s="376"/>
      <c r="D217" s="405" t="s">
        <v>1066</v>
      </c>
      <c r="E217" s="364" t="s">
        <v>4927</v>
      </c>
      <c r="F217" s="405"/>
      <c r="G217" s="405">
        <v>2022</v>
      </c>
      <c r="H217" s="405">
        <v>6</v>
      </c>
      <c r="I217" s="416"/>
      <c r="J217" s="406"/>
      <c r="K217" s="405" t="s">
        <v>4817</v>
      </c>
      <c r="L217" s="406" t="s">
        <v>1189</v>
      </c>
      <c r="M217" s="406">
        <v>44573</v>
      </c>
      <c r="N217" s="406">
        <v>44699</v>
      </c>
      <c r="O217" s="406"/>
      <c r="P217" s="406"/>
      <c r="Q217" s="406"/>
      <c r="R217" s="406"/>
      <c r="S217" s="405" t="s">
        <v>1107</v>
      </c>
      <c r="T217" s="405">
        <v>72</v>
      </c>
      <c r="U217" s="405" t="s">
        <v>1193</v>
      </c>
      <c r="V217" s="405" t="s">
        <v>1194</v>
      </c>
      <c r="W217" s="407">
        <v>480</v>
      </c>
      <c r="X217" s="371">
        <v>580</v>
      </c>
      <c r="Y217" s="422">
        <f t="shared" ref="Y217:Y259" si="47">W217*X217</f>
        <v>278400</v>
      </c>
      <c r="Z217" s="409">
        <v>0.48</v>
      </c>
      <c r="AA217" s="410">
        <f>Z217*Y217</f>
        <v>133632</v>
      </c>
      <c r="AB217" s="362"/>
      <c r="AC217" s="412">
        <f>AB217*Y217</f>
        <v>0</v>
      </c>
      <c r="AD217" s="405"/>
      <c r="AE217" s="413"/>
      <c r="AF217" s="424">
        <f t="shared" si="32"/>
        <v>133632</v>
      </c>
      <c r="AG217" s="405" t="s">
        <v>1069</v>
      </c>
      <c r="AH217" s="395">
        <v>0</v>
      </c>
      <c r="AI217" s="405">
        <v>60</v>
      </c>
      <c r="AJ217" s="405" t="s">
        <v>1190</v>
      </c>
      <c r="AK217" s="405" t="s">
        <v>1191</v>
      </c>
      <c r="AL217" s="425">
        <v>43125</v>
      </c>
      <c r="AM217" s="405" t="s">
        <v>52</v>
      </c>
      <c r="AN217" s="405" t="s">
        <v>1071</v>
      </c>
      <c r="AO217" s="405"/>
      <c r="AP217" s="405"/>
      <c r="AQ217" s="405" t="s">
        <v>1083</v>
      </c>
      <c r="AR217" s="405"/>
      <c r="AS217" s="369" t="s">
        <v>1084</v>
      </c>
      <c r="AT217" s="363" t="s">
        <v>1073</v>
      </c>
      <c r="AU217" s="403"/>
      <c r="AV217" s="402" t="str">
        <f t="shared" si="44"/>
        <v>30397872C</v>
      </c>
      <c r="AW217" s="402" cm="1">
        <f t="array" ref="AW217">SUM(MID(0&amp;AV217,LARGE(INDEX(ISNUMBER(--MID(AV217,ROW($1:$8),1))*ROW($1:$8),),ROW($1:$8))+1,1)*10^ROW($1:$8)/10)</f>
        <v>30397872</v>
      </c>
      <c r="AX217" s="402" t="str">
        <f>VLOOKUP($AW217,'Item Master Data'!$A:$F,3,FALSE)</f>
        <v>Q.PEAK DUO XL G10 BFG</v>
      </c>
      <c r="AY217" s="402">
        <f>VLOOKUP($AW217,'Item Master Data'!$A:$F,6,FALSE)</f>
        <v>480</v>
      </c>
      <c r="AZ217" s="402">
        <f t="shared" si="45"/>
        <v>20</v>
      </c>
      <c r="BA217" s="402">
        <f>VLOOKUP(AW217,'Item Master Data'!$A:$G,7,FALSE)</f>
        <v>29</v>
      </c>
      <c r="BB217" s="402"/>
      <c r="BC217" s="402">
        <f t="shared" si="46"/>
        <v>0</v>
      </c>
    </row>
    <row r="218" spans="1:55">
      <c r="A218" s="377"/>
      <c r="B218" s="376"/>
      <c r="C218" s="376"/>
      <c r="D218" s="405" t="s">
        <v>1066</v>
      </c>
      <c r="E218" s="364" t="s">
        <v>4927</v>
      </c>
      <c r="F218" s="405" t="s">
        <v>87</v>
      </c>
      <c r="G218" s="405">
        <v>2022</v>
      </c>
      <c r="H218" s="405">
        <v>6</v>
      </c>
      <c r="I218" s="416"/>
      <c r="J218" s="406"/>
      <c r="K218" s="405" t="s">
        <v>1198</v>
      </c>
      <c r="L218" s="406" t="s">
        <v>1195</v>
      </c>
      <c r="M218" s="406">
        <v>44575</v>
      </c>
      <c r="N218" s="406">
        <v>44676</v>
      </c>
      <c r="O218" s="406"/>
      <c r="P218" s="406"/>
      <c r="Q218" s="406"/>
      <c r="R218" s="406"/>
      <c r="S218" s="405" t="s">
        <v>1067</v>
      </c>
      <c r="T218" s="405">
        <v>72</v>
      </c>
      <c r="U218" s="405" t="s">
        <v>1102</v>
      </c>
      <c r="V218" s="405" t="s">
        <v>1068</v>
      </c>
      <c r="W218" s="407">
        <v>480</v>
      </c>
      <c r="X218" s="371">
        <v>1200</v>
      </c>
      <c r="Y218" s="422">
        <f t="shared" si="47"/>
        <v>576000</v>
      </c>
      <c r="Z218" s="409">
        <v>0.47</v>
      </c>
      <c r="AA218" s="410">
        <f>Y218*Z218</f>
        <v>270720</v>
      </c>
      <c r="AB218" s="362"/>
      <c r="AC218" s="412">
        <v>0</v>
      </c>
      <c r="AD218" s="405"/>
      <c r="AE218" s="413"/>
      <c r="AF218" s="424">
        <f t="shared" si="32"/>
        <v>270720</v>
      </c>
      <c r="AG218" s="405" t="s">
        <v>1069</v>
      </c>
      <c r="AH218" s="395"/>
      <c r="AI218" s="405">
        <v>60</v>
      </c>
      <c r="AJ218" s="405" t="s">
        <v>1197</v>
      </c>
      <c r="AK218" s="405" t="s">
        <v>1176</v>
      </c>
      <c r="AL218" s="425">
        <v>6492</v>
      </c>
      <c r="AM218" s="405" t="s">
        <v>52</v>
      </c>
      <c r="AN218" s="405" t="s">
        <v>1082</v>
      </c>
      <c r="AO218" s="405"/>
      <c r="AP218" s="405" t="s">
        <v>92</v>
      </c>
      <c r="AQ218" s="405" t="s">
        <v>37</v>
      </c>
      <c r="AR218" s="405"/>
      <c r="AS218" s="369"/>
      <c r="AT218" s="363"/>
      <c r="AU218" s="403"/>
      <c r="AV218" s="402" t="str">
        <f t="shared" si="44"/>
        <v>TBD</v>
      </c>
      <c r="AW218" s="402" cm="1">
        <f t="array" ref="AW218">SUM(MID(0&amp;AV218,LARGE(INDEX(ISNUMBER(--MID(AV218,ROW($1:$8),1))*ROW($1:$8),),ROW($1:$8))+1,1)*10^ROW($1:$8)/10)</f>
        <v>0</v>
      </c>
      <c r="AX218" s="402" t="e">
        <f>VLOOKUP($AW218,'Item Master Data'!$A:$F,3,FALSE)</f>
        <v>#N/A</v>
      </c>
      <c r="AY218" s="402" t="e">
        <f>VLOOKUP($AW218,'Item Master Data'!$A:$F,6,FALSE)</f>
        <v>#N/A</v>
      </c>
      <c r="AZ218" s="402" t="e">
        <f t="shared" si="45"/>
        <v>#N/A</v>
      </c>
      <c r="BA218" s="402" t="e">
        <f>VLOOKUP(AW218,'Item Master Data'!$A:$G,7,FALSE)</f>
        <v>#N/A</v>
      </c>
      <c r="BB218" s="402"/>
      <c r="BC218" s="402" t="e">
        <f t="shared" si="46"/>
        <v>#N/A</v>
      </c>
    </row>
    <row r="219" spans="1:55">
      <c r="A219" s="377"/>
      <c r="B219" s="376"/>
      <c r="C219" s="376"/>
      <c r="D219" s="405" t="s">
        <v>1066</v>
      </c>
      <c r="E219" s="364" t="s">
        <v>4927</v>
      </c>
      <c r="F219" s="405" t="s">
        <v>87</v>
      </c>
      <c r="G219" s="405">
        <v>2022</v>
      </c>
      <c r="H219" s="405">
        <v>6</v>
      </c>
      <c r="I219" s="416"/>
      <c r="J219" s="406"/>
      <c r="K219" s="405" t="s">
        <v>1198</v>
      </c>
      <c r="L219" s="406" t="s">
        <v>1195</v>
      </c>
      <c r="M219" s="406">
        <v>44575</v>
      </c>
      <c r="N219" s="406">
        <v>44690</v>
      </c>
      <c r="O219" s="406"/>
      <c r="P219" s="406"/>
      <c r="Q219" s="406"/>
      <c r="R219" s="406"/>
      <c r="S219" s="405" t="s">
        <v>1067</v>
      </c>
      <c r="T219" s="405">
        <v>72</v>
      </c>
      <c r="U219" s="405" t="s">
        <v>1102</v>
      </c>
      <c r="V219" s="405" t="s">
        <v>1068</v>
      </c>
      <c r="W219" s="407">
        <v>480</v>
      </c>
      <c r="X219" s="371">
        <v>1276</v>
      </c>
      <c r="Y219" s="422">
        <f t="shared" si="47"/>
        <v>612480</v>
      </c>
      <c r="Z219" s="409">
        <v>0.47</v>
      </c>
      <c r="AA219" s="410">
        <f>Y219*Z219</f>
        <v>287865.59999999998</v>
      </c>
      <c r="AB219" s="362"/>
      <c r="AC219" s="412">
        <v>0</v>
      </c>
      <c r="AD219" s="405"/>
      <c r="AE219" s="413"/>
      <c r="AF219" s="424">
        <f t="shared" si="32"/>
        <v>287865.59999999998</v>
      </c>
      <c r="AG219" s="405" t="s">
        <v>1069</v>
      </c>
      <c r="AH219" s="395"/>
      <c r="AI219" s="405">
        <v>60</v>
      </c>
      <c r="AJ219" s="405" t="s">
        <v>1197</v>
      </c>
      <c r="AK219" s="405" t="s">
        <v>1176</v>
      </c>
      <c r="AL219" s="425">
        <v>6492</v>
      </c>
      <c r="AM219" s="405" t="s">
        <v>52</v>
      </c>
      <c r="AN219" s="405" t="s">
        <v>1082</v>
      </c>
      <c r="AO219" s="405"/>
      <c r="AP219" s="405" t="s">
        <v>92</v>
      </c>
      <c r="AQ219" s="405" t="s">
        <v>37</v>
      </c>
      <c r="AR219" s="405"/>
      <c r="AS219" s="369"/>
      <c r="AT219" s="363"/>
      <c r="AU219" s="403"/>
      <c r="AV219" s="402" t="str">
        <f t="shared" si="44"/>
        <v>TBD</v>
      </c>
      <c r="AW219" s="402" cm="1">
        <f t="array" ref="AW219">SUM(MID(0&amp;AV219,LARGE(INDEX(ISNUMBER(--MID(AV219,ROW($1:$8),1))*ROW($1:$8),),ROW($1:$8))+1,1)*10^ROW($1:$8)/10)</f>
        <v>0</v>
      </c>
      <c r="AX219" s="402" t="e">
        <f>VLOOKUP($AW219,'Item Master Data'!$A:$F,3,FALSE)</f>
        <v>#N/A</v>
      </c>
      <c r="AY219" s="402" t="e">
        <f>VLOOKUP($AW219,'Item Master Data'!$A:$F,6,FALSE)</f>
        <v>#N/A</v>
      </c>
      <c r="AZ219" s="402" t="e">
        <f t="shared" si="45"/>
        <v>#N/A</v>
      </c>
      <c r="BA219" s="402" t="e">
        <f>VLOOKUP(AW219,'Item Master Data'!$A:$G,7,FALSE)</f>
        <v>#N/A</v>
      </c>
      <c r="BB219" s="402"/>
      <c r="BC219" s="402" t="e">
        <f t="shared" si="46"/>
        <v>#N/A</v>
      </c>
    </row>
    <row r="220" spans="1:55">
      <c r="A220" s="377"/>
      <c r="B220" s="376"/>
      <c r="C220" s="376"/>
      <c r="D220" s="405" t="s">
        <v>1066</v>
      </c>
      <c r="E220" s="364"/>
      <c r="F220" s="405"/>
      <c r="G220" s="405">
        <v>2022</v>
      </c>
      <c r="H220" s="405">
        <v>6</v>
      </c>
      <c r="I220" s="416" t="s">
        <v>1082</v>
      </c>
      <c r="J220" s="406"/>
      <c r="K220" s="405" t="s">
        <v>1277</v>
      </c>
      <c r="L220" s="406" t="s">
        <v>1266</v>
      </c>
      <c r="M220" s="406">
        <v>44496</v>
      </c>
      <c r="N220" s="406">
        <v>44695</v>
      </c>
      <c r="O220" s="406"/>
      <c r="P220" s="406"/>
      <c r="Q220" s="406"/>
      <c r="R220" s="406"/>
      <c r="S220" s="405" t="s">
        <v>1107</v>
      </c>
      <c r="T220" s="405">
        <v>60</v>
      </c>
      <c r="U220" s="405" t="s">
        <v>1102</v>
      </c>
      <c r="V220" s="405" t="s">
        <v>986</v>
      </c>
      <c r="W220" s="407">
        <v>360</v>
      </c>
      <c r="X220" s="371">
        <v>3328</v>
      </c>
      <c r="Y220" s="422">
        <f t="shared" si="47"/>
        <v>1198080</v>
      </c>
      <c r="Z220" s="409">
        <v>0.53</v>
      </c>
      <c r="AA220" s="410">
        <f>Y220*Z220</f>
        <v>634982.40000000002</v>
      </c>
      <c r="AB220" s="362"/>
      <c r="AC220" s="412">
        <v>0</v>
      </c>
      <c r="AD220" s="405"/>
      <c r="AE220" s="413"/>
      <c r="AF220" s="424">
        <f t="shared" si="32"/>
        <v>634982.40000000002</v>
      </c>
      <c r="AG220" s="405" t="s">
        <v>1069</v>
      </c>
      <c r="AH220" s="395"/>
      <c r="AI220" s="405">
        <v>60</v>
      </c>
      <c r="AJ220" s="405" t="s">
        <v>1267</v>
      </c>
      <c r="AK220" s="405" t="s">
        <v>1117</v>
      </c>
      <c r="AL220" s="425" t="s">
        <v>1268</v>
      </c>
      <c r="AM220" s="405" t="s">
        <v>52</v>
      </c>
      <c r="AN220" s="405" t="s">
        <v>1071</v>
      </c>
      <c r="AO220" s="405"/>
      <c r="AP220" s="405"/>
      <c r="AQ220" s="405" t="s">
        <v>37</v>
      </c>
      <c r="AR220" s="405"/>
      <c r="AS220" s="369"/>
      <c r="AT220" s="363"/>
      <c r="AU220" s="403"/>
      <c r="AV220" s="402" t="str">
        <f t="shared" si="44"/>
        <v>TBD</v>
      </c>
      <c r="AW220" s="402" cm="1">
        <f t="array" ref="AW220">SUM(MID(0&amp;AV220,LARGE(INDEX(ISNUMBER(--MID(AV220,ROW($1:$8),1))*ROW($1:$8),),ROW($1:$8))+1,1)*10^ROW($1:$8)/10)</f>
        <v>0</v>
      </c>
      <c r="AX220" s="402" t="e">
        <f>VLOOKUP($AW220,'Item Master Data'!$A:$F,3,FALSE)</f>
        <v>#N/A</v>
      </c>
      <c r="AY220" s="402" t="e">
        <f>VLOOKUP($AW220,'Item Master Data'!$A:$F,6,FALSE)</f>
        <v>#N/A</v>
      </c>
      <c r="AZ220" s="402" t="e">
        <f t="shared" si="45"/>
        <v>#N/A</v>
      </c>
      <c r="BA220" s="402" t="e">
        <f>VLOOKUP(AW220,'Item Master Data'!$A:$G,7,FALSE)</f>
        <v>#N/A</v>
      </c>
      <c r="BB220" s="402"/>
      <c r="BC220" s="402" t="e">
        <f t="shared" si="46"/>
        <v>#N/A</v>
      </c>
    </row>
    <row r="221" spans="1:55">
      <c r="A221" s="377"/>
      <c r="B221" s="376"/>
      <c r="C221" s="376"/>
      <c r="D221" s="405" t="s">
        <v>1066</v>
      </c>
      <c r="E221" s="364" t="s">
        <v>4927</v>
      </c>
      <c r="F221" s="405" t="s">
        <v>87</v>
      </c>
      <c r="G221" s="405">
        <v>2022</v>
      </c>
      <c r="H221" s="405">
        <v>6</v>
      </c>
      <c r="I221" s="416"/>
      <c r="J221" s="406"/>
      <c r="K221" s="405" t="s">
        <v>1198</v>
      </c>
      <c r="L221" s="406" t="s">
        <v>1195</v>
      </c>
      <c r="M221" s="406">
        <v>44575</v>
      </c>
      <c r="N221" s="406">
        <v>44711</v>
      </c>
      <c r="O221" s="406"/>
      <c r="P221" s="406"/>
      <c r="Q221" s="406"/>
      <c r="R221" s="406"/>
      <c r="S221" s="405" t="s">
        <v>1067</v>
      </c>
      <c r="T221" s="405">
        <v>72</v>
      </c>
      <c r="U221" s="405" t="s">
        <v>1102</v>
      </c>
      <c r="V221" s="405" t="s">
        <v>1068</v>
      </c>
      <c r="W221" s="407">
        <v>480</v>
      </c>
      <c r="X221" s="371">
        <v>1276</v>
      </c>
      <c r="Y221" s="422">
        <f t="shared" si="47"/>
        <v>612480</v>
      </c>
      <c r="Z221" s="409">
        <v>0.47</v>
      </c>
      <c r="AA221" s="410">
        <f>Y221*Z221</f>
        <v>287865.59999999998</v>
      </c>
      <c r="AB221" s="362"/>
      <c r="AC221" s="412">
        <v>0</v>
      </c>
      <c r="AD221" s="405"/>
      <c r="AE221" s="413"/>
      <c r="AF221" s="424">
        <f t="shared" si="32"/>
        <v>287865.59999999998</v>
      </c>
      <c r="AG221" s="405" t="s">
        <v>1069</v>
      </c>
      <c r="AH221" s="395"/>
      <c r="AI221" s="405">
        <v>60</v>
      </c>
      <c r="AJ221" s="405" t="s">
        <v>1197</v>
      </c>
      <c r="AK221" s="405" t="s">
        <v>1176</v>
      </c>
      <c r="AL221" s="425">
        <v>6492</v>
      </c>
      <c r="AM221" s="405" t="s">
        <v>52</v>
      </c>
      <c r="AN221" s="405" t="s">
        <v>1082</v>
      </c>
      <c r="AO221" s="405"/>
      <c r="AP221" s="405" t="s">
        <v>92</v>
      </c>
      <c r="AQ221" s="405" t="s">
        <v>37</v>
      </c>
      <c r="AR221" s="405"/>
      <c r="AS221" s="369"/>
      <c r="AT221" s="363"/>
      <c r="AU221" s="403"/>
      <c r="AV221" s="402" t="str">
        <f t="shared" si="44"/>
        <v>TBD</v>
      </c>
      <c r="AW221" s="402" cm="1">
        <f t="array" ref="AW221">SUM(MID(0&amp;AV221,LARGE(INDEX(ISNUMBER(--MID(AV221,ROW($1:$8),1))*ROW($1:$8),),ROW($1:$8))+1,1)*10^ROW($1:$8)/10)</f>
        <v>0</v>
      </c>
      <c r="AX221" s="402" t="e">
        <f>VLOOKUP($AW221,'Item Master Data'!$A:$F,3,FALSE)</f>
        <v>#N/A</v>
      </c>
      <c r="AY221" s="402" t="e">
        <f>VLOOKUP($AW221,'Item Master Data'!$A:$F,6,FALSE)</f>
        <v>#N/A</v>
      </c>
      <c r="AZ221" s="402" t="e">
        <f t="shared" si="45"/>
        <v>#N/A</v>
      </c>
      <c r="BA221" s="402" t="e">
        <f>VLOOKUP(AW221,'Item Master Data'!$A:$G,7,FALSE)</f>
        <v>#N/A</v>
      </c>
      <c r="BB221" s="402"/>
      <c r="BC221" s="402" t="e">
        <f t="shared" si="46"/>
        <v>#N/A</v>
      </c>
    </row>
    <row r="222" spans="1:55">
      <c r="A222" s="377"/>
      <c r="B222" s="376"/>
      <c r="C222" s="376"/>
      <c r="D222" s="405" t="s">
        <v>1066</v>
      </c>
      <c r="E222" s="364" t="s">
        <v>1273</v>
      </c>
      <c r="F222" s="405"/>
      <c r="G222" s="405">
        <v>2022</v>
      </c>
      <c r="H222" s="405">
        <v>6</v>
      </c>
      <c r="I222" s="416"/>
      <c r="J222" s="406"/>
      <c r="K222" s="405" t="s">
        <v>4945</v>
      </c>
      <c r="L222" s="406" t="s">
        <v>1266</v>
      </c>
      <c r="M222" s="406">
        <v>44502</v>
      </c>
      <c r="N222" s="406">
        <v>44564</v>
      </c>
      <c r="O222" s="406"/>
      <c r="P222" s="406"/>
      <c r="Q222" s="406"/>
      <c r="R222" s="406"/>
      <c r="S222" s="405" t="s">
        <v>1107</v>
      </c>
      <c r="T222" s="405">
        <v>60</v>
      </c>
      <c r="U222" s="405">
        <v>49201132</v>
      </c>
      <c r="V222" s="405" t="s">
        <v>986</v>
      </c>
      <c r="W222" s="407">
        <v>360</v>
      </c>
      <c r="X222" s="371">
        <v>1664</v>
      </c>
      <c r="Y222" s="422">
        <f t="shared" si="47"/>
        <v>599040</v>
      </c>
      <c r="Z222" s="409">
        <v>0.53</v>
      </c>
      <c r="AA222" s="410">
        <f>Z222*Y222</f>
        <v>317491.20000000001</v>
      </c>
      <c r="AB222" s="362"/>
      <c r="AC222" s="412">
        <f>AB222*Y222</f>
        <v>0</v>
      </c>
      <c r="AD222" s="405"/>
      <c r="AE222" s="413"/>
      <c r="AF222" s="424">
        <f t="shared" si="32"/>
        <v>317491.20000000001</v>
      </c>
      <c r="AG222" s="405" t="s">
        <v>1069</v>
      </c>
      <c r="AH222" s="395"/>
      <c r="AI222" s="405">
        <v>60</v>
      </c>
      <c r="AJ222" s="405" t="s">
        <v>1267</v>
      </c>
      <c r="AK222" s="405" t="s">
        <v>1117</v>
      </c>
      <c r="AL222" s="425">
        <v>55421</v>
      </c>
      <c r="AM222" s="405" t="s">
        <v>52</v>
      </c>
      <c r="AN222" s="405" t="s">
        <v>1071</v>
      </c>
      <c r="AO222" s="405"/>
      <c r="AP222" s="405"/>
      <c r="AQ222" s="405"/>
      <c r="AR222" s="405" t="s">
        <v>1269</v>
      </c>
      <c r="AS222" s="369"/>
      <c r="AT222" s="363"/>
      <c r="AU222" s="403"/>
      <c r="AV222" s="402">
        <f t="shared" si="44"/>
        <v>49201132</v>
      </c>
      <c r="AW222" s="402" cm="1">
        <f t="array" ref="AW222">SUM(MID(0&amp;AV222,LARGE(INDEX(ISNUMBER(--MID(AV222,ROW($1:$8),1))*ROW($1:$8),),ROW($1:$8))+1,1)*10^ROW($1:$8)/10)</f>
        <v>49201132</v>
      </c>
      <c r="AX222" s="402" t="str">
        <f>VLOOKUP($AW222,'Item Master Data'!$A:$F,3,FALSE)</f>
        <v>Q.PEAK DUO BLK G10+</v>
      </c>
      <c r="AY222" s="402">
        <f>VLOOKUP($AW222,'Item Master Data'!$A:$F,6,FALSE)</f>
        <v>360</v>
      </c>
      <c r="AZ222" s="402">
        <f t="shared" si="45"/>
        <v>52</v>
      </c>
      <c r="BA222" s="402">
        <f>VLOOKUP(AW222,'Item Master Data'!$A:$G,7,FALSE)</f>
        <v>32</v>
      </c>
      <c r="BB222" s="402"/>
      <c r="BC222" s="402">
        <f t="shared" si="46"/>
        <v>0</v>
      </c>
    </row>
    <row r="223" spans="1:55">
      <c r="A223" s="377"/>
      <c r="B223" s="376"/>
      <c r="C223" s="376"/>
      <c r="D223" s="405" t="s">
        <v>1066</v>
      </c>
      <c r="E223" s="364" t="s">
        <v>1273</v>
      </c>
      <c r="F223" s="405"/>
      <c r="G223" s="405">
        <v>2022</v>
      </c>
      <c r="H223" s="405">
        <v>6</v>
      </c>
      <c r="I223" s="416"/>
      <c r="J223" s="406"/>
      <c r="K223" s="405" t="s">
        <v>1274</v>
      </c>
      <c r="L223" s="406" t="s">
        <v>1266</v>
      </c>
      <c r="M223" s="406">
        <v>44502</v>
      </c>
      <c r="N223" s="406">
        <v>44564</v>
      </c>
      <c r="O223" s="406"/>
      <c r="P223" s="406"/>
      <c r="Q223" s="406"/>
      <c r="R223" s="406"/>
      <c r="S223" s="405" t="s">
        <v>1107</v>
      </c>
      <c r="T223" s="405">
        <v>60</v>
      </c>
      <c r="U223" s="405">
        <v>49201132</v>
      </c>
      <c r="V223" s="405" t="s">
        <v>986</v>
      </c>
      <c r="W223" s="407">
        <v>360</v>
      </c>
      <c r="X223" s="371">
        <v>832</v>
      </c>
      <c r="Y223" s="422">
        <f t="shared" si="47"/>
        <v>299520</v>
      </c>
      <c r="Z223" s="409">
        <v>0.53</v>
      </c>
      <c r="AA223" s="410">
        <f>Z223*Y223</f>
        <v>158745.60000000001</v>
      </c>
      <c r="AB223" s="362"/>
      <c r="AC223" s="412">
        <f>AB223*Y223</f>
        <v>0</v>
      </c>
      <c r="AD223" s="405"/>
      <c r="AE223" s="413"/>
      <c r="AF223" s="424">
        <f t="shared" si="32"/>
        <v>158745.60000000001</v>
      </c>
      <c r="AG223" s="405" t="s">
        <v>1069</v>
      </c>
      <c r="AH223" s="395"/>
      <c r="AI223" s="405">
        <v>60</v>
      </c>
      <c r="AJ223" s="405" t="s">
        <v>1267</v>
      </c>
      <c r="AK223" s="405" t="s">
        <v>1117</v>
      </c>
      <c r="AL223" s="425">
        <v>55421</v>
      </c>
      <c r="AM223" s="405" t="s">
        <v>52</v>
      </c>
      <c r="AN223" s="405" t="s">
        <v>1071</v>
      </c>
      <c r="AO223" s="405"/>
      <c r="AP223" s="405"/>
      <c r="AQ223" s="405"/>
      <c r="AR223" s="405" t="s">
        <v>1269</v>
      </c>
      <c r="AS223" s="369"/>
      <c r="AT223" s="363"/>
      <c r="AU223" s="403"/>
      <c r="AV223" s="402">
        <f t="shared" si="44"/>
        <v>49201132</v>
      </c>
      <c r="AW223" s="402" cm="1">
        <f t="array" ref="AW223">SUM(MID(0&amp;AV223,LARGE(INDEX(ISNUMBER(--MID(AV223,ROW($1:$8),1))*ROW($1:$8),),ROW($1:$8))+1,1)*10^ROW($1:$8)/10)</f>
        <v>49201132</v>
      </c>
      <c r="AX223" s="402" t="str">
        <f>VLOOKUP($AW223,'Item Master Data'!$A:$F,3,FALSE)</f>
        <v>Q.PEAK DUO BLK G10+</v>
      </c>
      <c r="AY223" s="402">
        <f>VLOOKUP($AW223,'Item Master Data'!$A:$F,6,FALSE)</f>
        <v>360</v>
      </c>
      <c r="AZ223" s="402">
        <f t="shared" si="45"/>
        <v>26</v>
      </c>
      <c r="BA223" s="402">
        <f>VLOOKUP(AW223,'Item Master Data'!$A:$G,7,FALSE)</f>
        <v>32</v>
      </c>
      <c r="BB223" s="402"/>
      <c r="BC223" s="402">
        <f t="shared" si="46"/>
        <v>0</v>
      </c>
    </row>
    <row r="224" spans="1:55">
      <c r="A224" s="377"/>
      <c r="B224" s="376"/>
      <c r="C224" s="376"/>
      <c r="D224" s="405" t="s">
        <v>1066</v>
      </c>
      <c r="E224" s="364"/>
      <c r="F224" s="405"/>
      <c r="G224" s="405">
        <v>2022</v>
      </c>
      <c r="H224" s="405">
        <v>6</v>
      </c>
      <c r="I224" s="416"/>
      <c r="J224" s="406"/>
      <c r="K224" s="405" t="s">
        <v>1275</v>
      </c>
      <c r="L224" s="406" t="s">
        <v>1266</v>
      </c>
      <c r="M224" s="406">
        <v>44502</v>
      </c>
      <c r="N224" s="406">
        <v>44564</v>
      </c>
      <c r="O224" s="406"/>
      <c r="P224" s="406"/>
      <c r="Q224" s="406"/>
      <c r="R224" s="406"/>
      <c r="S224" s="405" t="s">
        <v>1107</v>
      </c>
      <c r="T224" s="405">
        <v>60</v>
      </c>
      <c r="U224" s="405">
        <v>49401140</v>
      </c>
      <c r="V224" s="405" t="s">
        <v>973</v>
      </c>
      <c r="W224" s="407">
        <v>400</v>
      </c>
      <c r="X224" s="371">
        <v>2496</v>
      </c>
      <c r="Y224" s="422">
        <f t="shared" si="47"/>
        <v>998400</v>
      </c>
      <c r="Z224" s="409">
        <v>0.55000000000000004</v>
      </c>
      <c r="AA224" s="410">
        <f>Z224*Y224</f>
        <v>549120</v>
      </c>
      <c r="AB224" s="362"/>
      <c r="AC224" s="412">
        <f>AB224*Y224</f>
        <v>0</v>
      </c>
      <c r="AD224" s="405"/>
      <c r="AE224" s="413"/>
      <c r="AF224" s="424">
        <f t="shared" si="32"/>
        <v>549120</v>
      </c>
      <c r="AG224" s="405" t="s">
        <v>1069</v>
      </c>
      <c r="AH224" s="395"/>
      <c r="AI224" s="405">
        <v>60</v>
      </c>
      <c r="AJ224" s="405" t="s">
        <v>1267</v>
      </c>
      <c r="AK224" s="405" t="s">
        <v>1117</v>
      </c>
      <c r="AL224" s="425">
        <v>55421</v>
      </c>
      <c r="AM224" s="405" t="s">
        <v>52</v>
      </c>
      <c r="AN224" s="405" t="s">
        <v>1071</v>
      </c>
      <c r="AO224" s="405"/>
      <c r="AP224" s="405"/>
      <c r="AQ224" s="405"/>
      <c r="AR224" s="405"/>
      <c r="AS224" s="369"/>
      <c r="AT224" s="363"/>
      <c r="AU224" s="403"/>
      <c r="AV224" s="402">
        <f t="shared" si="44"/>
        <v>49401140</v>
      </c>
      <c r="AW224" s="402" cm="1">
        <f t="array" ref="AW224">SUM(MID(0&amp;AV224,LARGE(INDEX(ISNUMBER(--MID(AV224,ROW($1:$8),1))*ROW($1:$8),),ROW($1:$8))+1,1)*10^ROW($1:$8)/10)</f>
        <v>49401140</v>
      </c>
      <c r="AX224" s="402" t="str">
        <f>VLOOKUP($AW224,'Item Master Data'!$A:$F,3,FALSE)</f>
        <v>Q.PEAK DUO BLK ML G10.a+</v>
      </c>
      <c r="AY224" s="402">
        <f>VLOOKUP($AW224,'Item Master Data'!$A:$F,6,FALSE)</f>
        <v>400</v>
      </c>
      <c r="AZ224" s="402">
        <f t="shared" si="45"/>
        <v>78</v>
      </c>
      <c r="BA224" s="402">
        <f>VLOOKUP(AW224,'Item Master Data'!$A:$G,7,FALSE)</f>
        <v>32</v>
      </c>
      <c r="BB224" s="402"/>
      <c r="BC224" s="402">
        <f t="shared" si="46"/>
        <v>0</v>
      </c>
    </row>
    <row r="225" spans="1:55">
      <c r="A225" s="377"/>
      <c r="B225" s="376"/>
      <c r="C225" s="376"/>
      <c r="D225" s="405" t="s">
        <v>1066</v>
      </c>
      <c r="E225" s="364" t="s">
        <v>4927</v>
      </c>
      <c r="F225" s="405" t="s">
        <v>87</v>
      </c>
      <c r="G225" s="405">
        <v>2022</v>
      </c>
      <c r="H225" s="405">
        <v>6</v>
      </c>
      <c r="I225" s="416"/>
      <c r="J225" s="406"/>
      <c r="K225" s="405" t="s">
        <v>1199</v>
      </c>
      <c r="L225" s="406" t="s">
        <v>1195</v>
      </c>
      <c r="M225" s="406">
        <v>44539</v>
      </c>
      <c r="N225" s="406">
        <v>44683</v>
      </c>
      <c r="O225" s="406"/>
      <c r="P225" s="406" t="s">
        <v>4453</v>
      </c>
      <c r="Q225" s="406"/>
      <c r="R225" s="406"/>
      <c r="S225" s="405" t="s">
        <v>1067</v>
      </c>
      <c r="T225" s="405">
        <v>72</v>
      </c>
      <c r="U225" s="405"/>
      <c r="V225" s="405" t="s">
        <v>1068</v>
      </c>
      <c r="W225" s="407">
        <v>480</v>
      </c>
      <c r="X225" s="371">
        <v>638</v>
      </c>
      <c r="Y225" s="422">
        <f t="shared" si="47"/>
        <v>306240</v>
      </c>
      <c r="Z225" s="409">
        <v>0.47</v>
      </c>
      <c r="AA225" s="410">
        <f t="shared" ref="AA225:AA230" si="48">Y225*Z225</f>
        <v>143932.79999999999</v>
      </c>
      <c r="AB225" s="362"/>
      <c r="AC225" s="412">
        <v>0</v>
      </c>
      <c r="AD225" s="405"/>
      <c r="AE225" s="413"/>
      <c r="AF225" s="424">
        <f t="shared" si="32"/>
        <v>143932.79999999999</v>
      </c>
      <c r="AG225" s="405" t="s">
        <v>1069</v>
      </c>
      <c r="AH225" s="395"/>
      <c r="AI225" s="405">
        <v>60</v>
      </c>
      <c r="AJ225" s="405" t="s">
        <v>1200</v>
      </c>
      <c r="AK225" s="405" t="s">
        <v>1176</v>
      </c>
      <c r="AL225" s="425" t="s">
        <v>1201</v>
      </c>
      <c r="AM225" s="405" t="s">
        <v>52</v>
      </c>
      <c r="AN225" s="405" t="s">
        <v>1071</v>
      </c>
      <c r="AO225" s="405"/>
      <c r="AP225" s="405"/>
      <c r="AQ225" s="405" t="s">
        <v>37</v>
      </c>
      <c r="AR225" s="405"/>
      <c r="AS225" s="369"/>
      <c r="AT225" s="363"/>
      <c r="AU225" s="403"/>
      <c r="AV225" s="402">
        <f t="shared" si="44"/>
        <v>0</v>
      </c>
      <c r="AW225" s="402" cm="1">
        <f t="array" ref="AW225">SUM(MID(0&amp;AV225,LARGE(INDEX(ISNUMBER(--MID(AV225,ROW($1:$8),1))*ROW($1:$8),),ROW($1:$8))+1,1)*10^ROW($1:$8)/10)</f>
        <v>0</v>
      </c>
      <c r="AX225" s="402" t="e">
        <f>VLOOKUP($AW225,'Item Master Data'!$A:$F,3,FALSE)</f>
        <v>#N/A</v>
      </c>
      <c r="AY225" s="402" t="e">
        <f>VLOOKUP($AW225,'Item Master Data'!$A:$F,6,FALSE)</f>
        <v>#N/A</v>
      </c>
      <c r="AZ225" s="402" t="e">
        <f t="shared" si="45"/>
        <v>#N/A</v>
      </c>
      <c r="BA225" s="402" t="e">
        <f>VLOOKUP(AW225,'Item Master Data'!$A:$G,7,FALSE)</f>
        <v>#N/A</v>
      </c>
      <c r="BB225" s="402"/>
      <c r="BC225" s="402" t="e">
        <f t="shared" si="46"/>
        <v>#N/A</v>
      </c>
    </row>
    <row r="226" spans="1:55">
      <c r="A226" s="377"/>
      <c r="B226" s="376" t="s">
        <v>1186</v>
      </c>
      <c r="C226" s="376">
        <v>44673</v>
      </c>
      <c r="D226" s="405" t="s">
        <v>1066</v>
      </c>
      <c r="E226" s="364" t="s">
        <v>4247</v>
      </c>
      <c r="F226" s="405" t="s">
        <v>87</v>
      </c>
      <c r="G226" s="405">
        <v>2022</v>
      </c>
      <c r="H226" s="405">
        <v>8</v>
      </c>
      <c r="I226" s="416"/>
      <c r="J226" s="406"/>
      <c r="K226" s="405" t="s">
        <v>1203</v>
      </c>
      <c r="L226" s="406" t="s">
        <v>1195</v>
      </c>
      <c r="M226" s="406">
        <v>44641</v>
      </c>
      <c r="N226" s="406">
        <v>44788</v>
      </c>
      <c r="O226" s="406"/>
      <c r="P226" s="406"/>
      <c r="Q226" s="406"/>
      <c r="R226" s="406"/>
      <c r="S226" s="405" t="s">
        <v>1067</v>
      </c>
      <c r="T226" s="405">
        <v>72</v>
      </c>
      <c r="U226" s="405" t="s">
        <v>1102</v>
      </c>
      <c r="V226" s="405" t="s">
        <v>1068</v>
      </c>
      <c r="W226" s="407">
        <v>480</v>
      </c>
      <c r="X226" s="371">
        <v>1914</v>
      </c>
      <c r="Y226" s="422">
        <f t="shared" si="47"/>
        <v>918720</v>
      </c>
      <c r="Z226" s="409">
        <v>0.48</v>
      </c>
      <c r="AA226" s="410">
        <f t="shared" si="48"/>
        <v>440985.59999999998</v>
      </c>
      <c r="AB226" s="362"/>
      <c r="AC226" s="412">
        <v>0</v>
      </c>
      <c r="AD226" s="405"/>
      <c r="AE226" s="413"/>
      <c r="AF226" s="424">
        <f t="shared" ref="AF226:AF251" si="49">AE226+AD226+AA226</f>
        <v>440985.59999999998</v>
      </c>
      <c r="AG226" s="405" t="s">
        <v>1069</v>
      </c>
      <c r="AH226" s="395"/>
      <c r="AI226" s="405">
        <v>60</v>
      </c>
      <c r="AJ226" s="405" t="s">
        <v>1197</v>
      </c>
      <c r="AK226" s="405" t="s">
        <v>1176</v>
      </c>
      <c r="AL226" s="425">
        <v>6492</v>
      </c>
      <c r="AM226" s="405" t="s">
        <v>52</v>
      </c>
      <c r="AN226" s="405" t="s">
        <v>1082</v>
      </c>
      <c r="AO226" s="405"/>
      <c r="AP226" s="405" t="s">
        <v>92</v>
      </c>
      <c r="AQ226" s="405" t="s">
        <v>37</v>
      </c>
      <c r="AR226" s="405"/>
      <c r="AS226" s="369"/>
      <c r="AT226" s="363"/>
      <c r="AU226" s="403"/>
      <c r="AV226" s="402" t="str">
        <f t="shared" si="44"/>
        <v>TBD</v>
      </c>
      <c r="AW226" s="402" cm="1">
        <f t="array" ref="AW226">SUM(MID(0&amp;AV226,LARGE(INDEX(ISNUMBER(--MID(AV226,ROW($1:$8),1))*ROW($1:$8),),ROW($1:$8))+1,1)*10^ROW($1:$8)/10)</f>
        <v>0</v>
      </c>
      <c r="AX226" s="402" t="e">
        <f>VLOOKUP($AW226,'Item Master Data'!$A:$F,3,FALSE)</f>
        <v>#N/A</v>
      </c>
      <c r="AY226" s="402" t="e">
        <f>VLOOKUP($AW226,'Item Master Data'!$A:$F,6,FALSE)</f>
        <v>#N/A</v>
      </c>
      <c r="AZ226" s="402" t="e">
        <f t="shared" si="45"/>
        <v>#N/A</v>
      </c>
      <c r="BA226" s="402" t="e">
        <f>VLOOKUP(AW226,'Item Master Data'!$A:$G,7,FALSE)</f>
        <v>#N/A</v>
      </c>
      <c r="BB226" s="402"/>
      <c r="BC226" s="402" t="e">
        <f t="shared" si="46"/>
        <v>#N/A</v>
      </c>
    </row>
    <row r="227" spans="1:55">
      <c r="A227" s="377"/>
      <c r="B227" s="376"/>
      <c r="C227" s="376"/>
      <c r="D227" s="405" t="s">
        <v>1066</v>
      </c>
      <c r="E227" s="364" t="s">
        <v>1282</v>
      </c>
      <c r="F227" s="405"/>
      <c r="G227" s="405">
        <v>2022</v>
      </c>
      <c r="H227" s="405">
        <v>6</v>
      </c>
      <c r="I227" s="416"/>
      <c r="J227" s="406"/>
      <c r="K227" s="405" t="s">
        <v>1283</v>
      </c>
      <c r="L227" s="406" t="s">
        <v>1266</v>
      </c>
      <c r="M227" s="406">
        <v>44517</v>
      </c>
      <c r="N227" s="406">
        <v>44729</v>
      </c>
      <c r="O227" s="406"/>
      <c r="P227" s="406"/>
      <c r="Q227" s="406"/>
      <c r="R227" s="406"/>
      <c r="S227" s="405" t="s">
        <v>1107</v>
      </c>
      <c r="T227" s="405">
        <v>72</v>
      </c>
      <c r="U227" s="405" t="s">
        <v>1284</v>
      </c>
      <c r="V227" s="405" t="s">
        <v>1068</v>
      </c>
      <c r="W227" s="407">
        <v>475</v>
      </c>
      <c r="X227" s="371">
        <f>17052-2320</f>
        <v>14732</v>
      </c>
      <c r="Y227" s="422">
        <f t="shared" si="47"/>
        <v>6997700</v>
      </c>
      <c r="Z227" s="409">
        <v>0.48</v>
      </c>
      <c r="AA227" s="410">
        <f t="shared" si="48"/>
        <v>3358896</v>
      </c>
      <c r="AB227" s="362"/>
      <c r="AC227" s="412">
        <v>0</v>
      </c>
      <c r="AD227" s="405"/>
      <c r="AE227" s="413"/>
      <c r="AF227" s="424">
        <f t="shared" si="49"/>
        <v>3358896</v>
      </c>
      <c r="AG227" s="405" t="s">
        <v>1069</v>
      </c>
      <c r="AH227" s="395"/>
      <c r="AI227" s="405">
        <v>60</v>
      </c>
      <c r="AJ227" s="405" t="s">
        <v>1267</v>
      </c>
      <c r="AK227" s="405" t="s">
        <v>1117</v>
      </c>
      <c r="AL227" s="425" t="s">
        <v>1268</v>
      </c>
      <c r="AM227" s="405" t="s">
        <v>52</v>
      </c>
      <c r="AN227" s="405" t="s">
        <v>1082</v>
      </c>
      <c r="AO227" s="405"/>
      <c r="AP227" s="405" t="s">
        <v>92</v>
      </c>
      <c r="AQ227" s="405" t="s">
        <v>37</v>
      </c>
      <c r="AR227" s="405"/>
      <c r="AS227" s="369"/>
      <c r="AT227" s="363"/>
      <c r="AU227" s="403"/>
      <c r="AV227" s="402" t="str">
        <f t="shared" si="44"/>
        <v>30397572F</v>
      </c>
      <c r="AW227" s="402" cm="1">
        <f t="array" ref="AW227">SUM(MID(0&amp;AV227,LARGE(INDEX(ISNUMBER(--MID(AV227,ROW($1:$8),1))*ROW($1:$8),),ROW($1:$8))+1,1)*10^ROW($1:$8)/10)</f>
        <v>30397572</v>
      </c>
      <c r="AX227" s="402" t="str">
        <f>VLOOKUP($AW227,'Item Master Data'!$A:$F,3,FALSE)</f>
        <v>Q.PEAK DUO XL G10 BFG</v>
      </c>
      <c r="AY227" s="402">
        <f>VLOOKUP($AW227,'Item Master Data'!$A:$F,6,FALSE)</f>
        <v>480</v>
      </c>
      <c r="AZ227" s="402">
        <f t="shared" si="45"/>
        <v>508</v>
      </c>
      <c r="BA227" s="402">
        <f>VLOOKUP(AW227,'Item Master Data'!$A:$G,7,FALSE)</f>
        <v>29</v>
      </c>
      <c r="BB227" s="402"/>
      <c r="BC227" s="402">
        <f t="shared" si="46"/>
        <v>-5</v>
      </c>
    </row>
    <row r="228" spans="1:55">
      <c r="A228" s="377"/>
      <c r="B228" s="376" t="s">
        <v>1186</v>
      </c>
      <c r="C228" s="376">
        <v>44673</v>
      </c>
      <c r="D228" s="405" t="s">
        <v>1066</v>
      </c>
      <c r="E228" s="364" t="s">
        <v>2499</v>
      </c>
      <c r="F228" s="405" t="s">
        <v>87</v>
      </c>
      <c r="G228" s="405">
        <v>2022</v>
      </c>
      <c r="H228" s="405">
        <v>8</v>
      </c>
      <c r="I228" s="416"/>
      <c r="J228" s="406"/>
      <c r="K228" s="405" t="s">
        <v>4634</v>
      </c>
      <c r="L228" s="406" t="s">
        <v>1195</v>
      </c>
      <c r="M228" s="406">
        <v>44686</v>
      </c>
      <c r="N228" s="406">
        <v>44795</v>
      </c>
      <c r="O228" s="406"/>
      <c r="P228" s="406"/>
      <c r="Q228" s="406"/>
      <c r="R228" s="406"/>
      <c r="S228" s="405" t="s">
        <v>1067</v>
      </c>
      <c r="T228" s="405">
        <v>72</v>
      </c>
      <c r="U228" s="405"/>
      <c r="V228" s="405" t="s">
        <v>1068</v>
      </c>
      <c r="W228" s="407">
        <v>480</v>
      </c>
      <c r="X228" s="371">
        <v>638</v>
      </c>
      <c r="Y228" s="422">
        <f t="shared" si="47"/>
        <v>306240</v>
      </c>
      <c r="Z228" s="409">
        <v>0.59499999999999997</v>
      </c>
      <c r="AA228" s="410">
        <f t="shared" si="48"/>
        <v>182212.8</v>
      </c>
      <c r="AB228" s="362"/>
      <c r="AC228" s="412">
        <v>0</v>
      </c>
      <c r="AD228" s="405"/>
      <c r="AE228" s="413"/>
      <c r="AF228" s="424">
        <f t="shared" si="49"/>
        <v>182212.8</v>
      </c>
      <c r="AG228" s="405" t="s">
        <v>1069</v>
      </c>
      <c r="AH228" s="395"/>
      <c r="AI228" s="405">
        <v>60</v>
      </c>
      <c r="AJ228" s="405" t="s">
        <v>1197</v>
      </c>
      <c r="AK228" s="405" t="s">
        <v>1176</v>
      </c>
      <c r="AL228" s="425">
        <v>6492</v>
      </c>
      <c r="AM228" s="405" t="s">
        <v>52</v>
      </c>
      <c r="AN228" s="405" t="s">
        <v>1082</v>
      </c>
      <c r="AO228" s="405"/>
      <c r="AP228" s="405" t="s">
        <v>92</v>
      </c>
      <c r="AQ228" s="405" t="s">
        <v>37</v>
      </c>
      <c r="AR228" s="405"/>
      <c r="AS228" s="369"/>
      <c r="AT228" s="363"/>
      <c r="AU228" s="403"/>
      <c r="AV228" s="402">
        <f t="shared" si="44"/>
        <v>0</v>
      </c>
      <c r="AW228" s="402" cm="1">
        <f t="array" ref="AW228">SUM(MID(0&amp;AV228,LARGE(INDEX(ISNUMBER(--MID(AV228,ROW($1:$8),1))*ROW($1:$8),),ROW($1:$8))+1,1)*10^ROW($1:$8)/10)</f>
        <v>0</v>
      </c>
      <c r="AX228" s="402" t="e">
        <f>VLOOKUP($AW228,'Item Master Data'!$A:$F,3,FALSE)</f>
        <v>#N/A</v>
      </c>
      <c r="AY228" s="402" t="e">
        <f>VLOOKUP($AW228,'Item Master Data'!$A:$F,6,FALSE)</f>
        <v>#N/A</v>
      </c>
      <c r="AZ228" s="402" t="e">
        <f t="shared" si="45"/>
        <v>#N/A</v>
      </c>
      <c r="BA228" s="402" t="e">
        <f>VLOOKUP(AW228,'Item Master Data'!$A:$G,7,FALSE)</f>
        <v>#N/A</v>
      </c>
      <c r="BB228" s="402"/>
      <c r="BC228" s="402" t="e">
        <f t="shared" si="46"/>
        <v>#N/A</v>
      </c>
    </row>
    <row r="229" spans="1:55">
      <c r="A229" s="377"/>
      <c r="B229" s="376" t="s">
        <v>1186</v>
      </c>
      <c r="C229" s="376">
        <v>44673</v>
      </c>
      <c r="D229" s="405" t="s">
        <v>1066</v>
      </c>
      <c r="E229" s="364" t="s">
        <v>2499</v>
      </c>
      <c r="F229" s="405" t="s">
        <v>87</v>
      </c>
      <c r="G229" s="405">
        <v>2022</v>
      </c>
      <c r="H229" s="405">
        <v>9</v>
      </c>
      <c r="I229" s="416"/>
      <c r="J229" s="406"/>
      <c r="K229" s="405" t="s">
        <v>4635</v>
      </c>
      <c r="L229" s="406" t="s">
        <v>1195</v>
      </c>
      <c r="M229" s="406">
        <v>44686</v>
      </c>
      <c r="N229" s="406">
        <v>44823</v>
      </c>
      <c r="O229" s="406"/>
      <c r="P229" s="406"/>
      <c r="Q229" s="406"/>
      <c r="R229" s="406"/>
      <c r="S229" s="405" t="s">
        <v>1067</v>
      </c>
      <c r="T229" s="405">
        <v>72</v>
      </c>
      <c r="U229" s="405"/>
      <c r="V229" s="405" t="s">
        <v>1068</v>
      </c>
      <c r="W229" s="407">
        <v>480</v>
      </c>
      <c r="X229" s="371">
        <v>638</v>
      </c>
      <c r="Y229" s="422">
        <f t="shared" si="47"/>
        <v>306240</v>
      </c>
      <c r="Z229" s="409">
        <v>0.59499999999999997</v>
      </c>
      <c r="AA229" s="410">
        <f t="shared" si="48"/>
        <v>182212.8</v>
      </c>
      <c r="AB229" s="362"/>
      <c r="AC229" s="412">
        <v>0</v>
      </c>
      <c r="AD229" s="405"/>
      <c r="AE229" s="413"/>
      <c r="AF229" s="424">
        <f t="shared" si="49"/>
        <v>182212.8</v>
      </c>
      <c r="AG229" s="405" t="s">
        <v>1069</v>
      </c>
      <c r="AH229" s="395"/>
      <c r="AI229" s="405">
        <v>60</v>
      </c>
      <c r="AJ229" s="405" t="s">
        <v>1197</v>
      </c>
      <c r="AK229" s="405" t="s">
        <v>1176</v>
      </c>
      <c r="AL229" s="425">
        <v>6492</v>
      </c>
      <c r="AM229" s="405" t="s">
        <v>52</v>
      </c>
      <c r="AN229" s="405" t="s">
        <v>1082</v>
      </c>
      <c r="AO229" s="405"/>
      <c r="AP229" s="405" t="s">
        <v>92</v>
      </c>
      <c r="AQ229" s="405" t="s">
        <v>37</v>
      </c>
      <c r="AR229" s="405"/>
      <c r="AS229" s="369"/>
      <c r="AT229" s="363"/>
      <c r="AU229" s="403"/>
      <c r="AV229" s="402">
        <f t="shared" si="44"/>
        <v>0</v>
      </c>
      <c r="AW229" s="402" cm="1">
        <f t="array" ref="AW229">SUM(MID(0&amp;AV229,LARGE(INDEX(ISNUMBER(--MID(AV229,ROW($1:$8),1))*ROW($1:$8),),ROW($1:$8))+1,1)*10^ROW($1:$8)/10)</f>
        <v>0</v>
      </c>
      <c r="AX229" s="402" t="e">
        <f>VLOOKUP($AW229,'Item Master Data'!$A:$F,3,FALSE)</f>
        <v>#N/A</v>
      </c>
      <c r="AY229" s="402" t="e">
        <f>VLOOKUP($AW229,'Item Master Data'!$A:$F,6,FALSE)</f>
        <v>#N/A</v>
      </c>
      <c r="AZ229" s="402" t="e">
        <f t="shared" si="45"/>
        <v>#N/A</v>
      </c>
      <c r="BA229" s="402" t="e">
        <f>VLOOKUP(AW229,'Item Master Data'!$A:$G,7,FALSE)</f>
        <v>#N/A</v>
      </c>
      <c r="BB229" s="402"/>
      <c r="BC229" s="402" t="e">
        <f t="shared" si="46"/>
        <v>#N/A</v>
      </c>
    </row>
    <row r="230" spans="1:55">
      <c r="A230" s="377"/>
      <c r="B230" s="376" t="s">
        <v>1186</v>
      </c>
      <c r="C230" s="376">
        <v>44673</v>
      </c>
      <c r="D230" s="405" t="s">
        <v>1066</v>
      </c>
      <c r="E230" s="364" t="s">
        <v>2499</v>
      </c>
      <c r="F230" s="405" t="s">
        <v>87</v>
      </c>
      <c r="G230" s="405">
        <v>2022</v>
      </c>
      <c r="H230" s="405">
        <v>10</v>
      </c>
      <c r="I230" s="416"/>
      <c r="J230" s="406"/>
      <c r="K230" s="405" t="s">
        <v>4633</v>
      </c>
      <c r="L230" s="406" t="s">
        <v>1195</v>
      </c>
      <c r="M230" s="406">
        <v>44686</v>
      </c>
      <c r="N230" s="406">
        <v>44865</v>
      </c>
      <c r="O230" s="406"/>
      <c r="P230" s="406"/>
      <c r="Q230" s="406"/>
      <c r="R230" s="406"/>
      <c r="S230" s="405" t="s">
        <v>1067</v>
      </c>
      <c r="T230" s="405">
        <v>72</v>
      </c>
      <c r="U230" s="405"/>
      <c r="V230" s="405" t="s">
        <v>1068</v>
      </c>
      <c r="W230" s="407">
        <v>480</v>
      </c>
      <c r="X230" s="371">
        <v>638</v>
      </c>
      <c r="Y230" s="422">
        <f t="shared" si="47"/>
        <v>306240</v>
      </c>
      <c r="Z230" s="409">
        <v>0.59499999999999997</v>
      </c>
      <c r="AA230" s="410">
        <f t="shared" si="48"/>
        <v>182212.8</v>
      </c>
      <c r="AB230" s="362"/>
      <c r="AC230" s="412">
        <v>0</v>
      </c>
      <c r="AD230" s="405"/>
      <c r="AE230" s="413"/>
      <c r="AF230" s="424">
        <f t="shared" si="49"/>
        <v>182212.8</v>
      </c>
      <c r="AG230" s="405" t="s">
        <v>1069</v>
      </c>
      <c r="AH230" s="395"/>
      <c r="AI230" s="405">
        <v>60</v>
      </c>
      <c r="AJ230" s="405" t="s">
        <v>1197</v>
      </c>
      <c r="AK230" s="405" t="s">
        <v>1176</v>
      </c>
      <c r="AL230" s="425">
        <v>6492</v>
      </c>
      <c r="AM230" s="405" t="s">
        <v>52</v>
      </c>
      <c r="AN230" s="405" t="s">
        <v>1082</v>
      </c>
      <c r="AO230" s="405"/>
      <c r="AP230" s="405" t="s">
        <v>92</v>
      </c>
      <c r="AQ230" s="405" t="s">
        <v>37</v>
      </c>
      <c r="AR230" s="405"/>
      <c r="AS230" s="369"/>
      <c r="AT230" s="363"/>
      <c r="AU230" s="403"/>
      <c r="AV230" s="402">
        <f t="shared" si="44"/>
        <v>0</v>
      </c>
      <c r="AW230" s="402" cm="1">
        <f t="array" ref="AW230">SUM(MID(0&amp;AV230,LARGE(INDEX(ISNUMBER(--MID(AV230,ROW($1:$8),1))*ROW($1:$8),),ROW($1:$8))+1,1)*10^ROW($1:$8)/10)</f>
        <v>0</v>
      </c>
      <c r="AX230" s="402" t="e">
        <f>VLOOKUP($AW230,'Item Master Data'!$A:$F,3,FALSE)</f>
        <v>#N/A</v>
      </c>
      <c r="AY230" s="402" t="e">
        <f>VLOOKUP($AW230,'Item Master Data'!$A:$F,6,FALSE)</f>
        <v>#N/A</v>
      </c>
      <c r="AZ230" s="402" t="e">
        <f t="shared" si="45"/>
        <v>#N/A</v>
      </c>
      <c r="BA230" s="402" t="e">
        <f>VLOOKUP(AW230,'Item Master Data'!$A:$G,7,FALSE)</f>
        <v>#N/A</v>
      </c>
      <c r="BB230" s="402"/>
      <c r="BC230" s="402" t="e">
        <f t="shared" si="46"/>
        <v>#N/A</v>
      </c>
    </row>
    <row r="231" spans="1:55">
      <c r="A231" s="377"/>
      <c r="B231" s="376"/>
      <c r="C231" s="376"/>
      <c r="D231" s="405" t="s">
        <v>1066</v>
      </c>
      <c r="E231" s="364" t="s">
        <v>4853</v>
      </c>
      <c r="F231" s="405"/>
      <c r="G231" s="405">
        <v>2022</v>
      </c>
      <c r="H231" s="405">
        <v>6</v>
      </c>
      <c r="I231" s="416"/>
      <c r="J231" s="406"/>
      <c r="K231" s="405" t="s">
        <v>1210</v>
      </c>
      <c r="L231" s="406" t="s">
        <v>1205</v>
      </c>
      <c r="M231" s="406">
        <v>44603</v>
      </c>
      <c r="N231" s="406">
        <v>44652</v>
      </c>
      <c r="O231" s="406"/>
      <c r="P231" s="406" t="s">
        <v>1089</v>
      </c>
      <c r="Q231" s="406"/>
      <c r="R231" s="406"/>
      <c r="S231" s="405" t="s">
        <v>1107</v>
      </c>
      <c r="T231" s="405">
        <v>72</v>
      </c>
      <c r="U231" s="405"/>
      <c r="V231" s="405" t="s">
        <v>1068</v>
      </c>
      <c r="W231" s="407">
        <v>480</v>
      </c>
      <c r="X231" s="371">
        <v>1740</v>
      </c>
      <c r="Y231" s="422">
        <f t="shared" si="47"/>
        <v>835200</v>
      </c>
      <c r="Z231" s="409">
        <v>0.505</v>
      </c>
      <c r="AA231" s="410">
        <f t="shared" ref="AA231:AA237" si="50">Z231*Y231</f>
        <v>421776</v>
      </c>
      <c r="AB231" s="362"/>
      <c r="AC231" s="412">
        <f t="shared" ref="AC231:AC237" si="51">AB231*Y231</f>
        <v>0</v>
      </c>
      <c r="AD231" s="405"/>
      <c r="AE231" s="413"/>
      <c r="AF231" s="424">
        <f t="shared" si="49"/>
        <v>421776</v>
      </c>
      <c r="AG231" s="405" t="s">
        <v>1069</v>
      </c>
      <c r="AH231" s="395">
        <v>0</v>
      </c>
      <c r="AI231" s="405">
        <v>60</v>
      </c>
      <c r="AJ231" s="405" t="s">
        <v>1206</v>
      </c>
      <c r="AK231" s="405" t="s">
        <v>1207</v>
      </c>
      <c r="AL231" s="425" t="s">
        <v>1208</v>
      </c>
      <c r="AM231" s="405" t="s">
        <v>52</v>
      </c>
      <c r="AN231" s="405" t="s">
        <v>1082</v>
      </c>
      <c r="AO231" s="405"/>
      <c r="AP231" s="405" t="s">
        <v>38</v>
      </c>
      <c r="AQ231" s="405" t="s">
        <v>1083</v>
      </c>
      <c r="AR231" s="405"/>
      <c r="AS231" s="369" t="s">
        <v>1073</v>
      </c>
      <c r="AT231" s="363" t="s">
        <v>1073</v>
      </c>
      <c r="AU231" s="403"/>
      <c r="AV231" s="402">
        <f t="shared" si="44"/>
        <v>0</v>
      </c>
      <c r="AW231" s="402" cm="1">
        <f t="array" ref="AW231">SUM(MID(0&amp;AV231,LARGE(INDEX(ISNUMBER(--MID(AV231,ROW($1:$8),1))*ROW($1:$8),),ROW($1:$8))+1,1)*10^ROW($1:$8)/10)</f>
        <v>0</v>
      </c>
      <c r="AX231" s="402" t="e">
        <f>VLOOKUP($AW231,'Item Master Data'!$A:$F,3,FALSE)</f>
        <v>#N/A</v>
      </c>
      <c r="AY231" s="402" t="e">
        <f>VLOOKUP($AW231,'Item Master Data'!$A:$F,6,FALSE)</f>
        <v>#N/A</v>
      </c>
      <c r="AZ231" s="402" t="e">
        <f t="shared" si="45"/>
        <v>#N/A</v>
      </c>
      <c r="BA231" s="402" t="e">
        <f>VLOOKUP(AW231,'Item Master Data'!$A:$G,7,FALSE)</f>
        <v>#N/A</v>
      </c>
      <c r="BB231" s="402"/>
      <c r="BC231" s="402" t="e">
        <f t="shared" si="46"/>
        <v>#N/A</v>
      </c>
    </row>
    <row r="232" spans="1:55">
      <c r="A232" s="377"/>
      <c r="B232" s="376"/>
      <c r="C232" s="376"/>
      <c r="D232" s="405" t="s">
        <v>1066</v>
      </c>
      <c r="E232" s="364" t="s">
        <v>4853</v>
      </c>
      <c r="F232" s="405"/>
      <c r="G232" s="405">
        <v>2022</v>
      </c>
      <c r="H232" s="405">
        <v>6</v>
      </c>
      <c r="I232" s="416"/>
      <c r="J232" s="406"/>
      <c r="K232" s="405" t="s">
        <v>1214</v>
      </c>
      <c r="L232" s="406" t="s">
        <v>1205</v>
      </c>
      <c r="M232" s="406">
        <v>44613</v>
      </c>
      <c r="N232" s="406">
        <v>44682</v>
      </c>
      <c r="O232" s="406"/>
      <c r="P232" s="406"/>
      <c r="Q232" s="406"/>
      <c r="R232" s="406"/>
      <c r="S232" s="405" t="s">
        <v>1107</v>
      </c>
      <c r="T232" s="405">
        <v>72</v>
      </c>
      <c r="U232" s="405"/>
      <c r="V232" s="405" t="s">
        <v>1068</v>
      </c>
      <c r="W232" s="407">
        <v>480</v>
      </c>
      <c r="X232" s="371">
        <v>1740</v>
      </c>
      <c r="Y232" s="422">
        <f t="shared" si="47"/>
        <v>835200</v>
      </c>
      <c r="Z232" s="409">
        <v>0.505</v>
      </c>
      <c r="AA232" s="410">
        <f t="shared" si="50"/>
        <v>421776</v>
      </c>
      <c r="AB232" s="362"/>
      <c r="AC232" s="412">
        <f t="shared" si="51"/>
        <v>0</v>
      </c>
      <c r="AD232" s="405"/>
      <c r="AE232" s="413"/>
      <c r="AF232" s="424">
        <f t="shared" si="49"/>
        <v>421776</v>
      </c>
      <c r="AG232" s="405" t="s">
        <v>1069</v>
      </c>
      <c r="AH232" s="395">
        <v>0</v>
      </c>
      <c r="AI232" s="405">
        <v>60</v>
      </c>
      <c r="AJ232" s="405" t="s">
        <v>1206</v>
      </c>
      <c r="AK232" s="405" t="s">
        <v>1207</v>
      </c>
      <c r="AL232" s="425" t="s">
        <v>1208</v>
      </c>
      <c r="AM232" s="405" t="s">
        <v>52</v>
      </c>
      <c r="AN232" s="405" t="s">
        <v>1082</v>
      </c>
      <c r="AO232" s="405"/>
      <c r="AP232" s="405" t="s">
        <v>38</v>
      </c>
      <c r="AQ232" s="405" t="s">
        <v>1083</v>
      </c>
      <c r="AR232" s="405"/>
      <c r="AS232" s="369" t="s">
        <v>1073</v>
      </c>
      <c r="AT232" s="363" t="s">
        <v>1073</v>
      </c>
      <c r="AU232" s="403"/>
      <c r="AV232" s="402">
        <f t="shared" si="44"/>
        <v>0</v>
      </c>
      <c r="AW232" s="402" cm="1">
        <f t="array" ref="AW232">SUM(MID(0&amp;AV232,LARGE(INDEX(ISNUMBER(--MID(AV232,ROW($1:$8),1))*ROW($1:$8),),ROW($1:$8))+1,1)*10^ROW($1:$8)/10)</f>
        <v>0</v>
      </c>
      <c r="AX232" s="402" t="e">
        <f>VLOOKUP($AW232,'Item Master Data'!$A:$F,3,FALSE)</f>
        <v>#N/A</v>
      </c>
      <c r="AY232" s="402" t="e">
        <f>VLOOKUP($AW232,'Item Master Data'!$A:$F,6,FALSE)</f>
        <v>#N/A</v>
      </c>
      <c r="AZ232" s="402" t="e">
        <f t="shared" si="45"/>
        <v>#N/A</v>
      </c>
      <c r="BA232" s="402" t="e">
        <f>VLOOKUP(AW232,'Item Master Data'!$A:$G,7,FALSE)</f>
        <v>#N/A</v>
      </c>
      <c r="BB232" s="402"/>
      <c r="BC232" s="402" t="e">
        <f t="shared" si="46"/>
        <v>#N/A</v>
      </c>
    </row>
    <row r="233" spans="1:55">
      <c r="A233" s="377"/>
      <c r="B233" s="376"/>
      <c r="C233" s="376"/>
      <c r="D233" s="405" t="s">
        <v>1066</v>
      </c>
      <c r="E233" s="364" t="s">
        <v>4853</v>
      </c>
      <c r="F233" s="405"/>
      <c r="G233" s="405">
        <v>2022</v>
      </c>
      <c r="H233" s="405">
        <v>6</v>
      </c>
      <c r="I233" s="416"/>
      <c r="J233" s="406"/>
      <c r="K233" s="405" t="s">
        <v>1219</v>
      </c>
      <c r="L233" s="406" t="s">
        <v>1205</v>
      </c>
      <c r="M233" s="406">
        <v>44613</v>
      </c>
      <c r="N233" s="406">
        <v>44713</v>
      </c>
      <c r="O233" s="406"/>
      <c r="P233" s="406"/>
      <c r="Q233" s="406"/>
      <c r="R233" s="406"/>
      <c r="S233" s="405" t="s">
        <v>1107</v>
      </c>
      <c r="T233" s="405">
        <v>72</v>
      </c>
      <c r="U233" s="405"/>
      <c r="V233" s="405" t="s">
        <v>1068</v>
      </c>
      <c r="W233" s="407">
        <v>480</v>
      </c>
      <c r="X233" s="371">
        <v>1740</v>
      </c>
      <c r="Y233" s="422">
        <f t="shared" si="47"/>
        <v>835200</v>
      </c>
      <c r="Z233" s="409">
        <v>0.505</v>
      </c>
      <c r="AA233" s="410">
        <f t="shared" si="50"/>
        <v>421776</v>
      </c>
      <c r="AB233" s="362"/>
      <c r="AC233" s="412">
        <f t="shared" si="51"/>
        <v>0</v>
      </c>
      <c r="AD233" s="405"/>
      <c r="AE233" s="413"/>
      <c r="AF233" s="424">
        <f t="shared" si="49"/>
        <v>421776</v>
      </c>
      <c r="AG233" s="405" t="s">
        <v>1069</v>
      </c>
      <c r="AH233" s="395">
        <v>0</v>
      </c>
      <c r="AI233" s="405">
        <v>60</v>
      </c>
      <c r="AJ233" s="405" t="s">
        <v>1206</v>
      </c>
      <c r="AK233" s="405" t="s">
        <v>1207</v>
      </c>
      <c r="AL233" s="425" t="s">
        <v>1208</v>
      </c>
      <c r="AM233" s="405" t="s">
        <v>52</v>
      </c>
      <c r="AN233" s="405" t="s">
        <v>1082</v>
      </c>
      <c r="AO233" s="405"/>
      <c r="AP233" s="405" t="s">
        <v>38</v>
      </c>
      <c r="AQ233" s="405" t="s">
        <v>1083</v>
      </c>
      <c r="AR233" s="405"/>
      <c r="AS233" s="369" t="s">
        <v>1073</v>
      </c>
      <c r="AT233" s="363" t="s">
        <v>1073</v>
      </c>
      <c r="AU233" s="403"/>
      <c r="AV233" s="402">
        <f t="shared" si="44"/>
        <v>0</v>
      </c>
      <c r="AW233" s="402" cm="1">
        <f t="array" ref="AW233">SUM(MID(0&amp;AV233,LARGE(INDEX(ISNUMBER(--MID(AV233,ROW($1:$8),1))*ROW($1:$8),),ROW($1:$8))+1,1)*10^ROW($1:$8)/10)</f>
        <v>0</v>
      </c>
      <c r="AX233" s="402" t="e">
        <f>VLOOKUP($AW233,'Item Master Data'!$A:$F,3,FALSE)</f>
        <v>#N/A</v>
      </c>
      <c r="AY233" s="402" t="e">
        <f>VLOOKUP($AW233,'Item Master Data'!$A:$F,6,FALSE)</f>
        <v>#N/A</v>
      </c>
      <c r="AZ233" s="402" t="e">
        <f t="shared" si="45"/>
        <v>#N/A</v>
      </c>
      <c r="BA233" s="402" t="e">
        <f>VLOOKUP(AW233,'Item Master Data'!$A:$G,7,FALSE)</f>
        <v>#N/A</v>
      </c>
      <c r="BB233" s="402"/>
      <c r="BC233" s="402" t="e">
        <f t="shared" si="46"/>
        <v>#N/A</v>
      </c>
    </row>
    <row r="234" spans="1:55">
      <c r="A234" s="377"/>
      <c r="B234" s="376"/>
      <c r="C234" s="376"/>
      <c r="D234" s="405" t="s">
        <v>1066</v>
      </c>
      <c r="E234" s="364" t="s">
        <v>4853</v>
      </c>
      <c r="F234" s="405"/>
      <c r="G234" s="405">
        <v>2022</v>
      </c>
      <c r="H234" s="405">
        <v>6</v>
      </c>
      <c r="I234" s="416"/>
      <c r="J234" s="406"/>
      <c r="K234" s="405" t="s">
        <v>1220</v>
      </c>
      <c r="L234" s="406" t="s">
        <v>1205</v>
      </c>
      <c r="M234" s="406">
        <v>44613</v>
      </c>
      <c r="N234" s="406">
        <v>44743</v>
      </c>
      <c r="O234" s="406"/>
      <c r="P234" s="406"/>
      <c r="Q234" s="406"/>
      <c r="R234" s="406"/>
      <c r="S234" s="405" t="s">
        <v>1107</v>
      </c>
      <c r="T234" s="405">
        <v>72</v>
      </c>
      <c r="U234" s="405"/>
      <c r="V234" s="405" t="s">
        <v>1068</v>
      </c>
      <c r="W234" s="407">
        <v>480</v>
      </c>
      <c r="X234" s="371">
        <v>1740</v>
      </c>
      <c r="Y234" s="422">
        <f t="shared" si="47"/>
        <v>835200</v>
      </c>
      <c r="Z234" s="409">
        <v>0.505</v>
      </c>
      <c r="AA234" s="410">
        <f t="shared" si="50"/>
        <v>421776</v>
      </c>
      <c r="AB234" s="362"/>
      <c r="AC234" s="412">
        <f t="shared" si="51"/>
        <v>0</v>
      </c>
      <c r="AD234" s="405"/>
      <c r="AE234" s="413"/>
      <c r="AF234" s="424">
        <f t="shared" si="49"/>
        <v>421776</v>
      </c>
      <c r="AG234" s="405" t="s">
        <v>1069</v>
      </c>
      <c r="AH234" s="395">
        <v>0</v>
      </c>
      <c r="AI234" s="405">
        <v>60</v>
      </c>
      <c r="AJ234" s="405" t="s">
        <v>1206</v>
      </c>
      <c r="AK234" s="405" t="s">
        <v>1207</v>
      </c>
      <c r="AL234" s="425" t="s">
        <v>1208</v>
      </c>
      <c r="AM234" s="405" t="s">
        <v>52</v>
      </c>
      <c r="AN234" s="405" t="s">
        <v>1082</v>
      </c>
      <c r="AO234" s="405"/>
      <c r="AP234" s="405" t="s">
        <v>38</v>
      </c>
      <c r="AQ234" s="405" t="s">
        <v>1083</v>
      </c>
      <c r="AR234" s="405"/>
      <c r="AS234" s="369" t="s">
        <v>1073</v>
      </c>
      <c r="AT234" s="363" t="s">
        <v>1073</v>
      </c>
      <c r="AU234" s="403"/>
      <c r="AV234" s="402">
        <f t="shared" si="44"/>
        <v>0</v>
      </c>
      <c r="AW234" s="402" cm="1">
        <f t="array" ref="AW234">SUM(MID(0&amp;AV234,LARGE(INDEX(ISNUMBER(--MID(AV234,ROW($1:$8),1))*ROW($1:$8),),ROW($1:$8))+1,1)*10^ROW($1:$8)/10)</f>
        <v>0</v>
      </c>
      <c r="AX234" s="402" t="e">
        <f>VLOOKUP($AW234,'Item Master Data'!$A:$F,3,FALSE)</f>
        <v>#N/A</v>
      </c>
      <c r="AY234" s="402" t="e">
        <f>VLOOKUP($AW234,'Item Master Data'!$A:$F,6,FALSE)</f>
        <v>#N/A</v>
      </c>
      <c r="AZ234" s="402" t="e">
        <f t="shared" si="45"/>
        <v>#N/A</v>
      </c>
      <c r="BA234" s="402" t="e">
        <f>VLOOKUP(AW234,'Item Master Data'!$A:$G,7,FALSE)</f>
        <v>#N/A</v>
      </c>
      <c r="BB234" s="402"/>
      <c r="BC234" s="402" t="e">
        <f t="shared" si="46"/>
        <v>#N/A</v>
      </c>
    </row>
    <row r="235" spans="1:55">
      <c r="A235" s="377"/>
      <c r="B235" s="376"/>
      <c r="C235" s="376"/>
      <c r="D235" s="405" t="s">
        <v>1066</v>
      </c>
      <c r="E235" s="364" t="s">
        <v>4113</v>
      </c>
      <c r="F235" s="405"/>
      <c r="G235" s="405">
        <v>2022</v>
      </c>
      <c r="H235" s="405">
        <v>8</v>
      </c>
      <c r="I235" s="416"/>
      <c r="J235" s="406"/>
      <c r="K235" s="405" t="s">
        <v>1221</v>
      </c>
      <c r="L235" s="406" t="s">
        <v>1205</v>
      </c>
      <c r="M235" s="406">
        <v>44641</v>
      </c>
      <c r="N235" s="406">
        <v>44774</v>
      </c>
      <c r="O235" s="406"/>
      <c r="P235" s="406"/>
      <c r="Q235" s="406"/>
      <c r="R235" s="406"/>
      <c r="S235" s="405" t="s">
        <v>1107</v>
      </c>
      <c r="T235" s="405">
        <v>72</v>
      </c>
      <c r="U235" s="405"/>
      <c r="V235" s="405" t="s">
        <v>1068</v>
      </c>
      <c r="W235" s="407">
        <v>480</v>
      </c>
      <c r="X235" s="371">
        <v>1740</v>
      </c>
      <c r="Y235" s="422">
        <f t="shared" si="47"/>
        <v>835200</v>
      </c>
      <c r="Z235" s="409">
        <v>0.505</v>
      </c>
      <c r="AA235" s="410">
        <f t="shared" si="50"/>
        <v>421776</v>
      </c>
      <c r="AB235" s="362"/>
      <c r="AC235" s="412">
        <f t="shared" si="51"/>
        <v>0</v>
      </c>
      <c r="AD235" s="405"/>
      <c r="AE235" s="413"/>
      <c r="AF235" s="424">
        <f t="shared" si="49"/>
        <v>421776</v>
      </c>
      <c r="AG235" s="405" t="s">
        <v>1069</v>
      </c>
      <c r="AH235" s="395">
        <v>0</v>
      </c>
      <c r="AI235" s="405">
        <v>60</v>
      </c>
      <c r="AJ235" s="405" t="s">
        <v>1206</v>
      </c>
      <c r="AK235" s="405" t="s">
        <v>1207</v>
      </c>
      <c r="AL235" s="425" t="s">
        <v>1208</v>
      </c>
      <c r="AM235" s="405" t="s">
        <v>52</v>
      </c>
      <c r="AN235" s="405" t="s">
        <v>1082</v>
      </c>
      <c r="AO235" s="405"/>
      <c r="AP235" s="405" t="s">
        <v>38</v>
      </c>
      <c r="AQ235" s="405" t="s">
        <v>1083</v>
      </c>
      <c r="AR235" s="405"/>
      <c r="AS235" s="369" t="s">
        <v>1073</v>
      </c>
      <c r="AT235" s="363" t="s">
        <v>1073</v>
      </c>
      <c r="AU235" s="403"/>
      <c r="AV235" s="402">
        <f t="shared" si="44"/>
        <v>0</v>
      </c>
      <c r="AW235" s="402" cm="1">
        <f t="array" ref="AW235">SUM(MID(0&amp;AV235,LARGE(INDEX(ISNUMBER(--MID(AV235,ROW($1:$8),1))*ROW($1:$8),),ROW($1:$8))+1,1)*10^ROW($1:$8)/10)</f>
        <v>0</v>
      </c>
      <c r="AX235" s="402" t="e">
        <f>VLOOKUP($AW235,'Item Master Data'!$A:$F,3,FALSE)</f>
        <v>#N/A</v>
      </c>
      <c r="AY235" s="402" t="e">
        <f>VLOOKUP($AW235,'Item Master Data'!$A:$F,6,FALSE)</f>
        <v>#N/A</v>
      </c>
      <c r="AZ235" s="402" t="e">
        <f t="shared" si="45"/>
        <v>#N/A</v>
      </c>
      <c r="BA235" s="402" t="e">
        <f>VLOOKUP(AW235,'Item Master Data'!$A:$G,7,FALSE)</f>
        <v>#N/A</v>
      </c>
      <c r="BB235" s="402"/>
      <c r="BC235" s="402" t="e">
        <f t="shared" si="46"/>
        <v>#N/A</v>
      </c>
    </row>
    <row r="236" spans="1:55">
      <c r="A236" s="377"/>
      <c r="B236" s="376"/>
      <c r="C236" s="376"/>
      <c r="D236" s="405" t="s">
        <v>1066</v>
      </c>
      <c r="E236" s="364" t="s">
        <v>4113</v>
      </c>
      <c r="F236" s="405"/>
      <c r="G236" s="405">
        <v>2022</v>
      </c>
      <c r="H236" s="405">
        <v>9</v>
      </c>
      <c r="I236" s="416"/>
      <c r="J236" s="406"/>
      <c r="K236" s="405" t="s">
        <v>1222</v>
      </c>
      <c r="L236" s="406" t="s">
        <v>1205</v>
      </c>
      <c r="M236" s="406">
        <v>44641</v>
      </c>
      <c r="N236" s="406">
        <v>44805</v>
      </c>
      <c r="O236" s="406"/>
      <c r="P236" s="406"/>
      <c r="Q236" s="406"/>
      <c r="R236" s="406"/>
      <c r="S236" s="405" t="s">
        <v>1107</v>
      </c>
      <c r="T236" s="405">
        <v>72</v>
      </c>
      <c r="U236" s="405"/>
      <c r="V236" s="405" t="s">
        <v>1068</v>
      </c>
      <c r="W236" s="407">
        <v>480</v>
      </c>
      <c r="X236" s="371">
        <v>1740</v>
      </c>
      <c r="Y236" s="422">
        <f t="shared" si="47"/>
        <v>835200</v>
      </c>
      <c r="Z236" s="409">
        <v>0.505</v>
      </c>
      <c r="AA236" s="410">
        <f t="shared" si="50"/>
        <v>421776</v>
      </c>
      <c r="AB236" s="362"/>
      <c r="AC236" s="412">
        <f t="shared" si="51"/>
        <v>0</v>
      </c>
      <c r="AD236" s="405"/>
      <c r="AE236" s="413"/>
      <c r="AF236" s="424">
        <f t="shared" si="49"/>
        <v>421776</v>
      </c>
      <c r="AG236" s="405" t="s">
        <v>1069</v>
      </c>
      <c r="AH236" s="395">
        <v>0</v>
      </c>
      <c r="AI236" s="405">
        <v>60</v>
      </c>
      <c r="AJ236" s="405" t="s">
        <v>1206</v>
      </c>
      <c r="AK236" s="405" t="s">
        <v>1207</v>
      </c>
      <c r="AL236" s="425" t="s">
        <v>1208</v>
      </c>
      <c r="AM236" s="405" t="s">
        <v>52</v>
      </c>
      <c r="AN236" s="405" t="s">
        <v>1082</v>
      </c>
      <c r="AO236" s="405"/>
      <c r="AP236" s="405" t="s">
        <v>38</v>
      </c>
      <c r="AQ236" s="405" t="s">
        <v>1083</v>
      </c>
      <c r="AR236" s="405"/>
      <c r="AS236" s="369" t="s">
        <v>1073</v>
      </c>
      <c r="AT236" s="363" t="s">
        <v>1073</v>
      </c>
      <c r="AU236" s="403"/>
      <c r="AV236" s="402">
        <f t="shared" si="44"/>
        <v>0</v>
      </c>
      <c r="AW236" s="402" cm="1">
        <f t="array" ref="AW236">SUM(MID(0&amp;AV236,LARGE(INDEX(ISNUMBER(--MID(AV236,ROW($1:$8),1))*ROW($1:$8),),ROW($1:$8))+1,1)*10^ROW($1:$8)/10)</f>
        <v>0</v>
      </c>
      <c r="AX236" s="402" t="e">
        <f>VLOOKUP($AW236,'Item Master Data'!$A:$F,3,FALSE)</f>
        <v>#N/A</v>
      </c>
      <c r="AY236" s="402" t="e">
        <f>VLOOKUP($AW236,'Item Master Data'!$A:$F,6,FALSE)</f>
        <v>#N/A</v>
      </c>
      <c r="AZ236" s="402" t="e">
        <f t="shared" si="45"/>
        <v>#N/A</v>
      </c>
      <c r="BA236" s="402" t="e">
        <f>VLOOKUP(AW236,'Item Master Data'!$A:$G,7,FALSE)</f>
        <v>#N/A</v>
      </c>
      <c r="BB236" s="402"/>
      <c r="BC236" s="402" t="e">
        <f t="shared" si="46"/>
        <v>#N/A</v>
      </c>
    </row>
    <row r="237" spans="1:55">
      <c r="A237" s="377"/>
      <c r="B237" s="376"/>
      <c r="C237" s="376"/>
      <c r="D237" s="405" t="s">
        <v>1066</v>
      </c>
      <c r="E237" s="364" t="s">
        <v>4113</v>
      </c>
      <c r="F237" s="405"/>
      <c r="G237" s="405">
        <v>2022</v>
      </c>
      <c r="H237" s="405">
        <v>10</v>
      </c>
      <c r="I237" s="416"/>
      <c r="J237" s="406"/>
      <c r="K237" s="405" t="s">
        <v>1223</v>
      </c>
      <c r="L237" s="406" t="s">
        <v>1205</v>
      </c>
      <c r="M237" s="406">
        <v>44641</v>
      </c>
      <c r="N237" s="406">
        <v>44835</v>
      </c>
      <c r="O237" s="406"/>
      <c r="P237" s="406"/>
      <c r="Q237" s="406"/>
      <c r="R237" s="406"/>
      <c r="S237" s="405" t="s">
        <v>1107</v>
      </c>
      <c r="T237" s="405">
        <v>72</v>
      </c>
      <c r="U237" s="405"/>
      <c r="V237" s="405" t="s">
        <v>1068</v>
      </c>
      <c r="W237" s="407">
        <v>480</v>
      </c>
      <c r="X237" s="371">
        <v>1740</v>
      </c>
      <c r="Y237" s="422">
        <f t="shared" si="47"/>
        <v>835200</v>
      </c>
      <c r="Z237" s="409">
        <v>0.505</v>
      </c>
      <c r="AA237" s="410">
        <f t="shared" si="50"/>
        <v>421776</v>
      </c>
      <c r="AB237" s="362"/>
      <c r="AC237" s="412">
        <f t="shared" si="51"/>
        <v>0</v>
      </c>
      <c r="AD237" s="405"/>
      <c r="AE237" s="413"/>
      <c r="AF237" s="424">
        <f t="shared" si="49"/>
        <v>421776</v>
      </c>
      <c r="AG237" s="405" t="s">
        <v>1069</v>
      </c>
      <c r="AH237" s="395">
        <v>0</v>
      </c>
      <c r="AI237" s="405">
        <v>60</v>
      </c>
      <c r="AJ237" s="405" t="s">
        <v>1206</v>
      </c>
      <c r="AK237" s="405" t="s">
        <v>1207</v>
      </c>
      <c r="AL237" s="425" t="s">
        <v>1208</v>
      </c>
      <c r="AM237" s="405" t="s">
        <v>52</v>
      </c>
      <c r="AN237" s="405" t="s">
        <v>1082</v>
      </c>
      <c r="AO237" s="405"/>
      <c r="AP237" s="405" t="s">
        <v>38</v>
      </c>
      <c r="AQ237" s="405" t="s">
        <v>1083</v>
      </c>
      <c r="AR237" s="405"/>
      <c r="AS237" s="369" t="s">
        <v>1073</v>
      </c>
      <c r="AT237" s="363" t="s">
        <v>1073</v>
      </c>
      <c r="AU237" s="403"/>
      <c r="AV237" s="402">
        <f t="shared" si="44"/>
        <v>0</v>
      </c>
      <c r="AW237" s="402" cm="1">
        <f t="array" ref="AW237">SUM(MID(0&amp;AV237,LARGE(INDEX(ISNUMBER(--MID(AV237,ROW($1:$8),1))*ROW($1:$8),),ROW($1:$8))+1,1)*10^ROW($1:$8)/10)</f>
        <v>0</v>
      </c>
      <c r="AX237" s="402" t="e">
        <f>VLOOKUP($AW237,'Item Master Data'!$A:$F,3,FALSE)</f>
        <v>#N/A</v>
      </c>
      <c r="AY237" s="402" t="e">
        <f>VLOOKUP($AW237,'Item Master Data'!$A:$F,6,FALSE)</f>
        <v>#N/A</v>
      </c>
      <c r="AZ237" s="402" t="e">
        <f t="shared" si="45"/>
        <v>#N/A</v>
      </c>
      <c r="BA237" s="402" t="e">
        <f>VLOOKUP(AW237,'Item Master Data'!$A:$G,7,FALSE)</f>
        <v>#N/A</v>
      </c>
      <c r="BB237" s="402"/>
      <c r="BC237" s="402" t="e">
        <f t="shared" si="46"/>
        <v>#N/A</v>
      </c>
    </row>
    <row r="238" spans="1:55">
      <c r="A238" s="377"/>
      <c r="B238" s="376">
        <v>44574</v>
      </c>
      <c r="C238" s="376">
        <v>44575</v>
      </c>
      <c r="D238" s="405" t="s">
        <v>1066</v>
      </c>
      <c r="E238" s="364" t="s">
        <v>1307</v>
      </c>
      <c r="F238" s="405"/>
      <c r="G238" s="405">
        <v>2022</v>
      </c>
      <c r="H238" s="405">
        <v>6</v>
      </c>
      <c r="I238" s="416"/>
      <c r="J238" s="406"/>
      <c r="K238" s="405" t="s">
        <v>1303</v>
      </c>
      <c r="L238" s="406" t="s">
        <v>1302</v>
      </c>
      <c r="M238" s="406">
        <v>44574</v>
      </c>
      <c r="N238" s="406">
        <v>44713</v>
      </c>
      <c r="O238" s="406"/>
      <c r="P238" s="406"/>
      <c r="Q238" s="406"/>
      <c r="R238" s="406"/>
      <c r="S238" s="405" t="s">
        <v>1107</v>
      </c>
      <c r="T238" s="405">
        <v>60</v>
      </c>
      <c r="U238" s="405" t="s">
        <v>1102</v>
      </c>
      <c r="V238" s="405" t="s">
        <v>986</v>
      </c>
      <c r="W238" s="407">
        <v>360</v>
      </c>
      <c r="X238" s="371">
        <v>832</v>
      </c>
      <c r="Y238" s="422">
        <f t="shared" si="47"/>
        <v>299520</v>
      </c>
      <c r="Z238" s="409">
        <v>0.53</v>
      </c>
      <c r="AA238" s="410">
        <f>Y238*Z238</f>
        <v>158745.60000000001</v>
      </c>
      <c r="AB238" s="362"/>
      <c r="AC238" s="412">
        <v>0</v>
      </c>
      <c r="AD238" s="405"/>
      <c r="AE238" s="413"/>
      <c r="AF238" s="424">
        <f t="shared" si="49"/>
        <v>158745.60000000001</v>
      </c>
      <c r="AG238" s="405" t="s">
        <v>1069</v>
      </c>
      <c r="AH238" s="395"/>
      <c r="AI238" s="405">
        <v>60</v>
      </c>
      <c r="AJ238" s="405" t="s">
        <v>1238</v>
      </c>
      <c r="AK238" s="405" t="s">
        <v>1234</v>
      </c>
      <c r="AL238" s="425">
        <v>63134</v>
      </c>
      <c r="AM238" s="405" t="s">
        <v>52</v>
      </c>
      <c r="AN238" s="405" t="s">
        <v>1071</v>
      </c>
      <c r="AO238" s="405"/>
      <c r="AP238" s="405"/>
      <c r="AQ238" s="405"/>
      <c r="AR238" s="405" t="s">
        <v>1188</v>
      </c>
      <c r="AS238" s="369"/>
      <c r="AT238" s="363" t="s">
        <v>1073</v>
      </c>
      <c r="AU238" s="403"/>
      <c r="AV238" s="402" t="str">
        <f t="shared" si="44"/>
        <v>TBD</v>
      </c>
      <c r="AW238" s="402" cm="1">
        <f t="array" ref="AW238">SUM(MID(0&amp;AV238,LARGE(INDEX(ISNUMBER(--MID(AV238,ROW($1:$8),1))*ROW($1:$8),),ROW($1:$8))+1,1)*10^ROW($1:$8)/10)</f>
        <v>0</v>
      </c>
      <c r="AX238" s="402" t="e">
        <f>VLOOKUP($AW238,'Item Master Data'!$A:$F,3,FALSE)</f>
        <v>#N/A</v>
      </c>
      <c r="AY238" s="402" t="e">
        <f>VLOOKUP($AW238,'Item Master Data'!$A:$F,6,FALSE)</f>
        <v>#N/A</v>
      </c>
      <c r="AZ238" s="402" t="e">
        <f t="shared" si="45"/>
        <v>#N/A</v>
      </c>
      <c r="BA238" s="402" t="e">
        <f>VLOOKUP(AW238,'Item Master Data'!$A:$G,7,FALSE)</f>
        <v>#N/A</v>
      </c>
      <c r="BB238" s="402"/>
      <c r="BC238" s="402" t="e">
        <f t="shared" si="46"/>
        <v>#N/A</v>
      </c>
    </row>
    <row r="239" spans="1:55">
      <c r="A239" s="377"/>
      <c r="B239" s="376"/>
      <c r="C239" s="376"/>
      <c r="D239" s="405" t="s">
        <v>1066</v>
      </c>
      <c r="E239" s="364" t="s">
        <v>4113</v>
      </c>
      <c r="F239" s="405"/>
      <c r="G239" s="405">
        <v>2022</v>
      </c>
      <c r="H239" s="405">
        <v>11</v>
      </c>
      <c r="I239" s="416"/>
      <c r="J239" s="406"/>
      <c r="K239" s="405" t="s">
        <v>1224</v>
      </c>
      <c r="L239" s="406" t="s">
        <v>1205</v>
      </c>
      <c r="M239" s="406">
        <v>44641</v>
      </c>
      <c r="N239" s="406">
        <v>44866</v>
      </c>
      <c r="O239" s="406"/>
      <c r="P239" s="406"/>
      <c r="Q239" s="406"/>
      <c r="R239" s="406"/>
      <c r="S239" s="405" t="s">
        <v>1107</v>
      </c>
      <c r="T239" s="405">
        <v>72</v>
      </c>
      <c r="U239" s="405"/>
      <c r="V239" s="405" t="s">
        <v>1068</v>
      </c>
      <c r="W239" s="407">
        <v>480</v>
      </c>
      <c r="X239" s="371">
        <v>1740</v>
      </c>
      <c r="Y239" s="422">
        <f t="shared" si="47"/>
        <v>835200</v>
      </c>
      <c r="Z239" s="409">
        <v>0.505</v>
      </c>
      <c r="AA239" s="410">
        <f>Z239*Y239</f>
        <v>421776</v>
      </c>
      <c r="AB239" s="362"/>
      <c r="AC239" s="412">
        <f>AB239*Y239</f>
        <v>0</v>
      </c>
      <c r="AD239" s="405"/>
      <c r="AE239" s="413"/>
      <c r="AF239" s="424">
        <f t="shared" si="49"/>
        <v>421776</v>
      </c>
      <c r="AG239" s="405" t="s">
        <v>1069</v>
      </c>
      <c r="AH239" s="395">
        <v>0</v>
      </c>
      <c r="AI239" s="405">
        <v>60</v>
      </c>
      <c r="AJ239" s="405" t="s">
        <v>1206</v>
      </c>
      <c r="AK239" s="405" t="s">
        <v>1207</v>
      </c>
      <c r="AL239" s="425" t="s">
        <v>1208</v>
      </c>
      <c r="AM239" s="405" t="s">
        <v>52</v>
      </c>
      <c r="AN239" s="405" t="s">
        <v>1082</v>
      </c>
      <c r="AO239" s="405"/>
      <c r="AP239" s="405" t="s">
        <v>38</v>
      </c>
      <c r="AQ239" s="405" t="s">
        <v>1083</v>
      </c>
      <c r="AR239" s="405"/>
      <c r="AS239" s="369" t="s">
        <v>1073</v>
      </c>
      <c r="AT239" s="363" t="s">
        <v>1073</v>
      </c>
      <c r="AU239" s="403"/>
      <c r="AV239" s="402"/>
      <c r="AW239" s="402"/>
      <c r="AX239" s="402"/>
      <c r="AY239" s="402"/>
      <c r="AZ239" s="402"/>
      <c r="BA239" s="402"/>
      <c r="BB239" s="402"/>
      <c r="BC239" s="402"/>
    </row>
    <row r="240" spans="1:55">
      <c r="A240" s="377"/>
      <c r="B240" s="376" t="s">
        <v>1186</v>
      </c>
      <c r="C240" s="376" t="s">
        <v>1186</v>
      </c>
      <c r="D240" s="405" t="s">
        <v>1066</v>
      </c>
      <c r="E240" s="364" t="s">
        <v>4853</v>
      </c>
      <c r="F240" s="405"/>
      <c r="G240" s="405">
        <v>2022</v>
      </c>
      <c r="H240" s="405">
        <v>6</v>
      </c>
      <c r="I240" s="416"/>
      <c r="J240" s="406"/>
      <c r="K240" s="405" t="s">
        <v>1240</v>
      </c>
      <c r="L240" s="406" t="s">
        <v>1232</v>
      </c>
      <c r="M240" s="406">
        <v>44639</v>
      </c>
      <c r="N240" s="406">
        <v>44668</v>
      </c>
      <c r="O240" s="406"/>
      <c r="P240" s="406" t="s">
        <v>4453</v>
      </c>
      <c r="Q240" s="406"/>
      <c r="R240" s="406"/>
      <c r="S240" s="405" t="s">
        <v>1107</v>
      </c>
      <c r="T240" s="405">
        <v>72</v>
      </c>
      <c r="U240" s="405" t="s">
        <v>1079</v>
      </c>
      <c r="V240" s="405" t="s">
        <v>1068</v>
      </c>
      <c r="W240" s="407">
        <v>480</v>
      </c>
      <c r="X240" s="371">
        <v>580</v>
      </c>
      <c r="Y240" s="422">
        <f t="shared" si="47"/>
        <v>278400</v>
      </c>
      <c r="Z240" s="409">
        <v>0.505</v>
      </c>
      <c r="AA240" s="410">
        <f>Z240*Y240</f>
        <v>140592</v>
      </c>
      <c r="AB240" s="362"/>
      <c r="AC240" s="412">
        <f>AB240*Y240</f>
        <v>0</v>
      </c>
      <c r="AD240" s="405"/>
      <c r="AE240" s="413"/>
      <c r="AF240" s="424">
        <f t="shared" si="49"/>
        <v>140592</v>
      </c>
      <c r="AG240" s="405" t="s">
        <v>1069</v>
      </c>
      <c r="AH240" s="395"/>
      <c r="AI240" s="405">
        <v>60</v>
      </c>
      <c r="AJ240" s="405" t="s">
        <v>1233</v>
      </c>
      <c r="AK240" s="405" t="s">
        <v>1234</v>
      </c>
      <c r="AL240" s="425" t="s">
        <v>1235</v>
      </c>
      <c r="AM240" s="405" t="s">
        <v>52</v>
      </c>
      <c r="AN240" s="405" t="s">
        <v>1082</v>
      </c>
      <c r="AO240" s="405"/>
      <c r="AP240" s="405" t="s">
        <v>92</v>
      </c>
      <c r="AQ240" s="405"/>
      <c r="AR240" s="405" t="s">
        <v>1188</v>
      </c>
      <c r="AS240" s="369"/>
      <c r="AT240" s="363"/>
      <c r="AU240" s="403"/>
      <c r="AV240" s="402" t="str">
        <f>U240</f>
        <v>12005833C</v>
      </c>
      <c r="AW240" s="402" cm="1">
        <f t="array" ref="AW240">SUM(MID(0&amp;AV240,LARGE(INDEX(ISNUMBER(--MID(AV240,ROW($1:$8),1))*ROW($1:$8),),ROW($1:$8))+1,1)*10^ROW($1:$8)/10)</f>
        <v>12005833</v>
      </c>
      <c r="AX240" s="402" t="str">
        <f>VLOOKUP($AW240,'Item Master Data'!$A:$F,3,FALSE)</f>
        <v>Q.PEAK DUO XL G10 BFG</v>
      </c>
      <c r="AY240" s="402">
        <f>VLOOKUP($AW240,'Item Master Data'!$A:$F,6,FALSE)</f>
        <v>475</v>
      </c>
      <c r="AZ240" s="402">
        <f>X240/BA240</f>
        <v>19.333333333333332</v>
      </c>
      <c r="BA240" s="402">
        <f>VLOOKUP(AW240,'Item Master Data'!$A:$G,7,FALSE)</f>
        <v>30</v>
      </c>
      <c r="BB240" s="402"/>
      <c r="BC240" s="402">
        <f>W240-AY240</f>
        <v>5</v>
      </c>
    </row>
    <row r="241" spans="1:55">
      <c r="A241" s="377"/>
      <c r="B241" s="376"/>
      <c r="C241" s="376"/>
      <c r="D241" s="405" t="s">
        <v>1066</v>
      </c>
      <c r="E241" s="364" t="s">
        <v>4853</v>
      </c>
      <c r="F241" s="405" t="s">
        <v>87</v>
      </c>
      <c r="G241" s="405">
        <v>2022</v>
      </c>
      <c r="H241" s="405">
        <v>6</v>
      </c>
      <c r="I241" s="416"/>
      <c r="J241" s="406"/>
      <c r="K241" s="405" t="s">
        <v>1249</v>
      </c>
      <c r="L241" s="406" t="s">
        <v>1250</v>
      </c>
      <c r="M241" s="406">
        <v>44575</v>
      </c>
      <c r="N241" s="406">
        <v>44682</v>
      </c>
      <c r="O241" s="406"/>
      <c r="P241" s="406"/>
      <c r="Q241" s="406"/>
      <c r="R241" s="406"/>
      <c r="S241" s="405" t="s">
        <v>1067</v>
      </c>
      <c r="T241" s="405">
        <v>72</v>
      </c>
      <c r="U241" s="405">
        <v>49303155</v>
      </c>
      <c r="V241" s="405" t="s">
        <v>1068</v>
      </c>
      <c r="W241" s="407">
        <v>480</v>
      </c>
      <c r="X241" s="371">
        <v>638</v>
      </c>
      <c r="Y241" s="422">
        <f t="shared" si="47"/>
        <v>306240</v>
      </c>
      <c r="Z241" s="409">
        <v>0.49</v>
      </c>
      <c r="AA241" s="410">
        <f>Y241*Z241</f>
        <v>150057.60000000001</v>
      </c>
      <c r="AB241" s="362"/>
      <c r="AC241" s="412">
        <v>0</v>
      </c>
      <c r="AD241" s="405"/>
      <c r="AE241" s="413"/>
      <c r="AF241" s="424">
        <f t="shared" si="49"/>
        <v>150057.60000000001</v>
      </c>
      <c r="AG241" s="405" t="s">
        <v>1069</v>
      </c>
      <c r="AH241" s="395"/>
      <c r="AI241" s="405">
        <v>60</v>
      </c>
      <c r="AJ241" s="405" t="s">
        <v>1251</v>
      </c>
      <c r="AK241" s="405" t="s">
        <v>1252</v>
      </c>
      <c r="AL241" s="425" t="s">
        <v>1253</v>
      </c>
      <c r="AM241" s="405" t="s">
        <v>52</v>
      </c>
      <c r="AN241" s="405" t="s">
        <v>1071</v>
      </c>
      <c r="AO241" s="405"/>
      <c r="AP241" s="405"/>
      <c r="AQ241" s="405" t="s">
        <v>37</v>
      </c>
      <c r="AR241" s="405"/>
      <c r="AS241" s="369"/>
      <c r="AT241" s="363"/>
      <c r="AU241" s="403"/>
      <c r="AV241" s="402"/>
      <c r="AW241" s="402"/>
      <c r="AX241" s="402"/>
      <c r="AY241" s="402"/>
      <c r="AZ241" s="402"/>
      <c r="BA241" s="402"/>
      <c r="BB241" s="402"/>
      <c r="BC241" s="402"/>
    </row>
    <row r="242" spans="1:55">
      <c r="A242" s="377"/>
      <c r="B242" s="376"/>
      <c r="C242" s="376"/>
      <c r="D242" s="405" t="s">
        <v>1066</v>
      </c>
      <c r="E242" s="364" t="s">
        <v>4853</v>
      </c>
      <c r="F242" s="405" t="s">
        <v>87</v>
      </c>
      <c r="G242" s="405">
        <v>2022</v>
      </c>
      <c r="H242" s="405">
        <v>6</v>
      </c>
      <c r="I242" s="416"/>
      <c r="J242" s="406"/>
      <c r="K242" s="405" t="s">
        <v>1254</v>
      </c>
      <c r="L242" s="406" t="s">
        <v>1250</v>
      </c>
      <c r="M242" s="406">
        <v>44575</v>
      </c>
      <c r="N242" s="406">
        <v>44742</v>
      </c>
      <c r="O242" s="406"/>
      <c r="P242" s="406"/>
      <c r="Q242" s="406"/>
      <c r="R242" s="406"/>
      <c r="S242" s="405" t="s">
        <v>1067</v>
      </c>
      <c r="T242" s="405">
        <v>72</v>
      </c>
      <c r="U242" s="405">
        <v>49303155</v>
      </c>
      <c r="V242" s="405" t="s">
        <v>1068</v>
      </c>
      <c r="W242" s="407">
        <v>480</v>
      </c>
      <c r="X242" s="371">
        <v>638</v>
      </c>
      <c r="Y242" s="422">
        <f t="shared" si="47"/>
        <v>306240</v>
      </c>
      <c r="Z242" s="409">
        <v>0.49</v>
      </c>
      <c r="AA242" s="410">
        <f>Y242*Z242</f>
        <v>150057.60000000001</v>
      </c>
      <c r="AB242" s="362"/>
      <c r="AC242" s="412">
        <v>0</v>
      </c>
      <c r="AD242" s="405"/>
      <c r="AE242" s="413"/>
      <c r="AF242" s="424">
        <f t="shared" si="49"/>
        <v>150057.60000000001</v>
      </c>
      <c r="AG242" s="405" t="s">
        <v>1069</v>
      </c>
      <c r="AH242" s="395"/>
      <c r="AI242" s="405">
        <v>60</v>
      </c>
      <c r="AJ242" s="405" t="s">
        <v>1251</v>
      </c>
      <c r="AK242" s="405" t="s">
        <v>1252</v>
      </c>
      <c r="AL242" s="425" t="s">
        <v>1253</v>
      </c>
      <c r="AM242" s="405" t="s">
        <v>52</v>
      </c>
      <c r="AN242" s="405" t="s">
        <v>1071</v>
      </c>
      <c r="AO242" s="405"/>
      <c r="AP242" s="405"/>
      <c r="AQ242" s="405" t="s">
        <v>37</v>
      </c>
      <c r="AR242" s="405"/>
      <c r="AS242" s="369"/>
      <c r="AT242" s="363"/>
      <c r="AU242" s="403"/>
      <c r="AV242" s="402">
        <f>U242</f>
        <v>49303155</v>
      </c>
      <c r="AW242" s="402" cm="1">
        <f t="array" ref="AW242">SUM(MID(0&amp;AV242,LARGE(INDEX(ISNUMBER(--MID(AV242,ROW($1:$8),1))*ROW($1:$8),),ROW($1:$8))+1,1)*10^ROW($1:$8)/10)</f>
        <v>49303155</v>
      </c>
      <c r="AX242" s="402" t="str">
        <f>VLOOKUP($AW242,'Item Master Data'!$A:$F,3,FALSE)</f>
        <v>Q.PEAK DUO XL G10 BFG</v>
      </c>
      <c r="AY242" s="402">
        <f>VLOOKUP($AW242,'Item Master Data'!$A:$F,6,FALSE)</f>
        <v>475</v>
      </c>
      <c r="AZ242" s="402">
        <f>X242/BA242</f>
        <v>22</v>
      </c>
      <c r="BA242" s="402">
        <f>VLOOKUP(AW242,'Item Master Data'!$A:$G,7,FALSE)</f>
        <v>29</v>
      </c>
      <c r="BB242" s="402"/>
      <c r="BC242" s="402">
        <f>W242-AY242</f>
        <v>5</v>
      </c>
    </row>
    <row r="243" spans="1:55">
      <c r="A243" s="377"/>
      <c r="B243" s="376"/>
      <c r="C243" s="376"/>
      <c r="D243" s="405" t="s">
        <v>1066</v>
      </c>
      <c r="E243" s="364" t="s">
        <v>1273</v>
      </c>
      <c r="F243" s="405" t="s">
        <v>87</v>
      </c>
      <c r="G243" s="405">
        <v>2022</v>
      </c>
      <c r="H243" s="405">
        <v>6</v>
      </c>
      <c r="I243" s="416" t="s">
        <v>1087</v>
      </c>
      <c r="J243" s="406"/>
      <c r="K243" s="405" t="s">
        <v>1335</v>
      </c>
      <c r="L243" s="406" t="s">
        <v>1324</v>
      </c>
      <c r="M243" s="406">
        <v>44357</v>
      </c>
      <c r="N243" s="406"/>
      <c r="O243" s="406"/>
      <c r="P243" s="406"/>
      <c r="Q243" s="406"/>
      <c r="R243" s="406"/>
      <c r="S243" s="405" t="s">
        <v>1325</v>
      </c>
      <c r="T243" s="405">
        <v>72</v>
      </c>
      <c r="U243" s="405" t="s">
        <v>1079</v>
      </c>
      <c r="V243" s="405" t="s">
        <v>1068</v>
      </c>
      <c r="W243" s="407">
        <v>480</v>
      </c>
      <c r="X243" s="371">
        <v>17024</v>
      </c>
      <c r="Y243" s="422">
        <f t="shared" si="47"/>
        <v>8171520</v>
      </c>
      <c r="Z243" s="409">
        <f>189.6/480</f>
        <v>0.39499999999999996</v>
      </c>
      <c r="AA243" s="410">
        <f>Y243*Z243</f>
        <v>3227750.3999999999</v>
      </c>
      <c r="AB243" s="362"/>
      <c r="AC243" s="412">
        <v>0</v>
      </c>
      <c r="AD243" s="405"/>
      <c r="AE243" s="413"/>
      <c r="AF243" s="424">
        <f t="shared" si="49"/>
        <v>3227750.3999999999</v>
      </c>
      <c r="AG243" s="405" t="s">
        <v>47</v>
      </c>
      <c r="AH243" s="395">
        <v>10</v>
      </c>
      <c r="AI243" s="405">
        <v>60</v>
      </c>
      <c r="AJ243" s="405" t="s">
        <v>1330</v>
      </c>
      <c r="AK243" s="405" t="s">
        <v>1082</v>
      </c>
      <c r="AL243" s="425">
        <v>8832</v>
      </c>
      <c r="AM243" s="405" t="s">
        <v>52</v>
      </c>
      <c r="AN243" s="405" t="s">
        <v>1082</v>
      </c>
      <c r="AO243" s="405"/>
      <c r="AP243" s="405" t="s">
        <v>92</v>
      </c>
      <c r="AQ243" s="405" t="s">
        <v>1102</v>
      </c>
      <c r="AR243" s="405"/>
      <c r="AS243" s="369" t="s">
        <v>1073</v>
      </c>
      <c r="AT243" s="363" t="s">
        <v>1073</v>
      </c>
      <c r="AU243" s="403"/>
      <c r="AV243" s="402" t="str">
        <f>U243</f>
        <v>12005833C</v>
      </c>
      <c r="AW243" s="402" cm="1">
        <f t="array" ref="AW243">SUM(MID(0&amp;AV243,LARGE(INDEX(ISNUMBER(--MID(AV243,ROW($1:$8),1))*ROW($1:$8),),ROW($1:$8))+1,1)*10^ROW($1:$8)/10)</f>
        <v>12005833</v>
      </c>
      <c r="AX243" s="402" t="str">
        <f>VLOOKUP($AW243,'Item Master Data'!$A:$F,3,FALSE)</f>
        <v>Q.PEAK DUO XL G10 BFG</v>
      </c>
      <c r="AY243" s="402">
        <f>VLOOKUP($AW243,'Item Master Data'!$A:$F,6,FALSE)</f>
        <v>475</v>
      </c>
      <c r="AZ243" s="402">
        <f>X243/BA243</f>
        <v>567.4666666666667</v>
      </c>
      <c r="BA243" s="402">
        <f>VLOOKUP(AW243,'Item Master Data'!$A:$G,7,FALSE)</f>
        <v>30</v>
      </c>
      <c r="BB243" s="402"/>
      <c r="BC243" s="402">
        <f>W243-AY243</f>
        <v>5</v>
      </c>
    </row>
    <row r="244" spans="1:55">
      <c r="A244" s="377"/>
      <c r="B244" s="376"/>
      <c r="C244" s="376"/>
      <c r="D244" s="405" t="s">
        <v>1066</v>
      </c>
      <c r="E244" s="364" t="s">
        <v>1273</v>
      </c>
      <c r="F244" s="405" t="s">
        <v>87</v>
      </c>
      <c r="G244" s="405">
        <v>2022</v>
      </c>
      <c r="H244" s="405">
        <v>6</v>
      </c>
      <c r="I244" s="416" t="s">
        <v>1087</v>
      </c>
      <c r="J244" s="406"/>
      <c r="K244" s="405" t="s">
        <v>4368</v>
      </c>
      <c r="L244" s="406" t="s">
        <v>1324</v>
      </c>
      <c r="M244" s="406">
        <v>44357</v>
      </c>
      <c r="N244" s="406"/>
      <c r="O244" s="406"/>
      <c r="P244" s="406"/>
      <c r="Q244" s="406"/>
      <c r="R244" s="406"/>
      <c r="S244" s="405" t="s">
        <v>1325</v>
      </c>
      <c r="T244" s="405">
        <v>72</v>
      </c>
      <c r="U244" s="405" t="s">
        <v>1079</v>
      </c>
      <c r="V244" s="405" t="s">
        <v>1068</v>
      </c>
      <c r="W244" s="407">
        <v>480</v>
      </c>
      <c r="X244" s="371">
        <v>6264</v>
      </c>
      <c r="Y244" s="422">
        <f t="shared" si="47"/>
        <v>3006720</v>
      </c>
      <c r="Z244" s="409">
        <f>189.6/480</f>
        <v>0.39499999999999996</v>
      </c>
      <c r="AA244" s="410">
        <f>Y244*Z244</f>
        <v>1187654.3999999999</v>
      </c>
      <c r="AB244" s="362"/>
      <c r="AC244" s="412">
        <v>0</v>
      </c>
      <c r="AD244" s="405"/>
      <c r="AE244" s="413"/>
      <c r="AF244" s="424">
        <f t="shared" si="49"/>
        <v>1187654.3999999999</v>
      </c>
      <c r="AG244" s="405" t="s">
        <v>47</v>
      </c>
      <c r="AH244" s="395">
        <v>10</v>
      </c>
      <c r="AI244" s="405">
        <v>60</v>
      </c>
      <c r="AJ244" s="405" t="s">
        <v>1330</v>
      </c>
      <c r="AK244" s="405" t="s">
        <v>1082</v>
      </c>
      <c r="AL244" s="425">
        <v>8832</v>
      </c>
      <c r="AM244" s="405" t="s">
        <v>52</v>
      </c>
      <c r="AN244" s="405" t="s">
        <v>1082</v>
      </c>
      <c r="AO244" s="405"/>
      <c r="AP244" s="405" t="s">
        <v>92</v>
      </c>
      <c r="AQ244" s="405" t="s">
        <v>1102</v>
      </c>
      <c r="AR244" s="405"/>
      <c r="AS244" s="369" t="s">
        <v>1073</v>
      </c>
      <c r="AT244" s="363" t="s">
        <v>1073</v>
      </c>
      <c r="AU244" s="403"/>
      <c r="AV244" s="402" t="str">
        <f>U244</f>
        <v>12005833C</v>
      </c>
      <c r="AW244" s="402" cm="1">
        <f t="array" ref="AW244">SUM(MID(0&amp;AV244,LARGE(INDEX(ISNUMBER(--MID(AV244,ROW($1:$8),1))*ROW($1:$8),),ROW($1:$8))+1,1)*10^ROW($1:$8)/10)</f>
        <v>12005833</v>
      </c>
      <c r="AX244" s="402" t="str">
        <f>VLOOKUP($AW244,'Item Master Data'!$A:$F,3,FALSE)</f>
        <v>Q.PEAK DUO XL G10 BFG</v>
      </c>
      <c r="AY244" s="402">
        <f>VLOOKUP($AW244,'Item Master Data'!$A:$F,6,FALSE)</f>
        <v>475</v>
      </c>
      <c r="AZ244" s="402">
        <f>X244/BA244</f>
        <v>208.8</v>
      </c>
      <c r="BA244" s="402">
        <f>VLOOKUP(AW244,'Item Master Data'!$A:$G,7,FALSE)</f>
        <v>30</v>
      </c>
      <c r="BB244" s="402"/>
      <c r="BC244" s="402">
        <f>W244-AY244</f>
        <v>5</v>
      </c>
    </row>
    <row r="245" spans="1:55">
      <c r="A245" s="377"/>
      <c r="B245" s="376"/>
      <c r="C245" s="376"/>
      <c r="D245" s="405" t="s">
        <v>1066</v>
      </c>
      <c r="E245" s="364"/>
      <c r="F245" s="405"/>
      <c r="G245" s="405">
        <v>2022</v>
      </c>
      <c r="H245" s="405">
        <v>6</v>
      </c>
      <c r="I245" s="416">
        <v>2005190</v>
      </c>
      <c r="J245" s="406"/>
      <c r="K245" s="405" t="s">
        <v>1338</v>
      </c>
      <c r="L245" s="406" t="s">
        <v>1339</v>
      </c>
      <c r="M245" s="406">
        <v>44636</v>
      </c>
      <c r="N245" s="406">
        <v>44713</v>
      </c>
      <c r="O245" s="406"/>
      <c r="P245" s="406"/>
      <c r="Q245" s="406"/>
      <c r="R245" s="406"/>
      <c r="S245" s="405" t="s">
        <v>1325</v>
      </c>
      <c r="T245" s="405">
        <v>72</v>
      </c>
      <c r="U245" s="405" t="s">
        <v>1146</v>
      </c>
      <c r="V245" s="405" t="s">
        <v>1068</v>
      </c>
      <c r="W245" s="407">
        <v>475</v>
      </c>
      <c r="X245" s="371">
        <f>98970-77910</f>
        <v>21060</v>
      </c>
      <c r="Y245" s="422">
        <f t="shared" si="47"/>
        <v>10003500</v>
      </c>
      <c r="Z245" s="409">
        <v>0.45</v>
      </c>
      <c r="AA245" s="410">
        <f>Z245*Y245</f>
        <v>4501575</v>
      </c>
      <c r="AB245" s="362"/>
      <c r="AC245" s="412">
        <f>AB245*Y245</f>
        <v>0</v>
      </c>
      <c r="AD245" s="405"/>
      <c r="AE245" s="413"/>
      <c r="AF245" s="424">
        <f t="shared" si="49"/>
        <v>4501575</v>
      </c>
      <c r="AG245" s="405" t="s">
        <v>47</v>
      </c>
      <c r="AH245" s="395">
        <v>10</v>
      </c>
      <c r="AI245" s="405">
        <v>30</v>
      </c>
      <c r="AJ245" s="405" t="s">
        <v>1340</v>
      </c>
      <c r="AK245" s="405" t="s">
        <v>1341</v>
      </c>
      <c r="AL245" s="425">
        <v>83201</v>
      </c>
      <c r="AM245" s="405" t="s">
        <v>52</v>
      </c>
      <c r="AN245" s="405" t="s">
        <v>1082</v>
      </c>
      <c r="AO245" s="405"/>
      <c r="AP245" s="405" t="s">
        <v>38</v>
      </c>
      <c r="AQ245" s="405"/>
      <c r="AR245" s="405"/>
      <c r="AS245" s="369"/>
      <c r="AT245" s="363"/>
      <c r="AU245" s="403"/>
      <c r="AV245" s="402"/>
      <c r="AW245" s="402"/>
      <c r="AX245" s="402"/>
      <c r="AY245" s="402"/>
      <c r="AZ245" s="402"/>
      <c r="BA245" s="402"/>
      <c r="BB245" s="402"/>
      <c r="BC245" s="402"/>
    </row>
    <row r="246" spans="1:55">
      <c r="A246" s="377"/>
      <c r="B246" s="376"/>
      <c r="C246" s="376"/>
      <c r="D246" s="405" t="s">
        <v>1066</v>
      </c>
      <c r="E246" s="364"/>
      <c r="F246" s="405" t="s">
        <v>1074</v>
      </c>
      <c r="G246" s="405">
        <v>2022</v>
      </c>
      <c r="H246" s="405">
        <v>6</v>
      </c>
      <c r="I246" s="416" t="s">
        <v>1393</v>
      </c>
      <c r="J246" s="406"/>
      <c r="K246" s="405" t="s">
        <v>1394</v>
      </c>
      <c r="L246" s="406" t="s">
        <v>1395</v>
      </c>
      <c r="M246" s="406">
        <v>44912</v>
      </c>
      <c r="N246" s="406">
        <v>44652</v>
      </c>
      <c r="O246" s="406"/>
      <c r="P246" s="406"/>
      <c r="Q246" s="406"/>
      <c r="R246" s="406"/>
      <c r="S246" s="405" t="s">
        <v>1325</v>
      </c>
      <c r="T246" s="405">
        <v>72</v>
      </c>
      <c r="U246" s="405" t="s">
        <v>1347</v>
      </c>
      <c r="V246" s="405" t="s">
        <v>1108</v>
      </c>
      <c r="W246" s="407">
        <v>575</v>
      </c>
      <c r="X246" s="371">
        <v>31871</v>
      </c>
      <c r="Y246" s="422">
        <f t="shared" si="47"/>
        <v>18325825</v>
      </c>
      <c r="Z246" s="409">
        <v>0.45</v>
      </c>
      <c r="AA246" s="410">
        <f>Z246*Y246</f>
        <v>8246621.25</v>
      </c>
      <c r="AB246" s="362"/>
      <c r="AC246" s="412">
        <f>AB246*Y246</f>
        <v>0</v>
      </c>
      <c r="AD246" s="405"/>
      <c r="AE246" s="413"/>
      <c r="AF246" s="424">
        <f t="shared" si="49"/>
        <v>8246621.25</v>
      </c>
      <c r="AG246" s="405" t="s">
        <v>47</v>
      </c>
      <c r="AH246" s="395">
        <v>5</v>
      </c>
      <c r="AI246" s="405">
        <v>30</v>
      </c>
      <c r="AJ246" s="405" t="s">
        <v>1396</v>
      </c>
      <c r="AK246" s="405" t="s">
        <v>1092</v>
      </c>
      <c r="AL246" s="425" t="s">
        <v>1397</v>
      </c>
      <c r="AM246" s="405" t="s">
        <v>52</v>
      </c>
      <c r="AN246" s="405" t="s">
        <v>1082</v>
      </c>
      <c r="AO246" s="405"/>
      <c r="AP246" s="405" t="s">
        <v>92</v>
      </c>
      <c r="AQ246" s="405"/>
      <c r="AR246" s="405"/>
      <c r="AS246" s="369"/>
      <c r="AT246" s="363"/>
      <c r="AU246" s="403"/>
      <c r="AV246" s="402" t="str">
        <f t="shared" ref="AV246:AV253" si="52">U246</f>
        <v>30391491C</v>
      </c>
      <c r="AW246" s="402" cm="1">
        <f t="array" ref="AW246">SUM(MID(0&amp;AV246,LARGE(INDEX(ISNUMBER(--MID(AV246,ROW($1:$8),1))*ROW($1:$8),),ROW($1:$8))+1,1)*10^ROW($1:$8)/10)</f>
        <v>30391491</v>
      </c>
      <c r="AX246" s="402" t="e">
        <f>VLOOKUP($AW246,'Item Master Data'!$A:$F,3,FALSE)</f>
        <v>#N/A</v>
      </c>
      <c r="AY246" s="402" t="e">
        <f>VLOOKUP($AW246,'Item Master Data'!$A:$F,6,FALSE)</f>
        <v>#N/A</v>
      </c>
      <c r="AZ246" s="402" t="e">
        <f t="shared" ref="AZ246:AZ253" si="53">X246/BA246</f>
        <v>#N/A</v>
      </c>
      <c r="BA246" s="402" t="e">
        <f>VLOOKUP(AW246,'Item Master Data'!$A:$G,7,FALSE)</f>
        <v>#N/A</v>
      </c>
      <c r="BB246" s="402"/>
      <c r="BC246" s="402" t="e">
        <f t="shared" ref="BC246:BC253" si="54">W246-AY246</f>
        <v>#N/A</v>
      </c>
    </row>
    <row r="247" spans="1:55">
      <c r="A247" s="377"/>
      <c r="B247" s="376" t="s">
        <v>1186</v>
      </c>
      <c r="C247" s="376" t="s">
        <v>1186</v>
      </c>
      <c r="D247" s="405" t="s">
        <v>1066</v>
      </c>
      <c r="E247" s="364" t="s">
        <v>4853</v>
      </c>
      <c r="F247" s="405" t="s">
        <v>87</v>
      </c>
      <c r="G247" s="405">
        <v>2022</v>
      </c>
      <c r="H247" s="405">
        <v>6</v>
      </c>
      <c r="I247" s="416"/>
      <c r="J247" s="406"/>
      <c r="K247" s="405" t="s">
        <v>1255</v>
      </c>
      <c r="L247" s="406" t="s">
        <v>1250</v>
      </c>
      <c r="M247" s="406">
        <v>44628</v>
      </c>
      <c r="N247" s="406">
        <v>44713</v>
      </c>
      <c r="O247" s="406"/>
      <c r="P247" s="406"/>
      <c r="Q247" s="406"/>
      <c r="R247" s="406"/>
      <c r="S247" s="405" t="s">
        <v>1067</v>
      </c>
      <c r="T247" s="405">
        <v>72</v>
      </c>
      <c r="U247" s="405">
        <v>49303155</v>
      </c>
      <c r="V247" s="405" t="s">
        <v>1068</v>
      </c>
      <c r="W247" s="407">
        <v>480</v>
      </c>
      <c r="X247" s="371">
        <v>638</v>
      </c>
      <c r="Y247" s="422">
        <f t="shared" si="47"/>
        <v>306240</v>
      </c>
      <c r="Z247" s="409">
        <v>0.49</v>
      </c>
      <c r="AA247" s="410">
        <f>Y247*Z247</f>
        <v>150057.60000000001</v>
      </c>
      <c r="AB247" s="362"/>
      <c r="AC247" s="412">
        <v>0</v>
      </c>
      <c r="AD247" s="405"/>
      <c r="AE247" s="413"/>
      <c r="AF247" s="424">
        <f t="shared" si="49"/>
        <v>150057.60000000001</v>
      </c>
      <c r="AG247" s="405" t="s">
        <v>1069</v>
      </c>
      <c r="AH247" s="395"/>
      <c r="AI247" s="405">
        <v>60</v>
      </c>
      <c r="AJ247" s="405" t="s">
        <v>1251</v>
      </c>
      <c r="AK247" s="405" t="s">
        <v>1252</v>
      </c>
      <c r="AL247" s="425" t="s">
        <v>1253</v>
      </c>
      <c r="AM247" s="405" t="s">
        <v>52</v>
      </c>
      <c r="AN247" s="405" t="s">
        <v>1071</v>
      </c>
      <c r="AO247" s="405"/>
      <c r="AP247" s="405"/>
      <c r="AQ247" s="405" t="s">
        <v>37</v>
      </c>
      <c r="AR247" s="405"/>
      <c r="AS247" s="369"/>
      <c r="AT247" s="363"/>
      <c r="AU247" s="403"/>
      <c r="AV247" s="402">
        <f t="shared" si="52"/>
        <v>49303155</v>
      </c>
      <c r="AW247" s="402" cm="1">
        <f t="array" ref="AW247">SUM(MID(0&amp;AV247,LARGE(INDEX(ISNUMBER(--MID(AV247,ROW($1:$8),1))*ROW($1:$8),),ROW($1:$8))+1,1)*10^ROW($1:$8)/10)</f>
        <v>49303155</v>
      </c>
      <c r="AX247" s="402" t="str">
        <f>VLOOKUP($AW247,'Item Master Data'!$A:$F,3,FALSE)</f>
        <v>Q.PEAK DUO XL G10 BFG</v>
      </c>
      <c r="AY247" s="402">
        <f>VLOOKUP($AW247,'Item Master Data'!$A:$F,6,FALSE)</f>
        <v>475</v>
      </c>
      <c r="AZ247" s="402">
        <f t="shared" si="53"/>
        <v>22</v>
      </c>
      <c r="BA247" s="402">
        <f>VLOOKUP(AW247,'Item Master Data'!$A:$G,7,FALSE)</f>
        <v>29</v>
      </c>
      <c r="BB247" s="402"/>
      <c r="BC247" s="402">
        <f t="shared" si="54"/>
        <v>5</v>
      </c>
    </row>
    <row r="248" spans="1:55">
      <c r="A248" s="377"/>
      <c r="B248" s="376" t="s">
        <v>1186</v>
      </c>
      <c r="C248" s="376" t="s">
        <v>1186</v>
      </c>
      <c r="D248" s="405" t="s">
        <v>1066</v>
      </c>
      <c r="E248" s="364" t="s">
        <v>4113</v>
      </c>
      <c r="F248" s="405" t="s">
        <v>87</v>
      </c>
      <c r="G248" s="405">
        <v>2022</v>
      </c>
      <c r="H248" s="405">
        <v>8</v>
      </c>
      <c r="I248" s="416"/>
      <c r="J248" s="406"/>
      <c r="K248" s="405" t="s">
        <v>1256</v>
      </c>
      <c r="L248" s="406" t="s">
        <v>1250</v>
      </c>
      <c r="M248" s="406">
        <v>44628</v>
      </c>
      <c r="N248" s="406">
        <v>44805</v>
      </c>
      <c r="O248" s="406">
        <v>44788</v>
      </c>
      <c r="P248" s="406"/>
      <c r="Q248" s="406"/>
      <c r="R248" s="406"/>
      <c r="S248" s="405" t="s">
        <v>1067</v>
      </c>
      <c r="T248" s="405">
        <v>72</v>
      </c>
      <c r="U248" s="405"/>
      <c r="V248" s="405" t="s">
        <v>1068</v>
      </c>
      <c r="W248" s="407">
        <v>480</v>
      </c>
      <c r="X248" s="371">
        <v>638</v>
      </c>
      <c r="Y248" s="422">
        <f t="shared" si="47"/>
        <v>306240</v>
      </c>
      <c r="Z248" s="409">
        <v>0.49</v>
      </c>
      <c r="AA248" s="410">
        <f>Y248*Z248</f>
        <v>150057.60000000001</v>
      </c>
      <c r="AB248" s="362"/>
      <c r="AC248" s="412">
        <v>0</v>
      </c>
      <c r="AD248" s="405"/>
      <c r="AE248" s="413"/>
      <c r="AF248" s="424">
        <f t="shared" si="49"/>
        <v>150057.60000000001</v>
      </c>
      <c r="AG248" s="405" t="s">
        <v>1069</v>
      </c>
      <c r="AH248" s="395"/>
      <c r="AI248" s="405">
        <v>60</v>
      </c>
      <c r="AJ248" s="405" t="s">
        <v>1251</v>
      </c>
      <c r="AK248" s="405" t="s">
        <v>1252</v>
      </c>
      <c r="AL248" s="425" t="s">
        <v>1253</v>
      </c>
      <c r="AM248" s="405" t="s">
        <v>52</v>
      </c>
      <c r="AN248" s="405" t="s">
        <v>1071</v>
      </c>
      <c r="AO248" s="405"/>
      <c r="AP248" s="405"/>
      <c r="AQ248" s="405" t="s">
        <v>37</v>
      </c>
      <c r="AR248" s="405"/>
      <c r="AS248" s="369"/>
      <c r="AT248" s="363"/>
      <c r="AU248" s="403"/>
      <c r="AV248" s="402">
        <f t="shared" si="52"/>
        <v>0</v>
      </c>
      <c r="AW248" s="402" cm="1">
        <f t="array" ref="AW248">SUM(MID(0&amp;AV248,LARGE(INDEX(ISNUMBER(--MID(AV248,ROW($1:$8),1))*ROW($1:$8),),ROW($1:$8))+1,1)*10^ROW($1:$8)/10)</f>
        <v>0</v>
      </c>
      <c r="AX248" s="402" t="e">
        <f>VLOOKUP($AW248,'Item Master Data'!$A:$F,3,FALSE)</f>
        <v>#N/A</v>
      </c>
      <c r="AY248" s="402" t="e">
        <f>VLOOKUP($AW248,'Item Master Data'!$A:$F,6,FALSE)</f>
        <v>#N/A</v>
      </c>
      <c r="AZ248" s="402" t="e">
        <f t="shared" si="53"/>
        <v>#N/A</v>
      </c>
      <c r="BA248" s="402" t="e">
        <f>VLOOKUP(AW248,'Item Master Data'!$A:$G,7,FALSE)</f>
        <v>#N/A</v>
      </c>
      <c r="BB248" s="402"/>
      <c r="BC248" s="402" t="e">
        <f t="shared" si="54"/>
        <v>#N/A</v>
      </c>
    </row>
    <row r="249" spans="1:55">
      <c r="A249" s="377"/>
      <c r="B249" s="376" t="s">
        <v>1186</v>
      </c>
      <c r="C249" s="376" t="s">
        <v>1186</v>
      </c>
      <c r="D249" s="405" t="s">
        <v>1066</v>
      </c>
      <c r="E249" s="364" t="s">
        <v>4113</v>
      </c>
      <c r="F249" s="405" t="s">
        <v>87</v>
      </c>
      <c r="G249" s="405">
        <v>2022</v>
      </c>
      <c r="H249" s="405">
        <v>9</v>
      </c>
      <c r="I249" s="416"/>
      <c r="J249" s="406"/>
      <c r="K249" s="405" t="s">
        <v>1257</v>
      </c>
      <c r="L249" s="406" t="s">
        <v>1250</v>
      </c>
      <c r="M249" s="406">
        <v>44656</v>
      </c>
      <c r="N249" s="406">
        <v>44805</v>
      </c>
      <c r="O249" s="406"/>
      <c r="P249" s="406"/>
      <c r="Q249" s="406"/>
      <c r="R249" s="406"/>
      <c r="S249" s="405" t="s">
        <v>1067</v>
      </c>
      <c r="T249" s="405">
        <v>72</v>
      </c>
      <c r="U249" s="405"/>
      <c r="V249" s="405" t="s">
        <v>1068</v>
      </c>
      <c r="W249" s="407">
        <v>480</v>
      </c>
      <c r="X249" s="371">
        <v>638</v>
      </c>
      <c r="Y249" s="422">
        <f t="shared" si="47"/>
        <v>306240</v>
      </c>
      <c r="Z249" s="409">
        <v>0.49</v>
      </c>
      <c r="AA249" s="410">
        <f>Y249*Z249</f>
        <v>150057.60000000001</v>
      </c>
      <c r="AB249" s="362"/>
      <c r="AC249" s="412">
        <v>0</v>
      </c>
      <c r="AD249" s="405"/>
      <c r="AE249" s="413"/>
      <c r="AF249" s="424">
        <f t="shared" si="49"/>
        <v>150057.60000000001</v>
      </c>
      <c r="AG249" s="405" t="s">
        <v>1069</v>
      </c>
      <c r="AH249" s="395"/>
      <c r="AI249" s="405">
        <v>60</v>
      </c>
      <c r="AJ249" s="405" t="s">
        <v>1251</v>
      </c>
      <c r="AK249" s="405" t="s">
        <v>1252</v>
      </c>
      <c r="AL249" s="425" t="s">
        <v>1253</v>
      </c>
      <c r="AM249" s="405" t="s">
        <v>52</v>
      </c>
      <c r="AN249" s="405" t="s">
        <v>1071</v>
      </c>
      <c r="AO249" s="405"/>
      <c r="AP249" s="405"/>
      <c r="AQ249" s="405" t="s">
        <v>37</v>
      </c>
      <c r="AR249" s="405"/>
      <c r="AS249" s="369"/>
      <c r="AT249" s="363"/>
      <c r="AU249" s="403"/>
      <c r="AV249" s="402">
        <f t="shared" si="52"/>
        <v>0</v>
      </c>
      <c r="AW249" s="402" cm="1">
        <f t="array" ref="AW249">SUM(MID(0&amp;AV249,LARGE(INDEX(ISNUMBER(--MID(AV249,ROW($1:$8),1))*ROW($1:$8),),ROW($1:$8))+1,1)*10^ROW($1:$8)/10)</f>
        <v>0</v>
      </c>
      <c r="AX249" s="402" t="e">
        <f>VLOOKUP($AW249,'Item Master Data'!$A:$F,3,FALSE)</f>
        <v>#N/A</v>
      </c>
      <c r="AY249" s="402" t="e">
        <f>VLOOKUP($AW249,'Item Master Data'!$A:$F,6,FALSE)</f>
        <v>#N/A</v>
      </c>
      <c r="AZ249" s="402" t="e">
        <f t="shared" si="53"/>
        <v>#N/A</v>
      </c>
      <c r="BA249" s="402" t="e">
        <f>VLOOKUP(AW249,'Item Master Data'!$A:$G,7,FALSE)</f>
        <v>#N/A</v>
      </c>
      <c r="BB249" s="402"/>
      <c r="BC249" s="402" t="e">
        <f t="shared" si="54"/>
        <v>#N/A</v>
      </c>
    </row>
    <row r="250" spans="1:55">
      <c r="A250" s="377"/>
      <c r="B250" s="376"/>
      <c r="C250" s="376"/>
      <c r="D250" s="405" t="s">
        <v>1066</v>
      </c>
      <c r="E250" s="364" t="s">
        <v>4926</v>
      </c>
      <c r="F250" s="405" t="s">
        <v>1074</v>
      </c>
      <c r="G250" s="405">
        <v>2022</v>
      </c>
      <c r="H250" s="405">
        <v>6</v>
      </c>
      <c r="I250" s="416">
        <v>2005153</v>
      </c>
      <c r="J250" s="406"/>
      <c r="K250" s="405" t="s">
        <v>1408</v>
      </c>
      <c r="L250" s="406" t="s">
        <v>1409</v>
      </c>
      <c r="M250" s="406">
        <v>44599</v>
      </c>
      <c r="N250" s="406">
        <v>44682</v>
      </c>
      <c r="O250" s="406"/>
      <c r="P250" s="406" t="s">
        <v>1410</v>
      </c>
      <c r="Q250" s="406"/>
      <c r="R250" s="406"/>
      <c r="S250" s="405" t="s">
        <v>1067</v>
      </c>
      <c r="T250" s="405">
        <v>72</v>
      </c>
      <c r="U250" s="405" t="s">
        <v>1079</v>
      </c>
      <c r="V250" s="405" t="s">
        <v>1068</v>
      </c>
      <c r="W250" s="407">
        <v>475</v>
      </c>
      <c r="X250" s="371">
        <v>3480</v>
      </c>
      <c r="Y250" s="422">
        <f t="shared" si="47"/>
        <v>1653000</v>
      </c>
      <c r="Z250" s="409">
        <v>0.47499999999999998</v>
      </c>
      <c r="AA250" s="410">
        <f>Z250*Y250</f>
        <v>785175</v>
      </c>
      <c r="AB250" s="362"/>
      <c r="AC250" s="412">
        <f>AB250*Y250</f>
        <v>0</v>
      </c>
      <c r="AD250" s="405"/>
      <c r="AE250" s="413"/>
      <c r="AF250" s="424">
        <f t="shared" si="49"/>
        <v>785175</v>
      </c>
      <c r="AG250" s="405" t="s">
        <v>47</v>
      </c>
      <c r="AH250" s="395">
        <v>0</v>
      </c>
      <c r="AI250" s="405">
        <v>45</v>
      </c>
      <c r="AJ250" s="405" t="s">
        <v>1411</v>
      </c>
      <c r="AK250" s="405" t="s">
        <v>1092</v>
      </c>
      <c r="AL250" s="425">
        <v>2766</v>
      </c>
      <c r="AM250" s="405" t="s">
        <v>52</v>
      </c>
      <c r="AN250" s="405" t="s">
        <v>1082</v>
      </c>
      <c r="AO250" s="405"/>
      <c r="AP250" s="405" t="s">
        <v>38</v>
      </c>
      <c r="AQ250" s="405" t="s">
        <v>1083</v>
      </c>
      <c r="AR250" s="405"/>
      <c r="AS250" s="369" t="s">
        <v>1084</v>
      </c>
      <c r="AT250" s="363" t="s">
        <v>1073</v>
      </c>
      <c r="AU250" s="403"/>
      <c r="AV250" s="402" t="str">
        <f t="shared" si="52"/>
        <v>12005833C</v>
      </c>
      <c r="AW250" s="402" cm="1">
        <f t="array" ref="AW250">SUM(MID(0&amp;AV250,LARGE(INDEX(ISNUMBER(--MID(AV250,ROW($1:$8),1))*ROW($1:$8),),ROW($1:$8))+1,1)*10^ROW($1:$8)/10)</f>
        <v>12005833</v>
      </c>
      <c r="AX250" s="402" t="str">
        <f>VLOOKUP($AW250,'Item Master Data'!$A:$F,3,FALSE)</f>
        <v>Q.PEAK DUO XL G10 BFG</v>
      </c>
      <c r="AY250" s="402">
        <f>VLOOKUP($AW250,'Item Master Data'!$A:$F,6,FALSE)</f>
        <v>475</v>
      </c>
      <c r="AZ250" s="402">
        <f t="shared" si="53"/>
        <v>116</v>
      </c>
      <c r="BA250" s="402">
        <f>VLOOKUP(AW250,'Item Master Data'!$A:$G,7,FALSE)</f>
        <v>30</v>
      </c>
      <c r="BB250" s="402"/>
      <c r="BC250" s="402">
        <f t="shared" si="54"/>
        <v>0</v>
      </c>
    </row>
    <row r="251" spans="1:55">
      <c r="A251" s="377"/>
      <c r="B251" s="376"/>
      <c r="C251" s="376"/>
      <c r="D251" s="405" t="s">
        <v>1066</v>
      </c>
      <c r="E251" s="364" t="s">
        <v>1239</v>
      </c>
      <c r="F251" s="405" t="s">
        <v>1139</v>
      </c>
      <c r="G251" s="405">
        <v>2022</v>
      </c>
      <c r="H251" s="405">
        <v>6</v>
      </c>
      <c r="I251" s="416"/>
      <c r="J251" s="406"/>
      <c r="K251" s="405" t="s">
        <v>1424</v>
      </c>
      <c r="L251" s="406" t="s">
        <v>1415</v>
      </c>
      <c r="M251" s="406">
        <v>44481</v>
      </c>
      <c r="N251" s="406">
        <v>44718</v>
      </c>
      <c r="O251" s="406"/>
      <c r="P251" s="406"/>
      <c r="Q251" s="406"/>
      <c r="R251" s="406"/>
      <c r="S251" s="405" t="s">
        <v>1325</v>
      </c>
      <c r="T251" s="405">
        <v>72</v>
      </c>
      <c r="U251" s="405" t="s">
        <v>1102</v>
      </c>
      <c r="V251" s="405" t="s">
        <v>1103</v>
      </c>
      <c r="W251" s="407">
        <v>485</v>
      </c>
      <c r="X251" s="371">
        <f>5275+35</f>
        <v>5310</v>
      </c>
      <c r="Y251" s="422">
        <f t="shared" si="47"/>
        <v>2575350</v>
      </c>
      <c r="Z251" s="409">
        <v>0.39500000000000002</v>
      </c>
      <c r="AA251" s="410">
        <f>Z251*Y251</f>
        <v>1017263.25</v>
      </c>
      <c r="AB251" s="362"/>
      <c r="AC251" s="412">
        <f>AB251*Y251</f>
        <v>0</v>
      </c>
      <c r="AD251" s="405"/>
      <c r="AE251" s="413"/>
      <c r="AF251" s="424">
        <f t="shared" si="49"/>
        <v>1017263.25</v>
      </c>
      <c r="AG251" s="405" t="s">
        <v>47</v>
      </c>
      <c r="AH251" s="395">
        <v>10</v>
      </c>
      <c r="AI251" s="405">
        <v>45</v>
      </c>
      <c r="AJ251" s="405" t="s">
        <v>1425</v>
      </c>
      <c r="AK251" s="405" t="s">
        <v>1148</v>
      </c>
      <c r="AL251" s="425">
        <v>28456</v>
      </c>
      <c r="AM251" s="405" t="s">
        <v>52</v>
      </c>
      <c r="AN251" s="405" t="s">
        <v>1102</v>
      </c>
      <c r="AO251" s="405"/>
      <c r="AP251" s="405" t="s">
        <v>1102</v>
      </c>
      <c r="AQ251" s="405"/>
      <c r="AR251" s="405"/>
      <c r="AS251" s="369"/>
      <c r="AT251" s="363"/>
      <c r="AU251" s="403"/>
      <c r="AV251" s="402" t="str">
        <f t="shared" si="52"/>
        <v>TBD</v>
      </c>
      <c r="AW251" s="402" cm="1">
        <f t="array" ref="AW251">SUM(MID(0&amp;AV251,LARGE(INDEX(ISNUMBER(--MID(AV251,ROW($1:$8),1))*ROW($1:$8),),ROW($1:$8))+1,1)*10^ROW($1:$8)/10)</f>
        <v>0</v>
      </c>
      <c r="AX251" s="402" t="e">
        <f>VLOOKUP($AW251,'Item Master Data'!$A:$F,3,FALSE)</f>
        <v>#N/A</v>
      </c>
      <c r="AY251" s="402" t="e">
        <f>VLOOKUP($AW251,'Item Master Data'!$A:$F,6,FALSE)</f>
        <v>#N/A</v>
      </c>
      <c r="AZ251" s="402" t="e">
        <f t="shared" si="53"/>
        <v>#N/A</v>
      </c>
      <c r="BA251" s="402" t="e">
        <f>VLOOKUP(AW251,'Item Master Data'!$A:$G,7,FALSE)</f>
        <v>#N/A</v>
      </c>
      <c r="BB251" s="402"/>
      <c r="BC251" s="402" t="e">
        <f t="shared" si="54"/>
        <v>#N/A</v>
      </c>
    </row>
    <row r="252" spans="1:55">
      <c r="A252" s="377"/>
      <c r="B252" s="376"/>
      <c r="C252" s="376"/>
      <c r="D252" s="405" t="s">
        <v>1066</v>
      </c>
      <c r="E252" s="364"/>
      <c r="F252" s="405" t="s">
        <v>87</v>
      </c>
      <c r="G252" s="405">
        <v>2022</v>
      </c>
      <c r="H252" s="405">
        <v>5</v>
      </c>
      <c r="I252" s="416"/>
      <c r="J252" s="406"/>
      <c r="K252" s="405" t="s">
        <v>1453</v>
      </c>
      <c r="L252" s="406" t="s">
        <v>1442</v>
      </c>
      <c r="M252" s="406">
        <v>44592</v>
      </c>
      <c r="N252" s="406">
        <v>44596</v>
      </c>
      <c r="O252" s="406"/>
      <c r="P252" s="406">
        <v>44606</v>
      </c>
      <c r="Q252" s="406">
        <v>44694</v>
      </c>
      <c r="R252" s="406">
        <v>44698</v>
      </c>
      <c r="S252" s="405" t="s">
        <v>1443</v>
      </c>
      <c r="T252" s="405">
        <v>72</v>
      </c>
      <c r="U252" s="405" t="s">
        <v>1433</v>
      </c>
      <c r="V252" s="405" t="s">
        <v>1068</v>
      </c>
      <c r="W252" s="407">
        <v>475</v>
      </c>
      <c r="X252" s="371">
        <v>638</v>
      </c>
      <c r="Y252" s="422">
        <f t="shared" si="47"/>
        <v>303050</v>
      </c>
      <c r="Z252" s="409">
        <v>0.47</v>
      </c>
      <c r="AA252" s="410">
        <f>Z252*Y252</f>
        <v>142433.5</v>
      </c>
      <c r="AB252" s="362"/>
      <c r="AC252" s="412">
        <v>0</v>
      </c>
      <c r="AD252" s="405"/>
      <c r="AE252" s="413"/>
      <c r="AF252" s="424">
        <f>AA252+AE252</f>
        <v>142433.5</v>
      </c>
      <c r="AG252" s="405" t="s">
        <v>47</v>
      </c>
      <c r="AH252" s="395"/>
      <c r="AI252" s="405">
        <v>60</v>
      </c>
      <c r="AJ252" s="405" t="s">
        <v>1454</v>
      </c>
      <c r="AK252" s="405" t="s">
        <v>1136</v>
      </c>
      <c r="AL252" s="425">
        <v>78725</v>
      </c>
      <c r="AM252" s="405" t="s">
        <v>52</v>
      </c>
      <c r="AN252" s="405" t="s">
        <v>1082</v>
      </c>
      <c r="AO252" s="405"/>
      <c r="AP252" s="405" t="s">
        <v>92</v>
      </c>
      <c r="AQ252" s="405" t="s">
        <v>37</v>
      </c>
      <c r="AR252" s="405"/>
      <c r="AS252" s="369"/>
      <c r="AT252" s="363"/>
      <c r="AU252" s="403"/>
      <c r="AV252" s="402" t="str">
        <f t="shared" si="52"/>
        <v>30397571C</v>
      </c>
      <c r="AW252" s="402" cm="1">
        <f t="array" ref="AW252">SUM(MID(0&amp;AV252,LARGE(INDEX(ISNUMBER(--MID(AV252,ROW($1:$8),1))*ROW($1:$8),),ROW($1:$8))+1,1)*10^ROW($1:$8)/10)</f>
        <v>30397571</v>
      </c>
      <c r="AX252" s="402" t="str">
        <f>VLOOKUP($AW252,'Item Master Data'!$A:$F,3,FALSE)</f>
        <v>Q.PEAK DUO XL G10 BFG</v>
      </c>
      <c r="AY252" s="402">
        <f>VLOOKUP($AW252,'Item Master Data'!$A:$F,6,FALSE)</f>
        <v>475</v>
      </c>
      <c r="AZ252" s="402">
        <f t="shared" si="53"/>
        <v>22</v>
      </c>
      <c r="BA252" s="402">
        <f>VLOOKUP(AW252,'Item Master Data'!$A:$G,7,FALSE)</f>
        <v>29</v>
      </c>
      <c r="BB252" s="402"/>
      <c r="BC252" s="402">
        <f t="shared" si="54"/>
        <v>0</v>
      </c>
    </row>
    <row r="253" spans="1:55">
      <c r="A253" s="377"/>
      <c r="B253" s="376"/>
      <c r="C253" s="376"/>
      <c r="D253" s="405" t="s">
        <v>1066</v>
      </c>
      <c r="E253" s="364" t="s">
        <v>4226</v>
      </c>
      <c r="F253" s="405" t="s">
        <v>1074</v>
      </c>
      <c r="G253" s="405">
        <v>2022</v>
      </c>
      <c r="H253" s="405">
        <v>6</v>
      </c>
      <c r="I253" s="416"/>
      <c r="J253" s="406"/>
      <c r="K253" s="405">
        <v>2111420</v>
      </c>
      <c r="L253" s="406" t="s">
        <v>1482</v>
      </c>
      <c r="M253" s="406">
        <v>44490</v>
      </c>
      <c r="N253" s="406">
        <v>44287</v>
      </c>
      <c r="O253" s="406"/>
      <c r="P253" s="406"/>
      <c r="Q253" s="406"/>
      <c r="R253" s="406"/>
      <c r="S253" s="405" t="s">
        <v>1098</v>
      </c>
      <c r="T253" s="405">
        <v>72</v>
      </c>
      <c r="U253" s="405" t="s">
        <v>1079</v>
      </c>
      <c r="V253" s="405" t="s">
        <v>1068</v>
      </c>
      <c r="W253" s="407">
        <v>475</v>
      </c>
      <c r="X253" s="371">
        <f>15689+58</f>
        <v>15747</v>
      </c>
      <c r="Y253" s="422">
        <f t="shared" si="47"/>
        <v>7479825</v>
      </c>
      <c r="Z253" s="409">
        <v>0.42</v>
      </c>
      <c r="AA253" s="410">
        <f>Z253*Y253</f>
        <v>3141526.5</v>
      </c>
      <c r="AB253" s="362"/>
      <c r="AC253" s="412">
        <f>AB253*Y253</f>
        <v>0</v>
      </c>
      <c r="AD253" s="405"/>
      <c r="AE253" s="413"/>
      <c r="AF253" s="424">
        <f t="shared" ref="AF253:AF285" si="55">AE253+AD253+AA253</f>
        <v>3141526.5</v>
      </c>
      <c r="AG253" s="405" t="s">
        <v>1069</v>
      </c>
      <c r="AH253" s="395">
        <v>3</v>
      </c>
      <c r="AI253" s="405">
        <v>60</v>
      </c>
      <c r="AJ253" s="405" t="s">
        <v>1487</v>
      </c>
      <c r="AK253" s="405" t="s">
        <v>1130</v>
      </c>
      <c r="AL253" s="425" t="s">
        <v>1486</v>
      </c>
      <c r="AM253" s="405" t="s">
        <v>52</v>
      </c>
      <c r="AN253" s="405" t="s">
        <v>1082</v>
      </c>
      <c r="AO253" s="405"/>
      <c r="AP253" s="405" t="s">
        <v>38</v>
      </c>
      <c r="AQ253" s="405" t="s">
        <v>1083</v>
      </c>
      <c r="AR253" s="405"/>
      <c r="AS253" s="369" t="s">
        <v>1084</v>
      </c>
      <c r="AT253" s="363" t="s">
        <v>1073</v>
      </c>
      <c r="AU253" s="403"/>
      <c r="AV253" s="402" t="str">
        <f t="shared" si="52"/>
        <v>12005833C</v>
      </c>
      <c r="AW253" s="402" cm="1">
        <f t="array" ref="AW253">SUM(MID(0&amp;AV253,LARGE(INDEX(ISNUMBER(--MID(AV253,ROW($1:$8),1))*ROW($1:$8),),ROW($1:$8))+1,1)*10^ROW($1:$8)/10)</f>
        <v>12005833</v>
      </c>
      <c r="AX253" s="402" t="str">
        <f>VLOOKUP($AW253,'Item Master Data'!$A:$F,3,FALSE)</f>
        <v>Q.PEAK DUO XL G10 BFG</v>
      </c>
      <c r="AY253" s="402">
        <f>VLOOKUP($AW253,'Item Master Data'!$A:$F,6,FALSE)</f>
        <v>475</v>
      </c>
      <c r="AZ253" s="402">
        <f t="shared" si="53"/>
        <v>524.9</v>
      </c>
      <c r="BA253" s="402">
        <f>VLOOKUP(AW253,'Item Master Data'!$A:$G,7,FALSE)</f>
        <v>30</v>
      </c>
      <c r="BB253" s="402"/>
      <c r="BC253" s="402">
        <f t="shared" si="54"/>
        <v>0</v>
      </c>
    </row>
    <row r="254" spans="1:55">
      <c r="A254" s="377"/>
      <c r="B254" s="376" t="s">
        <v>1186</v>
      </c>
      <c r="C254" s="376" t="s">
        <v>1186</v>
      </c>
      <c r="D254" s="405" t="s">
        <v>1066</v>
      </c>
      <c r="E254" s="364" t="s">
        <v>4113</v>
      </c>
      <c r="F254" s="405" t="s">
        <v>87</v>
      </c>
      <c r="G254" s="405">
        <v>2022</v>
      </c>
      <c r="H254" s="405">
        <v>10</v>
      </c>
      <c r="I254" s="416"/>
      <c r="J254" s="406"/>
      <c r="K254" s="405" t="s">
        <v>1258</v>
      </c>
      <c r="L254" s="406" t="s">
        <v>1250</v>
      </c>
      <c r="M254" s="406">
        <v>44656</v>
      </c>
      <c r="N254" s="406">
        <v>44835</v>
      </c>
      <c r="O254" s="406"/>
      <c r="P254" s="406"/>
      <c r="Q254" s="406"/>
      <c r="R254" s="406"/>
      <c r="S254" s="405" t="s">
        <v>1067</v>
      </c>
      <c r="T254" s="405">
        <v>72</v>
      </c>
      <c r="U254" s="405"/>
      <c r="V254" s="405" t="s">
        <v>1068</v>
      </c>
      <c r="W254" s="407">
        <v>480</v>
      </c>
      <c r="X254" s="371">
        <v>638</v>
      </c>
      <c r="Y254" s="422">
        <f t="shared" si="47"/>
        <v>306240</v>
      </c>
      <c r="Z254" s="409">
        <v>0.49</v>
      </c>
      <c r="AA254" s="410">
        <f>Y254*Z254</f>
        <v>150057.60000000001</v>
      </c>
      <c r="AB254" s="362"/>
      <c r="AC254" s="412">
        <v>0</v>
      </c>
      <c r="AD254" s="405"/>
      <c r="AE254" s="413"/>
      <c r="AF254" s="424">
        <f t="shared" si="55"/>
        <v>150057.60000000001</v>
      </c>
      <c r="AG254" s="405" t="s">
        <v>1069</v>
      </c>
      <c r="AH254" s="395"/>
      <c r="AI254" s="405">
        <v>60</v>
      </c>
      <c r="AJ254" s="405" t="s">
        <v>1251</v>
      </c>
      <c r="AK254" s="405" t="s">
        <v>1252</v>
      </c>
      <c r="AL254" s="425" t="s">
        <v>1253</v>
      </c>
      <c r="AM254" s="405" t="s">
        <v>52</v>
      </c>
      <c r="AN254" s="405" t="s">
        <v>1071</v>
      </c>
      <c r="AO254" s="405"/>
      <c r="AP254" s="405"/>
      <c r="AQ254" s="405" t="s">
        <v>37</v>
      </c>
      <c r="AR254" s="405"/>
      <c r="AS254" s="369"/>
      <c r="AT254" s="363"/>
      <c r="AU254" s="403"/>
      <c r="AV254" s="402"/>
      <c r="AW254" s="402"/>
      <c r="AX254" s="402"/>
      <c r="AY254" s="402"/>
      <c r="AZ254" s="402"/>
      <c r="BA254" s="402"/>
      <c r="BB254" s="402"/>
      <c r="BC254" s="402"/>
    </row>
    <row r="255" spans="1:55">
      <c r="A255" s="377"/>
      <c r="B255" s="376"/>
      <c r="C255" s="376"/>
      <c r="D255" s="405" t="s">
        <v>1066</v>
      </c>
      <c r="E255" s="364" t="s">
        <v>4944</v>
      </c>
      <c r="F255" s="405" t="s">
        <v>1074</v>
      </c>
      <c r="G255" s="405">
        <v>2022</v>
      </c>
      <c r="H255" s="405">
        <v>8</v>
      </c>
      <c r="I255" s="416"/>
      <c r="J255" s="406"/>
      <c r="K255" s="405" t="s">
        <v>1134</v>
      </c>
      <c r="L255" s="406" t="s">
        <v>1112</v>
      </c>
      <c r="M255" s="406">
        <v>44645</v>
      </c>
      <c r="N255" s="406">
        <v>44764</v>
      </c>
      <c r="O255" s="406"/>
      <c r="P255" s="406"/>
      <c r="Q255" s="406"/>
      <c r="R255" s="406"/>
      <c r="S255" s="405" t="s">
        <v>1098</v>
      </c>
      <c r="T255" s="405">
        <v>72</v>
      </c>
      <c r="U255" s="405" t="s">
        <v>1102</v>
      </c>
      <c r="V255" s="405" t="s">
        <v>1068</v>
      </c>
      <c r="W255" s="407">
        <v>485</v>
      </c>
      <c r="X255" s="371">
        <v>638</v>
      </c>
      <c r="Y255" s="422">
        <f t="shared" si="47"/>
        <v>309430</v>
      </c>
      <c r="Z255" s="409">
        <v>0.5</v>
      </c>
      <c r="AA255" s="410">
        <f>Z255*Y255</f>
        <v>154715</v>
      </c>
      <c r="AB255" s="362"/>
      <c r="AC255" s="412">
        <f>AB255*Y255</f>
        <v>0</v>
      </c>
      <c r="AD255" s="405"/>
      <c r="AE255" s="413"/>
      <c r="AF255" s="424">
        <f t="shared" si="55"/>
        <v>154715</v>
      </c>
      <c r="AG255" s="405" t="s">
        <v>47</v>
      </c>
      <c r="AH255" s="395">
        <v>0</v>
      </c>
      <c r="AI255" s="405">
        <v>45</v>
      </c>
      <c r="AJ255" s="405" t="s">
        <v>1135</v>
      </c>
      <c r="AK255" s="405" t="s">
        <v>1136</v>
      </c>
      <c r="AL255" s="425">
        <v>74074</v>
      </c>
      <c r="AM255" s="405" t="s">
        <v>52</v>
      </c>
      <c r="AN255" s="405" t="s">
        <v>1102</v>
      </c>
      <c r="AO255" s="405"/>
      <c r="AP255" s="405" t="s">
        <v>38</v>
      </c>
      <c r="AQ255" s="405" t="s">
        <v>1083</v>
      </c>
      <c r="AR255" s="405"/>
      <c r="AS255" s="369" t="s">
        <v>1084</v>
      </c>
      <c r="AT255" s="363" t="s">
        <v>1073</v>
      </c>
      <c r="AU255" s="403"/>
      <c r="AV255" s="402"/>
      <c r="AW255" s="402"/>
      <c r="AX255" s="402"/>
      <c r="AY255" s="402"/>
      <c r="AZ255" s="402"/>
      <c r="BA255" s="402"/>
      <c r="BB255" s="402"/>
      <c r="BC255" s="402"/>
    </row>
    <row r="256" spans="1:55">
      <c r="A256" s="377"/>
      <c r="B256" s="376"/>
      <c r="C256" s="376"/>
      <c r="D256" s="405" t="s">
        <v>1066</v>
      </c>
      <c r="E256" s="364" t="s">
        <v>4944</v>
      </c>
      <c r="F256" s="405" t="s">
        <v>1074</v>
      </c>
      <c r="G256" s="405">
        <v>2022</v>
      </c>
      <c r="H256" s="405">
        <v>8</v>
      </c>
      <c r="I256" s="416"/>
      <c r="J256" s="406"/>
      <c r="K256" s="405" t="s">
        <v>1131</v>
      </c>
      <c r="L256" s="406" t="s">
        <v>1112</v>
      </c>
      <c r="M256" s="406">
        <v>44645</v>
      </c>
      <c r="N256" s="406">
        <v>44756</v>
      </c>
      <c r="O256" s="406"/>
      <c r="P256" s="406"/>
      <c r="Q256" s="406"/>
      <c r="R256" s="406"/>
      <c r="S256" s="405" t="s">
        <v>1098</v>
      </c>
      <c r="T256" s="405">
        <v>72</v>
      </c>
      <c r="U256" s="405" t="s">
        <v>1102</v>
      </c>
      <c r="V256" s="405" t="s">
        <v>1068</v>
      </c>
      <c r="W256" s="407">
        <v>485</v>
      </c>
      <c r="X256" s="371">
        <v>638</v>
      </c>
      <c r="Y256" s="422">
        <f t="shared" si="47"/>
        <v>309430</v>
      </c>
      <c r="Z256" s="409">
        <v>0.5</v>
      </c>
      <c r="AA256" s="410">
        <f>Z256*Y256</f>
        <v>154715</v>
      </c>
      <c r="AB256" s="362"/>
      <c r="AC256" s="412">
        <f>AB256*Y256</f>
        <v>0</v>
      </c>
      <c r="AD256" s="405"/>
      <c r="AE256" s="413"/>
      <c r="AF256" s="424">
        <f t="shared" si="55"/>
        <v>154715</v>
      </c>
      <c r="AG256" s="405" t="s">
        <v>47</v>
      </c>
      <c r="AH256" s="395">
        <v>0</v>
      </c>
      <c r="AI256" s="405">
        <v>45</v>
      </c>
      <c r="AJ256" s="405" t="s">
        <v>1132</v>
      </c>
      <c r="AK256" s="405" t="s">
        <v>50</v>
      </c>
      <c r="AL256" s="425">
        <v>91311</v>
      </c>
      <c r="AM256" s="405" t="s">
        <v>52</v>
      </c>
      <c r="AN256" s="405" t="s">
        <v>1102</v>
      </c>
      <c r="AO256" s="405"/>
      <c r="AP256" s="405" t="s">
        <v>38</v>
      </c>
      <c r="AQ256" s="405" t="s">
        <v>1083</v>
      </c>
      <c r="AR256" s="405"/>
      <c r="AS256" s="369" t="s">
        <v>1084</v>
      </c>
      <c r="AT256" s="363" t="s">
        <v>1073</v>
      </c>
      <c r="AU256" s="403"/>
      <c r="AV256" s="402" t="str">
        <f>U256</f>
        <v>TBD</v>
      </c>
      <c r="AW256" s="402" cm="1">
        <f t="array" ref="AW256">SUM(MID(0&amp;AV256,LARGE(INDEX(ISNUMBER(--MID(AV256,ROW($1:$8),1))*ROW($1:$8),),ROW($1:$8))+1,1)*10^ROW($1:$8)/10)</f>
        <v>0</v>
      </c>
      <c r="AX256" s="402" t="e">
        <f>VLOOKUP($AW256,'Item Master Data'!$A:$F,3,FALSE)</f>
        <v>#N/A</v>
      </c>
      <c r="AY256" s="402" t="e">
        <f>VLOOKUP($AW256,'Item Master Data'!$A:$F,6,FALSE)</f>
        <v>#N/A</v>
      </c>
      <c r="AZ256" s="402" t="e">
        <f>X256/BA256</f>
        <v>#N/A</v>
      </c>
      <c r="BA256" s="402" t="e">
        <f>VLOOKUP(AW256,'Item Master Data'!$A:$G,7,FALSE)</f>
        <v>#N/A</v>
      </c>
      <c r="BB256" s="402"/>
      <c r="BC256" s="402" t="e">
        <f>W256-AY256</f>
        <v>#N/A</v>
      </c>
    </row>
    <row r="257" spans="1:55">
      <c r="A257" s="377"/>
      <c r="B257" s="376"/>
      <c r="C257" s="376"/>
      <c r="D257" s="405" t="s">
        <v>1066</v>
      </c>
      <c r="E257" s="364" t="s">
        <v>4944</v>
      </c>
      <c r="F257" s="405" t="s">
        <v>1074</v>
      </c>
      <c r="G257" s="405">
        <v>2022</v>
      </c>
      <c r="H257" s="405">
        <v>8</v>
      </c>
      <c r="I257" s="416"/>
      <c r="J257" s="406"/>
      <c r="K257" s="405" t="s">
        <v>1128</v>
      </c>
      <c r="L257" s="406" t="s">
        <v>1112</v>
      </c>
      <c r="M257" s="406">
        <v>44645</v>
      </c>
      <c r="N257" s="406">
        <v>44764</v>
      </c>
      <c r="O257" s="406"/>
      <c r="P257" s="406"/>
      <c r="Q257" s="406"/>
      <c r="R257" s="406"/>
      <c r="S257" s="405" t="s">
        <v>1098</v>
      </c>
      <c r="T257" s="405">
        <v>72</v>
      </c>
      <c r="U257" s="405" t="s">
        <v>1102</v>
      </c>
      <c r="V257" s="405" t="s">
        <v>1068</v>
      </c>
      <c r="W257" s="407">
        <v>485</v>
      </c>
      <c r="X257" s="371">
        <v>638</v>
      </c>
      <c r="Y257" s="422">
        <f t="shared" si="47"/>
        <v>309430</v>
      </c>
      <c r="Z257" s="409">
        <v>0.5</v>
      </c>
      <c r="AA257" s="410">
        <f>Z257*Y257</f>
        <v>154715</v>
      </c>
      <c r="AB257" s="362"/>
      <c r="AC257" s="412">
        <f>AB257*Y257</f>
        <v>0</v>
      </c>
      <c r="AD257" s="405"/>
      <c r="AE257" s="413"/>
      <c r="AF257" s="424">
        <f t="shared" si="55"/>
        <v>154715</v>
      </c>
      <c r="AG257" s="405" t="s">
        <v>47</v>
      </c>
      <c r="AH257" s="395">
        <v>0</v>
      </c>
      <c r="AI257" s="405">
        <v>45</v>
      </c>
      <c r="AJ257" s="405" t="s">
        <v>1129</v>
      </c>
      <c r="AK257" s="405" t="s">
        <v>1130</v>
      </c>
      <c r="AL257" s="425">
        <v>11416</v>
      </c>
      <c r="AM257" s="405" t="s">
        <v>52</v>
      </c>
      <c r="AN257" s="405" t="s">
        <v>1102</v>
      </c>
      <c r="AO257" s="405"/>
      <c r="AP257" s="405" t="s">
        <v>38</v>
      </c>
      <c r="AQ257" s="405" t="s">
        <v>1083</v>
      </c>
      <c r="AR257" s="405"/>
      <c r="AS257" s="369" t="s">
        <v>1084</v>
      </c>
      <c r="AT257" s="363" t="s">
        <v>1073</v>
      </c>
      <c r="AU257" s="403"/>
      <c r="AV257" s="402" t="str">
        <f>U257</f>
        <v>TBD</v>
      </c>
      <c r="AW257" s="402" cm="1">
        <f t="array" ref="AW257">SUM(MID(0&amp;AV257,LARGE(INDEX(ISNUMBER(--MID(AV257,ROW($1:$8),1))*ROW($1:$8),),ROW($1:$8))+1,1)*10^ROW($1:$8)/10)</f>
        <v>0</v>
      </c>
      <c r="AX257" s="402" t="e">
        <f>VLOOKUP($AW257,'Item Master Data'!$A:$F,3,FALSE)</f>
        <v>#N/A</v>
      </c>
      <c r="AY257" s="402" t="e">
        <f>VLOOKUP($AW257,'Item Master Data'!$A:$F,6,FALSE)</f>
        <v>#N/A</v>
      </c>
      <c r="AZ257" s="402" t="e">
        <f>X257/BA257</f>
        <v>#N/A</v>
      </c>
      <c r="BA257" s="402" t="e">
        <f>VLOOKUP(AW257,'Item Master Data'!$A:$G,7,FALSE)</f>
        <v>#N/A</v>
      </c>
      <c r="BB257" s="402"/>
      <c r="BC257" s="402" t="e">
        <f>W257-AY257</f>
        <v>#N/A</v>
      </c>
    </row>
    <row r="258" spans="1:55">
      <c r="A258" s="377"/>
      <c r="B258" s="376"/>
      <c r="C258" s="376"/>
      <c r="D258" s="405" t="s">
        <v>1066</v>
      </c>
      <c r="E258" s="364"/>
      <c r="F258" s="405"/>
      <c r="G258" s="405">
        <v>2022</v>
      </c>
      <c r="H258" s="405">
        <v>7</v>
      </c>
      <c r="I258" s="416"/>
      <c r="J258" s="406"/>
      <c r="K258" s="405" t="s">
        <v>1166</v>
      </c>
      <c r="L258" s="406" t="s">
        <v>1162</v>
      </c>
      <c r="M258" s="406">
        <v>44610</v>
      </c>
      <c r="N258" s="406">
        <v>44747</v>
      </c>
      <c r="O258" s="406"/>
      <c r="P258" s="406"/>
      <c r="Q258" s="406"/>
      <c r="R258" s="406"/>
      <c r="S258" s="405" t="s">
        <v>1067</v>
      </c>
      <c r="T258" s="405">
        <v>72</v>
      </c>
      <c r="U258" s="405" t="s">
        <v>1167</v>
      </c>
      <c r="V258" s="405" t="s">
        <v>1002</v>
      </c>
      <c r="W258" s="407">
        <v>485</v>
      </c>
      <c r="X258" s="371">
        <v>1276</v>
      </c>
      <c r="Y258" s="422">
        <f t="shared" si="47"/>
        <v>618860</v>
      </c>
      <c r="Z258" s="409">
        <f>240.07/485</f>
        <v>0.49498969072164944</v>
      </c>
      <c r="AA258" s="410">
        <f>Y258*Z258</f>
        <v>306329.31999999995</v>
      </c>
      <c r="AB258" s="362"/>
      <c r="AC258" s="412">
        <v>0</v>
      </c>
      <c r="AD258" s="405"/>
      <c r="AE258" s="413"/>
      <c r="AF258" s="424">
        <f t="shared" si="55"/>
        <v>306329.31999999995</v>
      </c>
      <c r="AG258" s="405" t="s">
        <v>1069</v>
      </c>
      <c r="AH258" s="395"/>
      <c r="AI258" s="405">
        <v>60</v>
      </c>
      <c r="AJ258" s="405" t="s">
        <v>1163</v>
      </c>
      <c r="AK258" s="405" t="s">
        <v>1130</v>
      </c>
      <c r="AL258" s="425" t="s">
        <v>1164</v>
      </c>
      <c r="AM258" s="405" t="s">
        <v>52</v>
      </c>
      <c r="AN258" s="405" t="s">
        <v>1102</v>
      </c>
      <c r="AO258" s="405"/>
      <c r="AP258" s="405" t="s">
        <v>1102</v>
      </c>
      <c r="AQ258" s="405" t="s">
        <v>37</v>
      </c>
      <c r="AR258" s="405"/>
      <c r="AS258" s="369"/>
      <c r="AT258" s="363"/>
      <c r="AU258" s="403"/>
      <c r="AV258" s="402"/>
      <c r="AW258" s="402"/>
      <c r="AX258" s="402"/>
      <c r="AY258" s="402"/>
      <c r="AZ258" s="402"/>
      <c r="BA258" s="402"/>
      <c r="BB258" s="402"/>
      <c r="BC258" s="402"/>
    </row>
    <row r="259" spans="1:55">
      <c r="A259" s="377"/>
      <c r="B259" s="376" t="s">
        <v>1186</v>
      </c>
      <c r="C259" s="376" t="s">
        <v>1186</v>
      </c>
      <c r="D259" s="405" t="s">
        <v>1066</v>
      </c>
      <c r="E259" s="364" t="s">
        <v>4113</v>
      </c>
      <c r="F259" s="405" t="s">
        <v>87</v>
      </c>
      <c r="G259" s="405">
        <v>2022</v>
      </c>
      <c r="H259" s="405">
        <v>11</v>
      </c>
      <c r="I259" s="416"/>
      <c r="J259" s="406"/>
      <c r="K259" s="405" t="s">
        <v>1259</v>
      </c>
      <c r="L259" s="406" t="s">
        <v>1250</v>
      </c>
      <c r="M259" s="406">
        <v>44656</v>
      </c>
      <c r="N259" s="406">
        <v>44866</v>
      </c>
      <c r="O259" s="406"/>
      <c r="P259" s="406"/>
      <c r="Q259" s="406"/>
      <c r="R259" s="406"/>
      <c r="S259" s="405" t="s">
        <v>1067</v>
      </c>
      <c r="T259" s="405">
        <v>72</v>
      </c>
      <c r="U259" s="405"/>
      <c r="V259" s="405" t="s">
        <v>1068</v>
      </c>
      <c r="W259" s="407">
        <v>480</v>
      </c>
      <c r="X259" s="371">
        <v>638</v>
      </c>
      <c r="Y259" s="422">
        <f t="shared" si="47"/>
        <v>306240</v>
      </c>
      <c r="Z259" s="409">
        <v>0.49</v>
      </c>
      <c r="AA259" s="410">
        <f>Y259*Z259</f>
        <v>150057.60000000001</v>
      </c>
      <c r="AB259" s="362"/>
      <c r="AC259" s="412">
        <v>0</v>
      </c>
      <c r="AD259" s="405"/>
      <c r="AE259" s="413"/>
      <c r="AF259" s="424">
        <f t="shared" si="55"/>
        <v>150057.60000000001</v>
      </c>
      <c r="AG259" s="405" t="s">
        <v>1069</v>
      </c>
      <c r="AH259" s="395"/>
      <c r="AI259" s="405">
        <v>60</v>
      </c>
      <c r="AJ259" s="405" t="s">
        <v>1251</v>
      </c>
      <c r="AK259" s="405" t="s">
        <v>1252</v>
      </c>
      <c r="AL259" s="425" t="s">
        <v>1253</v>
      </c>
      <c r="AM259" s="405" t="s">
        <v>52</v>
      </c>
      <c r="AN259" s="405" t="s">
        <v>1071</v>
      </c>
      <c r="AO259" s="405"/>
      <c r="AP259" s="405"/>
      <c r="AQ259" s="405" t="s">
        <v>37</v>
      </c>
      <c r="AR259" s="405"/>
      <c r="AS259" s="369"/>
      <c r="AT259" s="363"/>
      <c r="AU259" s="403"/>
      <c r="AV259" s="402"/>
      <c r="AW259" s="402"/>
      <c r="AX259" s="402"/>
      <c r="AY259" s="402"/>
      <c r="AZ259" s="402"/>
      <c r="BA259" s="402"/>
      <c r="BB259" s="402"/>
      <c r="BC259" s="402"/>
    </row>
    <row r="260" spans="1:55">
      <c r="A260" s="377"/>
      <c r="B260" s="376" t="s">
        <v>1186</v>
      </c>
      <c r="C260" s="376" t="s">
        <v>1186</v>
      </c>
      <c r="D260" s="405" t="s">
        <v>1066</v>
      </c>
      <c r="E260" s="364" t="s">
        <v>1093</v>
      </c>
      <c r="F260" s="405"/>
      <c r="G260" s="405">
        <v>2022</v>
      </c>
      <c r="H260" s="405">
        <v>7</v>
      </c>
      <c r="I260" s="416"/>
      <c r="J260" s="406"/>
      <c r="K260" s="405" t="s">
        <v>4262</v>
      </c>
      <c r="L260" s="406" t="s">
        <v>1189</v>
      </c>
      <c r="M260" s="406">
        <v>44673</v>
      </c>
      <c r="N260" s="406">
        <v>44743</v>
      </c>
      <c r="O260" s="406"/>
      <c r="P260" s="406"/>
      <c r="Q260" s="406"/>
      <c r="R260" s="406"/>
      <c r="S260" s="405" t="s">
        <v>1107</v>
      </c>
      <c r="T260" s="405">
        <v>60</v>
      </c>
      <c r="U260" s="405"/>
      <c r="V260" s="405" t="s">
        <v>973</v>
      </c>
      <c r="W260" s="407">
        <v>400</v>
      </c>
      <c r="X260" s="371">
        <v>768</v>
      </c>
      <c r="Y260" s="422">
        <f>X260*W260</f>
        <v>307200</v>
      </c>
      <c r="Z260" s="409">
        <v>0.64</v>
      </c>
      <c r="AA260" s="410">
        <f>Z260*Y260</f>
        <v>196608</v>
      </c>
      <c r="AB260" s="362"/>
      <c r="AC260" s="412">
        <f>AB260*Y260</f>
        <v>0</v>
      </c>
      <c r="AD260" s="405"/>
      <c r="AE260" s="413"/>
      <c r="AF260" s="424">
        <f t="shared" si="55"/>
        <v>196608</v>
      </c>
      <c r="AG260" s="405" t="s">
        <v>1069</v>
      </c>
      <c r="AH260" s="395">
        <v>0</v>
      </c>
      <c r="AI260" s="405">
        <v>60</v>
      </c>
      <c r="AJ260" s="405" t="s">
        <v>1190</v>
      </c>
      <c r="AK260" s="405" t="s">
        <v>1191</v>
      </c>
      <c r="AL260" s="425">
        <v>43125</v>
      </c>
      <c r="AM260" s="405" t="s">
        <v>52</v>
      </c>
      <c r="AN260" s="405" t="s">
        <v>1071</v>
      </c>
      <c r="AO260" s="405"/>
      <c r="AP260" s="405"/>
      <c r="AQ260" s="405"/>
      <c r="AR260" s="405"/>
      <c r="AS260" s="369"/>
      <c r="AT260" s="363"/>
      <c r="AU260" s="403"/>
      <c r="AV260" s="402"/>
      <c r="AW260" s="402"/>
      <c r="AX260" s="402"/>
      <c r="AY260" s="402"/>
      <c r="AZ260" s="402"/>
      <c r="BA260" s="402"/>
      <c r="BB260" s="402"/>
      <c r="BC260" s="402"/>
    </row>
    <row r="261" spans="1:55">
      <c r="A261" s="377"/>
      <c r="B261" s="376"/>
      <c r="C261" s="376"/>
      <c r="D261" s="405" t="s">
        <v>1066</v>
      </c>
      <c r="E261" s="364" t="s">
        <v>4929</v>
      </c>
      <c r="F261" s="405" t="s">
        <v>87</v>
      </c>
      <c r="G261" s="405">
        <v>2022</v>
      </c>
      <c r="H261" s="405">
        <v>7</v>
      </c>
      <c r="I261" s="416"/>
      <c r="J261" s="406"/>
      <c r="K261" s="405" t="s">
        <v>1202</v>
      </c>
      <c r="L261" s="406" t="s">
        <v>1195</v>
      </c>
      <c r="M261" s="406">
        <v>44641</v>
      </c>
      <c r="N261" s="406">
        <v>44753</v>
      </c>
      <c r="O261" s="406"/>
      <c r="P261" s="406"/>
      <c r="Q261" s="406"/>
      <c r="R261" s="406"/>
      <c r="S261" s="405" t="s">
        <v>1067</v>
      </c>
      <c r="T261" s="405">
        <v>72</v>
      </c>
      <c r="U261" s="405">
        <v>49303155</v>
      </c>
      <c r="V261" s="405" t="s">
        <v>1068</v>
      </c>
      <c r="W261" s="407">
        <v>475</v>
      </c>
      <c r="X261" s="371">
        <v>1914</v>
      </c>
      <c r="Y261" s="422">
        <f t="shared" ref="Y261:Y296" si="56">W261*X261</f>
        <v>909150</v>
      </c>
      <c r="Z261" s="409">
        <v>0.47</v>
      </c>
      <c r="AA261" s="410">
        <f>Y261*Z261</f>
        <v>427300.5</v>
      </c>
      <c r="AB261" s="362"/>
      <c r="AC261" s="412">
        <v>0</v>
      </c>
      <c r="AD261" s="405"/>
      <c r="AE261" s="413"/>
      <c r="AF261" s="424">
        <f t="shared" si="55"/>
        <v>427300.5</v>
      </c>
      <c r="AG261" s="405" t="s">
        <v>1069</v>
      </c>
      <c r="AH261" s="395"/>
      <c r="AI261" s="405">
        <v>60</v>
      </c>
      <c r="AJ261" s="405" t="s">
        <v>1197</v>
      </c>
      <c r="AK261" s="405" t="s">
        <v>1176</v>
      </c>
      <c r="AL261" s="425">
        <v>6492</v>
      </c>
      <c r="AM261" s="405" t="s">
        <v>52</v>
      </c>
      <c r="AN261" s="405" t="s">
        <v>1082</v>
      </c>
      <c r="AO261" s="405"/>
      <c r="AP261" s="405" t="s">
        <v>92</v>
      </c>
      <c r="AQ261" s="405" t="s">
        <v>37</v>
      </c>
      <c r="AR261" s="405"/>
      <c r="AS261" s="369"/>
      <c r="AT261" s="363"/>
      <c r="AU261" s="403"/>
      <c r="AV261" s="402">
        <f t="shared" ref="AV261:AV267" si="57">U261</f>
        <v>49303155</v>
      </c>
      <c r="AW261" s="402" cm="1">
        <f t="array" ref="AW261">SUM(MID(0&amp;AV261,LARGE(INDEX(ISNUMBER(--MID(AV261,ROW($1:$8),1))*ROW($1:$8),),ROW($1:$8))+1,1)*10^ROW($1:$8)/10)</f>
        <v>49303155</v>
      </c>
      <c r="AX261" s="402" t="str">
        <f>VLOOKUP($AW261,'Item Master Data'!$A:$F,3,FALSE)</f>
        <v>Q.PEAK DUO XL G10 BFG</v>
      </c>
      <c r="AY261" s="402">
        <f>VLOOKUP($AW261,'Item Master Data'!$A:$F,6,FALSE)</f>
        <v>475</v>
      </c>
      <c r="AZ261" s="402">
        <f t="shared" ref="AZ261:AZ267" si="58">X261/BA261</f>
        <v>66</v>
      </c>
      <c r="BA261" s="402">
        <f>VLOOKUP(AW261,'Item Master Data'!$A:$G,7,FALSE)</f>
        <v>29</v>
      </c>
      <c r="BB261" s="402"/>
      <c r="BC261" s="402">
        <f t="shared" ref="BC261:BC267" si="59">W261-AY261</f>
        <v>0</v>
      </c>
    </row>
    <row r="262" spans="1:55">
      <c r="A262" s="377"/>
      <c r="B262" s="376"/>
      <c r="C262" s="376"/>
      <c r="D262" s="405" t="s">
        <v>1066</v>
      </c>
      <c r="E262" s="364" t="s">
        <v>1225</v>
      </c>
      <c r="F262" s="405"/>
      <c r="G262" s="405">
        <v>2022</v>
      </c>
      <c r="H262" s="405">
        <v>7</v>
      </c>
      <c r="I262" s="416"/>
      <c r="J262" s="406"/>
      <c r="K262" s="405" t="s">
        <v>1228</v>
      </c>
      <c r="L262" s="406" t="s">
        <v>1205</v>
      </c>
      <c r="M262" s="406">
        <v>44502</v>
      </c>
      <c r="N262" s="406">
        <v>44714</v>
      </c>
      <c r="O262" s="406"/>
      <c r="P262" s="406"/>
      <c r="Q262" s="406"/>
      <c r="R262" s="406"/>
      <c r="S262" s="405" t="s">
        <v>1107</v>
      </c>
      <c r="T262" s="405">
        <v>60</v>
      </c>
      <c r="U262" s="405">
        <v>49401140</v>
      </c>
      <c r="V262" s="405" t="s">
        <v>973</v>
      </c>
      <c r="W262" s="407">
        <v>400</v>
      </c>
      <c r="X262" s="371">
        <v>3072</v>
      </c>
      <c r="Y262" s="422">
        <f t="shared" si="56"/>
        <v>1228800</v>
      </c>
      <c r="Z262" s="409">
        <v>0.52</v>
      </c>
      <c r="AA262" s="410">
        <f t="shared" ref="AA262:AA267" si="60">Z262*Y262</f>
        <v>638976</v>
      </c>
      <c r="AB262" s="362"/>
      <c r="AC262" s="412">
        <f t="shared" ref="AC262:AC267" si="61">AB262*Y262</f>
        <v>0</v>
      </c>
      <c r="AD262" s="405"/>
      <c r="AE262" s="413"/>
      <c r="AF262" s="424">
        <f t="shared" si="55"/>
        <v>638976</v>
      </c>
      <c r="AG262" s="405" t="s">
        <v>1069</v>
      </c>
      <c r="AH262" s="395">
        <v>0</v>
      </c>
      <c r="AI262" s="405">
        <v>60</v>
      </c>
      <c r="AJ262" s="405" t="s">
        <v>1206</v>
      </c>
      <c r="AK262" s="405" t="s">
        <v>1207</v>
      </c>
      <c r="AL262" s="425" t="s">
        <v>1208</v>
      </c>
      <c r="AM262" s="405" t="s">
        <v>52</v>
      </c>
      <c r="AN262" s="405" t="s">
        <v>1071</v>
      </c>
      <c r="AO262" s="405"/>
      <c r="AP262" s="405"/>
      <c r="AQ262" s="405" t="s">
        <v>1083</v>
      </c>
      <c r="AR262" s="405" t="s">
        <v>1209</v>
      </c>
      <c r="AS262" s="369" t="s">
        <v>1073</v>
      </c>
      <c r="AT262" s="363" t="s">
        <v>1073</v>
      </c>
      <c r="AU262" s="403">
        <v>0.52</v>
      </c>
      <c r="AV262" s="402">
        <f t="shared" si="57"/>
        <v>49401140</v>
      </c>
      <c r="AW262" s="402" cm="1">
        <f t="array" ref="AW262">SUM(MID(0&amp;AV262,LARGE(INDEX(ISNUMBER(--MID(AV262,ROW($1:$8),1))*ROW($1:$8),),ROW($1:$8))+1,1)*10^ROW($1:$8)/10)</f>
        <v>49401140</v>
      </c>
      <c r="AX262" s="402" t="str">
        <f>VLOOKUP($AW262,'Item Master Data'!$A:$F,3,FALSE)</f>
        <v>Q.PEAK DUO BLK ML G10.a+</v>
      </c>
      <c r="AY262" s="402">
        <f>VLOOKUP($AW262,'Item Master Data'!$A:$F,6,FALSE)</f>
        <v>400</v>
      </c>
      <c r="AZ262" s="402">
        <f t="shared" si="58"/>
        <v>96</v>
      </c>
      <c r="BA262" s="402">
        <f>VLOOKUP(AW262,'Item Master Data'!$A:$G,7,FALSE)</f>
        <v>32</v>
      </c>
      <c r="BB262" s="402"/>
      <c r="BC262" s="402">
        <f t="shared" si="59"/>
        <v>0</v>
      </c>
    </row>
    <row r="263" spans="1:55">
      <c r="A263" s="377"/>
      <c r="B263" s="376"/>
      <c r="C263" s="376"/>
      <c r="D263" s="405" t="s">
        <v>1066</v>
      </c>
      <c r="E263" s="364"/>
      <c r="F263" s="405"/>
      <c r="G263" s="405">
        <v>2022</v>
      </c>
      <c r="H263" s="405">
        <v>7</v>
      </c>
      <c r="I263" s="416"/>
      <c r="J263" s="406"/>
      <c r="K263" s="405" t="s">
        <v>1218</v>
      </c>
      <c r="L263" s="406" t="s">
        <v>1205</v>
      </c>
      <c r="M263" s="406">
        <v>44504</v>
      </c>
      <c r="N263" s="406">
        <v>44682</v>
      </c>
      <c r="O263" s="406"/>
      <c r="P263" s="406"/>
      <c r="Q263" s="406"/>
      <c r="R263" s="406"/>
      <c r="S263" s="405" t="s">
        <v>1107</v>
      </c>
      <c r="T263" s="405">
        <v>60</v>
      </c>
      <c r="U263" s="405">
        <v>49201132</v>
      </c>
      <c r="V263" s="405" t="s">
        <v>986</v>
      </c>
      <c r="W263" s="407">
        <v>360</v>
      </c>
      <c r="X263" s="371">
        <v>832</v>
      </c>
      <c r="Y263" s="422">
        <f t="shared" si="56"/>
        <v>299520</v>
      </c>
      <c r="Z263" s="409">
        <v>0.53</v>
      </c>
      <c r="AA263" s="410">
        <f t="shared" si="60"/>
        <v>158745.60000000001</v>
      </c>
      <c r="AB263" s="362"/>
      <c r="AC263" s="412">
        <f t="shared" si="61"/>
        <v>0</v>
      </c>
      <c r="AD263" s="405"/>
      <c r="AE263" s="413"/>
      <c r="AF263" s="424">
        <f t="shared" si="55"/>
        <v>158745.60000000001</v>
      </c>
      <c r="AG263" s="405" t="s">
        <v>1069</v>
      </c>
      <c r="AH263" s="395">
        <v>0</v>
      </c>
      <c r="AI263" s="405">
        <v>60</v>
      </c>
      <c r="AJ263" s="405" t="s">
        <v>1206</v>
      </c>
      <c r="AK263" s="405" t="s">
        <v>1207</v>
      </c>
      <c r="AL263" s="425" t="s">
        <v>1208</v>
      </c>
      <c r="AM263" s="405" t="s">
        <v>52</v>
      </c>
      <c r="AN263" s="405" t="s">
        <v>1071</v>
      </c>
      <c r="AO263" s="405"/>
      <c r="AP263" s="405"/>
      <c r="AQ263" s="405" t="s">
        <v>1083</v>
      </c>
      <c r="AR263" s="405"/>
      <c r="AS263" s="369" t="s">
        <v>1073</v>
      </c>
      <c r="AT263" s="363" t="s">
        <v>1073</v>
      </c>
      <c r="AU263" s="403"/>
      <c r="AV263" s="402">
        <f t="shared" si="57"/>
        <v>49201132</v>
      </c>
      <c r="AW263" s="402" cm="1">
        <f t="array" ref="AW263">SUM(MID(0&amp;AV263,LARGE(INDEX(ISNUMBER(--MID(AV263,ROW($1:$8),1))*ROW($1:$8),),ROW($1:$8))+1,1)*10^ROW($1:$8)/10)</f>
        <v>49201132</v>
      </c>
      <c r="AX263" s="402" t="str">
        <f>VLOOKUP($AW263,'Item Master Data'!$A:$F,3,FALSE)</f>
        <v>Q.PEAK DUO BLK G10+</v>
      </c>
      <c r="AY263" s="402">
        <f>VLOOKUP($AW263,'Item Master Data'!$A:$F,6,FALSE)</f>
        <v>360</v>
      </c>
      <c r="AZ263" s="402">
        <f t="shared" si="58"/>
        <v>26</v>
      </c>
      <c r="BA263" s="402">
        <f>VLOOKUP(AW263,'Item Master Data'!$A:$G,7,FALSE)</f>
        <v>32</v>
      </c>
      <c r="BB263" s="402"/>
      <c r="BC263" s="402">
        <f t="shared" si="59"/>
        <v>0</v>
      </c>
    </row>
    <row r="264" spans="1:55">
      <c r="A264" s="377"/>
      <c r="B264" s="376"/>
      <c r="C264" s="376"/>
      <c r="D264" s="405" t="s">
        <v>1066</v>
      </c>
      <c r="E264" s="364"/>
      <c r="F264" s="405"/>
      <c r="G264" s="405">
        <v>2022</v>
      </c>
      <c r="H264" s="405">
        <v>7</v>
      </c>
      <c r="I264" s="416"/>
      <c r="J264" s="406"/>
      <c r="K264" s="405" t="s">
        <v>1227</v>
      </c>
      <c r="L264" s="406" t="s">
        <v>1205</v>
      </c>
      <c r="M264" s="406">
        <v>44504</v>
      </c>
      <c r="N264" s="406">
        <v>44713</v>
      </c>
      <c r="O264" s="406"/>
      <c r="P264" s="406"/>
      <c r="Q264" s="406"/>
      <c r="R264" s="406"/>
      <c r="S264" s="405" t="s">
        <v>1107</v>
      </c>
      <c r="T264" s="405">
        <v>60</v>
      </c>
      <c r="U264" s="405">
        <v>49201132</v>
      </c>
      <c r="V264" s="405" t="s">
        <v>986</v>
      </c>
      <c r="W264" s="407">
        <v>360</v>
      </c>
      <c r="X264" s="371">
        <v>2496</v>
      </c>
      <c r="Y264" s="422">
        <f t="shared" si="56"/>
        <v>898560</v>
      </c>
      <c r="Z264" s="409">
        <v>0.53</v>
      </c>
      <c r="AA264" s="410">
        <f t="shared" si="60"/>
        <v>476236.80000000005</v>
      </c>
      <c r="AB264" s="362"/>
      <c r="AC264" s="412">
        <f t="shared" si="61"/>
        <v>0</v>
      </c>
      <c r="AD264" s="405"/>
      <c r="AE264" s="413"/>
      <c r="AF264" s="424">
        <f t="shared" si="55"/>
        <v>476236.80000000005</v>
      </c>
      <c r="AG264" s="405" t="s">
        <v>1069</v>
      </c>
      <c r="AH264" s="395">
        <v>0</v>
      </c>
      <c r="AI264" s="405">
        <v>60</v>
      </c>
      <c r="AJ264" s="405" t="s">
        <v>1206</v>
      </c>
      <c r="AK264" s="405" t="s">
        <v>1207</v>
      </c>
      <c r="AL264" s="425" t="s">
        <v>1208</v>
      </c>
      <c r="AM264" s="405" t="s">
        <v>52</v>
      </c>
      <c r="AN264" s="405" t="s">
        <v>1071</v>
      </c>
      <c r="AO264" s="405"/>
      <c r="AP264" s="405"/>
      <c r="AQ264" s="405" t="s">
        <v>1083</v>
      </c>
      <c r="AR264" s="405"/>
      <c r="AS264" s="369" t="s">
        <v>1073</v>
      </c>
      <c r="AT264" s="363" t="s">
        <v>1073</v>
      </c>
      <c r="AU264" s="403"/>
      <c r="AV264" s="402">
        <f t="shared" si="57"/>
        <v>49201132</v>
      </c>
      <c r="AW264" s="402" cm="1">
        <f t="array" ref="AW264">SUM(MID(0&amp;AV264,LARGE(INDEX(ISNUMBER(--MID(AV264,ROW($1:$8),1))*ROW($1:$8),),ROW($1:$8))+1,1)*10^ROW($1:$8)/10)</f>
        <v>49201132</v>
      </c>
      <c r="AX264" s="402" t="str">
        <f>VLOOKUP($AW264,'Item Master Data'!$A:$F,3,FALSE)</f>
        <v>Q.PEAK DUO BLK G10+</v>
      </c>
      <c r="AY264" s="402">
        <f>VLOOKUP($AW264,'Item Master Data'!$A:$F,6,FALSE)</f>
        <v>360</v>
      </c>
      <c r="AZ264" s="402">
        <f t="shared" si="58"/>
        <v>78</v>
      </c>
      <c r="BA264" s="402">
        <f>VLOOKUP(AW264,'Item Master Data'!$A:$G,7,FALSE)</f>
        <v>32</v>
      </c>
      <c r="BB264" s="402"/>
      <c r="BC264" s="402">
        <f t="shared" si="59"/>
        <v>0</v>
      </c>
    </row>
    <row r="265" spans="1:55">
      <c r="A265" s="377"/>
      <c r="B265" s="376"/>
      <c r="C265" s="376"/>
      <c r="D265" s="405" t="s">
        <v>1066</v>
      </c>
      <c r="E265" s="364"/>
      <c r="F265" s="405"/>
      <c r="G265" s="405">
        <v>2022</v>
      </c>
      <c r="H265" s="405">
        <v>7</v>
      </c>
      <c r="I265" s="416"/>
      <c r="J265" s="406"/>
      <c r="K265" s="405" t="s">
        <v>1244</v>
      </c>
      <c r="L265" s="406" t="s">
        <v>1232</v>
      </c>
      <c r="M265" s="406">
        <v>44497</v>
      </c>
      <c r="N265" s="406">
        <v>44562</v>
      </c>
      <c r="O265" s="406" t="s">
        <v>1236</v>
      </c>
      <c r="P265" s="406"/>
      <c r="Q265" s="406"/>
      <c r="R265" s="406"/>
      <c r="S265" s="405" t="s">
        <v>1107</v>
      </c>
      <c r="T265" s="405">
        <v>60</v>
      </c>
      <c r="U265" s="405">
        <v>49401140</v>
      </c>
      <c r="V265" s="405" t="s">
        <v>973</v>
      </c>
      <c r="W265" s="407">
        <v>400</v>
      </c>
      <c r="X265" s="371">
        <v>1536</v>
      </c>
      <c r="Y265" s="422">
        <f t="shared" si="56"/>
        <v>614400</v>
      </c>
      <c r="Z265" s="409">
        <v>0.55000000000000004</v>
      </c>
      <c r="AA265" s="410">
        <f t="shared" si="60"/>
        <v>337920</v>
      </c>
      <c r="AB265" s="362"/>
      <c r="AC265" s="412">
        <f t="shared" si="61"/>
        <v>0</v>
      </c>
      <c r="AD265" s="405"/>
      <c r="AE265" s="413"/>
      <c r="AF265" s="424">
        <f t="shared" si="55"/>
        <v>337920</v>
      </c>
      <c r="AG265" s="405" t="s">
        <v>1069</v>
      </c>
      <c r="AH265" s="395"/>
      <c r="AI265" s="405">
        <v>60</v>
      </c>
      <c r="AJ265" s="405" t="s">
        <v>1233</v>
      </c>
      <c r="AK265" s="405" t="s">
        <v>1234</v>
      </c>
      <c r="AL265" s="425" t="s">
        <v>1235</v>
      </c>
      <c r="AM265" s="405" t="s">
        <v>52</v>
      </c>
      <c r="AN265" s="405" t="s">
        <v>1071</v>
      </c>
      <c r="AO265" s="405"/>
      <c r="AP265" s="405"/>
      <c r="AQ265" s="405"/>
      <c r="AR265" s="405"/>
      <c r="AS265" s="369"/>
      <c r="AT265" s="363"/>
      <c r="AU265" s="403"/>
      <c r="AV265" s="402">
        <f t="shared" si="57"/>
        <v>49401140</v>
      </c>
      <c r="AW265" s="402" cm="1">
        <f t="array" ref="AW265">SUM(MID(0&amp;AV265,LARGE(INDEX(ISNUMBER(--MID(AV265,ROW($1:$8),1))*ROW($1:$8),),ROW($1:$8))+1,1)*10^ROW($1:$8)/10)</f>
        <v>49401140</v>
      </c>
      <c r="AX265" s="402" t="str">
        <f>VLOOKUP($AW265,'Item Master Data'!$A:$F,3,FALSE)</f>
        <v>Q.PEAK DUO BLK ML G10.a+</v>
      </c>
      <c r="AY265" s="402">
        <f>VLOOKUP($AW265,'Item Master Data'!$A:$F,6,FALSE)</f>
        <v>400</v>
      </c>
      <c r="AZ265" s="402">
        <f t="shared" si="58"/>
        <v>48</v>
      </c>
      <c r="BA265" s="402">
        <f>VLOOKUP(AW265,'Item Master Data'!$A:$G,7,FALSE)</f>
        <v>32</v>
      </c>
      <c r="BB265" s="402"/>
      <c r="BC265" s="402">
        <f t="shared" si="59"/>
        <v>0</v>
      </c>
    </row>
    <row r="266" spans="1:55">
      <c r="A266" s="377"/>
      <c r="B266" s="376" t="s">
        <v>1186</v>
      </c>
      <c r="C266" s="376" t="s">
        <v>1186</v>
      </c>
      <c r="D266" s="405" t="s">
        <v>1066</v>
      </c>
      <c r="E266" s="364" t="s">
        <v>1239</v>
      </c>
      <c r="F266" s="405"/>
      <c r="G266" s="405">
        <v>2022</v>
      </c>
      <c r="H266" s="405">
        <v>7</v>
      </c>
      <c r="I266" s="416"/>
      <c r="J266" s="406"/>
      <c r="K266" s="405" t="s">
        <v>1248</v>
      </c>
      <c r="L266" s="406" t="s">
        <v>1232</v>
      </c>
      <c r="M266" s="406">
        <v>44517</v>
      </c>
      <c r="N266" s="406">
        <v>44713</v>
      </c>
      <c r="O266" s="406"/>
      <c r="P266" s="406"/>
      <c r="Q266" s="406"/>
      <c r="R266" s="406"/>
      <c r="S266" s="405" t="s">
        <v>1107</v>
      </c>
      <c r="T266" s="405">
        <v>60</v>
      </c>
      <c r="U266" s="405">
        <v>49201132</v>
      </c>
      <c r="V266" s="405" t="s">
        <v>986</v>
      </c>
      <c r="W266" s="407">
        <v>360</v>
      </c>
      <c r="X266" s="371">
        <f>2496-832</f>
        <v>1664</v>
      </c>
      <c r="Y266" s="422">
        <f t="shared" si="56"/>
        <v>599040</v>
      </c>
      <c r="Z266" s="409">
        <v>0.53</v>
      </c>
      <c r="AA266" s="410">
        <f t="shared" si="60"/>
        <v>317491.20000000001</v>
      </c>
      <c r="AB266" s="362"/>
      <c r="AC266" s="412">
        <f t="shared" si="61"/>
        <v>0</v>
      </c>
      <c r="AD266" s="405"/>
      <c r="AE266" s="413"/>
      <c r="AF266" s="424">
        <f t="shared" si="55"/>
        <v>317491.20000000001</v>
      </c>
      <c r="AG266" s="405" t="s">
        <v>1069</v>
      </c>
      <c r="AH266" s="395"/>
      <c r="AI266" s="405">
        <v>60</v>
      </c>
      <c r="AJ266" s="405" t="s">
        <v>1233</v>
      </c>
      <c r="AK266" s="405" t="s">
        <v>1234</v>
      </c>
      <c r="AL266" s="425" t="s">
        <v>1235</v>
      </c>
      <c r="AM266" s="405" t="s">
        <v>52</v>
      </c>
      <c r="AN266" s="405" t="s">
        <v>1071</v>
      </c>
      <c r="AO266" s="405"/>
      <c r="AP266" s="405"/>
      <c r="AQ266" s="405"/>
      <c r="AR266" s="405" t="s">
        <v>1188</v>
      </c>
      <c r="AS266" s="369"/>
      <c r="AT266" s="363"/>
      <c r="AU266" s="403"/>
      <c r="AV266" s="402">
        <f t="shared" si="57"/>
        <v>49201132</v>
      </c>
      <c r="AW266" s="402" cm="1">
        <f t="array" ref="AW266">SUM(MID(0&amp;AV266,LARGE(INDEX(ISNUMBER(--MID(AV266,ROW($1:$8),1))*ROW($1:$8),),ROW($1:$8))+1,1)*10^ROW($1:$8)/10)</f>
        <v>49201132</v>
      </c>
      <c r="AX266" s="402" t="str">
        <f>VLOOKUP($AW266,'Item Master Data'!$A:$F,3,FALSE)</f>
        <v>Q.PEAK DUO BLK G10+</v>
      </c>
      <c r="AY266" s="402">
        <f>VLOOKUP($AW266,'Item Master Data'!$A:$F,6,FALSE)</f>
        <v>360</v>
      </c>
      <c r="AZ266" s="402">
        <f t="shared" si="58"/>
        <v>52</v>
      </c>
      <c r="BA266" s="402">
        <f>VLOOKUP(AW266,'Item Master Data'!$A:$G,7,FALSE)</f>
        <v>32</v>
      </c>
      <c r="BB266" s="402"/>
      <c r="BC266" s="402">
        <f t="shared" si="59"/>
        <v>0</v>
      </c>
    </row>
    <row r="267" spans="1:55">
      <c r="A267" s="377"/>
      <c r="B267" s="376" t="s">
        <v>1186</v>
      </c>
      <c r="C267" s="376" t="s">
        <v>1186</v>
      </c>
      <c r="D267" s="405" t="s">
        <v>1066</v>
      </c>
      <c r="E267" s="364" t="s">
        <v>1229</v>
      </c>
      <c r="F267" s="405"/>
      <c r="G267" s="405">
        <v>2022</v>
      </c>
      <c r="H267" s="405">
        <v>7</v>
      </c>
      <c r="I267" s="416"/>
      <c r="J267" s="406"/>
      <c r="K267" s="405" t="s">
        <v>1246</v>
      </c>
      <c r="L267" s="406" t="s">
        <v>1232</v>
      </c>
      <c r="M267" s="406">
        <v>44517</v>
      </c>
      <c r="N267" s="406">
        <v>44682</v>
      </c>
      <c r="O267" s="406"/>
      <c r="P267" s="406" t="s">
        <v>4453</v>
      </c>
      <c r="Q267" s="406"/>
      <c r="R267" s="406"/>
      <c r="S267" s="405" t="s">
        <v>1107</v>
      </c>
      <c r="T267" s="405">
        <v>60</v>
      </c>
      <c r="U267" s="405">
        <v>49401140</v>
      </c>
      <c r="V267" s="405" t="s">
        <v>973</v>
      </c>
      <c r="W267" s="407">
        <v>400</v>
      </c>
      <c r="X267" s="371">
        <v>1088</v>
      </c>
      <c r="Y267" s="422">
        <f t="shared" si="56"/>
        <v>435200</v>
      </c>
      <c r="Z267" s="409">
        <v>0.46500000000000002</v>
      </c>
      <c r="AA267" s="410">
        <f t="shared" si="60"/>
        <v>202368</v>
      </c>
      <c r="AB267" s="362"/>
      <c r="AC267" s="412">
        <f t="shared" si="61"/>
        <v>0</v>
      </c>
      <c r="AD267" s="405"/>
      <c r="AE267" s="413"/>
      <c r="AF267" s="424">
        <f t="shared" si="55"/>
        <v>202368</v>
      </c>
      <c r="AG267" s="405" t="s">
        <v>1069</v>
      </c>
      <c r="AH267" s="395"/>
      <c r="AI267" s="405">
        <v>60</v>
      </c>
      <c r="AJ267" s="405" t="s">
        <v>1233</v>
      </c>
      <c r="AK267" s="405" t="s">
        <v>1234</v>
      </c>
      <c r="AL267" s="425" t="s">
        <v>1235</v>
      </c>
      <c r="AM267" s="405" t="s">
        <v>52</v>
      </c>
      <c r="AN267" s="405" t="s">
        <v>1071</v>
      </c>
      <c r="AO267" s="405"/>
      <c r="AP267" s="405"/>
      <c r="AQ267" s="405"/>
      <c r="AR267" s="405" t="s">
        <v>1243</v>
      </c>
      <c r="AS267" s="369"/>
      <c r="AT267" s="363"/>
      <c r="AU267" s="403">
        <v>0.46500000000000002</v>
      </c>
      <c r="AV267" s="402">
        <f t="shared" si="57"/>
        <v>49401140</v>
      </c>
      <c r="AW267" s="402" cm="1">
        <f t="array" ref="AW267">SUM(MID(0&amp;AV267,LARGE(INDEX(ISNUMBER(--MID(AV267,ROW($1:$8),1))*ROW($1:$8),),ROW($1:$8))+1,1)*10^ROW($1:$8)/10)</f>
        <v>49401140</v>
      </c>
      <c r="AX267" s="402" t="str">
        <f>VLOOKUP($AW267,'Item Master Data'!$A:$F,3,FALSE)</f>
        <v>Q.PEAK DUO BLK ML G10.a+</v>
      </c>
      <c r="AY267" s="402">
        <f>VLOOKUP($AW267,'Item Master Data'!$A:$F,6,FALSE)</f>
        <v>400</v>
      </c>
      <c r="AZ267" s="402">
        <f t="shared" si="58"/>
        <v>34</v>
      </c>
      <c r="BA267" s="402">
        <f>VLOOKUP(AW267,'Item Master Data'!$A:$G,7,FALSE)</f>
        <v>32</v>
      </c>
      <c r="BB267" s="402"/>
      <c r="BC267" s="402">
        <f t="shared" si="59"/>
        <v>0</v>
      </c>
    </row>
    <row r="268" spans="1:55">
      <c r="A268" s="377"/>
      <c r="B268" s="376"/>
      <c r="C268" s="376"/>
      <c r="D268" s="405" t="s">
        <v>1066</v>
      </c>
      <c r="E268" s="364"/>
      <c r="F268" s="405"/>
      <c r="G268" s="405">
        <v>2022</v>
      </c>
      <c r="H268" s="405">
        <v>7</v>
      </c>
      <c r="I268" s="416" t="s">
        <v>1082</v>
      </c>
      <c r="J268" s="406"/>
      <c r="K268" s="405" t="s">
        <v>1280</v>
      </c>
      <c r="L268" s="406" t="s">
        <v>1266</v>
      </c>
      <c r="M268" s="406">
        <v>44496</v>
      </c>
      <c r="N268" s="406">
        <v>44695</v>
      </c>
      <c r="O268" s="406"/>
      <c r="P268" s="406"/>
      <c r="Q268" s="406"/>
      <c r="R268" s="406"/>
      <c r="S268" s="405" t="s">
        <v>1107</v>
      </c>
      <c r="T268" s="405">
        <v>60</v>
      </c>
      <c r="U268" s="405" t="s">
        <v>1102</v>
      </c>
      <c r="V268" s="405" t="s">
        <v>986</v>
      </c>
      <c r="W268" s="407">
        <v>360</v>
      </c>
      <c r="X268" s="371">
        <v>2496</v>
      </c>
      <c r="Y268" s="422">
        <f t="shared" si="56"/>
        <v>898560</v>
      </c>
      <c r="Z268" s="409">
        <v>0.53</v>
      </c>
      <c r="AA268" s="410">
        <f>Y268*Z268</f>
        <v>476236.80000000005</v>
      </c>
      <c r="AB268" s="362"/>
      <c r="AC268" s="412">
        <v>0</v>
      </c>
      <c r="AD268" s="405"/>
      <c r="AE268" s="413"/>
      <c r="AF268" s="424">
        <f t="shared" si="55"/>
        <v>476236.80000000005</v>
      </c>
      <c r="AG268" s="405" t="s">
        <v>1069</v>
      </c>
      <c r="AH268" s="395"/>
      <c r="AI268" s="405">
        <v>60</v>
      </c>
      <c r="AJ268" s="405" t="s">
        <v>1267</v>
      </c>
      <c r="AK268" s="405" t="s">
        <v>1117</v>
      </c>
      <c r="AL268" s="425" t="s">
        <v>1268</v>
      </c>
      <c r="AM268" s="405" t="s">
        <v>52</v>
      </c>
      <c r="AN268" s="405" t="s">
        <v>1071</v>
      </c>
      <c r="AO268" s="405"/>
      <c r="AP268" s="405"/>
      <c r="AQ268" s="405" t="s">
        <v>37</v>
      </c>
      <c r="AR268" s="405"/>
      <c r="AS268" s="369"/>
      <c r="AT268" s="363"/>
      <c r="AU268" s="403"/>
      <c r="AV268" s="402"/>
      <c r="AW268" s="402"/>
      <c r="AX268" s="402"/>
      <c r="AY268" s="402"/>
      <c r="AZ268" s="402"/>
      <c r="BA268" s="402"/>
      <c r="BB268" s="402"/>
      <c r="BC268" s="402"/>
    </row>
    <row r="269" spans="1:55">
      <c r="A269" s="377"/>
      <c r="B269" s="376"/>
      <c r="C269" s="376"/>
      <c r="D269" s="405" t="s">
        <v>1066</v>
      </c>
      <c r="E269" s="364"/>
      <c r="F269" s="405"/>
      <c r="G269" s="405">
        <v>2022</v>
      </c>
      <c r="H269" s="405">
        <v>7</v>
      </c>
      <c r="I269" s="416"/>
      <c r="J269" s="406"/>
      <c r="K269" s="405" t="s">
        <v>1276</v>
      </c>
      <c r="L269" s="406" t="s">
        <v>1266</v>
      </c>
      <c r="M269" s="406">
        <v>44502</v>
      </c>
      <c r="N269" s="406">
        <v>44564</v>
      </c>
      <c r="O269" s="406"/>
      <c r="P269" s="406"/>
      <c r="Q269" s="406"/>
      <c r="R269" s="406"/>
      <c r="S269" s="405" t="s">
        <v>1107</v>
      </c>
      <c r="T269" s="405">
        <v>60</v>
      </c>
      <c r="U269" s="405">
        <v>49401140</v>
      </c>
      <c r="V269" s="405" t="s">
        <v>973</v>
      </c>
      <c r="W269" s="407">
        <v>400</v>
      </c>
      <c r="X269" s="371">
        <v>832</v>
      </c>
      <c r="Y269" s="422">
        <f t="shared" si="56"/>
        <v>332800</v>
      </c>
      <c r="Z269" s="409">
        <v>0.55000000000000004</v>
      </c>
      <c r="AA269" s="410">
        <f>Z269*Y269</f>
        <v>183040.00000000003</v>
      </c>
      <c r="AB269" s="362"/>
      <c r="AC269" s="412">
        <f>AB269*Y269</f>
        <v>0</v>
      </c>
      <c r="AD269" s="405"/>
      <c r="AE269" s="413"/>
      <c r="AF269" s="424">
        <f t="shared" si="55"/>
        <v>183040.00000000003</v>
      </c>
      <c r="AG269" s="405" t="s">
        <v>1069</v>
      </c>
      <c r="AH269" s="395"/>
      <c r="AI269" s="405">
        <v>60</v>
      </c>
      <c r="AJ269" s="405" t="s">
        <v>1267</v>
      </c>
      <c r="AK269" s="405" t="s">
        <v>1117</v>
      </c>
      <c r="AL269" s="425">
        <v>55421</v>
      </c>
      <c r="AM269" s="405" t="s">
        <v>52</v>
      </c>
      <c r="AN269" s="405" t="s">
        <v>1071</v>
      </c>
      <c r="AO269" s="405"/>
      <c r="AP269" s="405"/>
      <c r="AQ269" s="405"/>
      <c r="AR269" s="405"/>
      <c r="AS269" s="369"/>
      <c r="AT269" s="363"/>
      <c r="AU269" s="403"/>
      <c r="AV269" s="402">
        <f>U269</f>
        <v>49401140</v>
      </c>
      <c r="AW269" s="402" cm="1">
        <f t="array" ref="AW269">SUM(MID(0&amp;AV269,LARGE(INDEX(ISNUMBER(--MID(AV269,ROW($1:$8),1))*ROW($1:$8),),ROW($1:$8))+1,1)*10^ROW($1:$8)/10)</f>
        <v>49401140</v>
      </c>
      <c r="AX269" s="402" t="str">
        <f>VLOOKUP($AW269,'Item Master Data'!$A:$F,3,FALSE)</f>
        <v>Q.PEAK DUO BLK ML G10.a+</v>
      </c>
      <c r="AY269" s="402">
        <f>VLOOKUP($AW269,'Item Master Data'!$A:$F,6,FALSE)</f>
        <v>400</v>
      </c>
      <c r="AZ269" s="402">
        <f>X269/BA269</f>
        <v>26</v>
      </c>
      <c r="BA269" s="402">
        <f>VLOOKUP(AW269,'Item Master Data'!$A:$G,7,FALSE)</f>
        <v>32</v>
      </c>
      <c r="BB269" s="402"/>
      <c r="BC269" s="402">
        <f>W269-AY269</f>
        <v>0</v>
      </c>
    </row>
    <row r="270" spans="1:55">
      <c r="A270" s="377"/>
      <c r="B270" s="376"/>
      <c r="C270" s="376"/>
      <c r="D270" s="405" t="s">
        <v>1066</v>
      </c>
      <c r="E270" s="364"/>
      <c r="F270" s="405"/>
      <c r="G270" s="405">
        <v>2022</v>
      </c>
      <c r="H270" s="405">
        <v>7</v>
      </c>
      <c r="I270" s="416"/>
      <c r="J270" s="406"/>
      <c r="K270" s="405" t="s">
        <v>1278</v>
      </c>
      <c r="L270" s="406" t="s">
        <v>1266</v>
      </c>
      <c r="M270" s="406">
        <v>44508</v>
      </c>
      <c r="N270" s="406">
        <v>44682</v>
      </c>
      <c r="O270" s="406"/>
      <c r="P270" s="406"/>
      <c r="Q270" s="406"/>
      <c r="R270" s="406"/>
      <c r="S270" s="405" t="s">
        <v>1107</v>
      </c>
      <c r="T270" s="405">
        <v>60</v>
      </c>
      <c r="U270" s="405">
        <v>49201132</v>
      </c>
      <c r="V270" s="405" t="s">
        <v>986</v>
      </c>
      <c r="W270" s="407">
        <v>360</v>
      </c>
      <c r="X270" s="371">
        <v>9984</v>
      </c>
      <c r="Y270" s="422">
        <f t="shared" si="56"/>
        <v>3594240</v>
      </c>
      <c r="Z270" s="409">
        <v>0.5</v>
      </c>
      <c r="AA270" s="410">
        <f t="shared" ref="AA270:AA275" si="62">Y270*Z270</f>
        <v>1797120</v>
      </c>
      <c r="AB270" s="362"/>
      <c r="AC270" s="412">
        <v>0</v>
      </c>
      <c r="AD270" s="405"/>
      <c r="AE270" s="413"/>
      <c r="AF270" s="424">
        <f t="shared" si="55"/>
        <v>1797120</v>
      </c>
      <c r="AG270" s="405" t="s">
        <v>1069</v>
      </c>
      <c r="AH270" s="395"/>
      <c r="AI270" s="405">
        <v>60</v>
      </c>
      <c r="AJ270" s="405" t="s">
        <v>1267</v>
      </c>
      <c r="AK270" s="405" t="s">
        <v>1117</v>
      </c>
      <c r="AL270" s="425" t="s">
        <v>1268</v>
      </c>
      <c r="AM270" s="405" t="s">
        <v>52</v>
      </c>
      <c r="AN270" s="405" t="s">
        <v>1071</v>
      </c>
      <c r="AO270" s="405"/>
      <c r="AP270" s="405"/>
      <c r="AQ270" s="405" t="s">
        <v>37</v>
      </c>
      <c r="AR270" s="405"/>
      <c r="AS270" s="369"/>
      <c r="AT270" s="363"/>
      <c r="AU270" s="403"/>
      <c r="AV270" s="402">
        <f>U270</f>
        <v>49201132</v>
      </c>
      <c r="AW270" s="402" cm="1">
        <f t="array" ref="AW270">SUM(MID(0&amp;AV270,LARGE(INDEX(ISNUMBER(--MID(AV270,ROW($1:$8),1))*ROW($1:$8),),ROW($1:$8))+1,1)*10^ROW($1:$8)/10)</f>
        <v>49201132</v>
      </c>
      <c r="AX270" s="402" t="str">
        <f>VLOOKUP($AW270,'Item Master Data'!$A:$F,3,FALSE)</f>
        <v>Q.PEAK DUO BLK G10+</v>
      </c>
      <c r="AY270" s="402">
        <f>VLOOKUP($AW270,'Item Master Data'!$A:$F,6,FALSE)</f>
        <v>360</v>
      </c>
      <c r="AZ270" s="402">
        <f>X270/BA270</f>
        <v>312</v>
      </c>
      <c r="BA270" s="402">
        <f>VLOOKUP(AW270,'Item Master Data'!$A:$G,7,FALSE)</f>
        <v>32</v>
      </c>
      <c r="BB270" s="402"/>
      <c r="BC270" s="402">
        <f>W270-AY270</f>
        <v>0</v>
      </c>
    </row>
    <row r="271" spans="1:55">
      <c r="A271" s="377"/>
      <c r="B271" s="376"/>
      <c r="C271" s="376"/>
      <c r="D271" s="405" t="s">
        <v>1066</v>
      </c>
      <c r="E271" s="364"/>
      <c r="F271" s="405"/>
      <c r="G271" s="405">
        <v>2022</v>
      </c>
      <c r="H271" s="405">
        <v>7</v>
      </c>
      <c r="I271" s="416"/>
      <c r="J271" s="406"/>
      <c r="K271" s="405" t="s">
        <v>1278</v>
      </c>
      <c r="L271" s="406" t="s">
        <v>1266</v>
      </c>
      <c r="M271" s="406">
        <v>44508</v>
      </c>
      <c r="N271" s="406">
        <v>44682</v>
      </c>
      <c r="O271" s="406"/>
      <c r="P271" s="406"/>
      <c r="Q271" s="406"/>
      <c r="R271" s="406"/>
      <c r="S271" s="405" t="s">
        <v>1107</v>
      </c>
      <c r="T271" s="405">
        <v>60</v>
      </c>
      <c r="U271" s="405">
        <v>49401140</v>
      </c>
      <c r="V271" s="405" t="s">
        <v>973</v>
      </c>
      <c r="W271" s="407">
        <v>400</v>
      </c>
      <c r="X271" s="371">
        <v>6656</v>
      </c>
      <c r="Y271" s="422">
        <f t="shared" si="56"/>
        <v>2662400</v>
      </c>
      <c r="Z271" s="409">
        <v>0.52</v>
      </c>
      <c r="AA271" s="410">
        <f t="shared" si="62"/>
        <v>1384448</v>
      </c>
      <c r="AB271" s="362"/>
      <c r="AC271" s="412">
        <v>0</v>
      </c>
      <c r="AD271" s="405"/>
      <c r="AE271" s="413"/>
      <c r="AF271" s="424">
        <f t="shared" si="55"/>
        <v>1384448</v>
      </c>
      <c r="AG271" s="405" t="s">
        <v>1069</v>
      </c>
      <c r="AH271" s="395"/>
      <c r="AI271" s="405">
        <v>60</v>
      </c>
      <c r="AJ271" s="405" t="s">
        <v>1267</v>
      </c>
      <c r="AK271" s="405" t="s">
        <v>1117</v>
      </c>
      <c r="AL271" s="425" t="s">
        <v>1268</v>
      </c>
      <c r="AM271" s="405" t="s">
        <v>52</v>
      </c>
      <c r="AN271" s="405" t="s">
        <v>1071</v>
      </c>
      <c r="AO271" s="405"/>
      <c r="AP271" s="405"/>
      <c r="AQ271" s="405" t="s">
        <v>37</v>
      </c>
      <c r="AR271" s="405"/>
      <c r="AS271" s="369"/>
      <c r="AT271" s="363"/>
      <c r="AU271" s="403"/>
      <c r="AV271" s="402">
        <f>U271</f>
        <v>49401140</v>
      </c>
      <c r="AW271" s="402" cm="1">
        <f t="array" ref="AW271">SUM(MID(0&amp;AV271,LARGE(INDEX(ISNUMBER(--MID(AV271,ROW($1:$8),1))*ROW($1:$8),),ROW($1:$8))+1,1)*10^ROW($1:$8)/10)</f>
        <v>49401140</v>
      </c>
      <c r="AX271" s="402" t="str">
        <f>VLOOKUP($AW271,'Item Master Data'!$A:$F,3,FALSE)</f>
        <v>Q.PEAK DUO BLK ML G10.a+</v>
      </c>
      <c r="AY271" s="402">
        <f>VLOOKUP($AW271,'Item Master Data'!$A:$F,6,FALSE)</f>
        <v>400</v>
      </c>
      <c r="AZ271" s="402">
        <f>X271/BA271</f>
        <v>208</v>
      </c>
      <c r="BA271" s="402">
        <f>VLOOKUP(AW271,'Item Master Data'!$A:$G,7,FALSE)</f>
        <v>32</v>
      </c>
      <c r="BB271" s="402"/>
      <c r="BC271" s="402">
        <f>W271-AY271</f>
        <v>0</v>
      </c>
    </row>
    <row r="272" spans="1:55">
      <c r="A272" s="377"/>
      <c r="B272" s="376"/>
      <c r="C272" s="376"/>
      <c r="D272" s="405" t="s">
        <v>1066</v>
      </c>
      <c r="E272" s="364"/>
      <c r="F272" s="405"/>
      <c r="G272" s="405">
        <v>2022</v>
      </c>
      <c r="H272" s="405">
        <v>7</v>
      </c>
      <c r="I272" s="416"/>
      <c r="J272" s="406"/>
      <c r="K272" s="405" t="s">
        <v>1278</v>
      </c>
      <c r="L272" s="406" t="s">
        <v>1266</v>
      </c>
      <c r="M272" s="406">
        <v>44508</v>
      </c>
      <c r="N272" s="406">
        <v>44713</v>
      </c>
      <c r="O272" s="406"/>
      <c r="P272" s="406"/>
      <c r="Q272" s="406"/>
      <c r="R272" s="406"/>
      <c r="S272" s="405" t="s">
        <v>1107</v>
      </c>
      <c r="T272" s="405">
        <v>60</v>
      </c>
      <c r="U272" s="405">
        <v>49401140</v>
      </c>
      <c r="V272" s="405" t="s">
        <v>973</v>
      </c>
      <c r="W272" s="407">
        <v>400</v>
      </c>
      <c r="X272" s="371">
        <v>9984</v>
      </c>
      <c r="Y272" s="422">
        <f t="shared" si="56"/>
        <v>3993600</v>
      </c>
      <c r="Z272" s="409">
        <v>0.52</v>
      </c>
      <c r="AA272" s="410">
        <f t="shared" si="62"/>
        <v>2076672</v>
      </c>
      <c r="AB272" s="362"/>
      <c r="AC272" s="412">
        <v>0</v>
      </c>
      <c r="AD272" s="405"/>
      <c r="AE272" s="413"/>
      <c r="AF272" s="424">
        <f t="shared" si="55"/>
        <v>2076672</v>
      </c>
      <c r="AG272" s="405" t="s">
        <v>1069</v>
      </c>
      <c r="AH272" s="395"/>
      <c r="AI272" s="405">
        <v>60</v>
      </c>
      <c r="AJ272" s="405" t="s">
        <v>1267</v>
      </c>
      <c r="AK272" s="405" t="s">
        <v>1117</v>
      </c>
      <c r="AL272" s="425" t="s">
        <v>1268</v>
      </c>
      <c r="AM272" s="405" t="s">
        <v>52</v>
      </c>
      <c r="AN272" s="405" t="s">
        <v>1071</v>
      </c>
      <c r="AO272" s="405"/>
      <c r="AP272" s="405"/>
      <c r="AQ272" s="405" t="s">
        <v>37</v>
      </c>
      <c r="AR272" s="405"/>
      <c r="AS272" s="369"/>
      <c r="AT272" s="363"/>
      <c r="AU272" s="403"/>
      <c r="AV272" s="402"/>
      <c r="AW272" s="402"/>
      <c r="AX272" s="402"/>
      <c r="AY272" s="402"/>
      <c r="AZ272" s="402"/>
      <c r="BA272" s="402"/>
      <c r="BB272" s="402"/>
      <c r="BC272" s="402"/>
    </row>
    <row r="273" spans="1:55">
      <c r="A273" s="377"/>
      <c r="B273" s="376"/>
      <c r="C273" s="376"/>
      <c r="D273" s="405" t="s">
        <v>1066</v>
      </c>
      <c r="E273" s="364"/>
      <c r="F273" s="405"/>
      <c r="G273" s="405">
        <v>2022</v>
      </c>
      <c r="H273" s="405">
        <v>7</v>
      </c>
      <c r="I273" s="416"/>
      <c r="J273" s="406"/>
      <c r="K273" s="405" t="s">
        <v>1278</v>
      </c>
      <c r="L273" s="406" t="s">
        <v>1266</v>
      </c>
      <c r="M273" s="406">
        <v>44508</v>
      </c>
      <c r="N273" s="406">
        <v>44713</v>
      </c>
      <c r="O273" s="406"/>
      <c r="P273" s="406"/>
      <c r="Q273" s="406"/>
      <c r="R273" s="406"/>
      <c r="S273" s="405" t="s">
        <v>1107</v>
      </c>
      <c r="T273" s="405">
        <v>60</v>
      </c>
      <c r="U273" s="405">
        <v>49201132</v>
      </c>
      <c r="V273" s="405" t="s">
        <v>986</v>
      </c>
      <c r="W273" s="407">
        <v>360</v>
      </c>
      <c r="X273" s="371">
        <v>13312</v>
      </c>
      <c r="Y273" s="422">
        <f t="shared" si="56"/>
        <v>4792320</v>
      </c>
      <c r="Z273" s="409">
        <v>0.5</v>
      </c>
      <c r="AA273" s="410">
        <f t="shared" si="62"/>
        <v>2396160</v>
      </c>
      <c r="AB273" s="362"/>
      <c r="AC273" s="412">
        <v>0</v>
      </c>
      <c r="AD273" s="405"/>
      <c r="AE273" s="413"/>
      <c r="AF273" s="424">
        <f t="shared" si="55"/>
        <v>2396160</v>
      </c>
      <c r="AG273" s="405" t="s">
        <v>1069</v>
      </c>
      <c r="AH273" s="395"/>
      <c r="AI273" s="405">
        <v>60</v>
      </c>
      <c r="AJ273" s="405" t="s">
        <v>1267</v>
      </c>
      <c r="AK273" s="405" t="s">
        <v>1117</v>
      </c>
      <c r="AL273" s="425" t="s">
        <v>1268</v>
      </c>
      <c r="AM273" s="405" t="s">
        <v>52</v>
      </c>
      <c r="AN273" s="405" t="s">
        <v>1071</v>
      </c>
      <c r="AO273" s="405"/>
      <c r="AP273" s="405"/>
      <c r="AQ273" s="405" t="s">
        <v>37</v>
      </c>
      <c r="AR273" s="405"/>
      <c r="AS273" s="369"/>
      <c r="AT273" s="363"/>
      <c r="AU273" s="403"/>
      <c r="AV273" s="402">
        <f>U273</f>
        <v>49201132</v>
      </c>
      <c r="AW273" s="402" cm="1">
        <f t="array" ref="AW273">SUM(MID(0&amp;AV273,LARGE(INDEX(ISNUMBER(--MID(AV273,ROW($1:$8),1))*ROW($1:$8),),ROW($1:$8))+1,1)*10^ROW($1:$8)/10)</f>
        <v>49201132</v>
      </c>
      <c r="AX273" s="402" t="str">
        <f>VLOOKUP($AW273,'Item Master Data'!$A:$F,3,FALSE)</f>
        <v>Q.PEAK DUO BLK G10+</v>
      </c>
      <c r="AY273" s="402">
        <f>VLOOKUP($AW273,'Item Master Data'!$A:$F,6,FALSE)</f>
        <v>360</v>
      </c>
      <c r="AZ273" s="402">
        <f>X273/BA273</f>
        <v>416</v>
      </c>
      <c r="BA273" s="402">
        <f>VLOOKUP(AW273,'Item Master Data'!$A:$G,7,FALSE)</f>
        <v>32</v>
      </c>
      <c r="BB273" s="402"/>
      <c r="BC273" s="402">
        <f>W273-AY273</f>
        <v>0</v>
      </c>
    </row>
    <row r="274" spans="1:55">
      <c r="A274" s="377"/>
      <c r="B274" s="376"/>
      <c r="C274" s="376"/>
      <c r="D274" s="405" t="s">
        <v>1066</v>
      </c>
      <c r="E274" s="364" t="s">
        <v>1159</v>
      </c>
      <c r="F274" s="405"/>
      <c r="G274" s="405">
        <v>2022</v>
      </c>
      <c r="H274" s="405">
        <v>7</v>
      </c>
      <c r="I274" s="416"/>
      <c r="J274" s="406"/>
      <c r="K274" s="405" t="s">
        <v>1287</v>
      </c>
      <c r="L274" s="406" t="s">
        <v>1266</v>
      </c>
      <c r="M274" s="406">
        <v>44509</v>
      </c>
      <c r="N274" s="406">
        <v>44751</v>
      </c>
      <c r="O274" s="406"/>
      <c r="P274" s="406"/>
      <c r="Q274" s="406"/>
      <c r="R274" s="406"/>
      <c r="S274" s="405" t="s">
        <v>1107</v>
      </c>
      <c r="T274" s="405">
        <v>60</v>
      </c>
      <c r="U274" s="405">
        <v>49401140</v>
      </c>
      <c r="V274" s="405" t="s">
        <v>973</v>
      </c>
      <c r="W274" s="407">
        <v>400</v>
      </c>
      <c r="X274" s="371">
        <v>11264</v>
      </c>
      <c r="Y274" s="422">
        <f t="shared" si="56"/>
        <v>4505600</v>
      </c>
      <c r="Z274" s="409">
        <v>0.52</v>
      </c>
      <c r="AA274" s="410">
        <f t="shared" si="62"/>
        <v>2342912</v>
      </c>
      <c r="AB274" s="362"/>
      <c r="AC274" s="412">
        <v>0</v>
      </c>
      <c r="AD274" s="405"/>
      <c r="AE274" s="413"/>
      <c r="AF274" s="424">
        <f t="shared" si="55"/>
        <v>2342912</v>
      </c>
      <c r="AG274" s="405" t="s">
        <v>1069</v>
      </c>
      <c r="AH274" s="395"/>
      <c r="AI274" s="405">
        <v>60</v>
      </c>
      <c r="AJ274" s="405" t="s">
        <v>1267</v>
      </c>
      <c r="AK274" s="405" t="s">
        <v>1117</v>
      </c>
      <c r="AL274" s="425" t="s">
        <v>1268</v>
      </c>
      <c r="AM274" s="405" t="s">
        <v>52</v>
      </c>
      <c r="AN274" s="405" t="s">
        <v>1071</v>
      </c>
      <c r="AO274" s="405"/>
      <c r="AP274" s="405"/>
      <c r="AQ274" s="405" t="s">
        <v>37</v>
      </c>
      <c r="AR274" s="405"/>
      <c r="AS274" s="369"/>
      <c r="AT274" s="363"/>
      <c r="AU274" s="403"/>
      <c r="AV274" s="402"/>
      <c r="AW274" s="402"/>
      <c r="AX274" s="402"/>
      <c r="AY274" s="402"/>
      <c r="AZ274" s="402"/>
      <c r="BA274" s="402"/>
      <c r="BB274" s="402"/>
      <c r="BC274" s="402"/>
    </row>
    <row r="275" spans="1:55">
      <c r="A275" s="377"/>
      <c r="B275" s="376"/>
      <c r="C275" s="376"/>
      <c r="D275" s="405" t="s">
        <v>1066</v>
      </c>
      <c r="E275" s="364"/>
      <c r="F275" s="405"/>
      <c r="G275" s="405">
        <v>2022</v>
      </c>
      <c r="H275" s="405">
        <v>7</v>
      </c>
      <c r="I275" s="416"/>
      <c r="J275" s="406"/>
      <c r="K275" s="405" t="s">
        <v>1287</v>
      </c>
      <c r="L275" s="406" t="s">
        <v>1266</v>
      </c>
      <c r="M275" s="406">
        <v>44509</v>
      </c>
      <c r="N275" s="406">
        <v>44751</v>
      </c>
      <c r="O275" s="406"/>
      <c r="P275" s="406"/>
      <c r="Q275" s="406"/>
      <c r="R275" s="406"/>
      <c r="S275" s="405" t="s">
        <v>1107</v>
      </c>
      <c r="T275" s="405">
        <v>60</v>
      </c>
      <c r="U275" s="405">
        <v>49201132</v>
      </c>
      <c r="V275" s="405" t="s">
        <v>986</v>
      </c>
      <c r="W275" s="407">
        <v>360</v>
      </c>
      <c r="X275" s="371">
        <v>11648</v>
      </c>
      <c r="Y275" s="422">
        <f t="shared" si="56"/>
        <v>4193280</v>
      </c>
      <c r="Z275" s="409">
        <v>0.5</v>
      </c>
      <c r="AA275" s="410">
        <f t="shared" si="62"/>
        <v>2096640</v>
      </c>
      <c r="AB275" s="362"/>
      <c r="AC275" s="412">
        <v>0</v>
      </c>
      <c r="AD275" s="405"/>
      <c r="AE275" s="413"/>
      <c r="AF275" s="424">
        <f t="shared" si="55"/>
        <v>2096640</v>
      </c>
      <c r="AG275" s="405" t="s">
        <v>1069</v>
      </c>
      <c r="AH275" s="395"/>
      <c r="AI275" s="405">
        <v>60</v>
      </c>
      <c r="AJ275" s="405" t="s">
        <v>1267</v>
      </c>
      <c r="AK275" s="405" t="s">
        <v>1117</v>
      </c>
      <c r="AL275" s="425" t="s">
        <v>1268</v>
      </c>
      <c r="AM275" s="405" t="s">
        <v>52</v>
      </c>
      <c r="AN275" s="405" t="s">
        <v>1071</v>
      </c>
      <c r="AO275" s="405"/>
      <c r="AP275" s="405"/>
      <c r="AQ275" s="405" t="s">
        <v>37</v>
      </c>
      <c r="AR275" s="405"/>
      <c r="AS275" s="369"/>
      <c r="AT275" s="363"/>
      <c r="AU275" s="403"/>
      <c r="AV275" s="402">
        <f>U275</f>
        <v>49201132</v>
      </c>
      <c r="AW275" s="402" cm="1">
        <f t="array" ref="AW275">SUM(MID(0&amp;AV275,LARGE(INDEX(ISNUMBER(--MID(AV275,ROW($1:$8),1))*ROW($1:$8),),ROW($1:$8))+1,1)*10^ROW($1:$8)/10)</f>
        <v>49201132</v>
      </c>
      <c r="AX275" s="402" t="str">
        <f>VLOOKUP($AW275,'Item Master Data'!$A:$F,3,FALSE)</f>
        <v>Q.PEAK DUO BLK G10+</v>
      </c>
      <c r="AY275" s="402">
        <f>VLOOKUP($AW275,'Item Master Data'!$A:$F,6,FALSE)</f>
        <v>360</v>
      </c>
      <c r="AZ275" s="402">
        <f>X275/BA275</f>
        <v>364</v>
      </c>
      <c r="BA275" s="402">
        <f>VLOOKUP(AW275,'Item Master Data'!$A:$G,7,FALSE)</f>
        <v>32</v>
      </c>
      <c r="BB275" s="402"/>
      <c r="BC275" s="402">
        <f>W275-AY275</f>
        <v>0</v>
      </c>
    </row>
    <row r="276" spans="1:55">
      <c r="A276" s="377"/>
      <c r="B276" s="376"/>
      <c r="C276" s="376"/>
      <c r="D276" s="405" t="s">
        <v>1066</v>
      </c>
      <c r="E276" s="364" t="s">
        <v>1385</v>
      </c>
      <c r="F276" s="405" t="s">
        <v>1074</v>
      </c>
      <c r="G276" s="405">
        <v>2022</v>
      </c>
      <c r="H276" s="405">
        <v>7</v>
      </c>
      <c r="I276" s="416" t="s">
        <v>1087</v>
      </c>
      <c r="J276" s="406"/>
      <c r="K276" s="405" t="s">
        <v>1390</v>
      </c>
      <c r="L276" s="406" t="s">
        <v>1380</v>
      </c>
      <c r="M276" s="406">
        <v>44532</v>
      </c>
      <c r="N276" s="406">
        <v>44835</v>
      </c>
      <c r="O276" s="406"/>
      <c r="P276" s="406"/>
      <c r="Q276" s="406"/>
      <c r="R276" s="406"/>
      <c r="S276" s="405" t="s">
        <v>1107</v>
      </c>
      <c r="T276" s="405">
        <v>72</v>
      </c>
      <c r="U276" s="405" t="s">
        <v>1146</v>
      </c>
      <c r="V276" s="405" t="s">
        <v>1194</v>
      </c>
      <c r="W276" s="407">
        <v>480</v>
      </c>
      <c r="X276" s="371">
        <v>27347</v>
      </c>
      <c r="Y276" s="422">
        <f t="shared" si="56"/>
        <v>13126560</v>
      </c>
      <c r="Z276" s="409">
        <v>0.44500000000000001</v>
      </c>
      <c r="AA276" s="410">
        <f>Z276*Y276</f>
        <v>5841319.2000000002</v>
      </c>
      <c r="AB276" s="362"/>
      <c r="AC276" s="412">
        <f>AB276*Y276</f>
        <v>0</v>
      </c>
      <c r="AD276" s="405"/>
      <c r="AE276" s="413"/>
      <c r="AF276" s="424">
        <f t="shared" si="55"/>
        <v>5841319.2000000002</v>
      </c>
      <c r="AG276" s="405" t="s">
        <v>47</v>
      </c>
      <c r="AH276" s="395">
        <v>10</v>
      </c>
      <c r="AI276" s="405">
        <v>30</v>
      </c>
      <c r="AJ276" s="405" t="s">
        <v>1316</v>
      </c>
      <c r="AK276" s="405" t="s">
        <v>1207</v>
      </c>
      <c r="AL276" s="425">
        <v>47374</v>
      </c>
      <c r="AM276" s="405" t="s">
        <v>52</v>
      </c>
      <c r="AN276" s="405" t="s">
        <v>1082</v>
      </c>
      <c r="AO276" s="405"/>
      <c r="AP276" s="405" t="s">
        <v>38</v>
      </c>
      <c r="AQ276" s="405" t="s">
        <v>1083</v>
      </c>
      <c r="AR276" s="405"/>
      <c r="AS276" s="369" t="s">
        <v>1073</v>
      </c>
      <c r="AT276" s="363" t="s">
        <v>1073</v>
      </c>
      <c r="AU276" s="403"/>
      <c r="AV276" s="402" t="str">
        <f>U276</f>
        <v>12005832C</v>
      </c>
      <c r="AW276" s="402" cm="1">
        <f t="array" ref="AW276">SUM(MID(0&amp;AV276,LARGE(INDEX(ISNUMBER(--MID(AV276,ROW($1:$8),1))*ROW($1:$8),),ROW($1:$8))+1,1)*10^ROW($1:$8)/10)</f>
        <v>12005832</v>
      </c>
      <c r="AX276" s="402" t="str">
        <f>VLOOKUP($AW276,'Item Master Data'!$A:$F,3,FALSE)</f>
        <v>Q.PEAK DUO XL G10 BFG</v>
      </c>
      <c r="AY276" s="402">
        <f>VLOOKUP($AW276,'Item Master Data'!$A:$F,6,FALSE)</f>
        <v>480</v>
      </c>
      <c r="AZ276" s="402" t="e">
        <f>X276/BA276</f>
        <v>#VALUE!</v>
      </c>
      <c r="BA276" s="402" t="str">
        <f>VLOOKUP(AW276,'Item Master Data'!$A:$G,7,FALSE)</f>
        <v> 30</v>
      </c>
      <c r="BB276" s="402"/>
      <c r="BC276" s="402">
        <f>W276-AY276</f>
        <v>0</v>
      </c>
    </row>
    <row r="277" spans="1:55">
      <c r="A277" s="377"/>
      <c r="B277" s="376" t="s">
        <v>1186</v>
      </c>
      <c r="C277" s="376" t="s">
        <v>1186</v>
      </c>
      <c r="D277" s="405" t="s">
        <v>1066</v>
      </c>
      <c r="E277" s="364" t="s">
        <v>4113</v>
      </c>
      <c r="F277" s="405" t="s">
        <v>87</v>
      </c>
      <c r="G277" s="405">
        <v>2022</v>
      </c>
      <c r="H277" s="405">
        <v>12</v>
      </c>
      <c r="I277" s="416"/>
      <c r="J277" s="406"/>
      <c r="K277" s="405" t="s">
        <v>1260</v>
      </c>
      <c r="L277" s="406" t="s">
        <v>1250</v>
      </c>
      <c r="M277" s="406">
        <v>44656</v>
      </c>
      <c r="N277" s="406">
        <v>44896</v>
      </c>
      <c r="O277" s="406"/>
      <c r="P277" s="406"/>
      <c r="Q277" s="406"/>
      <c r="R277" s="406"/>
      <c r="S277" s="405" t="s">
        <v>1067</v>
      </c>
      <c r="T277" s="405">
        <v>72</v>
      </c>
      <c r="U277" s="405"/>
      <c r="V277" s="405" t="s">
        <v>1068</v>
      </c>
      <c r="W277" s="407">
        <v>480</v>
      </c>
      <c r="X277" s="371">
        <v>638</v>
      </c>
      <c r="Y277" s="422">
        <f t="shared" si="56"/>
        <v>306240</v>
      </c>
      <c r="Z277" s="409">
        <v>0.49</v>
      </c>
      <c r="AA277" s="410">
        <f>Y277*Z277</f>
        <v>150057.60000000001</v>
      </c>
      <c r="AB277" s="362"/>
      <c r="AC277" s="412">
        <v>0</v>
      </c>
      <c r="AD277" s="405"/>
      <c r="AE277" s="413"/>
      <c r="AF277" s="424">
        <f t="shared" si="55"/>
        <v>150057.60000000001</v>
      </c>
      <c r="AG277" s="405" t="s">
        <v>1069</v>
      </c>
      <c r="AH277" s="395"/>
      <c r="AI277" s="405">
        <v>60</v>
      </c>
      <c r="AJ277" s="405" t="s">
        <v>1251</v>
      </c>
      <c r="AK277" s="405" t="s">
        <v>1252</v>
      </c>
      <c r="AL277" s="425" t="s">
        <v>1253</v>
      </c>
      <c r="AM277" s="405" t="s">
        <v>52</v>
      </c>
      <c r="AN277" s="405" t="s">
        <v>1071</v>
      </c>
      <c r="AO277" s="405"/>
      <c r="AP277" s="405"/>
      <c r="AQ277" s="405" t="s">
        <v>37</v>
      </c>
      <c r="AR277" s="405"/>
      <c r="AS277" s="369"/>
      <c r="AT277" s="363"/>
      <c r="AU277" s="403"/>
      <c r="AV277" s="402">
        <f>U277</f>
        <v>0</v>
      </c>
      <c r="AW277" s="402" cm="1">
        <f t="array" ref="AW277">SUM(MID(0&amp;AV277,LARGE(INDEX(ISNUMBER(--MID(AV277,ROW($1:$8),1))*ROW($1:$8),),ROW($1:$8))+1,1)*10^ROW($1:$8)/10)</f>
        <v>0</v>
      </c>
      <c r="AX277" s="402" t="e">
        <f>VLOOKUP($AW277,'Item Master Data'!$A:$F,3,FALSE)</f>
        <v>#N/A</v>
      </c>
      <c r="AY277" s="402" t="e">
        <f>VLOOKUP($AW277,'Item Master Data'!$A:$F,6,FALSE)</f>
        <v>#N/A</v>
      </c>
      <c r="AZ277" s="402" t="e">
        <f>X277/BA277</f>
        <v>#N/A</v>
      </c>
      <c r="BA277" s="402" t="e">
        <f>VLOOKUP(AW277,'Item Master Data'!$A:$G,7,FALSE)</f>
        <v>#N/A</v>
      </c>
      <c r="BB277" s="402"/>
      <c r="BC277" s="402" t="e">
        <f>W277-AY277</f>
        <v>#N/A</v>
      </c>
    </row>
    <row r="278" spans="1:55">
      <c r="A278" s="377"/>
      <c r="B278" s="376"/>
      <c r="C278" s="376"/>
      <c r="D278" s="405" t="s">
        <v>1066</v>
      </c>
      <c r="E278" s="364" t="s">
        <v>4927</v>
      </c>
      <c r="F278" s="405" t="s">
        <v>87</v>
      </c>
      <c r="G278" s="405">
        <v>2022</v>
      </c>
      <c r="H278" s="405">
        <v>6</v>
      </c>
      <c r="I278" s="416"/>
      <c r="J278" s="406"/>
      <c r="K278" s="405" t="s">
        <v>1264</v>
      </c>
      <c r="L278" s="406" t="s">
        <v>1263</v>
      </c>
      <c r="M278" s="406">
        <v>44504</v>
      </c>
      <c r="N278" s="406">
        <v>44621</v>
      </c>
      <c r="O278" s="406"/>
      <c r="P278" s="406"/>
      <c r="Q278" s="406"/>
      <c r="R278" s="406"/>
      <c r="S278" s="405" t="s">
        <v>1098</v>
      </c>
      <c r="T278" s="405">
        <v>72</v>
      </c>
      <c r="U278" s="405"/>
      <c r="V278" s="405" t="s">
        <v>1068</v>
      </c>
      <c r="W278" s="407">
        <v>480</v>
      </c>
      <c r="X278" s="371">
        <v>1276</v>
      </c>
      <c r="Y278" s="422">
        <f t="shared" si="56"/>
        <v>612480</v>
      </c>
      <c r="Z278" s="409">
        <v>0.47</v>
      </c>
      <c r="AA278" s="410">
        <f>Y278*Z278</f>
        <v>287865.59999999998</v>
      </c>
      <c r="AB278" s="362"/>
      <c r="AC278" s="412">
        <v>0</v>
      </c>
      <c r="AD278" s="405"/>
      <c r="AE278" s="413"/>
      <c r="AF278" s="424">
        <f t="shared" si="55"/>
        <v>287865.59999999998</v>
      </c>
      <c r="AG278" s="405" t="s">
        <v>1069</v>
      </c>
      <c r="AH278" s="395"/>
      <c r="AI278" s="405">
        <v>60</v>
      </c>
      <c r="AJ278" s="405" t="s">
        <v>1177</v>
      </c>
      <c r="AK278" s="405" t="s">
        <v>1070</v>
      </c>
      <c r="AL278" s="425">
        <v>21046</v>
      </c>
      <c r="AM278" s="405" t="s">
        <v>52</v>
      </c>
      <c r="AN278" s="405" t="s">
        <v>1082</v>
      </c>
      <c r="AO278" s="405"/>
      <c r="AP278" s="405" t="s">
        <v>38</v>
      </c>
      <c r="AQ278" s="405"/>
      <c r="AR278" s="405"/>
      <c r="AS278" s="369"/>
      <c r="AT278" s="363" t="s">
        <v>1073</v>
      </c>
      <c r="AU278" s="403"/>
      <c r="AV278" s="402"/>
      <c r="AW278" s="402"/>
      <c r="AX278" s="402"/>
      <c r="AY278" s="402"/>
      <c r="AZ278" s="402"/>
      <c r="BA278" s="402"/>
      <c r="BB278" s="402"/>
      <c r="BC278" s="402"/>
    </row>
    <row r="279" spans="1:55">
      <c r="A279" s="377"/>
      <c r="B279" s="376"/>
      <c r="C279" s="376"/>
      <c r="D279" s="405" t="s">
        <v>1066</v>
      </c>
      <c r="E279" s="364" t="s">
        <v>1239</v>
      </c>
      <c r="F279" s="405" t="s">
        <v>1074</v>
      </c>
      <c r="G279" s="405">
        <v>2022</v>
      </c>
      <c r="H279" s="405">
        <v>7</v>
      </c>
      <c r="I279" s="416" t="s">
        <v>1087</v>
      </c>
      <c r="J279" s="406"/>
      <c r="K279" s="405" t="s">
        <v>1495</v>
      </c>
      <c r="L279" s="406" t="s">
        <v>1493</v>
      </c>
      <c r="M279" s="406">
        <v>44657</v>
      </c>
      <c r="N279" s="406">
        <v>44743</v>
      </c>
      <c r="O279" s="406"/>
      <c r="P279" s="406"/>
      <c r="Q279" s="406"/>
      <c r="R279" s="406"/>
      <c r="S279" s="405" t="s">
        <v>1325</v>
      </c>
      <c r="T279" s="405">
        <v>72</v>
      </c>
      <c r="U279" s="405"/>
      <c r="V279" s="405" t="s">
        <v>1108</v>
      </c>
      <c r="W279" s="407">
        <v>580</v>
      </c>
      <c r="X279" s="371">
        <v>11745</v>
      </c>
      <c r="Y279" s="422">
        <f t="shared" si="56"/>
        <v>6812100</v>
      </c>
      <c r="Z279" s="409">
        <v>0.55000000000000004</v>
      </c>
      <c r="AA279" s="410">
        <f>Z279*Y279</f>
        <v>3746655.0000000005</v>
      </c>
      <c r="AB279" s="362"/>
      <c r="AC279" s="412">
        <f>AB279*Y279</f>
        <v>0</v>
      </c>
      <c r="AD279" s="405"/>
      <c r="AE279" s="413"/>
      <c r="AF279" s="424">
        <f t="shared" si="55"/>
        <v>3746655.0000000005</v>
      </c>
      <c r="AG279" s="405" t="s">
        <v>47</v>
      </c>
      <c r="AH279" s="395">
        <v>10</v>
      </c>
      <c r="AI279" s="405">
        <v>30</v>
      </c>
      <c r="AJ279" s="405" t="s">
        <v>1496</v>
      </c>
      <c r="AK279" s="405" t="s">
        <v>1497</v>
      </c>
      <c r="AL279" s="425" t="s">
        <v>1102</v>
      </c>
      <c r="AM279" s="405" t="s">
        <v>52</v>
      </c>
      <c r="AN279" s="405" t="s">
        <v>1071</v>
      </c>
      <c r="AO279" s="405"/>
      <c r="AP279" s="405"/>
      <c r="AQ279" s="405" t="s">
        <v>1083</v>
      </c>
      <c r="AR279" s="405"/>
      <c r="AS279" s="369" t="s">
        <v>1084</v>
      </c>
      <c r="AT279" s="363" t="s">
        <v>1073</v>
      </c>
      <c r="AU279" s="403"/>
      <c r="AV279" s="402">
        <f>U279</f>
        <v>0</v>
      </c>
      <c r="AW279" s="402" cm="1">
        <f t="array" ref="AW279">SUM(MID(0&amp;AV279,LARGE(INDEX(ISNUMBER(--MID(AV279,ROW($1:$8),1))*ROW($1:$8),),ROW($1:$8))+1,1)*10^ROW($1:$8)/10)</f>
        <v>0</v>
      </c>
      <c r="AX279" s="402" t="e">
        <f>VLOOKUP($AW279,'Item Master Data'!$A:$F,3,FALSE)</f>
        <v>#N/A</v>
      </c>
      <c r="AY279" s="402" t="e">
        <f>VLOOKUP($AW279,'Item Master Data'!$A:$F,6,FALSE)</f>
        <v>#N/A</v>
      </c>
      <c r="AZ279" s="402" t="e">
        <f>X279/BA279</f>
        <v>#N/A</v>
      </c>
      <c r="BA279" s="402" t="e">
        <f>VLOOKUP(AW279,'Item Master Data'!$A:$G,7,FALSE)</f>
        <v>#N/A</v>
      </c>
      <c r="BB279" s="402"/>
      <c r="BC279" s="402" t="e">
        <f>W279-AY279</f>
        <v>#N/A</v>
      </c>
    </row>
    <row r="280" spans="1:55">
      <c r="A280" s="377"/>
      <c r="B280" s="376"/>
      <c r="C280" s="376"/>
      <c r="D280" s="405" t="s">
        <v>1066</v>
      </c>
      <c r="E280" s="364" t="s">
        <v>1239</v>
      </c>
      <c r="F280" s="405" t="s">
        <v>1074</v>
      </c>
      <c r="G280" s="405">
        <v>2022</v>
      </c>
      <c r="H280" s="405">
        <v>7</v>
      </c>
      <c r="I280" s="416" t="s">
        <v>1087</v>
      </c>
      <c r="J280" s="406"/>
      <c r="K280" s="405" t="s">
        <v>1495</v>
      </c>
      <c r="L280" s="406" t="s">
        <v>1493</v>
      </c>
      <c r="M280" s="406">
        <v>44657</v>
      </c>
      <c r="N280" s="406">
        <v>44743</v>
      </c>
      <c r="O280" s="406"/>
      <c r="P280" s="406"/>
      <c r="Q280" s="406"/>
      <c r="R280" s="406"/>
      <c r="S280" s="405" t="s">
        <v>1325</v>
      </c>
      <c r="T280" s="405">
        <v>72</v>
      </c>
      <c r="U280" s="405"/>
      <c r="V280" s="405" t="s">
        <v>1108</v>
      </c>
      <c r="W280" s="407">
        <v>580</v>
      </c>
      <c r="X280" s="371">
        <v>2987</v>
      </c>
      <c r="Y280" s="422">
        <f t="shared" si="56"/>
        <v>1732460</v>
      </c>
      <c r="Z280" s="409">
        <v>0.55000000000000004</v>
      </c>
      <c r="AA280" s="410">
        <f>Z280*Y280</f>
        <v>952853.00000000012</v>
      </c>
      <c r="AB280" s="362"/>
      <c r="AC280" s="412">
        <f>AB280*Y280</f>
        <v>0</v>
      </c>
      <c r="AD280" s="405"/>
      <c r="AE280" s="413"/>
      <c r="AF280" s="424">
        <f t="shared" si="55"/>
        <v>952853.00000000012</v>
      </c>
      <c r="AG280" s="405" t="s">
        <v>47</v>
      </c>
      <c r="AH280" s="395">
        <v>10</v>
      </c>
      <c r="AI280" s="405">
        <v>30</v>
      </c>
      <c r="AJ280" s="405" t="s">
        <v>1494</v>
      </c>
      <c r="AK280" s="405" t="s">
        <v>1092</v>
      </c>
      <c r="AL280" s="425">
        <v>1915</v>
      </c>
      <c r="AM280" s="405" t="s">
        <v>52</v>
      </c>
      <c r="AN280" s="405" t="s">
        <v>1071</v>
      </c>
      <c r="AO280" s="405"/>
      <c r="AP280" s="405"/>
      <c r="AQ280" s="405" t="s">
        <v>1083</v>
      </c>
      <c r="AR280" s="405"/>
      <c r="AS280" s="369" t="s">
        <v>1084</v>
      </c>
      <c r="AT280" s="363" t="s">
        <v>1073</v>
      </c>
      <c r="AU280" s="403"/>
      <c r="AV280" s="402"/>
      <c r="AW280" s="402"/>
      <c r="AX280" s="402"/>
      <c r="AY280" s="402"/>
      <c r="AZ280" s="402"/>
      <c r="BA280" s="402"/>
      <c r="BB280" s="402"/>
      <c r="BC280" s="402"/>
    </row>
    <row r="281" spans="1:55">
      <c r="A281" s="377"/>
      <c r="B281" s="376"/>
      <c r="C281" s="376"/>
      <c r="D281" s="405" t="s">
        <v>1066</v>
      </c>
      <c r="E281" s="364" t="s">
        <v>1239</v>
      </c>
      <c r="F281" s="405" t="s">
        <v>1074</v>
      </c>
      <c r="G281" s="405">
        <v>2022</v>
      </c>
      <c r="H281" s="405">
        <v>7</v>
      </c>
      <c r="I281" s="416" t="s">
        <v>1087</v>
      </c>
      <c r="J281" s="406"/>
      <c r="K281" s="405" t="s">
        <v>1495</v>
      </c>
      <c r="L281" s="406" t="s">
        <v>1493</v>
      </c>
      <c r="M281" s="406">
        <v>44657</v>
      </c>
      <c r="N281" s="406">
        <v>44743</v>
      </c>
      <c r="O281" s="406"/>
      <c r="P281" s="406"/>
      <c r="Q281" s="406"/>
      <c r="R281" s="406"/>
      <c r="S281" s="405" t="s">
        <v>1325</v>
      </c>
      <c r="T281" s="405">
        <v>72</v>
      </c>
      <c r="U281" s="405"/>
      <c r="V281" s="405" t="s">
        <v>1108</v>
      </c>
      <c r="W281" s="407">
        <v>580</v>
      </c>
      <c r="X281" s="371">
        <v>1160</v>
      </c>
      <c r="Y281" s="422">
        <f t="shared" si="56"/>
        <v>672800</v>
      </c>
      <c r="Z281" s="409">
        <v>0.55000000000000004</v>
      </c>
      <c r="AA281" s="410">
        <f>Z281*Y281</f>
        <v>370040.00000000006</v>
      </c>
      <c r="AB281" s="362"/>
      <c r="AC281" s="412">
        <f>AB281*Y281</f>
        <v>0</v>
      </c>
      <c r="AD281" s="405"/>
      <c r="AE281" s="413"/>
      <c r="AF281" s="424">
        <f t="shared" si="55"/>
        <v>370040.00000000006</v>
      </c>
      <c r="AG281" s="405" t="s">
        <v>47</v>
      </c>
      <c r="AH281" s="395">
        <v>10</v>
      </c>
      <c r="AI281" s="405">
        <v>30</v>
      </c>
      <c r="AJ281" s="405" t="s">
        <v>1494</v>
      </c>
      <c r="AK281" s="405" t="s">
        <v>1092</v>
      </c>
      <c r="AL281" s="425">
        <v>1915</v>
      </c>
      <c r="AM281" s="405" t="s">
        <v>52</v>
      </c>
      <c r="AN281" s="405" t="s">
        <v>1071</v>
      </c>
      <c r="AO281" s="405"/>
      <c r="AP281" s="405"/>
      <c r="AQ281" s="405" t="s">
        <v>1083</v>
      </c>
      <c r="AR281" s="405"/>
      <c r="AS281" s="369" t="s">
        <v>1084</v>
      </c>
      <c r="AT281" s="363" t="s">
        <v>1073</v>
      </c>
      <c r="AU281" s="403"/>
      <c r="AV281" s="402"/>
      <c r="AW281" s="402"/>
      <c r="AX281" s="402"/>
      <c r="AY281" s="402"/>
      <c r="AZ281" s="402"/>
      <c r="BA281" s="402"/>
      <c r="BB281" s="402"/>
      <c r="BC281" s="402"/>
    </row>
    <row r="282" spans="1:55">
      <c r="A282" s="377"/>
      <c r="B282" s="376"/>
      <c r="C282" s="376"/>
      <c r="D282" s="405" t="s">
        <v>1066</v>
      </c>
      <c r="E282" s="364" t="s">
        <v>4930</v>
      </c>
      <c r="F282" s="405" t="s">
        <v>1074</v>
      </c>
      <c r="G282" s="405">
        <v>2022</v>
      </c>
      <c r="H282" s="405">
        <v>7</v>
      </c>
      <c r="I282" s="416">
        <v>2005153</v>
      </c>
      <c r="J282" s="406"/>
      <c r="K282" s="405" t="s">
        <v>1408</v>
      </c>
      <c r="L282" s="406" t="s">
        <v>1409</v>
      </c>
      <c r="M282" s="406">
        <v>44599</v>
      </c>
      <c r="N282" s="406">
        <v>44682</v>
      </c>
      <c r="O282" s="406"/>
      <c r="P282" s="406" t="s">
        <v>1410</v>
      </c>
      <c r="Q282" s="406"/>
      <c r="R282" s="406"/>
      <c r="S282" s="405" t="s">
        <v>1067</v>
      </c>
      <c r="T282" s="405">
        <v>72</v>
      </c>
      <c r="U282" s="405" t="s">
        <v>1079</v>
      </c>
      <c r="V282" s="405" t="s">
        <v>1068</v>
      </c>
      <c r="W282" s="407">
        <v>475</v>
      </c>
      <c r="X282" s="371">
        <v>3480</v>
      </c>
      <c r="Y282" s="422">
        <f t="shared" si="56"/>
        <v>1653000</v>
      </c>
      <c r="Z282" s="409">
        <v>0.47499999999999998</v>
      </c>
      <c r="AA282" s="410">
        <f>Z282*Y282</f>
        <v>785175</v>
      </c>
      <c r="AB282" s="362"/>
      <c r="AC282" s="412">
        <f>AB282*Y282</f>
        <v>0</v>
      </c>
      <c r="AD282" s="405"/>
      <c r="AE282" s="413"/>
      <c r="AF282" s="424">
        <f t="shared" si="55"/>
        <v>785175</v>
      </c>
      <c r="AG282" s="405" t="s">
        <v>47</v>
      </c>
      <c r="AH282" s="395">
        <v>0</v>
      </c>
      <c r="AI282" s="405">
        <v>45</v>
      </c>
      <c r="AJ282" s="405" t="s">
        <v>1411</v>
      </c>
      <c r="AK282" s="405" t="s">
        <v>1092</v>
      </c>
      <c r="AL282" s="425">
        <v>2766</v>
      </c>
      <c r="AM282" s="405" t="s">
        <v>52</v>
      </c>
      <c r="AN282" s="405" t="s">
        <v>1082</v>
      </c>
      <c r="AO282" s="405"/>
      <c r="AP282" s="405" t="s">
        <v>38</v>
      </c>
      <c r="AQ282" s="405" t="s">
        <v>1083</v>
      </c>
      <c r="AR282" s="405"/>
      <c r="AS282" s="369" t="s">
        <v>1084</v>
      </c>
      <c r="AT282" s="363" t="s">
        <v>1073</v>
      </c>
      <c r="AU282" s="403"/>
      <c r="AV282" s="402"/>
      <c r="AW282" s="402"/>
      <c r="AX282" s="402"/>
      <c r="AY282" s="402"/>
      <c r="AZ282" s="402"/>
      <c r="BA282" s="402"/>
      <c r="BB282" s="402"/>
      <c r="BC282" s="402"/>
    </row>
    <row r="283" spans="1:55">
      <c r="A283" s="377"/>
      <c r="B283" s="376"/>
      <c r="C283" s="376"/>
      <c r="D283" s="405" t="s">
        <v>1066</v>
      </c>
      <c r="E283" s="364" t="s">
        <v>4931</v>
      </c>
      <c r="F283" s="405" t="s">
        <v>87</v>
      </c>
      <c r="G283" s="405">
        <v>2022</v>
      </c>
      <c r="H283" s="405">
        <v>6</v>
      </c>
      <c r="I283" s="416"/>
      <c r="J283" s="406"/>
      <c r="K283" s="405" t="s">
        <v>1262</v>
      </c>
      <c r="L283" s="406" t="s">
        <v>1263</v>
      </c>
      <c r="M283" s="406">
        <v>44579</v>
      </c>
      <c r="N283" s="406">
        <v>44621</v>
      </c>
      <c r="O283" s="406"/>
      <c r="P283" s="406"/>
      <c r="Q283" s="406"/>
      <c r="R283" s="406"/>
      <c r="S283" s="405" t="s">
        <v>1098</v>
      </c>
      <c r="T283" s="405">
        <v>72</v>
      </c>
      <c r="U283" s="405"/>
      <c r="V283" s="405" t="s">
        <v>1068</v>
      </c>
      <c r="W283" s="407">
        <v>480</v>
      </c>
      <c r="X283" s="371">
        <v>1769</v>
      </c>
      <c r="Y283" s="422">
        <f t="shared" si="56"/>
        <v>849120</v>
      </c>
      <c r="Z283" s="409">
        <v>0.47</v>
      </c>
      <c r="AA283" s="410">
        <f>Y283*Z283</f>
        <v>399086.39999999997</v>
      </c>
      <c r="AB283" s="362"/>
      <c r="AC283" s="412">
        <v>0</v>
      </c>
      <c r="AD283" s="405"/>
      <c r="AE283" s="413"/>
      <c r="AF283" s="424">
        <f t="shared" si="55"/>
        <v>399086.39999999997</v>
      </c>
      <c r="AG283" s="405" t="s">
        <v>1069</v>
      </c>
      <c r="AH283" s="395"/>
      <c r="AI283" s="405">
        <v>60</v>
      </c>
      <c r="AJ283" s="405" t="s">
        <v>1177</v>
      </c>
      <c r="AK283" s="405" t="s">
        <v>1070</v>
      </c>
      <c r="AL283" s="425">
        <v>21046</v>
      </c>
      <c r="AM283" s="405" t="s">
        <v>52</v>
      </c>
      <c r="AN283" s="405" t="s">
        <v>1082</v>
      </c>
      <c r="AO283" s="405"/>
      <c r="AP283" s="405" t="s">
        <v>38</v>
      </c>
      <c r="AQ283" s="405"/>
      <c r="AR283" s="405"/>
      <c r="AS283" s="369"/>
      <c r="AT283" s="363" t="s">
        <v>1073</v>
      </c>
      <c r="AU283" s="403"/>
      <c r="AV283" s="402"/>
      <c r="AW283" s="402"/>
      <c r="AX283" s="402"/>
      <c r="AY283" s="402"/>
      <c r="AZ283" s="402"/>
      <c r="BA283" s="402"/>
      <c r="BB283" s="402"/>
      <c r="BC283" s="402"/>
    </row>
    <row r="284" spans="1:55">
      <c r="A284" s="377"/>
      <c r="B284" s="376"/>
      <c r="C284" s="376"/>
      <c r="D284" s="405" t="s">
        <v>1066</v>
      </c>
      <c r="E284" s="364" t="s">
        <v>4931</v>
      </c>
      <c r="F284" s="405" t="s">
        <v>87</v>
      </c>
      <c r="G284" s="405">
        <v>2022</v>
      </c>
      <c r="H284" s="405">
        <v>6</v>
      </c>
      <c r="I284" s="416"/>
      <c r="J284" s="406"/>
      <c r="K284" s="405" t="s">
        <v>1265</v>
      </c>
      <c r="L284" s="406" t="s">
        <v>1263</v>
      </c>
      <c r="M284" s="406">
        <v>44579</v>
      </c>
      <c r="N284" s="406">
        <v>44621</v>
      </c>
      <c r="O284" s="406"/>
      <c r="P284" s="406"/>
      <c r="Q284" s="406"/>
      <c r="R284" s="406"/>
      <c r="S284" s="405" t="s">
        <v>1098</v>
      </c>
      <c r="T284" s="405">
        <v>72</v>
      </c>
      <c r="U284" s="405"/>
      <c r="V284" s="405" t="s">
        <v>1068</v>
      </c>
      <c r="W284" s="407">
        <v>480</v>
      </c>
      <c r="X284" s="371">
        <f>2552-1769</f>
        <v>783</v>
      </c>
      <c r="Y284" s="422">
        <f t="shared" si="56"/>
        <v>375840</v>
      </c>
      <c r="Z284" s="409">
        <v>0.47</v>
      </c>
      <c r="AA284" s="410">
        <f>Y284*Z284</f>
        <v>176644.8</v>
      </c>
      <c r="AB284" s="362"/>
      <c r="AC284" s="412">
        <v>0</v>
      </c>
      <c r="AD284" s="405"/>
      <c r="AE284" s="413"/>
      <c r="AF284" s="424">
        <f t="shared" si="55"/>
        <v>176644.8</v>
      </c>
      <c r="AG284" s="405" t="s">
        <v>1069</v>
      </c>
      <c r="AH284" s="395"/>
      <c r="AI284" s="405">
        <v>60</v>
      </c>
      <c r="AJ284" s="405" t="s">
        <v>1177</v>
      </c>
      <c r="AK284" s="405" t="s">
        <v>1070</v>
      </c>
      <c r="AL284" s="425">
        <v>21046</v>
      </c>
      <c r="AM284" s="405" t="s">
        <v>52</v>
      </c>
      <c r="AN284" s="405" t="s">
        <v>1071</v>
      </c>
      <c r="AO284" s="405"/>
      <c r="AP284" s="405"/>
      <c r="AQ284" s="405"/>
      <c r="AR284" s="405"/>
      <c r="AS284" s="369"/>
      <c r="AT284" s="363" t="s">
        <v>1073</v>
      </c>
      <c r="AU284" s="403"/>
      <c r="AV284" s="402"/>
      <c r="AW284" s="402"/>
      <c r="AX284" s="402"/>
      <c r="AY284" s="402"/>
      <c r="AZ284" s="402"/>
      <c r="BA284" s="402"/>
      <c r="BB284" s="402"/>
      <c r="BC284" s="402"/>
    </row>
    <row r="285" spans="1:55">
      <c r="A285" s="377"/>
      <c r="B285" s="376"/>
      <c r="C285" s="376"/>
      <c r="D285" s="405" t="s">
        <v>1066</v>
      </c>
      <c r="E285" s="364" t="s">
        <v>4927</v>
      </c>
      <c r="F285" s="405"/>
      <c r="G285" s="405">
        <v>2022</v>
      </c>
      <c r="H285" s="405">
        <v>6</v>
      </c>
      <c r="I285" s="416"/>
      <c r="J285" s="406"/>
      <c r="K285" s="405" t="s">
        <v>1271</v>
      </c>
      <c r="L285" s="406" t="s">
        <v>1266</v>
      </c>
      <c r="M285" s="406">
        <v>44496</v>
      </c>
      <c r="N285" s="406">
        <v>44672</v>
      </c>
      <c r="O285" s="406"/>
      <c r="P285" s="406"/>
      <c r="Q285" s="406"/>
      <c r="R285" s="406"/>
      <c r="S285" s="405" t="s">
        <v>1107</v>
      </c>
      <c r="T285" s="405">
        <v>72</v>
      </c>
      <c r="U285" s="405"/>
      <c r="V285" s="405" t="s">
        <v>1068</v>
      </c>
      <c r="W285" s="407">
        <v>480</v>
      </c>
      <c r="X285" s="371">
        <v>2436</v>
      </c>
      <c r="Y285" s="422">
        <f t="shared" si="56"/>
        <v>1169280</v>
      </c>
      <c r="Z285" s="409">
        <v>0.47</v>
      </c>
      <c r="AA285" s="410">
        <f>Y285*Z285</f>
        <v>549561.59999999998</v>
      </c>
      <c r="AB285" s="362"/>
      <c r="AC285" s="412">
        <v>0</v>
      </c>
      <c r="AD285" s="405"/>
      <c r="AE285" s="413"/>
      <c r="AF285" s="424">
        <f t="shared" si="55"/>
        <v>549561.59999999998</v>
      </c>
      <c r="AG285" s="405" t="s">
        <v>1069</v>
      </c>
      <c r="AH285" s="395"/>
      <c r="AI285" s="405">
        <v>60</v>
      </c>
      <c r="AJ285" s="405" t="s">
        <v>1267</v>
      </c>
      <c r="AK285" s="405" t="s">
        <v>1117</v>
      </c>
      <c r="AL285" s="425" t="s">
        <v>1268</v>
      </c>
      <c r="AM285" s="405" t="s">
        <v>52</v>
      </c>
      <c r="AN285" s="405" t="s">
        <v>1082</v>
      </c>
      <c r="AO285" s="405"/>
      <c r="AP285" s="405" t="s">
        <v>92</v>
      </c>
      <c r="AQ285" s="405" t="s">
        <v>37</v>
      </c>
      <c r="AR285" s="405"/>
      <c r="AS285" s="369"/>
      <c r="AT285" s="363"/>
      <c r="AU285" s="403"/>
      <c r="AV285" s="402">
        <f>U285</f>
        <v>0</v>
      </c>
      <c r="AW285" s="402" cm="1">
        <f t="array" ref="AW285">SUM(MID(0&amp;AV285,LARGE(INDEX(ISNUMBER(--MID(AV285,ROW($1:$8),1))*ROW($1:$8),),ROW($1:$8))+1,1)*10^ROW($1:$8)/10)</f>
        <v>0</v>
      </c>
      <c r="AX285" s="402" t="e">
        <f>VLOOKUP($AW285,'Item Master Data'!$A:$F,3,FALSE)</f>
        <v>#N/A</v>
      </c>
      <c r="AY285" s="402" t="e">
        <f>VLOOKUP($AW285,'Item Master Data'!$A:$F,6,FALSE)</f>
        <v>#N/A</v>
      </c>
      <c r="AZ285" s="402" t="e">
        <f>X285/BA285</f>
        <v>#N/A</v>
      </c>
      <c r="BA285" s="402" t="e">
        <f>VLOOKUP(AW285,'Item Master Data'!$A:$G,7,FALSE)</f>
        <v>#N/A</v>
      </c>
      <c r="BB285" s="402"/>
      <c r="BC285" s="402" t="e">
        <f>W285-AY285</f>
        <v>#N/A</v>
      </c>
    </row>
    <row r="286" spans="1:55">
      <c r="A286" s="377"/>
      <c r="B286" s="376"/>
      <c r="C286" s="376"/>
      <c r="D286" s="405" t="s">
        <v>1066</v>
      </c>
      <c r="E286" s="364"/>
      <c r="F286" s="405" t="s">
        <v>87</v>
      </c>
      <c r="G286" s="405">
        <v>2022</v>
      </c>
      <c r="H286" s="405">
        <v>5</v>
      </c>
      <c r="I286" s="416"/>
      <c r="J286" s="406"/>
      <c r="K286" s="405" t="s">
        <v>1453</v>
      </c>
      <c r="L286" s="406" t="s">
        <v>1442</v>
      </c>
      <c r="M286" s="406">
        <v>44592</v>
      </c>
      <c r="N286" s="406">
        <v>44596</v>
      </c>
      <c r="O286" s="406"/>
      <c r="P286" s="406">
        <v>44606</v>
      </c>
      <c r="Q286" s="406">
        <v>44697</v>
      </c>
      <c r="R286" s="406">
        <v>44700</v>
      </c>
      <c r="S286" s="405" t="s">
        <v>1443</v>
      </c>
      <c r="T286" s="405">
        <v>72</v>
      </c>
      <c r="U286" s="405" t="s">
        <v>1433</v>
      </c>
      <c r="V286" s="405" t="s">
        <v>1068</v>
      </c>
      <c r="W286" s="407">
        <v>475</v>
      </c>
      <c r="X286" s="371">
        <v>638</v>
      </c>
      <c r="Y286" s="422">
        <f t="shared" si="56"/>
        <v>303050</v>
      </c>
      <c r="Z286" s="409">
        <v>0.47</v>
      </c>
      <c r="AA286" s="410">
        <f>Z286*Y286</f>
        <v>142433.5</v>
      </c>
      <c r="AB286" s="362"/>
      <c r="AC286" s="412">
        <v>0</v>
      </c>
      <c r="AD286" s="405"/>
      <c r="AE286" s="413"/>
      <c r="AF286" s="424">
        <f>AA286+AE286</f>
        <v>142433.5</v>
      </c>
      <c r="AG286" s="405" t="s">
        <v>47</v>
      </c>
      <c r="AH286" s="395"/>
      <c r="AI286" s="405">
        <v>60</v>
      </c>
      <c r="AJ286" s="405" t="s">
        <v>1454</v>
      </c>
      <c r="AK286" s="405" t="s">
        <v>1136</v>
      </c>
      <c r="AL286" s="425">
        <v>78725</v>
      </c>
      <c r="AM286" s="405" t="s">
        <v>52</v>
      </c>
      <c r="AN286" s="405" t="s">
        <v>1082</v>
      </c>
      <c r="AO286" s="405"/>
      <c r="AP286" s="405" t="s">
        <v>92</v>
      </c>
      <c r="AQ286" s="405" t="s">
        <v>37</v>
      </c>
      <c r="AR286" s="405"/>
      <c r="AS286" s="369"/>
      <c r="AT286" s="363"/>
      <c r="AU286" s="403"/>
      <c r="AV286" s="402"/>
      <c r="AW286" s="402"/>
      <c r="AX286" s="402"/>
      <c r="AY286" s="402"/>
      <c r="AZ286" s="402"/>
      <c r="BA286" s="402"/>
      <c r="BB286" s="402"/>
      <c r="BC286" s="402"/>
    </row>
    <row r="287" spans="1:55">
      <c r="A287" s="377"/>
      <c r="B287" s="376"/>
      <c r="C287" s="376"/>
      <c r="D287" s="405" t="s">
        <v>1066</v>
      </c>
      <c r="E287" s="364" t="s">
        <v>4927</v>
      </c>
      <c r="F287" s="405"/>
      <c r="G287" s="405">
        <v>2022</v>
      </c>
      <c r="H287" s="405">
        <v>6</v>
      </c>
      <c r="I287" s="416"/>
      <c r="J287" s="406"/>
      <c r="K287" s="405" t="s">
        <v>1279</v>
      </c>
      <c r="L287" s="406" t="s">
        <v>1266</v>
      </c>
      <c r="M287" s="406">
        <v>44496</v>
      </c>
      <c r="N287" s="406">
        <v>44702</v>
      </c>
      <c r="O287" s="406"/>
      <c r="P287" s="406"/>
      <c r="Q287" s="406"/>
      <c r="R287" s="406"/>
      <c r="S287" s="405" t="s">
        <v>1107</v>
      </c>
      <c r="T287" s="405">
        <v>72</v>
      </c>
      <c r="U287" s="405"/>
      <c r="V287" s="405" t="s">
        <v>1068</v>
      </c>
      <c r="W287" s="407">
        <v>480</v>
      </c>
      <c r="X287" s="371">
        <v>2436</v>
      </c>
      <c r="Y287" s="422">
        <f t="shared" si="56"/>
        <v>1169280</v>
      </c>
      <c r="Z287" s="409">
        <v>0.47</v>
      </c>
      <c r="AA287" s="410">
        <f>Y287*Z287</f>
        <v>549561.59999999998</v>
      </c>
      <c r="AB287" s="362"/>
      <c r="AC287" s="412">
        <v>0</v>
      </c>
      <c r="AD287" s="405"/>
      <c r="AE287" s="413"/>
      <c r="AF287" s="424">
        <f t="shared" ref="AF287:AF309" si="63">AE287+AD287+AA287</f>
        <v>549561.59999999998</v>
      </c>
      <c r="AG287" s="405" t="s">
        <v>1069</v>
      </c>
      <c r="AH287" s="395"/>
      <c r="AI287" s="405">
        <v>60</v>
      </c>
      <c r="AJ287" s="405" t="s">
        <v>1267</v>
      </c>
      <c r="AK287" s="405" t="s">
        <v>1117</v>
      </c>
      <c r="AL287" s="425" t="s">
        <v>1268</v>
      </c>
      <c r="AM287" s="405" t="s">
        <v>52</v>
      </c>
      <c r="AN287" s="405" t="s">
        <v>1082</v>
      </c>
      <c r="AO287" s="405"/>
      <c r="AP287" s="405" t="s">
        <v>92</v>
      </c>
      <c r="AQ287" s="405" t="s">
        <v>37</v>
      </c>
      <c r="AR287" s="405"/>
      <c r="AS287" s="369"/>
      <c r="AT287" s="363"/>
      <c r="AU287" s="403"/>
      <c r="AV287" s="402">
        <f>U287</f>
        <v>0</v>
      </c>
      <c r="AW287" s="402" cm="1">
        <f t="array" ref="AW287">SUM(MID(0&amp;AV287,LARGE(INDEX(ISNUMBER(--MID(AV287,ROW($1:$8),1))*ROW($1:$8),),ROW($1:$8))+1,1)*10^ROW($1:$8)/10)</f>
        <v>0</v>
      </c>
      <c r="AX287" s="402" t="e">
        <f>VLOOKUP($AW287,'Item Master Data'!$A:$F,3,FALSE)</f>
        <v>#N/A</v>
      </c>
      <c r="AY287" s="402" t="e">
        <f>VLOOKUP($AW287,'Item Master Data'!$A:$F,6,FALSE)</f>
        <v>#N/A</v>
      </c>
      <c r="AZ287" s="402" t="e">
        <f>X287/BA287</f>
        <v>#N/A</v>
      </c>
      <c r="BA287" s="402" t="e">
        <f>VLOOKUP(AW287,'Item Master Data'!$A:$G,7,FALSE)</f>
        <v>#N/A</v>
      </c>
      <c r="BB287" s="402"/>
      <c r="BC287" s="402" t="e">
        <f>W287-AY287</f>
        <v>#N/A</v>
      </c>
    </row>
    <row r="288" spans="1:55">
      <c r="A288" s="377"/>
      <c r="B288" s="376"/>
      <c r="C288" s="376"/>
      <c r="D288" s="405" t="s">
        <v>1066</v>
      </c>
      <c r="E288" s="364" t="s">
        <v>4944</v>
      </c>
      <c r="F288" s="405" t="s">
        <v>1074</v>
      </c>
      <c r="G288" s="405">
        <v>2022</v>
      </c>
      <c r="H288" s="405">
        <v>9</v>
      </c>
      <c r="I288" s="416"/>
      <c r="J288" s="406"/>
      <c r="K288" s="405" t="s">
        <v>1133</v>
      </c>
      <c r="L288" s="406" t="s">
        <v>1112</v>
      </c>
      <c r="M288" s="406">
        <v>44645</v>
      </c>
      <c r="N288" s="406">
        <v>44788</v>
      </c>
      <c r="O288" s="406"/>
      <c r="P288" s="406"/>
      <c r="Q288" s="406"/>
      <c r="R288" s="406"/>
      <c r="S288" s="405" t="s">
        <v>1098</v>
      </c>
      <c r="T288" s="405">
        <v>72</v>
      </c>
      <c r="U288" s="405" t="s">
        <v>1102</v>
      </c>
      <c r="V288" s="405" t="s">
        <v>1068</v>
      </c>
      <c r="W288" s="407">
        <v>485</v>
      </c>
      <c r="X288" s="371">
        <v>638</v>
      </c>
      <c r="Y288" s="422">
        <f t="shared" si="56"/>
        <v>309430</v>
      </c>
      <c r="Z288" s="409">
        <v>0.5</v>
      </c>
      <c r="AA288" s="410">
        <f>Z288*Y288</f>
        <v>154715</v>
      </c>
      <c r="AB288" s="362"/>
      <c r="AC288" s="412">
        <f>AB288*Y288</f>
        <v>0</v>
      </c>
      <c r="AD288" s="405"/>
      <c r="AE288" s="413"/>
      <c r="AF288" s="424">
        <f t="shared" si="63"/>
        <v>154715</v>
      </c>
      <c r="AG288" s="405" t="s">
        <v>47</v>
      </c>
      <c r="AH288" s="395">
        <v>0</v>
      </c>
      <c r="AI288" s="405">
        <v>45</v>
      </c>
      <c r="AJ288" s="405" t="s">
        <v>1132</v>
      </c>
      <c r="AK288" s="405" t="s">
        <v>50</v>
      </c>
      <c r="AL288" s="425">
        <v>91311</v>
      </c>
      <c r="AM288" s="405" t="s">
        <v>52</v>
      </c>
      <c r="AN288" s="405" t="s">
        <v>1102</v>
      </c>
      <c r="AO288" s="405"/>
      <c r="AP288" s="405" t="s">
        <v>38</v>
      </c>
      <c r="AQ288" s="405" t="s">
        <v>1083</v>
      </c>
      <c r="AR288" s="405"/>
      <c r="AS288" s="369" t="s">
        <v>1084</v>
      </c>
      <c r="AT288" s="363" t="s">
        <v>1073</v>
      </c>
      <c r="AU288" s="403"/>
      <c r="AV288" s="402"/>
      <c r="AW288" s="402"/>
      <c r="AX288" s="402"/>
      <c r="AY288" s="402"/>
      <c r="AZ288" s="402"/>
      <c r="BA288" s="402"/>
      <c r="BB288" s="402"/>
      <c r="BC288" s="402"/>
    </row>
    <row r="289" spans="1:55">
      <c r="A289" s="377"/>
      <c r="B289" s="376"/>
      <c r="C289" s="376"/>
      <c r="D289" s="405" t="s">
        <v>1066</v>
      </c>
      <c r="E289" s="364" t="s">
        <v>4944</v>
      </c>
      <c r="F289" s="405" t="s">
        <v>1074</v>
      </c>
      <c r="G289" s="405">
        <v>2022</v>
      </c>
      <c r="H289" s="405">
        <v>9</v>
      </c>
      <c r="I289" s="416"/>
      <c r="J289" s="406"/>
      <c r="K289" s="405" t="s">
        <v>1126</v>
      </c>
      <c r="L289" s="406" t="s">
        <v>1112</v>
      </c>
      <c r="M289" s="406">
        <v>44645</v>
      </c>
      <c r="N289" s="406">
        <v>44783</v>
      </c>
      <c r="O289" s="406"/>
      <c r="P289" s="406"/>
      <c r="Q289" s="406"/>
      <c r="R289" s="406"/>
      <c r="S289" s="405" t="s">
        <v>1098</v>
      </c>
      <c r="T289" s="405">
        <v>72</v>
      </c>
      <c r="U289" s="405" t="s">
        <v>1102</v>
      </c>
      <c r="V289" s="405" t="s">
        <v>1068</v>
      </c>
      <c r="W289" s="407">
        <v>485</v>
      </c>
      <c r="X289" s="371">
        <v>638</v>
      </c>
      <c r="Y289" s="422">
        <f t="shared" si="56"/>
        <v>309430</v>
      </c>
      <c r="Z289" s="409">
        <v>0.5</v>
      </c>
      <c r="AA289" s="410">
        <f>Z289*Y289</f>
        <v>154715</v>
      </c>
      <c r="AB289" s="362"/>
      <c r="AC289" s="412">
        <f>AB289*Y289</f>
        <v>0</v>
      </c>
      <c r="AD289" s="405"/>
      <c r="AE289" s="413"/>
      <c r="AF289" s="424">
        <f t="shared" si="63"/>
        <v>154715</v>
      </c>
      <c r="AG289" s="405" t="s">
        <v>47</v>
      </c>
      <c r="AH289" s="395">
        <v>0</v>
      </c>
      <c r="AI289" s="405">
        <v>45</v>
      </c>
      <c r="AJ289" s="405" t="s">
        <v>1127</v>
      </c>
      <c r="AK289" s="405" t="s">
        <v>1081</v>
      </c>
      <c r="AL289" s="425">
        <v>33069</v>
      </c>
      <c r="AM289" s="405" t="s">
        <v>52</v>
      </c>
      <c r="AN289" s="405" t="s">
        <v>1102</v>
      </c>
      <c r="AO289" s="405"/>
      <c r="AP289" s="405" t="s">
        <v>38</v>
      </c>
      <c r="AQ289" s="405" t="s">
        <v>1083</v>
      </c>
      <c r="AR289" s="405"/>
      <c r="AS289" s="369" t="s">
        <v>1084</v>
      </c>
      <c r="AT289" s="363" t="s">
        <v>1073</v>
      </c>
      <c r="AU289" s="403"/>
      <c r="AV289" s="402" t="str">
        <f>U289</f>
        <v>TBD</v>
      </c>
      <c r="AW289" s="402" cm="1">
        <f t="array" ref="AW289">SUM(MID(0&amp;AV289,LARGE(INDEX(ISNUMBER(--MID(AV289,ROW($1:$8),1))*ROW($1:$8),),ROW($1:$8))+1,1)*10^ROW($1:$8)/10)</f>
        <v>0</v>
      </c>
      <c r="AX289" s="402" t="e">
        <f>VLOOKUP($AW289,'Item Master Data'!$A:$F,3,FALSE)</f>
        <v>#N/A</v>
      </c>
      <c r="AY289" s="402" t="e">
        <f>VLOOKUP($AW289,'Item Master Data'!$A:$F,6,FALSE)</f>
        <v>#N/A</v>
      </c>
      <c r="AZ289" s="402" t="e">
        <f>X289/BA289</f>
        <v>#N/A</v>
      </c>
      <c r="BA289" s="402" t="e">
        <f>VLOOKUP(AW289,'Item Master Data'!$A:$G,7,FALSE)</f>
        <v>#N/A</v>
      </c>
      <c r="BB289" s="402"/>
      <c r="BC289" s="402" t="e">
        <f>W289-AY289</f>
        <v>#N/A</v>
      </c>
    </row>
    <row r="290" spans="1:55">
      <c r="A290" s="377"/>
      <c r="B290" s="376"/>
      <c r="C290" s="376"/>
      <c r="D290" s="405" t="s">
        <v>1066</v>
      </c>
      <c r="E290" s="364" t="s">
        <v>4927</v>
      </c>
      <c r="F290" s="405"/>
      <c r="G290" s="405">
        <v>2022</v>
      </c>
      <c r="H290" s="405">
        <v>6</v>
      </c>
      <c r="I290" s="416"/>
      <c r="J290" s="406"/>
      <c r="K290" s="405" t="s">
        <v>1281</v>
      </c>
      <c r="L290" s="406" t="s">
        <v>1266</v>
      </c>
      <c r="M290" s="406">
        <v>44496</v>
      </c>
      <c r="N290" s="406">
        <v>44733</v>
      </c>
      <c r="O290" s="406"/>
      <c r="P290" s="406"/>
      <c r="Q290" s="406"/>
      <c r="R290" s="406"/>
      <c r="S290" s="405" t="s">
        <v>1107</v>
      </c>
      <c r="T290" s="405">
        <v>72</v>
      </c>
      <c r="U290" s="405"/>
      <c r="V290" s="405" t="s">
        <v>1068</v>
      </c>
      <c r="W290" s="407">
        <v>480</v>
      </c>
      <c r="X290" s="371">
        <v>2436</v>
      </c>
      <c r="Y290" s="422">
        <f t="shared" si="56"/>
        <v>1169280</v>
      </c>
      <c r="Z290" s="409">
        <v>0.47</v>
      </c>
      <c r="AA290" s="410">
        <f t="shared" ref="AA290:AA296" si="64">Y290*Z290</f>
        <v>549561.59999999998</v>
      </c>
      <c r="AB290" s="362"/>
      <c r="AC290" s="412">
        <v>0</v>
      </c>
      <c r="AD290" s="405"/>
      <c r="AE290" s="413"/>
      <c r="AF290" s="424">
        <f t="shared" si="63"/>
        <v>549561.59999999998</v>
      </c>
      <c r="AG290" s="405" t="s">
        <v>1069</v>
      </c>
      <c r="AH290" s="395"/>
      <c r="AI290" s="405">
        <v>60</v>
      </c>
      <c r="AJ290" s="405" t="s">
        <v>1267</v>
      </c>
      <c r="AK290" s="405" t="s">
        <v>1117</v>
      </c>
      <c r="AL290" s="425" t="s">
        <v>1268</v>
      </c>
      <c r="AM290" s="405" t="s">
        <v>52</v>
      </c>
      <c r="AN290" s="405" t="s">
        <v>1082</v>
      </c>
      <c r="AO290" s="405"/>
      <c r="AP290" s="405" t="s">
        <v>92</v>
      </c>
      <c r="AQ290" s="405" t="s">
        <v>37</v>
      </c>
      <c r="AR290" s="405"/>
      <c r="AS290" s="369"/>
      <c r="AT290" s="363"/>
      <c r="AU290" s="403"/>
      <c r="AV290" s="402"/>
      <c r="AW290" s="402"/>
      <c r="AX290" s="402"/>
      <c r="AY290" s="402"/>
      <c r="AZ290" s="402"/>
      <c r="BA290" s="402"/>
      <c r="BB290" s="402"/>
      <c r="BC290" s="402"/>
    </row>
    <row r="291" spans="1:55">
      <c r="A291" s="377"/>
      <c r="B291" s="376"/>
      <c r="C291" s="376"/>
      <c r="D291" s="405" t="s">
        <v>1066</v>
      </c>
      <c r="E291" s="364" t="s">
        <v>4927</v>
      </c>
      <c r="F291" s="405" t="s">
        <v>87</v>
      </c>
      <c r="G291" s="405">
        <v>2022</v>
      </c>
      <c r="H291" s="405">
        <v>6</v>
      </c>
      <c r="I291" s="416"/>
      <c r="J291" s="406"/>
      <c r="K291" s="405" t="s">
        <v>1270</v>
      </c>
      <c r="L291" s="406" t="s">
        <v>1266</v>
      </c>
      <c r="M291" s="406">
        <v>44501</v>
      </c>
      <c r="N291" s="406">
        <v>44634</v>
      </c>
      <c r="O291" s="406"/>
      <c r="P291" s="406" t="s">
        <v>4086</v>
      </c>
      <c r="Q291" s="406"/>
      <c r="R291" s="406"/>
      <c r="S291" s="405" t="s">
        <v>1107</v>
      </c>
      <c r="T291" s="405">
        <v>72</v>
      </c>
      <c r="U291" s="405">
        <v>49303156</v>
      </c>
      <c r="V291" s="405" t="s">
        <v>1068</v>
      </c>
      <c r="W291" s="407">
        <v>480</v>
      </c>
      <c r="X291" s="371">
        <v>493</v>
      </c>
      <c r="Y291" s="422">
        <f t="shared" si="56"/>
        <v>236640</v>
      </c>
      <c r="Z291" s="409">
        <v>0.48</v>
      </c>
      <c r="AA291" s="410">
        <f t="shared" si="64"/>
        <v>113587.2</v>
      </c>
      <c r="AB291" s="362"/>
      <c r="AC291" s="412">
        <v>0</v>
      </c>
      <c r="AD291" s="405"/>
      <c r="AE291" s="413"/>
      <c r="AF291" s="424">
        <f t="shared" si="63"/>
        <v>113587.2</v>
      </c>
      <c r="AG291" s="405" t="s">
        <v>1069</v>
      </c>
      <c r="AH291" s="395"/>
      <c r="AI291" s="405">
        <v>60</v>
      </c>
      <c r="AJ291" s="405" t="s">
        <v>4248</v>
      </c>
      <c r="AK291" s="405" t="s">
        <v>1117</v>
      </c>
      <c r="AL291" s="425">
        <v>55113</v>
      </c>
      <c r="AM291" s="405" t="s">
        <v>52</v>
      </c>
      <c r="AN291" s="405" t="s">
        <v>1071</v>
      </c>
      <c r="AO291" s="405"/>
      <c r="AP291" s="405" t="s">
        <v>92</v>
      </c>
      <c r="AQ291" s="405" t="s">
        <v>37</v>
      </c>
      <c r="AR291" s="405"/>
      <c r="AS291" s="369"/>
      <c r="AT291" s="363"/>
      <c r="AU291" s="403"/>
      <c r="AV291" s="402"/>
      <c r="AW291" s="402"/>
      <c r="AX291" s="402"/>
      <c r="AY291" s="402"/>
      <c r="AZ291" s="402"/>
      <c r="BA291" s="402"/>
      <c r="BB291" s="402"/>
      <c r="BC291" s="402"/>
    </row>
    <row r="292" spans="1:55">
      <c r="A292" s="377"/>
      <c r="B292" s="376"/>
      <c r="C292" s="376"/>
      <c r="D292" s="405" t="s">
        <v>1066</v>
      </c>
      <c r="E292" s="364" t="s">
        <v>1285</v>
      </c>
      <c r="F292" s="405"/>
      <c r="G292" s="405">
        <v>2022</v>
      </c>
      <c r="H292" s="405">
        <v>6</v>
      </c>
      <c r="I292" s="416"/>
      <c r="J292" s="406"/>
      <c r="K292" s="405" t="s">
        <v>1286</v>
      </c>
      <c r="L292" s="406" t="s">
        <v>1266</v>
      </c>
      <c r="M292" s="406">
        <v>44511</v>
      </c>
      <c r="N292" s="406">
        <v>44713</v>
      </c>
      <c r="O292" s="406"/>
      <c r="P292" s="406"/>
      <c r="Q292" s="406"/>
      <c r="R292" s="406"/>
      <c r="S292" s="405" t="s">
        <v>1107</v>
      </c>
      <c r="T292" s="405">
        <v>72</v>
      </c>
      <c r="U292" s="405">
        <v>49303155</v>
      </c>
      <c r="V292" s="405" t="s">
        <v>1068</v>
      </c>
      <c r="W292" s="407">
        <v>480</v>
      </c>
      <c r="X292" s="371">
        <v>2436</v>
      </c>
      <c r="Y292" s="422">
        <f t="shared" si="56"/>
        <v>1169280</v>
      </c>
      <c r="Z292" s="409">
        <v>0.49</v>
      </c>
      <c r="AA292" s="410">
        <f t="shared" si="64"/>
        <v>572947.19999999995</v>
      </c>
      <c r="AB292" s="362"/>
      <c r="AC292" s="412">
        <v>0</v>
      </c>
      <c r="AD292" s="405"/>
      <c r="AE292" s="413"/>
      <c r="AF292" s="424">
        <f t="shared" si="63"/>
        <v>572947.19999999995</v>
      </c>
      <c r="AG292" s="405" t="s">
        <v>1069</v>
      </c>
      <c r="AH292" s="395"/>
      <c r="AI292" s="405">
        <v>60</v>
      </c>
      <c r="AJ292" s="405" t="s">
        <v>1267</v>
      </c>
      <c r="AK292" s="405" t="s">
        <v>1117</v>
      </c>
      <c r="AL292" s="425" t="s">
        <v>1268</v>
      </c>
      <c r="AM292" s="405" t="s">
        <v>52</v>
      </c>
      <c r="AN292" s="405" t="s">
        <v>1071</v>
      </c>
      <c r="AO292" s="405"/>
      <c r="AP292" s="405"/>
      <c r="AQ292" s="405" t="s">
        <v>37</v>
      </c>
      <c r="AR292" s="405"/>
      <c r="AS292" s="369"/>
      <c r="AT292" s="363"/>
      <c r="AU292" s="403"/>
      <c r="AV292" s="402">
        <f>U292</f>
        <v>49303155</v>
      </c>
      <c r="AW292" s="402" cm="1">
        <f t="array" ref="AW292">SUM(MID(0&amp;AV292,LARGE(INDEX(ISNUMBER(--MID(AV292,ROW($1:$8),1))*ROW($1:$8),),ROW($1:$8))+1,1)*10^ROW($1:$8)/10)</f>
        <v>49303155</v>
      </c>
      <c r="AX292" s="402" t="str">
        <f>VLOOKUP($AW292,'Item Master Data'!$A:$F,3,FALSE)</f>
        <v>Q.PEAK DUO XL G10 BFG</v>
      </c>
      <c r="AY292" s="402">
        <f>VLOOKUP($AW292,'Item Master Data'!$A:$F,6,FALSE)</f>
        <v>475</v>
      </c>
      <c r="AZ292" s="402">
        <f>X292/BA292</f>
        <v>84</v>
      </c>
      <c r="BA292" s="402">
        <f>VLOOKUP(AW292,'Item Master Data'!$A:$G,7,FALSE)</f>
        <v>29</v>
      </c>
      <c r="BB292" s="402"/>
      <c r="BC292" s="402">
        <f>W292-AY292</f>
        <v>5</v>
      </c>
    </row>
    <row r="293" spans="1:55">
      <c r="A293" s="377"/>
      <c r="B293" s="376"/>
      <c r="C293" s="376"/>
      <c r="D293" s="405" t="s">
        <v>1066</v>
      </c>
      <c r="E293" s="364" t="s">
        <v>1285</v>
      </c>
      <c r="F293" s="405"/>
      <c r="G293" s="405">
        <v>2022</v>
      </c>
      <c r="H293" s="405">
        <v>6</v>
      </c>
      <c r="I293" s="416"/>
      <c r="J293" s="406"/>
      <c r="K293" s="405" t="s">
        <v>1286</v>
      </c>
      <c r="L293" s="406" t="s">
        <v>1266</v>
      </c>
      <c r="M293" s="406">
        <v>44511</v>
      </c>
      <c r="N293" s="406">
        <v>44713</v>
      </c>
      <c r="O293" s="406"/>
      <c r="P293" s="406"/>
      <c r="Q293" s="406"/>
      <c r="R293" s="406"/>
      <c r="S293" s="405" t="s">
        <v>1107</v>
      </c>
      <c r="T293" s="405">
        <v>72</v>
      </c>
      <c r="U293" s="405">
        <v>49303155</v>
      </c>
      <c r="V293" s="405" t="s">
        <v>1068</v>
      </c>
      <c r="W293" s="407">
        <v>480</v>
      </c>
      <c r="X293" s="371">
        <v>15774</v>
      </c>
      <c r="Y293" s="422">
        <f t="shared" si="56"/>
        <v>7571520</v>
      </c>
      <c r="Z293" s="409">
        <v>0.47499999999999998</v>
      </c>
      <c r="AA293" s="410">
        <f t="shared" si="64"/>
        <v>3596472</v>
      </c>
      <c r="AB293" s="362"/>
      <c r="AC293" s="412">
        <v>0</v>
      </c>
      <c r="AD293" s="405"/>
      <c r="AE293" s="413"/>
      <c r="AF293" s="424">
        <f t="shared" si="63"/>
        <v>3596472</v>
      </c>
      <c r="AG293" s="405" t="s">
        <v>1069</v>
      </c>
      <c r="AH293" s="395"/>
      <c r="AI293" s="405">
        <v>60</v>
      </c>
      <c r="AJ293" s="405" t="s">
        <v>1267</v>
      </c>
      <c r="AK293" s="405" t="s">
        <v>1117</v>
      </c>
      <c r="AL293" s="425" t="s">
        <v>1268</v>
      </c>
      <c r="AM293" s="405" t="s">
        <v>52</v>
      </c>
      <c r="AN293" s="405" t="s">
        <v>1071</v>
      </c>
      <c r="AO293" s="405"/>
      <c r="AP293" s="405"/>
      <c r="AQ293" s="405" t="s">
        <v>37</v>
      </c>
      <c r="AR293" s="405"/>
      <c r="AS293" s="369"/>
      <c r="AT293" s="363"/>
      <c r="AU293" s="403"/>
      <c r="AV293" s="402"/>
      <c r="AW293" s="402"/>
      <c r="AX293" s="402"/>
      <c r="AY293" s="402"/>
      <c r="AZ293" s="402"/>
      <c r="BA293" s="402"/>
      <c r="BB293" s="402"/>
      <c r="BC293" s="402"/>
    </row>
    <row r="294" spans="1:55">
      <c r="A294" s="377"/>
      <c r="B294" s="376"/>
      <c r="C294" s="376"/>
      <c r="D294" s="405" t="s">
        <v>1066</v>
      </c>
      <c r="E294" s="364" t="s">
        <v>4927</v>
      </c>
      <c r="F294" s="405" t="s">
        <v>87</v>
      </c>
      <c r="G294" s="405">
        <v>2022</v>
      </c>
      <c r="H294" s="405">
        <v>6</v>
      </c>
      <c r="I294" s="416" t="s">
        <v>4230</v>
      </c>
      <c r="J294" s="406"/>
      <c r="K294" s="405" t="s">
        <v>1294</v>
      </c>
      <c r="L294" s="406" t="s">
        <v>1288</v>
      </c>
      <c r="M294" s="406">
        <v>44509</v>
      </c>
      <c r="N294" s="406">
        <v>44593</v>
      </c>
      <c r="O294" s="406"/>
      <c r="P294" s="406">
        <v>44666</v>
      </c>
      <c r="Q294" s="406"/>
      <c r="R294" s="406"/>
      <c r="S294" s="405" t="s">
        <v>1098</v>
      </c>
      <c r="T294" s="405">
        <v>72</v>
      </c>
      <c r="U294" s="405">
        <v>49303556</v>
      </c>
      <c r="V294" s="405" t="s">
        <v>1068</v>
      </c>
      <c r="W294" s="407">
        <v>480</v>
      </c>
      <c r="X294" s="371">
        <v>1276</v>
      </c>
      <c r="Y294" s="422">
        <f t="shared" si="56"/>
        <v>612480</v>
      </c>
      <c r="Z294" s="409">
        <v>0.47</v>
      </c>
      <c r="AA294" s="410">
        <f t="shared" si="64"/>
        <v>287865.59999999998</v>
      </c>
      <c r="AB294" s="362"/>
      <c r="AC294" s="412">
        <v>0</v>
      </c>
      <c r="AD294" s="405"/>
      <c r="AE294" s="413"/>
      <c r="AF294" s="424">
        <f t="shared" si="63"/>
        <v>287865.59999999998</v>
      </c>
      <c r="AG294" s="405" t="s">
        <v>1069</v>
      </c>
      <c r="AH294" s="395"/>
      <c r="AI294" s="405">
        <v>60</v>
      </c>
      <c r="AJ294" s="405" t="s">
        <v>1289</v>
      </c>
      <c r="AK294" s="405" t="s">
        <v>1082</v>
      </c>
      <c r="AL294" s="425">
        <v>8110</v>
      </c>
      <c r="AM294" s="405" t="s">
        <v>52</v>
      </c>
      <c r="AN294" s="405" t="s">
        <v>1071</v>
      </c>
      <c r="AO294" s="405"/>
      <c r="AP294" s="405"/>
      <c r="AQ294" s="405" t="s">
        <v>37</v>
      </c>
      <c r="AR294" s="405"/>
      <c r="AS294" s="369"/>
      <c r="AT294" s="363"/>
      <c r="AU294" s="403"/>
      <c r="AV294" s="402">
        <f t="shared" ref="AV294:AV301" si="65">U294</f>
        <v>49303556</v>
      </c>
      <c r="AW294" s="402" cm="1">
        <f t="array" ref="AW294">SUM(MID(0&amp;AV294,LARGE(INDEX(ISNUMBER(--MID(AV294,ROW($1:$8),1))*ROW($1:$8),),ROW($1:$8))+1,1)*10^ROW($1:$8)/10)</f>
        <v>49303556</v>
      </c>
      <c r="AX294" s="402" t="str">
        <f>VLOOKUP($AW294,'Item Master Data'!$A:$F,3,FALSE)</f>
        <v>Q.PEAK DUO XL G10 BFG</v>
      </c>
      <c r="AY294" s="402">
        <f>VLOOKUP($AW294,'Item Master Data'!$A:$F,6,FALSE)</f>
        <v>480</v>
      </c>
      <c r="AZ294" s="402">
        <f t="shared" ref="AZ294:AZ301" si="66">X294/BA294</f>
        <v>44</v>
      </c>
      <c r="BA294" s="402">
        <f>VLOOKUP(AW294,'Item Master Data'!$A:$G,7,FALSE)</f>
        <v>29</v>
      </c>
      <c r="BB294" s="402"/>
      <c r="BC294" s="402">
        <f t="shared" ref="BC294:BC301" si="67">W294-AY294</f>
        <v>0</v>
      </c>
    </row>
    <row r="295" spans="1:55">
      <c r="A295" s="377"/>
      <c r="B295" s="376"/>
      <c r="C295" s="376"/>
      <c r="D295" s="405" t="s">
        <v>1066</v>
      </c>
      <c r="E295" s="364" t="s">
        <v>4927</v>
      </c>
      <c r="F295" s="405" t="s">
        <v>87</v>
      </c>
      <c r="G295" s="405">
        <v>2022</v>
      </c>
      <c r="H295" s="405">
        <v>6</v>
      </c>
      <c r="I295" s="416" t="s">
        <v>4230</v>
      </c>
      <c r="J295" s="406"/>
      <c r="K295" s="405" t="s">
        <v>1294</v>
      </c>
      <c r="L295" s="406" t="s">
        <v>1288</v>
      </c>
      <c r="M295" s="406">
        <v>44509</v>
      </c>
      <c r="N295" s="406">
        <v>44593</v>
      </c>
      <c r="O295" s="406"/>
      <c r="P295" s="406">
        <v>44666</v>
      </c>
      <c r="Q295" s="406"/>
      <c r="R295" s="406"/>
      <c r="S295" s="405" t="s">
        <v>1098</v>
      </c>
      <c r="T295" s="405">
        <v>72</v>
      </c>
      <c r="U295" s="405">
        <v>49303556</v>
      </c>
      <c r="V295" s="405" t="s">
        <v>1068</v>
      </c>
      <c r="W295" s="407">
        <v>480</v>
      </c>
      <c r="X295" s="371">
        <f>1276+638+638</f>
        <v>2552</v>
      </c>
      <c r="Y295" s="422">
        <f t="shared" si="56"/>
        <v>1224960</v>
      </c>
      <c r="Z295" s="409">
        <v>0.47</v>
      </c>
      <c r="AA295" s="410">
        <f t="shared" si="64"/>
        <v>575731.19999999995</v>
      </c>
      <c r="AB295" s="362"/>
      <c r="AC295" s="412">
        <v>0</v>
      </c>
      <c r="AD295" s="405"/>
      <c r="AE295" s="413"/>
      <c r="AF295" s="424">
        <f t="shared" si="63"/>
        <v>575731.19999999995</v>
      </c>
      <c r="AG295" s="405" t="s">
        <v>1069</v>
      </c>
      <c r="AH295" s="395"/>
      <c r="AI295" s="405">
        <v>60</v>
      </c>
      <c r="AJ295" s="405" t="s">
        <v>1291</v>
      </c>
      <c r="AK295" s="405" t="s">
        <v>1292</v>
      </c>
      <c r="AL295" s="425">
        <v>18301</v>
      </c>
      <c r="AM295" s="405" t="s">
        <v>52</v>
      </c>
      <c r="AN295" s="405" t="s">
        <v>1071</v>
      </c>
      <c r="AO295" s="405"/>
      <c r="AP295" s="405"/>
      <c r="AQ295" s="405" t="s">
        <v>37</v>
      </c>
      <c r="AR295" s="405"/>
      <c r="AS295" s="369"/>
      <c r="AT295" s="363"/>
      <c r="AU295" s="403"/>
      <c r="AV295" s="402">
        <f t="shared" si="65"/>
        <v>49303556</v>
      </c>
      <c r="AW295" s="402" cm="1">
        <f t="array" ref="AW295">SUM(MID(0&amp;AV295,LARGE(INDEX(ISNUMBER(--MID(AV295,ROW($1:$8),1))*ROW($1:$8),),ROW($1:$8))+1,1)*10^ROW($1:$8)/10)</f>
        <v>49303556</v>
      </c>
      <c r="AX295" s="402" t="str">
        <f>VLOOKUP($AW295,'Item Master Data'!$A:$F,3,FALSE)</f>
        <v>Q.PEAK DUO XL G10 BFG</v>
      </c>
      <c r="AY295" s="402">
        <f>VLOOKUP($AW295,'Item Master Data'!$A:$F,6,FALSE)</f>
        <v>480</v>
      </c>
      <c r="AZ295" s="402">
        <f t="shared" si="66"/>
        <v>88</v>
      </c>
      <c r="BA295" s="402">
        <f>VLOOKUP(AW295,'Item Master Data'!$A:$G,7,FALSE)</f>
        <v>29</v>
      </c>
      <c r="BB295" s="402"/>
      <c r="BC295" s="402">
        <f t="shared" si="67"/>
        <v>0</v>
      </c>
    </row>
    <row r="296" spans="1:55">
      <c r="A296" s="377"/>
      <c r="B296" s="376"/>
      <c r="C296" s="376"/>
      <c r="D296" s="405" t="s">
        <v>1066</v>
      </c>
      <c r="E296" s="364" t="s">
        <v>4927</v>
      </c>
      <c r="F296" s="405" t="s">
        <v>87</v>
      </c>
      <c r="G296" s="405">
        <v>2022</v>
      </c>
      <c r="H296" s="405">
        <v>6</v>
      </c>
      <c r="I296" s="416" t="s">
        <v>4230</v>
      </c>
      <c r="J296" s="406"/>
      <c r="K296" s="405" t="s">
        <v>1295</v>
      </c>
      <c r="L296" s="406" t="s">
        <v>1288</v>
      </c>
      <c r="M296" s="406">
        <v>44568</v>
      </c>
      <c r="N296" s="406">
        <v>44641</v>
      </c>
      <c r="O296" s="406"/>
      <c r="P296" s="406">
        <v>44666</v>
      </c>
      <c r="Q296" s="406"/>
      <c r="R296" s="406"/>
      <c r="S296" s="405" t="s">
        <v>1098</v>
      </c>
      <c r="T296" s="405">
        <v>72</v>
      </c>
      <c r="U296" s="405">
        <v>49303556</v>
      </c>
      <c r="V296" s="405" t="s">
        <v>1068</v>
      </c>
      <c r="W296" s="407">
        <v>480</v>
      </c>
      <c r="X296" s="371">
        <v>3828</v>
      </c>
      <c r="Y296" s="422">
        <f t="shared" si="56"/>
        <v>1837440</v>
      </c>
      <c r="Z296" s="409">
        <v>0.47</v>
      </c>
      <c r="AA296" s="410">
        <f t="shared" si="64"/>
        <v>863596.79999999993</v>
      </c>
      <c r="AB296" s="362"/>
      <c r="AC296" s="412">
        <v>0</v>
      </c>
      <c r="AD296" s="405"/>
      <c r="AE296" s="413"/>
      <c r="AF296" s="424">
        <f t="shared" si="63"/>
        <v>863596.79999999993</v>
      </c>
      <c r="AG296" s="405" t="s">
        <v>1069</v>
      </c>
      <c r="AH296" s="395"/>
      <c r="AI296" s="405">
        <v>60</v>
      </c>
      <c r="AJ296" s="405" t="s">
        <v>1289</v>
      </c>
      <c r="AK296" s="405" t="s">
        <v>1082</v>
      </c>
      <c r="AL296" s="425">
        <v>8110</v>
      </c>
      <c r="AM296" s="405" t="s">
        <v>52</v>
      </c>
      <c r="AN296" s="405" t="s">
        <v>1071</v>
      </c>
      <c r="AO296" s="405"/>
      <c r="AP296" s="405"/>
      <c r="AQ296" s="405" t="s">
        <v>37</v>
      </c>
      <c r="AR296" s="405"/>
      <c r="AS296" s="369"/>
      <c r="AT296" s="363"/>
      <c r="AU296" s="403"/>
      <c r="AV296" s="402">
        <f t="shared" si="65"/>
        <v>49303556</v>
      </c>
      <c r="AW296" s="402" cm="1">
        <f t="array" ref="AW296">SUM(MID(0&amp;AV296,LARGE(INDEX(ISNUMBER(--MID(AV296,ROW($1:$8),1))*ROW($1:$8),),ROW($1:$8))+1,1)*10^ROW($1:$8)/10)</f>
        <v>49303556</v>
      </c>
      <c r="AX296" s="402" t="str">
        <f>VLOOKUP($AW296,'Item Master Data'!$A:$F,3,FALSE)</f>
        <v>Q.PEAK DUO XL G10 BFG</v>
      </c>
      <c r="AY296" s="402">
        <f>VLOOKUP($AW296,'Item Master Data'!$A:$F,6,FALSE)</f>
        <v>480</v>
      </c>
      <c r="AZ296" s="402">
        <f t="shared" si="66"/>
        <v>132</v>
      </c>
      <c r="BA296" s="402">
        <f>VLOOKUP(AW296,'Item Master Data'!$A:$G,7,FALSE)</f>
        <v>29</v>
      </c>
      <c r="BB296" s="402"/>
      <c r="BC296" s="402">
        <f t="shared" si="67"/>
        <v>0</v>
      </c>
    </row>
    <row r="297" spans="1:55">
      <c r="A297" s="377"/>
      <c r="B297" s="376" t="s">
        <v>1186</v>
      </c>
      <c r="C297" s="376" t="s">
        <v>1186</v>
      </c>
      <c r="D297" s="405" t="s">
        <v>1066</v>
      </c>
      <c r="E297" s="364" t="s">
        <v>1093</v>
      </c>
      <c r="F297" s="405"/>
      <c r="G297" s="405">
        <v>2022</v>
      </c>
      <c r="H297" s="405">
        <v>8</v>
      </c>
      <c r="I297" s="416"/>
      <c r="J297" s="406"/>
      <c r="K297" s="405" t="s">
        <v>4263</v>
      </c>
      <c r="L297" s="406" t="s">
        <v>1189</v>
      </c>
      <c r="M297" s="406">
        <v>44673</v>
      </c>
      <c r="N297" s="406">
        <v>44774</v>
      </c>
      <c r="O297" s="406"/>
      <c r="P297" s="406"/>
      <c r="Q297" s="406"/>
      <c r="R297" s="406"/>
      <c r="S297" s="405" t="s">
        <v>1107</v>
      </c>
      <c r="T297" s="405">
        <v>60</v>
      </c>
      <c r="U297" s="405"/>
      <c r="V297" s="405" t="s">
        <v>973</v>
      </c>
      <c r="W297" s="407">
        <v>400</v>
      </c>
      <c r="X297" s="371">
        <v>768</v>
      </c>
      <c r="Y297" s="422">
        <f>X297*W297</f>
        <v>307200</v>
      </c>
      <c r="Z297" s="409">
        <v>0.64</v>
      </c>
      <c r="AA297" s="410">
        <f>Z297*Y297</f>
        <v>196608</v>
      </c>
      <c r="AB297" s="362"/>
      <c r="AC297" s="412">
        <f>AB297*Y297</f>
        <v>0</v>
      </c>
      <c r="AD297" s="405"/>
      <c r="AE297" s="413"/>
      <c r="AF297" s="424">
        <f t="shared" si="63"/>
        <v>196608</v>
      </c>
      <c r="AG297" s="405" t="s">
        <v>1069</v>
      </c>
      <c r="AH297" s="395">
        <v>0</v>
      </c>
      <c r="AI297" s="405">
        <v>60</v>
      </c>
      <c r="AJ297" s="405" t="s">
        <v>1190</v>
      </c>
      <c r="AK297" s="405" t="s">
        <v>1191</v>
      </c>
      <c r="AL297" s="425">
        <v>43125</v>
      </c>
      <c r="AM297" s="405" t="s">
        <v>52</v>
      </c>
      <c r="AN297" s="405" t="s">
        <v>1071</v>
      </c>
      <c r="AO297" s="405"/>
      <c r="AP297" s="405"/>
      <c r="AQ297" s="405"/>
      <c r="AR297" s="405"/>
      <c r="AS297" s="369"/>
      <c r="AT297" s="363"/>
      <c r="AU297" s="403"/>
      <c r="AV297" s="402">
        <f t="shared" si="65"/>
        <v>0</v>
      </c>
      <c r="AW297" s="402" cm="1">
        <f t="array" ref="AW297">SUM(MID(0&amp;AV297,LARGE(INDEX(ISNUMBER(--MID(AV297,ROW($1:$8),1))*ROW($1:$8),),ROW($1:$8))+1,1)*10^ROW($1:$8)/10)</f>
        <v>0</v>
      </c>
      <c r="AX297" s="402" t="e">
        <f>VLOOKUP($AW297,'Item Master Data'!$A:$F,3,FALSE)</f>
        <v>#N/A</v>
      </c>
      <c r="AY297" s="402" t="e">
        <f>VLOOKUP($AW297,'Item Master Data'!$A:$F,6,FALSE)</f>
        <v>#N/A</v>
      </c>
      <c r="AZ297" s="402" t="e">
        <f t="shared" si="66"/>
        <v>#N/A</v>
      </c>
      <c r="BA297" s="402" t="e">
        <f>VLOOKUP(AW297,'Item Master Data'!$A:$G,7,FALSE)</f>
        <v>#N/A</v>
      </c>
      <c r="BB297" s="402"/>
      <c r="BC297" s="402" t="e">
        <f t="shared" si="67"/>
        <v>#N/A</v>
      </c>
    </row>
    <row r="298" spans="1:55">
      <c r="A298" s="377"/>
      <c r="B298" s="376"/>
      <c r="C298" s="376"/>
      <c r="D298" s="405" t="s">
        <v>1066</v>
      </c>
      <c r="E298" s="364" t="s">
        <v>4927</v>
      </c>
      <c r="F298" s="405" t="s">
        <v>87</v>
      </c>
      <c r="G298" s="405">
        <v>2022</v>
      </c>
      <c r="H298" s="405">
        <v>6</v>
      </c>
      <c r="I298" s="416" t="s">
        <v>4230</v>
      </c>
      <c r="J298" s="406"/>
      <c r="K298" s="405" t="s">
        <v>1296</v>
      </c>
      <c r="L298" s="406" t="s">
        <v>1288</v>
      </c>
      <c r="M298" s="406">
        <v>44568</v>
      </c>
      <c r="N298" s="406">
        <v>44568</v>
      </c>
      <c r="O298" s="406"/>
      <c r="P298" s="406">
        <v>44666</v>
      </c>
      <c r="Q298" s="406"/>
      <c r="R298" s="406"/>
      <c r="S298" s="405" t="s">
        <v>1098</v>
      </c>
      <c r="T298" s="405">
        <v>72</v>
      </c>
      <c r="U298" s="405">
        <v>49303556</v>
      </c>
      <c r="V298" s="405" t="s">
        <v>1068</v>
      </c>
      <c r="W298" s="407">
        <v>480</v>
      </c>
      <c r="X298" s="371">
        <v>3828</v>
      </c>
      <c r="Y298" s="422">
        <f t="shared" ref="Y298:Y325" si="68">W298*X298</f>
        <v>1837440</v>
      </c>
      <c r="Z298" s="409">
        <v>0.47</v>
      </c>
      <c r="AA298" s="410">
        <f>Y298*Z298</f>
        <v>863596.79999999993</v>
      </c>
      <c r="AB298" s="362"/>
      <c r="AC298" s="412">
        <v>0</v>
      </c>
      <c r="AD298" s="405"/>
      <c r="AE298" s="413"/>
      <c r="AF298" s="424">
        <f t="shared" si="63"/>
        <v>863596.79999999993</v>
      </c>
      <c r="AG298" s="405" t="s">
        <v>1069</v>
      </c>
      <c r="AH298" s="395"/>
      <c r="AI298" s="405">
        <v>60</v>
      </c>
      <c r="AJ298" s="405" t="s">
        <v>1289</v>
      </c>
      <c r="AK298" s="405" t="s">
        <v>1082</v>
      </c>
      <c r="AL298" s="425">
        <v>8110</v>
      </c>
      <c r="AM298" s="405" t="s">
        <v>52</v>
      </c>
      <c r="AN298" s="405" t="s">
        <v>1071</v>
      </c>
      <c r="AO298" s="405"/>
      <c r="AP298" s="405"/>
      <c r="AQ298" s="405" t="s">
        <v>37</v>
      </c>
      <c r="AR298" s="405"/>
      <c r="AS298" s="369"/>
      <c r="AT298" s="363"/>
      <c r="AU298" s="403"/>
      <c r="AV298" s="402">
        <f t="shared" si="65"/>
        <v>49303556</v>
      </c>
      <c r="AW298" s="402" cm="1">
        <f t="array" ref="AW298">SUM(MID(0&amp;AV298,LARGE(INDEX(ISNUMBER(--MID(AV298,ROW($1:$8),1))*ROW($1:$8),),ROW($1:$8))+1,1)*10^ROW($1:$8)/10)</f>
        <v>49303556</v>
      </c>
      <c r="AX298" s="402" t="str">
        <f>VLOOKUP($AW298,'Item Master Data'!$A:$F,3,FALSE)</f>
        <v>Q.PEAK DUO XL G10 BFG</v>
      </c>
      <c r="AY298" s="402">
        <f>VLOOKUP($AW298,'Item Master Data'!$A:$F,6,FALSE)</f>
        <v>480</v>
      </c>
      <c r="AZ298" s="402">
        <f t="shared" si="66"/>
        <v>132</v>
      </c>
      <c r="BA298" s="402">
        <f>VLOOKUP(AW298,'Item Master Data'!$A:$G,7,FALSE)</f>
        <v>29</v>
      </c>
      <c r="BB298" s="402"/>
      <c r="BC298" s="402">
        <f t="shared" si="67"/>
        <v>0</v>
      </c>
    </row>
    <row r="299" spans="1:55">
      <c r="A299" s="377"/>
      <c r="B299" s="376"/>
      <c r="C299" s="376"/>
      <c r="D299" s="405" t="s">
        <v>1066</v>
      </c>
      <c r="E299" s="364" t="s">
        <v>4927</v>
      </c>
      <c r="F299" s="405" t="s">
        <v>87</v>
      </c>
      <c r="G299" s="405">
        <v>2022</v>
      </c>
      <c r="H299" s="405">
        <v>6</v>
      </c>
      <c r="I299" s="416"/>
      <c r="J299" s="406"/>
      <c r="K299" s="405" t="s">
        <v>1293</v>
      </c>
      <c r="L299" s="406" t="s">
        <v>1288</v>
      </c>
      <c r="M299" s="406">
        <v>44655</v>
      </c>
      <c r="N299" s="406">
        <v>44680</v>
      </c>
      <c r="O299" s="406"/>
      <c r="P299" s="406">
        <v>44663</v>
      </c>
      <c r="Q299" s="406"/>
      <c r="R299" s="406"/>
      <c r="S299" s="405" t="s">
        <v>1098</v>
      </c>
      <c r="T299" s="405">
        <v>72</v>
      </c>
      <c r="U299" s="405">
        <v>49303556</v>
      </c>
      <c r="V299" s="405" t="s">
        <v>1068</v>
      </c>
      <c r="W299" s="407">
        <v>480</v>
      </c>
      <c r="X299" s="371">
        <v>7656</v>
      </c>
      <c r="Y299" s="422">
        <f t="shared" si="68"/>
        <v>3674880</v>
      </c>
      <c r="Z299" s="409">
        <v>0.505</v>
      </c>
      <c r="AA299" s="410">
        <f>Y299*Z299</f>
        <v>1855814.4</v>
      </c>
      <c r="AB299" s="362"/>
      <c r="AC299" s="412">
        <v>0</v>
      </c>
      <c r="AD299" s="405"/>
      <c r="AE299" s="413"/>
      <c r="AF299" s="424">
        <f t="shared" si="63"/>
        <v>1855814.4</v>
      </c>
      <c r="AG299" s="405" t="s">
        <v>1069</v>
      </c>
      <c r="AH299" s="395"/>
      <c r="AI299" s="405">
        <v>60</v>
      </c>
      <c r="AJ299" s="405" t="s">
        <v>1289</v>
      </c>
      <c r="AK299" s="405" t="s">
        <v>1082</v>
      </c>
      <c r="AL299" s="425">
        <v>8110</v>
      </c>
      <c r="AM299" s="405" t="s">
        <v>52</v>
      </c>
      <c r="AN299" s="405" t="s">
        <v>1071</v>
      </c>
      <c r="AO299" s="405"/>
      <c r="AP299" s="405"/>
      <c r="AQ299" s="405" t="s">
        <v>37</v>
      </c>
      <c r="AR299" s="405"/>
      <c r="AS299" s="369"/>
      <c r="AT299" s="363"/>
      <c r="AU299" s="403"/>
      <c r="AV299" s="402">
        <f t="shared" si="65"/>
        <v>49303556</v>
      </c>
      <c r="AW299" s="402" cm="1">
        <f t="array" ref="AW299">SUM(MID(0&amp;AV299,LARGE(INDEX(ISNUMBER(--MID(AV299,ROW($1:$8),1))*ROW($1:$8),),ROW($1:$8))+1,1)*10^ROW($1:$8)/10)</f>
        <v>49303556</v>
      </c>
      <c r="AX299" s="402" t="str">
        <f>VLOOKUP($AW299,'Item Master Data'!$A:$F,3,FALSE)</f>
        <v>Q.PEAK DUO XL G10 BFG</v>
      </c>
      <c r="AY299" s="402">
        <f>VLOOKUP($AW299,'Item Master Data'!$A:$F,6,FALSE)</f>
        <v>480</v>
      </c>
      <c r="AZ299" s="402">
        <f t="shared" si="66"/>
        <v>264</v>
      </c>
      <c r="BA299" s="402">
        <f>VLOOKUP(AW299,'Item Master Data'!$A:$G,7,FALSE)</f>
        <v>29</v>
      </c>
      <c r="BB299" s="402"/>
      <c r="BC299" s="402">
        <f t="shared" si="67"/>
        <v>0</v>
      </c>
    </row>
    <row r="300" spans="1:55">
      <c r="A300" s="377"/>
      <c r="B300" s="376"/>
      <c r="C300" s="376"/>
      <c r="D300" s="405" t="s">
        <v>1066</v>
      </c>
      <c r="E300" s="364" t="s">
        <v>1229</v>
      </c>
      <c r="F300" s="405"/>
      <c r="G300" s="405">
        <v>2022</v>
      </c>
      <c r="H300" s="405">
        <v>8</v>
      </c>
      <c r="I300" s="416"/>
      <c r="J300" s="406"/>
      <c r="K300" s="405" t="s">
        <v>1230</v>
      </c>
      <c r="L300" s="406" t="s">
        <v>1205</v>
      </c>
      <c r="M300" s="406">
        <v>44516</v>
      </c>
      <c r="N300" s="406">
        <v>44655</v>
      </c>
      <c r="O300" s="406">
        <v>44774</v>
      </c>
      <c r="P300" s="406"/>
      <c r="Q300" s="406"/>
      <c r="R300" s="406"/>
      <c r="S300" s="405" t="s">
        <v>1107</v>
      </c>
      <c r="T300" s="405">
        <v>60</v>
      </c>
      <c r="U300" s="405">
        <v>49401140</v>
      </c>
      <c r="V300" s="405" t="s">
        <v>973</v>
      </c>
      <c r="W300" s="407">
        <v>400</v>
      </c>
      <c r="X300" s="371">
        <v>2304</v>
      </c>
      <c r="Y300" s="422">
        <f t="shared" si="68"/>
        <v>921600</v>
      </c>
      <c r="Z300" s="409">
        <v>0.52</v>
      </c>
      <c r="AA300" s="410">
        <f>Z300*Y300</f>
        <v>479232</v>
      </c>
      <c r="AB300" s="362"/>
      <c r="AC300" s="412">
        <f>AB300*Y300</f>
        <v>0</v>
      </c>
      <c r="AD300" s="405"/>
      <c r="AE300" s="413"/>
      <c r="AF300" s="424">
        <f t="shared" si="63"/>
        <v>479232</v>
      </c>
      <c r="AG300" s="405" t="s">
        <v>1069</v>
      </c>
      <c r="AH300" s="395">
        <v>0</v>
      </c>
      <c r="AI300" s="405">
        <v>60</v>
      </c>
      <c r="AJ300" s="405" t="s">
        <v>1206</v>
      </c>
      <c r="AK300" s="405" t="s">
        <v>1207</v>
      </c>
      <c r="AL300" s="425" t="s">
        <v>1208</v>
      </c>
      <c r="AM300" s="405" t="s">
        <v>52</v>
      </c>
      <c r="AN300" s="405" t="s">
        <v>1071</v>
      </c>
      <c r="AO300" s="405"/>
      <c r="AP300" s="405"/>
      <c r="AQ300" s="405" t="s">
        <v>1083</v>
      </c>
      <c r="AR300" s="405"/>
      <c r="AS300" s="369" t="s">
        <v>1073</v>
      </c>
      <c r="AT300" s="363" t="s">
        <v>1073</v>
      </c>
      <c r="AU300" s="403"/>
      <c r="AV300" s="402">
        <f t="shared" si="65"/>
        <v>49401140</v>
      </c>
      <c r="AW300" s="402" cm="1">
        <f t="array" ref="AW300">SUM(MID(0&amp;AV300,LARGE(INDEX(ISNUMBER(--MID(AV300,ROW($1:$8),1))*ROW($1:$8),),ROW($1:$8))+1,1)*10^ROW($1:$8)/10)</f>
        <v>49401140</v>
      </c>
      <c r="AX300" s="402" t="str">
        <f>VLOOKUP($AW300,'Item Master Data'!$A:$F,3,FALSE)</f>
        <v>Q.PEAK DUO BLK ML G10.a+</v>
      </c>
      <c r="AY300" s="402">
        <f>VLOOKUP($AW300,'Item Master Data'!$A:$F,6,FALSE)</f>
        <v>400</v>
      </c>
      <c r="AZ300" s="402">
        <f t="shared" si="66"/>
        <v>72</v>
      </c>
      <c r="BA300" s="402">
        <f>VLOOKUP(AW300,'Item Master Data'!$A:$G,7,FALSE)</f>
        <v>32</v>
      </c>
      <c r="BB300" s="402"/>
      <c r="BC300" s="402">
        <f t="shared" si="67"/>
        <v>0</v>
      </c>
    </row>
    <row r="301" spans="1:55">
      <c r="A301" s="377"/>
      <c r="B301" s="376"/>
      <c r="C301" s="376"/>
      <c r="D301" s="405" t="s">
        <v>1066</v>
      </c>
      <c r="E301" s="364" t="s">
        <v>4927</v>
      </c>
      <c r="F301" s="405" t="s">
        <v>87</v>
      </c>
      <c r="G301" s="405">
        <v>2022</v>
      </c>
      <c r="H301" s="405">
        <v>6</v>
      </c>
      <c r="I301" s="416"/>
      <c r="J301" s="406"/>
      <c r="K301" s="405" t="s">
        <v>1293</v>
      </c>
      <c r="L301" s="406" t="s">
        <v>1288</v>
      </c>
      <c r="M301" s="406">
        <v>44655</v>
      </c>
      <c r="N301" s="406">
        <v>44680</v>
      </c>
      <c r="O301" s="406"/>
      <c r="P301" s="406">
        <v>44663</v>
      </c>
      <c r="Q301" s="406"/>
      <c r="R301" s="406"/>
      <c r="S301" s="405" t="s">
        <v>1098</v>
      </c>
      <c r="T301" s="405">
        <v>72</v>
      </c>
      <c r="U301" s="405">
        <v>49303556</v>
      </c>
      <c r="V301" s="405" t="s">
        <v>1068</v>
      </c>
      <c r="W301" s="407">
        <v>480</v>
      </c>
      <c r="X301" s="371">
        <v>2900</v>
      </c>
      <c r="Y301" s="422">
        <f t="shared" si="68"/>
        <v>1392000</v>
      </c>
      <c r="Z301" s="409">
        <v>0.505</v>
      </c>
      <c r="AA301" s="410">
        <f>Y301*Z301</f>
        <v>702960</v>
      </c>
      <c r="AB301" s="362"/>
      <c r="AC301" s="412">
        <v>0</v>
      </c>
      <c r="AD301" s="405"/>
      <c r="AE301" s="413"/>
      <c r="AF301" s="424">
        <f t="shared" si="63"/>
        <v>702960</v>
      </c>
      <c r="AG301" s="405" t="s">
        <v>1069</v>
      </c>
      <c r="AH301" s="395"/>
      <c r="AI301" s="405">
        <v>60</v>
      </c>
      <c r="AJ301" s="405" t="s">
        <v>1291</v>
      </c>
      <c r="AK301" s="405" t="s">
        <v>1292</v>
      </c>
      <c r="AL301" s="425">
        <v>18301</v>
      </c>
      <c r="AM301" s="405" t="s">
        <v>52</v>
      </c>
      <c r="AN301" s="405" t="s">
        <v>1071</v>
      </c>
      <c r="AO301" s="405"/>
      <c r="AP301" s="405"/>
      <c r="AQ301" s="405" t="s">
        <v>37</v>
      </c>
      <c r="AR301" s="405"/>
      <c r="AS301" s="369"/>
      <c r="AT301" s="363"/>
      <c r="AU301" s="403"/>
      <c r="AV301" s="402">
        <f t="shared" si="65"/>
        <v>49303556</v>
      </c>
      <c r="AW301" s="402" cm="1">
        <f t="array" ref="AW301">SUM(MID(0&amp;AV301,LARGE(INDEX(ISNUMBER(--MID(AV301,ROW($1:$8),1))*ROW($1:$8),),ROW($1:$8))+1,1)*10^ROW($1:$8)/10)</f>
        <v>49303556</v>
      </c>
      <c r="AX301" s="402" t="str">
        <f>VLOOKUP($AW301,'Item Master Data'!$A:$F,3,FALSE)</f>
        <v>Q.PEAK DUO XL G10 BFG</v>
      </c>
      <c r="AY301" s="402">
        <f>VLOOKUP($AW301,'Item Master Data'!$A:$F,6,FALSE)</f>
        <v>480</v>
      </c>
      <c r="AZ301" s="402">
        <f t="shared" si="66"/>
        <v>100</v>
      </c>
      <c r="BA301" s="402">
        <f>VLOOKUP(AW301,'Item Master Data'!$A:$G,7,FALSE)</f>
        <v>29</v>
      </c>
      <c r="BB301" s="402"/>
      <c r="BC301" s="402">
        <f t="shared" si="67"/>
        <v>0</v>
      </c>
    </row>
    <row r="302" spans="1:55">
      <c r="A302" s="377"/>
      <c r="B302" s="376"/>
      <c r="C302" s="376"/>
      <c r="D302" s="405" t="s">
        <v>1066</v>
      </c>
      <c r="E302" s="364" t="s">
        <v>4925</v>
      </c>
      <c r="F302" s="405" t="s">
        <v>87</v>
      </c>
      <c r="G302" s="405">
        <v>2022</v>
      </c>
      <c r="H302" s="405">
        <v>6</v>
      </c>
      <c r="I302" s="416"/>
      <c r="J302" s="406"/>
      <c r="K302" s="405" t="s">
        <v>1297</v>
      </c>
      <c r="L302" s="406" t="s">
        <v>1298</v>
      </c>
      <c r="M302" s="406">
        <v>44572</v>
      </c>
      <c r="N302" s="406">
        <v>44699</v>
      </c>
      <c r="O302" s="406"/>
      <c r="P302" s="406"/>
      <c r="Q302" s="406"/>
      <c r="R302" s="406"/>
      <c r="S302" s="405" t="s">
        <v>1067</v>
      </c>
      <c r="T302" s="405">
        <v>72</v>
      </c>
      <c r="U302" s="405">
        <v>49303155</v>
      </c>
      <c r="V302" s="405" t="s">
        <v>1068</v>
      </c>
      <c r="W302" s="407">
        <v>480</v>
      </c>
      <c r="X302" s="371">
        <v>638</v>
      </c>
      <c r="Y302" s="422">
        <f t="shared" si="68"/>
        <v>306240</v>
      </c>
      <c r="Z302" s="409">
        <v>0.47</v>
      </c>
      <c r="AA302" s="410">
        <f>Y302*Z302</f>
        <v>143932.79999999999</v>
      </c>
      <c r="AB302" s="362"/>
      <c r="AC302" s="412">
        <v>0</v>
      </c>
      <c r="AD302" s="405"/>
      <c r="AE302" s="413"/>
      <c r="AF302" s="424">
        <f t="shared" si="63"/>
        <v>143932.79999999999</v>
      </c>
      <c r="AG302" s="405" t="s">
        <v>1069</v>
      </c>
      <c r="AH302" s="395"/>
      <c r="AI302" s="405">
        <v>60</v>
      </c>
      <c r="AJ302" s="405" t="s">
        <v>1181</v>
      </c>
      <c r="AK302" s="405" t="s">
        <v>1130</v>
      </c>
      <c r="AL302" s="425">
        <v>14624</v>
      </c>
      <c r="AM302" s="405" t="s">
        <v>52</v>
      </c>
      <c r="AN302" s="405" t="s">
        <v>1071</v>
      </c>
      <c r="AO302" s="405"/>
      <c r="AP302" s="405"/>
      <c r="AQ302" s="405" t="s">
        <v>37</v>
      </c>
      <c r="AR302" s="405"/>
      <c r="AS302" s="369"/>
      <c r="AT302" s="363"/>
      <c r="AU302" s="403"/>
      <c r="AV302" s="402"/>
      <c r="AW302" s="402"/>
      <c r="AX302" s="402"/>
      <c r="AY302" s="402"/>
      <c r="AZ302" s="402"/>
      <c r="BA302" s="402"/>
      <c r="BB302" s="402"/>
      <c r="BC302" s="402"/>
    </row>
    <row r="303" spans="1:55">
      <c r="A303" s="377"/>
      <c r="B303" s="376"/>
      <c r="C303" s="376"/>
      <c r="D303" s="405" t="s">
        <v>1066</v>
      </c>
      <c r="E303" s="364" t="s">
        <v>4929</v>
      </c>
      <c r="F303" s="405" t="s">
        <v>87</v>
      </c>
      <c r="G303" s="405">
        <v>2022</v>
      </c>
      <c r="H303" s="405">
        <v>8</v>
      </c>
      <c r="I303" s="416"/>
      <c r="J303" s="406"/>
      <c r="K303" s="405" t="s">
        <v>1299</v>
      </c>
      <c r="L303" s="406" t="s">
        <v>1298</v>
      </c>
      <c r="M303" s="406">
        <v>44655</v>
      </c>
      <c r="N303" s="406">
        <v>44774</v>
      </c>
      <c r="O303" s="406"/>
      <c r="P303" s="406"/>
      <c r="Q303" s="406"/>
      <c r="R303" s="406"/>
      <c r="S303" s="405" t="s">
        <v>1067</v>
      </c>
      <c r="T303" s="405">
        <v>72</v>
      </c>
      <c r="U303" s="405">
        <v>49303155</v>
      </c>
      <c r="V303" s="405" t="s">
        <v>1068</v>
      </c>
      <c r="W303" s="407">
        <v>480</v>
      </c>
      <c r="X303" s="371">
        <v>638</v>
      </c>
      <c r="Y303" s="422">
        <f t="shared" si="68"/>
        <v>306240</v>
      </c>
      <c r="Z303" s="409">
        <v>0.5</v>
      </c>
      <c r="AA303" s="410">
        <f>Y303*Z303</f>
        <v>153120</v>
      </c>
      <c r="AB303" s="362"/>
      <c r="AC303" s="412">
        <v>0</v>
      </c>
      <c r="AD303" s="405"/>
      <c r="AE303" s="413"/>
      <c r="AF303" s="424">
        <f t="shared" si="63"/>
        <v>153120</v>
      </c>
      <c r="AG303" s="405" t="s">
        <v>1069</v>
      </c>
      <c r="AH303" s="395"/>
      <c r="AI303" s="405">
        <v>60</v>
      </c>
      <c r="AJ303" s="405" t="s">
        <v>1181</v>
      </c>
      <c r="AK303" s="405" t="s">
        <v>1130</v>
      </c>
      <c r="AL303" s="425">
        <v>14624</v>
      </c>
      <c r="AM303" s="405" t="s">
        <v>52</v>
      </c>
      <c r="AN303" s="405" t="s">
        <v>1071</v>
      </c>
      <c r="AO303" s="405"/>
      <c r="AP303" s="405"/>
      <c r="AQ303" s="405" t="s">
        <v>37</v>
      </c>
      <c r="AR303" s="405"/>
      <c r="AS303" s="369"/>
      <c r="AT303" s="363"/>
      <c r="AU303" s="403"/>
      <c r="AV303" s="402"/>
      <c r="AW303" s="402"/>
      <c r="AX303" s="402"/>
      <c r="AY303" s="402"/>
      <c r="AZ303" s="402"/>
      <c r="BA303" s="402"/>
      <c r="BB303" s="402"/>
      <c r="BC303" s="402"/>
    </row>
    <row r="304" spans="1:55">
      <c r="A304" s="377"/>
      <c r="B304" s="376"/>
      <c r="C304" s="376"/>
      <c r="D304" s="405" t="s">
        <v>1066</v>
      </c>
      <c r="E304" s="364"/>
      <c r="F304" s="405" t="s">
        <v>1074</v>
      </c>
      <c r="G304" s="405">
        <v>2022</v>
      </c>
      <c r="H304" s="405">
        <v>8</v>
      </c>
      <c r="I304" s="416" t="s">
        <v>1087</v>
      </c>
      <c r="J304" s="406"/>
      <c r="K304" s="405" t="s">
        <v>1379</v>
      </c>
      <c r="L304" s="406" t="s">
        <v>1380</v>
      </c>
      <c r="M304" s="406">
        <v>44532</v>
      </c>
      <c r="N304" s="406">
        <v>44682</v>
      </c>
      <c r="O304" s="406"/>
      <c r="P304" s="406"/>
      <c r="Q304" s="406"/>
      <c r="R304" s="406"/>
      <c r="S304" s="405" t="s">
        <v>1107</v>
      </c>
      <c r="T304" s="405">
        <v>72</v>
      </c>
      <c r="U304" s="405" t="s">
        <v>1381</v>
      </c>
      <c r="V304" s="405" t="s">
        <v>1194</v>
      </c>
      <c r="W304" s="407">
        <v>480</v>
      </c>
      <c r="X304" s="371">
        <v>3741</v>
      </c>
      <c r="Y304" s="422">
        <f t="shared" si="68"/>
        <v>1795680</v>
      </c>
      <c r="Z304" s="409">
        <v>0.44500000000000001</v>
      </c>
      <c r="AA304" s="410">
        <f>Z304*Y304</f>
        <v>799077.6</v>
      </c>
      <c r="AB304" s="362"/>
      <c r="AC304" s="412">
        <f>AB304*Y304</f>
        <v>0</v>
      </c>
      <c r="AD304" s="405"/>
      <c r="AE304" s="413"/>
      <c r="AF304" s="424">
        <f t="shared" si="63"/>
        <v>799077.6</v>
      </c>
      <c r="AG304" s="405" t="s">
        <v>47</v>
      </c>
      <c r="AH304" s="395">
        <v>10</v>
      </c>
      <c r="AI304" s="405">
        <v>30</v>
      </c>
      <c r="AJ304" s="405" t="s">
        <v>1382</v>
      </c>
      <c r="AK304" s="405" t="s">
        <v>1207</v>
      </c>
      <c r="AL304" s="425">
        <v>46148</v>
      </c>
      <c r="AM304" s="405" t="s">
        <v>52</v>
      </c>
      <c r="AN304" s="405" t="s">
        <v>1082</v>
      </c>
      <c r="AO304" s="405"/>
      <c r="AP304" s="405" t="s">
        <v>38</v>
      </c>
      <c r="AQ304" s="405" t="s">
        <v>1083</v>
      </c>
      <c r="AR304" s="405"/>
      <c r="AS304" s="369" t="s">
        <v>1073</v>
      </c>
      <c r="AT304" s="363" t="s">
        <v>1073</v>
      </c>
      <c r="AU304" s="403"/>
      <c r="AV304" s="402" t="str">
        <f t="shared" ref="AV304:AV318" si="69">U304</f>
        <v>30397872F</v>
      </c>
      <c r="AW304" s="402" cm="1">
        <f t="array" ref="AW304">SUM(MID(0&amp;AV304,LARGE(INDEX(ISNUMBER(--MID(AV304,ROW($1:$8),1))*ROW($1:$8),),ROW($1:$8))+1,1)*10^ROW($1:$8)/10)</f>
        <v>30397872</v>
      </c>
      <c r="AX304" s="402" t="str">
        <f>VLOOKUP($AW304,'Item Master Data'!$A:$F,3,FALSE)</f>
        <v>Q.PEAK DUO XL G10 BFG</v>
      </c>
      <c r="AY304" s="402">
        <f>VLOOKUP($AW304,'Item Master Data'!$A:$F,6,FALSE)</f>
        <v>480</v>
      </c>
      <c r="AZ304" s="402">
        <f t="shared" ref="AZ304:AZ318" si="70">X304/BA304</f>
        <v>129</v>
      </c>
      <c r="BA304" s="402">
        <f>VLOOKUP(AW304,'Item Master Data'!$A:$G,7,FALSE)</f>
        <v>29</v>
      </c>
      <c r="BB304" s="402"/>
      <c r="BC304" s="402">
        <f t="shared" ref="BC304:BC318" si="71">W304-AY304</f>
        <v>0</v>
      </c>
    </row>
    <row r="305" spans="1:55">
      <c r="A305" s="377"/>
      <c r="B305" s="376"/>
      <c r="C305" s="376"/>
      <c r="D305" s="405" t="s">
        <v>1066</v>
      </c>
      <c r="E305" s="364" t="s">
        <v>4930</v>
      </c>
      <c r="F305" s="405" t="s">
        <v>1074</v>
      </c>
      <c r="G305" s="405">
        <v>2022</v>
      </c>
      <c r="H305" s="405">
        <v>8</v>
      </c>
      <c r="I305" s="416">
        <v>2005153</v>
      </c>
      <c r="J305" s="406"/>
      <c r="K305" s="405" t="s">
        <v>1408</v>
      </c>
      <c r="L305" s="406" t="s">
        <v>1409</v>
      </c>
      <c r="M305" s="406">
        <v>44599</v>
      </c>
      <c r="N305" s="406">
        <v>44682</v>
      </c>
      <c r="O305" s="406"/>
      <c r="P305" s="406" t="s">
        <v>1410</v>
      </c>
      <c r="Q305" s="406"/>
      <c r="R305" s="406"/>
      <c r="S305" s="405" t="s">
        <v>1067</v>
      </c>
      <c r="T305" s="405">
        <v>72</v>
      </c>
      <c r="U305" s="405" t="s">
        <v>1079</v>
      </c>
      <c r="V305" s="405" t="s">
        <v>1068</v>
      </c>
      <c r="W305" s="407">
        <v>475</v>
      </c>
      <c r="X305" s="371">
        <v>4060</v>
      </c>
      <c r="Y305" s="422">
        <f t="shared" si="68"/>
        <v>1928500</v>
      </c>
      <c r="Z305" s="409">
        <v>0.47499999999999998</v>
      </c>
      <c r="AA305" s="410">
        <f>Z305*Y305</f>
        <v>916037.5</v>
      </c>
      <c r="AB305" s="362"/>
      <c r="AC305" s="412">
        <f>AB305*Y305</f>
        <v>0</v>
      </c>
      <c r="AD305" s="405"/>
      <c r="AE305" s="413"/>
      <c r="AF305" s="424">
        <f t="shared" si="63"/>
        <v>916037.5</v>
      </c>
      <c r="AG305" s="405" t="s">
        <v>47</v>
      </c>
      <c r="AH305" s="395">
        <v>0</v>
      </c>
      <c r="AI305" s="405">
        <v>45</v>
      </c>
      <c r="AJ305" s="405" t="s">
        <v>1411</v>
      </c>
      <c r="AK305" s="405" t="s">
        <v>1092</v>
      </c>
      <c r="AL305" s="425">
        <v>2766</v>
      </c>
      <c r="AM305" s="405" t="s">
        <v>52</v>
      </c>
      <c r="AN305" s="405" t="s">
        <v>1082</v>
      </c>
      <c r="AO305" s="405"/>
      <c r="AP305" s="405" t="s">
        <v>38</v>
      </c>
      <c r="AQ305" s="405" t="s">
        <v>1083</v>
      </c>
      <c r="AR305" s="405"/>
      <c r="AS305" s="369" t="s">
        <v>1084</v>
      </c>
      <c r="AT305" s="363" t="s">
        <v>1073</v>
      </c>
      <c r="AU305" s="403"/>
      <c r="AV305" s="402" t="str">
        <f t="shared" si="69"/>
        <v>12005833C</v>
      </c>
      <c r="AW305" s="402" cm="1">
        <f t="array" ref="AW305">SUM(MID(0&amp;AV305,LARGE(INDEX(ISNUMBER(--MID(AV305,ROW($1:$8),1))*ROW($1:$8),),ROW($1:$8))+1,1)*10^ROW($1:$8)/10)</f>
        <v>12005833</v>
      </c>
      <c r="AX305" s="402" t="str">
        <f>VLOOKUP($AW305,'Item Master Data'!$A:$F,3,FALSE)</f>
        <v>Q.PEAK DUO XL G10 BFG</v>
      </c>
      <c r="AY305" s="402">
        <f>VLOOKUP($AW305,'Item Master Data'!$A:$F,6,FALSE)</f>
        <v>475</v>
      </c>
      <c r="AZ305" s="402">
        <f t="shared" si="70"/>
        <v>135.33333333333334</v>
      </c>
      <c r="BA305" s="402">
        <f>VLOOKUP(AW305,'Item Master Data'!$A:$G,7,FALSE)</f>
        <v>30</v>
      </c>
      <c r="BB305" s="402"/>
      <c r="BC305" s="402">
        <f t="shared" si="71"/>
        <v>0</v>
      </c>
    </row>
    <row r="306" spans="1:55">
      <c r="A306" s="377"/>
      <c r="B306" s="376"/>
      <c r="C306" s="376"/>
      <c r="D306" s="405" t="s">
        <v>1066</v>
      </c>
      <c r="E306" s="364" t="s">
        <v>4929</v>
      </c>
      <c r="F306" s="405" t="s">
        <v>87</v>
      </c>
      <c r="G306" s="405">
        <v>2022</v>
      </c>
      <c r="H306" s="405">
        <v>9</v>
      </c>
      <c r="I306" s="416"/>
      <c r="J306" s="406"/>
      <c r="K306" s="405" t="s">
        <v>1300</v>
      </c>
      <c r="L306" s="406" t="s">
        <v>1298</v>
      </c>
      <c r="M306" s="406">
        <v>44655</v>
      </c>
      <c r="N306" s="406">
        <v>44831</v>
      </c>
      <c r="O306" s="406"/>
      <c r="P306" s="406"/>
      <c r="Q306" s="406"/>
      <c r="R306" s="406"/>
      <c r="S306" s="405" t="s">
        <v>1067</v>
      </c>
      <c r="T306" s="405">
        <v>72</v>
      </c>
      <c r="U306" s="405">
        <v>49303155</v>
      </c>
      <c r="V306" s="405" t="s">
        <v>1068</v>
      </c>
      <c r="W306" s="407">
        <v>480</v>
      </c>
      <c r="X306" s="371">
        <v>638</v>
      </c>
      <c r="Y306" s="422">
        <f t="shared" si="68"/>
        <v>306240</v>
      </c>
      <c r="Z306" s="409">
        <v>0.5</v>
      </c>
      <c r="AA306" s="410">
        <f>Y306*Z306</f>
        <v>153120</v>
      </c>
      <c r="AB306" s="362"/>
      <c r="AC306" s="412">
        <v>0</v>
      </c>
      <c r="AD306" s="405"/>
      <c r="AE306" s="413"/>
      <c r="AF306" s="424">
        <f t="shared" si="63"/>
        <v>153120</v>
      </c>
      <c r="AG306" s="405" t="s">
        <v>1069</v>
      </c>
      <c r="AH306" s="395"/>
      <c r="AI306" s="405">
        <v>60</v>
      </c>
      <c r="AJ306" s="405" t="s">
        <v>1181</v>
      </c>
      <c r="AK306" s="405" t="s">
        <v>1130</v>
      </c>
      <c r="AL306" s="425">
        <v>14624</v>
      </c>
      <c r="AM306" s="405" t="s">
        <v>52</v>
      </c>
      <c r="AN306" s="405" t="s">
        <v>1071</v>
      </c>
      <c r="AO306" s="405"/>
      <c r="AP306" s="405"/>
      <c r="AQ306" s="405" t="s">
        <v>37</v>
      </c>
      <c r="AR306" s="405"/>
      <c r="AS306" s="369"/>
      <c r="AT306" s="363"/>
      <c r="AU306" s="403"/>
      <c r="AV306" s="402">
        <f t="shared" si="69"/>
        <v>49303155</v>
      </c>
      <c r="AW306" s="402" cm="1">
        <f t="array" ref="AW306">SUM(MID(0&amp;AV306,LARGE(INDEX(ISNUMBER(--MID(AV306,ROW($1:$8),1))*ROW($1:$8),),ROW($1:$8))+1,1)*10^ROW($1:$8)/10)</f>
        <v>49303155</v>
      </c>
      <c r="AX306" s="402" t="str">
        <f>VLOOKUP($AW306,'Item Master Data'!$A:$F,3,FALSE)</f>
        <v>Q.PEAK DUO XL G10 BFG</v>
      </c>
      <c r="AY306" s="402">
        <f>VLOOKUP($AW306,'Item Master Data'!$A:$F,6,FALSE)</f>
        <v>475</v>
      </c>
      <c r="AZ306" s="402">
        <f t="shared" si="70"/>
        <v>22</v>
      </c>
      <c r="BA306" s="402">
        <f>VLOOKUP(AW306,'Item Master Data'!$A:$G,7,FALSE)</f>
        <v>29</v>
      </c>
      <c r="BB306" s="402"/>
      <c r="BC306" s="402">
        <f t="shared" si="71"/>
        <v>5</v>
      </c>
    </row>
    <row r="307" spans="1:55">
      <c r="A307" s="377"/>
      <c r="B307" s="376"/>
      <c r="C307" s="376"/>
      <c r="D307" s="405" t="s">
        <v>1066</v>
      </c>
      <c r="E307" s="364" t="s">
        <v>4929</v>
      </c>
      <c r="F307" s="405" t="s">
        <v>87</v>
      </c>
      <c r="G307" s="405">
        <v>2022</v>
      </c>
      <c r="H307" s="405">
        <v>11</v>
      </c>
      <c r="I307" s="416"/>
      <c r="J307" s="406"/>
      <c r="K307" s="405" t="s">
        <v>1301</v>
      </c>
      <c r="L307" s="406" t="s">
        <v>1298</v>
      </c>
      <c r="M307" s="406">
        <v>44655</v>
      </c>
      <c r="N307" s="406">
        <v>44866</v>
      </c>
      <c r="O307" s="406"/>
      <c r="P307" s="406"/>
      <c r="Q307" s="406"/>
      <c r="R307" s="406"/>
      <c r="S307" s="405" t="s">
        <v>1067</v>
      </c>
      <c r="T307" s="405">
        <v>72</v>
      </c>
      <c r="U307" s="405">
        <v>49303155</v>
      </c>
      <c r="V307" s="405" t="s">
        <v>1068</v>
      </c>
      <c r="W307" s="407">
        <v>480</v>
      </c>
      <c r="X307" s="371">
        <v>638</v>
      </c>
      <c r="Y307" s="422">
        <f t="shared" si="68"/>
        <v>306240</v>
      </c>
      <c r="Z307" s="409">
        <v>0.5</v>
      </c>
      <c r="AA307" s="410">
        <f>Y307*Z307</f>
        <v>153120</v>
      </c>
      <c r="AB307" s="362"/>
      <c r="AC307" s="412">
        <v>0</v>
      </c>
      <c r="AD307" s="405"/>
      <c r="AE307" s="413"/>
      <c r="AF307" s="424">
        <f t="shared" si="63"/>
        <v>153120</v>
      </c>
      <c r="AG307" s="405" t="s">
        <v>1069</v>
      </c>
      <c r="AH307" s="395"/>
      <c r="AI307" s="405">
        <v>60</v>
      </c>
      <c r="AJ307" s="405" t="s">
        <v>1181</v>
      </c>
      <c r="AK307" s="405" t="s">
        <v>1130</v>
      </c>
      <c r="AL307" s="425">
        <v>14624</v>
      </c>
      <c r="AM307" s="405" t="s">
        <v>52</v>
      </c>
      <c r="AN307" s="405" t="s">
        <v>1071</v>
      </c>
      <c r="AO307" s="405"/>
      <c r="AP307" s="405"/>
      <c r="AQ307" s="405" t="s">
        <v>37</v>
      </c>
      <c r="AR307" s="405"/>
      <c r="AS307" s="369"/>
      <c r="AT307" s="363"/>
      <c r="AU307" s="403"/>
      <c r="AV307" s="402">
        <f t="shared" si="69"/>
        <v>49303155</v>
      </c>
      <c r="AW307" s="402" cm="1">
        <f t="array" ref="AW307">SUM(MID(0&amp;AV307,LARGE(INDEX(ISNUMBER(--MID(AV307,ROW($1:$8),1))*ROW($1:$8),),ROW($1:$8))+1,1)*10^ROW($1:$8)/10)</f>
        <v>49303155</v>
      </c>
      <c r="AX307" s="402" t="str">
        <f>VLOOKUP($AW307,'Item Master Data'!$A:$F,3,FALSE)</f>
        <v>Q.PEAK DUO XL G10 BFG</v>
      </c>
      <c r="AY307" s="402">
        <f>VLOOKUP($AW307,'Item Master Data'!$A:$F,6,FALSE)</f>
        <v>475</v>
      </c>
      <c r="AZ307" s="402">
        <f t="shared" si="70"/>
        <v>22</v>
      </c>
      <c r="BA307" s="402">
        <f>VLOOKUP(AW307,'Item Master Data'!$A:$G,7,FALSE)</f>
        <v>29</v>
      </c>
      <c r="BB307" s="402"/>
      <c r="BC307" s="402">
        <f t="shared" si="71"/>
        <v>5</v>
      </c>
    </row>
    <row r="308" spans="1:55">
      <c r="A308" s="377"/>
      <c r="B308" s="376">
        <v>44574</v>
      </c>
      <c r="C308" s="376">
        <v>44575</v>
      </c>
      <c r="D308" s="405" t="s">
        <v>1066</v>
      </c>
      <c r="E308" s="364" t="s">
        <v>4932</v>
      </c>
      <c r="F308" s="405"/>
      <c r="G308" s="405">
        <v>2022</v>
      </c>
      <c r="H308" s="405">
        <v>6</v>
      </c>
      <c r="I308" s="416"/>
      <c r="J308" s="406"/>
      <c r="K308" s="405" t="s">
        <v>1304</v>
      </c>
      <c r="L308" s="406" t="s">
        <v>1302</v>
      </c>
      <c r="M308" s="406">
        <v>44656</v>
      </c>
      <c r="N308" s="406">
        <v>44656</v>
      </c>
      <c r="O308" s="406"/>
      <c r="P308" s="406"/>
      <c r="Q308" s="406"/>
      <c r="R308" s="406"/>
      <c r="S308" s="405" t="s">
        <v>1107</v>
      </c>
      <c r="T308" s="405">
        <v>72</v>
      </c>
      <c r="U308" s="405" t="s">
        <v>1079</v>
      </c>
      <c r="V308" s="405" t="s">
        <v>1068</v>
      </c>
      <c r="W308" s="407">
        <v>480</v>
      </c>
      <c r="X308" s="371">
        <v>2552</v>
      </c>
      <c r="Y308" s="422">
        <f t="shared" si="68"/>
        <v>1224960</v>
      </c>
      <c r="Z308" s="409">
        <v>0.505</v>
      </c>
      <c r="AA308" s="410">
        <f>Y308*Z308</f>
        <v>618604.80000000005</v>
      </c>
      <c r="AB308" s="362"/>
      <c r="AC308" s="412">
        <v>0</v>
      </c>
      <c r="AD308" s="405"/>
      <c r="AE308" s="413"/>
      <c r="AF308" s="424">
        <f t="shared" si="63"/>
        <v>618604.80000000005</v>
      </c>
      <c r="AG308" s="405" t="s">
        <v>1069</v>
      </c>
      <c r="AH308" s="395"/>
      <c r="AI308" s="405">
        <v>60</v>
      </c>
      <c r="AJ308" s="405" t="s">
        <v>1238</v>
      </c>
      <c r="AK308" s="405" t="s">
        <v>1234</v>
      </c>
      <c r="AL308" s="425">
        <v>63134</v>
      </c>
      <c r="AM308" s="405" t="s">
        <v>52</v>
      </c>
      <c r="AN308" s="405" t="s">
        <v>1071</v>
      </c>
      <c r="AO308" s="405"/>
      <c r="AP308" s="405"/>
      <c r="AQ308" s="405"/>
      <c r="AR308" s="405" t="s">
        <v>1188</v>
      </c>
      <c r="AS308" s="369"/>
      <c r="AT308" s="363" t="s">
        <v>1073</v>
      </c>
      <c r="AU308" s="403"/>
      <c r="AV308" s="402" t="str">
        <f t="shared" si="69"/>
        <v>12005833C</v>
      </c>
      <c r="AW308" s="402" cm="1">
        <f t="array" ref="AW308">SUM(MID(0&amp;AV308,LARGE(INDEX(ISNUMBER(--MID(AV308,ROW($1:$8),1))*ROW($1:$8),),ROW($1:$8))+1,1)*10^ROW($1:$8)/10)</f>
        <v>12005833</v>
      </c>
      <c r="AX308" s="402" t="str">
        <f>VLOOKUP($AW308,'Item Master Data'!$A:$F,3,FALSE)</f>
        <v>Q.PEAK DUO XL G10 BFG</v>
      </c>
      <c r="AY308" s="402">
        <f>VLOOKUP($AW308,'Item Master Data'!$A:$F,6,FALSE)</f>
        <v>475</v>
      </c>
      <c r="AZ308" s="402">
        <f t="shared" si="70"/>
        <v>85.066666666666663</v>
      </c>
      <c r="BA308" s="402">
        <f>VLOOKUP(AW308,'Item Master Data'!$A:$G,7,FALSE)</f>
        <v>30</v>
      </c>
      <c r="BB308" s="402"/>
      <c r="BC308" s="402">
        <f t="shared" si="71"/>
        <v>5</v>
      </c>
    </row>
    <row r="309" spans="1:55">
      <c r="A309" s="377"/>
      <c r="B309" s="376"/>
      <c r="C309" s="376"/>
      <c r="D309" s="405" t="s">
        <v>1066</v>
      </c>
      <c r="E309" s="364" t="s">
        <v>1093</v>
      </c>
      <c r="F309" s="405" t="s">
        <v>1139</v>
      </c>
      <c r="G309" s="405">
        <v>2022</v>
      </c>
      <c r="H309" s="405">
        <v>8</v>
      </c>
      <c r="I309" s="416"/>
      <c r="J309" s="406"/>
      <c r="K309" s="405" t="s">
        <v>1428</v>
      </c>
      <c r="L309" s="406" t="s">
        <v>1415</v>
      </c>
      <c r="M309" s="406">
        <v>44495</v>
      </c>
      <c r="N309" s="406">
        <v>44802</v>
      </c>
      <c r="O309" s="406"/>
      <c r="P309" s="406"/>
      <c r="Q309" s="406"/>
      <c r="R309" s="406"/>
      <c r="S309" s="405" t="s">
        <v>1325</v>
      </c>
      <c r="T309" s="405">
        <v>72</v>
      </c>
      <c r="U309" s="405"/>
      <c r="V309" s="405" t="s">
        <v>1108</v>
      </c>
      <c r="W309" s="407">
        <v>580</v>
      </c>
      <c r="X309" s="371">
        <v>45799</v>
      </c>
      <c r="Y309" s="422">
        <f t="shared" si="68"/>
        <v>26563420</v>
      </c>
      <c r="Z309" s="409">
        <v>0.44</v>
      </c>
      <c r="AA309" s="410">
        <f>Z309*Y309</f>
        <v>11687904.800000001</v>
      </c>
      <c r="AB309" s="362"/>
      <c r="AC309" s="412">
        <f>AB309*Y309</f>
        <v>0</v>
      </c>
      <c r="AD309" s="405"/>
      <c r="AE309" s="413"/>
      <c r="AF309" s="424">
        <f t="shared" si="63"/>
        <v>11687904.800000001</v>
      </c>
      <c r="AG309" s="405" t="s">
        <v>47</v>
      </c>
      <c r="AH309" s="395">
        <v>10</v>
      </c>
      <c r="AI309" s="405">
        <v>45</v>
      </c>
      <c r="AJ309" s="405" t="s">
        <v>1102</v>
      </c>
      <c r="AK309" s="405" t="s">
        <v>1317</v>
      </c>
      <c r="AL309" s="425">
        <v>23487</v>
      </c>
      <c r="AM309" s="405" t="s">
        <v>52</v>
      </c>
      <c r="AN309" s="405" t="s">
        <v>1102</v>
      </c>
      <c r="AO309" s="405"/>
      <c r="AP309" s="405" t="s">
        <v>1102</v>
      </c>
      <c r="AQ309" s="405"/>
      <c r="AR309" s="405"/>
      <c r="AS309" s="369"/>
      <c r="AT309" s="363"/>
      <c r="AU309" s="403"/>
      <c r="AV309" s="402">
        <f t="shared" si="69"/>
        <v>0</v>
      </c>
      <c r="AW309" s="402" cm="1">
        <f t="array" ref="AW309">SUM(MID(0&amp;AV309,LARGE(INDEX(ISNUMBER(--MID(AV309,ROW($1:$8),1))*ROW($1:$8),),ROW($1:$8))+1,1)*10^ROW($1:$8)/10)</f>
        <v>0</v>
      </c>
      <c r="AX309" s="402" t="e">
        <f>VLOOKUP($AW309,'Item Master Data'!$A:$F,3,FALSE)</f>
        <v>#N/A</v>
      </c>
      <c r="AY309" s="402" t="e">
        <f>VLOOKUP($AW309,'Item Master Data'!$A:$F,6,FALSE)</f>
        <v>#N/A</v>
      </c>
      <c r="AZ309" s="402" t="e">
        <f t="shared" si="70"/>
        <v>#N/A</v>
      </c>
      <c r="BA309" s="402" t="e">
        <f>VLOOKUP(AW309,'Item Master Data'!$A:$G,7,FALSE)</f>
        <v>#N/A</v>
      </c>
      <c r="BB309" s="402"/>
      <c r="BC309" s="402" t="e">
        <f t="shared" si="71"/>
        <v>#N/A</v>
      </c>
    </row>
    <row r="310" spans="1:55">
      <c r="A310" s="377"/>
      <c r="B310" s="376"/>
      <c r="C310" s="376"/>
      <c r="D310" s="405" t="s">
        <v>1066</v>
      </c>
      <c r="E310" s="364"/>
      <c r="F310" s="405" t="s">
        <v>87</v>
      </c>
      <c r="G310" s="405">
        <v>2022</v>
      </c>
      <c r="H310" s="405">
        <v>5</v>
      </c>
      <c r="I310" s="416"/>
      <c r="J310" s="406"/>
      <c r="K310" s="405" t="s">
        <v>1453</v>
      </c>
      <c r="L310" s="406" t="s">
        <v>1442</v>
      </c>
      <c r="M310" s="406">
        <v>44592</v>
      </c>
      <c r="N310" s="406">
        <v>44596</v>
      </c>
      <c r="O310" s="406"/>
      <c r="P310" s="406">
        <v>44606</v>
      </c>
      <c r="Q310" s="406">
        <v>44701</v>
      </c>
      <c r="R310" s="406">
        <v>44705</v>
      </c>
      <c r="S310" s="405" t="s">
        <v>1443</v>
      </c>
      <c r="T310" s="405">
        <v>72</v>
      </c>
      <c r="U310" s="405" t="s">
        <v>1433</v>
      </c>
      <c r="V310" s="405" t="s">
        <v>1068</v>
      </c>
      <c r="W310" s="407">
        <v>475</v>
      </c>
      <c r="X310" s="371">
        <v>638</v>
      </c>
      <c r="Y310" s="422">
        <f t="shared" si="68"/>
        <v>303050</v>
      </c>
      <c r="Z310" s="409">
        <v>0.47</v>
      </c>
      <c r="AA310" s="410">
        <f>Z310*Y310</f>
        <v>142433.5</v>
      </c>
      <c r="AB310" s="362"/>
      <c r="AC310" s="412">
        <v>0</v>
      </c>
      <c r="AD310" s="405"/>
      <c r="AE310" s="413"/>
      <c r="AF310" s="424">
        <f>AA310+AE310</f>
        <v>142433.5</v>
      </c>
      <c r="AG310" s="405" t="s">
        <v>47</v>
      </c>
      <c r="AH310" s="395"/>
      <c r="AI310" s="405">
        <v>60</v>
      </c>
      <c r="AJ310" s="405" t="s">
        <v>1454</v>
      </c>
      <c r="AK310" s="405" t="s">
        <v>1136</v>
      </c>
      <c r="AL310" s="425">
        <v>78725</v>
      </c>
      <c r="AM310" s="405" t="s">
        <v>52</v>
      </c>
      <c r="AN310" s="405" t="s">
        <v>1082</v>
      </c>
      <c r="AO310" s="405"/>
      <c r="AP310" s="405" t="s">
        <v>92</v>
      </c>
      <c r="AQ310" s="405" t="s">
        <v>37</v>
      </c>
      <c r="AR310" s="405"/>
      <c r="AS310" s="369"/>
      <c r="AT310" s="363"/>
      <c r="AU310" s="403"/>
      <c r="AV310" s="402" t="str">
        <f t="shared" si="69"/>
        <v>30397571C</v>
      </c>
      <c r="AW310" s="402" cm="1">
        <f t="array" ref="AW310">SUM(MID(0&amp;AV310,LARGE(INDEX(ISNUMBER(--MID(AV310,ROW($1:$8),1))*ROW($1:$8),),ROW($1:$8))+1,1)*10^ROW($1:$8)/10)</f>
        <v>30397571</v>
      </c>
      <c r="AX310" s="402" t="str">
        <f>VLOOKUP($AW310,'Item Master Data'!$A:$F,3,FALSE)</f>
        <v>Q.PEAK DUO XL G10 BFG</v>
      </c>
      <c r="AY310" s="402">
        <f>VLOOKUP($AW310,'Item Master Data'!$A:$F,6,FALSE)</f>
        <v>475</v>
      </c>
      <c r="AZ310" s="402">
        <f t="shared" si="70"/>
        <v>22</v>
      </c>
      <c r="BA310" s="402">
        <f>VLOOKUP(AW310,'Item Master Data'!$A:$G,7,FALSE)</f>
        <v>29</v>
      </c>
      <c r="BB310" s="402"/>
      <c r="BC310" s="402">
        <f t="shared" si="71"/>
        <v>0</v>
      </c>
    </row>
    <row r="311" spans="1:55">
      <c r="A311" s="377"/>
      <c r="B311" s="376">
        <v>44574</v>
      </c>
      <c r="C311" s="376">
        <v>44575</v>
      </c>
      <c r="D311" s="405" t="s">
        <v>1066</v>
      </c>
      <c r="E311" s="364" t="s">
        <v>4932</v>
      </c>
      <c r="F311" s="405"/>
      <c r="G311" s="405">
        <v>2022</v>
      </c>
      <c r="H311" s="405">
        <v>6</v>
      </c>
      <c r="I311" s="416"/>
      <c r="J311" s="406"/>
      <c r="K311" s="405" t="s">
        <v>1305</v>
      </c>
      <c r="L311" s="406" t="s">
        <v>1302</v>
      </c>
      <c r="M311" s="406">
        <v>44656</v>
      </c>
      <c r="N311" s="406">
        <v>44656</v>
      </c>
      <c r="O311" s="406"/>
      <c r="P311" s="406"/>
      <c r="Q311" s="406"/>
      <c r="R311" s="406"/>
      <c r="S311" s="405" t="s">
        <v>1107</v>
      </c>
      <c r="T311" s="405">
        <v>72</v>
      </c>
      <c r="U311" s="405" t="s">
        <v>1079</v>
      </c>
      <c r="V311" s="405" t="s">
        <v>1068</v>
      </c>
      <c r="W311" s="407">
        <v>480</v>
      </c>
      <c r="X311" s="371">
        <v>5075</v>
      </c>
      <c r="Y311" s="422">
        <f t="shared" si="68"/>
        <v>2436000</v>
      </c>
      <c r="Z311" s="409">
        <v>0.505</v>
      </c>
      <c r="AA311" s="410">
        <f>Y311*Z311</f>
        <v>1230180</v>
      </c>
      <c r="AB311" s="362"/>
      <c r="AC311" s="412">
        <v>0</v>
      </c>
      <c r="AD311" s="405"/>
      <c r="AE311" s="413"/>
      <c r="AF311" s="424">
        <f t="shared" ref="AF311:AF343" si="72">AE311+AD311+AA311</f>
        <v>1230180</v>
      </c>
      <c r="AG311" s="405" t="s">
        <v>1069</v>
      </c>
      <c r="AH311" s="395"/>
      <c r="AI311" s="405">
        <v>60</v>
      </c>
      <c r="AJ311" s="405" t="s">
        <v>1238</v>
      </c>
      <c r="AK311" s="405" t="s">
        <v>1234</v>
      </c>
      <c r="AL311" s="425">
        <v>63134</v>
      </c>
      <c r="AM311" s="405" t="s">
        <v>52</v>
      </c>
      <c r="AN311" s="405" t="s">
        <v>1071</v>
      </c>
      <c r="AO311" s="405"/>
      <c r="AP311" s="405"/>
      <c r="AQ311" s="405"/>
      <c r="AR311" s="405" t="s">
        <v>1188</v>
      </c>
      <c r="AS311" s="369"/>
      <c r="AT311" s="363" t="s">
        <v>1073</v>
      </c>
      <c r="AU311" s="403"/>
      <c r="AV311" s="402" t="str">
        <f t="shared" si="69"/>
        <v>12005833C</v>
      </c>
      <c r="AW311" s="402" cm="1">
        <f t="array" ref="AW311">SUM(MID(0&amp;AV311,LARGE(INDEX(ISNUMBER(--MID(AV311,ROW($1:$8),1))*ROW($1:$8),),ROW($1:$8))+1,1)*10^ROW($1:$8)/10)</f>
        <v>12005833</v>
      </c>
      <c r="AX311" s="402" t="str">
        <f>VLOOKUP($AW311,'Item Master Data'!$A:$F,3,FALSE)</f>
        <v>Q.PEAK DUO XL G10 BFG</v>
      </c>
      <c r="AY311" s="402">
        <f>VLOOKUP($AW311,'Item Master Data'!$A:$F,6,FALSE)</f>
        <v>475</v>
      </c>
      <c r="AZ311" s="402">
        <f t="shared" si="70"/>
        <v>169.16666666666666</v>
      </c>
      <c r="BA311" s="402">
        <f>VLOOKUP(AW311,'Item Master Data'!$A:$G,7,FALSE)</f>
        <v>30</v>
      </c>
      <c r="BB311" s="402"/>
      <c r="BC311" s="402">
        <f t="shared" si="71"/>
        <v>5</v>
      </c>
    </row>
    <row r="312" spans="1:55">
      <c r="A312" s="377"/>
      <c r="B312" s="376"/>
      <c r="C312" s="376"/>
      <c r="D312" s="405" t="s">
        <v>1066</v>
      </c>
      <c r="E312" s="364" t="s">
        <v>1093</v>
      </c>
      <c r="F312" s="405" t="s">
        <v>1074</v>
      </c>
      <c r="G312" s="405">
        <v>2022</v>
      </c>
      <c r="H312" s="405">
        <v>8</v>
      </c>
      <c r="I312" s="416"/>
      <c r="J312" s="406"/>
      <c r="K312" s="405" t="s">
        <v>1478</v>
      </c>
      <c r="L312" s="406" t="s">
        <v>1472</v>
      </c>
      <c r="M312" s="406">
        <v>44656</v>
      </c>
      <c r="N312" s="406">
        <v>44788</v>
      </c>
      <c r="O312" s="406"/>
      <c r="P312" s="406"/>
      <c r="Q312" s="406"/>
      <c r="R312" s="406"/>
      <c r="S312" s="405" t="s">
        <v>1067</v>
      </c>
      <c r="T312" s="405">
        <v>72</v>
      </c>
      <c r="U312" s="405"/>
      <c r="V312" s="405" t="s">
        <v>1068</v>
      </c>
      <c r="W312" s="407">
        <v>475</v>
      </c>
      <c r="X312" s="371">
        <v>1276</v>
      </c>
      <c r="Y312" s="422">
        <f t="shared" si="68"/>
        <v>606100</v>
      </c>
      <c r="Z312" s="409">
        <v>0.56999999999999995</v>
      </c>
      <c r="AA312" s="410">
        <f>Z312*Y312</f>
        <v>345476.99999999994</v>
      </c>
      <c r="AB312" s="362"/>
      <c r="AC312" s="412">
        <f>AB312*Y312</f>
        <v>0</v>
      </c>
      <c r="AD312" s="405"/>
      <c r="AE312" s="413"/>
      <c r="AF312" s="424">
        <f t="shared" si="72"/>
        <v>345476.99999999994</v>
      </c>
      <c r="AG312" s="405" t="s">
        <v>1069</v>
      </c>
      <c r="AH312" s="395">
        <v>10</v>
      </c>
      <c r="AI312" s="405">
        <v>30</v>
      </c>
      <c r="AJ312" s="405" t="s">
        <v>1389</v>
      </c>
      <c r="AK312" s="405" t="s">
        <v>1176</v>
      </c>
      <c r="AL312" s="425">
        <v>6457</v>
      </c>
      <c r="AM312" s="405" t="s">
        <v>52</v>
      </c>
      <c r="AN312" s="405" t="s">
        <v>1082</v>
      </c>
      <c r="AO312" s="405"/>
      <c r="AP312" s="405" t="s">
        <v>92</v>
      </c>
      <c r="AQ312" s="405" t="s">
        <v>1083</v>
      </c>
      <c r="AR312" s="405"/>
      <c r="AS312" s="369" t="s">
        <v>1084</v>
      </c>
      <c r="AT312" s="363" t="s">
        <v>1073</v>
      </c>
      <c r="AU312" s="403"/>
      <c r="AV312" s="402">
        <f t="shared" si="69"/>
        <v>0</v>
      </c>
      <c r="AW312" s="402" cm="1">
        <f t="array" ref="AW312">SUM(MID(0&amp;AV312,LARGE(INDEX(ISNUMBER(--MID(AV312,ROW($1:$8),1))*ROW($1:$8),),ROW($1:$8))+1,1)*10^ROW($1:$8)/10)</f>
        <v>0</v>
      </c>
      <c r="AX312" s="402" t="e">
        <f>VLOOKUP($AW312,'Item Master Data'!$A:$F,3,FALSE)</f>
        <v>#N/A</v>
      </c>
      <c r="AY312" s="402" t="e">
        <f>VLOOKUP($AW312,'Item Master Data'!$A:$F,6,FALSE)</f>
        <v>#N/A</v>
      </c>
      <c r="AZ312" s="402" t="e">
        <f t="shared" si="70"/>
        <v>#N/A</v>
      </c>
      <c r="BA312" s="402" t="e">
        <f>VLOOKUP(AW312,'Item Master Data'!$A:$G,7,FALSE)</f>
        <v>#N/A</v>
      </c>
      <c r="BB312" s="402"/>
      <c r="BC312" s="402" t="e">
        <f t="shared" si="71"/>
        <v>#N/A</v>
      </c>
    </row>
    <row r="313" spans="1:55">
      <c r="A313" s="377"/>
      <c r="B313" s="376"/>
      <c r="C313" s="376"/>
      <c r="D313" s="405" t="s">
        <v>1066</v>
      </c>
      <c r="E313" s="364" t="s">
        <v>4636</v>
      </c>
      <c r="F313" s="405" t="s">
        <v>87</v>
      </c>
      <c r="G313" s="405">
        <v>2022</v>
      </c>
      <c r="H313" s="405">
        <v>8</v>
      </c>
      <c r="I313" s="416"/>
      <c r="J313" s="406"/>
      <c r="K313" s="405" t="s">
        <v>4637</v>
      </c>
      <c r="L313" s="406" t="s">
        <v>4638</v>
      </c>
      <c r="M313" s="406">
        <v>44680</v>
      </c>
      <c r="N313" s="406">
        <v>44804</v>
      </c>
      <c r="O313" s="406"/>
      <c r="P313" s="406"/>
      <c r="Q313" s="406"/>
      <c r="R313" s="406"/>
      <c r="S313" s="405" t="s">
        <v>1325</v>
      </c>
      <c r="T313" s="405">
        <v>72</v>
      </c>
      <c r="U313" s="405"/>
      <c r="V313" s="405" t="s">
        <v>1108</v>
      </c>
      <c r="W313" s="407">
        <v>580</v>
      </c>
      <c r="X313" s="371">
        <v>3335</v>
      </c>
      <c r="Y313" s="422">
        <f t="shared" si="68"/>
        <v>1934300</v>
      </c>
      <c r="Z313" s="409">
        <v>0.54</v>
      </c>
      <c r="AA313" s="410">
        <f>Z313*Y313</f>
        <v>1044522.0000000001</v>
      </c>
      <c r="AB313" s="362"/>
      <c r="AC313" s="412">
        <f>AB313*Y313</f>
        <v>0</v>
      </c>
      <c r="AD313" s="405"/>
      <c r="AE313" s="413"/>
      <c r="AF313" s="424">
        <f t="shared" si="72"/>
        <v>1044522.0000000001</v>
      </c>
      <c r="AG313" s="405" t="s">
        <v>47</v>
      </c>
      <c r="AH313" s="395">
        <v>10</v>
      </c>
      <c r="AI313" s="405">
        <v>30</v>
      </c>
      <c r="AJ313" s="405" t="s">
        <v>4639</v>
      </c>
      <c r="AK313" s="405" t="s">
        <v>1092</v>
      </c>
      <c r="AL313" s="425">
        <v>2302</v>
      </c>
      <c r="AM313" s="405" t="s">
        <v>52</v>
      </c>
      <c r="AN313" s="405" t="s">
        <v>1082</v>
      </c>
      <c r="AO313" s="405"/>
      <c r="AP313" s="405" t="s">
        <v>38</v>
      </c>
      <c r="AQ313" s="405" t="s">
        <v>1083</v>
      </c>
      <c r="AR313" s="405"/>
      <c r="AS313" s="369" t="s">
        <v>1084</v>
      </c>
      <c r="AT313" s="363" t="s">
        <v>1073</v>
      </c>
      <c r="AU313" s="403"/>
      <c r="AV313" s="402">
        <f t="shared" si="69"/>
        <v>0</v>
      </c>
      <c r="AW313" s="402" cm="1">
        <f t="array" ref="AW313">SUM(MID(0&amp;AV313,LARGE(INDEX(ISNUMBER(--MID(AV313,ROW($1:$8),1))*ROW($1:$8),),ROW($1:$8))+1,1)*10^ROW($1:$8)/10)</f>
        <v>0</v>
      </c>
      <c r="AX313" s="402" t="e">
        <f>VLOOKUP($AW313,'Item Master Data'!$A:$F,3,FALSE)</f>
        <v>#N/A</v>
      </c>
      <c r="AY313" s="402" t="e">
        <f>VLOOKUP($AW313,'Item Master Data'!$A:$F,6,FALSE)</f>
        <v>#N/A</v>
      </c>
      <c r="AZ313" s="402" t="e">
        <f t="shared" si="70"/>
        <v>#N/A</v>
      </c>
      <c r="BA313" s="402" t="e">
        <f>VLOOKUP(AW313,'Item Master Data'!$A:$G,7,FALSE)</f>
        <v>#N/A</v>
      </c>
      <c r="BB313" s="402"/>
      <c r="BC313" s="402" t="e">
        <f t="shared" si="71"/>
        <v>#N/A</v>
      </c>
    </row>
    <row r="314" spans="1:55">
      <c r="A314" s="377"/>
      <c r="B314" s="376"/>
      <c r="C314" s="376"/>
      <c r="D314" s="405" t="s">
        <v>1066</v>
      </c>
      <c r="E314" s="364" t="s">
        <v>4932</v>
      </c>
      <c r="F314" s="405"/>
      <c r="G314" s="405">
        <v>2022</v>
      </c>
      <c r="H314" s="405">
        <v>6</v>
      </c>
      <c r="I314" s="416" t="s">
        <v>4230</v>
      </c>
      <c r="J314" s="406"/>
      <c r="K314" s="405" t="s">
        <v>1303</v>
      </c>
      <c r="L314" s="406" t="s">
        <v>1302</v>
      </c>
      <c r="M314" s="406">
        <v>44574</v>
      </c>
      <c r="N314" s="406">
        <v>44652</v>
      </c>
      <c r="O314" s="406"/>
      <c r="P314" s="406">
        <v>44665</v>
      </c>
      <c r="Q314" s="406"/>
      <c r="R314" s="406"/>
      <c r="S314" s="405" t="s">
        <v>1107</v>
      </c>
      <c r="T314" s="405">
        <v>72</v>
      </c>
      <c r="U314" s="405">
        <v>49303156</v>
      </c>
      <c r="V314" s="405" t="s">
        <v>1068</v>
      </c>
      <c r="W314" s="407">
        <v>480</v>
      </c>
      <c r="X314" s="371">
        <v>580</v>
      </c>
      <c r="Y314" s="422">
        <f t="shared" si="68"/>
        <v>278400</v>
      </c>
      <c r="Z314" s="409">
        <v>0.47</v>
      </c>
      <c r="AA314" s="410">
        <f>Y314*Z314</f>
        <v>130847.99999999999</v>
      </c>
      <c r="AB314" s="362"/>
      <c r="AC314" s="412">
        <v>0</v>
      </c>
      <c r="AD314" s="405"/>
      <c r="AE314" s="413"/>
      <c r="AF314" s="424">
        <f t="shared" si="72"/>
        <v>130847.99999999999</v>
      </c>
      <c r="AG314" s="405" t="s">
        <v>1069</v>
      </c>
      <c r="AH314" s="395"/>
      <c r="AI314" s="405">
        <v>60</v>
      </c>
      <c r="AJ314" s="405" t="s">
        <v>1238</v>
      </c>
      <c r="AK314" s="405" t="s">
        <v>1234</v>
      </c>
      <c r="AL314" s="425">
        <v>63134</v>
      </c>
      <c r="AM314" s="405" t="s">
        <v>52</v>
      </c>
      <c r="AN314" s="405" t="s">
        <v>1071</v>
      </c>
      <c r="AO314" s="405"/>
      <c r="AP314" s="405"/>
      <c r="AQ314" s="405"/>
      <c r="AR314" s="405"/>
      <c r="AS314" s="369"/>
      <c r="AT314" s="363" t="s">
        <v>1073</v>
      </c>
      <c r="AU314" s="403"/>
      <c r="AV314" s="402">
        <f t="shared" si="69"/>
        <v>49303156</v>
      </c>
      <c r="AW314" s="402" cm="1">
        <f t="array" ref="AW314">SUM(MID(0&amp;AV314,LARGE(INDEX(ISNUMBER(--MID(AV314,ROW($1:$8),1))*ROW($1:$8),),ROW($1:$8))+1,1)*10^ROW($1:$8)/10)</f>
        <v>49303156</v>
      </c>
      <c r="AX314" s="402" t="str">
        <f>VLOOKUP($AW314,'Item Master Data'!$A:$F,3,FALSE)</f>
        <v>Q.PEAK DUO XL G10 BFG</v>
      </c>
      <c r="AY314" s="402">
        <f>VLOOKUP($AW314,'Item Master Data'!$A:$F,6,FALSE)</f>
        <v>480</v>
      </c>
      <c r="AZ314" s="402">
        <f t="shared" si="70"/>
        <v>20</v>
      </c>
      <c r="BA314" s="402">
        <f>VLOOKUP(AW314,'Item Master Data'!$A:$G,7,FALSE)</f>
        <v>29</v>
      </c>
      <c r="BB314" s="402"/>
      <c r="BC314" s="402">
        <f t="shared" si="71"/>
        <v>0</v>
      </c>
    </row>
    <row r="315" spans="1:55">
      <c r="A315" s="377"/>
      <c r="B315" s="376"/>
      <c r="C315" s="376"/>
      <c r="D315" s="405" t="s">
        <v>1066</v>
      </c>
      <c r="E315" s="364" t="s">
        <v>4925</v>
      </c>
      <c r="F315" s="405" t="s">
        <v>87</v>
      </c>
      <c r="G315" s="405">
        <v>2022</v>
      </c>
      <c r="H315" s="405">
        <v>6</v>
      </c>
      <c r="I315" s="416"/>
      <c r="J315" s="406"/>
      <c r="K315" s="405" t="s">
        <v>4053</v>
      </c>
      <c r="L315" s="406" t="s">
        <v>1310</v>
      </c>
      <c r="M315" s="406">
        <v>44665</v>
      </c>
      <c r="N315" s="406">
        <v>44682</v>
      </c>
      <c r="O315" s="406"/>
      <c r="P315" s="406"/>
      <c r="Q315" s="406"/>
      <c r="R315" s="406"/>
      <c r="S315" s="405" t="s">
        <v>1067</v>
      </c>
      <c r="T315" s="405">
        <v>72</v>
      </c>
      <c r="U315" s="405"/>
      <c r="V315" s="405" t="s">
        <v>1068</v>
      </c>
      <c r="W315" s="407">
        <v>480</v>
      </c>
      <c r="X315" s="371">
        <v>1595</v>
      </c>
      <c r="Y315" s="422">
        <f t="shared" si="68"/>
        <v>765600</v>
      </c>
      <c r="Z315" s="409">
        <v>0.55000000000000004</v>
      </c>
      <c r="AA315" s="410">
        <f t="shared" ref="AA315:AA378" si="73">Z315*Y315</f>
        <v>421080.00000000006</v>
      </c>
      <c r="AB315" s="362"/>
      <c r="AC315" s="412">
        <f t="shared" ref="AC315:AC343" si="74">AB315*Y315</f>
        <v>0</v>
      </c>
      <c r="AD315" s="405"/>
      <c r="AE315" s="413"/>
      <c r="AF315" s="424">
        <f t="shared" si="72"/>
        <v>421080.00000000006</v>
      </c>
      <c r="AG315" s="405" t="s">
        <v>1069</v>
      </c>
      <c r="AH315" s="395">
        <v>0</v>
      </c>
      <c r="AI315" s="405">
        <v>60</v>
      </c>
      <c r="AJ315" s="405" t="s">
        <v>4054</v>
      </c>
      <c r="AK315" s="405" t="s">
        <v>1312</v>
      </c>
      <c r="AL315" s="425">
        <v>5655</v>
      </c>
      <c r="AM315" s="405" t="s">
        <v>52</v>
      </c>
      <c r="AN315" s="405" t="s">
        <v>1071</v>
      </c>
      <c r="AO315" s="405"/>
      <c r="AP315" s="405"/>
      <c r="AQ315" s="405" t="s">
        <v>1083</v>
      </c>
      <c r="AR315" s="405"/>
      <c r="AS315" s="369" t="s">
        <v>1084</v>
      </c>
      <c r="AT315" s="363" t="s">
        <v>1073</v>
      </c>
      <c r="AU315" s="403"/>
      <c r="AV315" s="402">
        <f t="shared" si="69"/>
        <v>0</v>
      </c>
      <c r="AW315" s="402" cm="1">
        <f t="array" ref="AW315">SUM(MID(0&amp;AV315,LARGE(INDEX(ISNUMBER(--MID(AV315,ROW($1:$8),1))*ROW($1:$8),),ROW($1:$8))+1,1)*10^ROW($1:$8)/10)</f>
        <v>0</v>
      </c>
      <c r="AX315" s="402" t="e">
        <f>VLOOKUP($AW315,'Item Master Data'!$A:$F,3,FALSE)</f>
        <v>#N/A</v>
      </c>
      <c r="AY315" s="402" t="e">
        <f>VLOOKUP($AW315,'Item Master Data'!$A:$F,6,FALSE)</f>
        <v>#N/A</v>
      </c>
      <c r="AZ315" s="402" t="e">
        <f t="shared" si="70"/>
        <v>#N/A</v>
      </c>
      <c r="BA315" s="402" t="e">
        <f>VLOOKUP(AW315,'Item Master Data'!$A:$G,7,FALSE)</f>
        <v>#N/A</v>
      </c>
      <c r="BB315" s="402"/>
      <c r="BC315" s="402" t="e">
        <f t="shared" si="71"/>
        <v>#N/A</v>
      </c>
    </row>
    <row r="316" spans="1:55">
      <c r="A316" s="377"/>
      <c r="B316" s="376"/>
      <c r="C316" s="376"/>
      <c r="D316" s="405" t="s">
        <v>1066</v>
      </c>
      <c r="E316" s="364" t="s">
        <v>4925</v>
      </c>
      <c r="F316" s="405" t="s">
        <v>87</v>
      </c>
      <c r="G316" s="405">
        <v>2022</v>
      </c>
      <c r="H316" s="405">
        <v>6</v>
      </c>
      <c r="I316" s="416"/>
      <c r="J316" s="406"/>
      <c r="K316" s="405" t="s">
        <v>1309</v>
      </c>
      <c r="L316" s="406" t="s">
        <v>1310</v>
      </c>
      <c r="M316" s="406">
        <v>44575</v>
      </c>
      <c r="N316" s="406">
        <v>44652</v>
      </c>
      <c r="O316" s="406"/>
      <c r="P316" s="406"/>
      <c r="Q316" s="406"/>
      <c r="R316" s="406"/>
      <c r="S316" s="405" t="s">
        <v>1067</v>
      </c>
      <c r="T316" s="405">
        <v>72</v>
      </c>
      <c r="U316" s="405">
        <v>49303155</v>
      </c>
      <c r="V316" s="405" t="s">
        <v>1068</v>
      </c>
      <c r="W316" s="407">
        <v>480</v>
      </c>
      <c r="X316" s="371">
        <v>696</v>
      </c>
      <c r="Y316" s="422">
        <f t="shared" si="68"/>
        <v>334080</v>
      </c>
      <c r="Z316" s="409">
        <v>0.49</v>
      </c>
      <c r="AA316" s="410">
        <f t="shared" si="73"/>
        <v>163699.19999999998</v>
      </c>
      <c r="AB316" s="362"/>
      <c r="AC316" s="412">
        <f t="shared" si="74"/>
        <v>0</v>
      </c>
      <c r="AD316" s="405"/>
      <c r="AE316" s="413"/>
      <c r="AF316" s="424">
        <f t="shared" si="72"/>
        <v>163699.19999999998</v>
      </c>
      <c r="AG316" s="405" t="s">
        <v>1069</v>
      </c>
      <c r="AH316" s="395">
        <v>0</v>
      </c>
      <c r="AI316" s="405">
        <v>60</v>
      </c>
      <c r="AJ316" s="405" t="s">
        <v>1311</v>
      </c>
      <c r="AK316" s="405" t="s">
        <v>1312</v>
      </c>
      <c r="AL316" s="425">
        <v>5401</v>
      </c>
      <c r="AM316" s="405" t="s">
        <v>52</v>
      </c>
      <c r="AN316" s="405" t="s">
        <v>1071</v>
      </c>
      <c r="AO316" s="405"/>
      <c r="AP316" s="405"/>
      <c r="AQ316" s="405" t="s">
        <v>1083</v>
      </c>
      <c r="AR316" s="405"/>
      <c r="AS316" s="369" t="s">
        <v>1084</v>
      </c>
      <c r="AT316" s="363" t="s">
        <v>1073</v>
      </c>
      <c r="AU316" s="403"/>
      <c r="AV316" s="402">
        <f t="shared" si="69"/>
        <v>49303155</v>
      </c>
      <c r="AW316" s="402" cm="1">
        <f t="array" ref="AW316">SUM(MID(0&amp;AV316,LARGE(INDEX(ISNUMBER(--MID(AV316,ROW($1:$8),1))*ROW($1:$8),),ROW($1:$8))+1,1)*10^ROW($1:$8)/10)</f>
        <v>49303155</v>
      </c>
      <c r="AX316" s="402" t="str">
        <f>VLOOKUP($AW316,'Item Master Data'!$A:$F,3,FALSE)</f>
        <v>Q.PEAK DUO XL G10 BFG</v>
      </c>
      <c r="AY316" s="402">
        <f>VLOOKUP($AW316,'Item Master Data'!$A:$F,6,FALSE)</f>
        <v>475</v>
      </c>
      <c r="AZ316" s="402">
        <f t="shared" si="70"/>
        <v>24</v>
      </c>
      <c r="BA316" s="402">
        <f>VLOOKUP(AW316,'Item Master Data'!$A:$G,7,FALSE)</f>
        <v>29</v>
      </c>
      <c r="BB316" s="402"/>
      <c r="BC316" s="402">
        <f t="shared" si="71"/>
        <v>5</v>
      </c>
    </row>
    <row r="317" spans="1:55">
      <c r="A317" s="377"/>
      <c r="B317" s="376"/>
      <c r="C317" s="376"/>
      <c r="D317" s="405" t="s">
        <v>1066</v>
      </c>
      <c r="E317" s="364" t="s">
        <v>4929</v>
      </c>
      <c r="F317" s="405" t="s">
        <v>87</v>
      </c>
      <c r="G317" s="405">
        <v>2022</v>
      </c>
      <c r="H317" s="405">
        <v>6</v>
      </c>
      <c r="I317" s="416"/>
      <c r="J317" s="406"/>
      <c r="K317" s="405" t="s">
        <v>1313</v>
      </c>
      <c r="L317" s="406" t="s">
        <v>1310</v>
      </c>
      <c r="M317" s="406">
        <v>44575</v>
      </c>
      <c r="N317" s="406">
        <v>44713</v>
      </c>
      <c r="O317" s="406"/>
      <c r="P317" s="406"/>
      <c r="Q317" s="406"/>
      <c r="R317" s="406"/>
      <c r="S317" s="405" t="s">
        <v>1067</v>
      </c>
      <c r="T317" s="405">
        <v>72</v>
      </c>
      <c r="U317" s="405">
        <v>49303155</v>
      </c>
      <c r="V317" s="405" t="s">
        <v>1068</v>
      </c>
      <c r="W317" s="407">
        <v>480</v>
      </c>
      <c r="X317" s="371">
        <v>696</v>
      </c>
      <c r="Y317" s="422">
        <f t="shared" si="68"/>
        <v>334080</v>
      </c>
      <c r="Z317" s="409">
        <v>0.49</v>
      </c>
      <c r="AA317" s="410">
        <f t="shared" si="73"/>
        <v>163699.19999999998</v>
      </c>
      <c r="AB317" s="362"/>
      <c r="AC317" s="412">
        <f t="shared" si="74"/>
        <v>0</v>
      </c>
      <c r="AD317" s="405"/>
      <c r="AE317" s="413"/>
      <c r="AF317" s="424">
        <f t="shared" si="72"/>
        <v>163699.19999999998</v>
      </c>
      <c r="AG317" s="405" t="s">
        <v>1069</v>
      </c>
      <c r="AH317" s="395">
        <v>0</v>
      </c>
      <c r="AI317" s="405">
        <v>60</v>
      </c>
      <c r="AJ317" s="405" t="s">
        <v>1311</v>
      </c>
      <c r="AK317" s="405" t="s">
        <v>1312</v>
      </c>
      <c r="AL317" s="425">
        <v>5401</v>
      </c>
      <c r="AM317" s="405" t="s">
        <v>52</v>
      </c>
      <c r="AN317" s="405" t="s">
        <v>1071</v>
      </c>
      <c r="AO317" s="405"/>
      <c r="AP317" s="405"/>
      <c r="AQ317" s="405" t="s">
        <v>1083</v>
      </c>
      <c r="AR317" s="405"/>
      <c r="AS317" s="369" t="s">
        <v>1084</v>
      </c>
      <c r="AT317" s="363" t="s">
        <v>1073</v>
      </c>
      <c r="AU317" s="403"/>
      <c r="AV317" s="402">
        <f t="shared" si="69"/>
        <v>49303155</v>
      </c>
      <c r="AW317" s="402" cm="1">
        <f t="array" ref="AW317">SUM(MID(0&amp;AV317,LARGE(INDEX(ISNUMBER(--MID(AV317,ROW($1:$8),1))*ROW($1:$8),),ROW($1:$8))+1,1)*10^ROW($1:$8)/10)</f>
        <v>49303155</v>
      </c>
      <c r="AX317" s="402" t="str">
        <f>VLOOKUP($AW317,'Item Master Data'!$A:$F,3,FALSE)</f>
        <v>Q.PEAK DUO XL G10 BFG</v>
      </c>
      <c r="AY317" s="402">
        <f>VLOOKUP($AW317,'Item Master Data'!$A:$F,6,FALSE)</f>
        <v>475</v>
      </c>
      <c r="AZ317" s="402">
        <f t="shared" si="70"/>
        <v>24</v>
      </c>
      <c r="BA317" s="402">
        <f>VLOOKUP(AW317,'Item Master Data'!$A:$G,7,FALSE)</f>
        <v>29</v>
      </c>
      <c r="BB317" s="402"/>
      <c r="BC317" s="402">
        <f t="shared" si="71"/>
        <v>5</v>
      </c>
    </row>
    <row r="318" spans="1:55">
      <c r="A318" s="377"/>
      <c r="B318" s="376"/>
      <c r="C318" s="376"/>
      <c r="D318" s="405" t="s">
        <v>1066</v>
      </c>
      <c r="E318" s="364" t="s">
        <v>4933</v>
      </c>
      <c r="F318" s="405" t="s">
        <v>1074</v>
      </c>
      <c r="G318" s="405">
        <v>2022</v>
      </c>
      <c r="H318" s="405">
        <v>6</v>
      </c>
      <c r="I318" s="416" t="s">
        <v>4230</v>
      </c>
      <c r="J318" s="406"/>
      <c r="K318" s="405" t="s">
        <v>1314</v>
      </c>
      <c r="L318" s="406" t="s">
        <v>1315</v>
      </c>
      <c r="M318" s="406">
        <v>44655</v>
      </c>
      <c r="N318" s="406">
        <v>44655</v>
      </c>
      <c r="O318" s="406"/>
      <c r="P318" s="406">
        <v>44663</v>
      </c>
      <c r="Q318" s="406"/>
      <c r="R318" s="406"/>
      <c r="S318" s="405" t="s">
        <v>1098</v>
      </c>
      <c r="T318" s="405">
        <v>72</v>
      </c>
      <c r="U318" s="405">
        <v>49303556</v>
      </c>
      <c r="V318" s="405" t="s">
        <v>1068</v>
      </c>
      <c r="W318" s="407">
        <v>480</v>
      </c>
      <c r="X318" s="371">
        <v>10556</v>
      </c>
      <c r="Y318" s="422">
        <f t="shared" si="68"/>
        <v>5066880</v>
      </c>
      <c r="Z318" s="409">
        <v>0.505</v>
      </c>
      <c r="AA318" s="410">
        <f t="shared" si="73"/>
        <v>2558774.4</v>
      </c>
      <c r="AB318" s="362"/>
      <c r="AC318" s="412">
        <f t="shared" si="74"/>
        <v>0</v>
      </c>
      <c r="AD318" s="405"/>
      <c r="AE318" s="413"/>
      <c r="AF318" s="424">
        <f t="shared" si="72"/>
        <v>2558774.4</v>
      </c>
      <c r="AG318" s="405" t="s">
        <v>1069</v>
      </c>
      <c r="AH318" s="395">
        <v>0</v>
      </c>
      <c r="AI318" s="405">
        <v>60</v>
      </c>
      <c r="AJ318" s="405" t="s">
        <v>1316</v>
      </c>
      <c r="AK318" s="405" t="s">
        <v>1317</v>
      </c>
      <c r="AL318" s="425">
        <v>23222</v>
      </c>
      <c r="AM318" s="405" t="s">
        <v>52</v>
      </c>
      <c r="AN318" s="405" t="s">
        <v>1071</v>
      </c>
      <c r="AO318" s="405"/>
      <c r="AP318" s="405"/>
      <c r="AQ318" s="405" t="s">
        <v>1083</v>
      </c>
      <c r="AR318" s="405"/>
      <c r="AS318" s="369" t="s">
        <v>1084</v>
      </c>
      <c r="AT318" s="363" t="s">
        <v>1073</v>
      </c>
      <c r="AU318" s="403"/>
      <c r="AV318" s="402">
        <f t="shared" si="69"/>
        <v>49303556</v>
      </c>
      <c r="AW318" s="402" cm="1">
        <f t="array" ref="AW318">SUM(MID(0&amp;AV318,LARGE(INDEX(ISNUMBER(--MID(AV318,ROW($1:$8),1))*ROW($1:$8),),ROW($1:$8))+1,1)*10^ROW($1:$8)/10)</f>
        <v>49303556</v>
      </c>
      <c r="AX318" s="402" t="str">
        <f>VLOOKUP($AW318,'Item Master Data'!$A:$F,3,FALSE)</f>
        <v>Q.PEAK DUO XL G10 BFG</v>
      </c>
      <c r="AY318" s="402">
        <f>VLOOKUP($AW318,'Item Master Data'!$A:$F,6,FALSE)</f>
        <v>480</v>
      </c>
      <c r="AZ318" s="402">
        <f t="shared" si="70"/>
        <v>364</v>
      </c>
      <c r="BA318" s="402">
        <f>VLOOKUP(AW318,'Item Master Data'!$A:$G,7,FALSE)</f>
        <v>29</v>
      </c>
      <c r="BB318" s="402"/>
      <c r="BC318" s="402">
        <f t="shared" si="71"/>
        <v>0</v>
      </c>
    </row>
    <row r="319" spans="1:55">
      <c r="A319" s="377"/>
      <c r="B319" s="376"/>
      <c r="C319" s="376"/>
      <c r="D319" s="405" t="s">
        <v>1066</v>
      </c>
      <c r="E319" s="364" t="s">
        <v>4944</v>
      </c>
      <c r="F319" s="405" t="s">
        <v>1074</v>
      </c>
      <c r="G319" s="405">
        <v>2022</v>
      </c>
      <c r="H319" s="405">
        <v>10</v>
      </c>
      <c r="I319" s="416"/>
      <c r="J319" s="406"/>
      <c r="K319" s="405" t="s">
        <v>1137</v>
      </c>
      <c r="L319" s="406" t="s">
        <v>1112</v>
      </c>
      <c r="M319" s="406">
        <v>44645</v>
      </c>
      <c r="N319" s="406">
        <v>44820</v>
      </c>
      <c r="O319" s="406"/>
      <c r="P319" s="406"/>
      <c r="Q319" s="406"/>
      <c r="R319" s="406"/>
      <c r="S319" s="405" t="s">
        <v>1098</v>
      </c>
      <c r="T319" s="405">
        <v>72</v>
      </c>
      <c r="U319" s="405" t="s">
        <v>1102</v>
      </c>
      <c r="V319" s="405" t="s">
        <v>1068</v>
      </c>
      <c r="W319" s="407">
        <v>485</v>
      </c>
      <c r="X319" s="371">
        <v>638</v>
      </c>
      <c r="Y319" s="422">
        <f t="shared" si="68"/>
        <v>309430</v>
      </c>
      <c r="Z319" s="409">
        <v>0.5</v>
      </c>
      <c r="AA319" s="410">
        <f t="shared" si="73"/>
        <v>154715</v>
      </c>
      <c r="AB319" s="362"/>
      <c r="AC319" s="412">
        <f t="shared" si="74"/>
        <v>0</v>
      </c>
      <c r="AD319" s="405"/>
      <c r="AE319" s="413"/>
      <c r="AF319" s="424">
        <f t="shared" si="72"/>
        <v>154715</v>
      </c>
      <c r="AG319" s="405" t="s">
        <v>47</v>
      </c>
      <c r="AH319" s="395">
        <v>0</v>
      </c>
      <c r="AI319" s="405">
        <v>45</v>
      </c>
      <c r="AJ319" s="405" t="s">
        <v>1138</v>
      </c>
      <c r="AK319" s="405" t="s">
        <v>50</v>
      </c>
      <c r="AL319" s="425">
        <v>94577</v>
      </c>
      <c r="AM319" s="405" t="s">
        <v>52</v>
      </c>
      <c r="AN319" s="405" t="s">
        <v>1102</v>
      </c>
      <c r="AO319" s="405"/>
      <c r="AP319" s="405" t="s">
        <v>38</v>
      </c>
      <c r="AQ319" s="405" t="s">
        <v>1083</v>
      </c>
      <c r="AR319" s="405"/>
      <c r="AS319" s="369" t="s">
        <v>1084</v>
      </c>
      <c r="AT319" s="363" t="s">
        <v>1073</v>
      </c>
      <c r="AU319" s="403"/>
      <c r="AV319" s="402"/>
      <c r="AW319" s="402"/>
      <c r="AX319" s="402"/>
      <c r="AY319" s="402"/>
      <c r="AZ319" s="402"/>
      <c r="BA319" s="402"/>
      <c r="BB319" s="402"/>
      <c r="BC319" s="402"/>
    </row>
    <row r="320" spans="1:55">
      <c r="A320" s="377"/>
      <c r="B320" s="376"/>
      <c r="C320" s="376"/>
      <c r="D320" s="405" t="s">
        <v>1066</v>
      </c>
      <c r="E320" s="364" t="s">
        <v>4944</v>
      </c>
      <c r="F320" s="405" t="s">
        <v>1074</v>
      </c>
      <c r="G320" s="405">
        <v>2022</v>
      </c>
      <c r="H320" s="405">
        <v>10</v>
      </c>
      <c r="I320" s="416"/>
      <c r="J320" s="406"/>
      <c r="K320" s="405" t="s">
        <v>1131</v>
      </c>
      <c r="L320" s="406" t="s">
        <v>1112</v>
      </c>
      <c r="M320" s="406">
        <v>44645</v>
      </c>
      <c r="N320" s="406">
        <v>44820</v>
      </c>
      <c r="O320" s="406"/>
      <c r="P320" s="406"/>
      <c r="Q320" s="406"/>
      <c r="R320" s="406"/>
      <c r="S320" s="405" t="s">
        <v>1098</v>
      </c>
      <c r="T320" s="405">
        <v>72</v>
      </c>
      <c r="U320" s="405" t="s">
        <v>1102</v>
      </c>
      <c r="V320" s="405" t="s">
        <v>1068</v>
      </c>
      <c r="W320" s="407">
        <v>485</v>
      </c>
      <c r="X320" s="371">
        <v>638</v>
      </c>
      <c r="Y320" s="422">
        <f t="shared" si="68"/>
        <v>309430</v>
      </c>
      <c r="Z320" s="409">
        <v>0.5</v>
      </c>
      <c r="AA320" s="410">
        <f t="shared" si="73"/>
        <v>154715</v>
      </c>
      <c r="AB320" s="362"/>
      <c r="AC320" s="412">
        <f t="shared" si="74"/>
        <v>0</v>
      </c>
      <c r="AD320" s="405"/>
      <c r="AE320" s="413"/>
      <c r="AF320" s="424">
        <f t="shared" si="72"/>
        <v>154715</v>
      </c>
      <c r="AG320" s="405" t="s">
        <v>47</v>
      </c>
      <c r="AH320" s="395">
        <v>0</v>
      </c>
      <c r="AI320" s="405">
        <v>45</v>
      </c>
      <c r="AJ320" s="405" t="s">
        <v>1132</v>
      </c>
      <c r="AK320" s="405" t="s">
        <v>50</v>
      </c>
      <c r="AL320" s="425">
        <v>91311</v>
      </c>
      <c r="AM320" s="405" t="s">
        <v>52</v>
      </c>
      <c r="AN320" s="405" t="s">
        <v>1102</v>
      </c>
      <c r="AO320" s="405"/>
      <c r="AP320" s="405" t="s">
        <v>38</v>
      </c>
      <c r="AQ320" s="405" t="s">
        <v>1083</v>
      </c>
      <c r="AR320" s="405"/>
      <c r="AS320" s="369" t="s">
        <v>1084</v>
      </c>
      <c r="AT320" s="363" t="s">
        <v>1073</v>
      </c>
      <c r="AU320" s="403"/>
      <c r="AV320" s="402"/>
      <c r="AW320" s="402"/>
      <c r="AX320" s="402"/>
      <c r="AY320" s="402"/>
      <c r="AZ320" s="402"/>
      <c r="BA320" s="402"/>
      <c r="BB320" s="402"/>
      <c r="BC320" s="402"/>
    </row>
    <row r="321" spans="1:55">
      <c r="A321" s="377"/>
      <c r="B321" s="376"/>
      <c r="C321" s="376"/>
      <c r="D321" s="405" t="s">
        <v>1066</v>
      </c>
      <c r="E321" s="364" t="s">
        <v>4944</v>
      </c>
      <c r="F321" s="405" t="s">
        <v>1074</v>
      </c>
      <c r="G321" s="405">
        <v>2022</v>
      </c>
      <c r="H321" s="405">
        <v>10</v>
      </c>
      <c r="I321" s="416"/>
      <c r="J321" s="406"/>
      <c r="K321" s="405" t="s">
        <v>1128</v>
      </c>
      <c r="L321" s="406" t="s">
        <v>1112</v>
      </c>
      <c r="M321" s="406">
        <v>44645</v>
      </c>
      <c r="N321" s="406">
        <v>44823</v>
      </c>
      <c r="O321" s="406"/>
      <c r="P321" s="406"/>
      <c r="Q321" s="406"/>
      <c r="R321" s="406"/>
      <c r="S321" s="405" t="s">
        <v>1098</v>
      </c>
      <c r="T321" s="405">
        <v>72</v>
      </c>
      <c r="U321" s="405" t="s">
        <v>1102</v>
      </c>
      <c r="V321" s="405" t="s">
        <v>1068</v>
      </c>
      <c r="W321" s="407">
        <v>485</v>
      </c>
      <c r="X321" s="371">
        <v>638</v>
      </c>
      <c r="Y321" s="422">
        <f t="shared" si="68"/>
        <v>309430</v>
      </c>
      <c r="Z321" s="409">
        <v>0.5</v>
      </c>
      <c r="AA321" s="410">
        <f t="shared" si="73"/>
        <v>154715</v>
      </c>
      <c r="AB321" s="362"/>
      <c r="AC321" s="412">
        <f t="shared" si="74"/>
        <v>0</v>
      </c>
      <c r="AD321" s="405"/>
      <c r="AE321" s="413"/>
      <c r="AF321" s="424">
        <f t="shared" si="72"/>
        <v>154715</v>
      </c>
      <c r="AG321" s="405" t="s">
        <v>47</v>
      </c>
      <c r="AH321" s="395">
        <v>0</v>
      </c>
      <c r="AI321" s="405">
        <v>45</v>
      </c>
      <c r="AJ321" s="405" t="s">
        <v>1129</v>
      </c>
      <c r="AK321" s="405" t="s">
        <v>1130</v>
      </c>
      <c r="AL321" s="425">
        <v>11416</v>
      </c>
      <c r="AM321" s="405" t="s">
        <v>52</v>
      </c>
      <c r="AN321" s="405" t="s">
        <v>1102</v>
      </c>
      <c r="AO321" s="405"/>
      <c r="AP321" s="405" t="s">
        <v>38</v>
      </c>
      <c r="AQ321" s="405" t="s">
        <v>1083</v>
      </c>
      <c r="AR321" s="405"/>
      <c r="AS321" s="369" t="s">
        <v>1084</v>
      </c>
      <c r="AT321" s="363" t="s">
        <v>1073</v>
      </c>
      <c r="AU321" s="403"/>
      <c r="AV321" s="402" t="str">
        <f>U321</f>
        <v>TBD</v>
      </c>
      <c r="AW321" s="402" cm="1">
        <f t="array" ref="AW321">SUM(MID(0&amp;AV321,LARGE(INDEX(ISNUMBER(--MID(AV321,ROW($1:$8),1))*ROW($1:$8),),ROW($1:$8))+1,1)*10^ROW($1:$8)/10)</f>
        <v>0</v>
      </c>
      <c r="AX321" s="402" t="e">
        <f>VLOOKUP($AW321,'Item Master Data'!$A:$F,3,FALSE)</f>
        <v>#N/A</v>
      </c>
      <c r="AY321" s="402" t="e">
        <f>VLOOKUP($AW321,'Item Master Data'!$A:$F,6,FALSE)</f>
        <v>#N/A</v>
      </c>
      <c r="AZ321" s="402" t="e">
        <f>X321/BA321</f>
        <v>#N/A</v>
      </c>
      <c r="BA321" s="402" t="e">
        <f>VLOOKUP(AW321,'Item Master Data'!$A:$G,7,FALSE)</f>
        <v>#N/A</v>
      </c>
      <c r="BB321" s="402"/>
      <c r="BC321" s="402" t="e">
        <f>W321-AY321</f>
        <v>#N/A</v>
      </c>
    </row>
    <row r="322" spans="1:55">
      <c r="A322" s="377"/>
      <c r="B322" s="376"/>
      <c r="C322" s="376"/>
      <c r="D322" s="405" t="s">
        <v>1066</v>
      </c>
      <c r="E322" s="364" t="s">
        <v>4944</v>
      </c>
      <c r="F322" s="405" t="s">
        <v>1074</v>
      </c>
      <c r="G322" s="405">
        <v>2022</v>
      </c>
      <c r="H322" s="405">
        <v>10</v>
      </c>
      <c r="I322" s="416"/>
      <c r="J322" s="406"/>
      <c r="K322" s="405" t="s">
        <v>1123</v>
      </c>
      <c r="L322" s="406" t="s">
        <v>1112</v>
      </c>
      <c r="M322" s="406">
        <v>44645</v>
      </c>
      <c r="N322" s="406">
        <v>44823</v>
      </c>
      <c r="O322" s="406"/>
      <c r="P322" s="406"/>
      <c r="Q322" s="406"/>
      <c r="R322" s="406"/>
      <c r="S322" s="405" t="s">
        <v>1098</v>
      </c>
      <c r="T322" s="405">
        <v>72</v>
      </c>
      <c r="U322" s="405" t="s">
        <v>1102</v>
      </c>
      <c r="V322" s="405" t="s">
        <v>1068</v>
      </c>
      <c r="W322" s="407">
        <v>485</v>
      </c>
      <c r="X322" s="371">
        <v>638</v>
      </c>
      <c r="Y322" s="422">
        <f t="shared" si="68"/>
        <v>309430</v>
      </c>
      <c r="Z322" s="409">
        <v>0.5</v>
      </c>
      <c r="AA322" s="410">
        <f t="shared" si="73"/>
        <v>154715</v>
      </c>
      <c r="AB322" s="362"/>
      <c r="AC322" s="412">
        <f t="shared" si="74"/>
        <v>0</v>
      </c>
      <c r="AD322" s="405"/>
      <c r="AE322" s="413"/>
      <c r="AF322" s="424">
        <f t="shared" si="72"/>
        <v>154715</v>
      </c>
      <c r="AG322" s="405" t="s">
        <v>47</v>
      </c>
      <c r="AH322" s="395">
        <v>0</v>
      </c>
      <c r="AI322" s="405">
        <v>45</v>
      </c>
      <c r="AJ322" s="405" t="s">
        <v>1124</v>
      </c>
      <c r="AK322" s="405" t="s">
        <v>1125</v>
      </c>
      <c r="AL322" s="425">
        <v>85215</v>
      </c>
      <c r="AM322" s="405" t="s">
        <v>52</v>
      </c>
      <c r="AN322" s="405" t="s">
        <v>1102</v>
      </c>
      <c r="AO322" s="405"/>
      <c r="AP322" s="405" t="s">
        <v>38</v>
      </c>
      <c r="AQ322" s="405" t="s">
        <v>1083</v>
      </c>
      <c r="AR322" s="405"/>
      <c r="AS322" s="369" t="s">
        <v>1084</v>
      </c>
      <c r="AT322" s="363" t="s">
        <v>1073</v>
      </c>
      <c r="AU322" s="403"/>
      <c r="AV322" s="402"/>
      <c r="AW322" s="402"/>
      <c r="AX322" s="402"/>
      <c r="AY322" s="402"/>
      <c r="AZ322" s="402"/>
      <c r="BA322" s="402"/>
      <c r="BB322" s="402"/>
      <c r="BC322" s="402"/>
    </row>
    <row r="323" spans="1:55">
      <c r="A323" s="377"/>
      <c r="B323" s="376"/>
      <c r="C323" s="376"/>
      <c r="D323" s="405" t="s">
        <v>1066</v>
      </c>
      <c r="E323" s="364"/>
      <c r="F323" s="405"/>
      <c r="G323" s="405">
        <v>2022</v>
      </c>
      <c r="H323" s="405">
        <v>9</v>
      </c>
      <c r="I323" s="416"/>
      <c r="J323" s="406"/>
      <c r="K323" s="405" t="s">
        <v>1570</v>
      </c>
      <c r="L323" s="406" t="s">
        <v>4580</v>
      </c>
      <c r="M323" s="406">
        <v>44684</v>
      </c>
      <c r="N323" s="406">
        <v>44805</v>
      </c>
      <c r="O323" s="406"/>
      <c r="P323" s="406"/>
      <c r="Q323" s="406"/>
      <c r="R323" s="406"/>
      <c r="S323" s="405" t="s">
        <v>1067</v>
      </c>
      <c r="T323" s="405">
        <v>72</v>
      </c>
      <c r="U323" s="405"/>
      <c r="V323" s="405" t="s">
        <v>1108</v>
      </c>
      <c r="W323" s="407">
        <v>575</v>
      </c>
      <c r="X323" s="371">
        <v>17391</v>
      </c>
      <c r="Y323" s="422">
        <f t="shared" si="68"/>
        <v>9999825</v>
      </c>
      <c r="Z323" s="409">
        <v>0.55000000000000004</v>
      </c>
      <c r="AA323" s="410">
        <f t="shared" si="73"/>
        <v>5499903.75</v>
      </c>
      <c r="AB323" s="362"/>
      <c r="AC323" s="412">
        <f t="shared" si="74"/>
        <v>0</v>
      </c>
      <c r="AD323" s="405"/>
      <c r="AE323" s="413"/>
      <c r="AF323" s="424">
        <f t="shared" si="72"/>
        <v>5499903.75</v>
      </c>
      <c r="AG323" s="405" t="s">
        <v>47</v>
      </c>
      <c r="AH323" s="395">
        <v>100</v>
      </c>
      <c r="AI323" s="405">
        <v>0</v>
      </c>
      <c r="AJ323" s="405" t="s">
        <v>1102</v>
      </c>
      <c r="AK323" s="405" t="s">
        <v>1092</v>
      </c>
      <c r="AL323" s="425" t="s">
        <v>1102</v>
      </c>
      <c r="AM323" s="405" t="s">
        <v>52</v>
      </c>
      <c r="AN323" s="405" t="s">
        <v>1102</v>
      </c>
      <c r="AO323" s="405"/>
      <c r="AP323" s="405"/>
      <c r="AQ323" s="405" t="s">
        <v>1083</v>
      </c>
      <c r="AR323" s="405"/>
      <c r="AS323" s="369" t="s">
        <v>1142</v>
      </c>
      <c r="AT323" s="363" t="s">
        <v>1073</v>
      </c>
      <c r="AU323" s="403" t="s">
        <v>1073</v>
      </c>
      <c r="AV323" s="402"/>
      <c r="AW323" s="402"/>
      <c r="AX323" s="402"/>
      <c r="AY323" s="402"/>
      <c r="AZ323" s="402"/>
      <c r="BA323" s="402"/>
      <c r="BB323" s="402"/>
      <c r="BC323" s="402"/>
    </row>
    <row r="324" spans="1:55">
      <c r="A324" s="377"/>
      <c r="B324" s="376" t="s">
        <v>1186</v>
      </c>
      <c r="C324" s="376">
        <v>44573</v>
      </c>
      <c r="D324" s="405" t="s">
        <v>1066</v>
      </c>
      <c r="E324" s="364" t="s">
        <v>4616</v>
      </c>
      <c r="F324" s="405" t="s">
        <v>1318</v>
      </c>
      <c r="G324" s="405">
        <v>2022</v>
      </c>
      <c r="H324" s="405">
        <v>5</v>
      </c>
      <c r="I324" s="416"/>
      <c r="J324" s="406" t="s">
        <v>1136</v>
      </c>
      <c r="K324" s="405" t="s">
        <v>1321</v>
      </c>
      <c r="L324" s="406" t="s">
        <v>1319</v>
      </c>
      <c r="M324" s="406">
        <v>44246</v>
      </c>
      <c r="N324" s="406">
        <v>44498</v>
      </c>
      <c r="O324" s="406"/>
      <c r="P324" s="406">
        <v>44623</v>
      </c>
      <c r="Q324" s="406">
        <v>44680</v>
      </c>
      <c r="R324" s="406">
        <v>44685</v>
      </c>
      <c r="S324" s="405" t="s">
        <v>1098</v>
      </c>
      <c r="T324" s="405">
        <v>72</v>
      </c>
      <c r="U324" s="405">
        <v>12005832</v>
      </c>
      <c r="V324" s="405" t="s">
        <v>1068</v>
      </c>
      <c r="W324" s="407">
        <v>480</v>
      </c>
      <c r="X324" s="371">
        <v>2640</v>
      </c>
      <c r="Y324" s="422">
        <f t="shared" si="68"/>
        <v>1267200</v>
      </c>
      <c r="Z324" s="409">
        <v>0.38159999999999999</v>
      </c>
      <c r="AA324" s="410">
        <f t="shared" si="73"/>
        <v>483563.52000000002</v>
      </c>
      <c r="AB324" s="362"/>
      <c r="AC324" s="412">
        <f t="shared" si="74"/>
        <v>0</v>
      </c>
      <c r="AD324" s="405"/>
      <c r="AE324" s="413"/>
      <c r="AF324" s="424">
        <f t="shared" si="72"/>
        <v>483563.52000000002</v>
      </c>
      <c r="AG324" s="405" t="s">
        <v>47</v>
      </c>
      <c r="AH324" s="395">
        <v>5</v>
      </c>
      <c r="AI324" s="405">
        <v>30</v>
      </c>
      <c r="AJ324" s="405" t="s">
        <v>1320</v>
      </c>
      <c r="AK324" s="405" t="s">
        <v>1136</v>
      </c>
      <c r="AL324" s="425">
        <v>76904</v>
      </c>
      <c r="AM324" s="405" t="s">
        <v>52</v>
      </c>
      <c r="AN324" s="405" t="s">
        <v>1323</v>
      </c>
      <c r="AO324" s="405"/>
      <c r="AP324" s="405" t="s">
        <v>38</v>
      </c>
      <c r="AQ324" s="405" t="s">
        <v>1083</v>
      </c>
      <c r="AR324" s="405"/>
      <c r="AS324" s="369" t="s">
        <v>1084</v>
      </c>
      <c r="AT324" s="363" t="s">
        <v>1073</v>
      </c>
      <c r="AU324" s="403"/>
      <c r="AV324" s="402"/>
      <c r="AW324" s="402"/>
      <c r="AX324" s="402"/>
      <c r="AY324" s="402"/>
      <c r="AZ324" s="402"/>
      <c r="BA324" s="402"/>
      <c r="BB324" s="402"/>
      <c r="BC324" s="402"/>
    </row>
    <row r="325" spans="1:55">
      <c r="A325" s="377"/>
      <c r="B325" s="376" t="s">
        <v>1186</v>
      </c>
      <c r="C325" s="376">
        <v>44573</v>
      </c>
      <c r="D325" s="405" t="s">
        <v>1066</v>
      </c>
      <c r="E325" s="364" t="s">
        <v>4616</v>
      </c>
      <c r="F325" s="405" t="s">
        <v>1318</v>
      </c>
      <c r="G325" s="405">
        <v>2022</v>
      </c>
      <c r="H325" s="405">
        <v>5</v>
      </c>
      <c r="I325" s="416"/>
      <c r="J325" s="406" t="s">
        <v>1136</v>
      </c>
      <c r="K325" s="405" t="s">
        <v>1321</v>
      </c>
      <c r="L325" s="406" t="s">
        <v>1319</v>
      </c>
      <c r="M325" s="406">
        <v>44246</v>
      </c>
      <c r="N325" s="406">
        <v>44498</v>
      </c>
      <c r="O325" s="406"/>
      <c r="P325" s="406">
        <v>44623</v>
      </c>
      <c r="Q325" s="406">
        <v>44683</v>
      </c>
      <c r="R325" s="406">
        <v>44686</v>
      </c>
      <c r="S325" s="405" t="s">
        <v>1098</v>
      </c>
      <c r="T325" s="405">
        <v>72</v>
      </c>
      <c r="U325" s="405">
        <v>30397572</v>
      </c>
      <c r="V325" s="405" t="s">
        <v>1068</v>
      </c>
      <c r="W325" s="407">
        <v>480</v>
      </c>
      <c r="X325" s="371">
        <v>1508</v>
      </c>
      <c r="Y325" s="422">
        <f t="shared" si="68"/>
        <v>723840</v>
      </c>
      <c r="Z325" s="409">
        <v>0.38159999999999999</v>
      </c>
      <c r="AA325" s="410">
        <f t="shared" si="73"/>
        <v>276217.34399999998</v>
      </c>
      <c r="AB325" s="362"/>
      <c r="AC325" s="412">
        <f t="shared" si="74"/>
        <v>0</v>
      </c>
      <c r="AD325" s="405"/>
      <c r="AE325" s="413"/>
      <c r="AF325" s="424">
        <f t="shared" si="72"/>
        <v>276217.34399999998</v>
      </c>
      <c r="AG325" s="405" t="s">
        <v>47</v>
      </c>
      <c r="AH325" s="395">
        <v>5</v>
      </c>
      <c r="AI325" s="405">
        <v>30</v>
      </c>
      <c r="AJ325" s="405" t="s">
        <v>1320</v>
      </c>
      <c r="AK325" s="405" t="s">
        <v>1136</v>
      </c>
      <c r="AL325" s="425">
        <v>76904</v>
      </c>
      <c r="AM325" s="405" t="s">
        <v>52</v>
      </c>
      <c r="AN325" s="405" t="s">
        <v>1323</v>
      </c>
      <c r="AO325" s="405"/>
      <c r="AP325" s="405" t="s">
        <v>38</v>
      </c>
      <c r="AQ325" s="405" t="s">
        <v>1083</v>
      </c>
      <c r="AR325" s="405"/>
      <c r="AS325" s="369" t="s">
        <v>1084</v>
      </c>
      <c r="AT325" s="363" t="s">
        <v>1073</v>
      </c>
      <c r="AU325" s="403"/>
      <c r="AV325" s="402">
        <f>U325</f>
        <v>30397572</v>
      </c>
      <c r="AW325" s="402" cm="1">
        <f t="array" ref="AW325">SUM(MID(0&amp;AV325,LARGE(INDEX(ISNUMBER(--MID(AV325,ROW($1:$8),1))*ROW($1:$8),),ROW($1:$8))+1,1)*10^ROW($1:$8)/10)</f>
        <v>30397572</v>
      </c>
      <c r="AX325" s="402" t="str">
        <f>VLOOKUP($AW325,'Item Master Data'!$A:$F,3,FALSE)</f>
        <v>Q.PEAK DUO XL G10 BFG</v>
      </c>
      <c r="AY325" s="402">
        <f>VLOOKUP($AW325,'Item Master Data'!$A:$F,6,FALSE)</f>
        <v>480</v>
      </c>
      <c r="AZ325" s="402">
        <f>X325/BA325</f>
        <v>52</v>
      </c>
      <c r="BA325" s="402">
        <f>VLOOKUP(AW325,'Item Master Data'!$A:$G,7,FALSE)</f>
        <v>29</v>
      </c>
      <c r="BB325" s="402"/>
      <c r="BC325" s="402">
        <f>W325-AY325</f>
        <v>0</v>
      </c>
    </row>
    <row r="326" spans="1:55">
      <c r="A326" s="377"/>
      <c r="B326" s="376" t="s">
        <v>1186</v>
      </c>
      <c r="C326" s="376" t="s">
        <v>1186</v>
      </c>
      <c r="D326" s="405" t="s">
        <v>1066</v>
      </c>
      <c r="E326" s="364" t="s">
        <v>1093</v>
      </c>
      <c r="F326" s="405"/>
      <c r="G326" s="405">
        <v>2022</v>
      </c>
      <c r="H326" s="405">
        <v>9</v>
      </c>
      <c r="I326" s="416"/>
      <c r="J326" s="406"/>
      <c r="K326" s="405" t="s">
        <v>4264</v>
      </c>
      <c r="L326" s="406" t="s">
        <v>1189</v>
      </c>
      <c r="M326" s="406">
        <v>44673</v>
      </c>
      <c r="N326" s="406">
        <v>44805</v>
      </c>
      <c r="O326" s="406"/>
      <c r="P326" s="406"/>
      <c r="Q326" s="406"/>
      <c r="R326" s="406"/>
      <c r="S326" s="405" t="s">
        <v>1107</v>
      </c>
      <c r="T326" s="405">
        <v>60</v>
      </c>
      <c r="U326" s="405"/>
      <c r="V326" s="405" t="s">
        <v>973</v>
      </c>
      <c r="W326" s="407">
        <v>400</v>
      </c>
      <c r="X326" s="371">
        <v>768</v>
      </c>
      <c r="Y326" s="422">
        <f>X326*W326</f>
        <v>307200</v>
      </c>
      <c r="Z326" s="409">
        <v>0.64</v>
      </c>
      <c r="AA326" s="410">
        <f t="shared" si="73"/>
        <v>196608</v>
      </c>
      <c r="AB326" s="362"/>
      <c r="AC326" s="412">
        <f t="shared" si="74"/>
        <v>0</v>
      </c>
      <c r="AD326" s="405"/>
      <c r="AE326" s="413"/>
      <c r="AF326" s="424">
        <f t="shared" si="72"/>
        <v>196608</v>
      </c>
      <c r="AG326" s="405" t="s">
        <v>1069</v>
      </c>
      <c r="AH326" s="395">
        <v>0</v>
      </c>
      <c r="AI326" s="405">
        <v>60</v>
      </c>
      <c r="AJ326" s="405" t="s">
        <v>1190</v>
      </c>
      <c r="AK326" s="405" t="s">
        <v>1191</v>
      </c>
      <c r="AL326" s="425">
        <v>43125</v>
      </c>
      <c r="AM326" s="405" t="s">
        <v>52</v>
      </c>
      <c r="AN326" s="405" t="s">
        <v>1071</v>
      </c>
      <c r="AO326" s="405"/>
      <c r="AP326" s="405"/>
      <c r="AQ326" s="405"/>
      <c r="AR326" s="405"/>
      <c r="AS326" s="369"/>
      <c r="AT326" s="363"/>
      <c r="AU326" s="403"/>
      <c r="AV326" s="402">
        <f>U326</f>
        <v>0</v>
      </c>
      <c r="AW326" s="402" cm="1">
        <f t="array" ref="AW326">SUM(MID(0&amp;AV326,LARGE(INDEX(ISNUMBER(--MID(AV326,ROW($1:$8),1))*ROW($1:$8),),ROW($1:$8))+1,1)*10^ROW($1:$8)/10)</f>
        <v>0</v>
      </c>
      <c r="AX326" s="402" t="e">
        <f>VLOOKUP($AW326,'Item Master Data'!$A:$F,3,FALSE)</f>
        <v>#N/A</v>
      </c>
      <c r="AY326" s="402" t="e">
        <f>VLOOKUP($AW326,'Item Master Data'!$A:$F,6,FALSE)</f>
        <v>#N/A</v>
      </c>
      <c r="AZ326" s="402" t="e">
        <f>X326/BA326</f>
        <v>#N/A</v>
      </c>
      <c r="BA326" s="402" t="e">
        <f>VLOOKUP(AW326,'Item Master Data'!$A:$G,7,FALSE)</f>
        <v>#N/A</v>
      </c>
      <c r="BB326" s="402"/>
      <c r="BC326" s="402" t="e">
        <f>W326-AY326</f>
        <v>#N/A</v>
      </c>
    </row>
    <row r="327" spans="1:55">
      <c r="A327" s="377"/>
      <c r="B327" s="376" t="s">
        <v>1186</v>
      </c>
      <c r="C327" s="376">
        <v>44573</v>
      </c>
      <c r="D327" s="405" t="s">
        <v>1066</v>
      </c>
      <c r="E327" s="364" t="s">
        <v>4616</v>
      </c>
      <c r="F327" s="405" t="s">
        <v>1318</v>
      </c>
      <c r="G327" s="405">
        <v>2022</v>
      </c>
      <c r="H327" s="405">
        <v>5</v>
      </c>
      <c r="I327" s="416"/>
      <c r="J327" s="406" t="s">
        <v>1101</v>
      </c>
      <c r="K327" s="405" t="s">
        <v>1321</v>
      </c>
      <c r="L327" s="406" t="s">
        <v>1319</v>
      </c>
      <c r="M327" s="406">
        <v>44246</v>
      </c>
      <c r="N327" s="406">
        <v>44498</v>
      </c>
      <c r="O327" s="406"/>
      <c r="P327" s="406">
        <v>44623</v>
      </c>
      <c r="Q327" s="406">
        <v>44680</v>
      </c>
      <c r="R327" s="406">
        <v>44686</v>
      </c>
      <c r="S327" s="405" t="s">
        <v>1098</v>
      </c>
      <c r="T327" s="405">
        <v>72</v>
      </c>
      <c r="U327" s="405">
        <v>49303156</v>
      </c>
      <c r="V327" s="405" t="s">
        <v>1068</v>
      </c>
      <c r="W327" s="407">
        <v>480</v>
      </c>
      <c r="X327" s="371">
        <f>9570+638+638</f>
        <v>10846</v>
      </c>
      <c r="Y327" s="422">
        <f t="shared" ref="Y327:Y349" si="75">W327*X327</f>
        <v>5206080</v>
      </c>
      <c r="Z327" s="409">
        <v>0.38159999999999999</v>
      </c>
      <c r="AA327" s="410">
        <f t="shared" si="73"/>
        <v>1986640.128</v>
      </c>
      <c r="AB327" s="362"/>
      <c r="AC327" s="412">
        <f t="shared" si="74"/>
        <v>0</v>
      </c>
      <c r="AD327" s="405"/>
      <c r="AE327" s="413"/>
      <c r="AF327" s="424">
        <f t="shared" si="72"/>
        <v>1986640.128</v>
      </c>
      <c r="AG327" s="405" t="s">
        <v>47</v>
      </c>
      <c r="AH327" s="395">
        <v>5</v>
      </c>
      <c r="AI327" s="405">
        <v>30</v>
      </c>
      <c r="AJ327" s="405" t="s">
        <v>1320</v>
      </c>
      <c r="AK327" s="405" t="s">
        <v>1136</v>
      </c>
      <c r="AL327" s="425">
        <v>76904</v>
      </c>
      <c r="AM327" s="405" t="s">
        <v>52</v>
      </c>
      <c r="AN327" s="405" t="s">
        <v>1101</v>
      </c>
      <c r="AO327" s="405"/>
      <c r="AP327" s="405"/>
      <c r="AQ327" s="405" t="s">
        <v>1083</v>
      </c>
      <c r="AR327" s="405"/>
      <c r="AS327" s="369" t="s">
        <v>1084</v>
      </c>
      <c r="AT327" s="363" t="s">
        <v>1073</v>
      </c>
      <c r="AU327" s="403"/>
      <c r="AV327" s="402"/>
      <c r="AW327" s="402"/>
      <c r="AX327" s="402"/>
      <c r="AY327" s="402"/>
      <c r="AZ327" s="402"/>
      <c r="BA327" s="402"/>
      <c r="BB327" s="402"/>
      <c r="BC327" s="402"/>
    </row>
    <row r="328" spans="1:55">
      <c r="A328" s="377"/>
      <c r="B328" s="376" t="s">
        <v>1186</v>
      </c>
      <c r="C328" s="376">
        <v>44573</v>
      </c>
      <c r="D328" s="405" t="s">
        <v>1066</v>
      </c>
      <c r="E328" s="364" t="s">
        <v>4616</v>
      </c>
      <c r="F328" s="405" t="s">
        <v>1318</v>
      </c>
      <c r="G328" s="405">
        <v>2022</v>
      </c>
      <c r="H328" s="405">
        <v>5</v>
      </c>
      <c r="I328" s="416"/>
      <c r="J328" s="406" t="s">
        <v>1082</v>
      </c>
      <c r="K328" s="405" t="s">
        <v>1321</v>
      </c>
      <c r="L328" s="406" t="s">
        <v>1319</v>
      </c>
      <c r="M328" s="406">
        <v>44246</v>
      </c>
      <c r="N328" s="406">
        <v>44498</v>
      </c>
      <c r="O328" s="406"/>
      <c r="P328" s="406">
        <v>44623</v>
      </c>
      <c r="Q328" s="406">
        <v>44680</v>
      </c>
      <c r="R328" s="406">
        <v>44690</v>
      </c>
      <c r="S328" s="405" t="s">
        <v>1098</v>
      </c>
      <c r="T328" s="405">
        <v>72</v>
      </c>
      <c r="U328" s="405">
        <v>12005832</v>
      </c>
      <c r="V328" s="405" t="s">
        <v>1068</v>
      </c>
      <c r="W328" s="407">
        <v>480</v>
      </c>
      <c r="X328" s="371">
        <f>3600+390</f>
        <v>3990</v>
      </c>
      <c r="Y328" s="422">
        <f t="shared" si="75"/>
        <v>1915200</v>
      </c>
      <c r="Z328" s="409">
        <v>0.38159999999999999</v>
      </c>
      <c r="AA328" s="410">
        <f t="shared" si="73"/>
        <v>730840.32</v>
      </c>
      <c r="AB328" s="362"/>
      <c r="AC328" s="412">
        <f t="shared" si="74"/>
        <v>0</v>
      </c>
      <c r="AD328" s="405"/>
      <c r="AE328" s="413"/>
      <c r="AF328" s="424">
        <f t="shared" si="72"/>
        <v>730840.32</v>
      </c>
      <c r="AG328" s="405" t="s">
        <v>47</v>
      </c>
      <c r="AH328" s="395">
        <v>5</v>
      </c>
      <c r="AI328" s="405">
        <v>30</v>
      </c>
      <c r="AJ328" s="405" t="s">
        <v>1320</v>
      </c>
      <c r="AK328" s="405" t="s">
        <v>1136</v>
      </c>
      <c r="AL328" s="425">
        <v>76904</v>
      </c>
      <c r="AM328" s="405" t="s">
        <v>52</v>
      </c>
      <c r="AN328" s="405" t="s">
        <v>1323</v>
      </c>
      <c r="AO328" s="405"/>
      <c r="AP328" s="405" t="s">
        <v>38</v>
      </c>
      <c r="AQ328" s="405" t="s">
        <v>1083</v>
      </c>
      <c r="AR328" s="405"/>
      <c r="AS328" s="369" t="s">
        <v>1084</v>
      </c>
      <c r="AT328" s="363" t="s">
        <v>1073</v>
      </c>
      <c r="AU328" s="403"/>
      <c r="AV328" s="402"/>
      <c r="AW328" s="402"/>
      <c r="AX328" s="402"/>
      <c r="AY328" s="402"/>
      <c r="AZ328" s="402"/>
      <c r="BA328" s="402"/>
      <c r="BB328" s="402"/>
      <c r="BC328" s="402"/>
    </row>
    <row r="329" spans="1:55">
      <c r="A329" s="377"/>
      <c r="B329" s="376" t="s">
        <v>1186</v>
      </c>
      <c r="C329" s="376">
        <v>44573</v>
      </c>
      <c r="D329" s="405" t="s">
        <v>1066</v>
      </c>
      <c r="E329" s="364" t="s">
        <v>4616</v>
      </c>
      <c r="F329" s="405" t="s">
        <v>1318</v>
      </c>
      <c r="G329" s="405">
        <v>2022</v>
      </c>
      <c r="H329" s="405">
        <v>5</v>
      </c>
      <c r="I329" s="416"/>
      <c r="J329" s="406" t="s">
        <v>1082</v>
      </c>
      <c r="K329" s="405" t="s">
        <v>1321</v>
      </c>
      <c r="L329" s="406" t="s">
        <v>1319</v>
      </c>
      <c r="M329" s="406">
        <v>44246</v>
      </c>
      <c r="N329" s="406">
        <v>44498</v>
      </c>
      <c r="O329" s="406"/>
      <c r="P329" s="406">
        <v>44623</v>
      </c>
      <c r="Q329" s="406">
        <v>44680</v>
      </c>
      <c r="R329" s="406">
        <v>44686</v>
      </c>
      <c r="S329" s="405" t="s">
        <v>1098</v>
      </c>
      <c r="T329" s="405">
        <v>72</v>
      </c>
      <c r="U329" s="405">
        <v>30390372</v>
      </c>
      <c r="V329" s="405" t="s">
        <v>1068</v>
      </c>
      <c r="W329" s="407">
        <v>480</v>
      </c>
      <c r="X329" s="371">
        <v>754</v>
      </c>
      <c r="Y329" s="422">
        <f t="shared" si="75"/>
        <v>361920</v>
      </c>
      <c r="Z329" s="409">
        <v>0.38159999999999999</v>
      </c>
      <c r="AA329" s="410">
        <f t="shared" si="73"/>
        <v>138108.67199999999</v>
      </c>
      <c r="AB329" s="362"/>
      <c r="AC329" s="412">
        <f t="shared" si="74"/>
        <v>0</v>
      </c>
      <c r="AD329" s="405"/>
      <c r="AE329" s="413"/>
      <c r="AF329" s="424">
        <f t="shared" si="72"/>
        <v>138108.67199999999</v>
      </c>
      <c r="AG329" s="405" t="s">
        <v>47</v>
      </c>
      <c r="AH329" s="395">
        <v>5</v>
      </c>
      <c r="AI329" s="405">
        <v>30</v>
      </c>
      <c r="AJ329" s="405" t="s">
        <v>1320</v>
      </c>
      <c r="AK329" s="405" t="s">
        <v>1136</v>
      </c>
      <c r="AL329" s="425">
        <v>76904</v>
      </c>
      <c r="AM329" s="405" t="s">
        <v>52</v>
      </c>
      <c r="AN329" s="405" t="s">
        <v>1323</v>
      </c>
      <c r="AO329" s="405"/>
      <c r="AP329" s="405" t="s">
        <v>38</v>
      </c>
      <c r="AQ329" s="405" t="s">
        <v>1083</v>
      </c>
      <c r="AR329" s="405"/>
      <c r="AS329" s="369" t="s">
        <v>1084</v>
      </c>
      <c r="AT329" s="363" t="s">
        <v>1073</v>
      </c>
      <c r="AU329" s="403"/>
      <c r="AV329" s="402"/>
      <c r="AW329" s="402"/>
      <c r="AX329" s="402"/>
      <c r="AY329" s="402"/>
      <c r="AZ329" s="402"/>
      <c r="BA329" s="402"/>
      <c r="BB329" s="402"/>
      <c r="BC329" s="402"/>
    </row>
    <row r="330" spans="1:55">
      <c r="A330" s="377">
        <v>10789</v>
      </c>
      <c r="B330" s="376" t="s">
        <v>1186</v>
      </c>
      <c r="C330" s="376">
        <v>44573</v>
      </c>
      <c r="D330" s="405" t="s">
        <v>1066</v>
      </c>
      <c r="E330" s="364" t="s">
        <v>4616</v>
      </c>
      <c r="F330" s="405" t="s">
        <v>1318</v>
      </c>
      <c r="G330" s="405">
        <v>2022</v>
      </c>
      <c r="H330" s="405">
        <v>5</v>
      </c>
      <c r="I330" s="416"/>
      <c r="J330" s="406" t="s">
        <v>1082</v>
      </c>
      <c r="K330" s="405" t="s">
        <v>1321</v>
      </c>
      <c r="L330" s="406" t="s">
        <v>1319</v>
      </c>
      <c r="M330" s="406">
        <v>44246</v>
      </c>
      <c r="N330" s="406">
        <v>44498</v>
      </c>
      <c r="O330" s="406"/>
      <c r="P330" s="406">
        <v>44623</v>
      </c>
      <c r="Q330" s="406">
        <v>44680</v>
      </c>
      <c r="R330" s="406">
        <v>44690</v>
      </c>
      <c r="S330" s="405" t="s">
        <v>1098</v>
      </c>
      <c r="T330" s="405">
        <v>72</v>
      </c>
      <c r="U330" s="405">
        <v>30397572</v>
      </c>
      <c r="V330" s="405" t="s">
        <v>1068</v>
      </c>
      <c r="W330" s="407">
        <v>480</v>
      </c>
      <c r="X330" s="371">
        <f>18444+580+6409-942</f>
        <v>24491</v>
      </c>
      <c r="Y330" s="422">
        <f t="shared" si="75"/>
        <v>11755680</v>
      </c>
      <c r="Z330" s="409">
        <v>0.38159999999999999</v>
      </c>
      <c r="AA330" s="410">
        <f t="shared" si="73"/>
        <v>4485967.4879999999</v>
      </c>
      <c r="AB330" s="362"/>
      <c r="AC330" s="412">
        <f t="shared" si="74"/>
        <v>0</v>
      </c>
      <c r="AD330" s="405"/>
      <c r="AE330" s="413"/>
      <c r="AF330" s="424">
        <f t="shared" si="72"/>
        <v>4485967.4879999999</v>
      </c>
      <c r="AG330" s="405" t="s">
        <v>47</v>
      </c>
      <c r="AH330" s="395">
        <v>5</v>
      </c>
      <c r="AI330" s="405">
        <v>30</v>
      </c>
      <c r="AJ330" s="405" t="s">
        <v>1320</v>
      </c>
      <c r="AK330" s="405" t="s">
        <v>1136</v>
      </c>
      <c r="AL330" s="425">
        <v>76904</v>
      </c>
      <c r="AM330" s="405" t="s">
        <v>52</v>
      </c>
      <c r="AN330" s="405" t="s">
        <v>1323</v>
      </c>
      <c r="AO330" s="405"/>
      <c r="AP330" s="405" t="s">
        <v>38</v>
      </c>
      <c r="AQ330" s="405" t="s">
        <v>1083</v>
      </c>
      <c r="AR330" s="405"/>
      <c r="AS330" s="369" t="s">
        <v>1084</v>
      </c>
      <c r="AT330" s="363" t="s">
        <v>1073</v>
      </c>
      <c r="AU330" s="403"/>
      <c r="AV330" s="402">
        <f>U330</f>
        <v>30397572</v>
      </c>
      <c r="AW330" s="402" cm="1">
        <f t="array" ref="AW330">SUM(MID(0&amp;AV330,LARGE(INDEX(ISNUMBER(--MID(AV330,ROW($1:$8),1))*ROW($1:$8),),ROW($1:$8))+1,1)*10^ROW($1:$8)/10)</f>
        <v>30397572</v>
      </c>
      <c r="AX330" s="402" t="str">
        <f>VLOOKUP($AW330,'Item Master Data'!$A:$F,3,FALSE)</f>
        <v>Q.PEAK DUO XL G10 BFG</v>
      </c>
      <c r="AY330" s="402">
        <f>VLOOKUP($AW330,'Item Master Data'!$A:$F,6,FALSE)</f>
        <v>480</v>
      </c>
      <c r="AZ330" s="402">
        <f>X330/BA330</f>
        <v>844.51724137931035</v>
      </c>
      <c r="BA330" s="402">
        <f>VLOOKUP(AW330,'Item Master Data'!$A:$G,7,FALSE)</f>
        <v>29</v>
      </c>
      <c r="BB330" s="402"/>
      <c r="BC330" s="402">
        <f>W330-AY330</f>
        <v>0</v>
      </c>
    </row>
    <row r="331" spans="1:55">
      <c r="A331" s="377"/>
      <c r="B331" s="376">
        <v>44634</v>
      </c>
      <c r="C331" s="376" t="s">
        <v>1186</v>
      </c>
      <c r="D331" s="405" t="s">
        <v>1066</v>
      </c>
      <c r="E331" s="364" t="s">
        <v>2367</v>
      </c>
      <c r="F331" s="405"/>
      <c r="G331" s="405">
        <v>2022</v>
      </c>
      <c r="H331" s="405">
        <v>9</v>
      </c>
      <c r="I331" s="416"/>
      <c r="J331" s="406"/>
      <c r="K331" s="405" t="s">
        <v>4514</v>
      </c>
      <c r="L331" s="406" t="s">
        <v>1205</v>
      </c>
      <c r="M331" s="406">
        <v>44680</v>
      </c>
      <c r="N331" s="406">
        <v>44805</v>
      </c>
      <c r="O331" s="406"/>
      <c r="P331" s="406"/>
      <c r="Q331" s="406"/>
      <c r="R331" s="406"/>
      <c r="S331" s="405" t="s">
        <v>1107</v>
      </c>
      <c r="T331" s="405">
        <v>60</v>
      </c>
      <c r="U331" s="405"/>
      <c r="V331" s="405" t="s">
        <v>973</v>
      </c>
      <c r="W331" s="407">
        <v>400</v>
      </c>
      <c r="X331" s="371">
        <v>1536</v>
      </c>
      <c r="Y331" s="422">
        <f t="shared" si="75"/>
        <v>614400</v>
      </c>
      <c r="Z331" s="409">
        <v>0.64</v>
      </c>
      <c r="AA331" s="410">
        <f t="shared" si="73"/>
        <v>393216</v>
      </c>
      <c r="AB331" s="362"/>
      <c r="AC331" s="412">
        <f t="shared" si="74"/>
        <v>0</v>
      </c>
      <c r="AD331" s="405"/>
      <c r="AE331" s="413"/>
      <c r="AF331" s="424">
        <f t="shared" si="72"/>
        <v>393216</v>
      </c>
      <c r="AG331" s="405" t="s">
        <v>1069</v>
      </c>
      <c r="AH331" s="395">
        <v>0</v>
      </c>
      <c r="AI331" s="405">
        <v>60</v>
      </c>
      <c r="AJ331" s="405" t="s">
        <v>1206</v>
      </c>
      <c r="AK331" s="405" t="s">
        <v>1207</v>
      </c>
      <c r="AL331" s="425" t="s">
        <v>1208</v>
      </c>
      <c r="AM331" s="405" t="s">
        <v>52</v>
      </c>
      <c r="AN331" s="405" t="s">
        <v>1071</v>
      </c>
      <c r="AO331" s="405"/>
      <c r="AP331" s="405"/>
      <c r="AQ331" s="405" t="s">
        <v>1083</v>
      </c>
      <c r="AR331" s="405"/>
      <c r="AS331" s="369" t="s">
        <v>1142</v>
      </c>
      <c r="AT331" s="363" t="s">
        <v>1073</v>
      </c>
      <c r="AU331" s="403" t="s">
        <v>1073</v>
      </c>
      <c r="AV331" s="402">
        <f>U331</f>
        <v>0</v>
      </c>
      <c r="AW331" s="402" cm="1">
        <f t="array" ref="AW331">SUM(MID(0&amp;AV331,LARGE(INDEX(ISNUMBER(--MID(AV331,ROW($1:$8),1))*ROW($1:$8),),ROW($1:$8))+1,1)*10^ROW($1:$8)/10)</f>
        <v>0</v>
      </c>
      <c r="AX331" s="402" t="e">
        <f>VLOOKUP($AW331,'Item Master Data'!$A:$F,3,FALSE)</f>
        <v>#N/A</v>
      </c>
      <c r="AY331" s="402" t="e">
        <f>VLOOKUP($AW331,'Item Master Data'!$A:$F,6,FALSE)</f>
        <v>#N/A</v>
      </c>
      <c r="AZ331" s="402" t="e">
        <f>X331/BA331</f>
        <v>#N/A</v>
      </c>
      <c r="BA331" s="402" t="e">
        <f>VLOOKUP(AW331,'Item Master Data'!$A:$G,7,FALSE)</f>
        <v>#N/A</v>
      </c>
      <c r="BB331" s="402"/>
      <c r="BC331" s="402" t="e">
        <f>W331-AY331</f>
        <v>#N/A</v>
      </c>
    </row>
    <row r="332" spans="1:55">
      <c r="A332" s="377"/>
      <c r="B332" s="376"/>
      <c r="C332" s="376"/>
      <c r="D332" s="405" t="s">
        <v>1066</v>
      </c>
      <c r="E332" s="364" t="s">
        <v>4113</v>
      </c>
      <c r="F332" s="405" t="s">
        <v>1074</v>
      </c>
      <c r="G332" s="405">
        <v>2022</v>
      </c>
      <c r="H332" s="405">
        <v>9</v>
      </c>
      <c r="I332" s="416">
        <v>2005252</v>
      </c>
      <c r="J332" s="406"/>
      <c r="K332" s="405">
        <v>10630</v>
      </c>
      <c r="L332" s="406" t="s">
        <v>1370</v>
      </c>
      <c r="M332" s="406">
        <v>44330</v>
      </c>
      <c r="N332" s="406">
        <v>44378</v>
      </c>
      <c r="O332" s="406"/>
      <c r="P332" s="406"/>
      <c r="Q332" s="406"/>
      <c r="R332" s="406"/>
      <c r="S332" s="405" t="s">
        <v>1098</v>
      </c>
      <c r="T332" s="405">
        <v>72</v>
      </c>
      <c r="U332" s="405"/>
      <c r="V332" s="405" t="s">
        <v>1068</v>
      </c>
      <c r="W332" s="407">
        <v>480</v>
      </c>
      <c r="X332" s="371">
        <v>1566</v>
      </c>
      <c r="Y332" s="422">
        <f t="shared" si="75"/>
        <v>751680</v>
      </c>
      <c r="Z332" s="409">
        <v>0.53</v>
      </c>
      <c r="AA332" s="410">
        <f t="shared" si="73"/>
        <v>398390.4</v>
      </c>
      <c r="AB332" s="362"/>
      <c r="AC332" s="412">
        <f t="shared" si="74"/>
        <v>0</v>
      </c>
      <c r="AD332" s="405"/>
      <c r="AE332" s="413"/>
      <c r="AF332" s="424">
        <f t="shared" si="72"/>
        <v>398390.4</v>
      </c>
      <c r="AG332" s="405" t="s">
        <v>1069</v>
      </c>
      <c r="AH332" s="395">
        <v>100</v>
      </c>
      <c r="AI332" s="405"/>
      <c r="AJ332" s="405" t="s">
        <v>1372</v>
      </c>
      <c r="AK332" s="405" t="s">
        <v>1082</v>
      </c>
      <c r="AL332" s="425">
        <v>8701</v>
      </c>
      <c r="AM332" s="405" t="s">
        <v>52</v>
      </c>
      <c r="AN332" s="405" t="s">
        <v>1082</v>
      </c>
      <c r="AO332" s="405"/>
      <c r="AP332" s="405" t="s">
        <v>38</v>
      </c>
      <c r="AQ332" s="405" t="s">
        <v>37</v>
      </c>
      <c r="AR332" s="405"/>
      <c r="AS332" s="369" t="s">
        <v>1073</v>
      </c>
      <c r="AT332" s="363" t="s">
        <v>1073</v>
      </c>
      <c r="AU332" s="403"/>
      <c r="AV332" s="402"/>
      <c r="AW332" s="402"/>
      <c r="AX332" s="402"/>
      <c r="AY332" s="402"/>
      <c r="AZ332" s="402"/>
      <c r="BA332" s="402"/>
      <c r="BB332" s="402"/>
      <c r="BC332" s="402"/>
    </row>
    <row r="333" spans="1:55">
      <c r="A333" s="377"/>
      <c r="B333" s="376"/>
      <c r="C333" s="376"/>
      <c r="D333" s="405" t="s">
        <v>1066</v>
      </c>
      <c r="E333" s="364" t="s">
        <v>4113</v>
      </c>
      <c r="F333" s="405" t="s">
        <v>1074</v>
      </c>
      <c r="G333" s="405">
        <v>2022</v>
      </c>
      <c r="H333" s="405">
        <v>9</v>
      </c>
      <c r="I333" s="416">
        <v>2005253</v>
      </c>
      <c r="J333" s="406"/>
      <c r="K333" s="405">
        <v>10631</v>
      </c>
      <c r="L333" s="406" t="s">
        <v>1370</v>
      </c>
      <c r="M333" s="406">
        <v>44330</v>
      </c>
      <c r="N333" s="406">
        <v>44378</v>
      </c>
      <c r="O333" s="406"/>
      <c r="P333" s="406"/>
      <c r="Q333" s="406"/>
      <c r="R333" s="406"/>
      <c r="S333" s="405" t="s">
        <v>1098</v>
      </c>
      <c r="T333" s="405">
        <v>72</v>
      </c>
      <c r="U333" s="405"/>
      <c r="V333" s="405" t="s">
        <v>1068</v>
      </c>
      <c r="W333" s="407">
        <v>480</v>
      </c>
      <c r="X333" s="371">
        <v>1305</v>
      </c>
      <c r="Y333" s="422">
        <f t="shared" si="75"/>
        <v>626400</v>
      </c>
      <c r="Z333" s="409">
        <v>0.53</v>
      </c>
      <c r="AA333" s="410">
        <f t="shared" si="73"/>
        <v>331992</v>
      </c>
      <c r="AB333" s="362"/>
      <c r="AC333" s="412">
        <f t="shared" si="74"/>
        <v>0</v>
      </c>
      <c r="AD333" s="405"/>
      <c r="AE333" s="413"/>
      <c r="AF333" s="424">
        <f t="shared" si="72"/>
        <v>331992</v>
      </c>
      <c r="AG333" s="405" t="s">
        <v>1069</v>
      </c>
      <c r="AH333" s="395">
        <v>100</v>
      </c>
      <c r="AI333" s="405"/>
      <c r="AJ333" s="405" t="s">
        <v>1372</v>
      </c>
      <c r="AK333" s="405" t="s">
        <v>1082</v>
      </c>
      <c r="AL333" s="425">
        <v>8701</v>
      </c>
      <c r="AM333" s="405" t="s">
        <v>52</v>
      </c>
      <c r="AN333" s="405" t="s">
        <v>1082</v>
      </c>
      <c r="AO333" s="405"/>
      <c r="AP333" s="405" t="s">
        <v>38</v>
      </c>
      <c r="AQ333" s="405" t="s">
        <v>37</v>
      </c>
      <c r="AR333" s="405"/>
      <c r="AS333" s="369" t="s">
        <v>1073</v>
      </c>
      <c r="AT333" s="363" t="s">
        <v>1073</v>
      </c>
      <c r="AU333" s="403"/>
      <c r="AV333" s="402"/>
      <c r="AW333" s="402"/>
      <c r="AX333" s="402"/>
      <c r="AY333" s="402"/>
      <c r="AZ333" s="402"/>
      <c r="BA333" s="402"/>
      <c r="BB333" s="402"/>
      <c r="BC333" s="402"/>
    </row>
    <row r="334" spans="1:55">
      <c r="A334" s="377"/>
      <c r="B334" s="376"/>
      <c r="C334" s="376"/>
      <c r="D334" s="405" t="s">
        <v>1066</v>
      </c>
      <c r="E334" s="364" t="s">
        <v>1261</v>
      </c>
      <c r="F334" s="405" t="s">
        <v>1074</v>
      </c>
      <c r="G334" s="405">
        <v>2022</v>
      </c>
      <c r="H334" s="405">
        <v>9</v>
      </c>
      <c r="I334" s="416">
        <v>2003940</v>
      </c>
      <c r="J334" s="406"/>
      <c r="K334" s="405">
        <v>10627</v>
      </c>
      <c r="L334" s="406" t="s">
        <v>1370</v>
      </c>
      <c r="M334" s="406">
        <v>44330</v>
      </c>
      <c r="N334" s="406">
        <v>44348</v>
      </c>
      <c r="O334" s="406"/>
      <c r="P334" s="406"/>
      <c r="Q334" s="406"/>
      <c r="R334" s="406"/>
      <c r="S334" s="405" t="s">
        <v>1098</v>
      </c>
      <c r="T334" s="405">
        <v>72</v>
      </c>
      <c r="U334" s="405" t="s">
        <v>1180</v>
      </c>
      <c r="V334" s="405" t="s">
        <v>1002</v>
      </c>
      <c r="W334" s="407">
        <v>480</v>
      </c>
      <c r="X334" s="371">
        <v>638</v>
      </c>
      <c r="Y334" s="422">
        <f t="shared" si="75"/>
        <v>306240</v>
      </c>
      <c r="Z334" s="409">
        <v>0.4</v>
      </c>
      <c r="AA334" s="410">
        <f t="shared" si="73"/>
        <v>122496</v>
      </c>
      <c r="AB334" s="362"/>
      <c r="AC334" s="412">
        <f t="shared" si="74"/>
        <v>0</v>
      </c>
      <c r="AD334" s="405"/>
      <c r="AE334" s="413"/>
      <c r="AF334" s="424">
        <f t="shared" si="72"/>
        <v>122496</v>
      </c>
      <c r="AG334" s="405" t="s">
        <v>1069</v>
      </c>
      <c r="AH334" s="395">
        <v>100</v>
      </c>
      <c r="AI334" s="405"/>
      <c r="AJ334" s="405" t="s">
        <v>1371</v>
      </c>
      <c r="AK334" s="405" t="s">
        <v>1082</v>
      </c>
      <c r="AL334" s="425">
        <v>8884</v>
      </c>
      <c r="AM334" s="405" t="s">
        <v>52</v>
      </c>
      <c r="AN334" s="405" t="s">
        <v>1082</v>
      </c>
      <c r="AO334" s="405"/>
      <c r="AP334" s="405" t="s">
        <v>38</v>
      </c>
      <c r="AQ334" s="405" t="s">
        <v>37</v>
      </c>
      <c r="AR334" s="405"/>
      <c r="AS334" s="369" t="s">
        <v>1073</v>
      </c>
      <c r="AT334" s="363" t="s">
        <v>1073</v>
      </c>
      <c r="AU334" s="403"/>
      <c r="AV334" s="402"/>
      <c r="AW334" s="402"/>
      <c r="AX334" s="402"/>
      <c r="AY334" s="402"/>
      <c r="AZ334" s="402"/>
      <c r="BA334" s="402"/>
      <c r="BB334" s="402"/>
      <c r="BC334" s="402"/>
    </row>
    <row r="335" spans="1:55">
      <c r="A335" s="377"/>
      <c r="B335" s="376"/>
      <c r="C335" s="376"/>
      <c r="D335" s="405" t="s">
        <v>1066</v>
      </c>
      <c r="E335" s="364" t="s">
        <v>4927</v>
      </c>
      <c r="F335" s="405" t="s">
        <v>1318</v>
      </c>
      <c r="G335" s="405">
        <v>2022</v>
      </c>
      <c r="H335" s="405">
        <v>6</v>
      </c>
      <c r="I335" s="416"/>
      <c r="J335" s="406"/>
      <c r="K335" s="405" t="s">
        <v>1375</v>
      </c>
      <c r="L335" s="406" t="s">
        <v>1376</v>
      </c>
      <c r="M335" s="406">
        <v>44559</v>
      </c>
      <c r="N335" s="406">
        <v>44614</v>
      </c>
      <c r="O335" s="406">
        <v>44728</v>
      </c>
      <c r="P335" s="406">
        <v>44600</v>
      </c>
      <c r="Q335" s="406"/>
      <c r="R335" s="406"/>
      <c r="S335" s="405" t="s">
        <v>1377</v>
      </c>
      <c r="T335" s="405">
        <v>72</v>
      </c>
      <c r="U335" s="405">
        <v>49303156</v>
      </c>
      <c r="V335" s="405" t="s">
        <v>1068</v>
      </c>
      <c r="W335" s="407">
        <v>480</v>
      </c>
      <c r="X335" s="371">
        <v>2233</v>
      </c>
      <c r="Y335" s="422">
        <f t="shared" si="75"/>
        <v>1071840</v>
      </c>
      <c r="Z335" s="409">
        <v>0.45</v>
      </c>
      <c r="AA335" s="410">
        <f t="shared" si="73"/>
        <v>482328</v>
      </c>
      <c r="AB335" s="362"/>
      <c r="AC335" s="412">
        <f t="shared" si="74"/>
        <v>0</v>
      </c>
      <c r="AD335" s="405"/>
      <c r="AE335" s="413"/>
      <c r="AF335" s="424">
        <f t="shared" si="72"/>
        <v>482328</v>
      </c>
      <c r="AG335" s="405" t="s">
        <v>47</v>
      </c>
      <c r="AH335" s="395">
        <v>0</v>
      </c>
      <c r="AI335" s="405">
        <v>45</v>
      </c>
      <c r="AJ335" s="405" t="s">
        <v>1378</v>
      </c>
      <c r="AK335" s="405" t="s">
        <v>1176</v>
      </c>
      <c r="AL335" s="425">
        <v>6410</v>
      </c>
      <c r="AM335" s="405" t="s">
        <v>52</v>
      </c>
      <c r="AN335" s="405" t="s">
        <v>1071</v>
      </c>
      <c r="AO335" s="405"/>
      <c r="AP335" s="405"/>
      <c r="AQ335" s="405" t="s">
        <v>1083</v>
      </c>
      <c r="AR335" s="405"/>
      <c r="AS335" s="369" t="s">
        <v>1084</v>
      </c>
      <c r="AT335" s="363" t="s">
        <v>1073</v>
      </c>
      <c r="AU335" s="403"/>
      <c r="AV335" s="402"/>
      <c r="AW335" s="402"/>
      <c r="AX335" s="402"/>
      <c r="AY335" s="402"/>
      <c r="AZ335" s="402"/>
      <c r="BA335" s="402"/>
      <c r="BB335" s="402"/>
      <c r="BC335" s="402"/>
    </row>
    <row r="336" spans="1:55">
      <c r="A336" s="377"/>
      <c r="B336" s="376"/>
      <c r="C336" s="376"/>
      <c r="D336" s="405" t="s">
        <v>1066</v>
      </c>
      <c r="E336" s="364" t="s">
        <v>1239</v>
      </c>
      <c r="F336" s="405" t="s">
        <v>1074</v>
      </c>
      <c r="G336" s="405">
        <v>2022</v>
      </c>
      <c r="H336" s="405">
        <v>7</v>
      </c>
      <c r="I336" s="416" t="s">
        <v>1087</v>
      </c>
      <c r="J336" s="406"/>
      <c r="K336" s="405" t="s">
        <v>4946</v>
      </c>
      <c r="L336" s="406" t="s">
        <v>1493</v>
      </c>
      <c r="M336" s="406">
        <v>44657</v>
      </c>
      <c r="N336" s="406">
        <v>44743</v>
      </c>
      <c r="O336" s="406"/>
      <c r="P336" s="406"/>
      <c r="Q336" s="406"/>
      <c r="R336" s="406"/>
      <c r="S336" s="405" t="s">
        <v>1325</v>
      </c>
      <c r="T336" s="405">
        <v>72</v>
      </c>
      <c r="U336" s="405"/>
      <c r="V336" s="405" t="s">
        <v>1068</v>
      </c>
      <c r="W336" s="407">
        <v>480</v>
      </c>
      <c r="X336" s="371">
        <v>406</v>
      </c>
      <c r="Y336" s="422">
        <f t="shared" si="75"/>
        <v>194880</v>
      </c>
      <c r="Z336" s="409">
        <v>0.5</v>
      </c>
      <c r="AA336" s="410">
        <f t="shared" si="73"/>
        <v>97440</v>
      </c>
      <c r="AB336" s="362"/>
      <c r="AC336" s="412">
        <f t="shared" si="74"/>
        <v>0</v>
      </c>
      <c r="AD336" s="405"/>
      <c r="AE336" s="413"/>
      <c r="AF336" s="424">
        <f t="shared" si="72"/>
        <v>97440</v>
      </c>
      <c r="AG336" s="405" t="s">
        <v>47</v>
      </c>
      <c r="AH336" s="395">
        <v>10</v>
      </c>
      <c r="AI336" s="405">
        <v>30</v>
      </c>
      <c r="AJ336" s="405" t="s">
        <v>1494</v>
      </c>
      <c r="AK336" s="405" t="s">
        <v>1092</v>
      </c>
      <c r="AL336" s="425">
        <v>1915</v>
      </c>
      <c r="AM336" s="405" t="s">
        <v>52</v>
      </c>
      <c r="AN336" s="405" t="s">
        <v>1071</v>
      </c>
      <c r="AO336" s="405"/>
      <c r="AP336" s="405"/>
      <c r="AQ336" s="405" t="s">
        <v>1083</v>
      </c>
      <c r="AR336" s="405"/>
      <c r="AS336" s="369" t="s">
        <v>1084</v>
      </c>
      <c r="AT336" s="363" t="s">
        <v>1073</v>
      </c>
      <c r="AU336" s="403"/>
      <c r="AV336" s="402"/>
      <c r="AW336" s="402"/>
      <c r="AX336" s="402"/>
      <c r="AY336" s="402"/>
      <c r="AZ336" s="402"/>
      <c r="BA336" s="402"/>
      <c r="BB336" s="402"/>
      <c r="BC336" s="402"/>
    </row>
    <row r="337" spans="1:55">
      <c r="A337" s="377"/>
      <c r="B337" s="376"/>
      <c r="C337" s="376"/>
      <c r="D337" s="405" t="s">
        <v>1066</v>
      </c>
      <c r="E337" s="364" t="s">
        <v>1239</v>
      </c>
      <c r="F337" s="405" t="s">
        <v>1074</v>
      </c>
      <c r="G337" s="405">
        <v>2022</v>
      </c>
      <c r="H337" s="405">
        <v>7</v>
      </c>
      <c r="I337" s="416" t="s">
        <v>1087</v>
      </c>
      <c r="J337" s="406"/>
      <c r="K337" s="405" t="s">
        <v>4946</v>
      </c>
      <c r="L337" s="406" t="s">
        <v>1493</v>
      </c>
      <c r="M337" s="406">
        <v>44657</v>
      </c>
      <c r="N337" s="406">
        <v>44743</v>
      </c>
      <c r="O337" s="406"/>
      <c r="P337" s="406"/>
      <c r="Q337" s="406"/>
      <c r="R337" s="406"/>
      <c r="S337" s="405" t="s">
        <v>1325</v>
      </c>
      <c r="T337" s="405">
        <v>72</v>
      </c>
      <c r="U337" s="405"/>
      <c r="V337" s="405" t="s">
        <v>1068</v>
      </c>
      <c r="W337" s="407">
        <v>480</v>
      </c>
      <c r="X337" s="371">
        <v>1189</v>
      </c>
      <c r="Y337" s="422">
        <f t="shared" si="75"/>
        <v>570720</v>
      </c>
      <c r="Z337" s="409">
        <v>0.5</v>
      </c>
      <c r="AA337" s="410">
        <f t="shared" si="73"/>
        <v>285360</v>
      </c>
      <c r="AB337" s="362"/>
      <c r="AC337" s="412">
        <f t="shared" si="74"/>
        <v>0</v>
      </c>
      <c r="AD337" s="405"/>
      <c r="AE337" s="413"/>
      <c r="AF337" s="424">
        <f t="shared" si="72"/>
        <v>285360</v>
      </c>
      <c r="AG337" s="405" t="s">
        <v>47</v>
      </c>
      <c r="AH337" s="395">
        <v>10</v>
      </c>
      <c r="AI337" s="405">
        <v>30</v>
      </c>
      <c r="AJ337" s="405" t="s">
        <v>1494</v>
      </c>
      <c r="AK337" s="405" t="s">
        <v>1092</v>
      </c>
      <c r="AL337" s="425">
        <v>1915</v>
      </c>
      <c r="AM337" s="405" t="s">
        <v>52</v>
      </c>
      <c r="AN337" s="405" t="s">
        <v>1071</v>
      </c>
      <c r="AO337" s="405"/>
      <c r="AP337" s="405"/>
      <c r="AQ337" s="405" t="s">
        <v>1083</v>
      </c>
      <c r="AR337" s="405"/>
      <c r="AS337" s="369" t="s">
        <v>1084</v>
      </c>
      <c r="AT337" s="363" t="s">
        <v>1073</v>
      </c>
      <c r="AU337" s="403"/>
      <c r="AV337" s="402">
        <f>U337</f>
        <v>0</v>
      </c>
      <c r="AW337" s="402" cm="1">
        <f t="array" ref="AW337">SUM(MID(0&amp;AV337,LARGE(INDEX(ISNUMBER(--MID(AV337,ROW($1:$8),1))*ROW($1:$8),),ROW($1:$8))+1,1)*10^ROW($1:$8)/10)</f>
        <v>0</v>
      </c>
      <c r="AX337" s="402" t="e">
        <f>VLOOKUP($AW337,'Item Master Data'!$A:$F,3,FALSE)</f>
        <v>#N/A</v>
      </c>
      <c r="AY337" s="402" t="e">
        <f>VLOOKUP($AW337,'Item Master Data'!$A:$F,6,FALSE)</f>
        <v>#N/A</v>
      </c>
      <c r="AZ337" s="402" t="e">
        <f>X337/BA337</f>
        <v>#N/A</v>
      </c>
      <c r="BA337" s="402" t="e">
        <f>VLOOKUP(AW337,'Item Master Data'!$A:$G,7,FALSE)</f>
        <v>#N/A</v>
      </c>
      <c r="BB337" s="402"/>
      <c r="BC337" s="402" t="e">
        <f>W337-AY337</f>
        <v>#N/A</v>
      </c>
    </row>
    <row r="338" spans="1:55">
      <c r="A338" s="377"/>
      <c r="B338" s="376"/>
      <c r="C338" s="376"/>
      <c r="D338" s="405" t="s">
        <v>1066</v>
      </c>
      <c r="E338" s="364" t="s">
        <v>1261</v>
      </c>
      <c r="F338" s="405" t="s">
        <v>1074</v>
      </c>
      <c r="G338" s="405">
        <v>2022</v>
      </c>
      <c r="H338" s="405">
        <v>9</v>
      </c>
      <c r="I338" s="416">
        <v>2003936</v>
      </c>
      <c r="J338" s="406"/>
      <c r="K338" s="405">
        <v>10634</v>
      </c>
      <c r="L338" s="406" t="s">
        <v>1370</v>
      </c>
      <c r="M338" s="406">
        <v>44330</v>
      </c>
      <c r="N338" s="406">
        <v>44378</v>
      </c>
      <c r="O338" s="406">
        <v>44550</v>
      </c>
      <c r="P338" s="406"/>
      <c r="Q338" s="406"/>
      <c r="R338" s="406"/>
      <c r="S338" s="405" t="s">
        <v>1098</v>
      </c>
      <c r="T338" s="405">
        <v>72</v>
      </c>
      <c r="U338" s="405"/>
      <c r="V338" s="405" t="s">
        <v>1002</v>
      </c>
      <c r="W338" s="407">
        <v>480</v>
      </c>
      <c r="X338" s="371">
        <f>1218-1131</f>
        <v>87</v>
      </c>
      <c r="Y338" s="422">
        <f t="shared" si="75"/>
        <v>41760</v>
      </c>
      <c r="Z338" s="409">
        <v>0.4</v>
      </c>
      <c r="AA338" s="410">
        <f t="shared" si="73"/>
        <v>16704</v>
      </c>
      <c r="AB338" s="362"/>
      <c r="AC338" s="412">
        <f t="shared" si="74"/>
        <v>0</v>
      </c>
      <c r="AD338" s="405"/>
      <c r="AE338" s="413"/>
      <c r="AF338" s="424">
        <f t="shared" si="72"/>
        <v>16704</v>
      </c>
      <c r="AG338" s="405" t="s">
        <v>1069</v>
      </c>
      <c r="AH338" s="395">
        <v>100</v>
      </c>
      <c r="AI338" s="405"/>
      <c r="AJ338" s="405" t="s">
        <v>1289</v>
      </c>
      <c r="AK338" s="405" t="s">
        <v>1082</v>
      </c>
      <c r="AL338" s="425">
        <v>8109</v>
      </c>
      <c r="AM338" s="405" t="s">
        <v>52</v>
      </c>
      <c r="AN338" s="405" t="s">
        <v>1082</v>
      </c>
      <c r="AO338" s="405"/>
      <c r="AP338" s="405" t="s">
        <v>38</v>
      </c>
      <c r="AQ338" s="405" t="s">
        <v>37</v>
      </c>
      <c r="AR338" s="405"/>
      <c r="AS338" s="369" t="s">
        <v>1073</v>
      </c>
      <c r="AT338" s="363" t="s">
        <v>1073</v>
      </c>
      <c r="AU338" s="403"/>
      <c r="AV338" s="402"/>
      <c r="AW338" s="402"/>
      <c r="AX338" s="402"/>
      <c r="AY338" s="402"/>
      <c r="AZ338" s="402"/>
      <c r="BA338" s="402"/>
      <c r="BB338" s="402"/>
      <c r="BC338" s="402"/>
    </row>
    <row r="339" spans="1:55">
      <c r="A339" s="377"/>
      <c r="B339" s="376"/>
      <c r="C339" s="376"/>
      <c r="D339" s="405" t="s">
        <v>1066</v>
      </c>
      <c r="E339" s="364" t="s">
        <v>1239</v>
      </c>
      <c r="F339" s="405" t="s">
        <v>1074</v>
      </c>
      <c r="G339" s="405">
        <v>2022</v>
      </c>
      <c r="H339" s="405">
        <v>7</v>
      </c>
      <c r="I339" s="416" t="s">
        <v>1087</v>
      </c>
      <c r="J339" s="406"/>
      <c r="K339" s="405" t="s">
        <v>4946</v>
      </c>
      <c r="L339" s="406" t="s">
        <v>1493</v>
      </c>
      <c r="M339" s="406">
        <v>44657</v>
      </c>
      <c r="N339" s="406">
        <v>44743</v>
      </c>
      <c r="O339" s="406"/>
      <c r="P339" s="406"/>
      <c r="Q339" s="406"/>
      <c r="R339" s="406"/>
      <c r="S339" s="405" t="s">
        <v>1325</v>
      </c>
      <c r="T339" s="405">
        <v>72</v>
      </c>
      <c r="U339" s="405"/>
      <c r="V339" s="405" t="s">
        <v>1068</v>
      </c>
      <c r="W339" s="407">
        <v>480</v>
      </c>
      <c r="X339" s="371">
        <v>1595</v>
      </c>
      <c r="Y339" s="422">
        <f t="shared" si="75"/>
        <v>765600</v>
      </c>
      <c r="Z339" s="409">
        <v>0.5</v>
      </c>
      <c r="AA339" s="410">
        <f t="shared" si="73"/>
        <v>382800</v>
      </c>
      <c r="AB339" s="362"/>
      <c r="AC339" s="412">
        <f t="shared" si="74"/>
        <v>0</v>
      </c>
      <c r="AD339" s="405"/>
      <c r="AE339" s="413"/>
      <c r="AF339" s="424">
        <f t="shared" si="72"/>
        <v>382800</v>
      </c>
      <c r="AG339" s="405" t="s">
        <v>47</v>
      </c>
      <c r="AH339" s="395">
        <v>10</v>
      </c>
      <c r="AI339" s="405">
        <v>30</v>
      </c>
      <c r="AJ339" s="405" t="s">
        <v>4947</v>
      </c>
      <c r="AK339" s="405" t="s">
        <v>1092</v>
      </c>
      <c r="AL339" s="425">
        <v>24472</v>
      </c>
      <c r="AM339" s="405" t="s">
        <v>52</v>
      </c>
      <c r="AN339" s="405" t="s">
        <v>1071</v>
      </c>
      <c r="AO339" s="405"/>
      <c r="AP339" s="405"/>
      <c r="AQ339" s="405" t="s">
        <v>1083</v>
      </c>
      <c r="AR339" s="405"/>
      <c r="AS339" s="369" t="s">
        <v>1084</v>
      </c>
      <c r="AT339" s="363" t="s">
        <v>1073</v>
      </c>
      <c r="AU339" s="403"/>
      <c r="AV339" s="402"/>
      <c r="AW339" s="402"/>
      <c r="AX339" s="402"/>
      <c r="AY339" s="402"/>
      <c r="AZ339" s="402"/>
      <c r="BA339" s="402"/>
      <c r="BB339" s="402"/>
      <c r="BC339" s="402"/>
    </row>
    <row r="340" spans="1:55">
      <c r="A340" s="377"/>
      <c r="B340" s="376"/>
      <c r="C340" s="376"/>
      <c r="D340" s="405" t="s">
        <v>1066</v>
      </c>
      <c r="E340" s="364" t="s">
        <v>1239</v>
      </c>
      <c r="F340" s="405" t="s">
        <v>1074</v>
      </c>
      <c r="G340" s="405">
        <v>2022</v>
      </c>
      <c r="H340" s="405">
        <v>7</v>
      </c>
      <c r="I340" s="416" t="s">
        <v>1087</v>
      </c>
      <c r="J340" s="406"/>
      <c r="K340" s="405" t="s">
        <v>4946</v>
      </c>
      <c r="L340" s="406" t="s">
        <v>1493</v>
      </c>
      <c r="M340" s="406">
        <v>44657</v>
      </c>
      <c r="N340" s="406">
        <v>44743</v>
      </c>
      <c r="O340" s="406"/>
      <c r="P340" s="406"/>
      <c r="Q340" s="406"/>
      <c r="R340" s="406"/>
      <c r="S340" s="405" t="s">
        <v>1325</v>
      </c>
      <c r="T340" s="405">
        <v>72</v>
      </c>
      <c r="U340" s="405"/>
      <c r="V340" s="405" t="s">
        <v>1068</v>
      </c>
      <c r="W340" s="407">
        <v>480</v>
      </c>
      <c r="X340" s="371">
        <v>1595</v>
      </c>
      <c r="Y340" s="422">
        <f t="shared" si="75"/>
        <v>765600</v>
      </c>
      <c r="Z340" s="409">
        <v>0.5</v>
      </c>
      <c r="AA340" s="410">
        <f t="shared" si="73"/>
        <v>382800</v>
      </c>
      <c r="AB340" s="362"/>
      <c r="AC340" s="412">
        <f t="shared" si="74"/>
        <v>0</v>
      </c>
      <c r="AD340" s="405"/>
      <c r="AE340" s="413"/>
      <c r="AF340" s="424">
        <f t="shared" si="72"/>
        <v>382800</v>
      </c>
      <c r="AG340" s="405" t="s">
        <v>47</v>
      </c>
      <c r="AH340" s="395">
        <v>10</v>
      </c>
      <c r="AI340" s="405">
        <v>30</v>
      </c>
      <c r="AJ340" s="405" t="s">
        <v>4947</v>
      </c>
      <c r="AK340" s="405" t="s">
        <v>1092</v>
      </c>
      <c r="AL340" s="425">
        <v>24472</v>
      </c>
      <c r="AM340" s="405" t="s">
        <v>52</v>
      </c>
      <c r="AN340" s="405" t="s">
        <v>1071</v>
      </c>
      <c r="AO340" s="405"/>
      <c r="AP340" s="405"/>
      <c r="AQ340" s="405" t="s">
        <v>1083</v>
      </c>
      <c r="AR340" s="405"/>
      <c r="AS340" s="369" t="s">
        <v>1084</v>
      </c>
      <c r="AT340" s="363" t="s">
        <v>1073</v>
      </c>
      <c r="AU340" s="403"/>
      <c r="AV340" s="402">
        <f>U340</f>
        <v>0</v>
      </c>
      <c r="AW340" s="402" cm="1">
        <f t="array" ref="AW340">SUM(MID(0&amp;AV340,LARGE(INDEX(ISNUMBER(--MID(AV340,ROW($1:$8),1))*ROW($1:$8),),ROW($1:$8))+1,1)*10^ROW($1:$8)/10)</f>
        <v>0</v>
      </c>
      <c r="AX340" s="402" t="e">
        <f>VLOOKUP($AW340,'Item Master Data'!$A:$F,3,FALSE)</f>
        <v>#N/A</v>
      </c>
      <c r="AY340" s="402" t="e">
        <f>VLOOKUP($AW340,'Item Master Data'!$A:$F,6,FALSE)</f>
        <v>#N/A</v>
      </c>
      <c r="AZ340" s="402" t="e">
        <f>X340/BA340</f>
        <v>#N/A</v>
      </c>
      <c r="BA340" s="402" t="e">
        <f>VLOOKUP(AW340,'Item Master Data'!$A:$G,7,FALSE)</f>
        <v>#N/A</v>
      </c>
      <c r="BB340" s="402"/>
      <c r="BC340" s="402" t="e">
        <f>W340-AY340</f>
        <v>#N/A</v>
      </c>
    </row>
    <row r="341" spans="1:55">
      <c r="A341" s="377"/>
      <c r="B341" s="376"/>
      <c r="C341" s="376"/>
      <c r="D341" s="405" t="s">
        <v>1066</v>
      </c>
      <c r="E341" s="364" t="s">
        <v>4930</v>
      </c>
      <c r="F341" s="405" t="s">
        <v>1074</v>
      </c>
      <c r="G341" s="405">
        <v>2022</v>
      </c>
      <c r="H341" s="405">
        <v>9</v>
      </c>
      <c r="I341" s="416">
        <v>2005153</v>
      </c>
      <c r="J341" s="406"/>
      <c r="K341" s="405" t="s">
        <v>1408</v>
      </c>
      <c r="L341" s="406" t="s">
        <v>1409</v>
      </c>
      <c r="M341" s="406">
        <v>44599</v>
      </c>
      <c r="N341" s="406">
        <v>44682</v>
      </c>
      <c r="O341" s="406"/>
      <c r="P341" s="406" t="s">
        <v>1410</v>
      </c>
      <c r="Q341" s="406"/>
      <c r="R341" s="406"/>
      <c r="S341" s="405" t="s">
        <v>1067</v>
      </c>
      <c r="T341" s="405">
        <v>72</v>
      </c>
      <c r="U341" s="405" t="s">
        <v>1079</v>
      </c>
      <c r="V341" s="405" t="s">
        <v>1068</v>
      </c>
      <c r="W341" s="407">
        <v>475</v>
      </c>
      <c r="X341" s="371">
        <v>3480</v>
      </c>
      <c r="Y341" s="422">
        <f t="shared" si="75"/>
        <v>1653000</v>
      </c>
      <c r="Z341" s="409">
        <v>0.47499999999999998</v>
      </c>
      <c r="AA341" s="410">
        <f t="shared" si="73"/>
        <v>785175</v>
      </c>
      <c r="AB341" s="362"/>
      <c r="AC341" s="412">
        <f t="shared" si="74"/>
        <v>0</v>
      </c>
      <c r="AD341" s="405"/>
      <c r="AE341" s="413"/>
      <c r="AF341" s="424">
        <f t="shared" si="72"/>
        <v>785175</v>
      </c>
      <c r="AG341" s="405" t="s">
        <v>47</v>
      </c>
      <c r="AH341" s="395">
        <v>0</v>
      </c>
      <c r="AI341" s="405">
        <v>45</v>
      </c>
      <c r="AJ341" s="405" t="s">
        <v>1411</v>
      </c>
      <c r="AK341" s="405" t="s">
        <v>1092</v>
      </c>
      <c r="AL341" s="425">
        <v>2766</v>
      </c>
      <c r="AM341" s="405" t="s">
        <v>52</v>
      </c>
      <c r="AN341" s="405" t="s">
        <v>1082</v>
      </c>
      <c r="AO341" s="405"/>
      <c r="AP341" s="405" t="s">
        <v>38</v>
      </c>
      <c r="AQ341" s="405" t="s">
        <v>1083</v>
      </c>
      <c r="AR341" s="405"/>
      <c r="AS341" s="369" t="s">
        <v>1084</v>
      </c>
      <c r="AT341" s="363" t="s">
        <v>1073</v>
      </c>
      <c r="AU341" s="403"/>
      <c r="AV341" s="402" t="str">
        <f>U341</f>
        <v>12005833C</v>
      </c>
      <c r="AW341" s="402" cm="1">
        <f t="array" ref="AW341">SUM(MID(0&amp;AV341,LARGE(INDEX(ISNUMBER(--MID(AV341,ROW($1:$8),1))*ROW($1:$8),),ROW($1:$8))+1,1)*10^ROW($1:$8)/10)</f>
        <v>12005833</v>
      </c>
      <c r="AX341" s="402" t="str">
        <f>VLOOKUP($AW341,'Item Master Data'!$A:$F,3,FALSE)</f>
        <v>Q.PEAK DUO XL G10 BFG</v>
      </c>
      <c r="AY341" s="402">
        <f>VLOOKUP($AW341,'Item Master Data'!$A:$F,6,FALSE)</f>
        <v>475</v>
      </c>
      <c r="AZ341" s="402">
        <f>X341/BA341</f>
        <v>116</v>
      </c>
      <c r="BA341" s="402">
        <f>VLOOKUP(AW341,'Item Master Data'!$A:$G,7,FALSE)</f>
        <v>30</v>
      </c>
      <c r="BB341" s="402"/>
      <c r="BC341" s="402">
        <f>W341-AY341</f>
        <v>0</v>
      </c>
    </row>
    <row r="342" spans="1:55">
      <c r="A342" s="377"/>
      <c r="B342" s="376"/>
      <c r="C342" s="376"/>
      <c r="D342" s="405" t="s">
        <v>1066</v>
      </c>
      <c r="E342" s="364" t="s">
        <v>1093</v>
      </c>
      <c r="F342" s="405" t="s">
        <v>1074</v>
      </c>
      <c r="G342" s="405">
        <v>2022</v>
      </c>
      <c r="H342" s="405">
        <v>10</v>
      </c>
      <c r="I342" s="416" t="s">
        <v>1087</v>
      </c>
      <c r="J342" s="406"/>
      <c r="K342" s="405">
        <v>20220003</v>
      </c>
      <c r="L342" s="406" t="s">
        <v>4249</v>
      </c>
      <c r="M342" s="406">
        <v>44671</v>
      </c>
      <c r="N342" s="406">
        <v>44851</v>
      </c>
      <c r="O342" s="406"/>
      <c r="P342" s="406"/>
      <c r="Q342" s="406"/>
      <c r="R342" s="406"/>
      <c r="S342" s="405" t="s">
        <v>1078</v>
      </c>
      <c r="T342" s="405">
        <v>72</v>
      </c>
      <c r="U342" s="405">
        <v>12005832</v>
      </c>
      <c r="V342" s="405" t="s">
        <v>1068</v>
      </c>
      <c r="W342" s="407">
        <v>480</v>
      </c>
      <c r="X342" s="371">
        <v>2349</v>
      </c>
      <c r="Y342" s="422">
        <f t="shared" si="75"/>
        <v>1127520</v>
      </c>
      <c r="Z342" s="409">
        <v>0.56999999999999995</v>
      </c>
      <c r="AA342" s="410">
        <f t="shared" si="73"/>
        <v>642686.39999999991</v>
      </c>
      <c r="AB342" s="362"/>
      <c r="AC342" s="412">
        <f t="shared" si="74"/>
        <v>0</v>
      </c>
      <c r="AD342" s="405"/>
      <c r="AE342" s="413">
        <v>24502.42</v>
      </c>
      <c r="AF342" s="424">
        <f t="shared" si="72"/>
        <v>667188.81999999995</v>
      </c>
      <c r="AG342" s="405" t="s">
        <v>1069</v>
      </c>
      <c r="AH342" s="395">
        <v>3</v>
      </c>
      <c r="AI342" s="405">
        <v>60</v>
      </c>
      <c r="AJ342" s="405" t="s">
        <v>4250</v>
      </c>
      <c r="AK342" s="405" t="s">
        <v>50</v>
      </c>
      <c r="AL342" s="425">
        <v>92688</v>
      </c>
      <c r="AM342" s="405" t="s">
        <v>52</v>
      </c>
      <c r="AN342" s="405" t="s">
        <v>1071</v>
      </c>
      <c r="AO342" s="405"/>
      <c r="AP342" s="405"/>
      <c r="AQ342" s="405" t="s">
        <v>1083</v>
      </c>
      <c r="AR342" s="405"/>
      <c r="AS342" s="369" t="s">
        <v>1084</v>
      </c>
      <c r="AT342" s="363" t="s">
        <v>1073</v>
      </c>
      <c r="AU342" s="403"/>
      <c r="AV342" s="402">
        <f>U342</f>
        <v>12005832</v>
      </c>
      <c r="AW342" s="402" cm="1">
        <f t="array" ref="AW342">SUM(MID(0&amp;AV342,LARGE(INDEX(ISNUMBER(--MID(AV342,ROW($1:$8),1))*ROW($1:$8),),ROW($1:$8))+1,1)*10^ROW($1:$8)/10)</f>
        <v>12005832</v>
      </c>
      <c r="AX342" s="402" t="str">
        <f>VLOOKUP($AW342,'Item Master Data'!$A:$F,3,FALSE)</f>
        <v>Q.PEAK DUO XL G10 BFG</v>
      </c>
      <c r="AY342" s="402">
        <f>VLOOKUP($AW342,'Item Master Data'!$A:$F,6,FALSE)</f>
        <v>480</v>
      </c>
      <c r="AZ342" s="402" t="e">
        <f>X342/BA342</f>
        <v>#VALUE!</v>
      </c>
      <c r="BA342" s="402" t="str">
        <f>VLOOKUP(AW342,'Item Master Data'!$A:$G,7,FALSE)</f>
        <v> 30</v>
      </c>
      <c r="BB342" s="402"/>
      <c r="BC342" s="402">
        <f>W342-AY342</f>
        <v>0</v>
      </c>
    </row>
    <row r="343" spans="1:55">
      <c r="A343" s="377"/>
      <c r="B343" s="376"/>
      <c r="C343" s="376"/>
      <c r="D343" s="405" t="s">
        <v>1066</v>
      </c>
      <c r="E343" s="364" t="s">
        <v>1398</v>
      </c>
      <c r="F343" s="405"/>
      <c r="G343" s="405">
        <v>2022</v>
      </c>
      <c r="H343" s="405">
        <v>9</v>
      </c>
      <c r="I343" s="416" t="s">
        <v>1087</v>
      </c>
      <c r="J343" s="406"/>
      <c r="K343" s="405" t="s">
        <v>1399</v>
      </c>
      <c r="L343" s="406" t="s">
        <v>1400</v>
      </c>
      <c r="M343" s="406">
        <v>44607</v>
      </c>
      <c r="N343" s="406">
        <v>44805</v>
      </c>
      <c r="O343" s="406"/>
      <c r="P343" s="406"/>
      <c r="Q343" s="406"/>
      <c r="R343" s="406"/>
      <c r="S343" s="405" t="s">
        <v>1078</v>
      </c>
      <c r="T343" s="405">
        <v>72</v>
      </c>
      <c r="U343" s="405" t="s">
        <v>1146</v>
      </c>
      <c r="V343" s="405" t="s">
        <v>1068</v>
      </c>
      <c r="W343" s="407">
        <v>480</v>
      </c>
      <c r="X343" s="371">
        <v>104168</v>
      </c>
      <c r="Y343" s="422">
        <f t="shared" si="75"/>
        <v>50000640</v>
      </c>
      <c r="Z343" s="409">
        <v>0.45500000000000002</v>
      </c>
      <c r="AA343" s="410">
        <f t="shared" si="73"/>
        <v>22750291.199999999</v>
      </c>
      <c r="AB343" s="362"/>
      <c r="AC343" s="412">
        <f t="shared" si="74"/>
        <v>0</v>
      </c>
      <c r="AD343" s="405"/>
      <c r="AE343" s="413"/>
      <c r="AF343" s="424">
        <f t="shared" si="72"/>
        <v>22750291.199999999</v>
      </c>
      <c r="AG343" s="405" t="s">
        <v>47</v>
      </c>
      <c r="AH343" s="395">
        <v>100</v>
      </c>
      <c r="AI343" s="405">
        <v>0</v>
      </c>
      <c r="AJ343" s="405" t="s">
        <v>1401</v>
      </c>
      <c r="AK343" s="405" t="s">
        <v>1176</v>
      </c>
      <c r="AL343" s="425">
        <v>6516</v>
      </c>
      <c r="AM343" s="405" t="s">
        <v>52</v>
      </c>
      <c r="AN343" s="405" t="s">
        <v>1102</v>
      </c>
      <c r="AO343" s="405"/>
      <c r="AP343" s="405" t="s">
        <v>1102</v>
      </c>
      <c r="AQ343" s="405"/>
      <c r="AR343" s="405"/>
      <c r="AS343" s="369"/>
      <c r="AT343" s="363"/>
      <c r="AU343" s="403"/>
      <c r="AV343" s="402" t="str">
        <f>U343</f>
        <v>12005832C</v>
      </c>
      <c r="AW343" s="402" cm="1">
        <f t="array" ref="AW343">SUM(MID(0&amp;AV343,LARGE(INDEX(ISNUMBER(--MID(AV343,ROW($1:$8),1))*ROW($1:$8),),ROW($1:$8))+1,1)*10^ROW($1:$8)/10)</f>
        <v>12005832</v>
      </c>
      <c r="AX343" s="402" t="str">
        <f>VLOOKUP($AW343,'Item Master Data'!$A:$F,3,FALSE)</f>
        <v>Q.PEAK DUO XL G10 BFG</v>
      </c>
      <c r="AY343" s="402">
        <f>VLOOKUP($AW343,'Item Master Data'!$A:$F,6,FALSE)</f>
        <v>480</v>
      </c>
      <c r="AZ343" s="402" t="e">
        <f>X343/BA343</f>
        <v>#VALUE!</v>
      </c>
      <c r="BA343" s="402" t="str">
        <f>VLOOKUP(AW343,'Item Master Data'!$A:$G,7,FALSE)</f>
        <v> 30</v>
      </c>
      <c r="BB343" s="402"/>
      <c r="BC343" s="402">
        <f>W343-AY343</f>
        <v>0</v>
      </c>
    </row>
    <row r="344" spans="1:55">
      <c r="A344" s="377"/>
      <c r="B344" s="376"/>
      <c r="C344" s="376"/>
      <c r="D344" s="405" t="s">
        <v>1066</v>
      </c>
      <c r="E344" s="364"/>
      <c r="F344" s="405" t="s">
        <v>87</v>
      </c>
      <c r="G344" s="405">
        <v>2022</v>
      </c>
      <c r="H344" s="405">
        <v>5</v>
      </c>
      <c r="I344" s="416"/>
      <c r="J344" s="406"/>
      <c r="K344" s="405" t="s">
        <v>1453</v>
      </c>
      <c r="L344" s="406" t="s">
        <v>1442</v>
      </c>
      <c r="M344" s="406">
        <v>44592</v>
      </c>
      <c r="N344" s="406">
        <v>44596</v>
      </c>
      <c r="O344" s="406"/>
      <c r="P344" s="406">
        <v>44606</v>
      </c>
      <c r="Q344" s="406">
        <v>44701</v>
      </c>
      <c r="R344" s="406">
        <v>44705</v>
      </c>
      <c r="S344" s="405" t="s">
        <v>1443</v>
      </c>
      <c r="T344" s="405">
        <v>72</v>
      </c>
      <c r="U344" s="405" t="s">
        <v>1433</v>
      </c>
      <c r="V344" s="405" t="s">
        <v>1068</v>
      </c>
      <c r="W344" s="407">
        <v>475</v>
      </c>
      <c r="X344" s="371">
        <v>638</v>
      </c>
      <c r="Y344" s="422">
        <f t="shared" si="75"/>
        <v>303050</v>
      </c>
      <c r="Z344" s="409">
        <v>0.47</v>
      </c>
      <c r="AA344" s="410">
        <f t="shared" si="73"/>
        <v>142433.5</v>
      </c>
      <c r="AB344" s="362"/>
      <c r="AC344" s="412">
        <v>0</v>
      </c>
      <c r="AD344" s="405"/>
      <c r="AE344" s="413"/>
      <c r="AF344" s="424">
        <f>AA344+AE344</f>
        <v>142433.5</v>
      </c>
      <c r="AG344" s="405" t="s">
        <v>47</v>
      </c>
      <c r="AH344" s="395"/>
      <c r="AI344" s="405">
        <v>60</v>
      </c>
      <c r="AJ344" s="405" t="s">
        <v>1454</v>
      </c>
      <c r="AK344" s="405" t="s">
        <v>1136</v>
      </c>
      <c r="AL344" s="425">
        <v>78725</v>
      </c>
      <c r="AM344" s="405" t="s">
        <v>52</v>
      </c>
      <c r="AN344" s="405" t="s">
        <v>1082</v>
      </c>
      <c r="AO344" s="405"/>
      <c r="AP344" s="405" t="s">
        <v>92</v>
      </c>
      <c r="AQ344" s="405" t="s">
        <v>37</v>
      </c>
      <c r="AR344" s="405"/>
      <c r="AS344" s="369"/>
      <c r="AT344" s="363"/>
      <c r="AU344" s="403"/>
      <c r="AV344" s="402"/>
      <c r="AW344" s="402"/>
      <c r="AX344" s="402"/>
      <c r="AY344" s="402"/>
      <c r="AZ344" s="402"/>
      <c r="BA344" s="402"/>
      <c r="BB344" s="402"/>
      <c r="BC344" s="402"/>
    </row>
    <row r="345" spans="1:55">
      <c r="A345" s="377"/>
      <c r="B345" s="376"/>
      <c r="C345" s="376"/>
      <c r="D345" s="405" t="s">
        <v>1066</v>
      </c>
      <c r="E345" s="364" t="s">
        <v>4226</v>
      </c>
      <c r="F345" s="405"/>
      <c r="G345" s="405">
        <v>2022</v>
      </c>
      <c r="H345" s="405">
        <v>6</v>
      </c>
      <c r="I345" s="416" t="s">
        <v>1087</v>
      </c>
      <c r="J345" s="406"/>
      <c r="K345" s="405">
        <v>6220316</v>
      </c>
      <c r="L345" s="406" t="s">
        <v>1402</v>
      </c>
      <c r="M345" s="406">
        <v>44636</v>
      </c>
      <c r="N345" s="406">
        <v>44683</v>
      </c>
      <c r="O345" s="406"/>
      <c r="P345" s="406"/>
      <c r="Q345" s="406"/>
      <c r="R345" s="406"/>
      <c r="S345" s="405" t="s">
        <v>1107</v>
      </c>
      <c r="T345" s="405">
        <v>72</v>
      </c>
      <c r="U345" s="405" t="s">
        <v>1079</v>
      </c>
      <c r="V345" s="405" t="s">
        <v>1068</v>
      </c>
      <c r="W345" s="407">
        <v>480</v>
      </c>
      <c r="X345" s="371">
        <v>580</v>
      </c>
      <c r="Y345" s="422">
        <f t="shared" si="75"/>
        <v>278400</v>
      </c>
      <c r="Z345" s="409">
        <v>0.51500000000000001</v>
      </c>
      <c r="AA345" s="410">
        <f t="shared" si="73"/>
        <v>143376</v>
      </c>
      <c r="AB345" s="362"/>
      <c r="AC345" s="412">
        <f t="shared" ref="AC345:AC359" si="76">AB345*Y345</f>
        <v>0</v>
      </c>
      <c r="AD345" s="405"/>
      <c r="AE345" s="413">
        <f>AA345*0.06</f>
        <v>8602.56</v>
      </c>
      <c r="AF345" s="424">
        <f t="shared" ref="AF345:AF359" si="77">AE345+AD345+AA345</f>
        <v>151978.56</v>
      </c>
      <c r="AG345" s="405" t="s">
        <v>47</v>
      </c>
      <c r="AH345" s="395">
        <v>100</v>
      </c>
      <c r="AI345" s="405">
        <v>0</v>
      </c>
      <c r="AJ345" s="405" t="s">
        <v>1403</v>
      </c>
      <c r="AK345" s="405" t="s">
        <v>1178</v>
      </c>
      <c r="AL345" s="425">
        <v>49512</v>
      </c>
      <c r="AM345" s="405" t="s">
        <v>52</v>
      </c>
      <c r="AN345" s="405" t="s">
        <v>1082</v>
      </c>
      <c r="AO345" s="405"/>
      <c r="AP345" s="405" t="s">
        <v>92</v>
      </c>
      <c r="AQ345" s="405"/>
      <c r="AR345" s="405"/>
      <c r="AS345" s="369"/>
      <c r="AT345" s="363"/>
      <c r="AU345" s="403"/>
      <c r="AV345" s="402"/>
      <c r="AW345" s="402"/>
      <c r="AX345" s="402"/>
      <c r="AY345" s="402"/>
      <c r="AZ345" s="402"/>
      <c r="BA345" s="402"/>
      <c r="BB345" s="402"/>
      <c r="BC345" s="402"/>
    </row>
    <row r="346" spans="1:55">
      <c r="A346" s="377"/>
      <c r="B346" s="376"/>
      <c r="C346" s="376"/>
      <c r="D346" s="405" t="s">
        <v>1066</v>
      </c>
      <c r="E346" s="364"/>
      <c r="F346" s="405"/>
      <c r="G346" s="405">
        <v>2022</v>
      </c>
      <c r="H346" s="405">
        <v>6</v>
      </c>
      <c r="I346" s="416" t="s">
        <v>1087</v>
      </c>
      <c r="J346" s="406"/>
      <c r="K346" s="405">
        <v>6220316</v>
      </c>
      <c r="L346" s="406" t="s">
        <v>1402</v>
      </c>
      <c r="M346" s="406">
        <v>44636</v>
      </c>
      <c r="N346" s="406">
        <v>44727</v>
      </c>
      <c r="O346" s="406"/>
      <c r="P346" s="406"/>
      <c r="Q346" s="406"/>
      <c r="R346" s="406"/>
      <c r="S346" s="405" t="s">
        <v>1107</v>
      </c>
      <c r="T346" s="405">
        <v>72</v>
      </c>
      <c r="U346" s="405" t="s">
        <v>1079</v>
      </c>
      <c r="V346" s="405" t="s">
        <v>1068</v>
      </c>
      <c r="W346" s="407">
        <v>480</v>
      </c>
      <c r="X346" s="371">
        <v>986</v>
      </c>
      <c r="Y346" s="422">
        <f t="shared" si="75"/>
        <v>473280</v>
      </c>
      <c r="Z346" s="409">
        <v>0.51500000000000001</v>
      </c>
      <c r="AA346" s="410">
        <f t="shared" si="73"/>
        <v>243739.2</v>
      </c>
      <c r="AB346" s="362"/>
      <c r="AC346" s="412">
        <f t="shared" si="76"/>
        <v>0</v>
      </c>
      <c r="AD346" s="405"/>
      <c r="AE346" s="413">
        <f>AA346*0.06</f>
        <v>14624.352000000001</v>
      </c>
      <c r="AF346" s="424">
        <f t="shared" si="77"/>
        <v>258363.55200000003</v>
      </c>
      <c r="AG346" s="405" t="s">
        <v>47</v>
      </c>
      <c r="AH346" s="395">
        <v>100</v>
      </c>
      <c r="AI346" s="405">
        <v>0</v>
      </c>
      <c r="AJ346" s="405" t="s">
        <v>1403</v>
      </c>
      <c r="AK346" s="405" t="s">
        <v>1178</v>
      </c>
      <c r="AL346" s="425">
        <v>49512</v>
      </c>
      <c r="AM346" s="405" t="s">
        <v>52</v>
      </c>
      <c r="AN346" s="405" t="s">
        <v>1082</v>
      </c>
      <c r="AO346" s="405"/>
      <c r="AP346" s="405" t="s">
        <v>92</v>
      </c>
      <c r="AQ346" s="405"/>
      <c r="AR346" s="405"/>
      <c r="AS346" s="369"/>
      <c r="AT346" s="363"/>
      <c r="AU346" s="403"/>
      <c r="AV346" s="402" t="str">
        <f>U346</f>
        <v>12005833C</v>
      </c>
      <c r="AW346" s="402" cm="1">
        <f t="array" ref="AW346">SUM(MID(0&amp;AV346,LARGE(INDEX(ISNUMBER(--MID(AV346,ROW($1:$8),1))*ROW($1:$8),),ROW($1:$8))+1,1)*10^ROW($1:$8)/10)</f>
        <v>12005833</v>
      </c>
      <c r="AX346" s="402" t="str">
        <f>VLOOKUP($AW346,'Item Master Data'!$A:$F,3,FALSE)</f>
        <v>Q.PEAK DUO XL G10 BFG</v>
      </c>
      <c r="AY346" s="402">
        <f>VLOOKUP($AW346,'Item Master Data'!$A:$F,6,FALSE)</f>
        <v>475</v>
      </c>
      <c r="AZ346" s="402">
        <f>X346/BA346</f>
        <v>32.866666666666667</v>
      </c>
      <c r="BA346" s="402">
        <f>VLOOKUP(AW346,'Item Master Data'!$A:$G,7,FALSE)</f>
        <v>30</v>
      </c>
      <c r="BB346" s="402"/>
      <c r="BC346" s="402">
        <f>W346-AY346</f>
        <v>5</v>
      </c>
    </row>
    <row r="347" spans="1:55">
      <c r="A347" s="377"/>
      <c r="B347" s="376"/>
      <c r="C347" s="376"/>
      <c r="D347" s="405" t="s">
        <v>1066</v>
      </c>
      <c r="E347" s="364" t="s">
        <v>4818</v>
      </c>
      <c r="F347" s="405" t="s">
        <v>87</v>
      </c>
      <c r="G347" s="405">
        <v>2022</v>
      </c>
      <c r="H347" s="405">
        <v>8</v>
      </c>
      <c r="I347" s="416"/>
      <c r="J347" s="406"/>
      <c r="K347" s="405">
        <v>1006</v>
      </c>
      <c r="L347" s="406" t="s">
        <v>4819</v>
      </c>
      <c r="M347" s="406">
        <v>44690</v>
      </c>
      <c r="N347" s="406">
        <v>44804</v>
      </c>
      <c r="O347" s="406"/>
      <c r="P347" s="406"/>
      <c r="Q347" s="406"/>
      <c r="R347" s="406"/>
      <c r="S347" s="405" t="s">
        <v>1325</v>
      </c>
      <c r="T347" s="405">
        <v>72</v>
      </c>
      <c r="U347" s="405"/>
      <c r="V347" s="405" t="s">
        <v>1068</v>
      </c>
      <c r="W347" s="407">
        <v>480</v>
      </c>
      <c r="X347" s="371">
        <v>696</v>
      </c>
      <c r="Y347" s="422">
        <f t="shared" si="75"/>
        <v>334080</v>
      </c>
      <c r="Z347" s="409">
        <v>0.57999999999999996</v>
      </c>
      <c r="AA347" s="410">
        <f t="shared" si="73"/>
        <v>193766.39999999999</v>
      </c>
      <c r="AB347" s="362"/>
      <c r="AC347" s="412">
        <f t="shared" si="76"/>
        <v>0</v>
      </c>
      <c r="AD347" s="405"/>
      <c r="AE347" s="413"/>
      <c r="AF347" s="424">
        <f t="shared" si="77"/>
        <v>193766.39999999999</v>
      </c>
      <c r="AG347" s="405" t="s">
        <v>47</v>
      </c>
      <c r="AH347" s="395">
        <v>10</v>
      </c>
      <c r="AI347" s="405">
        <v>30</v>
      </c>
      <c r="AJ347" s="405" t="s">
        <v>4820</v>
      </c>
      <c r="AK347" s="405" t="s">
        <v>1148</v>
      </c>
      <c r="AL347" s="425">
        <v>28785</v>
      </c>
      <c r="AM347" s="405" t="s">
        <v>52</v>
      </c>
      <c r="AN347" s="405" t="s">
        <v>1071</v>
      </c>
      <c r="AO347" s="405"/>
      <c r="AP347" s="405"/>
      <c r="AQ347" s="405" t="s">
        <v>1083</v>
      </c>
      <c r="AR347" s="405"/>
      <c r="AS347" s="369" t="s">
        <v>1084</v>
      </c>
      <c r="AT347" s="363" t="s">
        <v>1073</v>
      </c>
      <c r="AU347" s="403"/>
      <c r="AV347" s="402">
        <f>U347</f>
        <v>0</v>
      </c>
      <c r="AW347" s="402" cm="1">
        <f t="array" ref="AW347">SUM(MID(0&amp;AV347,LARGE(INDEX(ISNUMBER(--MID(AV347,ROW($1:$8),1))*ROW($1:$8),),ROW($1:$8))+1,1)*10^ROW($1:$8)/10)</f>
        <v>0</v>
      </c>
      <c r="AX347" s="402" t="e">
        <f>VLOOKUP($AW347,'Item Master Data'!$A:$F,3,FALSE)</f>
        <v>#N/A</v>
      </c>
      <c r="AY347" s="402" t="e">
        <f>VLOOKUP($AW347,'Item Master Data'!$A:$F,6,FALSE)</f>
        <v>#N/A</v>
      </c>
      <c r="AZ347" s="402" t="e">
        <f>X347/BA347</f>
        <v>#N/A</v>
      </c>
      <c r="BA347" s="402" t="e">
        <f>VLOOKUP(AW347,'Item Master Data'!$A:$G,7,FALSE)</f>
        <v>#N/A</v>
      </c>
      <c r="BB347" s="402"/>
      <c r="BC347" s="402" t="e">
        <f>W347-AY347</f>
        <v>#N/A</v>
      </c>
    </row>
    <row r="348" spans="1:55">
      <c r="A348" s="377"/>
      <c r="B348" s="376"/>
      <c r="C348" s="376"/>
      <c r="D348" s="405" t="s">
        <v>1066</v>
      </c>
      <c r="E348" s="364"/>
      <c r="F348" s="405"/>
      <c r="G348" s="405">
        <v>2022</v>
      </c>
      <c r="H348" s="405">
        <v>10</v>
      </c>
      <c r="I348" s="416"/>
      <c r="J348" s="406"/>
      <c r="K348" s="405" t="s">
        <v>1570</v>
      </c>
      <c r="L348" s="406" t="s">
        <v>4580</v>
      </c>
      <c r="M348" s="406">
        <v>44684</v>
      </c>
      <c r="N348" s="406">
        <v>44805</v>
      </c>
      <c r="O348" s="406"/>
      <c r="P348" s="406"/>
      <c r="Q348" s="406"/>
      <c r="R348" s="406"/>
      <c r="S348" s="405" t="s">
        <v>1067</v>
      </c>
      <c r="T348" s="405">
        <v>72</v>
      </c>
      <c r="U348" s="405"/>
      <c r="V348" s="405" t="s">
        <v>1108</v>
      </c>
      <c r="W348" s="407">
        <v>575</v>
      </c>
      <c r="X348" s="371">
        <v>17391</v>
      </c>
      <c r="Y348" s="422">
        <f t="shared" si="75"/>
        <v>9999825</v>
      </c>
      <c r="Z348" s="409">
        <v>0.55000000000000004</v>
      </c>
      <c r="AA348" s="410">
        <f t="shared" si="73"/>
        <v>5499903.75</v>
      </c>
      <c r="AB348" s="362"/>
      <c r="AC348" s="412">
        <f t="shared" si="76"/>
        <v>0</v>
      </c>
      <c r="AD348" s="405"/>
      <c r="AE348" s="413"/>
      <c r="AF348" s="424">
        <f t="shared" si="77"/>
        <v>5499903.75</v>
      </c>
      <c r="AG348" s="405" t="s">
        <v>47</v>
      </c>
      <c r="AH348" s="395">
        <v>100</v>
      </c>
      <c r="AI348" s="405">
        <v>0</v>
      </c>
      <c r="AJ348" s="405" t="s">
        <v>1102</v>
      </c>
      <c r="AK348" s="405" t="s">
        <v>1092</v>
      </c>
      <c r="AL348" s="425" t="s">
        <v>1102</v>
      </c>
      <c r="AM348" s="405" t="s">
        <v>52</v>
      </c>
      <c r="AN348" s="405" t="s">
        <v>1102</v>
      </c>
      <c r="AO348" s="405"/>
      <c r="AP348" s="405"/>
      <c r="AQ348" s="405" t="s">
        <v>1083</v>
      </c>
      <c r="AR348" s="405"/>
      <c r="AS348" s="369" t="s">
        <v>1142</v>
      </c>
      <c r="AT348" s="363" t="s">
        <v>1073</v>
      </c>
      <c r="AU348" s="403" t="s">
        <v>1073</v>
      </c>
      <c r="AV348" s="402"/>
      <c r="AW348" s="402"/>
      <c r="AX348" s="402"/>
      <c r="AY348" s="402"/>
      <c r="AZ348" s="402"/>
      <c r="BA348" s="402"/>
      <c r="BB348" s="402"/>
      <c r="BC348" s="402"/>
    </row>
    <row r="349" spans="1:55">
      <c r="A349" s="377"/>
      <c r="B349" s="376"/>
      <c r="C349" s="376"/>
      <c r="D349" s="405" t="s">
        <v>1066</v>
      </c>
      <c r="E349" s="364"/>
      <c r="F349" s="405"/>
      <c r="G349" s="405">
        <v>2022</v>
      </c>
      <c r="H349" s="405">
        <v>5</v>
      </c>
      <c r="I349" s="416">
        <v>2005250</v>
      </c>
      <c r="J349" s="406"/>
      <c r="K349" s="405" t="s">
        <v>4621</v>
      </c>
      <c r="L349" s="406" t="s">
        <v>4622</v>
      </c>
      <c r="M349" s="406">
        <v>44659</v>
      </c>
      <c r="N349" s="406">
        <v>44682</v>
      </c>
      <c r="O349" s="406"/>
      <c r="P349" s="406" t="s">
        <v>1368</v>
      </c>
      <c r="Q349" s="406"/>
      <c r="R349" s="406"/>
      <c r="S349" s="405" t="s">
        <v>1325</v>
      </c>
      <c r="T349" s="405">
        <v>72</v>
      </c>
      <c r="U349" s="405">
        <v>49303156</v>
      </c>
      <c r="V349" s="405" t="s">
        <v>1068</v>
      </c>
      <c r="W349" s="407">
        <v>480</v>
      </c>
      <c r="X349" s="371">
        <v>522</v>
      </c>
      <c r="Y349" s="422">
        <f t="shared" si="75"/>
        <v>250560</v>
      </c>
      <c r="Z349" s="409">
        <v>0.55000000000000004</v>
      </c>
      <c r="AA349" s="410">
        <f t="shared" si="73"/>
        <v>137808</v>
      </c>
      <c r="AB349" s="362"/>
      <c r="AC349" s="412">
        <f t="shared" si="76"/>
        <v>0</v>
      </c>
      <c r="AD349" s="405"/>
      <c r="AE349" s="413"/>
      <c r="AF349" s="424">
        <f t="shared" si="77"/>
        <v>137808</v>
      </c>
      <c r="AG349" s="405" t="s">
        <v>47</v>
      </c>
      <c r="AH349" s="395">
        <v>10</v>
      </c>
      <c r="AI349" s="405">
        <v>30</v>
      </c>
      <c r="AJ349" s="405" t="s">
        <v>4623</v>
      </c>
      <c r="AK349" s="405" t="s">
        <v>1081</v>
      </c>
      <c r="AL349" s="425">
        <v>34428</v>
      </c>
      <c r="AM349" s="405" t="s">
        <v>52</v>
      </c>
      <c r="AN349" s="405" t="s">
        <v>1101</v>
      </c>
      <c r="AO349" s="405"/>
      <c r="AP349" s="405"/>
      <c r="AQ349" s="405" t="s">
        <v>1083</v>
      </c>
      <c r="AR349" s="405"/>
      <c r="AS349" s="369" t="s">
        <v>1142</v>
      </c>
      <c r="AT349" s="363" t="s">
        <v>1073</v>
      </c>
      <c r="AU349" s="403" t="s">
        <v>1073</v>
      </c>
      <c r="AV349" s="402"/>
      <c r="AW349" s="402"/>
      <c r="AX349" s="402"/>
      <c r="AY349" s="402"/>
      <c r="AZ349" s="402"/>
      <c r="BA349" s="402"/>
      <c r="BB349" s="402"/>
      <c r="BC349" s="402"/>
    </row>
    <row r="350" spans="1:55">
      <c r="A350" s="377"/>
      <c r="B350" s="376" t="s">
        <v>1186</v>
      </c>
      <c r="C350" s="376" t="s">
        <v>1186</v>
      </c>
      <c r="D350" s="405" t="s">
        <v>1066</v>
      </c>
      <c r="E350" s="364" t="s">
        <v>1093</v>
      </c>
      <c r="F350" s="405"/>
      <c r="G350" s="405">
        <v>2022</v>
      </c>
      <c r="H350" s="405">
        <v>10</v>
      </c>
      <c r="I350" s="416"/>
      <c r="J350" s="406"/>
      <c r="K350" s="405" t="s">
        <v>4265</v>
      </c>
      <c r="L350" s="406" t="s">
        <v>1189</v>
      </c>
      <c r="M350" s="406">
        <v>44673</v>
      </c>
      <c r="N350" s="406">
        <v>44835</v>
      </c>
      <c r="O350" s="406"/>
      <c r="P350" s="406"/>
      <c r="Q350" s="406"/>
      <c r="R350" s="406"/>
      <c r="S350" s="405" t="s">
        <v>1107</v>
      </c>
      <c r="T350" s="405">
        <v>60</v>
      </c>
      <c r="U350" s="405"/>
      <c r="V350" s="405" t="s">
        <v>973</v>
      </c>
      <c r="W350" s="407">
        <v>400</v>
      </c>
      <c r="X350" s="371">
        <v>768</v>
      </c>
      <c r="Y350" s="422">
        <f>X350*W350</f>
        <v>307200</v>
      </c>
      <c r="Z350" s="409">
        <v>0.64</v>
      </c>
      <c r="AA350" s="410">
        <f t="shared" si="73"/>
        <v>196608</v>
      </c>
      <c r="AB350" s="362"/>
      <c r="AC350" s="412">
        <f t="shared" si="76"/>
        <v>0</v>
      </c>
      <c r="AD350" s="405"/>
      <c r="AE350" s="413"/>
      <c r="AF350" s="424">
        <f t="shared" si="77"/>
        <v>196608</v>
      </c>
      <c r="AG350" s="405" t="s">
        <v>1069</v>
      </c>
      <c r="AH350" s="395">
        <v>0</v>
      </c>
      <c r="AI350" s="405">
        <v>60</v>
      </c>
      <c r="AJ350" s="405" t="s">
        <v>1190</v>
      </c>
      <c r="AK350" s="405" t="s">
        <v>1191</v>
      </c>
      <c r="AL350" s="425">
        <v>43125</v>
      </c>
      <c r="AM350" s="405" t="s">
        <v>52</v>
      </c>
      <c r="AN350" s="405" t="s">
        <v>1071</v>
      </c>
      <c r="AO350" s="405"/>
      <c r="AP350" s="405"/>
      <c r="AQ350" s="405"/>
      <c r="AR350" s="405"/>
      <c r="AS350" s="369"/>
      <c r="AT350" s="363"/>
      <c r="AU350" s="403"/>
      <c r="AV350" s="402">
        <f>U350</f>
        <v>0</v>
      </c>
      <c r="AW350" s="402" cm="1">
        <f t="array" ref="AW350">SUM(MID(0&amp;AV350,LARGE(INDEX(ISNUMBER(--MID(AV350,ROW($1:$8),1))*ROW($1:$8),),ROW($1:$8))+1,1)*10^ROW($1:$8)/10)</f>
        <v>0</v>
      </c>
      <c r="AX350" s="402" t="e">
        <f>VLOOKUP($AW350,'Item Master Data'!$A:$F,3,FALSE)</f>
        <v>#N/A</v>
      </c>
      <c r="AY350" s="402" t="e">
        <f>VLOOKUP($AW350,'Item Master Data'!$A:$F,6,FALSE)</f>
        <v>#N/A</v>
      </c>
      <c r="AZ350" s="402" t="e">
        <f>X350/BA350</f>
        <v>#N/A</v>
      </c>
      <c r="BA350" s="402" t="e">
        <f>VLOOKUP(AW350,'Item Master Data'!$A:$G,7,FALSE)</f>
        <v>#N/A</v>
      </c>
      <c r="BB350" s="402"/>
      <c r="BC350" s="402" t="e">
        <f>W350-AY350</f>
        <v>#N/A</v>
      </c>
    </row>
    <row r="351" spans="1:55">
      <c r="A351" s="377"/>
      <c r="B351" s="376"/>
      <c r="C351" s="376"/>
      <c r="D351" s="405" t="s">
        <v>1066</v>
      </c>
      <c r="E351" s="364" t="s">
        <v>1307</v>
      </c>
      <c r="F351" s="405" t="s">
        <v>87</v>
      </c>
      <c r="G351" s="405">
        <v>2022</v>
      </c>
      <c r="H351" s="405">
        <v>10</v>
      </c>
      <c r="I351" s="416"/>
      <c r="J351" s="406"/>
      <c r="K351" s="405">
        <v>12001603</v>
      </c>
      <c r="L351" s="406" t="s">
        <v>4821</v>
      </c>
      <c r="M351" s="406">
        <v>44690</v>
      </c>
      <c r="N351" s="406">
        <v>44839</v>
      </c>
      <c r="O351" s="406"/>
      <c r="P351" s="406"/>
      <c r="Q351" s="406"/>
      <c r="R351" s="406"/>
      <c r="S351" s="405" t="s">
        <v>4822</v>
      </c>
      <c r="T351" s="405">
        <v>72</v>
      </c>
      <c r="U351" s="405"/>
      <c r="V351" s="405" t="s">
        <v>1068</v>
      </c>
      <c r="W351" s="407">
        <v>480</v>
      </c>
      <c r="X351" s="371">
        <v>5208</v>
      </c>
      <c r="Y351" s="422">
        <f>W351*X351</f>
        <v>2499840</v>
      </c>
      <c r="Z351" s="409">
        <v>0.57999999999999996</v>
      </c>
      <c r="AA351" s="410">
        <f t="shared" si="73"/>
        <v>1449907.2</v>
      </c>
      <c r="AB351" s="362"/>
      <c r="AC351" s="412">
        <f t="shared" si="76"/>
        <v>0</v>
      </c>
      <c r="AD351" s="405"/>
      <c r="AE351" s="413"/>
      <c r="AF351" s="424">
        <f t="shared" si="77"/>
        <v>1449907.2</v>
      </c>
      <c r="AG351" s="405" t="s">
        <v>47</v>
      </c>
      <c r="AH351" s="395">
        <v>10</v>
      </c>
      <c r="AI351" s="405">
        <v>30</v>
      </c>
      <c r="AJ351" s="405" t="s">
        <v>4820</v>
      </c>
      <c r="AK351" s="405" t="s">
        <v>1148</v>
      </c>
      <c r="AL351" s="425">
        <v>28785</v>
      </c>
      <c r="AM351" s="405" t="s">
        <v>52</v>
      </c>
      <c r="AN351" s="405" t="s">
        <v>1071</v>
      </c>
      <c r="AO351" s="405"/>
      <c r="AP351" s="405"/>
      <c r="AQ351" s="405" t="s">
        <v>1083</v>
      </c>
      <c r="AR351" s="405"/>
      <c r="AS351" s="369" t="s">
        <v>1084</v>
      </c>
      <c r="AT351" s="363" t="s">
        <v>1073</v>
      </c>
      <c r="AU351" s="403"/>
      <c r="AV351" s="402">
        <f>U351</f>
        <v>0</v>
      </c>
      <c r="AW351" s="402" cm="1">
        <f t="array" ref="AW351">SUM(MID(0&amp;AV351,LARGE(INDEX(ISNUMBER(--MID(AV351,ROW($1:$8),1))*ROW($1:$8),),ROW($1:$8))+1,1)*10^ROW($1:$8)/10)</f>
        <v>0</v>
      </c>
      <c r="AX351" s="402" t="e">
        <f>VLOOKUP($AW351,'Item Master Data'!$A:$F,3,FALSE)</f>
        <v>#N/A</v>
      </c>
      <c r="AY351" s="402" t="e">
        <f>VLOOKUP($AW351,'Item Master Data'!$A:$F,6,FALSE)</f>
        <v>#N/A</v>
      </c>
      <c r="AZ351" s="402" t="e">
        <f>X351/BA351</f>
        <v>#N/A</v>
      </c>
      <c r="BA351" s="402" t="e">
        <f>VLOOKUP(AW351,'Item Master Data'!$A:$G,7,FALSE)</f>
        <v>#N/A</v>
      </c>
      <c r="BB351" s="402"/>
      <c r="BC351" s="402" t="e">
        <f>W351-AY351</f>
        <v>#N/A</v>
      </c>
    </row>
    <row r="352" spans="1:55">
      <c r="A352" s="377"/>
      <c r="B352" s="376">
        <v>44634</v>
      </c>
      <c r="C352" s="376" t="s">
        <v>1186</v>
      </c>
      <c r="D352" s="405" t="s">
        <v>1066</v>
      </c>
      <c r="E352" s="364" t="s">
        <v>2367</v>
      </c>
      <c r="F352" s="405"/>
      <c r="G352" s="405">
        <v>2022</v>
      </c>
      <c r="H352" s="405">
        <v>10</v>
      </c>
      <c r="I352" s="416"/>
      <c r="J352" s="406"/>
      <c r="K352" s="405" t="s">
        <v>4515</v>
      </c>
      <c r="L352" s="406" t="s">
        <v>1205</v>
      </c>
      <c r="M352" s="406">
        <v>44680</v>
      </c>
      <c r="N352" s="406">
        <v>44835</v>
      </c>
      <c r="O352" s="406"/>
      <c r="P352" s="406"/>
      <c r="Q352" s="406"/>
      <c r="R352" s="406"/>
      <c r="S352" s="405" t="s">
        <v>1107</v>
      </c>
      <c r="T352" s="405">
        <v>60</v>
      </c>
      <c r="U352" s="405"/>
      <c r="V352" s="405" t="s">
        <v>973</v>
      </c>
      <c r="W352" s="407">
        <v>400</v>
      </c>
      <c r="X352" s="371">
        <v>2304</v>
      </c>
      <c r="Y352" s="422">
        <f>W352*X352</f>
        <v>921600</v>
      </c>
      <c r="Z352" s="409">
        <v>0.64</v>
      </c>
      <c r="AA352" s="410">
        <f t="shared" si="73"/>
        <v>589824</v>
      </c>
      <c r="AB352" s="362"/>
      <c r="AC352" s="412">
        <f t="shared" si="76"/>
        <v>0</v>
      </c>
      <c r="AD352" s="405"/>
      <c r="AE352" s="413"/>
      <c r="AF352" s="424">
        <f t="shared" si="77"/>
        <v>589824</v>
      </c>
      <c r="AG352" s="405" t="s">
        <v>1069</v>
      </c>
      <c r="AH352" s="395">
        <v>0</v>
      </c>
      <c r="AI352" s="405">
        <v>60</v>
      </c>
      <c r="AJ352" s="405" t="s">
        <v>1206</v>
      </c>
      <c r="AK352" s="405" t="s">
        <v>1207</v>
      </c>
      <c r="AL352" s="425" t="s">
        <v>1208</v>
      </c>
      <c r="AM352" s="405" t="s">
        <v>52</v>
      </c>
      <c r="AN352" s="405" t="s">
        <v>1071</v>
      </c>
      <c r="AO352" s="405"/>
      <c r="AP352" s="405"/>
      <c r="AQ352" s="405" t="s">
        <v>1083</v>
      </c>
      <c r="AR352" s="405"/>
      <c r="AS352" s="369" t="s">
        <v>1142</v>
      </c>
      <c r="AT352" s="363" t="s">
        <v>1073</v>
      </c>
      <c r="AU352" s="403" t="s">
        <v>1073</v>
      </c>
      <c r="AV352" s="402"/>
      <c r="AW352" s="402"/>
      <c r="AX352" s="402"/>
      <c r="AY352" s="402"/>
      <c r="AZ352" s="402"/>
      <c r="BA352" s="402"/>
      <c r="BB352" s="402"/>
      <c r="BC352" s="402"/>
    </row>
    <row r="353" spans="1:55">
      <c r="A353" s="377"/>
      <c r="B353" s="376"/>
      <c r="C353" s="376"/>
      <c r="D353" s="405" t="s">
        <v>1066</v>
      </c>
      <c r="E353" s="364" t="s">
        <v>4113</v>
      </c>
      <c r="F353" s="405" t="s">
        <v>1074</v>
      </c>
      <c r="G353" s="405">
        <v>2022</v>
      </c>
      <c r="H353" s="405">
        <v>6</v>
      </c>
      <c r="I353" s="416">
        <v>2005116</v>
      </c>
      <c r="J353" s="406"/>
      <c r="K353" s="405" t="s">
        <v>1406</v>
      </c>
      <c r="L353" s="406" t="s">
        <v>1407</v>
      </c>
      <c r="M353" s="406">
        <v>44575</v>
      </c>
      <c r="N353" s="406">
        <v>44682</v>
      </c>
      <c r="O353" s="406"/>
      <c r="P353" s="406"/>
      <c r="Q353" s="406"/>
      <c r="R353" s="406"/>
      <c r="S353" s="405" t="s">
        <v>1067</v>
      </c>
      <c r="T353" s="405">
        <v>72</v>
      </c>
      <c r="U353" s="405"/>
      <c r="V353" s="405" t="s">
        <v>1068</v>
      </c>
      <c r="W353" s="407">
        <v>480</v>
      </c>
      <c r="X353" s="371">
        <v>4698</v>
      </c>
      <c r="Y353" s="422">
        <f>W353*X353</f>
        <v>2255040</v>
      </c>
      <c r="Z353" s="409">
        <v>0.48499999999999999</v>
      </c>
      <c r="AA353" s="410">
        <f t="shared" si="73"/>
        <v>1093694.3999999999</v>
      </c>
      <c r="AB353" s="362"/>
      <c r="AC353" s="412">
        <f t="shared" si="76"/>
        <v>0</v>
      </c>
      <c r="AD353" s="405"/>
      <c r="AE353" s="413"/>
      <c r="AF353" s="424">
        <f t="shared" si="77"/>
        <v>1093694.3999999999</v>
      </c>
      <c r="AG353" s="405" t="s">
        <v>1069</v>
      </c>
      <c r="AH353" s="395">
        <v>10</v>
      </c>
      <c r="AI353" s="405">
        <v>30</v>
      </c>
      <c r="AJ353" s="405" t="s">
        <v>1102</v>
      </c>
      <c r="AK353" s="405" t="s">
        <v>1130</v>
      </c>
      <c r="AL353" s="425" t="s">
        <v>1102</v>
      </c>
      <c r="AM353" s="405" t="s">
        <v>52</v>
      </c>
      <c r="AN353" s="405" t="s">
        <v>1071</v>
      </c>
      <c r="AO353" s="405"/>
      <c r="AP353" s="405"/>
      <c r="AQ353" s="405" t="s">
        <v>1083</v>
      </c>
      <c r="AR353" s="405"/>
      <c r="AS353" s="369" t="s">
        <v>1084</v>
      </c>
      <c r="AT353" s="363" t="s">
        <v>1073</v>
      </c>
      <c r="AU353" s="403"/>
      <c r="AV353" s="402">
        <f>U353</f>
        <v>0</v>
      </c>
      <c r="AW353" s="402" cm="1">
        <f t="array" ref="AW353">SUM(MID(0&amp;AV353,LARGE(INDEX(ISNUMBER(--MID(AV353,ROW($1:$8),1))*ROW($1:$8),),ROW($1:$8))+1,1)*10^ROW($1:$8)/10)</f>
        <v>0</v>
      </c>
      <c r="AX353" s="402" t="e">
        <f>VLOOKUP($AW353,'Item Master Data'!$A:$F,3,FALSE)</f>
        <v>#N/A</v>
      </c>
      <c r="AY353" s="402" t="e">
        <f>VLOOKUP($AW353,'Item Master Data'!$A:$F,6,FALSE)</f>
        <v>#N/A</v>
      </c>
      <c r="AZ353" s="402" t="e">
        <f>X353/BA353</f>
        <v>#N/A</v>
      </c>
      <c r="BA353" s="402" t="e">
        <f>VLOOKUP(AW353,'Item Master Data'!$A:$G,7,FALSE)</f>
        <v>#N/A</v>
      </c>
      <c r="BB353" s="402"/>
      <c r="BC353" s="402" t="e">
        <f>W353-AY353</f>
        <v>#N/A</v>
      </c>
    </row>
    <row r="354" spans="1:55">
      <c r="A354" s="377"/>
      <c r="B354" s="376"/>
      <c r="C354" s="376"/>
      <c r="D354" s="405" t="s">
        <v>1066</v>
      </c>
      <c r="E354" s="364" t="s">
        <v>4369</v>
      </c>
      <c r="F354" s="405"/>
      <c r="G354" s="405">
        <v>2022</v>
      </c>
      <c r="H354" s="405">
        <v>10</v>
      </c>
      <c r="I354" s="416"/>
      <c r="J354" s="406"/>
      <c r="K354" s="405">
        <v>1003</v>
      </c>
      <c r="L354" s="406" t="s">
        <v>4370</v>
      </c>
      <c r="M354" s="406">
        <v>44677</v>
      </c>
      <c r="N354" s="406">
        <v>44835</v>
      </c>
      <c r="O354" s="406"/>
      <c r="P354" s="406"/>
      <c r="Q354" s="406"/>
      <c r="R354" s="406"/>
      <c r="S354" s="405" t="s">
        <v>1067</v>
      </c>
      <c r="T354" s="405">
        <v>72</v>
      </c>
      <c r="U354" s="405"/>
      <c r="V354" s="405" t="s">
        <v>1108</v>
      </c>
      <c r="W354" s="407">
        <v>575</v>
      </c>
      <c r="X354" s="371">
        <v>6960</v>
      </c>
      <c r="Y354" s="422">
        <f>X354*W354</f>
        <v>4002000</v>
      </c>
      <c r="Z354" s="409">
        <v>0.57499999999999996</v>
      </c>
      <c r="AA354" s="410">
        <f t="shared" si="73"/>
        <v>2301150</v>
      </c>
      <c r="AB354" s="362"/>
      <c r="AC354" s="412">
        <f t="shared" si="76"/>
        <v>0</v>
      </c>
      <c r="AD354" s="405"/>
      <c r="AE354" s="413"/>
      <c r="AF354" s="424">
        <f t="shared" si="77"/>
        <v>2301150</v>
      </c>
      <c r="AG354" s="405" t="s">
        <v>47</v>
      </c>
      <c r="AH354" s="395">
        <v>100</v>
      </c>
      <c r="AI354" s="405">
        <v>0</v>
      </c>
      <c r="AJ354" s="405" t="s">
        <v>1102</v>
      </c>
      <c r="AK354" s="405" t="s">
        <v>1102</v>
      </c>
      <c r="AL354" s="425" t="s">
        <v>1102</v>
      </c>
      <c r="AM354" s="405" t="s">
        <v>52</v>
      </c>
      <c r="AN354" s="405" t="s">
        <v>1071</v>
      </c>
      <c r="AO354" s="405"/>
      <c r="AP354" s="405"/>
      <c r="AQ354" s="405"/>
      <c r="AR354" s="405"/>
      <c r="AS354" s="369"/>
      <c r="AT354" s="363"/>
      <c r="AU354" s="403"/>
      <c r="AV354" s="402">
        <f>U354</f>
        <v>0</v>
      </c>
      <c r="AW354" s="402" cm="1">
        <f t="array" ref="AW354">SUM(MID(0&amp;AV354,LARGE(INDEX(ISNUMBER(--MID(AV354,ROW($1:$8),1))*ROW($1:$8),),ROW($1:$8))+1,1)*10^ROW($1:$8)/10)</f>
        <v>0</v>
      </c>
      <c r="AX354" s="402" t="e">
        <f>VLOOKUP($AW354,'Item Master Data'!$A:$F,3,FALSE)</f>
        <v>#N/A</v>
      </c>
      <c r="AY354" s="402" t="e">
        <f>VLOOKUP($AW354,'Item Master Data'!$A:$F,6,FALSE)</f>
        <v>#N/A</v>
      </c>
      <c r="AZ354" s="402" t="e">
        <f>X354/BA354</f>
        <v>#N/A</v>
      </c>
      <c r="BA354" s="402" t="e">
        <f>VLOOKUP(AW354,'Item Master Data'!$A:$G,7,FALSE)</f>
        <v>#N/A</v>
      </c>
      <c r="BB354" s="402"/>
      <c r="BC354" s="402" t="e">
        <f>W354-AY354</f>
        <v>#N/A</v>
      </c>
    </row>
    <row r="355" spans="1:55">
      <c r="A355" s="377"/>
      <c r="B355" s="376"/>
      <c r="C355" s="376"/>
      <c r="D355" s="405" t="s">
        <v>1066</v>
      </c>
      <c r="E355" s="364" t="s">
        <v>1385</v>
      </c>
      <c r="F355" s="405" t="s">
        <v>1074</v>
      </c>
      <c r="G355" s="405">
        <v>2022</v>
      </c>
      <c r="H355" s="405">
        <v>10</v>
      </c>
      <c r="I355" s="416" t="s">
        <v>1087</v>
      </c>
      <c r="J355" s="406"/>
      <c r="K355" s="405" t="s">
        <v>1386</v>
      </c>
      <c r="L355" s="406" t="s">
        <v>1380</v>
      </c>
      <c r="M355" s="406">
        <v>44532</v>
      </c>
      <c r="N355" s="406">
        <v>44743</v>
      </c>
      <c r="O355" s="406"/>
      <c r="P355" s="406"/>
      <c r="Q355" s="406"/>
      <c r="R355" s="406"/>
      <c r="S355" s="405" t="s">
        <v>1107</v>
      </c>
      <c r="T355" s="405">
        <v>72</v>
      </c>
      <c r="U355" s="405" t="s">
        <v>1146</v>
      </c>
      <c r="V355" s="405" t="s">
        <v>1194</v>
      </c>
      <c r="W355" s="407">
        <v>480</v>
      </c>
      <c r="X355" s="371">
        <v>13688</v>
      </c>
      <c r="Y355" s="422">
        <f t="shared" ref="Y355:Y368" si="78">W355*X355</f>
        <v>6570240</v>
      </c>
      <c r="Z355" s="409">
        <v>0.44500000000000001</v>
      </c>
      <c r="AA355" s="410">
        <f t="shared" si="73"/>
        <v>2923756.8</v>
      </c>
      <c r="AB355" s="362"/>
      <c r="AC355" s="412">
        <f t="shared" si="76"/>
        <v>0</v>
      </c>
      <c r="AD355" s="405"/>
      <c r="AE355" s="413"/>
      <c r="AF355" s="424">
        <f t="shared" si="77"/>
        <v>2923756.8</v>
      </c>
      <c r="AG355" s="405" t="s">
        <v>47</v>
      </c>
      <c r="AH355" s="395">
        <v>10</v>
      </c>
      <c r="AI355" s="405">
        <v>30</v>
      </c>
      <c r="AJ355" s="405" t="s">
        <v>1316</v>
      </c>
      <c r="AK355" s="405" t="s">
        <v>1207</v>
      </c>
      <c r="AL355" s="425">
        <v>47374</v>
      </c>
      <c r="AM355" s="405" t="s">
        <v>52</v>
      </c>
      <c r="AN355" s="405" t="s">
        <v>1082</v>
      </c>
      <c r="AO355" s="405"/>
      <c r="AP355" s="405" t="s">
        <v>38</v>
      </c>
      <c r="AQ355" s="405" t="s">
        <v>1083</v>
      </c>
      <c r="AR355" s="405"/>
      <c r="AS355" s="369" t="s">
        <v>1073</v>
      </c>
      <c r="AT355" s="363" t="s">
        <v>1073</v>
      </c>
      <c r="AU355" s="403"/>
      <c r="AV355" s="402"/>
      <c r="AW355" s="402"/>
      <c r="AX355" s="402"/>
      <c r="AY355" s="402"/>
      <c r="AZ355" s="402"/>
      <c r="BA355" s="402"/>
      <c r="BB355" s="402"/>
      <c r="BC355" s="402"/>
    </row>
    <row r="356" spans="1:55">
      <c r="A356" s="377"/>
      <c r="B356" s="376"/>
      <c r="C356" s="376"/>
      <c r="D356" s="405" t="s">
        <v>1066</v>
      </c>
      <c r="E356" s="364" t="s">
        <v>1239</v>
      </c>
      <c r="F356" s="405" t="s">
        <v>1074</v>
      </c>
      <c r="G356" s="405">
        <v>2022</v>
      </c>
      <c r="H356" s="405">
        <v>7</v>
      </c>
      <c r="I356" s="416" t="s">
        <v>1087</v>
      </c>
      <c r="J356" s="406"/>
      <c r="K356" s="405" t="s">
        <v>1412</v>
      </c>
      <c r="L356" s="406" t="s">
        <v>1409</v>
      </c>
      <c r="M356" s="406">
        <v>44655</v>
      </c>
      <c r="N356" s="406">
        <v>44774</v>
      </c>
      <c r="O356" s="406"/>
      <c r="P356" s="406"/>
      <c r="Q356" s="406"/>
      <c r="R356" s="406"/>
      <c r="S356" s="405" t="s">
        <v>1067</v>
      </c>
      <c r="T356" s="405">
        <v>72</v>
      </c>
      <c r="U356" s="405" t="s">
        <v>1079</v>
      </c>
      <c r="V356" s="405" t="s">
        <v>1068</v>
      </c>
      <c r="W356" s="407">
        <v>480</v>
      </c>
      <c r="X356" s="371">
        <v>4167</v>
      </c>
      <c r="Y356" s="422">
        <f t="shared" si="78"/>
        <v>2000160</v>
      </c>
      <c r="Z356" s="409">
        <v>0.53</v>
      </c>
      <c r="AA356" s="410">
        <f t="shared" si="73"/>
        <v>1060084.8</v>
      </c>
      <c r="AB356" s="362"/>
      <c r="AC356" s="412">
        <f t="shared" si="76"/>
        <v>0</v>
      </c>
      <c r="AD356" s="405"/>
      <c r="AE356" s="413"/>
      <c r="AF356" s="424">
        <f t="shared" si="77"/>
        <v>1060084.8</v>
      </c>
      <c r="AG356" s="405" t="s">
        <v>47</v>
      </c>
      <c r="AH356" s="395">
        <v>0</v>
      </c>
      <c r="AI356" s="405">
        <v>45</v>
      </c>
      <c r="AJ356" s="405" t="s">
        <v>1411</v>
      </c>
      <c r="AK356" s="405" t="s">
        <v>1092</v>
      </c>
      <c r="AL356" s="425">
        <v>2766</v>
      </c>
      <c r="AM356" s="405" t="s">
        <v>52</v>
      </c>
      <c r="AN356" s="405" t="s">
        <v>1082</v>
      </c>
      <c r="AO356" s="405"/>
      <c r="AP356" s="405" t="s">
        <v>38</v>
      </c>
      <c r="AQ356" s="405" t="s">
        <v>1083</v>
      </c>
      <c r="AR356" s="405"/>
      <c r="AS356" s="369" t="s">
        <v>1084</v>
      </c>
      <c r="AT356" s="363" t="s">
        <v>1073</v>
      </c>
      <c r="AU356" s="403"/>
      <c r="AV356" s="402"/>
      <c r="AW356" s="402"/>
      <c r="AX356" s="402"/>
      <c r="AY356" s="402"/>
      <c r="AZ356" s="402"/>
      <c r="BA356" s="402"/>
      <c r="BB356" s="402"/>
      <c r="BC356" s="402"/>
    </row>
    <row r="357" spans="1:55">
      <c r="A357" s="377"/>
      <c r="B357" s="376"/>
      <c r="C357" s="376"/>
      <c r="D357" s="405" t="s">
        <v>1066</v>
      </c>
      <c r="E357" s="364" t="s">
        <v>1239</v>
      </c>
      <c r="F357" s="405" t="s">
        <v>1074</v>
      </c>
      <c r="G357" s="405">
        <v>2022</v>
      </c>
      <c r="H357" s="405">
        <v>8</v>
      </c>
      <c r="I357" s="416" t="s">
        <v>1087</v>
      </c>
      <c r="J357" s="406"/>
      <c r="K357" s="405" t="s">
        <v>1412</v>
      </c>
      <c r="L357" s="406" t="s">
        <v>1409</v>
      </c>
      <c r="M357" s="406">
        <v>44655</v>
      </c>
      <c r="N357" s="406">
        <v>44774</v>
      </c>
      <c r="O357" s="406"/>
      <c r="P357" s="406"/>
      <c r="Q357" s="406"/>
      <c r="R357" s="406"/>
      <c r="S357" s="405" t="s">
        <v>1067</v>
      </c>
      <c r="T357" s="405">
        <v>72</v>
      </c>
      <c r="U357" s="405" t="s">
        <v>1079</v>
      </c>
      <c r="V357" s="405" t="s">
        <v>1068</v>
      </c>
      <c r="W357" s="407">
        <v>480</v>
      </c>
      <c r="X357" s="371">
        <v>6235</v>
      </c>
      <c r="Y357" s="422">
        <f t="shared" si="78"/>
        <v>2992800</v>
      </c>
      <c r="Z357" s="409">
        <v>0.53</v>
      </c>
      <c r="AA357" s="410">
        <f t="shared" si="73"/>
        <v>1586184</v>
      </c>
      <c r="AB357" s="362"/>
      <c r="AC357" s="412">
        <f t="shared" si="76"/>
        <v>0</v>
      </c>
      <c r="AD357" s="405"/>
      <c r="AE357" s="413"/>
      <c r="AF357" s="424">
        <f t="shared" si="77"/>
        <v>1586184</v>
      </c>
      <c r="AG357" s="405" t="s">
        <v>47</v>
      </c>
      <c r="AH357" s="395">
        <v>0</v>
      </c>
      <c r="AI357" s="405">
        <v>45</v>
      </c>
      <c r="AJ357" s="405" t="s">
        <v>1411</v>
      </c>
      <c r="AK357" s="405" t="s">
        <v>1092</v>
      </c>
      <c r="AL357" s="425">
        <v>2766</v>
      </c>
      <c r="AM357" s="405" t="s">
        <v>52</v>
      </c>
      <c r="AN357" s="405" t="s">
        <v>1082</v>
      </c>
      <c r="AO357" s="405"/>
      <c r="AP357" s="405" t="s">
        <v>38</v>
      </c>
      <c r="AQ357" s="405" t="s">
        <v>1083</v>
      </c>
      <c r="AR357" s="405"/>
      <c r="AS357" s="369" t="s">
        <v>1084</v>
      </c>
      <c r="AT357" s="363" t="s">
        <v>1073</v>
      </c>
      <c r="AU357" s="403"/>
      <c r="AV357" s="402" t="str">
        <f>U357</f>
        <v>12005833C</v>
      </c>
      <c r="AW357" s="402" cm="1">
        <f t="array" ref="AW357">SUM(MID(0&amp;AV357,LARGE(INDEX(ISNUMBER(--MID(AV357,ROW($1:$8),1))*ROW($1:$8),),ROW($1:$8))+1,1)*10^ROW($1:$8)/10)</f>
        <v>12005833</v>
      </c>
      <c r="AX357" s="402" t="str">
        <f>VLOOKUP($AW357,'Item Master Data'!$A:$F,3,FALSE)</f>
        <v>Q.PEAK DUO XL G10 BFG</v>
      </c>
      <c r="AY357" s="402">
        <f>VLOOKUP($AW357,'Item Master Data'!$A:$F,6,FALSE)</f>
        <v>475</v>
      </c>
      <c r="AZ357" s="402">
        <f>X357/BA357</f>
        <v>207.83333333333334</v>
      </c>
      <c r="BA357" s="402">
        <f>VLOOKUP(AW357,'Item Master Data'!$A:$G,7,FALSE)</f>
        <v>30</v>
      </c>
      <c r="BB357" s="402"/>
      <c r="BC357" s="402">
        <f>W357-AY357</f>
        <v>5</v>
      </c>
    </row>
    <row r="358" spans="1:55">
      <c r="A358" s="377"/>
      <c r="B358" s="376"/>
      <c r="C358" s="376"/>
      <c r="D358" s="405" t="s">
        <v>1066</v>
      </c>
      <c r="E358" s="364" t="s">
        <v>1239</v>
      </c>
      <c r="F358" s="405" t="s">
        <v>1074</v>
      </c>
      <c r="G358" s="405">
        <v>2022</v>
      </c>
      <c r="H358" s="405">
        <v>9</v>
      </c>
      <c r="I358" s="416" t="s">
        <v>1087</v>
      </c>
      <c r="J358" s="406"/>
      <c r="K358" s="405" t="s">
        <v>1412</v>
      </c>
      <c r="L358" s="406" t="s">
        <v>1409</v>
      </c>
      <c r="M358" s="406">
        <v>44655</v>
      </c>
      <c r="N358" s="406">
        <v>44774</v>
      </c>
      <c r="O358" s="406"/>
      <c r="P358" s="406"/>
      <c r="Q358" s="406"/>
      <c r="R358" s="406"/>
      <c r="S358" s="405" t="s">
        <v>1067</v>
      </c>
      <c r="T358" s="405">
        <v>72</v>
      </c>
      <c r="U358" s="405" t="s">
        <v>1079</v>
      </c>
      <c r="V358" s="405" t="s">
        <v>1068</v>
      </c>
      <c r="W358" s="407">
        <v>480</v>
      </c>
      <c r="X358" s="371">
        <v>4156</v>
      </c>
      <c r="Y358" s="422">
        <f t="shared" si="78"/>
        <v>1994880</v>
      </c>
      <c r="Z358" s="409">
        <v>0.53</v>
      </c>
      <c r="AA358" s="410">
        <f t="shared" si="73"/>
        <v>1057286.4000000001</v>
      </c>
      <c r="AB358" s="362"/>
      <c r="AC358" s="412">
        <f t="shared" si="76"/>
        <v>0</v>
      </c>
      <c r="AD358" s="405"/>
      <c r="AE358" s="413"/>
      <c r="AF358" s="424">
        <f t="shared" si="77"/>
        <v>1057286.4000000001</v>
      </c>
      <c r="AG358" s="405" t="s">
        <v>47</v>
      </c>
      <c r="AH358" s="395">
        <v>0</v>
      </c>
      <c r="AI358" s="405">
        <v>45</v>
      </c>
      <c r="AJ358" s="405" t="s">
        <v>1411</v>
      </c>
      <c r="AK358" s="405" t="s">
        <v>1092</v>
      </c>
      <c r="AL358" s="425">
        <v>2766</v>
      </c>
      <c r="AM358" s="405" t="s">
        <v>52</v>
      </c>
      <c r="AN358" s="405" t="s">
        <v>1082</v>
      </c>
      <c r="AO358" s="405"/>
      <c r="AP358" s="405" t="s">
        <v>38</v>
      </c>
      <c r="AQ358" s="405" t="s">
        <v>1083</v>
      </c>
      <c r="AR358" s="405"/>
      <c r="AS358" s="369" t="s">
        <v>1084</v>
      </c>
      <c r="AT358" s="363" t="s">
        <v>1073</v>
      </c>
      <c r="AU358" s="403"/>
      <c r="AV358" s="402"/>
      <c r="AW358" s="402"/>
      <c r="AX358" s="402"/>
      <c r="AY358" s="402"/>
      <c r="AZ358" s="402"/>
      <c r="BA358" s="402"/>
      <c r="BB358" s="402"/>
      <c r="BC358" s="402"/>
    </row>
    <row r="359" spans="1:55">
      <c r="A359" s="377"/>
      <c r="B359" s="376"/>
      <c r="C359" s="376"/>
      <c r="D359" s="405" t="s">
        <v>1066</v>
      </c>
      <c r="E359" s="364" t="s">
        <v>1159</v>
      </c>
      <c r="F359" s="405" t="s">
        <v>1074</v>
      </c>
      <c r="G359" s="405">
        <v>2022</v>
      </c>
      <c r="H359" s="405">
        <v>10</v>
      </c>
      <c r="I359" s="416"/>
      <c r="J359" s="406"/>
      <c r="K359" s="405" t="s">
        <v>1437</v>
      </c>
      <c r="L359" s="406" t="s">
        <v>1429</v>
      </c>
      <c r="M359" s="406">
        <v>44657</v>
      </c>
      <c r="N359" s="406">
        <v>44835</v>
      </c>
      <c r="O359" s="406"/>
      <c r="P359" s="406"/>
      <c r="Q359" s="406"/>
      <c r="R359" s="406"/>
      <c r="S359" s="405" t="s">
        <v>1098</v>
      </c>
      <c r="T359" s="405">
        <v>72</v>
      </c>
      <c r="U359" s="405"/>
      <c r="V359" s="405" t="s">
        <v>1108</v>
      </c>
      <c r="W359" s="407">
        <v>580</v>
      </c>
      <c r="X359" s="371">
        <v>28739</v>
      </c>
      <c r="Y359" s="422">
        <f t="shared" si="78"/>
        <v>16668620</v>
      </c>
      <c r="Z359" s="409">
        <v>0.48</v>
      </c>
      <c r="AA359" s="410">
        <f t="shared" si="73"/>
        <v>8000937.5999999996</v>
      </c>
      <c r="AB359" s="362"/>
      <c r="AC359" s="412">
        <f t="shared" si="76"/>
        <v>0</v>
      </c>
      <c r="AD359" s="405"/>
      <c r="AE359" s="413"/>
      <c r="AF359" s="424">
        <f t="shared" si="77"/>
        <v>8000937.5999999996</v>
      </c>
      <c r="AG359" s="405" t="s">
        <v>47</v>
      </c>
      <c r="AH359" s="395">
        <v>100</v>
      </c>
      <c r="AI359" s="405">
        <v>0</v>
      </c>
      <c r="AJ359" s="405" t="s">
        <v>1102</v>
      </c>
      <c r="AK359" s="405" t="s">
        <v>1102</v>
      </c>
      <c r="AL359" s="425" t="s">
        <v>1102</v>
      </c>
      <c r="AM359" s="405" t="s">
        <v>52</v>
      </c>
      <c r="AN359" s="405" t="s">
        <v>1102</v>
      </c>
      <c r="AO359" s="405"/>
      <c r="AP359" s="405" t="s">
        <v>38</v>
      </c>
      <c r="AQ359" s="405" t="s">
        <v>1083</v>
      </c>
      <c r="AR359" s="405"/>
      <c r="AS359" s="369" t="s">
        <v>1084</v>
      </c>
      <c r="AT359" s="363" t="s">
        <v>1073</v>
      </c>
      <c r="AU359" s="403"/>
      <c r="AV359" s="402">
        <f>U359</f>
        <v>0</v>
      </c>
      <c r="AW359" s="402" cm="1">
        <f t="array" ref="AW359">SUM(MID(0&amp;AV359,LARGE(INDEX(ISNUMBER(--MID(AV359,ROW($1:$8),1))*ROW($1:$8),),ROW($1:$8))+1,1)*10^ROW($1:$8)/10)</f>
        <v>0</v>
      </c>
      <c r="AX359" s="402" t="e">
        <f>VLOOKUP($AW359,'Item Master Data'!$A:$F,3,FALSE)</f>
        <v>#N/A</v>
      </c>
      <c r="AY359" s="402" t="e">
        <f>VLOOKUP($AW359,'Item Master Data'!$A:$F,6,FALSE)</f>
        <v>#N/A</v>
      </c>
      <c r="AZ359" s="402" t="e">
        <f>X359/BA359</f>
        <v>#N/A</v>
      </c>
      <c r="BA359" s="402" t="e">
        <f>VLOOKUP(AW359,'Item Master Data'!$A:$G,7,FALSE)</f>
        <v>#N/A</v>
      </c>
      <c r="BB359" s="402"/>
      <c r="BC359" s="402" t="e">
        <f>W359-AY359</f>
        <v>#N/A</v>
      </c>
    </row>
    <row r="360" spans="1:55">
      <c r="A360" s="377"/>
      <c r="B360" s="376"/>
      <c r="C360" s="376"/>
      <c r="D360" s="405" t="s">
        <v>1066</v>
      </c>
      <c r="E360" s="364"/>
      <c r="F360" s="405" t="s">
        <v>87</v>
      </c>
      <c r="G360" s="405">
        <v>2022</v>
      </c>
      <c r="H360" s="405">
        <v>5</v>
      </c>
      <c r="I360" s="416"/>
      <c r="J360" s="406"/>
      <c r="K360" s="405" t="s">
        <v>1453</v>
      </c>
      <c r="L360" s="406" t="s">
        <v>1442</v>
      </c>
      <c r="M360" s="406">
        <v>44592</v>
      </c>
      <c r="N360" s="406">
        <v>44596</v>
      </c>
      <c r="O360" s="406"/>
      <c r="P360" s="406">
        <v>44606</v>
      </c>
      <c r="Q360" s="406">
        <v>44704</v>
      </c>
      <c r="R360" s="406">
        <v>44707</v>
      </c>
      <c r="S360" s="405" t="s">
        <v>1443</v>
      </c>
      <c r="T360" s="405">
        <v>72</v>
      </c>
      <c r="U360" s="405" t="s">
        <v>1433</v>
      </c>
      <c r="V360" s="405" t="s">
        <v>1068</v>
      </c>
      <c r="W360" s="407">
        <v>475</v>
      </c>
      <c r="X360" s="371">
        <v>58</v>
      </c>
      <c r="Y360" s="422">
        <f t="shared" si="78"/>
        <v>27550</v>
      </c>
      <c r="Z360" s="409">
        <v>0.47</v>
      </c>
      <c r="AA360" s="410">
        <f t="shared" si="73"/>
        <v>12948.5</v>
      </c>
      <c r="AB360" s="362"/>
      <c r="AC360" s="412">
        <v>0</v>
      </c>
      <c r="AD360" s="405"/>
      <c r="AE360" s="413"/>
      <c r="AF360" s="424">
        <f>AA360+AE360</f>
        <v>12948.5</v>
      </c>
      <c r="AG360" s="405" t="s">
        <v>47</v>
      </c>
      <c r="AH360" s="395"/>
      <c r="AI360" s="405">
        <v>60</v>
      </c>
      <c r="AJ360" s="405" t="s">
        <v>1454</v>
      </c>
      <c r="AK360" s="405" t="s">
        <v>1136</v>
      </c>
      <c r="AL360" s="425">
        <v>78725</v>
      </c>
      <c r="AM360" s="405" t="s">
        <v>52</v>
      </c>
      <c r="AN360" s="405" t="s">
        <v>1082</v>
      </c>
      <c r="AO360" s="405"/>
      <c r="AP360" s="405" t="s">
        <v>92</v>
      </c>
      <c r="AQ360" s="405" t="s">
        <v>37</v>
      </c>
      <c r="AR360" s="405"/>
      <c r="AS360" s="369"/>
      <c r="AT360" s="363"/>
      <c r="AU360" s="403"/>
      <c r="AV360" s="402" t="str">
        <f>U360</f>
        <v>30397571C</v>
      </c>
      <c r="AW360" s="402" cm="1">
        <f t="array" ref="AW360">SUM(MID(0&amp;AV360,LARGE(INDEX(ISNUMBER(--MID(AV360,ROW($1:$8),1))*ROW($1:$8),),ROW($1:$8))+1,1)*10^ROW($1:$8)/10)</f>
        <v>30397571</v>
      </c>
      <c r="AX360" s="402" t="str">
        <f>VLOOKUP($AW360,'Item Master Data'!$A:$F,3,FALSE)</f>
        <v>Q.PEAK DUO XL G10 BFG</v>
      </c>
      <c r="AY360" s="402">
        <f>VLOOKUP($AW360,'Item Master Data'!$A:$F,6,FALSE)</f>
        <v>475</v>
      </c>
      <c r="AZ360" s="402">
        <f>X360/BA360</f>
        <v>2</v>
      </c>
      <c r="BA360" s="402">
        <f>VLOOKUP(AW360,'Item Master Data'!$A:$G,7,FALSE)</f>
        <v>29</v>
      </c>
      <c r="BB360" s="402"/>
      <c r="BC360" s="402">
        <f>W360-AY360</f>
        <v>0</v>
      </c>
    </row>
    <row r="361" spans="1:55">
      <c r="A361" s="377"/>
      <c r="B361" s="376"/>
      <c r="C361" s="376"/>
      <c r="D361" s="405" t="s">
        <v>1066</v>
      </c>
      <c r="E361" s="364"/>
      <c r="F361" s="405" t="s">
        <v>87</v>
      </c>
      <c r="G361" s="405">
        <v>2022</v>
      </c>
      <c r="H361" s="405">
        <v>5</v>
      </c>
      <c r="I361" s="416"/>
      <c r="J361" s="406"/>
      <c r="K361" s="405" t="s">
        <v>1453</v>
      </c>
      <c r="L361" s="406" t="s">
        <v>1442</v>
      </c>
      <c r="M361" s="406">
        <v>44592</v>
      </c>
      <c r="N361" s="406">
        <v>44596</v>
      </c>
      <c r="O361" s="406"/>
      <c r="P361" s="406">
        <v>44606</v>
      </c>
      <c r="Q361" s="406">
        <v>44704</v>
      </c>
      <c r="R361" s="406">
        <v>44707</v>
      </c>
      <c r="S361" s="405" t="s">
        <v>1443</v>
      </c>
      <c r="T361" s="405">
        <v>72</v>
      </c>
      <c r="U361" s="405">
        <v>30397571</v>
      </c>
      <c r="V361" s="405" t="s">
        <v>1068</v>
      </c>
      <c r="W361" s="407">
        <v>475</v>
      </c>
      <c r="X361" s="371">
        <v>203</v>
      </c>
      <c r="Y361" s="422">
        <f t="shared" si="78"/>
        <v>96425</v>
      </c>
      <c r="Z361" s="409">
        <v>0.47</v>
      </c>
      <c r="AA361" s="410">
        <f t="shared" si="73"/>
        <v>45319.75</v>
      </c>
      <c r="AB361" s="362"/>
      <c r="AC361" s="412">
        <v>0</v>
      </c>
      <c r="AD361" s="405"/>
      <c r="AE361" s="413"/>
      <c r="AF361" s="424">
        <f>AA361+AE361</f>
        <v>45319.75</v>
      </c>
      <c r="AG361" s="405" t="s">
        <v>47</v>
      </c>
      <c r="AH361" s="395"/>
      <c r="AI361" s="405">
        <v>60</v>
      </c>
      <c r="AJ361" s="405" t="s">
        <v>1454</v>
      </c>
      <c r="AK361" s="405" t="s">
        <v>1136</v>
      </c>
      <c r="AL361" s="425">
        <v>78725</v>
      </c>
      <c r="AM361" s="405" t="s">
        <v>52</v>
      </c>
      <c r="AN361" s="405" t="s">
        <v>1082</v>
      </c>
      <c r="AO361" s="405"/>
      <c r="AP361" s="405"/>
      <c r="AQ361" s="405" t="s">
        <v>37</v>
      </c>
      <c r="AR361" s="405"/>
      <c r="AS361" s="369"/>
      <c r="AT361" s="363"/>
      <c r="AU361" s="403"/>
      <c r="AV361" s="402"/>
      <c r="AW361" s="402"/>
      <c r="AX361" s="402"/>
      <c r="AY361" s="402"/>
      <c r="AZ361" s="402"/>
      <c r="BA361" s="402"/>
      <c r="BB361" s="402"/>
      <c r="BC361" s="402"/>
    </row>
    <row r="362" spans="1:55">
      <c r="A362" s="377"/>
      <c r="B362" s="376"/>
      <c r="C362" s="376"/>
      <c r="D362" s="405" t="s">
        <v>1066</v>
      </c>
      <c r="E362" s="364"/>
      <c r="F362" s="405" t="s">
        <v>87</v>
      </c>
      <c r="G362" s="405">
        <v>2022</v>
      </c>
      <c r="H362" s="405">
        <v>5</v>
      </c>
      <c r="I362" s="416"/>
      <c r="J362" s="406"/>
      <c r="K362" s="405" t="s">
        <v>1453</v>
      </c>
      <c r="L362" s="406" t="s">
        <v>1442</v>
      </c>
      <c r="M362" s="406">
        <v>44592</v>
      </c>
      <c r="N362" s="406">
        <v>44596</v>
      </c>
      <c r="O362" s="406"/>
      <c r="P362" s="406">
        <v>44606</v>
      </c>
      <c r="Q362" s="406">
        <v>44708</v>
      </c>
      <c r="R362" s="406">
        <v>44712</v>
      </c>
      <c r="S362" s="405" t="s">
        <v>1443</v>
      </c>
      <c r="T362" s="405">
        <v>72</v>
      </c>
      <c r="U362" s="405">
        <v>30397571</v>
      </c>
      <c r="V362" s="405" t="s">
        <v>1068</v>
      </c>
      <c r="W362" s="407">
        <v>475</v>
      </c>
      <c r="X362" s="371">
        <v>435</v>
      </c>
      <c r="Y362" s="422">
        <f t="shared" si="78"/>
        <v>206625</v>
      </c>
      <c r="Z362" s="409">
        <v>0.47</v>
      </c>
      <c r="AA362" s="410">
        <f t="shared" si="73"/>
        <v>97113.75</v>
      </c>
      <c r="AB362" s="362"/>
      <c r="AC362" s="412">
        <v>0</v>
      </c>
      <c r="AD362" s="405"/>
      <c r="AE362" s="413"/>
      <c r="AF362" s="424">
        <f>AA362+AE362</f>
        <v>97113.75</v>
      </c>
      <c r="AG362" s="405" t="s">
        <v>47</v>
      </c>
      <c r="AH362" s="395"/>
      <c r="AI362" s="405">
        <v>60</v>
      </c>
      <c r="AJ362" s="405" t="s">
        <v>1454</v>
      </c>
      <c r="AK362" s="405" t="s">
        <v>1136</v>
      </c>
      <c r="AL362" s="425">
        <v>78725</v>
      </c>
      <c r="AM362" s="405" t="s">
        <v>52</v>
      </c>
      <c r="AN362" s="405" t="s">
        <v>1082</v>
      </c>
      <c r="AO362" s="405"/>
      <c r="AP362" s="405"/>
      <c r="AQ362" s="405" t="s">
        <v>37</v>
      </c>
      <c r="AR362" s="405"/>
      <c r="AS362" s="369"/>
      <c r="AT362" s="363"/>
      <c r="AU362" s="403"/>
      <c r="AV362" s="402"/>
      <c r="AW362" s="402"/>
      <c r="AX362" s="402"/>
      <c r="AY362" s="402"/>
      <c r="AZ362" s="402"/>
      <c r="BA362" s="402"/>
      <c r="BB362" s="402"/>
      <c r="BC362" s="402"/>
    </row>
    <row r="363" spans="1:55">
      <c r="A363" s="377"/>
      <c r="B363" s="376"/>
      <c r="C363" s="376"/>
      <c r="D363" s="405" t="s">
        <v>1066</v>
      </c>
      <c r="E363" s="364"/>
      <c r="F363" s="405" t="s">
        <v>87</v>
      </c>
      <c r="G363" s="405">
        <v>2022</v>
      </c>
      <c r="H363" s="405">
        <v>6</v>
      </c>
      <c r="I363" s="416"/>
      <c r="J363" s="406"/>
      <c r="K363" s="405" t="s">
        <v>1453</v>
      </c>
      <c r="L363" s="406" t="s">
        <v>1442</v>
      </c>
      <c r="M363" s="406">
        <v>44592</v>
      </c>
      <c r="N363" s="406">
        <v>44596</v>
      </c>
      <c r="O363" s="406"/>
      <c r="P363" s="406">
        <v>44606</v>
      </c>
      <c r="Q363" s="406">
        <v>44649</v>
      </c>
      <c r="R363" s="406">
        <v>44714</v>
      </c>
      <c r="S363" s="405" t="s">
        <v>1443</v>
      </c>
      <c r="T363" s="405">
        <v>72</v>
      </c>
      <c r="U363" s="405" t="s">
        <v>1433</v>
      </c>
      <c r="V363" s="405" t="s">
        <v>1068</v>
      </c>
      <c r="W363" s="407">
        <v>475</v>
      </c>
      <c r="X363" s="371">
        <v>1276</v>
      </c>
      <c r="Y363" s="422">
        <f t="shared" si="78"/>
        <v>606100</v>
      </c>
      <c r="Z363" s="409">
        <v>0.47</v>
      </c>
      <c r="AA363" s="410">
        <f t="shared" si="73"/>
        <v>284867</v>
      </c>
      <c r="AB363" s="362"/>
      <c r="AC363" s="412">
        <v>0</v>
      </c>
      <c r="AD363" s="405"/>
      <c r="AE363" s="413"/>
      <c r="AF363" s="424">
        <f>AA363+AE363</f>
        <v>284867</v>
      </c>
      <c r="AG363" s="405" t="s">
        <v>47</v>
      </c>
      <c r="AH363" s="395"/>
      <c r="AI363" s="405">
        <v>60</v>
      </c>
      <c r="AJ363" s="405" t="s">
        <v>1454</v>
      </c>
      <c r="AK363" s="405" t="s">
        <v>1136</v>
      </c>
      <c r="AL363" s="425">
        <v>78725</v>
      </c>
      <c r="AM363" s="405" t="s">
        <v>52</v>
      </c>
      <c r="AN363" s="405" t="s">
        <v>1082</v>
      </c>
      <c r="AO363" s="405"/>
      <c r="AP363" s="405" t="s">
        <v>92</v>
      </c>
      <c r="AQ363" s="405" t="s">
        <v>37</v>
      </c>
      <c r="AR363" s="405"/>
      <c r="AS363" s="369"/>
      <c r="AT363" s="363"/>
      <c r="AU363" s="403"/>
      <c r="AV363" s="402" t="str">
        <f>U363</f>
        <v>30397571C</v>
      </c>
      <c r="AW363" s="402" cm="1">
        <f t="array" ref="AW363">SUM(MID(0&amp;AV363,LARGE(INDEX(ISNUMBER(--MID(AV363,ROW($1:$8),1))*ROW($1:$8),),ROW($1:$8))+1,1)*10^ROW($1:$8)/10)</f>
        <v>30397571</v>
      </c>
      <c r="AX363" s="402" t="str">
        <f>VLOOKUP($AW363,'Item Master Data'!$A:$F,3,FALSE)</f>
        <v>Q.PEAK DUO XL G10 BFG</v>
      </c>
      <c r="AY363" s="402">
        <f>VLOOKUP($AW363,'Item Master Data'!$A:$F,6,FALSE)</f>
        <v>475</v>
      </c>
      <c r="AZ363" s="402">
        <f>X363/BA363</f>
        <v>44</v>
      </c>
      <c r="BA363" s="402">
        <f>VLOOKUP(AW363,'Item Master Data'!$A:$G,7,FALSE)</f>
        <v>29</v>
      </c>
      <c r="BB363" s="402"/>
      <c r="BC363" s="402">
        <f>W363-AY363</f>
        <v>0</v>
      </c>
    </row>
    <row r="364" spans="1:55">
      <c r="A364" s="377"/>
      <c r="B364" s="376"/>
      <c r="C364" s="376"/>
      <c r="D364" s="405" t="s">
        <v>1066</v>
      </c>
      <c r="E364" s="364" t="s">
        <v>4052</v>
      </c>
      <c r="F364" s="405" t="s">
        <v>87</v>
      </c>
      <c r="G364" s="405">
        <v>2022</v>
      </c>
      <c r="H364" s="405">
        <v>6</v>
      </c>
      <c r="I364" s="416"/>
      <c r="J364" s="406"/>
      <c r="K364" s="405" t="s">
        <v>1456</v>
      </c>
      <c r="L364" s="406" t="s">
        <v>1442</v>
      </c>
      <c r="M364" s="406">
        <v>44592</v>
      </c>
      <c r="N364" s="406">
        <v>44596</v>
      </c>
      <c r="O364" s="406"/>
      <c r="P364" s="406">
        <v>44623</v>
      </c>
      <c r="Q364" s="406"/>
      <c r="R364" s="406"/>
      <c r="S364" s="405" t="s">
        <v>1443</v>
      </c>
      <c r="T364" s="405">
        <v>72</v>
      </c>
      <c r="U364" s="405" t="s">
        <v>1433</v>
      </c>
      <c r="V364" s="405" t="s">
        <v>1068</v>
      </c>
      <c r="W364" s="407">
        <v>475</v>
      </c>
      <c r="X364" s="371">
        <v>3654</v>
      </c>
      <c r="Y364" s="422">
        <f t="shared" si="78"/>
        <v>1735650</v>
      </c>
      <c r="Z364" s="409">
        <v>0.47</v>
      </c>
      <c r="AA364" s="410">
        <f t="shared" si="73"/>
        <v>815755.5</v>
      </c>
      <c r="AB364" s="362"/>
      <c r="AC364" s="412">
        <v>0</v>
      </c>
      <c r="AD364" s="405"/>
      <c r="AE364" s="413"/>
      <c r="AF364" s="424">
        <f>AA364+AE364</f>
        <v>815755.5</v>
      </c>
      <c r="AG364" s="405" t="s">
        <v>47</v>
      </c>
      <c r="AH364" s="395"/>
      <c r="AI364" s="405">
        <v>60</v>
      </c>
      <c r="AJ364" s="405" t="s">
        <v>1454</v>
      </c>
      <c r="AK364" s="405" t="s">
        <v>1136</v>
      </c>
      <c r="AL364" s="425">
        <v>78725</v>
      </c>
      <c r="AM364" s="405" t="s">
        <v>52</v>
      </c>
      <c r="AN364" s="405" t="s">
        <v>1141</v>
      </c>
      <c r="AO364" s="405"/>
      <c r="AP364" s="405" t="s">
        <v>92</v>
      </c>
      <c r="AQ364" s="405" t="s">
        <v>37</v>
      </c>
      <c r="AR364" s="405"/>
      <c r="AS364" s="369"/>
      <c r="AT364" s="363"/>
      <c r="AU364" s="403"/>
      <c r="AV364" s="402" t="str">
        <f>U364</f>
        <v>30397571C</v>
      </c>
      <c r="AW364" s="402" cm="1">
        <f t="array" ref="AW364">SUM(MID(0&amp;AV364,LARGE(INDEX(ISNUMBER(--MID(AV364,ROW($1:$8),1))*ROW($1:$8),),ROW($1:$8))+1,1)*10^ROW($1:$8)/10)</f>
        <v>30397571</v>
      </c>
      <c r="AX364" s="402" t="str">
        <f>VLOOKUP($AW364,'Item Master Data'!$A:$F,3,FALSE)</f>
        <v>Q.PEAK DUO XL G10 BFG</v>
      </c>
      <c r="AY364" s="402">
        <f>VLOOKUP($AW364,'Item Master Data'!$A:$F,6,FALSE)</f>
        <v>475</v>
      </c>
      <c r="AZ364" s="402">
        <f>X364/BA364</f>
        <v>126</v>
      </c>
      <c r="BA364" s="402">
        <f>VLOOKUP(AW364,'Item Master Data'!$A:$G,7,FALSE)</f>
        <v>29</v>
      </c>
      <c r="BB364" s="402"/>
      <c r="BC364" s="402">
        <f>W364-AY364</f>
        <v>0</v>
      </c>
    </row>
    <row r="365" spans="1:55">
      <c r="A365" s="377"/>
      <c r="B365" s="376"/>
      <c r="C365" s="376"/>
      <c r="D365" s="405" t="s">
        <v>1066</v>
      </c>
      <c r="E365" s="364" t="s">
        <v>1239</v>
      </c>
      <c r="F365" s="405" t="s">
        <v>1074</v>
      </c>
      <c r="G365" s="405">
        <v>2022</v>
      </c>
      <c r="H365" s="405">
        <v>9</v>
      </c>
      <c r="I365" s="416" t="s">
        <v>1087</v>
      </c>
      <c r="J365" s="406"/>
      <c r="K365" s="405" t="s">
        <v>1413</v>
      </c>
      <c r="L365" s="406" t="s">
        <v>1409</v>
      </c>
      <c r="M365" s="406">
        <v>44655</v>
      </c>
      <c r="N365" s="406">
        <v>44774</v>
      </c>
      <c r="O365" s="406"/>
      <c r="P365" s="406"/>
      <c r="Q365" s="406"/>
      <c r="R365" s="406"/>
      <c r="S365" s="405" t="s">
        <v>1067</v>
      </c>
      <c r="T365" s="405">
        <v>72</v>
      </c>
      <c r="U365" s="405" t="s">
        <v>1079</v>
      </c>
      <c r="V365" s="405" t="s">
        <v>1068</v>
      </c>
      <c r="W365" s="407">
        <v>480</v>
      </c>
      <c r="X365" s="371">
        <v>3538</v>
      </c>
      <c r="Y365" s="422">
        <f t="shared" si="78"/>
        <v>1698240</v>
      </c>
      <c r="Z365" s="409">
        <v>0.53</v>
      </c>
      <c r="AA365" s="410">
        <f t="shared" si="73"/>
        <v>900067.20000000007</v>
      </c>
      <c r="AB365" s="362"/>
      <c r="AC365" s="412">
        <f t="shared" ref="AC365:AC376" si="79">AB365*Y365</f>
        <v>0</v>
      </c>
      <c r="AD365" s="405"/>
      <c r="AE365" s="413"/>
      <c r="AF365" s="424">
        <f t="shared" ref="AF365:AF376" si="80">AE365+AD365+AA365</f>
        <v>900067.20000000007</v>
      </c>
      <c r="AG365" s="405" t="s">
        <v>47</v>
      </c>
      <c r="AH365" s="395">
        <v>0</v>
      </c>
      <c r="AI365" s="405">
        <v>45</v>
      </c>
      <c r="AJ365" s="405" t="s">
        <v>1411</v>
      </c>
      <c r="AK365" s="405" t="s">
        <v>1092</v>
      </c>
      <c r="AL365" s="425">
        <v>2766</v>
      </c>
      <c r="AM365" s="405" t="s">
        <v>52</v>
      </c>
      <c r="AN365" s="405" t="s">
        <v>1082</v>
      </c>
      <c r="AO365" s="405"/>
      <c r="AP365" s="405" t="s">
        <v>38</v>
      </c>
      <c r="AQ365" s="405" t="s">
        <v>1083</v>
      </c>
      <c r="AR365" s="405"/>
      <c r="AS365" s="369" t="s">
        <v>1084</v>
      </c>
      <c r="AT365" s="363" t="s">
        <v>1073</v>
      </c>
      <c r="AU365" s="403"/>
      <c r="AV365" s="402"/>
      <c r="AW365" s="402"/>
      <c r="AX365" s="402"/>
      <c r="AY365" s="402"/>
      <c r="AZ365" s="402"/>
      <c r="BA365" s="402"/>
      <c r="BB365" s="402"/>
      <c r="BC365" s="402"/>
    </row>
    <row r="366" spans="1:55">
      <c r="A366" s="377"/>
      <c r="B366" s="376"/>
      <c r="C366" s="376"/>
      <c r="D366" s="405" t="s">
        <v>1066</v>
      </c>
      <c r="E366" s="364" t="s">
        <v>1239</v>
      </c>
      <c r="F366" s="405" t="s">
        <v>1074</v>
      </c>
      <c r="G366" s="405">
        <v>2022</v>
      </c>
      <c r="H366" s="405">
        <v>10</v>
      </c>
      <c r="I366" s="416" t="s">
        <v>1087</v>
      </c>
      <c r="J366" s="406"/>
      <c r="K366" s="405" t="s">
        <v>1413</v>
      </c>
      <c r="L366" s="406" t="s">
        <v>1409</v>
      </c>
      <c r="M366" s="406">
        <v>44655</v>
      </c>
      <c r="N366" s="406">
        <v>44774</v>
      </c>
      <c r="O366" s="406"/>
      <c r="P366" s="406"/>
      <c r="Q366" s="406"/>
      <c r="R366" s="406"/>
      <c r="S366" s="405" t="s">
        <v>1067</v>
      </c>
      <c r="T366" s="405">
        <v>72</v>
      </c>
      <c r="U366" s="405" t="s">
        <v>1079</v>
      </c>
      <c r="V366" s="405" t="s">
        <v>1068</v>
      </c>
      <c r="W366" s="407">
        <v>480</v>
      </c>
      <c r="X366" s="371">
        <v>2726</v>
      </c>
      <c r="Y366" s="422">
        <f t="shared" si="78"/>
        <v>1308480</v>
      </c>
      <c r="Z366" s="409">
        <v>0.53</v>
      </c>
      <c r="AA366" s="410">
        <f t="shared" si="73"/>
        <v>693494.4</v>
      </c>
      <c r="AB366" s="362"/>
      <c r="AC366" s="412">
        <f t="shared" si="79"/>
        <v>0</v>
      </c>
      <c r="AD366" s="405"/>
      <c r="AE366" s="413"/>
      <c r="AF366" s="424">
        <f t="shared" si="80"/>
        <v>693494.4</v>
      </c>
      <c r="AG366" s="405" t="s">
        <v>47</v>
      </c>
      <c r="AH366" s="395">
        <v>0</v>
      </c>
      <c r="AI366" s="405">
        <v>45</v>
      </c>
      <c r="AJ366" s="405" t="s">
        <v>1411</v>
      </c>
      <c r="AK366" s="405" t="s">
        <v>1092</v>
      </c>
      <c r="AL366" s="425">
        <v>2766</v>
      </c>
      <c r="AM366" s="405" t="s">
        <v>52</v>
      </c>
      <c r="AN366" s="405" t="s">
        <v>1082</v>
      </c>
      <c r="AO366" s="405"/>
      <c r="AP366" s="405" t="s">
        <v>38</v>
      </c>
      <c r="AQ366" s="405" t="s">
        <v>1083</v>
      </c>
      <c r="AR366" s="405"/>
      <c r="AS366" s="369" t="s">
        <v>1084</v>
      </c>
      <c r="AT366" s="363" t="s">
        <v>1073</v>
      </c>
      <c r="AU366" s="403"/>
      <c r="AV366" s="402" t="str">
        <f>U366</f>
        <v>12005833C</v>
      </c>
      <c r="AW366" s="402" cm="1">
        <f t="array" ref="AW366">SUM(MID(0&amp;AV366,LARGE(INDEX(ISNUMBER(--MID(AV366,ROW($1:$8),1))*ROW($1:$8),),ROW($1:$8))+1,1)*10^ROW($1:$8)/10)</f>
        <v>12005833</v>
      </c>
      <c r="AX366" s="402" t="str">
        <f>VLOOKUP($AW366,'Item Master Data'!$A:$F,3,FALSE)</f>
        <v>Q.PEAK DUO XL G10 BFG</v>
      </c>
      <c r="AY366" s="402">
        <f>VLOOKUP($AW366,'Item Master Data'!$A:$F,6,FALSE)</f>
        <v>475</v>
      </c>
      <c r="AZ366" s="402">
        <f>X366/BA366</f>
        <v>90.86666666666666</v>
      </c>
      <c r="BA366" s="402">
        <f>VLOOKUP(AW366,'Item Master Data'!$A:$G,7,FALSE)</f>
        <v>30</v>
      </c>
      <c r="BB366" s="402"/>
      <c r="BC366" s="402">
        <f>W366-AY366</f>
        <v>5</v>
      </c>
    </row>
    <row r="367" spans="1:55">
      <c r="A367" s="377"/>
      <c r="B367" s="376"/>
      <c r="C367" s="376"/>
      <c r="D367" s="405" t="s">
        <v>1066</v>
      </c>
      <c r="E367" s="364"/>
      <c r="F367" s="405"/>
      <c r="G367" s="405">
        <v>2022</v>
      </c>
      <c r="H367" s="405">
        <v>11</v>
      </c>
      <c r="I367" s="416"/>
      <c r="J367" s="406"/>
      <c r="K367" s="405" t="s">
        <v>1570</v>
      </c>
      <c r="L367" s="406" t="s">
        <v>4580</v>
      </c>
      <c r="M367" s="406">
        <v>44684</v>
      </c>
      <c r="N367" s="406">
        <v>44805</v>
      </c>
      <c r="O367" s="406"/>
      <c r="P367" s="406"/>
      <c r="Q367" s="406"/>
      <c r="R367" s="406"/>
      <c r="S367" s="405" t="s">
        <v>1067</v>
      </c>
      <c r="T367" s="405">
        <v>72</v>
      </c>
      <c r="U367" s="405"/>
      <c r="V367" s="405" t="s">
        <v>1108</v>
      </c>
      <c r="W367" s="407">
        <v>575</v>
      </c>
      <c r="X367" s="371">
        <f>17391+31</f>
        <v>17422</v>
      </c>
      <c r="Y367" s="422">
        <f t="shared" si="78"/>
        <v>10017650</v>
      </c>
      <c r="Z367" s="409">
        <v>0.55000000000000004</v>
      </c>
      <c r="AA367" s="410">
        <f t="shared" si="73"/>
        <v>5509707.5</v>
      </c>
      <c r="AB367" s="362"/>
      <c r="AC367" s="412">
        <f t="shared" si="79"/>
        <v>0</v>
      </c>
      <c r="AD367" s="405"/>
      <c r="AE367" s="413"/>
      <c r="AF367" s="424">
        <f t="shared" si="80"/>
        <v>5509707.5</v>
      </c>
      <c r="AG367" s="405" t="s">
        <v>47</v>
      </c>
      <c r="AH367" s="395">
        <v>100</v>
      </c>
      <c r="AI367" s="405">
        <v>0</v>
      </c>
      <c r="AJ367" s="405" t="s">
        <v>1102</v>
      </c>
      <c r="AK367" s="405" t="s">
        <v>1092</v>
      </c>
      <c r="AL367" s="425" t="s">
        <v>1102</v>
      </c>
      <c r="AM367" s="405" t="s">
        <v>52</v>
      </c>
      <c r="AN367" s="405" t="s">
        <v>1102</v>
      </c>
      <c r="AO367" s="405"/>
      <c r="AP367" s="405"/>
      <c r="AQ367" s="405" t="s">
        <v>1083</v>
      </c>
      <c r="AR367" s="405"/>
      <c r="AS367" s="369" t="s">
        <v>1142</v>
      </c>
      <c r="AT367" s="363" t="s">
        <v>1073</v>
      </c>
      <c r="AU367" s="403" t="s">
        <v>1073</v>
      </c>
      <c r="AV367" s="402">
        <f>U367</f>
        <v>0</v>
      </c>
      <c r="AW367" s="402" cm="1">
        <f t="array" ref="AW367">SUM(MID(0&amp;AV367,LARGE(INDEX(ISNUMBER(--MID(AV367,ROW($1:$8),1))*ROW($1:$8),),ROW($1:$8))+1,1)*10^ROW($1:$8)/10)</f>
        <v>0</v>
      </c>
      <c r="AX367" s="402" t="e">
        <f>VLOOKUP($AW367,'Item Master Data'!$A:$F,3,FALSE)</f>
        <v>#N/A</v>
      </c>
      <c r="AY367" s="402" t="e">
        <f>VLOOKUP($AW367,'Item Master Data'!$A:$F,6,FALSE)</f>
        <v>#N/A</v>
      </c>
      <c r="AZ367" s="402" t="e">
        <f>X367/BA367</f>
        <v>#N/A</v>
      </c>
      <c r="BA367" s="402" t="e">
        <f>VLOOKUP(AW367,'Item Master Data'!$A:$G,7,FALSE)</f>
        <v>#N/A</v>
      </c>
      <c r="BB367" s="402"/>
      <c r="BC367" s="402" t="e">
        <f>W367-AY367</f>
        <v>#N/A</v>
      </c>
    </row>
    <row r="368" spans="1:55">
      <c r="A368" s="377"/>
      <c r="B368" s="376"/>
      <c r="C368" s="376"/>
      <c r="D368" s="405" t="s">
        <v>1066</v>
      </c>
      <c r="E368" s="364" t="s">
        <v>4933</v>
      </c>
      <c r="F368" s="405" t="s">
        <v>1139</v>
      </c>
      <c r="G368" s="405">
        <v>2022</v>
      </c>
      <c r="H368" s="405">
        <v>7</v>
      </c>
      <c r="I368" s="416">
        <v>2005235</v>
      </c>
      <c r="J368" s="406"/>
      <c r="K368" s="405" t="s">
        <v>1414</v>
      </c>
      <c r="L368" s="406" t="s">
        <v>1415</v>
      </c>
      <c r="M368" s="406">
        <v>44481</v>
      </c>
      <c r="N368" s="406">
        <v>44771</v>
      </c>
      <c r="O368" s="406"/>
      <c r="P368" s="406"/>
      <c r="Q368" s="406"/>
      <c r="R368" s="406"/>
      <c r="S368" s="405" t="s">
        <v>1325</v>
      </c>
      <c r="T368" s="405">
        <v>72</v>
      </c>
      <c r="U368" s="405">
        <v>49303156</v>
      </c>
      <c r="V368" s="405" t="s">
        <v>1068</v>
      </c>
      <c r="W368" s="407">
        <v>480</v>
      </c>
      <c r="X368" s="371">
        <v>11550</v>
      </c>
      <c r="Y368" s="422">
        <f t="shared" si="78"/>
        <v>5544000</v>
      </c>
      <c r="Z368" s="409">
        <v>0.39500000000000002</v>
      </c>
      <c r="AA368" s="410">
        <f t="shared" si="73"/>
        <v>2189880</v>
      </c>
      <c r="AB368" s="362"/>
      <c r="AC368" s="412">
        <f t="shared" si="79"/>
        <v>0</v>
      </c>
      <c r="AD368" s="405"/>
      <c r="AE368" s="413"/>
      <c r="AF368" s="424">
        <f t="shared" si="80"/>
        <v>2189880</v>
      </c>
      <c r="AG368" s="405" t="s">
        <v>47</v>
      </c>
      <c r="AH368" s="395">
        <v>10</v>
      </c>
      <c r="AI368" s="405">
        <v>45</v>
      </c>
      <c r="AJ368" s="405" t="s">
        <v>1416</v>
      </c>
      <c r="AK368" s="405" t="s">
        <v>1148</v>
      </c>
      <c r="AL368" s="425">
        <v>27292</v>
      </c>
      <c r="AM368" s="405" t="s">
        <v>52</v>
      </c>
      <c r="AN368" s="405" t="s">
        <v>1102</v>
      </c>
      <c r="AO368" s="405"/>
      <c r="AP368" s="405" t="s">
        <v>1102</v>
      </c>
      <c r="AQ368" s="405"/>
      <c r="AR368" s="405"/>
      <c r="AS368" s="369"/>
      <c r="AT368" s="363"/>
      <c r="AU368" s="403"/>
      <c r="AV368" s="402">
        <f>U368</f>
        <v>49303156</v>
      </c>
      <c r="AW368" s="402" cm="1">
        <f t="array" ref="AW368">SUM(MID(0&amp;AV368,LARGE(INDEX(ISNUMBER(--MID(AV368,ROW($1:$8),1))*ROW($1:$8),),ROW($1:$8))+1,1)*10^ROW($1:$8)/10)</f>
        <v>49303156</v>
      </c>
      <c r="AX368" s="402" t="str">
        <f>VLOOKUP($AW368,'Item Master Data'!$A:$F,3,FALSE)</f>
        <v>Q.PEAK DUO XL G10 BFG</v>
      </c>
      <c r="AY368" s="402">
        <f>VLOOKUP($AW368,'Item Master Data'!$A:$F,6,FALSE)</f>
        <v>480</v>
      </c>
      <c r="AZ368" s="402">
        <f>X368/BA368</f>
        <v>398.27586206896552</v>
      </c>
      <c r="BA368" s="402">
        <f>VLOOKUP(AW368,'Item Master Data'!$A:$G,7,FALSE)</f>
        <v>29</v>
      </c>
      <c r="BB368" s="402"/>
      <c r="BC368" s="402">
        <f>W368-AY368</f>
        <v>0</v>
      </c>
    </row>
    <row r="369" spans="1:55">
      <c r="A369" s="377"/>
      <c r="B369" s="376" t="s">
        <v>1186</v>
      </c>
      <c r="C369" s="376" t="s">
        <v>1186</v>
      </c>
      <c r="D369" s="405" t="s">
        <v>1066</v>
      </c>
      <c r="E369" s="364" t="s">
        <v>1093</v>
      </c>
      <c r="F369" s="405"/>
      <c r="G369" s="405">
        <v>2022</v>
      </c>
      <c r="H369" s="405">
        <v>11</v>
      </c>
      <c r="I369" s="416"/>
      <c r="J369" s="406"/>
      <c r="K369" s="405" t="s">
        <v>4266</v>
      </c>
      <c r="L369" s="406" t="s">
        <v>1189</v>
      </c>
      <c r="M369" s="406">
        <v>44673</v>
      </c>
      <c r="N369" s="406">
        <v>44866</v>
      </c>
      <c r="O369" s="406"/>
      <c r="P369" s="406"/>
      <c r="Q369" s="406"/>
      <c r="R369" s="406"/>
      <c r="S369" s="405" t="s">
        <v>1107</v>
      </c>
      <c r="T369" s="405">
        <v>60</v>
      </c>
      <c r="U369" s="405"/>
      <c r="V369" s="405" t="s">
        <v>973</v>
      </c>
      <c r="W369" s="407">
        <v>400</v>
      </c>
      <c r="X369" s="371">
        <v>768</v>
      </c>
      <c r="Y369" s="422">
        <f>X369*W369</f>
        <v>307200</v>
      </c>
      <c r="Z369" s="409">
        <v>0.64</v>
      </c>
      <c r="AA369" s="410">
        <f t="shared" si="73"/>
        <v>196608</v>
      </c>
      <c r="AB369" s="362"/>
      <c r="AC369" s="412">
        <f t="shared" si="79"/>
        <v>0</v>
      </c>
      <c r="AD369" s="405"/>
      <c r="AE369" s="413"/>
      <c r="AF369" s="424">
        <f t="shared" si="80"/>
        <v>196608</v>
      </c>
      <c r="AG369" s="405" t="s">
        <v>1069</v>
      </c>
      <c r="AH369" s="395">
        <v>0</v>
      </c>
      <c r="AI369" s="405">
        <v>60</v>
      </c>
      <c r="AJ369" s="405" t="s">
        <v>1190</v>
      </c>
      <c r="AK369" s="405" t="s">
        <v>1191</v>
      </c>
      <c r="AL369" s="425">
        <v>43125</v>
      </c>
      <c r="AM369" s="405" t="s">
        <v>52</v>
      </c>
      <c r="AN369" s="405" t="s">
        <v>1071</v>
      </c>
      <c r="AO369" s="405"/>
      <c r="AP369" s="405"/>
      <c r="AQ369" s="405"/>
      <c r="AR369" s="405"/>
      <c r="AS369" s="369"/>
      <c r="AT369" s="363"/>
      <c r="AU369" s="403"/>
      <c r="AV369" s="402"/>
      <c r="AW369" s="402"/>
      <c r="AX369" s="402"/>
      <c r="AY369" s="402"/>
      <c r="AZ369" s="402"/>
      <c r="BA369" s="402"/>
      <c r="BB369" s="402"/>
      <c r="BC369" s="402"/>
    </row>
    <row r="370" spans="1:55">
      <c r="A370" s="377"/>
      <c r="B370" s="376"/>
      <c r="C370" s="376"/>
      <c r="D370" s="405" t="s">
        <v>1066</v>
      </c>
      <c r="E370" s="364" t="s">
        <v>4933</v>
      </c>
      <c r="F370" s="405" t="s">
        <v>1139</v>
      </c>
      <c r="G370" s="405">
        <v>2022</v>
      </c>
      <c r="H370" s="405">
        <v>7</v>
      </c>
      <c r="I370" s="416">
        <v>2005239</v>
      </c>
      <c r="J370" s="406"/>
      <c r="K370" s="405" t="s">
        <v>1422</v>
      </c>
      <c r="L370" s="406" t="s">
        <v>1415</v>
      </c>
      <c r="M370" s="406">
        <v>44481</v>
      </c>
      <c r="N370" s="406">
        <v>44746</v>
      </c>
      <c r="O370" s="406"/>
      <c r="P370" s="406"/>
      <c r="Q370" s="406"/>
      <c r="R370" s="406"/>
      <c r="S370" s="405" t="s">
        <v>1325</v>
      </c>
      <c r="T370" s="405">
        <v>72</v>
      </c>
      <c r="U370" s="405">
        <v>49303156</v>
      </c>
      <c r="V370" s="405" t="s">
        <v>1068</v>
      </c>
      <c r="W370" s="407">
        <v>480</v>
      </c>
      <c r="X370" s="371">
        <v>10740</v>
      </c>
      <c r="Y370" s="422">
        <f>W370*X370</f>
        <v>5155200</v>
      </c>
      <c r="Z370" s="409">
        <v>0.39500000000000002</v>
      </c>
      <c r="AA370" s="410">
        <f t="shared" si="73"/>
        <v>2036304</v>
      </c>
      <c r="AB370" s="362"/>
      <c r="AC370" s="412">
        <f t="shared" si="79"/>
        <v>0</v>
      </c>
      <c r="AD370" s="405"/>
      <c r="AE370" s="413"/>
      <c r="AF370" s="424">
        <f t="shared" si="80"/>
        <v>2036304</v>
      </c>
      <c r="AG370" s="405" t="s">
        <v>47</v>
      </c>
      <c r="AH370" s="395">
        <v>10</v>
      </c>
      <c r="AI370" s="405">
        <v>45</v>
      </c>
      <c r="AJ370" s="405" t="s">
        <v>1423</v>
      </c>
      <c r="AK370" s="405" t="s">
        <v>1148</v>
      </c>
      <c r="AL370" s="425">
        <v>27549</v>
      </c>
      <c r="AM370" s="405" t="s">
        <v>52</v>
      </c>
      <c r="AN370" s="405" t="s">
        <v>1102</v>
      </c>
      <c r="AO370" s="405"/>
      <c r="AP370" s="405" t="s">
        <v>1102</v>
      </c>
      <c r="AQ370" s="405"/>
      <c r="AR370" s="405"/>
      <c r="AS370" s="369"/>
      <c r="AT370" s="363"/>
      <c r="AU370" s="403"/>
      <c r="AV370" s="402">
        <f t="shared" ref="AV370:AV375" si="81">U370</f>
        <v>49303156</v>
      </c>
      <c r="AW370" s="402" cm="1">
        <f t="array" ref="AW370">SUM(MID(0&amp;AV370,LARGE(INDEX(ISNUMBER(--MID(AV370,ROW($1:$8),1))*ROW($1:$8),),ROW($1:$8))+1,1)*10^ROW($1:$8)/10)</f>
        <v>49303156</v>
      </c>
      <c r="AX370" s="402" t="str">
        <f>VLOOKUP($AW370,'Item Master Data'!$A:$F,3,FALSE)</f>
        <v>Q.PEAK DUO XL G10 BFG</v>
      </c>
      <c r="AY370" s="402">
        <f>VLOOKUP($AW370,'Item Master Data'!$A:$F,6,FALSE)</f>
        <v>480</v>
      </c>
      <c r="AZ370" s="402">
        <f t="shared" ref="AZ370:AZ375" si="82">X370/BA370</f>
        <v>370.34482758620692</v>
      </c>
      <c r="BA370" s="402">
        <f>VLOOKUP(AW370,'Item Master Data'!$A:$G,7,FALSE)</f>
        <v>29</v>
      </c>
      <c r="BB370" s="402"/>
      <c r="BC370" s="402">
        <f t="shared" ref="BC370:BC375" si="83">W370-AY370</f>
        <v>0</v>
      </c>
    </row>
    <row r="371" spans="1:55">
      <c r="A371" s="377"/>
      <c r="B371" s="376">
        <v>44634</v>
      </c>
      <c r="C371" s="376" t="s">
        <v>1186</v>
      </c>
      <c r="D371" s="405" t="s">
        <v>1066</v>
      </c>
      <c r="E371" s="364" t="s">
        <v>2367</v>
      </c>
      <c r="F371" s="405"/>
      <c r="G371" s="405">
        <v>2022</v>
      </c>
      <c r="H371" s="405">
        <v>11</v>
      </c>
      <c r="I371" s="416"/>
      <c r="J371" s="406"/>
      <c r="K371" s="405" t="s">
        <v>4516</v>
      </c>
      <c r="L371" s="406" t="s">
        <v>1205</v>
      </c>
      <c r="M371" s="406">
        <v>44680</v>
      </c>
      <c r="N371" s="406">
        <v>44866</v>
      </c>
      <c r="O371" s="406"/>
      <c r="P371" s="406"/>
      <c r="Q371" s="406"/>
      <c r="R371" s="406"/>
      <c r="S371" s="405" t="s">
        <v>1107</v>
      </c>
      <c r="T371" s="405">
        <v>60</v>
      </c>
      <c r="U371" s="405"/>
      <c r="V371" s="405" t="s">
        <v>973</v>
      </c>
      <c r="W371" s="407">
        <v>400</v>
      </c>
      <c r="X371" s="371">
        <v>2304</v>
      </c>
      <c r="Y371" s="422">
        <f>W371*X371</f>
        <v>921600</v>
      </c>
      <c r="Z371" s="409">
        <v>0.64</v>
      </c>
      <c r="AA371" s="410">
        <f t="shared" si="73"/>
        <v>589824</v>
      </c>
      <c r="AB371" s="362"/>
      <c r="AC371" s="412">
        <f t="shared" si="79"/>
        <v>0</v>
      </c>
      <c r="AD371" s="405"/>
      <c r="AE371" s="413"/>
      <c r="AF371" s="424">
        <f t="shared" si="80"/>
        <v>589824</v>
      </c>
      <c r="AG371" s="405" t="s">
        <v>1069</v>
      </c>
      <c r="AH371" s="395">
        <v>0</v>
      </c>
      <c r="AI371" s="405">
        <v>60</v>
      </c>
      <c r="AJ371" s="405" t="s">
        <v>1206</v>
      </c>
      <c r="AK371" s="405" t="s">
        <v>1207</v>
      </c>
      <c r="AL371" s="425" t="s">
        <v>1208</v>
      </c>
      <c r="AM371" s="405" t="s">
        <v>52</v>
      </c>
      <c r="AN371" s="405" t="s">
        <v>1071</v>
      </c>
      <c r="AO371" s="405"/>
      <c r="AP371" s="405"/>
      <c r="AQ371" s="405" t="s">
        <v>1083</v>
      </c>
      <c r="AR371" s="405"/>
      <c r="AS371" s="369" t="s">
        <v>1142</v>
      </c>
      <c r="AT371" s="363" t="s">
        <v>1073</v>
      </c>
      <c r="AU371" s="403" t="s">
        <v>1073</v>
      </c>
      <c r="AV371" s="402">
        <f t="shared" si="81"/>
        <v>0</v>
      </c>
      <c r="AW371" s="402" cm="1">
        <f t="array" ref="AW371">SUM(MID(0&amp;AV371,LARGE(INDEX(ISNUMBER(--MID(AV371,ROW($1:$8),1))*ROW($1:$8),),ROW($1:$8))+1,1)*10^ROW($1:$8)/10)</f>
        <v>0</v>
      </c>
      <c r="AX371" s="402" t="e">
        <f>VLOOKUP($AW371,'Item Master Data'!$A:$F,3,FALSE)</f>
        <v>#N/A</v>
      </c>
      <c r="AY371" s="402" t="e">
        <f>VLOOKUP($AW371,'Item Master Data'!$A:$F,6,FALSE)</f>
        <v>#N/A</v>
      </c>
      <c r="AZ371" s="402" t="e">
        <f t="shared" si="82"/>
        <v>#N/A</v>
      </c>
      <c r="BA371" s="402" t="e">
        <f>VLOOKUP(AW371,'Item Master Data'!$A:$G,7,FALSE)</f>
        <v>#N/A</v>
      </c>
      <c r="BB371" s="402"/>
      <c r="BC371" s="402" t="e">
        <f t="shared" si="83"/>
        <v>#N/A</v>
      </c>
    </row>
    <row r="372" spans="1:55">
      <c r="A372" s="377"/>
      <c r="B372" s="376"/>
      <c r="C372" s="376"/>
      <c r="D372" s="405" t="s">
        <v>1066</v>
      </c>
      <c r="E372" s="364" t="s">
        <v>4933</v>
      </c>
      <c r="F372" s="405" t="s">
        <v>1139</v>
      </c>
      <c r="G372" s="405">
        <v>2022</v>
      </c>
      <c r="H372" s="405">
        <v>8</v>
      </c>
      <c r="I372" s="416">
        <v>2005237</v>
      </c>
      <c r="J372" s="406"/>
      <c r="K372" s="405" t="s">
        <v>1421</v>
      </c>
      <c r="L372" s="406" t="s">
        <v>1415</v>
      </c>
      <c r="M372" s="406">
        <v>44481</v>
      </c>
      <c r="N372" s="406">
        <v>44791</v>
      </c>
      <c r="O372" s="406"/>
      <c r="P372" s="406"/>
      <c r="Q372" s="406"/>
      <c r="R372" s="406"/>
      <c r="S372" s="405" t="s">
        <v>1325</v>
      </c>
      <c r="T372" s="405">
        <v>72</v>
      </c>
      <c r="U372" s="405">
        <v>49303156</v>
      </c>
      <c r="V372" s="405" t="s">
        <v>1068</v>
      </c>
      <c r="W372" s="407">
        <v>480</v>
      </c>
      <c r="X372" s="371">
        <v>7380</v>
      </c>
      <c r="Y372" s="422">
        <f>W372*X372</f>
        <v>3542400</v>
      </c>
      <c r="Z372" s="409">
        <v>0.39500000000000002</v>
      </c>
      <c r="AA372" s="410">
        <f t="shared" si="73"/>
        <v>1399248</v>
      </c>
      <c r="AB372" s="362"/>
      <c r="AC372" s="412">
        <f t="shared" si="79"/>
        <v>0</v>
      </c>
      <c r="AD372" s="405"/>
      <c r="AE372" s="413"/>
      <c r="AF372" s="424">
        <f t="shared" si="80"/>
        <v>1399248</v>
      </c>
      <c r="AG372" s="405" t="s">
        <v>47</v>
      </c>
      <c r="AH372" s="395">
        <v>10</v>
      </c>
      <c r="AI372" s="405">
        <v>45</v>
      </c>
      <c r="AJ372" s="405" t="s">
        <v>1311</v>
      </c>
      <c r="AK372" s="405" t="s">
        <v>1148</v>
      </c>
      <c r="AL372" s="425">
        <v>27217</v>
      </c>
      <c r="AM372" s="405" t="s">
        <v>52</v>
      </c>
      <c r="AN372" s="405" t="s">
        <v>1102</v>
      </c>
      <c r="AO372" s="405"/>
      <c r="AP372" s="405" t="s">
        <v>1102</v>
      </c>
      <c r="AQ372" s="405"/>
      <c r="AR372" s="405"/>
      <c r="AS372" s="369"/>
      <c r="AT372" s="363"/>
      <c r="AU372" s="403"/>
      <c r="AV372" s="402">
        <f t="shared" si="81"/>
        <v>49303156</v>
      </c>
      <c r="AW372" s="402" cm="1">
        <f t="array" ref="AW372">SUM(MID(0&amp;AV372,LARGE(INDEX(ISNUMBER(--MID(AV372,ROW($1:$8),1))*ROW($1:$8),),ROW($1:$8))+1,1)*10^ROW($1:$8)/10)</f>
        <v>49303156</v>
      </c>
      <c r="AX372" s="402" t="str">
        <f>VLOOKUP($AW372,'Item Master Data'!$A:$F,3,FALSE)</f>
        <v>Q.PEAK DUO XL G10 BFG</v>
      </c>
      <c r="AY372" s="402">
        <f>VLOOKUP($AW372,'Item Master Data'!$A:$F,6,FALSE)</f>
        <v>480</v>
      </c>
      <c r="AZ372" s="402">
        <f t="shared" si="82"/>
        <v>254.48275862068965</v>
      </c>
      <c r="BA372" s="402">
        <f>VLOOKUP(AW372,'Item Master Data'!$A:$G,7,FALSE)</f>
        <v>29</v>
      </c>
      <c r="BB372" s="402"/>
      <c r="BC372" s="402">
        <f t="shared" si="83"/>
        <v>0</v>
      </c>
    </row>
    <row r="373" spans="1:55">
      <c r="A373" s="377"/>
      <c r="B373" s="376"/>
      <c r="C373" s="376"/>
      <c r="D373" s="405" t="s">
        <v>1066</v>
      </c>
      <c r="E373" s="364" t="s">
        <v>4933</v>
      </c>
      <c r="F373" s="405" t="s">
        <v>1139</v>
      </c>
      <c r="G373" s="405">
        <v>2022</v>
      </c>
      <c r="H373" s="405">
        <v>8</v>
      </c>
      <c r="I373" s="416">
        <v>2005238</v>
      </c>
      <c r="J373" s="406"/>
      <c r="K373" s="405" t="s">
        <v>1417</v>
      </c>
      <c r="L373" s="406" t="s">
        <v>1415</v>
      </c>
      <c r="M373" s="406">
        <v>44481</v>
      </c>
      <c r="N373" s="406">
        <v>44781</v>
      </c>
      <c r="O373" s="406"/>
      <c r="P373" s="406"/>
      <c r="Q373" s="406"/>
      <c r="R373" s="406"/>
      <c r="S373" s="405" t="s">
        <v>1325</v>
      </c>
      <c r="T373" s="405">
        <v>72</v>
      </c>
      <c r="U373" s="405">
        <v>49303156</v>
      </c>
      <c r="V373" s="405" t="s">
        <v>1068</v>
      </c>
      <c r="W373" s="407">
        <v>480</v>
      </c>
      <c r="X373" s="371">
        <v>12600</v>
      </c>
      <c r="Y373" s="422">
        <f>W373*X373</f>
        <v>6048000</v>
      </c>
      <c r="Z373" s="409">
        <v>0.39500000000000002</v>
      </c>
      <c r="AA373" s="410">
        <f t="shared" si="73"/>
        <v>2388960</v>
      </c>
      <c r="AB373" s="362"/>
      <c r="AC373" s="412">
        <f t="shared" si="79"/>
        <v>0</v>
      </c>
      <c r="AD373" s="405"/>
      <c r="AE373" s="413"/>
      <c r="AF373" s="424">
        <f t="shared" si="80"/>
        <v>2388960</v>
      </c>
      <c r="AG373" s="405" t="s">
        <v>47</v>
      </c>
      <c r="AH373" s="395">
        <v>10</v>
      </c>
      <c r="AI373" s="405">
        <v>45</v>
      </c>
      <c r="AJ373" s="405" t="s">
        <v>1418</v>
      </c>
      <c r="AK373" s="405" t="s">
        <v>1148</v>
      </c>
      <c r="AL373" s="425">
        <v>27850</v>
      </c>
      <c r="AM373" s="405" t="s">
        <v>52</v>
      </c>
      <c r="AN373" s="405" t="s">
        <v>1102</v>
      </c>
      <c r="AO373" s="405"/>
      <c r="AP373" s="405" t="s">
        <v>1102</v>
      </c>
      <c r="AQ373" s="405"/>
      <c r="AR373" s="405"/>
      <c r="AS373" s="369"/>
      <c r="AT373" s="363"/>
      <c r="AU373" s="403"/>
      <c r="AV373" s="402">
        <f t="shared" si="81"/>
        <v>49303156</v>
      </c>
      <c r="AW373" s="402" cm="1">
        <f t="array" ref="AW373">SUM(MID(0&amp;AV373,LARGE(INDEX(ISNUMBER(--MID(AV373,ROW($1:$8),1))*ROW($1:$8),),ROW($1:$8))+1,1)*10^ROW($1:$8)/10)</f>
        <v>49303156</v>
      </c>
      <c r="AX373" s="402" t="str">
        <f>VLOOKUP($AW373,'Item Master Data'!$A:$F,3,FALSE)</f>
        <v>Q.PEAK DUO XL G10 BFG</v>
      </c>
      <c r="AY373" s="402">
        <f>VLOOKUP($AW373,'Item Master Data'!$A:$F,6,FALSE)</f>
        <v>480</v>
      </c>
      <c r="AZ373" s="402">
        <f t="shared" si="82"/>
        <v>434.48275862068965</v>
      </c>
      <c r="BA373" s="402">
        <f>VLOOKUP(AW373,'Item Master Data'!$A:$G,7,FALSE)</f>
        <v>29</v>
      </c>
      <c r="BB373" s="402"/>
      <c r="BC373" s="402">
        <f t="shared" si="83"/>
        <v>0</v>
      </c>
    </row>
    <row r="374" spans="1:55">
      <c r="A374" s="377"/>
      <c r="B374" s="376"/>
      <c r="C374" s="376"/>
      <c r="D374" s="405" t="s">
        <v>1066</v>
      </c>
      <c r="E374" s="364" t="s">
        <v>4369</v>
      </c>
      <c r="F374" s="405"/>
      <c r="G374" s="405">
        <v>2022</v>
      </c>
      <c r="H374" s="405">
        <v>11</v>
      </c>
      <c r="I374" s="416"/>
      <c r="J374" s="406"/>
      <c r="K374" s="405">
        <v>1003</v>
      </c>
      <c r="L374" s="406" t="s">
        <v>4370</v>
      </c>
      <c r="M374" s="406">
        <v>44677</v>
      </c>
      <c r="N374" s="406">
        <v>44866</v>
      </c>
      <c r="O374" s="406"/>
      <c r="P374" s="406"/>
      <c r="Q374" s="406"/>
      <c r="R374" s="406"/>
      <c r="S374" s="405" t="s">
        <v>1067</v>
      </c>
      <c r="T374" s="405">
        <v>72</v>
      </c>
      <c r="U374" s="405"/>
      <c r="V374" s="405" t="s">
        <v>1108</v>
      </c>
      <c r="W374" s="407">
        <v>575</v>
      </c>
      <c r="X374" s="371">
        <v>6960</v>
      </c>
      <c r="Y374" s="422">
        <f>X374*W374</f>
        <v>4002000</v>
      </c>
      <c r="Z374" s="409">
        <v>0.57499999999999996</v>
      </c>
      <c r="AA374" s="410">
        <f t="shared" si="73"/>
        <v>2301150</v>
      </c>
      <c r="AB374" s="362"/>
      <c r="AC374" s="412">
        <f t="shared" si="79"/>
        <v>0</v>
      </c>
      <c r="AD374" s="405"/>
      <c r="AE374" s="413"/>
      <c r="AF374" s="424">
        <f t="shared" si="80"/>
        <v>2301150</v>
      </c>
      <c r="AG374" s="405" t="s">
        <v>47</v>
      </c>
      <c r="AH374" s="395">
        <v>100</v>
      </c>
      <c r="AI374" s="405">
        <v>0</v>
      </c>
      <c r="AJ374" s="405" t="s">
        <v>1102</v>
      </c>
      <c r="AK374" s="405" t="s">
        <v>1102</v>
      </c>
      <c r="AL374" s="425" t="s">
        <v>1102</v>
      </c>
      <c r="AM374" s="405" t="s">
        <v>52</v>
      </c>
      <c r="AN374" s="405" t="s">
        <v>1071</v>
      </c>
      <c r="AO374" s="405"/>
      <c r="AP374" s="405"/>
      <c r="AQ374" s="405"/>
      <c r="AR374" s="405"/>
      <c r="AS374" s="369"/>
      <c r="AT374" s="363"/>
      <c r="AU374" s="403"/>
      <c r="AV374" s="402">
        <f t="shared" si="81"/>
        <v>0</v>
      </c>
      <c r="AW374" s="402" cm="1">
        <f t="array" ref="AW374">SUM(MID(0&amp;AV374,LARGE(INDEX(ISNUMBER(--MID(AV374,ROW($1:$8),1))*ROW($1:$8),),ROW($1:$8))+1,1)*10^ROW($1:$8)/10)</f>
        <v>0</v>
      </c>
      <c r="AX374" s="402" t="e">
        <f>VLOOKUP($AW374,'Item Master Data'!$A:$F,3,FALSE)</f>
        <v>#N/A</v>
      </c>
      <c r="AY374" s="402" t="e">
        <f>VLOOKUP($AW374,'Item Master Data'!$A:$F,6,FALSE)</f>
        <v>#N/A</v>
      </c>
      <c r="AZ374" s="402" t="e">
        <f t="shared" si="82"/>
        <v>#N/A</v>
      </c>
      <c r="BA374" s="402" t="e">
        <f>VLOOKUP(AW374,'Item Master Data'!$A:$G,7,FALSE)</f>
        <v>#N/A</v>
      </c>
      <c r="BB374" s="402"/>
      <c r="BC374" s="402" t="e">
        <f t="shared" si="83"/>
        <v>#N/A</v>
      </c>
    </row>
    <row r="375" spans="1:55">
      <c r="A375" s="377"/>
      <c r="B375" s="376"/>
      <c r="C375" s="376"/>
      <c r="D375" s="405" t="s">
        <v>1066</v>
      </c>
      <c r="E375" s="364" t="s">
        <v>1385</v>
      </c>
      <c r="F375" s="405" t="s">
        <v>1074</v>
      </c>
      <c r="G375" s="405">
        <v>2022</v>
      </c>
      <c r="H375" s="405">
        <v>11</v>
      </c>
      <c r="I375" s="416" t="s">
        <v>1087</v>
      </c>
      <c r="J375" s="406"/>
      <c r="K375" s="405" t="s">
        <v>1388</v>
      </c>
      <c r="L375" s="406" t="s">
        <v>1380</v>
      </c>
      <c r="M375" s="406">
        <v>44532</v>
      </c>
      <c r="N375" s="406">
        <v>44805</v>
      </c>
      <c r="O375" s="406"/>
      <c r="P375" s="406"/>
      <c r="Q375" s="406"/>
      <c r="R375" s="406"/>
      <c r="S375" s="405" t="s">
        <v>1107</v>
      </c>
      <c r="T375" s="405">
        <v>72</v>
      </c>
      <c r="U375" s="405" t="s">
        <v>1146</v>
      </c>
      <c r="V375" s="405" t="s">
        <v>1194</v>
      </c>
      <c r="W375" s="407">
        <v>480</v>
      </c>
      <c r="X375" s="371">
        <v>3741</v>
      </c>
      <c r="Y375" s="422">
        <f t="shared" ref="Y375:Y381" si="84">W375*X375</f>
        <v>1795680</v>
      </c>
      <c r="Z375" s="409">
        <v>0.44500000000000001</v>
      </c>
      <c r="AA375" s="410">
        <f t="shared" si="73"/>
        <v>799077.6</v>
      </c>
      <c r="AB375" s="362"/>
      <c r="AC375" s="412">
        <f t="shared" si="79"/>
        <v>0</v>
      </c>
      <c r="AD375" s="405"/>
      <c r="AE375" s="413"/>
      <c r="AF375" s="424">
        <f t="shared" si="80"/>
        <v>799077.6</v>
      </c>
      <c r="AG375" s="405" t="s">
        <v>47</v>
      </c>
      <c r="AH375" s="395">
        <v>10</v>
      </c>
      <c r="AI375" s="405">
        <v>30</v>
      </c>
      <c r="AJ375" s="405" t="s">
        <v>1389</v>
      </c>
      <c r="AK375" s="405" t="s">
        <v>1207</v>
      </c>
      <c r="AL375" s="425">
        <v>47356</v>
      </c>
      <c r="AM375" s="405" t="s">
        <v>52</v>
      </c>
      <c r="AN375" s="405" t="s">
        <v>1082</v>
      </c>
      <c r="AO375" s="405"/>
      <c r="AP375" s="405" t="s">
        <v>38</v>
      </c>
      <c r="AQ375" s="405" t="s">
        <v>1083</v>
      </c>
      <c r="AR375" s="405"/>
      <c r="AS375" s="369" t="s">
        <v>1073</v>
      </c>
      <c r="AT375" s="363" t="s">
        <v>1073</v>
      </c>
      <c r="AU375" s="403"/>
      <c r="AV375" s="402" t="str">
        <f t="shared" si="81"/>
        <v>12005832C</v>
      </c>
      <c r="AW375" s="402" cm="1">
        <f t="array" ref="AW375">SUM(MID(0&amp;AV375,LARGE(INDEX(ISNUMBER(--MID(AV375,ROW($1:$8),1))*ROW($1:$8),),ROW($1:$8))+1,1)*10^ROW($1:$8)/10)</f>
        <v>12005832</v>
      </c>
      <c r="AX375" s="402" t="str">
        <f>VLOOKUP($AW375,'Item Master Data'!$A:$F,3,FALSE)</f>
        <v>Q.PEAK DUO XL G10 BFG</v>
      </c>
      <c r="AY375" s="402">
        <f>VLOOKUP($AW375,'Item Master Data'!$A:$F,6,FALSE)</f>
        <v>480</v>
      </c>
      <c r="AZ375" s="402" t="e">
        <f t="shared" si="82"/>
        <v>#VALUE!</v>
      </c>
      <c r="BA375" s="402" t="str">
        <f>VLOOKUP(AW375,'Item Master Data'!$A:$G,7,FALSE)</f>
        <v> 30</v>
      </c>
      <c r="BB375" s="402"/>
      <c r="BC375" s="402">
        <f t="shared" si="83"/>
        <v>0</v>
      </c>
    </row>
    <row r="376" spans="1:55">
      <c r="A376" s="377"/>
      <c r="B376" s="376"/>
      <c r="C376" s="376"/>
      <c r="D376" s="405" t="s">
        <v>1066</v>
      </c>
      <c r="E376" s="364" t="s">
        <v>1159</v>
      </c>
      <c r="F376" s="405" t="s">
        <v>1074</v>
      </c>
      <c r="G376" s="405">
        <v>2022</v>
      </c>
      <c r="H376" s="405">
        <v>11</v>
      </c>
      <c r="I376" s="416"/>
      <c r="J376" s="406"/>
      <c r="K376" s="405" t="s">
        <v>1437</v>
      </c>
      <c r="L376" s="406" t="s">
        <v>1429</v>
      </c>
      <c r="M376" s="406">
        <v>44657</v>
      </c>
      <c r="N376" s="406">
        <v>44866</v>
      </c>
      <c r="O376" s="406"/>
      <c r="P376" s="406"/>
      <c r="Q376" s="406"/>
      <c r="R376" s="406"/>
      <c r="S376" s="405" t="s">
        <v>1098</v>
      </c>
      <c r="T376" s="405">
        <v>72</v>
      </c>
      <c r="U376" s="405"/>
      <c r="V376" s="405" t="s">
        <v>1108</v>
      </c>
      <c r="W376" s="407">
        <v>580</v>
      </c>
      <c r="X376" s="371">
        <v>28739</v>
      </c>
      <c r="Y376" s="422">
        <f t="shared" si="84"/>
        <v>16668620</v>
      </c>
      <c r="Z376" s="409">
        <v>0.48</v>
      </c>
      <c r="AA376" s="410">
        <f t="shared" si="73"/>
        <v>8000937.5999999996</v>
      </c>
      <c r="AB376" s="362"/>
      <c r="AC376" s="412">
        <f t="shared" si="79"/>
        <v>0</v>
      </c>
      <c r="AD376" s="405"/>
      <c r="AE376" s="413"/>
      <c r="AF376" s="424">
        <f t="shared" si="80"/>
        <v>8000937.5999999996</v>
      </c>
      <c r="AG376" s="405" t="s">
        <v>47</v>
      </c>
      <c r="AH376" s="395">
        <v>100</v>
      </c>
      <c r="AI376" s="405">
        <v>0</v>
      </c>
      <c r="AJ376" s="405" t="s">
        <v>1102</v>
      </c>
      <c r="AK376" s="405" t="s">
        <v>1102</v>
      </c>
      <c r="AL376" s="425" t="s">
        <v>1102</v>
      </c>
      <c r="AM376" s="405" t="s">
        <v>52</v>
      </c>
      <c r="AN376" s="405" t="s">
        <v>1102</v>
      </c>
      <c r="AO376" s="405"/>
      <c r="AP376" s="405" t="s">
        <v>38</v>
      </c>
      <c r="AQ376" s="405" t="s">
        <v>1083</v>
      </c>
      <c r="AR376" s="405"/>
      <c r="AS376" s="369" t="s">
        <v>1084</v>
      </c>
      <c r="AT376" s="363" t="s">
        <v>1073</v>
      </c>
      <c r="AU376" s="403"/>
      <c r="AV376" s="402"/>
      <c r="AW376" s="402"/>
      <c r="AX376" s="402"/>
      <c r="AY376" s="402"/>
      <c r="AZ376" s="402"/>
      <c r="BA376" s="402"/>
      <c r="BB376" s="402"/>
      <c r="BC376" s="402"/>
    </row>
    <row r="377" spans="1:55">
      <c r="A377" s="377"/>
      <c r="B377" s="376"/>
      <c r="C377" s="376"/>
      <c r="D377" s="405" t="s">
        <v>1066</v>
      </c>
      <c r="E377" s="364" t="s">
        <v>4052</v>
      </c>
      <c r="F377" s="405" t="s">
        <v>87</v>
      </c>
      <c r="G377" s="405">
        <v>2022</v>
      </c>
      <c r="H377" s="405">
        <v>6</v>
      </c>
      <c r="I377" s="416"/>
      <c r="J377" s="406"/>
      <c r="K377" s="405" t="s">
        <v>1456</v>
      </c>
      <c r="L377" s="406" t="s">
        <v>1442</v>
      </c>
      <c r="M377" s="406">
        <v>44592</v>
      </c>
      <c r="N377" s="406">
        <v>44596</v>
      </c>
      <c r="O377" s="406"/>
      <c r="P377" s="406">
        <v>44623</v>
      </c>
      <c r="Q377" s="406"/>
      <c r="R377" s="406"/>
      <c r="S377" s="405" t="s">
        <v>1443</v>
      </c>
      <c r="T377" s="405">
        <v>72</v>
      </c>
      <c r="U377" s="405" t="s">
        <v>1432</v>
      </c>
      <c r="V377" s="405" t="s">
        <v>1068</v>
      </c>
      <c r="W377" s="407">
        <v>475</v>
      </c>
      <c r="X377" s="371">
        <v>4118</v>
      </c>
      <c r="Y377" s="422">
        <f t="shared" si="84"/>
        <v>1956050</v>
      </c>
      <c r="Z377" s="409">
        <v>0.47</v>
      </c>
      <c r="AA377" s="410">
        <f t="shared" si="73"/>
        <v>919343.5</v>
      </c>
      <c r="AB377" s="362"/>
      <c r="AC377" s="412">
        <v>0</v>
      </c>
      <c r="AD377" s="405"/>
      <c r="AE377" s="413"/>
      <c r="AF377" s="424">
        <f>AA377+AE377</f>
        <v>919343.5</v>
      </c>
      <c r="AG377" s="405" t="s">
        <v>47</v>
      </c>
      <c r="AH377" s="395"/>
      <c r="AI377" s="405">
        <v>60</v>
      </c>
      <c r="AJ377" s="405" t="s">
        <v>1454</v>
      </c>
      <c r="AK377" s="405" t="s">
        <v>1136</v>
      </c>
      <c r="AL377" s="425">
        <v>78725</v>
      </c>
      <c r="AM377" s="405" t="s">
        <v>52</v>
      </c>
      <c r="AN377" s="405" t="s">
        <v>1141</v>
      </c>
      <c r="AO377" s="405"/>
      <c r="AP377" s="405" t="s">
        <v>92</v>
      </c>
      <c r="AQ377" s="405" t="s">
        <v>37</v>
      </c>
      <c r="AR377" s="405"/>
      <c r="AS377" s="369"/>
      <c r="AT377" s="363"/>
      <c r="AU377" s="403"/>
      <c r="AV377" s="402"/>
      <c r="AW377" s="402"/>
      <c r="AX377" s="402"/>
      <c r="AY377" s="402"/>
      <c r="AZ377" s="402"/>
      <c r="BA377" s="402"/>
      <c r="BB377" s="402"/>
      <c r="BC377" s="402"/>
    </row>
    <row r="378" spans="1:55">
      <c r="A378" s="377"/>
      <c r="B378" s="376"/>
      <c r="C378" s="376"/>
      <c r="D378" s="405" t="s">
        <v>1066</v>
      </c>
      <c r="E378" s="364" t="s">
        <v>4933</v>
      </c>
      <c r="F378" s="405" t="s">
        <v>1139</v>
      </c>
      <c r="G378" s="405">
        <v>2022</v>
      </c>
      <c r="H378" s="405">
        <v>10</v>
      </c>
      <c r="I378" s="416">
        <v>2005234</v>
      </c>
      <c r="J378" s="406"/>
      <c r="K378" s="405" t="s">
        <v>1419</v>
      </c>
      <c r="L378" s="406" t="s">
        <v>1415</v>
      </c>
      <c r="M378" s="406">
        <v>44481</v>
      </c>
      <c r="N378" s="406">
        <v>44845</v>
      </c>
      <c r="O378" s="406"/>
      <c r="P378" s="406"/>
      <c r="Q378" s="406"/>
      <c r="R378" s="406"/>
      <c r="S378" s="405" t="s">
        <v>1325</v>
      </c>
      <c r="T378" s="405">
        <v>72</v>
      </c>
      <c r="U378" s="405">
        <v>49303156</v>
      </c>
      <c r="V378" s="405" t="s">
        <v>1068</v>
      </c>
      <c r="W378" s="407">
        <v>480</v>
      </c>
      <c r="X378" s="371">
        <v>10740</v>
      </c>
      <c r="Y378" s="422">
        <f t="shared" si="84"/>
        <v>5155200</v>
      </c>
      <c r="Z378" s="409">
        <v>0.39500000000000002</v>
      </c>
      <c r="AA378" s="410">
        <f t="shared" si="73"/>
        <v>2036304</v>
      </c>
      <c r="AB378" s="362"/>
      <c r="AC378" s="412">
        <f t="shared" ref="AC378:AC384" si="85">AB378*Y378</f>
        <v>0</v>
      </c>
      <c r="AD378" s="405"/>
      <c r="AE378" s="413"/>
      <c r="AF378" s="424">
        <f t="shared" ref="AF378:AF388" si="86">AE378+AD378+AA378</f>
        <v>2036304</v>
      </c>
      <c r="AG378" s="405" t="s">
        <v>47</v>
      </c>
      <c r="AH378" s="395">
        <v>10</v>
      </c>
      <c r="AI378" s="405">
        <v>45</v>
      </c>
      <c r="AJ378" s="405" t="s">
        <v>1420</v>
      </c>
      <c r="AK378" s="405" t="s">
        <v>1148</v>
      </c>
      <c r="AL378" s="425">
        <v>27320</v>
      </c>
      <c r="AM378" s="405" t="s">
        <v>52</v>
      </c>
      <c r="AN378" s="405" t="s">
        <v>1102</v>
      </c>
      <c r="AO378" s="405"/>
      <c r="AP378" s="405" t="s">
        <v>1102</v>
      </c>
      <c r="AQ378" s="405"/>
      <c r="AR378" s="405"/>
      <c r="AS378" s="369"/>
      <c r="AT378" s="363"/>
      <c r="AU378" s="403"/>
      <c r="AV378" s="402"/>
      <c r="AW378" s="402"/>
      <c r="AX378" s="402"/>
      <c r="AY378" s="402"/>
      <c r="AZ378" s="402"/>
      <c r="BA378" s="402"/>
      <c r="BB378" s="402"/>
      <c r="BC378" s="402"/>
    </row>
    <row r="379" spans="1:55">
      <c r="A379" s="377"/>
      <c r="B379" s="376"/>
      <c r="C379" s="376"/>
      <c r="D379" s="405" t="s">
        <v>1066</v>
      </c>
      <c r="E379" s="364" t="s">
        <v>4933</v>
      </c>
      <c r="F379" s="405" t="s">
        <v>1139</v>
      </c>
      <c r="G379" s="405">
        <v>2022</v>
      </c>
      <c r="H379" s="405">
        <v>12</v>
      </c>
      <c r="I379" s="416">
        <v>2005236</v>
      </c>
      <c r="J379" s="406"/>
      <c r="K379" s="405" t="s">
        <v>1426</v>
      </c>
      <c r="L379" s="406" t="s">
        <v>1415</v>
      </c>
      <c r="M379" s="406">
        <v>44481</v>
      </c>
      <c r="N379" s="406">
        <v>44897</v>
      </c>
      <c r="O379" s="406"/>
      <c r="P379" s="406"/>
      <c r="Q379" s="406"/>
      <c r="R379" s="406"/>
      <c r="S379" s="405" t="s">
        <v>1325</v>
      </c>
      <c r="T379" s="405">
        <v>72</v>
      </c>
      <c r="U379" s="405">
        <v>49303156</v>
      </c>
      <c r="V379" s="405" t="s">
        <v>1068</v>
      </c>
      <c r="W379" s="407">
        <v>480</v>
      </c>
      <c r="X379" s="371">
        <v>11400</v>
      </c>
      <c r="Y379" s="422">
        <f t="shared" si="84"/>
        <v>5472000</v>
      </c>
      <c r="Z379" s="409">
        <v>0.39500000000000002</v>
      </c>
      <c r="AA379" s="410">
        <f t="shared" ref="AA379:AA384" si="87">Z379*Y379</f>
        <v>2161440</v>
      </c>
      <c r="AB379" s="362"/>
      <c r="AC379" s="412">
        <f t="shared" si="85"/>
        <v>0</v>
      </c>
      <c r="AD379" s="405"/>
      <c r="AE379" s="413"/>
      <c r="AF379" s="424">
        <f t="shared" si="86"/>
        <v>2161440</v>
      </c>
      <c r="AG379" s="405" t="s">
        <v>47</v>
      </c>
      <c r="AH379" s="395">
        <v>10</v>
      </c>
      <c r="AI379" s="405">
        <v>45</v>
      </c>
      <c r="AJ379" s="405" t="s">
        <v>1427</v>
      </c>
      <c r="AK379" s="405" t="s">
        <v>1148</v>
      </c>
      <c r="AL379" s="425">
        <v>28352</v>
      </c>
      <c r="AM379" s="405" t="s">
        <v>52</v>
      </c>
      <c r="AN379" s="405" t="s">
        <v>1102</v>
      </c>
      <c r="AO379" s="405"/>
      <c r="AP379" s="405" t="s">
        <v>1102</v>
      </c>
      <c r="AQ379" s="405"/>
      <c r="AR379" s="405"/>
      <c r="AS379" s="369"/>
      <c r="AT379" s="363"/>
      <c r="AU379" s="403"/>
      <c r="AV379" s="402"/>
      <c r="AW379" s="402"/>
      <c r="AX379" s="402"/>
      <c r="AY379" s="402"/>
      <c r="AZ379" s="402"/>
      <c r="BA379" s="402"/>
      <c r="BB379" s="402"/>
      <c r="BC379" s="402"/>
    </row>
    <row r="380" spans="1:55">
      <c r="A380" s="377"/>
      <c r="B380" s="376"/>
      <c r="C380" s="376"/>
      <c r="D380" s="405" t="s">
        <v>1066</v>
      </c>
      <c r="E380" s="364" t="s">
        <v>1159</v>
      </c>
      <c r="F380" s="405" t="s">
        <v>1074</v>
      </c>
      <c r="G380" s="405">
        <v>2023</v>
      </c>
      <c r="H380" s="405">
        <v>7</v>
      </c>
      <c r="I380" s="416"/>
      <c r="J380" s="406"/>
      <c r="K380" s="405" t="s">
        <v>1436</v>
      </c>
      <c r="L380" s="406" t="s">
        <v>1429</v>
      </c>
      <c r="M380" s="406">
        <v>44644</v>
      </c>
      <c r="N380" s="406">
        <v>44743</v>
      </c>
      <c r="O380" s="406"/>
      <c r="P380" s="406"/>
      <c r="Q380" s="406"/>
      <c r="R380" s="406"/>
      <c r="S380" s="405" t="s">
        <v>1098</v>
      </c>
      <c r="T380" s="405">
        <v>72</v>
      </c>
      <c r="U380" s="405"/>
      <c r="V380" s="405" t="s">
        <v>1068</v>
      </c>
      <c r="W380" s="407">
        <v>480</v>
      </c>
      <c r="X380" s="371">
        <v>20822</v>
      </c>
      <c r="Y380" s="422">
        <f t="shared" si="84"/>
        <v>9994560</v>
      </c>
      <c r="Z380" s="409">
        <v>0.43</v>
      </c>
      <c r="AA380" s="410">
        <f t="shared" si="87"/>
        <v>4297660.8</v>
      </c>
      <c r="AB380" s="362"/>
      <c r="AC380" s="412">
        <f t="shared" si="85"/>
        <v>0</v>
      </c>
      <c r="AD380" s="405"/>
      <c r="AE380" s="413"/>
      <c r="AF380" s="424">
        <f t="shared" si="86"/>
        <v>4297660.8</v>
      </c>
      <c r="AG380" s="405" t="s">
        <v>47</v>
      </c>
      <c r="AH380" s="395">
        <v>100</v>
      </c>
      <c r="AI380" s="405">
        <v>0</v>
      </c>
      <c r="AJ380" s="405" t="s">
        <v>1102</v>
      </c>
      <c r="AK380" s="405" t="s">
        <v>1102</v>
      </c>
      <c r="AL380" s="425" t="s">
        <v>1102</v>
      </c>
      <c r="AM380" s="405" t="s">
        <v>52</v>
      </c>
      <c r="AN380" s="405" t="s">
        <v>1102</v>
      </c>
      <c r="AO380" s="405"/>
      <c r="AP380" s="405" t="s">
        <v>38</v>
      </c>
      <c r="AQ380" s="405" t="s">
        <v>1083</v>
      </c>
      <c r="AR380" s="405"/>
      <c r="AS380" s="369" t="s">
        <v>1084</v>
      </c>
      <c r="AT380" s="363" t="s">
        <v>1073</v>
      </c>
      <c r="AU380" s="403"/>
      <c r="AV380" s="402">
        <f>U380</f>
        <v>0</v>
      </c>
      <c r="AW380" s="402" cm="1">
        <f t="array" ref="AW380">SUM(MID(0&amp;AV380,LARGE(INDEX(ISNUMBER(--MID(AV380,ROW($1:$8),1))*ROW($1:$8),),ROW($1:$8))+1,1)*10^ROW($1:$8)/10)</f>
        <v>0</v>
      </c>
      <c r="AX380" s="402" t="e">
        <f>VLOOKUP($AW380,'Item Master Data'!$A:$F,3,FALSE)</f>
        <v>#N/A</v>
      </c>
      <c r="AY380" s="402" t="e">
        <f>VLOOKUP($AW380,'Item Master Data'!$A:$F,6,FALSE)</f>
        <v>#N/A</v>
      </c>
      <c r="AZ380" s="402" t="e">
        <f>X380/BA380</f>
        <v>#N/A</v>
      </c>
      <c r="BA380" s="402" t="e">
        <f>VLOOKUP(AW380,'Item Master Data'!$A:$G,7,FALSE)</f>
        <v>#N/A</v>
      </c>
      <c r="BB380" s="402"/>
      <c r="BC380" s="402" t="e">
        <f>W380-AY380</f>
        <v>#N/A</v>
      </c>
    </row>
    <row r="381" spans="1:55">
      <c r="A381" s="377"/>
      <c r="B381" s="376"/>
      <c r="C381" s="376"/>
      <c r="D381" s="405" t="s">
        <v>1066</v>
      </c>
      <c r="E381" s="364" t="s">
        <v>1159</v>
      </c>
      <c r="F381" s="405" t="s">
        <v>1074</v>
      </c>
      <c r="G381" s="405">
        <v>2023</v>
      </c>
      <c r="H381" s="405">
        <v>8</v>
      </c>
      <c r="I381" s="416"/>
      <c r="J381" s="406"/>
      <c r="K381" s="405" t="s">
        <v>1436</v>
      </c>
      <c r="L381" s="406" t="s">
        <v>1429</v>
      </c>
      <c r="M381" s="406">
        <v>44644</v>
      </c>
      <c r="N381" s="406">
        <v>44743</v>
      </c>
      <c r="O381" s="406"/>
      <c r="P381" s="406"/>
      <c r="Q381" s="406"/>
      <c r="R381" s="406"/>
      <c r="S381" s="405" t="s">
        <v>1098</v>
      </c>
      <c r="T381" s="405">
        <v>72</v>
      </c>
      <c r="U381" s="405"/>
      <c r="V381" s="405" t="s">
        <v>1068</v>
      </c>
      <c r="W381" s="407">
        <v>480</v>
      </c>
      <c r="X381" s="371">
        <v>20851</v>
      </c>
      <c r="Y381" s="422">
        <f t="shared" si="84"/>
        <v>10008480</v>
      </c>
      <c r="Z381" s="409">
        <v>0.43</v>
      </c>
      <c r="AA381" s="410">
        <f t="shared" si="87"/>
        <v>4303646.4000000004</v>
      </c>
      <c r="AB381" s="362"/>
      <c r="AC381" s="412">
        <f t="shared" si="85"/>
        <v>0</v>
      </c>
      <c r="AD381" s="405"/>
      <c r="AE381" s="413"/>
      <c r="AF381" s="424">
        <f t="shared" si="86"/>
        <v>4303646.4000000004</v>
      </c>
      <c r="AG381" s="405" t="s">
        <v>47</v>
      </c>
      <c r="AH381" s="395">
        <v>100</v>
      </c>
      <c r="AI381" s="405">
        <v>0</v>
      </c>
      <c r="AJ381" s="405" t="s">
        <v>1102</v>
      </c>
      <c r="AK381" s="405" t="s">
        <v>1102</v>
      </c>
      <c r="AL381" s="425" t="s">
        <v>1102</v>
      </c>
      <c r="AM381" s="405" t="s">
        <v>52</v>
      </c>
      <c r="AN381" s="405" t="s">
        <v>1102</v>
      </c>
      <c r="AO381" s="405"/>
      <c r="AP381" s="405" t="s">
        <v>38</v>
      </c>
      <c r="AQ381" s="405" t="s">
        <v>1083</v>
      </c>
      <c r="AR381" s="405"/>
      <c r="AS381" s="369" t="s">
        <v>1084</v>
      </c>
      <c r="AT381" s="363" t="s">
        <v>1073</v>
      </c>
      <c r="AU381" s="403"/>
      <c r="AV381" s="402"/>
      <c r="AW381" s="402"/>
      <c r="AX381" s="402"/>
      <c r="AY381" s="402"/>
      <c r="AZ381" s="402"/>
      <c r="BA381" s="402"/>
      <c r="BB381" s="402"/>
      <c r="BC381" s="402"/>
    </row>
    <row r="382" spans="1:55">
      <c r="A382" s="377"/>
      <c r="B382" s="376" t="s">
        <v>1186</v>
      </c>
      <c r="C382" s="376" t="s">
        <v>1186</v>
      </c>
      <c r="D382" s="405" t="s">
        <v>1066</v>
      </c>
      <c r="E382" s="364" t="s">
        <v>1093</v>
      </c>
      <c r="F382" s="405"/>
      <c r="G382" s="405">
        <v>2022</v>
      </c>
      <c r="H382" s="405">
        <v>12</v>
      </c>
      <c r="I382" s="416"/>
      <c r="J382" s="406"/>
      <c r="K382" s="405" t="s">
        <v>4267</v>
      </c>
      <c r="L382" s="406" t="s">
        <v>1189</v>
      </c>
      <c r="M382" s="406">
        <v>44673</v>
      </c>
      <c r="N382" s="406">
        <v>44896</v>
      </c>
      <c r="O382" s="406"/>
      <c r="P382" s="406"/>
      <c r="Q382" s="406"/>
      <c r="R382" s="406"/>
      <c r="S382" s="405" t="s">
        <v>1107</v>
      </c>
      <c r="T382" s="405">
        <v>60</v>
      </c>
      <c r="U382" s="405"/>
      <c r="V382" s="405" t="s">
        <v>973</v>
      </c>
      <c r="W382" s="407">
        <v>400</v>
      </c>
      <c r="X382" s="371">
        <v>768</v>
      </c>
      <c r="Y382" s="422">
        <f>X382*W382</f>
        <v>307200</v>
      </c>
      <c r="Z382" s="409">
        <v>0.64</v>
      </c>
      <c r="AA382" s="410">
        <f t="shared" si="87"/>
        <v>196608</v>
      </c>
      <c r="AB382" s="362"/>
      <c r="AC382" s="412">
        <f t="shared" si="85"/>
        <v>0</v>
      </c>
      <c r="AD382" s="405"/>
      <c r="AE382" s="413"/>
      <c r="AF382" s="424">
        <f t="shared" si="86"/>
        <v>196608</v>
      </c>
      <c r="AG382" s="405" t="s">
        <v>1069</v>
      </c>
      <c r="AH382" s="395">
        <v>0</v>
      </c>
      <c r="AI382" s="405">
        <v>60</v>
      </c>
      <c r="AJ382" s="405" t="s">
        <v>1190</v>
      </c>
      <c r="AK382" s="405" t="s">
        <v>1191</v>
      </c>
      <c r="AL382" s="425">
        <v>43125</v>
      </c>
      <c r="AM382" s="405" t="s">
        <v>52</v>
      </c>
      <c r="AN382" s="405" t="s">
        <v>1071</v>
      </c>
      <c r="AO382" s="405"/>
      <c r="AP382" s="405"/>
      <c r="AQ382" s="405"/>
      <c r="AR382" s="405"/>
      <c r="AS382" s="369"/>
      <c r="AT382" s="363"/>
      <c r="AU382" s="403"/>
      <c r="AV382" s="402"/>
      <c r="AW382" s="402"/>
      <c r="AX382" s="402"/>
      <c r="AY382" s="402"/>
      <c r="AZ382" s="402"/>
      <c r="BA382" s="402"/>
      <c r="BB382" s="402"/>
      <c r="BC382" s="402"/>
    </row>
    <row r="383" spans="1:55">
      <c r="A383" s="377"/>
      <c r="B383" s="376">
        <v>44634</v>
      </c>
      <c r="C383" s="376" t="s">
        <v>1186</v>
      </c>
      <c r="D383" s="405" t="s">
        <v>1066</v>
      </c>
      <c r="E383" s="364" t="s">
        <v>2367</v>
      </c>
      <c r="F383" s="405"/>
      <c r="G383" s="405">
        <v>2022</v>
      </c>
      <c r="H383" s="405">
        <v>12</v>
      </c>
      <c r="I383" s="416"/>
      <c r="J383" s="406"/>
      <c r="K383" s="405" t="s">
        <v>4517</v>
      </c>
      <c r="L383" s="406" t="s">
        <v>1205</v>
      </c>
      <c r="M383" s="406">
        <v>44680</v>
      </c>
      <c r="N383" s="406">
        <v>44896</v>
      </c>
      <c r="O383" s="406"/>
      <c r="P383" s="406"/>
      <c r="Q383" s="406"/>
      <c r="R383" s="406"/>
      <c r="S383" s="405" t="s">
        <v>1107</v>
      </c>
      <c r="T383" s="405">
        <v>60</v>
      </c>
      <c r="U383" s="405"/>
      <c r="V383" s="405" t="s">
        <v>973</v>
      </c>
      <c r="W383" s="407">
        <v>400</v>
      </c>
      <c r="X383" s="371">
        <v>1536</v>
      </c>
      <c r="Y383" s="422">
        <f>W383*X383</f>
        <v>614400</v>
      </c>
      <c r="Z383" s="409">
        <v>0.64</v>
      </c>
      <c r="AA383" s="410">
        <f t="shared" si="87"/>
        <v>393216</v>
      </c>
      <c r="AB383" s="362"/>
      <c r="AC383" s="412">
        <f t="shared" si="85"/>
        <v>0</v>
      </c>
      <c r="AD383" s="405"/>
      <c r="AE383" s="413"/>
      <c r="AF383" s="424">
        <f t="shared" si="86"/>
        <v>393216</v>
      </c>
      <c r="AG383" s="405" t="s">
        <v>1069</v>
      </c>
      <c r="AH383" s="395">
        <v>0</v>
      </c>
      <c r="AI383" s="405">
        <v>60</v>
      </c>
      <c r="AJ383" s="405" t="s">
        <v>1206</v>
      </c>
      <c r="AK383" s="405" t="s">
        <v>1207</v>
      </c>
      <c r="AL383" s="425" t="s">
        <v>1208</v>
      </c>
      <c r="AM383" s="405" t="s">
        <v>52</v>
      </c>
      <c r="AN383" s="405" t="s">
        <v>1071</v>
      </c>
      <c r="AO383" s="405"/>
      <c r="AP383" s="405"/>
      <c r="AQ383" s="405" t="s">
        <v>1083</v>
      </c>
      <c r="AR383" s="405"/>
      <c r="AS383" s="369" t="s">
        <v>1142</v>
      </c>
      <c r="AT383" s="363" t="s">
        <v>1073</v>
      </c>
      <c r="AU383" s="403" t="s">
        <v>1073</v>
      </c>
      <c r="AV383" s="402"/>
      <c r="AW383" s="402"/>
      <c r="AX383" s="402"/>
      <c r="AY383" s="402"/>
      <c r="AZ383" s="402"/>
      <c r="BA383" s="402"/>
      <c r="BB383" s="402"/>
      <c r="BC383" s="402"/>
    </row>
    <row r="384" spans="1:55">
      <c r="A384" s="377"/>
      <c r="B384" s="376"/>
      <c r="C384" s="376"/>
      <c r="D384" s="405" t="s">
        <v>1066</v>
      </c>
      <c r="E384" s="364" t="s">
        <v>4056</v>
      </c>
      <c r="F384" s="405" t="s">
        <v>1074</v>
      </c>
      <c r="G384" s="405">
        <v>2022</v>
      </c>
      <c r="H384" s="405">
        <v>8</v>
      </c>
      <c r="I384" s="416">
        <v>2005091</v>
      </c>
      <c r="J384" s="406"/>
      <c r="K384" s="405" t="s">
        <v>1476</v>
      </c>
      <c r="L384" s="406" t="s">
        <v>1472</v>
      </c>
      <c r="M384" s="406">
        <v>44510</v>
      </c>
      <c r="N384" s="406">
        <v>44790</v>
      </c>
      <c r="O384" s="406"/>
      <c r="P384" s="406"/>
      <c r="Q384" s="406"/>
      <c r="R384" s="406"/>
      <c r="S384" s="405" t="s">
        <v>1067</v>
      </c>
      <c r="T384" s="405">
        <v>72</v>
      </c>
      <c r="U384" s="405"/>
      <c r="V384" s="405" t="s">
        <v>1068</v>
      </c>
      <c r="W384" s="407">
        <v>480</v>
      </c>
      <c r="X384" s="371">
        <v>7656</v>
      </c>
      <c r="Y384" s="422">
        <f>W384*X384</f>
        <v>3674880</v>
      </c>
      <c r="Z384" s="409">
        <v>0.46500000000000002</v>
      </c>
      <c r="AA384" s="410">
        <f t="shared" si="87"/>
        <v>1708819.2000000002</v>
      </c>
      <c r="AB384" s="362"/>
      <c r="AC384" s="412">
        <f t="shared" si="85"/>
        <v>0</v>
      </c>
      <c r="AD384" s="405"/>
      <c r="AE384" s="413"/>
      <c r="AF384" s="424">
        <f t="shared" si="86"/>
        <v>1708819.2000000002</v>
      </c>
      <c r="AG384" s="405" t="s">
        <v>1069</v>
      </c>
      <c r="AH384" s="395">
        <v>10</v>
      </c>
      <c r="AI384" s="405">
        <v>30</v>
      </c>
      <c r="AJ384" s="405" t="s">
        <v>1102</v>
      </c>
      <c r="AK384" s="405" t="s">
        <v>1102</v>
      </c>
      <c r="AL384" s="425" t="s">
        <v>1102</v>
      </c>
      <c r="AM384" s="405" t="s">
        <v>52</v>
      </c>
      <c r="AN384" s="405" t="s">
        <v>1082</v>
      </c>
      <c r="AO384" s="405"/>
      <c r="AP384" s="405" t="s">
        <v>92</v>
      </c>
      <c r="AQ384" s="405" t="s">
        <v>1083</v>
      </c>
      <c r="AR384" s="405"/>
      <c r="AS384" s="369" t="s">
        <v>1084</v>
      </c>
      <c r="AT384" s="363" t="s">
        <v>1073</v>
      </c>
      <c r="AU384" s="403"/>
      <c r="AV384" s="402"/>
      <c r="AW384" s="402"/>
      <c r="AX384" s="402"/>
      <c r="AY384" s="402"/>
      <c r="AZ384" s="402"/>
      <c r="BA384" s="402"/>
      <c r="BB384" s="402"/>
      <c r="BC384" s="402"/>
    </row>
    <row r="385" spans="1:55">
      <c r="A385" s="377"/>
      <c r="B385" s="376"/>
      <c r="C385" s="376"/>
      <c r="D385" s="405" t="s">
        <v>1066</v>
      </c>
      <c r="E385" s="364" t="s">
        <v>4228</v>
      </c>
      <c r="F385" s="405" t="s">
        <v>87</v>
      </c>
      <c r="G385" s="405">
        <v>2022</v>
      </c>
      <c r="H385" s="405">
        <v>12</v>
      </c>
      <c r="I385" s="416" t="s">
        <v>1087</v>
      </c>
      <c r="J385" s="406"/>
      <c r="K385" s="405" t="s">
        <v>4055</v>
      </c>
      <c r="L385" s="406" t="s">
        <v>1324</v>
      </c>
      <c r="M385" s="406">
        <v>44664</v>
      </c>
      <c r="N385" s="406" t="s">
        <v>1336</v>
      </c>
      <c r="O385" s="406"/>
      <c r="P385" s="406"/>
      <c r="Q385" s="406"/>
      <c r="R385" s="406"/>
      <c r="S385" s="405" t="s">
        <v>1325</v>
      </c>
      <c r="T385" s="405">
        <v>72</v>
      </c>
      <c r="U385" s="405"/>
      <c r="V385" s="405" t="s">
        <v>1108</v>
      </c>
      <c r="W385" s="407">
        <v>580</v>
      </c>
      <c r="X385" s="371">
        <v>86220</v>
      </c>
      <c r="Y385" s="422">
        <f>W385*X385</f>
        <v>50007600</v>
      </c>
      <c r="Z385" s="409">
        <v>0.53</v>
      </c>
      <c r="AA385" s="410">
        <f>Y385*Z385</f>
        <v>26504028</v>
      </c>
      <c r="AB385" s="362"/>
      <c r="AC385" s="412">
        <v>0</v>
      </c>
      <c r="AD385" s="405"/>
      <c r="AE385" s="413"/>
      <c r="AF385" s="424">
        <f t="shared" si="86"/>
        <v>26504028</v>
      </c>
      <c r="AG385" s="405" t="s">
        <v>47</v>
      </c>
      <c r="AH385" s="395">
        <v>100</v>
      </c>
      <c r="AI385" s="405">
        <v>0</v>
      </c>
      <c r="AJ385" s="405" t="s">
        <v>1102</v>
      </c>
      <c r="AK385" s="405" t="s">
        <v>1102</v>
      </c>
      <c r="AL385" s="425" t="s">
        <v>1102</v>
      </c>
      <c r="AM385" s="405" t="s">
        <v>52</v>
      </c>
      <c r="AN385" s="405" t="s">
        <v>1082</v>
      </c>
      <c r="AO385" s="405"/>
      <c r="AP385" s="405" t="s">
        <v>92</v>
      </c>
      <c r="AQ385" s="405" t="s">
        <v>1102</v>
      </c>
      <c r="AR385" s="405"/>
      <c r="AS385" s="369" t="s">
        <v>1073</v>
      </c>
      <c r="AT385" s="363" t="s">
        <v>1073</v>
      </c>
      <c r="AU385" s="403"/>
      <c r="AV385" s="402"/>
      <c r="AW385" s="402"/>
      <c r="AX385" s="402"/>
      <c r="AY385" s="402"/>
      <c r="AZ385" s="402"/>
      <c r="BA385" s="402"/>
      <c r="BB385" s="402"/>
      <c r="BC385" s="402"/>
    </row>
    <row r="386" spans="1:55">
      <c r="A386" s="377"/>
      <c r="B386" s="376"/>
      <c r="C386" s="376"/>
      <c r="D386" s="405" t="s">
        <v>1066</v>
      </c>
      <c r="E386" s="364" t="s">
        <v>4369</v>
      </c>
      <c r="F386" s="405"/>
      <c r="G386" s="405">
        <v>2022</v>
      </c>
      <c r="H386" s="405">
        <v>12</v>
      </c>
      <c r="I386" s="416"/>
      <c r="J386" s="406"/>
      <c r="K386" s="405">
        <v>1003</v>
      </c>
      <c r="L386" s="406" t="s">
        <v>4370</v>
      </c>
      <c r="M386" s="406">
        <v>44677</v>
      </c>
      <c r="N386" s="406">
        <v>44896</v>
      </c>
      <c r="O386" s="406"/>
      <c r="P386" s="406"/>
      <c r="Q386" s="406"/>
      <c r="R386" s="406"/>
      <c r="S386" s="405" t="s">
        <v>1067</v>
      </c>
      <c r="T386" s="405">
        <v>72</v>
      </c>
      <c r="U386" s="405"/>
      <c r="V386" s="405" t="s">
        <v>1108</v>
      </c>
      <c r="W386" s="407">
        <v>575</v>
      </c>
      <c r="X386" s="371">
        <v>6960</v>
      </c>
      <c r="Y386" s="422">
        <f>X386*W386</f>
        <v>4002000</v>
      </c>
      <c r="Z386" s="409">
        <v>0.57499999999999996</v>
      </c>
      <c r="AA386" s="410">
        <f t="shared" ref="AA386:AA420" si="88">Z386*Y386</f>
        <v>2301150</v>
      </c>
      <c r="AB386" s="362"/>
      <c r="AC386" s="412">
        <f>AB386*Y386</f>
        <v>0</v>
      </c>
      <c r="AD386" s="405"/>
      <c r="AE386" s="413"/>
      <c r="AF386" s="424">
        <f t="shared" si="86"/>
        <v>2301150</v>
      </c>
      <c r="AG386" s="405" t="s">
        <v>47</v>
      </c>
      <c r="AH386" s="395">
        <v>100</v>
      </c>
      <c r="AI386" s="405">
        <v>0</v>
      </c>
      <c r="AJ386" s="405" t="s">
        <v>1102</v>
      </c>
      <c r="AK386" s="405" t="s">
        <v>1102</v>
      </c>
      <c r="AL386" s="425" t="s">
        <v>1102</v>
      </c>
      <c r="AM386" s="405" t="s">
        <v>52</v>
      </c>
      <c r="AN386" s="405" t="s">
        <v>1071</v>
      </c>
      <c r="AO386" s="405"/>
      <c r="AP386" s="405"/>
      <c r="AQ386" s="405"/>
      <c r="AR386" s="405"/>
      <c r="AS386" s="369"/>
      <c r="AT386" s="363"/>
      <c r="AU386" s="403"/>
      <c r="AV386" s="402"/>
      <c r="AW386" s="402"/>
      <c r="AX386" s="402"/>
      <c r="AY386" s="402"/>
      <c r="AZ386" s="402"/>
      <c r="BA386" s="402"/>
      <c r="BB386" s="402"/>
      <c r="BC386" s="402"/>
    </row>
    <row r="387" spans="1:55">
      <c r="A387" s="377"/>
      <c r="B387" s="376"/>
      <c r="C387" s="376"/>
      <c r="D387" s="405" t="s">
        <v>1066</v>
      </c>
      <c r="E387" s="364" t="s">
        <v>4056</v>
      </c>
      <c r="F387" s="405" t="s">
        <v>1074</v>
      </c>
      <c r="G387" s="405">
        <v>2022</v>
      </c>
      <c r="H387" s="405">
        <v>11</v>
      </c>
      <c r="I387" s="416"/>
      <c r="J387" s="406"/>
      <c r="K387" s="405" t="s">
        <v>1477</v>
      </c>
      <c r="L387" s="406" t="s">
        <v>1472</v>
      </c>
      <c r="M387" s="406">
        <v>44510</v>
      </c>
      <c r="N387" s="406">
        <v>44881</v>
      </c>
      <c r="O387" s="406"/>
      <c r="P387" s="406"/>
      <c r="Q387" s="406"/>
      <c r="R387" s="406"/>
      <c r="S387" s="405" t="s">
        <v>1067</v>
      </c>
      <c r="T387" s="405">
        <v>72</v>
      </c>
      <c r="U387" s="405"/>
      <c r="V387" s="405" t="s">
        <v>1068</v>
      </c>
      <c r="W387" s="407">
        <v>480</v>
      </c>
      <c r="X387" s="371">
        <v>6380</v>
      </c>
      <c r="Y387" s="422">
        <f t="shared" ref="Y387:Y417" si="89">W387*X387</f>
        <v>3062400</v>
      </c>
      <c r="Z387" s="409">
        <v>0.46500000000000002</v>
      </c>
      <c r="AA387" s="410">
        <f t="shared" si="88"/>
        <v>1424016</v>
      </c>
      <c r="AB387" s="362"/>
      <c r="AC387" s="412">
        <f>AB387*Y387</f>
        <v>0</v>
      </c>
      <c r="AD387" s="405"/>
      <c r="AE387" s="413"/>
      <c r="AF387" s="424">
        <f t="shared" si="86"/>
        <v>1424016</v>
      </c>
      <c r="AG387" s="405" t="s">
        <v>1069</v>
      </c>
      <c r="AH387" s="395">
        <v>10</v>
      </c>
      <c r="AI387" s="405">
        <v>30</v>
      </c>
      <c r="AJ387" s="405" t="s">
        <v>1102</v>
      </c>
      <c r="AK387" s="405" t="s">
        <v>1102</v>
      </c>
      <c r="AL387" s="425" t="s">
        <v>1102</v>
      </c>
      <c r="AM387" s="405" t="s">
        <v>52</v>
      </c>
      <c r="AN387" s="405" t="s">
        <v>1082</v>
      </c>
      <c r="AO387" s="405"/>
      <c r="AP387" s="405" t="s">
        <v>92</v>
      </c>
      <c r="AQ387" s="405" t="s">
        <v>1083</v>
      </c>
      <c r="AR387" s="405"/>
      <c r="AS387" s="369" t="s">
        <v>1084</v>
      </c>
      <c r="AT387" s="363" t="s">
        <v>1073</v>
      </c>
      <c r="AU387" s="403"/>
      <c r="AV387" s="402"/>
      <c r="AW387" s="402"/>
      <c r="AX387" s="402"/>
      <c r="AY387" s="402"/>
      <c r="AZ387" s="402"/>
      <c r="BA387" s="402"/>
      <c r="BB387" s="402"/>
      <c r="BC387" s="402"/>
    </row>
    <row r="388" spans="1:55">
      <c r="A388" s="377"/>
      <c r="B388" s="376"/>
      <c r="C388" s="376"/>
      <c r="D388" s="405" t="s">
        <v>1066</v>
      </c>
      <c r="E388" s="364" t="s">
        <v>1159</v>
      </c>
      <c r="F388" s="405" t="s">
        <v>1074</v>
      </c>
      <c r="G388" s="405">
        <v>2022</v>
      </c>
      <c r="H388" s="405">
        <v>12</v>
      </c>
      <c r="I388" s="416"/>
      <c r="J388" s="406"/>
      <c r="K388" s="405" t="s">
        <v>1437</v>
      </c>
      <c r="L388" s="406" t="s">
        <v>1429</v>
      </c>
      <c r="M388" s="406">
        <v>44657</v>
      </c>
      <c r="N388" s="406">
        <v>44926</v>
      </c>
      <c r="O388" s="406"/>
      <c r="P388" s="406"/>
      <c r="Q388" s="406"/>
      <c r="R388" s="406"/>
      <c r="S388" s="405" t="s">
        <v>1098</v>
      </c>
      <c r="T388" s="405">
        <v>72</v>
      </c>
      <c r="U388" s="405"/>
      <c r="V388" s="405" t="s">
        <v>1108</v>
      </c>
      <c r="W388" s="407">
        <v>580</v>
      </c>
      <c r="X388" s="371">
        <f>86217-57478</f>
        <v>28739</v>
      </c>
      <c r="Y388" s="422">
        <f t="shared" si="89"/>
        <v>16668620</v>
      </c>
      <c r="Z388" s="409">
        <v>0.48</v>
      </c>
      <c r="AA388" s="410">
        <f t="shared" si="88"/>
        <v>8000937.5999999996</v>
      </c>
      <c r="AB388" s="362"/>
      <c r="AC388" s="412">
        <f>AB388*Y388</f>
        <v>0</v>
      </c>
      <c r="AD388" s="405"/>
      <c r="AE388" s="413"/>
      <c r="AF388" s="424">
        <f t="shared" si="86"/>
        <v>8000937.5999999996</v>
      </c>
      <c r="AG388" s="405" t="s">
        <v>47</v>
      </c>
      <c r="AH388" s="395">
        <v>100</v>
      </c>
      <c r="AI388" s="405">
        <v>0</v>
      </c>
      <c r="AJ388" s="405" t="s">
        <v>1102</v>
      </c>
      <c r="AK388" s="405" t="s">
        <v>1102</v>
      </c>
      <c r="AL388" s="425" t="s">
        <v>1102</v>
      </c>
      <c r="AM388" s="405" t="s">
        <v>52</v>
      </c>
      <c r="AN388" s="405" t="s">
        <v>1102</v>
      </c>
      <c r="AO388" s="405"/>
      <c r="AP388" s="405" t="s">
        <v>38</v>
      </c>
      <c r="AQ388" s="405" t="s">
        <v>1083</v>
      </c>
      <c r="AR388" s="405"/>
      <c r="AS388" s="369" t="s">
        <v>1084</v>
      </c>
      <c r="AT388" s="363" t="s">
        <v>1073</v>
      </c>
      <c r="AU388" s="403"/>
      <c r="AV388" s="402"/>
      <c r="AW388" s="402"/>
      <c r="AX388" s="402"/>
      <c r="AY388" s="402"/>
      <c r="AZ388" s="402"/>
      <c r="BA388" s="402"/>
      <c r="BB388" s="402"/>
      <c r="BC388" s="402"/>
    </row>
    <row r="389" spans="1:55">
      <c r="A389" s="377"/>
      <c r="B389" s="376"/>
      <c r="C389" s="376"/>
      <c r="D389" s="405" t="s">
        <v>1066</v>
      </c>
      <c r="E389" s="364" t="s">
        <v>4052</v>
      </c>
      <c r="F389" s="405" t="s">
        <v>87</v>
      </c>
      <c r="G389" s="405">
        <v>2022</v>
      </c>
      <c r="H389" s="405">
        <v>6</v>
      </c>
      <c r="I389" s="416"/>
      <c r="J389" s="406"/>
      <c r="K389" s="405" t="s">
        <v>1456</v>
      </c>
      <c r="L389" s="406" t="s">
        <v>1442</v>
      </c>
      <c r="M389" s="406">
        <v>44592</v>
      </c>
      <c r="N389" s="406">
        <v>44596</v>
      </c>
      <c r="O389" s="406"/>
      <c r="P389" s="406">
        <v>44623</v>
      </c>
      <c r="Q389" s="406"/>
      <c r="R389" s="406"/>
      <c r="S389" s="405" t="s">
        <v>1443</v>
      </c>
      <c r="T389" s="405">
        <v>72</v>
      </c>
      <c r="U389" s="405" t="s">
        <v>1457</v>
      </c>
      <c r="V389" s="405" t="s">
        <v>1068</v>
      </c>
      <c r="W389" s="407">
        <v>475</v>
      </c>
      <c r="X389" s="371">
        <v>1740</v>
      </c>
      <c r="Y389" s="422">
        <f t="shared" si="89"/>
        <v>826500</v>
      </c>
      <c r="Z389" s="409">
        <v>0.47</v>
      </c>
      <c r="AA389" s="410">
        <f t="shared" si="88"/>
        <v>388455</v>
      </c>
      <c r="AB389" s="362"/>
      <c r="AC389" s="412">
        <v>0</v>
      </c>
      <c r="AD389" s="405"/>
      <c r="AE389" s="413"/>
      <c r="AF389" s="424">
        <f>AA389+AE389</f>
        <v>388455</v>
      </c>
      <c r="AG389" s="405" t="s">
        <v>47</v>
      </c>
      <c r="AH389" s="395"/>
      <c r="AI389" s="405">
        <v>60</v>
      </c>
      <c r="AJ389" s="405" t="s">
        <v>1454</v>
      </c>
      <c r="AK389" s="405" t="s">
        <v>1136</v>
      </c>
      <c r="AL389" s="425">
        <v>78725</v>
      </c>
      <c r="AM389" s="405" t="s">
        <v>52</v>
      </c>
      <c r="AN389" s="405" t="s">
        <v>1141</v>
      </c>
      <c r="AO389" s="405"/>
      <c r="AP389" s="405" t="s">
        <v>92</v>
      </c>
      <c r="AQ389" s="405" t="s">
        <v>37</v>
      </c>
      <c r="AR389" s="405"/>
      <c r="AS389" s="369"/>
      <c r="AT389" s="363"/>
      <c r="AU389" s="403"/>
      <c r="AV389" s="402"/>
      <c r="AW389" s="402"/>
      <c r="AX389" s="402"/>
      <c r="AY389" s="402"/>
      <c r="AZ389" s="402"/>
      <c r="BA389" s="402"/>
      <c r="BB389" s="402"/>
      <c r="BC389" s="402"/>
    </row>
    <row r="390" spans="1:55">
      <c r="A390" s="377"/>
      <c r="B390" s="376"/>
      <c r="C390" s="376"/>
      <c r="D390" s="405" t="s">
        <v>1066</v>
      </c>
      <c r="E390" s="364"/>
      <c r="F390" s="405" t="s">
        <v>1318</v>
      </c>
      <c r="G390" s="405">
        <v>2023</v>
      </c>
      <c r="H390" s="405">
        <v>1</v>
      </c>
      <c r="I390" s="416" t="s">
        <v>1087</v>
      </c>
      <c r="J390" s="406"/>
      <c r="K390" s="405" t="s">
        <v>1349</v>
      </c>
      <c r="L390" s="406" t="s">
        <v>1343</v>
      </c>
      <c r="M390" s="406">
        <v>44628</v>
      </c>
      <c r="N390" s="406">
        <v>44805</v>
      </c>
      <c r="O390" s="406"/>
      <c r="P390" s="406"/>
      <c r="Q390" s="406"/>
      <c r="R390" s="406"/>
      <c r="S390" s="405" t="s">
        <v>1098</v>
      </c>
      <c r="T390" s="405">
        <v>72</v>
      </c>
      <c r="U390" s="405" t="s">
        <v>1347</v>
      </c>
      <c r="V390" s="405" t="s">
        <v>1108</v>
      </c>
      <c r="W390" s="407">
        <v>575</v>
      </c>
      <c r="X390" s="371">
        <v>6061</v>
      </c>
      <c r="Y390" s="422">
        <f t="shared" si="89"/>
        <v>3485075</v>
      </c>
      <c r="Z390" s="409">
        <v>0.4</v>
      </c>
      <c r="AA390" s="410">
        <f t="shared" si="88"/>
        <v>1394030</v>
      </c>
      <c r="AB390" s="362"/>
      <c r="AC390" s="412">
        <f t="shared" ref="AC390:AC420" si="90">AB390*Y390</f>
        <v>0</v>
      </c>
      <c r="AD390" s="405"/>
      <c r="AE390" s="413"/>
      <c r="AF390" s="424">
        <f t="shared" ref="AF390:AF420" si="91">AE390+AD390+AA390</f>
        <v>1394030</v>
      </c>
      <c r="AG390" s="405" t="s">
        <v>47</v>
      </c>
      <c r="AH390" s="395">
        <v>100</v>
      </c>
      <c r="AI390" s="405">
        <v>0</v>
      </c>
      <c r="AJ390" s="405" t="s">
        <v>1348</v>
      </c>
      <c r="AK390" s="405" t="s">
        <v>1130</v>
      </c>
      <c r="AL390" s="425">
        <v>12959</v>
      </c>
      <c r="AM390" s="405" t="s">
        <v>52</v>
      </c>
      <c r="AN390" s="405" t="s">
        <v>1082</v>
      </c>
      <c r="AO390" s="405"/>
      <c r="AP390" s="405" t="s">
        <v>38</v>
      </c>
      <c r="AQ390" s="405" t="s">
        <v>1083</v>
      </c>
      <c r="AR390" s="405"/>
      <c r="AS390" s="369" t="s">
        <v>1084</v>
      </c>
      <c r="AT390" s="363" t="s">
        <v>1073</v>
      </c>
      <c r="AU390" s="403"/>
      <c r="AV390" s="402"/>
      <c r="AW390" s="402"/>
      <c r="AX390" s="402"/>
      <c r="AY390" s="402"/>
      <c r="AZ390" s="402"/>
      <c r="BA390" s="402"/>
      <c r="BB390" s="402"/>
      <c r="BC390" s="402"/>
    </row>
    <row r="391" spans="1:55">
      <c r="A391" s="377"/>
      <c r="B391" s="376"/>
      <c r="C391" s="376"/>
      <c r="D391" s="405" t="s">
        <v>1066</v>
      </c>
      <c r="E391" s="364"/>
      <c r="F391" s="405" t="s">
        <v>1318</v>
      </c>
      <c r="G391" s="405">
        <v>2023</v>
      </c>
      <c r="H391" s="405">
        <v>1</v>
      </c>
      <c r="I391" s="416" t="s">
        <v>1087</v>
      </c>
      <c r="J391" s="406"/>
      <c r="K391" s="405" t="s">
        <v>1346</v>
      </c>
      <c r="L391" s="406" t="s">
        <v>1343</v>
      </c>
      <c r="M391" s="406">
        <v>44630</v>
      </c>
      <c r="N391" s="406">
        <v>44819</v>
      </c>
      <c r="O391" s="406"/>
      <c r="P391" s="406"/>
      <c r="Q391" s="406"/>
      <c r="R391" s="406"/>
      <c r="S391" s="405" t="s">
        <v>1098</v>
      </c>
      <c r="T391" s="405">
        <v>72</v>
      </c>
      <c r="U391" s="405" t="s">
        <v>1347</v>
      </c>
      <c r="V391" s="405" t="s">
        <v>1108</v>
      </c>
      <c r="W391" s="407">
        <v>575</v>
      </c>
      <c r="X391" s="371">
        <v>6061</v>
      </c>
      <c r="Y391" s="422">
        <f t="shared" si="89"/>
        <v>3485075</v>
      </c>
      <c r="Z391" s="409">
        <v>0.4</v>
      </c>
      <c r="AA391" s="410">
        <f t="shared" si="88"/>
        <v>1394030</v>
      </c>
      <c r="AB391" s="362"/>
      <c r="AC391" s="412">
        <f t="shared" si="90"/>
        <v>0</v>
      </c>
      <c r="AD391" s="405"/>
      <c r="AE391" s="413"/>
      <c r="AF391" s="424">
        <f t="shared" si="91"/>
        <v>1394030</v>
      </c>
      <c r="AG391" s="405" t="s">
        <v>47</v>
      </c>
      <c r="AH391" s="395">
        <v>100</v>
      </c>
      <c r="AI391" s="405">
        <v>0</v>
      </c>
      <c r="AJ391" s="405" t="s">
        <v>1348</v>
      </c>
      <c r="AK391" s="405" t="s">
        <v>1130</v>
      </c>
      <c r="AL391" s="425">
        <v>12959</v>
      </c>
      <c r="AM391" s="405" t="s">
        <v>52</v>
      </c>
      <c r="AN391" s="405" t="s">
        <v>1082</v>
      </c>
      <c r="AO391" s="405"/>
      <c r="AP391" s="405" t="s">
        <v>38</v>
      </c>
      <c r="AQ391" s="405" t="s">
        <v>1083</v>
      </c>
      <c r="AR391" s="405"/>
      <c r="AS391" s="369" t="s">
        <v>1084</v>
      </c>
      <c r="AT391" s="363" t="s">
        <v>1073</v>
      </c>
      <c r="AU391" s="403"/>
      <c r="AV391" s="402"/>
      <c r="AW391" s="402"/>
      <c r="AX391" s="402"/>
      <c r="AY391" s="402"/>
      <c r="AZ391" s="402"/>
      <c r="BA391" s="402"/>
      <c r="BB391" s="402"/>
      <c r="BC391" s="402"/>
    </row>
    <row r="392" spans="1:55">
      <c r="A392" s="377"/>
      <c r="B392" s="376"/>
      <c r="C392" s="376"/>
      <c r="D392" s="405" t="s">
        <v>1066</v>
      </c>
      <c r="E392" s="364" t="s">
        <v>1111</v>
      </c>
      <c r="F392" s="405" t="s">
        <v>1318</v>
      </c>
      <c r="G392" s="405">
        <v>2023</v>
      </c>
      <c r="H392" s="405">
        <v>1</v>
      </c>
      <c r="I392" s="416"/>
      <c r="J392" s="406"/>
      <c r="K392" s="405" t="s">
        <v>1342</v>
      </c>
      <c r="L392" s="406" t="s">
        <v>1343</v>
      </c>
      <c r="M392" s="406">
        <v>44504</v>
      </c>
      <c r="N392" s="406">
        <v>44747</v>
      </c>
      <c r="O392" s="406"/>
      <c r="P392" s="406"/>
      <c r="Q392" s="406"/>
      <c r="R392" s="406"/>
      <c r="S392" s="405" t="s">
        <v>1098</v>
      </c>
      <c r="T392" s="405">
        <v>72</v>
      </c>
      <c r="U392" s="405" t="s">
        <v>1102</v>
      </c>
      <c r="V392" s="405" t="s">
        <v>1108</v>
      </c>
      <c r="W392" s="407">
        <v>575</v>
      </c>
      <c r="X392" s="371">
        <v>34771</v>
      </c>
      <c r="Y392" s="422">
        <f t="shared" si="89"/>
        <v>19993325</v>
      </c>
      <c r="Z392" s="409">
        <v>0.4</v>
      </c>
      <c r="AA392" s="410">
        <f t="shared" si="88"/>
        <v>7997330</v>
      </c>
      <c r="AB392" s="362"/>
      <c r="AC392" s="412">
        <f t="shared" si="90"/>
        <v>0</v>
      </c>
      <c r="AD392" s="405"/>
      <c r="AE392" s="413"/>
      <c r="AF392" s="424">
        <f t="shared" si="91"/>
        <v>7997330</v>
      </c>
      <c r="AG392" s="405" t="s">
        <v>47</v>
      </c>
      <c r="AH392" s="395">
        <v>100</v>
      </c>
      <c r="AI392" s="405">
        <v>0</v>
      </c>
      <c r="AJ392" s="405" t="s">
        <v>1344</v>
      </c>
      <c r="AK392" s="405" t="s">
        <v>1130</v>
      </c>
      <c r="AL392" s="425">
        <v>13795</v>
      </c>
      <c r="AM392" s="405" t="s">
        <v>52</v>
      </c>
      <c r="AN392" s="405" t="s">
        <v>1102</v>
      </c>
      <c r="AO392" s="405"/>
      <c r="AP392" s="405" t="s">
        <v>38</v>
      </c>
      <c r="AQ392" s="405" t="s">
        <v>1083</v>
      </c>
      <c r="AR392" s="405"/>
      <c r="AS392" s="369" t="s">
        <v>1084</v>
      </c>
      <c r="AT392" s="363" t="s">
        <v>1073</v>
      </c>
      <c r="AU392" s="403"/>
      <c r="AV392" s="402" t="str">
        <f t="shared" ref="AV392:AV397" si="92">U392</f>
        <v>TBD</v>
      </c>
      <c r="AW392" s="402" cm="1">
        <f t="array" ref="AW392">SUM(MID(0&amp;AV392,LARGE(INDEX(ISNUMBER(--MID(AV392,ROW($1:$8),1))*ROW($1:$8),),ROW($1:$8))+1,1)*10^ROW($1:$8)/10)</f>
        <v>0</v>
      </c>
      <c r="AX392" s="402" t="e">
        <f>VLOOKUP($AW392,'Item Master Data'!$A:$F,3,FALSE)</f>
        <v>#N/A</v>
      </c>
      <c r="AY392" s="402" t="e">
        <f>VLOOKUP($AW392,'Item Master Data'!$A:$F,6,FALSE)</f>
        <v>#N/A</v>
      </c>
      <c r="AZ392" s="402" t="e">
        <f t="shared" ref="AZ392:AZ397" si="93">X392/BA392</f>
        <v>#N/A</v>
      </c>
      <c r="BA392" s="402" t="e">
        <f>VLOOKUP(AW392,'Item Master Data'!$A:$G,7,FALSE)</f>
        <v>#N/A</v>
      </c>
      <c r="BB392" s="402"/>
      <c r="BC392" s="402" t="e">
        <f t="shared" ref="BC392:BC397" si="94">W392-AY392</f>
        <v>#N/A</v>
      </c>
    </row>
    <row r="393" spans="1:55">
      <c r="A393" s="377"/>
      <c r="B393" s="376"/>
      <c r="C393" s="376"/>
      <c r="D393" s="405" t="s">
        <v>1066</v>
      </c>
      <c r="E393" s="364" t="s">
        <v>1345</v>
      </c>
      <c r="F393" s="405" t="s">
        <v>1318</v>
      </c>
      <c r="G393" s="405">
        <v>2023</v>
      </c>
      <c r="H393" s="405">
        <v>1</v>
      </c>
      <c r="I393" s="416"/>
      <c r="J393" s="406"/>
      <c r="K393" s="405" t="s">
        <v>1342</v>
      </c>
      <c r="L393" s="406" t="s">
        <v>1343</v>
      </c>
      <c r="M393" s="406">
        <v>44504</v>
      </c>
      <c r="N393" s="406">
        <v>44778</v>
      </c>
      <c r="O393" s="406"/>
      <c r="P393" s="406"/>
      <c r="Q393" s="406"/>
      <c r="R393" s="406"/>
      <c r="S393" s="405" t="s">
        <v>1098</v>
      </c>
      <c r="T393" s="405">
        <v>72</v>
      </c>
      <c r="U393" s="405" t="s">
        <v>1102</v>
      </c>
      <c r="V393" s="405" t="s">
        <v>1108</v>
      </c>
      <c r="W393" s="407">
        <v>575</v>
      </c>
      <c r="X393" s="371">
        <v>34771</v>
      </c>
      <c r="Y393" s="422">
        <f t="shared" si="89"/>
        <v>19993325</v>
      </c>
      <c r="Z393" s="409">
        <v>0.4</v>
      </c>
      <c r="AA393" s="410">
        <f t="shared" si="88"/>
        <v>7997330</v>
      </c>
      <c r="AB393" s="362"/>
      <c r="AC393" s="412">
        <f t="shared" si="90"/>
        <v>0</v>
      </c>
      <c r="AD393" s="405"/>
      <c r="AE393" s="413"/>
      <c r="AF393" s="424">
        <f t="shared" si="91"/>
        <v>7997330</v>
      </c>
      <c r="AG393" s="405" t="s">
        <v>47</v>
      </c>
      <c r="AH393" s="395">
        <v>100</v>
      </c>
      <c r="AI393" s="405">
        <v>0</v>
      </c>
      <c r="AJ393" s="405" t="s">
        <v>1344</v>
      </c>
      <c r="AK393" s="405" t="s">
        <v>1130</v>
      </c>
      <c r="AL393" s="425">
        <v>13795</v>
      </c>
      <c r="AM393" s="405" t="s">
        <v>52</v>
      </c>
      <c r="AN393" s="405" t="s">
        <v>1102</v>
      </c>
      <c r="AO393" s="405"/>
      <c r="AP393" s="405" t="s">
        <v>38</v>
      </c>
      <c r="AQ393" s="405" t="s">
        <v>1083</v>
      </c>
      <c r="AR393" s="405"/>
      <c r="AS393" s="369" t="s">
        <v>1084</v>
      </c>
      <c r="AT393" s="363" t="s">
        <v>1073</v>
      </c>
      <c r="AU393" s="403"/>
      <c r="AV393" s="402" t="str">
        <f t="shared" si="92"/>
        <v>TBD</v>
      </c>
      <c r="AW393" s="402" cm="1">
        <f t="array" ref="AW393">SUM(MID(0&amp;AV393,LARGE(INDEX(ISNUMBER(--MID(AV393,ROW($1:$8),1))*ROW($1:$8),),ROW($1:$8))+1,1)*10^ROW($1:$8)/10)</f>
        <v>0</v>
      </c>
      <c r="AX393" s="402" t="e">
        <f>VLOOKUP($AW393,'Item Master Data'!$A:$F,3,FALSE)</f>
        <v>#N/A</v>
      </c>
      <c r="AY393" s="402" t="e">
        <f>VLOOKUP($AW393,'Item Master Data'!$A:$F,6,FALSE)</f>
        <v>#N/A</v>
      </c>
      <c r="AZ393" s="402" t="e">
        <f t="shared" si="93"/>
        <v>#N/A</v>
      </c>
      <c r="BA393" s="402" t="e">
        <f>VLOOKUP(AW393,'Item Master Data'!$A:$G,7,FALSE)</f>
        <v>#N/A</v>
      </c>
      <c r="BB393" s="402"/>
      <c r="BC393" s="402" t="e">
        <f t="shared" si="94"/>
        <v>#N/A</v>
      </c>
    </row>
    <row r="394" spans="1:55">
      <c r="A394" s="377"/>
      <c r="B394" s="376"/>
      <c r="C394" s="376"/>
      <c r="D394" s="405" t="s">
        <v>1066</v>
      </c>
      <c r="E394" s="364" t="s">
        <v>1345</v>
      </c>
      <c r="F394" s="405" t="s">
        <v>1318</v>
      </c>
      <c r="G394" s="405">
        <v>2023</v>
      </c>
      <c r="H394" s="405">
        <v>1</v>
      </c>
      <c r="I394" s="416"/>
      <c r="J394" s="406"/>
      <c r="K394" s="405" t="s">
        <v>1342</v>
      </c>
      <c r="L394" s="406" t="s">
        <v>1343</v>
      </c>
      <c r="M394" s="406">
        <v>44504</v>
      </c>
      <c r="N394" s="406">
        <v>44809</v>
      </c>
      <c r="O394" s="406"/>
      <c r="P394" s="406"/>
      <c r="Q394" s="406"/>
      <c r="R394" s="406"/>
      <c r="S394" s="405" t="s">
        <v>1098</v>
      </c>
      <c r="T394" s="405">
        <v>72</v>
      </c>
      <c r="U394" s="405" t="s">
        <v>1102</v>
      </c>
      <c r="V394" s="405" t="s">
        <v>1108</v>
      </c>
      <c r="W394" s="407">
        <v>575</v>
      </c>
      <c r="X394" s="371">
        <v>26100</v>
      </c>
      <c r="Y394" s="422">
        <f t="shared" si="89"/>
        <v>15007500</v>
      </c>
      <c r="Z394" s="409">
        <v>0.4</v>
      </c>
      <c r="AA394" s="410">
        <f t="shared" si="88"/>
        <v>6003000</v>
      </c>
      <c r="AB394" s="362"/>
      <c r="AC394" s="412">
        <f t="shared" si="90"/>
        <v>0</v>
      </c>
      <c r="AD394" s="405"/>
      <c r="AE394" s="413"/>
      <c r="AF394" s="424">
        <f t="shared" si="91"/>
        <v>6003000</v>
      </c>
      <c r="AG394" s="405" t="s">
        <v>47</v>
      </c>
      <c r="AH394" s="395">
        <v>100</v>
      </c>
      <c r="AI394" s="405">
        <v>0</v>
      </c>
      <c r="AJ394" s="405" t="s">
        <v>1344</v>
      </c>
      <c r="AK394" s="405" t="s">
        <v>1130</v>
      </c>
      <c r="AL394" s="425">
        <v>13795</v>
      </c>
      <c r="AM394" s="405" t="s">
        <v>52</v>
      </c>
      <c r="AN394" s="405" t="s">
        <v>1102</v>
      </c>
      <c r="AO394" s="405"/>
      <c r="AP394" s="405" t="s">
        <v>38</v>
      </c>
      <c r="AQ394" s="405" t="s">
        <v>1083</v>
      </c>
      <c r="AR394" s="405"/>
      <c r="AS394" s="369" t="s">
        <v>1084</v>
      </c>
      <c r="AT394" s="363" t="s">
        <v>1073</v>
      </c>
      <c r="AU394" s="403"/>
      <c r="AV394" s="402" t="str">
        <f t="shared" si="92"/>
        <v>TBD</v>
      </c>
      <c r="AW394" s="402" cm="1">
        <f t="array" ref="AW394">SUM(MID(0&amp;AV394,LARGE(INDEX(ISNUMBER(--MID(AV394,ROW($1:$8),1))*ROW($1:$8),),ROW($1:$8))+1,1)*10^ROW($1:$8)/10)</f>
        <v>0</v>
      </c>
      <c r="AX394" s="402" t="e">
        <f>VLOOKUP($AW394,'Item Master Data'!$A:$F,3,FALSE)</f>
        <v>#N/A</v>
      </c>
      <c r="AY394" s="402" t="e">
        <f>VLOOKUP($AW394,'Item Master Data'!$A:$F,6,FALSE)</f>
        <v>#N/A</v>
      </c>
      <c r="AZ394" s="402" t="e">
        <f t="shared" si="93"/>
        <v>#N/A</v>
      </c>
      <c r="BA394" s="402" t="e">
        <f>VLOOKUP(AW394,'Item Master Data'!$A:$G,7,FALSE)</f>
        <v>#N/A</v>
      </c>
      <c r="BB394" s="402"/>
      <c r="BC394" s="402" t="e">
        <f t="shared" si="94"/>
        <v>#N/A</v>
      </c>
    </row>
    <row r="395" spans="1:55">
      <c r="A395" s="377"/>
      <c r="B395" s="376"/>
      <c r="C395" s="376"/>
      <c r="D395" s="405" t="s">
        <v>1066</v>
      </c>
      <c r="E395" s="364" t="s">
        <v>1159</v>
      </c>
      <c r="F395" s="405" t="s">
        <v>1318</v>
      </c>
      <c r="G395" s="405">
        <v>2023</v>
      </c>
      <c r="H395" s="405">
        <v>1</v>
      </c>
      <c r="I395" s="416"/>
      <c r="J395" s="406"/>
      <c r="K395" s="405" t="s">
        <v>1362</v>
      </c>
      <c r="L395" s="406" t="s">
        <v>1343</v>
      </c>
      <c r="M395" s="406">
        <v>44651</v>
      </c>
      <c r="N395" s="406">
        <v>44805</v>
      </c>
      <c r="O395" s="406"/>
      <c r="P395" s="406"/>
      <c r="Q395" s="406"/>
      <c r="R395" s="406"/>
      <c r="S395" s="405" t="s">
        <v>1098</v>
      </c>
      <c r="T395" s="405">
        <v>72</v>
      </c>
      <c r="U395" s="405" t="s">
        <v>1347</v>
      </c>
      <c r="V395" s="405" t="s">
        <v>1108</v>
      </c>
      <c r="W395" s="407">
        <v>575</v>
      </c>
      <c r="X395" s="371">
        <v>12238</v>
      </c>
      <c r="Y395" s="422">
        <f t="shared" si="89"/>
        <v>7036850</v>
      </c>
      <c r="Z395" s="409">
        <v>0.4</v>
      </c>
      <c r="AA395" s="410">
        <f t="shared" si="88"/>
        <v>2814740</v>
      </c>
      <c r="AB395" s="362"/>
      <c r="AC395" s="412">
        <f t="shared" si="90"/>
        <v>0</v>
      </c>
      <c r="AD395" s="405"/>
      <c r="AE395" s="413"/>
      <c r="AF395" s="424">
        <f t="shared" si="91"/>
        <v>2814740</v>
      </c>
      <c r="AG395" s="405" t="s">
        <v>47</v>
      </c>
      <c r="AH395" s="395">
        <v>100</v>
      </c>
      <c r="AI395" s="405">
        <v>0</v>
      </c>
      <c r="AJ395" s="405" t="s">
        <v>1363</v>
      </c>
      <c r="AK395" s="405" t="s">
        <v>1130</v>
      </c>
      <c r="AL395" s="425">
        <v>14606</v>
      </c>
      <c r="AM395" s="405" t="s">
        <v>52</v>
      </c>
      <c r="AN395" s="405" t="s">
        <v>1082</v>
      </c>
      <c r="AO395" s="405"/>
      <c r="AP395" s="405" t="s">
        <v>38</v>
      </c>
      <c r="AQ395" s="405" t="s">
        <v>1083</v>
      </c>
      <c r="AR395" s="405"/>
      <c r="AS395" s="369" t="s">
        <v>1084</v>
      </c>
      <c r="AT395" s="363" t="s">
        <v>1073</v>
      </c>
      <c r="AU395" s="403"/>
      <c r="AV395" s="402" t="str">
        <f t="shared" si="92"/>
        <v>30391491C</v>
      </c>
      <c r="AW395" s="402" cm="1">
        <f t="array" ref="AW395">SUM(MID(0&amp;AV395,LARGE(INDEX(ISNUMBER(--MID(AV395,ROW($1:$8),1))*ROW($1:$8),),ROW($1:$8))+1,1)*10^ROW($1:$8)/10)</f>
        <v>30391491</v>
      </c>
      <c r="AX395" s="402" t="e">
        <f>VLOOKUP($AW395,'Item Master Data'!$A:$F,3,FALSE)</f>
        <v>#N/A</v>
      </c>
      <c r="AY395" s="402" t="e">
        <f>VLOOKUP($AW395,'Item Master Data'!$A:$F,6,FALSE)</f>
        <v>#N/A</v>
      </c>
      <c r="AZ395" s="402" t="e">
        <f t="shared" si="93"/>
        <v>#N/A</v>
      </c>
      <c r="BA395" s="402" t="e">
        <f>VLOOKUP(AW395,'Item Master Data'!$A:$G,7,FALSE)</f>
        <v>#N/A</v>
      </c>
      <c r="BB395" s="402"/>
      <c r="BC395" s="402" t="e">
        <f t="shared" si="94"/>
        <v>#N/A</v>
      </c>
    </row>
    <row r="396" spans="1:55">
      <c r="A396" s="377"/>
      <c r="B396" s="376"/>
      <c r="C396" s="376"/>
      <c r="D396" s="405" t="s">
        <v>1066</v>
      </c>
      <c r="E396" s="364" t="s">
        <v>1159</v>
      </c>
      <c r="F396" s="405" t="s">
        <v>1318</v>
      </c>
      <c r="G396" s="405">
        <v>2023</v>
      </c>
      <c r="H396" s="405">
        <v>1</v>
      </c>
      <c r="I396" s="416"/>
      <c r="J396" s="406"/>
      <c r="K396" s="405" t="s">
        <v>1361</v>
      </c>
      <c r="L396" s="406" t="s">
        <v>1343</v>
      </c>
      <c r="M396" s="406">
        <v>44651</v>
      </c>
      <c r="N396" s="406">
        <v>44805</v>
      </c>
      <c r="O396" s="406"/>
      <c r="P396" s="406"/>
      <c r="Q396" s="406"/>
      <c r="R396" s="406"/>
      <c r="S396" s="405" t="s">
        <v>1098</v>
      </c>
      <c r="T396" s="405">
        <v>72</v>
      </c>
      <c r="U396" s="405" t="s">
        <v>1347</v>
      </c>
      <c r="V396" s="405" t="s">
        <v>1108</v>
      </c>
      <c r="W396" s="407">
        <v>575</v>
      </c>
      <c r="X396" s="371">
        <v>6119</v>
      </c>
      <c r="Y396" s="422">
        <f t="shared" si="89"/>
        <v>3518425</v>
      </c>
      <c r="Z396" s="409">
        <v>0.4</v>
      </c>
      <c r="AA396" s="410">
        <f t="shared" si="88"/>
        <v>1407370</v>
      </c>
      <c r="AB396" s="362"/>
      <c r="AC396" s="412">
        <f t="shared" si="90"/>
        <v>0</v>
      </c>
      <c r="AD396" s="405"/>
      <c r="AE396" s="413"/>
      <c r="AF396" s="424">
        <f t="shared" si="91"/>
        <v>1407370</v>
      </c>
      <c r="AG396" s="405" t="s">
        <v>47</v>
      </c>
      <c r="AH396" s="395">
        <v>100</v>
      </c>
      <c r="AI396" s="405">
        <v>0</v>
      </c>
      <c r="AJ396" s="405" t="s">
        <v>1181</v>
      </c>
      <c r="AK396" s="405" t="s">
        <v>1130</v>
      </c>
      <c r="AL396" s="425">
        <v>14606</v>
      </c>
      <c r="AM396" s="405" t="s">
        <v>52</v>
      </c>
      <c r="AN396" s="405" t="s">
        <v>1082</v>
      </c>
      <c r="AO396" s="405"/>
      <c r="AP396" s="405" t="s">
        <v>38</v>
      </c>
      <c r="AQ396" s="405" t="s">
        <v>1083</v>
      </c>
      <c r="AR396" s="405"/>
      <c r="AS396" s="369" t="s">
        <v>1084</v>
      </c>
      <c r="AT396" s="363" t="s">
        <v>1073</v>
      </c>
      <c r="AU396" s="403"/>
      <c r="AV396" s="402" t="str">
        <f t="shared" si="92"/>
        <v>30391491C</v>
      </c>
      <c r="AW396" s="402" cm="1">
        <f t="array" ref="AW396">SUM(MID(0&amp;AV396,LARGE(INDEX(ISNUMBER(--MID(AV396,ROW($1:$8),1))*ROW($1:$8),),ROW($1:$8))+1,1)*10^ROW($1:$8)/10)</f>
        <v>30391491</v>
      </c>
      <c r="AX396" s="402" t="e">
        <f>VLOOKUP($AW396,'Item Master Data'!$A:$F,3,FALSE)</f>
        <v>#N/A</v>
      </c>
      <c r="AY396" s="402" t="e">
        <f>VLOOKUP($AW396,'Item Master Data'!$A:$F,6,FALSE)</f>
        <v>#N/A</v>
      </c>
      <c r="AZ396" s="402" t="e">
        <f t="shared" si="93"/>
        <v>#N/A</v>
      </c>
      <c r="BA396" s="402" t="e">
        <f>VLOOKUP(AW396,'Item Master Data'!$A:$G,7,FALSE)</f>
        <v>#N/A</v>
      </c>
      <c r="BB396" s="402"/>
      <c r="BC396" s="402" t="e">
        <f t="shared" si="94"/>
        <v>#N/A</v>
      </c>
    </row>
    <row r="397" spans="1:55">
      <c r="A397" s="377"/>
      <c r="B397" s="376"/>
      <c r="C397" s="376"/>
      <c r="D397" s="405" t="s">
        <v>1066</v>
      </c>
      <c r="E397" s="364" t="s">
        <v>1159</v>
      </c>
      <c r="F397" s="405" t="s">
        <v>1318</v>
      </c>
      <c r="G397" s="405">
        <v>2023</v>
      </c>
      <c r="H397" s="405">
        <v>1</v>
      </c>
      <c r="I397" s="416"/>
      <c r="J397" s="406"/>
      <c r="K397" s="405" t="s">
        <v>1364</v>
      </c>
      <c r="L397" s="406" t="s">
        <v>1343</v>
      </c>
      <c r="M397" s="406">
        <v>44651</v>
      </c>
      <c r="N397" s="406">
        <v>44805</v>
      </c>
      <c r="O397" s="406"/>
      <c r="P397" s="406"/>
      <c r="Q397" s="406"/>
      <c r="R397" s="406"/>
      <c r="S397" s="405" t="s">
        <v>1098</v>
      </c>
      <c r="T397" s="405">
        <v>72</v>
      </c>
      <c r="U397" s="405" t="s">
        <v>1347</v>
      </c>
      <c r="V397" s="405" t="s">
        <v>1108</v>
      </c>
      <c r="W397" s="407">
        <v>575</v>
      </c>
      <c r="X397" s="371">
        <v>12238</v>
      </c>
      <c r="Y397" s="422">
        <f t="shared" si="89"/>
        <v>7036850</v>
      </c>
      <c r="Z397" s="409">
        <v>0.4</v>
      </c>
      <c r="AA397" s="410">
        <f t="shared" si="88"/>
        <v>2814740</v>
      </c>
      <c r="AB397" s="362"/>
      <c r="AC397" s="412">
        <f t="shared" si="90"/>
        <v>0</v>
      </c>
      <c r="AD397" s="405"/>
      <c r="AE397" s="413"/>
      <c r="AF397" s="424">
        <f t="shared" si="91"/>
        <v>2814740</v>
      </c>
      <c r="AG397" s="405" t="s">
        <v>47</v>
      </c>
      <c r="AH397" s="395">
        <v>100</v>
      </c>
      <c r="AI397" s="405">
        <v>0</v>
      </c>
      <c r="AJ397" s="405" t="s">
        <v>1365</v>
      </c>
      <c r="AK397" s="405" t="s">
        <v>1130</v>
      </c>
      <c r="AL397" s="425">
        <v>13743</v>
      </c>
      <c r="AM397" s="405" t="s">
        <v>52</v>
      </c>
      <c r="AN397" s="405" t="s">
        <v>1082</v>
      </c>
      <c r="AO397" s="405"/>
      <c r="AP397" s="405" t="s">
        <v>38</v>
      </c>
      <c r="AQ397" s="405" t="s">
        <v>1083</v>
      </c>
      <c r="AR397" s="405"/>
      <c r="AS397" s="369" t="s">
        <v>1084</v>
      </c>
      <c r="AT397" s="363" t="s">
        <v>1073</v>
      </c>
      <c r="AU397" s="403"/>
      <c r="AV397" s="402" t="str">
        <f t="shared" si="92"/>
        <v>30391491C</v>
      </c>
      <c r="AW397" s="402" cm="1">
        <f t="array" ref="AW397">SUM(MID(0&amp;AV397,LARGE(INDEX(ISNUMBER(--MID(AV397,ROW($1:$8),1))*ROW($1:$8),),ROW($1:$8))+1,1)*10^ROW($1:$8)/10)</f>
        <v>30391491</v>
      </c>
      <c r="AX397" s="402" t="e">
        <f>VLOOKUP($AW397,'Item Master Data'!$A:$F,3,FALSE)</f>
        <v>#N/A</v>
      </c>
      <c r="AY397" s="402" t="e">
        <f>VLOOKUP($AW397,'Item Master Data'!$A:$F,6,FALSE)</f>
        <v>#N/A</v>
      </c>
      <c r="AZ397" s="402" t="e">
        <f t="shared" si="93"/>
        <v>#N/A</v>
      </c>
      <c r="BA397" s="402" t="e">
        <f>VLOOKUP(AW397,'Item Master Data'!$A:$G,7,FALSE)</f>
        <v>#N/A</v>
      </c>
      <c r="BB397" s="402"/>
      <c r="BC397" s="402" t="e">
        <f t="shared" si="94"/>
        <v>#N/A</v>
      </c>
    </row>
    <row r="398" spans="1:55">
      <c r="A398" s="377"/>
      <c r="B398" s="376"/>
      <c r="C398" s="376"/>
      <c r="D398" s="405" t="s">
        <v>1066</v>
      </c>
      <c r="E398" s="364"/>
      <c r="F398" s="405" t="s">
        <v>1318</v>
      </c>
      <c r="G398" s="405">
        <v>2023</v>
      </c>
      <c r="H398" s="405">
        <v>1</v>
      </c>
      <c r="I398" s="416" t="s">
        <v>1087</v>
      </c>
      <c r="J398" s="406"/>
      <c r="K398" s="405" t="s">
        <v>1357</v>
      </c>
      <c r="L398" s="406" t="s">
        <v>1343</v>
      </c>
      <c r="M398" s="406">
        <v>44628</v>
      </c>
      <c r="N398" s="406">
        <v>44746</v>
      </c>
      <c r="O398" s="406"/>
      <c r="P398" s="406"/>
      <c r="Q398" s="406"/>
      <c r="R398" s="406"/>
      <c r="S398" s="405" t="s">
        <v>1098</v>
      </c>
      <c r="T398" s="405">
        <v>72</v>
      </c>
      <c r="U398" s="405" t="s">
        <v>1347</v>
      </c>
      <c r="V398" s="405" t="s">
        <v>1108</v>
      </c>
      <c r="W398" s="407">
        <v>575</v>
      </c>
      <c r="X398" s="371">
        <v>9309</v>
      </c>
      <c r="Y398" s="422">
        <f t="shared" si="89"/>
        <v>5352675</v>
      </c>
      <c r="Z398" s="409">
        <v>0.4</v>
      </c>
      <c r="AA398" s="410">
        <f t="shared" si="88"/>
        <v>2141070</v>
      </c>
      <c r="AB398" s="362"/>
      <c r="AC398" s="412">
        <f t="shared" si="90"/>
        <v>0</v>
      </c>
      <c r="AD398" s="405"/>
      <c r="AE398" s="413"/>
      <c r="AF398" s="424">
        <f t="shared" si="91"/>
        <v>2141070</v>
      </c>
      <c r="AG398" s="405" t="s">
        <v>47</v>
      </c>
      <c r="AH398" s="395">
        <v>100</v>
      </c>
      <c r="AI398" s="405">
        <v>0</v>
      </c>
      <c r="AJ398" s="405" t="s">
        <v>1358</v>
      </c>
      <c r="AK398" s="405" t="s">
        <v>1130</v>
      </c>
      <c r="AL398" s="425">
        <v>13862</v>
      </c>
      <c r="AM398" s="405" t="s">
        <v>52</v>
      </c>
      <c r="AN398" s="405" t="s">
        <v>1082</v>
      </c>
      <c r="AO398" s="405"/>
      <c r="AP398" s="405" t="s">
        <v>38</v>
      </c>
      <c r="AQ398" s="405" t="s">
        <v>1083</v>
      </c>
      <c r="AR398" s="405"/>
      <c r="AS398" s="369" t="s">
        <v>1084</v>
      </c>
      <c r="AT398" s="363" t="s">
        <v>1073</v>
      </c>
      <c r="AU398" s="403"/>
      <c r="AV398" s="402"/>
      <c r="AW398" s="402"/>
      <c r="AX398" s="402"/>
      <c r="AY398" s="402"/>
      <c r="AZ398" s="402"/>
      <c r="BA398" s="402"/>
      <c r="BB398" s="402"/>
      <c r="BC398" s="402"/>
    </row>
    <row r="399" spans="1:55">
      <c r="A399" s="377"/>
      <c r="B399" s="376"/>
      <c r="C399" s="376"/>
      <c r="D399" s="405" t="s">
        <v>1066</v>
      </c>
      <c r="E399" s="364" t="s">
        <v>1159</v>
      </c>
      <c r="F399" s="405" t="s">
        <v>1318</v>
      </c>
      <c r="G399" s="405">
        <v>2023</v>
      </c>
      <c r="H399" s="405">
        <v>1</v>
      </c>
      <c r="I399" s="416"/>
      <c r="J399" s="406"/>
      <c r="K399" s="405" t="s">
        <v>1366</v>
      </c>
      <c r="L399" s="406" t="s">
        <v>1343</v>
      </c>
      <c r="M399" s="406">
        <v>44651</v>
      </c>
      <c r="N399" s="406">
        <v>44805</v>
      </c>
      <c r="O399" s="406"/>
      <c r="P399" s="406"/>
      <c r="Q399" s="406"/>
      <c r="R399" s="406"/>
      <c r="S399" s="405" t="s">
        <v>1098</v>
      </c>
      <c r="T399" s="405">
        <v>72</v>
      </c>
      <c r="U399" s="405" t="s">
        <v>1347</v>
      </c>
      <c r="V399" s="405" t="s">
        <v>1108</v>
      </c>
      <c r="W399" s="407">
        <v>575</v>
      </c>
      <c r="X399" s="371">
        <v>5307</v>
      </c>
      <c r="Y399" s="422">
        <f t="shared" si="89"/>
        <v>3051525</v>
      </c>
      <c r="Z399" s="409">
        <v>0.4</v>
      </c>
      <c r="AA399" s="410">
        <f t="shared" si="88"/>
        <v>1220610</v>
      </c>
      <c r="AB399" s="362"/>
      <c r="AC399" s="412">
        <f t="shared" si="90"/>
        <v>0</v>
      </c>
      <c r="AD399" s="405"/>
      <c r="AE399" s="413"/>
      <c r="AF399" s="424">
        <f t="shared" si="91"/>
        <v>1220610</v>
      </c>
      <c r="AG399" s="405" t="s">
        <v>47</v>
      </c>
      <c r="AH399" s="395">
        <v>100</v>
      </c>
      <c r="AI399" s="405">
        <v>0</v>
      </c>
      <c r="AJ399" s="405" t="s">
        <v>1326</v>
      </c>
      <c r="AK399" s="405" t="s">
        <v>1130</v>
      </c>
      <c r="AL399" s="425">
        <v>14505</v>
      </c>
      <c r="AM399" s="405" t="s">
        <v>52</v>
      </c>
      <c r="AN399" s="405" t="s">
        <v>1082</v>
      </c>
      <c r="AO399" s="405"/>
      <c r="AP399" s="405" t="s">
        <v>38</v>
      </c>
      <c r="AQ399" s="405" t="s">
        <v>1083</v>
      </c>
      <c r="AR399" s="405"/>
      <c r="AS399" s="369" t="s">
        <v>1084</v>
      </c>
      <c r="AT399" s="363" t="s">
        <v>1073</v>
      </c>
      <c r="AU399" s="403"/>
      <c r="AV399" s="402"/>
      <c r="AW399" s="402"/>
      <c r="AX399" s="402"/>
      <c r="AY399" s="402"/>
      <c r="AZ399" s="402"/>
      <c r="BA399" s="402"/>
      <c r="BB399" s="402"/>
      <c r="BC399" s="402"/>
    </row>
    <row r="400" spans="1:55">
      <c r="A400" s="377"/>
      <c r="B400" s="376"/>
      <c r="C400" s="376"/>
      <c r="D400" s="405" t="s">
        <v>1066</v>
      </c>
      <c r="E400" s="364"/>
      <c r="F400" s="405" t="s">
        <v>1318</v>
      </c>
      <c r="G400" s="405">
        <v>2023</v>
      </c>
      <c r="H400" s="405">
        <v>1</v>
      </c>
      <c r="I400" s="416" t="s">
        <v>1087</v>
      </c>
      <c r="J400" s="406"/>
      <c r="K400" s="405" t="s">
        <v>1355</v>
      </c>
      <c r="L400" s="406" t="s">
        <v>1343</v>
      </c>
      <c r="M400" s="406">
        <v>44624</v>
      </c>
      <c r="N400" s="406">
        <v>44819</v>
      </c>
      <c r="O400" s="406"/>
      <c r="P400" s="406"/>
      <c r="Q400" s="406"/>
      <c r="R400" s="406"/>
      <c r="S400" s="405" t="s">
        <v>1098</v>
      </c>
      <c r="T400" s="405">
        <v>72</v>
      </c>
      <c r="U400" s="405" t="s">
        <v>1347</v>
      </c>
      <c r="V400" s="405" t="s">
        <v>1108</v>
      </c>
      <c r="W400" s="407">
        <v>575</v>
      </c>
      <c r="X400" s="371">
        <v>7134</v>
      </c>
      <c r="Y400" s="422">
        <f t="shared" si="89"/>
        <v>4102050</v>
      </c>
      <c r="Z400" s="409">
        <v>0.4</v>
      </c>
      <c r="AA400" s="410">
        <f t="shared" si="88"/>
        <v>1640820</v>
      </c>
      <c r="AB400" s="362"/>
      <c r="AC400" s="412">
        <f t="shared" si="90"/>
        <v>0</v>
      </c>
      <c r="AD400" s="405"/>
      <c r="AE400" s="413"/>
      <c r="AF400" s="424">
        <f t="shared" si="91"/>
        <v>1640820</v>
      </c>
      <c r="AG400" s="405" t="s">
        <v>47</v>
      </c>
      <c r="AH400" s="395">
        <v>100</v>
      </c>
      <c r="AI400" s="405">
        <v>0</v>
      </c>
      <c r="AJ400" s="405" t="s">
        <v>1356</v>
      </c>
      <c r="AK400" s="405" t="s">
        <v>1130</v>
      </c>
      <c r="AL400" s="425">
        <v>12790</v>
      </c>
      <c r="AM400" s="405" t="s">
        <v>52</v>
      </c>
      <c r="AN400" s="405" t="s">
        <v>1082</v>
      </c>
      <c r="AO400" s="405"/>
      <c r="AP400" s="405" t="s">
        <v>38</v>
      </c>
      <c r="AQ400" s="405" t="s">
        <v>1083</v>
      </c>
      <c r="AR400" s="405"/>
      <c r="AS400" s="369" t="s">
        <v>1084</v>
      </c>
      <c r="AT400" s="363" t="s">
        <v>1073</v>
      </c>
      <c r="AU400" s="403"/>
      <c r="AV400" s="402" t="str">
        <f>U400</f>
        <v>30391491C</v>
      </c>
      <c r="AW400" s="402" cm="1">
        <f t="array" ref="AW400">SUM(MID(0&amp;AV400,LARGE(INDEX(ISNUMBER(--MID(AV400,ROW($1:$8),1))*ROW($1:$8),),ROW($1:$8))+1,1)*10^ROW($1:$8)/10)</f>
        <v>30391491</v>
      </c>
      <c r="AX400" s="402" t="e">
        <f>VLOOKUP($AW400,'Item Master Data'!$A:$F,3,FALSE)</f>
        <v>#N/A</v>
      </c>
      <c r="AY400" s="402" t="e">
        <f>VLOOKUP($AW400,'Item Master Data'!$A:$F,6,FALSE)</f>
        <v>#N/A</v>
      </c>
      <c r="AZ400" s="402" t="e">
        <f>X400/BA400</f>
        <v>#N/A</v>
      </c>
      <c r="BA400" s="402" t="e">
        <f>VLOOKUP(AW400,'Item Master Data'!$A:$G,7,FALSE)</f>
        <v>#N/A</v>
      </c>
      <c r="BB400" s="402"/>
      <c r="BC400" s="402" t="e">
        <f>W400-AY400</f>
        <v>#N/A</v>
      </c>
    </row>
    <row r="401" spans="1:55">
      <c r="A401" s="377"/>
      <c r="B401" s="376"/>
      <c r="C401" s="376"/>
      <c r="D401" s="405" t="s">
        <v>1066</v>
      </c>
      <c r="E401" s="364"/>
      <c r="F401" s="405" t="s">
        <v>1318</v>
      </c>
      <c r="G401" s="405">
        <v>2023</v>
      </c>
      <c r="H401" s="405">
        <v>1</v>
      </c>
      <c r="I401" s="416">
        <v>2005193</v>
      </c>
      <c r="J401" s="406"/>
      <c r="K401" s="405" t="s">
        <v>1353</v>
      </c>
      <c r="L401" s="406" t="s">
        <v>1343</v>
      </c>
      <c r="M401" s="406">
        <v>44628</v>
      </c>
      <c r="N401" s="406">
        <v>44774</v>
      </c>
      <c r="O401" s="406"/>
      <c r="P401" s="406"/>
      <c r="Q401" s="406"/>
      <c r="R401" s="406"/>
      <c r="S401" s="405" t="s">
        <v>1098</v>
      </c>
      <c r="T401" s="405">
        <v>72</v>
      </c>
      <c r="U401" s="405" t="s">
        <v>1347</v>
      </c>
      <c r="V401" s="405" t="s">
        <v>1108</v>
      </c>
      <c r="W401" s="407">
        <v>575</v>
      </c>
      <c r="X401" s="371">
        <v>7685</v>
      </c>
      <c r="Y401" s="422">
        <f t="shared" si="89"/>
        <v>4418875</v>
      </c>
      <c r="Z401" s="409">
        <v>0.4</v>
      </c>
      <c r="AA401" s="410">
        <f t="shared" si="88"/>
        <v>1767550</v>
      </c>
      <c r="AB401" s="362"/>
      <c r="AC401" s="412">
        <f t="shared" si="90"/>
        <v>0</v>
      </c>
      <c r="AD401" s="405"/>
      <c r="AE401" s="413"/>
      <c r="AF401" s="424">
        <f t="shared" si="91"/>
        <v>1767550</v>
      </c>
      <c r="AG401" s="405" t="s">
        <v>47</v>
      </c>
      <c r="AH401" s="395">
        <v>100</v>
      </c>
      <c r="AI401" s="405">
        <v>0</v>
      </c>
      <c r="AJ401" s="405" t="s">
        <v>1351</v>
      </c>
      <c r="AK401" s="405" t="s">
        <v>1130</v>
      </c>
      <c r="AL401" s="425">
        <v>12010</v>
      </c>
      <c r="AM401" s="405" t="s">
        <v>52</v>
      </c>
      <c r="AN401" s="405" t="s">
        <v>1082</v>
      </c>
      <c r="AO401" s="405"/>
      <c r="AP401" s="405" t="s">
        <v>38</v>
      </c>
      <c r="AQ401" s="405" t="s">
        <v>1083</v>
      </c>
      <c r="AR401" s="405"/>
      <c r="AS401" s="369" t="s">
        <v>1084</v>
      </c>
      <c r="AT401" s="363" t="s">
        <v>1073</v>
      </c>
      <c r="AU401" s="403"/>
      <c r="AV401" s="402"/>
      <c r="AW401" s="402"/>
      <c r="AX401" s="402"/>
      <c r="AY401" s="402"/>
      <c r="AZ401" s="402"/>
      <c r="BA401" s="402"/>
      <c r="BB401" s="402"/>
      <c r="BC401" s="402"/>
    </row>
    <row r="402" spans="1:55">
      <c r="A402" s="377"/>
      <c r="B402" s="376"/>
      <c r="C402" s="376"/>
      <c r="D402" s="405" t="s">
        <v>1066</v>
      </c>
      <c r="E402" s="364"/>
      <c r="F402" s="405" t="s">
        <v>1318</v>
      </c>
      <c r="G402" s="405">
        <v>2023</v>
      </c>
      <c r="H402" s="405">
        <v>1</v>
      </c>
      <c r="I402" s="416">
        <v>2005195</v>
      </c>
      <c r="J402" s="406"/>
      <c r="K402" s="405" t="s">
        <v>1352</v>
      </c>
      <c r="L402" s="406" t="s">
        <v>1343</v>
      </c>
      <c r="M402" s="406">
        <v>44628</v>
      </c>
      <c r="N402" s="406">
        <v>44774</v>
      </c>
      <c r="O402" s="406"/>
      <c r="P402" s="406"/>
      <c r="Q402" s="406"/>
      <c r="R402" s="406"/>
      <c r="S402" s="405" t="s">
        <v>1098</v>
      </c>
      <c r="T402" s="405">
        <v>72</v>
      </c>
      <c r="U402" s="405" t="s">
        <v>1347</v>
      </c>
      <c r="V402" s="405" t="s">
        <v>1108</v>
      </c>
      <c r="W402" s="407">
        <v>575</v>
      </c>
      <c r="X402" s="371">
        <v>6960</v>
      </c>
      <c r="Y402" s="422">
        <f t="shared" si="89"/>
        <v>4002000</v>
      </c>
      <c r="Z402" s="409">
        <v>0.4</v>
      </c>
      <c r="AA402" s="410">
        <f t="shared" si="88"/>
        <v>1600800</v>
      </c>
      <c r="AB402" s="362"/>
      <c r="AC402" s="412">
        <f t="shared" si="90"/>
        <v>0</v>
      </c>
      <c r="AD402" s="405"/>
      <c r="AE402" s="413"/>
      <c r="AF402" s="424">
        <f t="shared" si="91"/>
        <v>1600800</v>
      </c>
      <c r="AG402" s="405" t="s">
        <v>47</v>
      </c>
      <c r="AH402" s="395">
        <v>100</v>
      </c>
      <c r="AI402" s="405">
        <v>0</v>
      </c>
      <c r="AJ402" s="405" t="s">
        <v>1351</v>
      </c>
      <c r="AK402" s="405" t="s">
        <v>1130</v>
      </c>
      <c r="AL402" s="425">
        <v>12010</v>
      </c>
      <c r="AM402" s="405" t="s">
        <v>52</v>
      </c>
      <c r="AN402" s="405" t="s">
        <v>1082</v>
      </c>
      <c r="AO402" s="405"/>
      <c r="AP402" s="405" t="s">
        <v>38</v>
      </c>
      <c r="AQ402" s="405" t="s">
        <v>1083</v>
      </c>
      <c r="AR402" s="405"/>
      <c r="AS402" s="369" t="s">
        <v>1084</v>
      </c>
      <c r="AT402" s="363" t="s">
        <v>1073</v>
      </c>
      <c r="AU402" s="403"/>
      <c r="AV402" s="402"/>
      <c r="AW402" s="402"/>
      <c r="AX402" s="402"/>
      <c r="AY402" s="402"/>
      <c r="AZ402" s="402"/>
      <c r="BA402" s="402"/>
      <c r="BB402" s="402"/>
      <c r="BC402" s="402"/>
    </row>
    <row r="403" spans="1:55">
      <c r="A403" s="377"/>
      <c r="B403" s="376"/>
      <c r="C403" s="376"/>
      <c r="D403" s="405" t="s">
        <v>1066</v>
      </c>
      <c r="E403" s="364"/>
      <c r="F403" s="405" t="s">
        <v>1318</v>
      </c>
      <c r="G403" s="405">
        <v>2023</v>
      </c>
      <c r="H403" s="405">
        <v>1</v>
      </c>
      <c r="I403" s="416">
        <v>2005197</v>
      </c>
      <c r="J403" s="406"/>
      <c r="K403" s="405" t="s">
        <v>1350</v>
      </c>
      <c r="L403" s="406" t="s">
        <v>1343</v>
      </c>
      <c r="M403" s="406">
        <v>44628</v>
      </c>
      <c r="N403" s="406">
        <v>44788</v>
      </c>
      <c r="O403" s="406"/>
      <c r="P403" s="406"/>
      <c r="Q403" s="406"/>
      <c r="R403" s="406"/>
      <c r="S403" s="405" t="s">
        <v>1098</v>
      </c>
      <c r="T403" s="405">
        <v>72</v>
      </c>
      <c r="U403" s="405" t="s">
        <v>1347</v>
      </c>
      <c r="V403" s="405" t="s">
        <v>1108</v>
      </c>
      <c r="W403" s="407">
        <v>575</v>
      </c>
      <c r="X403" s="371">
        <v>5510</v>
      </c>
      <c r="Y403" s="422">
        <f t="shared" si="89"/>
        <v>3168250</v>
      </c>
      <c r="Z403" s="409">
        <v>0.4</v>
      </c>
      <c r="AA403" s="410">
        <f t="shared" si="88"/>
        <v>1267300</v>
      </c>
      <c r="AB403" s="362"/>
      <c r="AC403" s="412">
        <f t="shared" si="90"/>
        <v>0</v>
      </c>
      <c r="AD403" s="405"/>
      <c r="AE403" s="413"/>
      <c r="AF403" s="424">
        <f t="shared" si="91"/>
        <v>1267300</v>
      </c>
      <c r="AG403" s="405" t="s">
        <v>47</v>
      </c>
      <c r="AH403" s="395">
        <v>100</v>
      </c>
      <c r="AI403" s="405">
        <v>0</v>
      </c>
      <c r="AJ403" s="405" t="s">
        <v>1351</v>
      </c>
      <c r="AK403" s="405" t="s">
        <v>1130</v>
      </c>
      <c r="AL403" s="425">
        <v>12010</v>
      </c>
      <c r="AM403" s="405" t="s">
        <v>52</v>
      </c>
      <c r="AN403" s="405" t="s">
        <v>1082</v>
      </c>
      <c r="AO403" s="405"/>
      <c r="AP403" s="405" t="s">
        <v>38</v>
      </c>
      <c r="AQ403" s="405" t="s">
        <v>1083</v>
      </c>
      <c r="AR403" s="405"/>
      <c r="AS403" s="369" t="s">
        <v>1084</v>
      </c>
      <c r="AT403" s="363" t="s">
        <v>1073</v>
      </c>
      <c r="AU403" s="403"/>
      <c r="AV403" s="402"/>
      <c r="AW403" s="402"/>
      <c r="AX403" s="402"/>
      <c r="AY403" s="402"/>
      <c r="AZ403" s="402"/>
      <c r="BA403" s="402"/>
      <c r="BB403" s="402"/>
      <c r="BC403" s="402"/>
    </row>
    <row r="404" spans="1:55">
      <c r="A404" s="377"/>
      <c r="B404" s="376"/>
      <c r="C404" s="376"/>
      <c r="D404" s="405" t="s">
        <v>1066</v>
      </c>
      <c r="E404" s="364"/>
      <c r="F404" s="405" t="s">
        <v>1318</v>
      </c>
      <c r="G404" s="405">
        <v>2023</v>
      </c>
      <c r="H404" s="405">
        <v>1</v>
      </c>
      <c r="I404" s="416" t="s">
        <v>1087</v>
      </c>
      <c r="J404" s="406"/>
      <c r="K404" s="405" t="s">
        <v>1354</v>
      </c>
      <c r="L404" s="406" t="s">
        <v>1343</v>
      </c>
      <c r="M404" s="406">
        <v>44624</v>
      </c>
      <c r="N404" s="406">
        <v>44805</v>
      </c>
      <c r="O404" s="406"/>
      <c r="P404" s="406"/>
      <c r="Q404" s="406"/>
      <c r="R404" s="406"/>
      <c r="S404" s="405" t="s">
        <v>1098</v>
      </c>
      <c r="T404" s="405">
        <v>72</v>
      </c>
      <c r="U404" s="405" t="s">
        <v>1347</v>
      </c>
      <c r="V404" s="405" t="s">
        <v>1108</v>
      </c>
      <c r="W404" s="407">
        <v>575</v>
      </c>
      <c r="X404" s="371">
        <v>4901</v>
      </c>
      <c r="Y404" s="422">
        <f t="shared" si="89"/>
        <v>2818075</v>
      </c>
      <c r="Z404" s="409">
        <v>0.4</v>
      </c>
      <c r="AA404" s="410">
        <f t="shared" si="88"/>
        <v>1127230</v>
      </c>
      <c r="AB404" s="362"/>
      <c r="AC404" s="412">
        <f t="shared" si="90"/>
        <v>0</v>
      </c>
      <c r="AD404" s="405"/>
      <c r="AE404" s="413"/>
      <c r="AF404" s="424">
        <f t="shared" si="91"/>
        <v>1127230</v>
      </c>
      <c r="AG404" s="405" t="s">
        <v>47</v>
      </c>
      <c r="AH404" s="395">
        <v>100</v>
      </c>
      <c r="AI404" s="405">
        <v>0</v>
      </c>
      <c r="AJ404" s="405" t="s">
        <v>1351</v>
      </c>
      <c r="AK404" s="405" t="s">
        <v>1130</v>
      </c>
      <c r="AL404" s="425">
        <v>12010</v>
      </c>
      <c r="AM404" s="405" t="s">
        <v>52</v>
      </c>
      <c r="AN404" s="405" t="s">
        <v>1082</v>
      </c>
      <c r="AO404" s="405"/>
      <c r="AP404" s="405" t="s">
        <v>38</v>
      </c>
      <c r="AQ404" s="405" t="s">
        <v>1083</v>
      </c>
      <c r="AR404" s="405"/>
      <c r="AS404" s="369" t="s">
        <v>1084</v>
      </c>
      <c r="AT404" s="363" t="s">
        <v>1073</v>
      </c>
      <c r="AU404" s="403"/>
      <c r="AV404" s="402"/>
      <c r="AW404" s="402"/>
      <c r="AX404" s="402"/>
      <c r="AY404" s="402"/>
      <c r="AZ404" s="402"/>
      <c r="BA404" s="402"/>
      <c r="BB404" s="402"/>
      <c r="BC404" s="402"/>
    </row>
    <row r="405" spans="1:55">
      <c r="A405" s="377"/>
      <c r="B405" s="376"/>
      <c r="C405" s="376"/>
      <c r="D405" s="405" t="s">
        <v>1066</v>
      </c>
      <c r="E405" s="364" t="s">
        <v>1159</v>
      </c>
      <c r="F405" s="405" t="s">
        <v>1318</v>
      </c>
      <c r="G405" s="405">
        <v>2023</v>
      </c>
      <c r="H405" s="405">
        <v>1</v>
      </c>
      <c r="I405" s="416"/>
      <c r="J405" s="406"/>
      <c r="K405" s="405" t="s">
        <v>1359</v>
      </c>
      <c r="L405" s="406" t="s">
        <v>1343</v>
      </c>
      <c r="M405" s="406">
        <v>44651</v>
      </c>
      <c r="N405" s="406">
        <v>44805</v>
      </c>
      <c r="O405" s="406"/>
      <c r="P405" s="406"/>
      <c r="Q405" s="406"/>
      <c r="R405" s="406"/>
      <c r="S405" s="405" t="s">
        <v>1098</v>
      </c>
      <c r="T405" s="405">
        <v>72</v>
      </c>
      <c r="U405" s="405" t="s">
        <v>1347</v>
      </c>
      <c r="V405" s="405" t="s">
        <v>1108</v>
      </c>
      <c r="W405" s="407">
        <v>575</v>
      </c>
      <c r="X405" s="371">
        <v>10730</v>
      </c>
      <c r="Y405" s="422">
        <f t="shared" si="89"/>
        <v>6169750</v>
      </c>
      <c r="Z405" s="409">
        <v>0.4</v>
      </c>
      <c r="AA405" s="410">
        <f t="shared" si="88"/>
        <v>2467900</v>
      </c>
      <c r="AB405" s="362"/>
      <c r="AC405" s="412">
        <f t="shared" si="90"/>
        <v>0</v>
      </c>
      <c r="AD405" s="405"/>
      <c r="AE405" s="413"/>
      <c r="AF405" s="424">
        <f t="shared" si="91"/>
        <v>2467900</v>
      </c>
      <c r="AG405" s="405" t="s">
        <v>47</v>
      </c>
      <c r="AH405" s="395">
        <v>100</v>
      </c>
      <c r="AI405" s="405">
        <v>0</v>
      </c>
      <c r="AJ405" s="405" t="s">
        <v>1360</v>
      </c>
      <c r="AK405" s="405" t="s">
        <v>1130</v>
      </c>
      <c r="AL405" s="425">
        <v>14803</v>
      </c>
      <c r="AM405" s="405" t="s">
        <v>52</v>
      </c>
      <c r="AN405" s="405" t="s">
        <v>1082</v>
      </c>
      <c r="AO405" s="405"/>
      <c r="AP405" s="405" t="s">
        <v>38</v>
      </c>
      <c r="AQ405" s="405" t="s">
        <v>1083</v>
      </c>
      <c r="AR405" s="405"/>
      <c r="AS405" s="369" t="s">
        <v>1084</v>
      </c>
      <c r="AT405" s="363" t="s">
        <v>1073</v>
      </c>
      <c r="AU405" s="403"/>
      <c r="AV405" s="402"/>
      <c r="AW405" s="402"/>
      <c r="AX405" s="402"/>
      <c r="AY405" s="402"/>
      <c r="AZ405" s="402"/>
      <c r="BA405" s="402"/>
      <c r="BB405" s="402"/>
      <c r="BC405" s="402"/>
    </row>
    <row r="406" spans="1:55">
      <c r="A406" s="377"/>
      <c r="B406" s="376"/>
      <c r="C406" s="376"/>
      <c r="D406" s="405" t="s">
        <v>1066</v>
      </c>
      <c r="E406" s="364" t="s">
        <v>1159</v>
      </c>
      <c r="F406" s="405" t="s">
        <v>1074</v>
      </c>
      <c r="G406" s="405">
        <v>2023</v>
      </c>
      <c r="H406" s="405">
        <v>1</v>
      </c>
      <c r="I406" s="416"/>
      <c r="J406" s="406"/>
      <c r="K406" s="405" t="s">
        <v>1437</v>
      </c>
      <c r="L406" s="406" t="s">
        <v>1429</v>
      </c>
      <c r="M406" s="406">
        <v>44657</v>
      </c>
      <c r="N406" s="406">
        <v>44957</v>
      </c>
      <c r="O406" s="406"/>
      <c r="P406" s="406"/>
      <c r="Q406" s="406"/>
      <c r="R406" s="406"/>
      <c r="S406" s="405" t="s">
        <v>1098</v>
      </c>
      <c r="T406" s="405">
        <v>72</v>
      </c>
      <c r="U406" s="405"/>
      <c r="V406" s="405" t="s">
        <v>1108</v>
      </c>
      <c r="W406" s="407">
        <v>580</v>
      </c>
      <c r="X406" s="371">
        <v>14355</v>
      </c>
      <c r="Y406" s="422">
        <f t="shared" si="89"/>
        <v>8325900</v>
      </c>
      <c r="Z406" s="409">
        <v>0.48</v>
      </c>
      <c r="AA406" s="410">
        <f t="shared" si="88"/>
        <v>3996432</v>
      </c>
      <c r="AB406" s="362"/>
      <c r="AC406" s="412">
        <f t="shared" si="90"/>
        <v>0</v>
      </c>
      <c r="AD406" s="405"/>
      <c r="AE406" s="413"/>
      <c r="AF406" s="424">
        <f t="shared" si="91"/>
        <v>3996432</v>
      </c>
      <c r="AG406" s="405" t="s">
        <v>47</v>
      </c>
      <c r="AH406" s="395">
        <v>100</v>
      </c>
      <c r="AI406" s="405">
        <v>0</v>
      </c>
      <c r="AJ406" s="405" t="s">
        <v>1102</v>
      </c>
      <c r="AK406" s="405" t="s">
        <v>1102</v>
      </c>
      <c r="AL406" s="425" t="s">
        <v>1102</v>
      </c>
      <c r="AM406" s="405" t="s">
        <v>52</v>
      </c>
      <c r="AN406" s="405" t="s">
        <v>1102</v>
      </c>
      <c r="AO406" s="405"/>
      <c r="AP406" s="405" t="s">
        <v>38</v>
      </c>
      <c r="AQ406" s="405" t="s">
        <v>1083</v>
      </c>
      <c r="AR406" s="405"/>
      <c r="AS406" s="369" t="s">
        <v>1084</v>
      </c>
      <c r="AT406" s="363" t="s">
        <v>1073</v>
      </c>
      <c r="AU406" s="403"/>
      <c r="AV406" s="402"/>
      <c r="AW406" s="402"/>
      <c r="AX406" s="402"/>
      <c r="AY406" s="402"/>
      <c r="AZ406" s="402"/>
      <c r="BA406" s="402"/>
      <c r="BB406" s="402"/>
      <c r="BC406" s="402"/>
    </row>
    <row r="407" spans="1:55">
      <c r="A407" s="377"/>
      <c r="B407" s="376"/>
      <c r="C407" s="376"/>
      <c r="D407" s="405" t="s">
        <v>1066</v>
      </c>
      <c r="E407" s="364" t="s">
        <v>1159</v>
      </c>
      <c r="F407" s="405" t="s">
        <v>1074</v>
      </c>
      <c r="G407" s="405">
        <v>2023</v>
      </c>
      <c r="H407" s="405">
        <v>2</v>
      </c>
      <c r="I407" s="416"/>
      <c r="J407" s="406"/>
      <c r="K407" s="405" t="s">
        <v>1437</v>
      </c>
      <c r="L407" s="406" t="s">
        <v>1429</v>
      </c>
      <c r="M407" s="406">
        <v>44657</v>
      </c>
      <c r="N407" s="406" t="s">
        <v>1438</v>
      </c>
      <c r="O407" s="406"/>
      <c r="P407" s="406"/>
      <c r="Q407" s="406"/>
      <c r="R407" s="406"/>
      <c r="S407" s="405" t="s">
        <v>1098</v>
      </c>
      <c r="T407" s="405">
        <v>72</v>
      </c>
      <c r="U407" s="405"/>
      <c r="V407" s="405" t="s">
        <v>1108</v>
      </c>
      <c r="W407" s="407">
        <v>580</v>
      </c>
      <c r="X407" s="371">
        <v>14355</v>
      </c>
      <c r="Y407" s="422">
        <f t="shared" si="89"/>
        <v>8325900</v>
      </c>
      <c r="Z407" s="409">
        <v>0.48</v>
      </c>
      <c r="AA407" s="410">
        <f t="shared" si="88"/>
        <v>3996432</v>
      </c>
      <c r="AB407" s="362"/>
      <c r="AC407" s="412">
        <f t="shared" si="90"/>
        <v>0</v>
      </c>
      <c r="AD407" s="405"/>
      <c r="AE407" s="413"/>
      <c r="AF407" s="424">
        <f t="shared" si="91"/>
        <v>3996432</v>
      </c>
      <c r="AG407" s="405" t="s">
        <v>47</v>
      </c>
      <c r="AH407" s="395">
        <v>100</v>
      </c>
      <c r="AI407" s="405">
        <v>0</v>
      </c>
      <c r="AJ407" s="405" t="s">
        <v>1102</v>
      </c>
      <c r="AK407" s="405" t="s">
        <v>1102</v>
      </c>
      <c r="AL407" s="425" t="s">
        <v>1102</v>
      </c>
      <c r="AM407" s="405" t="s">
        <v>52</v>
      </c>
      <c r="AN407" s="405" t="s">
        <v>1102</v>
      </c>
      <c r="AO407" s="405"/>
      <c r="AP407" s="405" t="s">
        <v>38</v>
      </c>
      <c r="AQ407" s="405" t="s">
        <v>1083</v>
      </c>
      <c r="AR407" s="405"/>
      <c r="AS407" s="369" t="s">
        <v>1084</v>
      </c>
      <c r="AT407" s="363" t="s">
        <v>1073</v>
      </c>
      <c r="AU407" s="403"/>
      <c r="AV407" s="402"/>
      <c r="AW407" s="402"/>
      <c r="AX407" s="402"/>
      <c r="AY407" s="402"/>
      <c r="AZ407" s="402"/>
      <c r="BA407" s="402"/>
      <c r="BB407" s="402"/>
      <c r="BC407" s="402"/>
    </row>
    <row r="408" spans="1:55">
      <c r="A408" s="377"/>
      <c r="B408" s="376"/>
      <c r="C408" s="376"/>
      <c r="D408" s="405" t="s">
        <v>1066</v>
      </c>
      <c r="E408" s="364" t="s">
        <v>1159</v>
      </c>
      <c r="F408" s="405" t="s">
        <v>1074</v>
      </c>
      <c r="G408" s="405">
        <v>2023</v>
      </c>
      <c r="H408" s="405">
        <v>3</v>
      </c>
      <c r="I408" s="416"/>
      <c r="J408" s="406"/>
      <c r="K408" s="405" t="s">
        <v>1437</v>
      </c>
      <c r="L408" s="406" t="s">
        <v>1429</v>
      </c>
      <c r="M408" s="406">
        <v>44657</v>
      </c>
      <c r="N408" s="406">
        <v>45016</v>
      </c>
      <c r="O408" s="406"/>
      <c r="P408" s="406"/>
      <c r="Q408" s="406"/>
      <c r="R408" s="406"/>
      <c r="S408" s="405" t="s">
        <v>1098</v>
      </c>
      <c r="T408" s="405">
        <v>72</v>
      </c>
      <c r="U408" s="405"/>
      <c r="V408" s="405" t="s">
        <v>1108</v>
      </c>
      <c r="W408" s="407">
        <v>580</v>
      </c>
      <c r="X408" s="371">
        <f>43123-28710</f>
        <v>14413</v>
      </c>
      <c r="Y408" s="422">
        <f t="shared" si="89"/>
        <v>8359540</v>
      </c>
      <c r="Z408" s="409">
        <v>0.48</v>
      </c>
      <c r="AA408" s="410">
        <f t="shared" si="88"/>
        <v>4012579.1999999997</v>
      </c>
      <c r="AB408" s="362"/>
      <c r="AC408" s="412">
        <f t="shared" si="90"/>
        <v>0</v>
      </c>
      <c r="AD408" s="405"/>
      <c r="AE408" s="413"/>
      <c r="AF408" s="424">
        <f t="shared" si="91"/>
        <v>4012579.1999999997</v>
      </c>
      <c r="AG408" s="405" t="s">
        <v>47</v>
      </c>
      <c r="AH408" s="395">
        <v>100</v>
      </c>
      <c r="AI408" s="405">
        <v>0</v>
      </c>
      <c r="AJ408" s="405" t="s">
        <v>1102</v>
      </c>
      <c r="AK408" s="405" t="s">
        <v>1102</v>
      </c>
      <c r="AL408" s="425" t="s">
        <v>1102</v>
      </c>
      <c r="AM408" s="405" t="s">
        <v>52</v>
      </c>
      <c r="AN408" s="405" t="s">
        <v>1102</v>
      </c>
      <c r="AO408" s="405"/>
      <c r="AP408" s="405" t="s">
        <v>38</v>
      </c>
      <c r="AQ408" s="405" t="s">
        <v>1083</v>
      </c>
      <c r="AR408" s="405"/>
      <c r="AS408" s="369" t="s">
        <v>1084</v>
      </c>
      <c r="AT408" s="363" t="s">
        <v>1073</v>
      </c>
      <c r="AU408" s="403"/>
      <c r="AV408" s="402"/>
      <c r="AW408" s="402"/>
      <c r="AX408" s="402"/>
      <c r="AY408" s="402"/>
      <c r="AZ408" s="402"/>
      <c r="BA408" s="402"/>
      <c r="BB408" s="402"/>
      <c r="BC408" s="402"/>
    </row>
    <row r="409" spans="1:55">
      <c r="A409" s="377"/>
      <c r="B409" s="376"/>
      <c r="C409" s="376"/>
      <c r="D409" s="405" t="s">
        <v>1066</v>
      </c>
      <c r="E409" s="364" t="s">
        <v>1489</v>
      </c>
      <c r="F409" s="405" t="s">
        <v>1074</v>
      </c>
      <c r="G409" s="405">
        <v>2022</v>
      </c>
      <c r="H409" s="405">
        <v>5</v>
      </c>
      <c r="I409" s="416"/>
      <c r="J409" s="406"/>
      <c r="K409" s="405" t="s">
        <v>1490</v>
      </c>
      <c r="L409" s="406" t="s">
        <v>1482</v>
      </c>
      <c r="M409" s="406">
        <v>44651</v>
      </c>
      <c r="N409" s="406">
        <v>44659</v>
      </c>
      <c r="O409" s="406"/>
      <c r="P409" s="406" t="s">
        <v>1368</v>
      </c>
      <c r="Q409" s="406"/>
      <c r="R409" s="406"/>
      <c r="S409" s="405" t="s">
        <v>1098</v>
      </c>
      <c r="T409" s="405">
        <v>72</v>
      </c>
      <c r="U409" s="405" t="s">
        <v>1491</v>
      </c>
      <c r="V409" s="405" t="s">
        <v>1290</v>
      </c>
      <c r="W409" s="407">
        <v>415</v>
      </c>
      <c r="X409" s="371">
        <v>87</v>
      </c>
      <c r="Y409" s="422">
        <f t="shared" si="89"/>
        <v>36105</v>
      </c>
      <c r="Z409" s="409">
        <v>0.48</v>
      </c>
      <c r="AA409" s="410">
        <f t="shared" si="88"/>
        <v>17330.399999999998</v>
      </c>
      <c r="AB409" s="362"/>
      <c r="AC409" s="412">
        <f t="shared" si="90"/>
        <v>0</v>
      </c>
      <c r="AD409" s="405"/>
      <c r="AE409" s="413"/>
      <c r="AF409" s="424">
        <f t="shared" si="91"/>
        <v>17330.399999999998</v>
      </c>
      <c r="AG409" s="405" t="s">
        <v>1069</v>
      </c>
      <c r="AH409" s="395">
        <v>0</v>
      </c>
      <c r="AI409" s="405">
        <v>45</v>
      </c>
      <c r="AJ409" s="405" t="s">
        <v>1492</v>
      </c>
      <c r="AK409" s="405" t="s">
        <v>1130</v>
      </c>
      <c r="AL409" s="425">
        <v>13039</v>
      </c>
      <c r="AM409" s="405" t="s">
        <v>52</v>
      </c>
      <c r="AN409" s="405" t="s">
        <v>50</v>
      </c>
      <c r="AO409" s="405"/>
      <c r="AP409" s="405" t="s">
        <v>38</v>
      </c>
      <c r="AQ409" s="405" t="s">
        <v>1083</v>
      </c>
      <c r="AR409" s="405"/>
      <c r="AS409" s="369" t="s">
        <v>1084</v>
      </c>
      <c r="AT409" s="363" t="s">
        <v>1073</v>
      </c>
      <c r="AU409" s="403"/>
      <c r="AV409" s="402"/>
      <c r="AW409" s="402"/>
      <c r="AX409" s="402"/>
      <c r="AY409" s="402"/>
      <c r="AZ409" s="402"/>
      <c r="BA409" s="402"/>
      <c r="BB409" s="402"/>
      <c r="BC409" s="402"/>
    </row>
    <row r="410" spans="1:55">
      <c r="A410" s="377"/>
      <c r="B410" s="376"/>
      <c r="C410" s="376"/>
      <c r="D410" s="405" t="s">
        <v>1066</v>
      </c>
      <c r="E410" s="364" t="s">
        <v>1488</v>
      </c>
      <c r="F410" s="405" t="s">
        <v>1074</v>
      </c>
      <c r="G410" s="405">
        <v>2022</v>
      </c>
      <c r="H410" s="405">
        <v>6</v>
      </c>
      <c r="I410" s="416">
        <v>2005199</v>
      </c>
      <c r="J410" s="406"/>
      <c r="K410" s="405">
        <v>2111420</v>
      </c>
      <c r="L410" s="406" t="s">
        <v>1482</v>
      </c>
      <c r="M410" s="406">
        <v>44490</v>
      </c>
      <c r="N410" s="406">
        <v>44287</v>
      </c>
      <c r="O410" s="406"/>
      <c r="P410" s="406"/>
      <c r="Q410" s="406"/>
      <c r="R410" s="406"/>
      <c r="S410" s="405" t="s">
        <v>1098</v>
      </c>
      <c r="T410" s="405">
        <v>72</v>
      </c>
      <c r="U410" s="405">
        <v>12005832</v>
      </c>
      <c r="V410" s="405" t="s">
        <v>1068</v>
      </c>
      <c r="W410" s="407">
        <v>480</v>
      </c>
      <c r="X410" s="371">
        <f>12441+638+638</f>
        <v>13717</v>
      </c>
      <c r="Y410" s="422">
        <f t="shared" si="89"/>
        <v>6584160</v>
      </c>
      <c r="Z410" s="409">
        <v>0.42</v>
      </c>
      <c r="AA410" s="410">
        <f t="shared" si="88"/>
        <v>2765347.1999999997</v>
      </c>
      <c r="AB410" s="362"/>
      <c r="AC410" s="412">
        <f t="shared" si="90"/>
        <v>0</v>
      </c>
      <c r="AD410" s="405"/>
      <c r="AE410" s="413"/>
      <c r="AF410" s="424">
        <f t="shared" si="91"/>
        <v>2765347.1999999997</v>
      </c>
      <c r="AG410" s="405" t="s">
        <v>1069</v>
      </c>
      <c r="AH410" s="395">
        <v>3</v>
      </c>
      <c r="AI410" s="405">
        <v>60</v>
      </c>
      <c r="AJ410" s="405" t="s">
        <v>1485</v>
      </c>
      <c r="AK410" s="405" t="s">
        <v>1130</v>
      </c>
      <c r="AL410" s="425" t="s">
        <v>1486</v>
      </c>
      <c r="AM410" s="405" t="s">
        <v>52</v>
      </c>
      <c r="AN410" s="405" t="s">
        <v>1082</v>
      </c>
      <c r="AO410" s="405"/>
      <c r="AP410" s="405" t="s">
        <v>92</v>
      </c>
      <c r="AQ410" s="405" t="s">
        <v>1083</v>
      </c>
      <c r="AR410" s="405"/>
      <c r="AS410" s="369" t="s">
        <v>1084</v>
      </c>
      <c r="AT410" s="363" t="s">
        <v>1073</v>
      </c>
      <c r="AU410" s="403"/>
      <c r="AV410" s="402">
        <f t="shared" ref="AV410:AV416" si="95">U410</f>
        <v>12005832</v>
      </c>
      <c r="AW410" s="402" cm="1">
        <f t="array" ref="AW410">SUM(MID(0&amp;AV410,LARGE(INDEX(ISNUMBER(--MID(AV410,ROW($1:$8),1))*ROW($1:$8),),ROW($1:$8))+1,1)*10^ROW($1:$8)/10)</f>
        <v>12005832</v>
      </c>
      <c r="AX410" s="402" t="str">
        <f>VLOOKUP($AW410,'Item Master Data'!$A:$F,3,FALSE)</f>
        <v>Q.PEAK DUO XL G10 BFG</v>
      </c>
      <c r="AY410" s="402">
        <f>VLOOKUP($AW410,'Item Master Data'!$A:$F,6,FALSE)</f>
        <v>480</v>
      </c>
      <c r="AZ410" s="402" t="e">
        <f t="shared" ref="AZ410:AZ416" si="96">X410/BA410</f>
        <v>#VALUE!</v>
      </c>
      <c r="BA410" s="402" t="str">
        <f>VLOOKUP(AW410,'Item Master Data'!$A:$G,7,FALSE)</f>
        <v> 30</v>
      </c>
      <c r="BB410" s="402"/>
      <c r="BC410" s="402">
        <f t="shared" ref="BC410:BC416" si="97">W410-AY410</f>
        <v>0</v>
      </c>
    </row>
    <row r="411" spans="1:55">
      <c r="A411" s="377"/>
      <c r="B411" s="376"/>
      <c r="C411" s="376"/>
      <c r="D411" s="405" t="s">
        <v>1066</v>
      </c>
      <c r="E411" s="364" t="s">
        <v>1159</v>
      </c>
      <c r="F411" s="405" t="s">
        <v>1074</v>
      </c>
      <c r="G411" s="405">
        <v>2023</v>
      </c>
      <c r="H411" s="405">
        <v>7</v>
      </c>
      <c r="I411" s="416"/>
      <c r="J411" s="406"/>
      <c r="K411" s="405" t="s">
        <v>1436</v>
      </c>
      <c r="L411" s="406" t="s">
        <v>1429</v>
      </c>
      <c r="M411" s="406">
        <v>44644</v>
      </c>
      <c r="N411" s="406">
        <v>44774</v>
      </c>
      <c r="O411" s="406"/>
      <c r="P411" s="406"/>
      <c r="Q411" s="406"/>
      <c r="R411" s="406"/>
      <c r="S411" s="405" t="s">
        <v>1098</v>
      </c>
      <c r="T411" s="405">
        <v>72</v>
      </c>
      <c r="U411" s="405" t="s">
        <v>1347</v>
      </c>
      <c r="V411" s="405" t="s">
        <v>1108</v>
      </c>
      <c r="W411" s="407">
        <v>575</v>
      </c>
      <c r="X411" s="371">
        <v>17400</v>
      </c>
      <c r="Y411" s="422">
        <f t="shared" si="89"/>
        <v>10005000</v>
      </c>
      <c r="Z411" s="409">
        <v>0.43</v>
      </c>
      <c r="AA411" s="410">
        <f t="shared" si="88"/>
        <v>4302150</v>
      </c>
      <c r="AB411" s="362"/>
      <c r="AC411" s="412">
        <f t="shared" si="90"/>
        <v>0</v>
      </c>
      <c r="AD411" s="405"/>
      <c r="AE411" s="413"/>
      <c r="AF411" s="424">
        <f t="shared" si="91"/>
        <v>4302150</v>
      </c>
      <c r="AG411" s="405" t="s">
        <v>47</v>
      </c>
      <c r="AH411" s="395">
        <v>100</v>
      </c>
      <c r="AI411" s="405">
        <v>0</v>
      </c>
      <c r="AJ411" s="405" t="s">
        <v>1102</v>
      </c>
      <c r="AK411" s="405" t="s">
        <v>1102</v>
      </c>
      <c r="AL411" s="425" t="s">
        <v>1102</v>
      </c>
      <c r="AM411" s="405" t="s">
        <v>52</v>
      </c>
      <c r="AN411" s="405" t="s">
        <v>1102</v>
      </c>
      <c r="AO411" s="405"/>
      <c r="AP411" s="405" t="s">
        <v>38</v>
      </c>
      <c r="AQ411" s="405" t="s">
        <v>1083</v>
      </c>
      <c r="AR411" s="405"/>
      <c r="AS411" s="369" t="s">
        <v>1084</v>
      </c>
      <c r="AT411" s="363" t="s">
        <v>1073</v>
      </c>
      <c r="AU411" s="403"/>
      <c r="AV411" s="402" t="str">
        <f t="shared" si="95"/>
        <v>30391491C</v>
      </c>
      <c r="AW411" s="402" cm="1">
        <f t="array" ref="AW411">SUM(MID(0&amp;AV411,LARGE(INDEX(ISNUMBER(--MID(AV411,ROW($1:$8),1))*ROW($1:$8),),ROW($1:$8))+1,1)*10^ROW($1:$8)/10)</f>
        <v>30391491</v>
      </c>
      <c r="AX411" s="402" t="e">
        <f>VLOOKUP($AW411,'Item Master Data'!$A:$F,3,FALSE)</f>
        <v>#N/A</v>
      </c>
      <c r="AY411" s="402" t="e">
        <f>VLOOKUP($AW411,'Item Master Data'!$A:$F,6,FALSE)</f>
        <v>#N/A</v>
      </c>
      <c r="AZ411" s="402" t="e">
        <f t="shared" si="96"/>
        <v>#N/A</v>
      </c>
      <c r="BA411" s="402" t="e">
        <f>VLOOKUP(AW411,'Item Master Data'!$A:$G,7,FALSE)</f>
        <v>#N/A</v>
      </c>
      <c r="BB411" s="402"/>
      <c r="BC411" s="402" t="e">
        <f t="shared" si="97"/>
        <v>#N/A</v>
      </c>
    </row>
    <row r="412" spans="1:55">
      <c r="A412" s="377"/>
      <c r="B412" s="376"/>
      <c r="C412" s="376"/>
      <c r="D412" s="405" t="s">
        <v>1066</v>
      </c>
      <c r="E412" s="364" t="s">
        <v>1159</v>
      </c>
      <c r="F412" s="405" t="s">
        <v>87</v>
      </c>
      <c r="G412" s="405">
        <v>2023</v>
      </c>
      <c r="H412" s="405">
        <v>8</v>
      </c>
      <c r="I412" s="416" t="s">
        <v>1087</v>
      </c>
      <c r="J412" s="406"/>
      <c r="K412" s="405" t="s">
        <v>1160</v>
      </c>
      <c r="L412" s="406" t="s">
        <v>1155</v>
      </c>
      <c r="M412" s="406">
        <v>44462</v>
      </c>
      <c r="N412" s="406">
        <v>44743</v>
      </c>
      <c r="O412" s="406"/>
      <c r="P412" s="406"/>
      <c r="Q412" s="406"/>
      <c r="R412" s="406"/>
      <c r="S412" s="405" t="s">
        <v>1098</v>
      </c>
      <c r="T412" s="405">
        <v>72</v>
      </c>
      <c r="U412" s="405">
        <v>30390373</v>
      </c>
      <c r="V412" s="405" t="s">
        <v>1068</v>
      </c>
      <c r="W412" s="407">
        <v>485</v>
      </c>
      <c r="X412" s="371">
        <v>51533</v>
      </c>
      <c r="Y412" s="422">
        <f t="shared" si="89"/>
        <v>24993505</v>
      </c>
      <c r="Z412" s="409">
        <v>0.42</v>
      </c>
      <c r="AA412" s="410">
        <f t="shared" si="88"/>
        <v>10497272.1</v>
      </c>
      <c r="AB412" s="362"/>
      <c r="AC412" s="412">
        <f t="shared" si="90"/>
        <v>0</v>
      </c>
      <c r="AD412" s="405"/>
      <c r="AE412" s="413"/>
      <c r="AF412" s="424">
        <f t="shared" si="91"/>
        <v>10497272.1</v>
      </c>
      <c r="AG412" s="405" t="s">
        <v>47</v>
      </c>
      <c r="AH412" s="395">
        <v>10</v>
      </c>
      <c r="AI412" s="405">
        <v>30</v>
      </c>
      <c r="AJ412" s="405" t="s">
        <v>1102</v>
      </c>
      <c r="AK412" s="405" t="s">
        <v>1102</v>
      </c>
      <c r="AL412" s="425" t="s">
        <v>1102</v>
      </c>
      <c r="AM412" s="405" t="s">
        <v>52</v>
      </c>
      <c r="AN412" s="405" t="s">
        <v>1102</v>
      </c>
      <c r="AO412" s="405"/>
      <c r="AP412" s="405" t="s">
        <v>38</v>
      </c>
      <c r="AQ412" s="405" t="s">
        <v>1083</v>
      </c>
      <c r="AR412" s="405"/>
      <c r="AS412" s="369" t="s">
        <v>1084</v>
      </c>
      <c r="AT412" s="363" t="s">
        <v>1073</v>
      </c>
      <c r="AU412" s="403"/>
      <c r="AV412" s="402">
        <f t="shared" si="95"/>
        <v>30390373</v>
      </c>
      <c r="AW412" s="402" cm="1">
        <f t="array" ref="AW412">SUM(MID(0&amp;AV412,LARGE(INDEX(ISNUMBER(--MID(AV412,ROW($1:$8),1))*ROW($1:$8),),ROW($1:$8))+1,1)*10^ROW($1:$8)/10)</f>
        <v>30390373</v>
      </c>
      <c r="AX412" s="402" t="e">
        <f>VLOOKUP($AW412,'Item Master Data'!$A:$F,3,FALSE)</f>
        <v>#N/A</v>
      </c>
      <c r="AY412" s="402" t="e">
        <f>VLOOKUP($AW412,'Item Master Data'!$A:$F,6,FALSE)</f>
        <v>#N/A</v>
      </c>
      <c r="AZ412" s="402" t="e">
        <f t="shared" si="96"/>
        <v>#N/A</v>
      </c>
      <c r="BA412" s="402" t="e">
        <f>VLOOKUP(AW412,'Item Master Data'!$A:$G,7,FALSE)</f>
        <v>#N/A</v>
      </c>
      <c r="BB412" s="402"/>
      <c r="BC412" s="402" t="e">
        <f t="shared" si="97"/>
        <v>#N/A</v>
      </c>
    </row>
    <row r="413" spans="1:55">
      <c r="A413" s="377"/>
      <c r="B413" s="376"/>
      <c r="C413" s="376"/>
      <c r="D413" s="405" t="s">
        <v>1066</v>
      </c>
      <c r="E413" s="364" t="s">
        <v>1481</v>
      </c>
      <c r="F413" s="405" t="s">
        <v>1074</v>
      </c>
      <c r="G413" s="405">
        <v>2023</v>
      </c>
      <c r="H413" s="405">
        <v>6</v>
      </c>
      <c r="I413" s="416"/>
      <c r="J413" s="406"/>
      <c r="K413" s="405">
        <v>21171820</v>
      </c>
      <c r="L413" s="406" t="s">
        <v>1482</v>
      </c>
      <c r="M413" s="406">
        <v>44490</v>
      </c>
      <c r="N413" s="406">
        <v>44287</v>
      </c>
      <c r="O413" s="406"/>
      <c r="P413" s="406"/>
      <c r="Q413" s="406"/>
      <c r="R413" s="406"/>
      <c r="S413" s="405" t="s">
        <v>1098</v>
      </c>
      <c r="T413" s="405">
        <v>72</v>
      </c>
      <c r="U413" s="405" t="s">
        <v>1483</v>
      </c>
      <c r="V413" s="405" t="s">
        <v>1484</v>
      </c>
      <c r="W413" s="407">
        <v>480</v>
      </c>
      <c r="X413" s="371">
        <v>124990</v>
      </c>
      <c r="Y413" s="422">
        <f t="shared" si="89"/>
        <v>59995200</v>
      </c>
      <c r="Z413" s="409">
        <v>0.38500000000000001</v>
      </c>
      <c r="AA413" s="423">
        <f t="shared" si="88"/>
        <v>23098152</v>
      </c>
      <c r="AB413" s="362"/>
      <c r="AC413" s="412">
        <f t="shared" si="90"/>
        <v>0</v>
      </c>
      <c r="AD413" s="405"/>
      <c r="AE413" s="413"/>
      <c r="AF413" s="424">
        <f t="shared" si="91"/>
        <v>23098152</v>
      </c>
      <c r="AG413" s="405" t="s">
        <v>47</v>
      </c>
      <c r="AH413" s="395">
        <v>3</v>
      </c>
      <c r="AI413" s="405">
        <v>45</v>
      </c>
      <c r="AJ413" s="405" t="s">
        <v>1102</v>
      </c>
      <c r="AK413" s="405" t="s">
        <v>1102</v>
      </c>
      <c r="AL413" s="425" t="s">
        <v>1102</v>
      </c>
      <c r="AM413" s="405" t="s">
        <v>52</v>
      </c>
      <c r="AN413" s="405" t="s">
        <v>1102</v>
      </c>
      <c r="AO413" s="405"/>
      <c r="AP413" s="405" t="s">
        <v>38</v>
      </c>
      <c r="AQ413" s="405" t="s">
        <v>1083</v>
      </c>
      <c r="AR413" s="405"/>
      <c r="AS413" s="369" t="s">
        <v>1084</v>
      </c>
      <c r="AT413" s="363" t="s">
        <v>1073</v>
      </c>
      <c r="AU413" s="403"/>
      <c r="AV413" s="402" t="str">
        <f t="shared" si="95"/>
        <v>30397272F</v>
      </c>
      <c r="AW413" s="402" cm="1">
        <f t="array" ref="AW413">SUM(MID(0&amp;AV413,LARGE(INDEX(ISNUMBER(--MID(AV413,ROW($1:$8),1))*ROW($1:$8),),ROW($1:$8))+1,1)*10^ROW($1:$8)/10)</f>
        <v>30397272</v>
      </c>
      <c r="AX413" s="402" t="str">
        <f>VLOOKUP($AW413,'Item Master Data'!$A:$F,3,FALSE)</f>
        <v>Q.PEAK DUO XL G10 BFG</v>
      </c>
      <c r="AY413" s="402">
        <f>VLOOKUP($AW413,'Item Master Data'!$A:$F,6,FALSE)</f>
        <v>480</v>
      </c>
      <c r="AZ413" s="402">
        <f t="shared" si="96"/>
        <v>4310</v>
      </c>
      <c r="BA413" s="402">
        <f>VLOOKUP(AW413,'Item Master Data'!$A:$G,7,FALSE)</f>
        <v>29</v>
      </c>
      <c r="BB413" s="402"/>
      <c r="BC413" s="402">
        <f t="shared" si="97"/>
        <v>0</v>
      </c>
    </row>
    <row r="414" spans="1:55">
      <c r="A414" s="377"/>
      <c r="B414" s="376"/>
      <c r="C414" s="376"/>
      <c r="D414" s="405" t="s">
        <v>1066</v>
      </c>
      <c r="E414" s="364" t="s">
        <v>1159</v>
      </c>
      <c r="F414" s="405" t="s">
        <v>1074</v>
      </c>
      <c r="G414" s="405">
        <v>2023</v>
      </c>
      <c r="H414" s="405">
        <v>8</v>
      </c>
      <c r="I414" s="416"/>
      <c r="J414" s="406"/>
      <c r="K414" s="405" t="s">
        <v>1436</v>
      </c>
      <c r="L414" s="406" t="s">
        <v>1429</v>
      </c>
      <c r="M414" s="406">
        <v>44644</v>
      </c>
      <c r="N414" s="406">
        <v>44774</v>
      </c>
      <c r="O414" s="406"/>
      <c r="P414" s="406"/>
      <c r="Q414" s="406"/>
      <c r="R414" s="406"/>
      <c r="S414" s="405" t="s">
        <v>1098</v>
      </c>
      <c r="T414" s="405">
        <v>72</v>
      </c>
      <c r="U414" s="405" t="s">
        <v>1347</v>
      </c>
      <c r="V414" s="405" t="s">
        <v>1108</v>
      </c>
      <c r="W414" s="407">
        <v>575</v>
      </c>
      <c r="X414" s="371">
        <v>17400</v>
      </c>
      <c r="Y414" s="422">
        <f t="shared" si="89"/>
        <v>10005000</v>
      </c>
      <c r="Z414" s="409">
        <v>0.43</v>
      </c>
      <c r="AA414" s="410">
        <f t="shared" si="88"/>
        <v>4302150</v>
      </c>
      <c r="AB414" s="362"/>
      <c r="AC414" s="412">
        <f t="shared" si="90"/>
        <v>0</v>
      </c>
      <c r="AD414" s="405"/>
      <c r="AE414" s="413"/>
      <c r="AF414" s="424">
        <f t="shared" si="91"/>
        <v>4302150</v>
      </c>
      <c r="AG414" s="405" t="s">
        <v>47</v>
      </c>
      <c r="AH414" s="395">
        <v>100</v>
      </c>
      <c r="AI414" s="405">
        <v>0</v>
      </c>
      <c r="AJ414" s="405" t="s">
        <v>1102</v>
      </c>
      <c r="AK414" s="405" t="s">
        <v>1102</v>
      </c>
      <c r="AL414" s="425" t="s">
        <v>1102</v>
      </c>
      <c r="AM414" s="405" t="s">
        <v>52</v>
      </c>
      <c r="AN414" s="405" t="s">
        <v>1102</v>
      </c>
      <c r="AO414" s="405"/>
      <c r="AP414" s="405" t="s">
        <v>38</v>
      </c>
      <c r="AQ414" s="405" t="s">
        <v>1083</v>
      </c>
      <c r="AR414" s="405"/>
      <c r="AS414" s="369" t="s">
        <v>1084</v>
      </c>
      <c r="AT414" s="363" t="s">
        <v>1073</v>
      </c>
      <c r="AU414" s="403"/>
      <c r="AV414" s="402" t="str">
        <f t="shared" si="95"/>
        <v>30391491C</v>
      </c>
      <c r="AW414" s="402" cm="1">
        <f t="array" ref="AW414">SUM(MID(0&amp;AV414,LARGE(INDEX(ISNUMBER(--MID(AV414,ROW($1:$8),1))*ROW($1:$8),),ROW($1:$8))+1,1)*10^ROW($1:$8)/10)</f>
        <v>30391491</v>
      </c>
      <c r="AX414" s="402" t="e">
        <f>VLOOKUP($AW414,'Item Master Data'!$A:$F,3,FALSE)</f>
        <v>#N/A</v>
      </c>
      <c r="AY414" s="402" t="e">
        <f>VLOOKUP($AW414,'Item Master Data'!$A:$F,6,FALSE)</f>
        <v>#N/A</v>
      </c>
      <c r="AZ414" s="402" t="e">
        <f t="shared" si="96"/>
        <v>#N/A</v>
      </c>
      <c r="BA414" s="402" t="e">
        <f>VLOOKUP(AW414,'Item Master Data'!$A:$G,7,FALSE)</f>
        <v>#N/A</v>
      </c>
      <c r="BB414" s="402"/>
      <c r="BC414" s="402" t="e">
        <f t="shared" si="97"/>
        <v>#N/A</v>
      </c>
    </row>
    <row r="415" spans="1:55">
      <c r="A415" s="377"/>
      <c r="B415" s="376"/>
      <c r="C415" s="376"/>
      <c r="D415" s="405" t="s">
        <v>1066</v>
      </c>
      <c r="E415" s="364" t="s">
        <v>1159</v>
      </c>
      <c r="F415" s="405" t="s">
        <v>87</v>
      </c>
      <c r="G415" s="405">
        <v>2023</v>
      </c>
      <c r="H415" s="405">
        <v>9</v>
      </c>
      <c r="I415" s="416" t="s">
        <v>1087</v>
      </c>
      <c r="J415" s="406"/>
      <c r="K415" s="405" t="s">
        <v>1160</v>
      </c>
      <c r="L415" s="406" t="s">
        <v>1155</v>
      </c>
      <c r="M415" s="406">
        <v>44462</v>
      </c>
      <c r="N415" s="406">
        <v>44927</v>
      </c>
      <c r="O415" s="406"/>
      <c r="P415" s="406"/>
      <c r="Q415" s="406"/>
      <c r="R415" s="406"/>
      <c r="S415" s="405" t="s">
        <v>1098</v>
      </c>
      <c r="T415" s="405">
        <v>72</v>
      </c>
      <c r="U415" s="405">
        <v>30390373</v>
      </c>
      <c r="V415" s="405" t="s">
        <v>1068</v>
      </c>
      <c r="W415" s="407">
        <v>485</v>
      </c>
      <c r="X415" s="371">
        <v>51533</v>
      </c>
      <c r="Y415" s="422">
        <f t="shared" si="89"/>
        <v>24993505</v>
      </c>
      <c r="Z415" s="409">
        <v>0.42</v>
      </c>
      <c r="AA415" s="410">
        <f t="shared" si="88"/>
        <v>10497272.1</v>
      </c>
      <c r="AB415" s="362"/>
      <c r="AC415" s="412">
        <f t="shared" si="90"/>
        <v>0</v>
      </c>
      <c r="AD415" s="405"/>
      <c r="AE415" s="413"/>
      <c r="AF415" s="424">
        <f t="shared" si="91"/>
        <v>10497272.1</v>
      </c>
      <c r="AG415" s="405" t="s">
        <v>47</v>
      </c>
      <c r="AH415" s="395">
        <v>10</v>
      </c>
      <c r="AI415" s="405">
        <v>30</v>
      </c>
      <c r="AJ415" s="405" t="s">
        <v>1102</v>
      </c>
      <c r="AK415" s="405" t="s">
        <v>1102</v>
      </c>
      <c r="AL415" s="425" t="s">
        <v>1102</v>
      </c>
      <c r="AM415" s="405" t="s">
        <v>52</v>
      </c>
      <c r="AN415" s="405" t="s">
        <v>1102</v>
      </c>
      <c r="AO415" s="405"/>
      <c r="AP415" s="405" t="s">
        <v>38</v>
      </c>
      <c r="AQ415" s="405" t="s">
        <v>1083</v>
      </c>
      <c r="AR415" s="405"/>
      <c r="AS415" s="369" t="s">
        <v>1084</v>
      </c>
      <c r="AT415" s="363" t="s">
        <v>1073</v>
      </c>
      <c r="AU415" s="403"/>
      <c r="AV415" s="402">
        <f t="shared" si="95"/>
        <v>30390373</v>
      </c>
      <c r="AW415" s="402" cm="1">
        <f t="array" ref="AW415">SUM(MID(0&amp;AV415,LARGE(INDEX(ISNUMBER(--MID(AV415,ROW($1:$8),1))*ROW($1:$8),),ROW($1:$8))+1,1)*10^ROW($1:$8)/10)</f>
        <v>30390373</v>
      </c>
      <c r="AX415" s="402" t="e">
        <f>VLOOKUP($AW415,'Item Master Data'!$A:$F,3,FALSE)</f>
        <v>#N/A</v>
      </c>
      <c r="AY415" s="402" t="e">
        <f>VLOOKUP($AW415,'Item Master Data'!$A:$F,6,FALSE)</f>
        <v>#N/A</v>
      </c>
      <c r="AZ415" s="402" t="e">
        <f t="shared" si="96"/>
        <v>#N/A</v>
      </c>
      <c r="BA415" s="402" t="e">
        <f>VLOOKUP(AW415,'Item Master Data'!$A:$G,7,FALSE)</f>
        <v>#N/A</v>
      </c>
      <c r="BB415" s="402"/>
      <c r="BC415" s="402" t="e">
        <f t="shared" si="97"/>
        <v>#N/A</v>
      </c>
    </row>
    <row r="416" spans="1:55">
      <c r="A416" s="377"/>
      <c r="B416" s="376"/>
      <c r="C416" s="376"/>
      <c r="D416" s="405" t="s">
        <v>1066</v>
      </c>
      <c r="E416" s="364" t="s">
        <v>1159</v>
      </c>
      <c r="F416" s="405" t="s">
        <v>87</v>
      </c>
      <c r="G416" s="405">
        <v>2023</v>
      </c>
      <c r="H416" s="405">
        <v>11</v>
      </c>
      <c r="I416" s="416" t="s">
        <v>1087</v>
      </c>
      <c r="J416" s="406"/>
      <c r="K416" s="405" t="s">
        <v>1160</v>
      </c>
      <c r="L416" s="406" t="s">
        <v>1155</v>
      </c>
      <c r="M416" s="406">
        <v>44462</v>
      </c>
      <c r="N416" s="406">
        <v>44835</v>
      </c>
      <c r="O416" s="406"/>
      <c r="P416" s="406"/>
      <c r="Q416" s="406"/>
      <c r="R416" s="406"/>
      <c r="S416" s="405" t="s">
        <v>1098</v>
      </c>
      <c r="T416" s="405">
        <v>72</v>
      </c>
      <c r="U416" s="405">
        <v>30390373</v>
      </c>
      <c r="V416" s="405" t="s">
        <v>1068</v>
      </c>
      <c r="W416" s="407">
        <v>485</v>
      </c>
      <c r="X416" s="371">
        <v>103124</v>
      </c>
      <c r="Y416" s="422">
        <f t="shared" si="89"/>
        <v>50015140</v>
      </c>
      <c r="Z416" s="409">
        <v>0.42</v>
      </c>
      <c r="AA416" s="410">
        <f t="shared" si="88"/>
        <v>21006358.800000001</v>
      </c>
      <c r="AB416" s="362"/>
      <c r="AC416" s="412">
        <f t="shared" si="90"/>
        <v>0</v>
      </c>
      <c r="AD416" s="405"/>
      <c r="AE416" s="413"/>
      <c r="AF416" s="424">
        <f t="shared" si="91"/>
        <v>21006358.800000001</v>
      </c>
      <c r="AG416" s="405" t="s">
        <v>47</v>
      </c>
      <c r="AH416" s="395">
        <v>10</v>
      </c>
      <c r="AI416" s="405">
        <v>30</v>
      </c>
      <c r="AJ416" s="405" t="s">
        <v>1102</v>
      </c>
      <c r="AK416" s="405" t="s">
        <v>1102</v>
      </c>
      <c r="AL416" s="425" t="s">
        <v>1102</v>
      </c>
      <c r="AM416" s="405" t="s">
        <v>52</v>
      </c>
      <c r="AN416" s="405" t="s">
        <v>1102</v>
      </c>
      <c r="AO416" s="405"/>
      <c r="AP416" s="405" t="s">
        <v>38</v>
      </c>
      <c r="AQ416" s="405" t="s">
        <v>1083</v>
      </c>
      <c r="AR416" s="405"/>
      <c r="AS416" s="369" t="s">
        <v>1084</v>
      </c>
      <c r="AT416" s="363" t="s">
        <v>1073</v>
      </c>
      <c r="AU416" s="403"/>
      <c r="AV416" s="402">
        <f t="shared" si="95"/>
        <v>30390373</v>
      </c>
      <c r="AW416" s="402" cm="1">
        <f t="array" ref="AW416">SUM(MID(0&amp;AV416,LARGE(INDEX(ISNUMBER(--MID(AV416,ROW($1:$8),1))*ROW($1:$8),),ROW($1:$8))+1,1)*10^ROW($1:$8)/10)</f>
        <v>30390373</v>
      </c>
      <c r="AX416" s="402" t="e">
        <f>VLOOKUP($AW416,'Item Master Data'!$A:$F,3,FALSE)</f>
        <v>#N/A</v>
      </c>
      <c r="AY416" s="402" t="e">
        <f>VLOOKUP($AW416,'Item Master Data'!$A:$F,6,FALSE)</f>
        <v>#N/A</v>
      </c>
      <c r="AZ416" s="402" t="e">
        <f t="shared" si="96"/>
        <v>#N/A</v>
      </c>
      <c r="BA416" s="402" t="e">
        <f>VLOOKUP(AW416,'Item Master Data'!$A:$G,7,FALSE)</f>
        <v>#N/A</v>
      </c>
      <c r="BB416" s="402"/>
      <c r="BC416" s="402" t="e">
        <f t="shared" si="97"/>
        <v>#N/A</v>
      </c>
    </row>
    <row r="417" spans="1:55">
      <c r="A417" s="377"/>
      <c r="B417" s="376"/>
      <c r="C417" s="376"/>
      <c r="D417" s="405" t="s">
        <v>1066</v>
      </c>
      <c r="E417" s="364" t="s">
        <v>1158</v>
      </c>
      <c r="F417" s="405" t="s">
        <v>87</v>
      </c>
      <c r="G417" s="405">
        <v>2022</v>
      </c>
      <c r="H417" s="405">
        <v>6</v>
      </c>
      <c r="I417" s="416"/>
      <c r="J417" s="406"/>
      <c r="K417" s="405" t="s">
        <v>4934</v>
      </c>
      <c r="L417" s="406" t="s">
        <v>4935</v>
      </c>
      <c r="M417" s="406">
        <v>44519</v>
      </c>
      <c r="N417" s="406">
        <v>44713</v>
      </c>
      <c r="O417" s="406"/>
      <c r="P417" s="406"/>
      <c r="Q417" s="406"/>
      <c r="R417" s="406"/>
      <c r="S417" s="405" t="s">
        <v>1325</v>
      </c>
      <c r="T417" s="405">
        <v>72</v>
      </c>
      <c r="U417" s="405"/>
      <c r="V417" s="405" t="s">
        <v>1068</v>
      </c>
      <c r="W417" s="407">
        <v>480</v>
      </c>
      <c r="X417" s="371">
        <v>8580</v>
      </c>
      <c r="Y417" s="422">
        <f t="shared" si="89"/>
        <v>4118400</v>
      </c>
      <c r="Z417" s="409">
        <v>0.48</v>
      </c>
      <c r="AA417" s="410">
        <f t="shared" si="88"/>
        <v>1976832</v>
      </c>
      <c r="AB417" s="362"/>
      <c r="AC417" s="412">
        <f t="shared" si="90"/>
        <v>0</v>
      </c>
      <c r="AD417" s="405"/>
      <c r="AE417" s="413"/>
      <c r="AF417" s="424">
        <f t="shared" si="91"/>
        <v>1976832</v>
      </c>
      <c r="AG417" s="405" t="s">
        <v>47</v>
      </c>
      <c r="AH417" s="395">
        <v>100</v>
      </c>
      <c r="AI417" s="405">
        <v>0</v>
      </c>
      <c r="AJ417" s="405" t="s">
        <v>1102</v>
      </c>
      <c r="AK417" s="405" t="s">
        <v>1102</v>
      </c>
      <c r="AL417" s="425" t="s">
        <v>1102</v>
      </c>
      <c r="AM417" s="405" t="s">
        <v>52</v>
      </c>
      <c r="AN417" s="405" t="s">
        <v>1102</v>
      </c>
      <c r="AO417" s="405"/>
      <c r="AP417" s="405" t="s">
        <v>38</v>
      </c>
      <c r="AQ417" s="405" t="s">
        <v>1083</v>
      </c>
      <c r="AR417" s="405"/>
      <c r="AS417" s="369" t="s">
        <v>1084</v>
      </c>
      <c r="AT417" s="363" t="s">
        <v>1073</v>
      </c>
      <c r="AU417" s="403"/>
      <c r="AV417" s="402"/>
      <c r="AW417" s="402"/>
      <c r="AX417" s="402"/>
      <c r="AY417" s="402"/>
      <c r="AZ417" s="402"/>
      <c r="BA417" s="402"/>
      <c r="BB417" s="402"/>
      <c r="BC417" s="402"/>
    </row>
    <row r="418" spans="1:55">
      <c r="A418" s="426"/>
      <c r="B418" s="376"/>
      <c r="C418" s="426"/>
      <c r="D418" s="366" t="s">
        <v>1066</v>
      </c>
      <c r="E418" s="405" t="s">
        <v>1239</v>
      </c>
      <c r="F418" s="405"/>
      <c r="G418" s="405">
        <v>2022</v>
      </c>
      <c r="H418" s="405">
        <v>7</v>
      </c>
      <c r="I418" s="405" t="s">
        <v>1498</v>
      </c>
      <c r="J418" s="406"/>
      <c r="K418" s="405">
        <v>211</v>
      </c>
      <c r="L418" s="406" t="s">
        <v>4091</v>
      </c>
      <c r="M418" s="406">
        <v>44607</v>
      </c>
      <c r="N418" s="406">
        <v>44743</v>
      </c>
      <c r="O418" s="406"/>
      <c r="P418" s="406"/>
      <c r="Q418" s="406"/>
      <c r="R418" s="406"/>
      <c r="S418" s="405" t="s">
        <v>1107</v>
      </c>
      <c r="T418" s="405">
        <v>60</v>
      </c>
      <c r="U418" s="405"/>
      <c r="V418" s="405" t="s">
        <v>986</v>
      </c>
      <c r="W418" s="407">
        <v>360</v>
      </c>
      <c r="X418" s="371">
        <v>832</v>
      </c>
      <c r="Y418" s="408">
        <f>X418*W418</f>
        <v>299520</v>
      </c>
      <c r="Z418" s="409">
        <v>0.62</v>
      </c>
      <c r="AA418" s="410">
        <f t="shared" si="88"/>
        <v>185702.39999999999</v>
      </c>
      <c r="AB418" s="411"/>
      <c r="AC418" s="412">
        <f t="shared" si="90"/>
        <v>0</v>
      </c>
      <c r="AD418" s="421"/>
      <c r="AE418" s="413"/>
      <c r="AF418" s="424">
        <f t="shared" si="91"/>
        <v>185702.39999999999</v>
      </c>
      <c r="AG418" s="405" t="s">
        <v>47</v>
      </c>
      <c r="AH418" s="405">
        <v>0</v>
      </c>
      <c r="AI418" s="405">
        <v>30</v>
      </c>
      <c r="AJ418" s="405" t="s">
        <v>4092</v>
      </c>
      <c r="AK418" s="405" t="s">
        <v>1292</v>
      </c>
      <c r="AL418" s="425">
        <v>18966</v>
      </c>
      <c r="AM418" s="405" t="s">
        <v>52</v>
      </c>
      <c r="AN418" s="405"/>
      <c r="AO418" s="405"/>
      <c r="AP418" s="413"/>
      <c r="AQ418" s="413" t="s">
        <v>1083</v>
      </c>
      <c r="AR418" s="405" t="s">
        <v>1188</v>
      </c>
      <c r="AS418" s="368" t="s">
        <v>1072</v>
      </c>
      <c r="AT418" s="386" t="s">
        <v>1084</v>
      </c>
      <c r="AU418" s="386" t="s">
        <v>1073</v>
      </c>
      <c r="AV418" s="402">
        <f t="shared" ref="AV418:AV443" si="98">U418</f>
        <v>0</v>
      </c>
      <c r="AW418" s="402" cm="1">
        <f t="array" ref="AW418">SUM(MID(0&amp;AV418,LARGE(INDEX(ISNUMBER(--MID(AV418,ROW($1:$8),1))*ROW($1:$8),),ROW($1:$8))+1,1)*10^ROW($1:$8)/10)</f>
        <v>0</v>
      </c>
      <c r="AX418" s="402" t="e">
        <f>VLOOKUP($AW418,'Item Master Data'!$A:$F,3,FALSE)</f>
        <v>#N/A</v>
      </c>
      <c r="AY418" s="402" t="e">
        <f>VLOOKUP($AW418,'Item Master Data'!$A:$F,6,FALSE)</f>
        <v>#N/A</v>
      </c>
      <c r="AZ418" s="402" t="e">
        <f t="shared" ref="AZ418:AZ443" si="99">X418/BA418</f>
        <v>#N/A</v>
      </c>
      <c r="BA418" s="402" t="e">
        <f>VLOOKUP(AW418,'Item Master Data'!$A:$G,7,FALSE)</f>
        <v>#N/A</v>
      </c>
      <c r="BB418" s="402"/>
      <c r="BC418" s="402" t="e">
        <f t="shared" ref="BC418:BC443" si="100">W418-AY418</f>
        <v>#N/A</v>
      </c>
    </row>
    <row r="419" spans="1:55">
      <c r="A419" s="426"/>
      <c r="B419" s="376"/>
      <c r="C419" s="376"/>
      <c r="D419" s="405" t="s">
        <v>1066</v>
      </c>
      <c r="E419" s="364" t="s">
        <v>1093</v>
      </c>
      <c r="F419" s="405" t="s">
        <v>1074</v>
      </c>
      <c r="G419" s="405">
        <v>2022</v>
      </c>
      <c r="H419" s="405">
        <v>5</v>
      </c>
      <c r="I419" s="416"/>
      <c r="J419" s="406"/>
      <c r="K419" s="405">
        <v>2000200023</v>
      </c>
      <c r="L419" s="406" t="s">
        <v>1482</v>
      </c>
      <c r="M419" s="406">
        <v>44690</v>
      </c>
      <c r="N419" s="406">
        <v>44690</v>
      </c>
      <c r="O419" s="406"/>
      <c r="P419" s="406"/>
      <c r="Q419" s="406"/>
      <c r="R419" s="406"/>
      <c r="S419" s="405" t="s">
        <v>1098</v>
      </c>
      <c r="T419" s="405">
        <v>72</v>
      </c>
      <c r="U419" s="405"/>
      <c r="V419" s="405" t="s">
        <v>1068</v>
      </c>
      <c r="W419" s="407">
        <v>475</v>
      </c>
      <c r="X419" s="371">
        <v>551</v>
      </c>
      <c r="Y419" s="422">
        <f>W419*X419</f>
        <v>261725</v>
      </c>
      <c r="Z419" s="409">
        <v>0.6</v>
      </c>
      <c r="AA419" s="410">
        <f t="shared" si="88"/>
        <v>157035</v>
      </c>
      <c r="AB419" s="362"/>
      <c r="AC419" s="412">
        <f t="shared" si="90"/>
        <v>0</v>
      </c>
      <c r="AD419" s="405"/>
      <c r="AE419" s="413"/>
      <c r="AF419" s="424">
        <f t="shared" si="91"/>
        <v>157035</v>
      </c>
      <c r="AG419" s="405" t="s">
        <v>1069</v>
      </c>
      <c r="AH419" s="395">
        <v>3</v>
      </c>
      <c r="AI419" s="405">
        <v>60</v>
      </c>
      <c r="AJ419" s="405" t="s">
        <v>4816</v>
      </c>
      <c r="AK419" s="405" t="s">
        <v>1130</v>
      </c>
      <c r="AL419" s="425">
        <v>12068</v>
      </c>
      <c r="AM419" s="405" t="s">
        <v>52</v>
      </c>
      <c r="AN419" s="405" t="s">
        <v>1071</v>
      </c>
      <c r="AO419" s="405"/>
      <c r="AP419" s="405"/>
      <c r="AQ419" s="405" t="s">
        <v>1083</v>
      </c>
      <c r="AR419" s="405"/>
      <c r="AS419" s="369" t="s">
        <v>1084</v>
      </c>
      <c r="AT419" s="363" t="s">
        <v>1073</v>
      </c>
      <c r="AU419" s="403"/>
      <c r="AV419" s="402">
        <f t="shared" si="98"/>
        <v>0</v>
      </c>
      <c r="AW419" s="402" cm="1">
        <f t="array" ref="AW419">SUM(MID(0&amp;AV419,LARGE(INDEX(ISNUMBER(--MID(AV419,ROW($1:$8),1))*ROW($1:$8),),ROW($1:$8))+1,1)*10^ROW($1:$8)/10)</f>
        <v>0</v>
      </c>
      <c r="AX419" s="402" t="e">
        <f>VLOOKUP($AW419,'Item Master Data'!$A:$F,3,FALSE)</f>
        <v>#N/A</v>
      </c>
      <c r="AY419" s="402" t="e">
        <f>VLOOKUP($AW419,'Item Master Data'!$A:$F,6,FALSE)</f>
        <v>#N/A</v>
      </c>
      <c r="AZ419" s="402" t="e">
        <f t="shared" si="99"/>
        <v>#N/A</v>
      </c>
      <c r="BA419" s="402" t="e">
        <f>VLOOKUP(AW419,'Item Master Data'!$A:$G,7,FALSE)</f>
        <v>#N/A</v>
      </c>
      <c r="BB419" s="402"/>
      <c r="BC419" s="402" t="e">
        <f t="shared" si="100"/>
        <v>#N/A</v>
      </c>
    </row>
    <row r="420" spans="1:55">
      <c r="A420" s="426"/>
      <c r="B420" s="376"/>
      <c r="C420" s="426"/>
      <c r="D420" s="366" t="s">
        <v>1066</v>
      </c>
      <c r="E420" s="405" t="s">
        <v>1239</v>
      </c>
      <c r="F420" s="405"/>
      <c r="G420" s="405">
        <v>2022</v>
      </c>
      <c r="H420" s="405">
        <v>8</v>
      </c>
      <c r="I420" s="405" t="s">
        <v>1498</v>
      </c>
      <c r="J420" s="406"/>
      <c r="K420" s="405">
        <v>210</v>
      </c>
      <c r="L420" s="406" t="s">
        <v>4091</v>
      </c>
      <c r="M420" s="406">
        <v>44607</v>
      </c>
      <c r="N420" s="406">
        <v>44774</v>
      </c>
      <c r="O420" s="406"/>
      <c r="P420" s="406"/>
      <c r="Q420" s="406"/>
      <c r="R420" s="406"/>
      <c r="S420" s="405" t="s">
        <v>1107</v>
      </c>
      <c r="T420" s="405">
        <v>60</v>
      </c>
      <c r="U420" s="405"/>
      <c r="V420" s="405" t="s">
        <v>986</v>
      </c>
      <c r="W420" s="407">
        <v>360</v>
      </c>
      <c r="X420" s="371">
        <v>832</v>
      </c>
      <c r="Y420" s="408">
        <f t="shared" ref="Y420" si="101">X420*W420</f>
        <v>299520</v>
      </c>
      <c r="Z420" s="409">
        <v>0.62</v>
      </c>
      <c r="AA420" s="410">
        <f t="shared" si="88"/>
        <v>185702.39999999999</v>
      </c>
      <c r="AB420" s="411"/>
      <c r="AC420" s="412">
        <f t="shared" si="90"/>
        <v>0</v>
      </c>
      <c r="AD420" s="421"/>
      <c r="AE420" s="413"/>
      <c r="AF420" s="424">
        <f t="shared" si="91"/>
        <v>185702.39999999999</v>
      </c>
      <c r="AG420" s="405" t="s">
        <v>47</v>
      </c>
      <c r="AH420" s="405">
        <v>0</v>
      </c>
      <c r="AI420" s="405">
        <v>30</v>
      </c>
      <c r="AJ420" s="405" t="s">
        <v>2454</v>
      </c>
      <c r="AK420" s="405" t="s">
        <v>1191</v>
      </c>
      <c r="AL420" s="425">
        <v>43228</v>
      </c>
      <c r="AM420" s="405" t="s">
        <v>52</v>
      </c>
      <c r="AN420" s="405"/>
      <c r="AO420" s="405"/>
      <c r="AP420" s="413"/>
      <c r="AQ420" s="413" t="s">
        <v>1083</v>
      </c>
      <c r="AR420" s="405" t="s">
        <v>1188</v>
      </c>
      <c r="AS420" s="368" t="s">
        <v>1072</v>
      </c>
      <c r="AT420" s="386" t="s">
        <v>1084</v>
      </c>
      <c r="AU420" s="386" t="s">
        <v>1073</v>
      </c>
      <c r="AV420" s="402">
        <f t="shared" si="98"/>
        <v>0</v>
      </c>
      <c r="AW420" s="402" cm="1">
        <f t="array" ref="AW420">SUM(MID(0&amp;AV420,LARGE(INDEX(ISNUMBER(--MID(AV420,ROW($1:$8),1))*ROW($1:$8),),ROW($1:$8))+1,1)*10^ROW($1:$8)/10)</f>
        <v>0</v>
      </c>
      <c r="AX420" s="402" t="e">
        <f>VLOOKUP($AW420,'Item Master Data'!$A:$F,3,FALSE)</f>
        <v>#N/A</v>
      </c>
      <c r="AY420" s="402" t="e">
        <f>VLOOKUP($AW420,'Item Master Data'!$A:$F,6,FALSE)</f>
        <v>#N/A</v>
      </c>
      <c r="AZ420" s="402" t="e">
        <f t="shared" si="99"/>
        <v>#N/A</v>
      </c>
      <c r="BA420" s="402" t="e">
        <f>VLOOKUP(AW420,'Item Master Data'!$A:$G,7,FALSE)</f>
        <v>#N/A</v>
      </c>
      <c r="BB420" s="402"/>
      <c r="BC420" s="402" t="e">
        <f t="shared" si="100"/>
        <v>#N/A</v>
      </c>
    </row>
    <row r="421" spans="1:55">
      <c r="A421" s="278" t="s">
        <v>4584</v>
      </c>
      <c r="B421" s="491"/>
      <c r="C421" s="279" t="s">
        <v>1186</v>
      </c>
      <c r="D421" s="366" t="s">
        <v>2804</v>
      </c>
      <c r="E421" s="280" t="s">
        <v>4859</v>
      </c>
      <c r="F421" s="405"/>
      <c r="G421" s="405">
        <v>2022</v>
      </c>
      <c r="H421" s="405">
        <v>5</v>
      </c>
      <c r="I421" s="405"/>
      <c r="J421" s="406"/>
      <c r="K421" s="504" t="s">
        <v>2873</v>
      </c>
      <c r="L421" s="505" t="s">
        <v>1112</v>
      </c>
      <c r="M421" s="406">
        <v>44564</v>
      </c>
      <c r="N421" s="406">
        <v>44641</v>
      </c>
      <c r="O421" s="406"/>
      <c r="P421" s="406">
        <v>44690</v>
      </c>
      <c r="Q421" s="406"/>
      <c r="R421" s="406"/>
      <c r="S421" s="405" t="s">
        <v>1098</v>
      </c>
      <c r="T421" s="405">
        <v>60</v>
      </c>
      <c r="U421" s="405" t="s">
        <v>1237</v>
      </c>
      <c r="V421" s="405" t="s">
        <v>973</v>
      </c>
      <c r="W421" s="407">
        <v>400</v>
      </c>
      <c r="X421" s="371">
        <v>832</v>
      </c>
      <c r="Y421" s="408">
        <f t="shared" ref="Y421" si="102">W421*X421</f>
        <v>332800</v>
      </c>
      <c r="Z421" s="409">
        <v>0.55000000000000004</v>
      </c>
      <c r="AA421" s="410">
        <f t="shared" ref="AA421" si="103">Y421*Z421</f>
        <v>183040.00000000003</v>
      </c>
      <c r="AB421" s="411"/>
      <c r="AC421" s="412"/>
      <c r="AD421" s="421"/>
      <c r="AE421" s="413"/>
      <c r="AF421" s="424">
        <v>183040.00000000003</v>
      </c>
      <c r="AG421" s="405" t="s">
        <v>47</v>
      </c>
      <c r="AH421" s="405"/>
      <c r="AI421" s="405">
        <v>45</v>
      </c>
      <c r="AJ421" s="405" t="s">
        <v>1127</v>
      </c>
      <c r="AK421" s="405" t="s">
        <v>1081</v>
      </c>
      <c r="AL421" s="425">
        <v>33069</v>
      </c>
      <c r="AM421" s="405" t="s">
        <v>52</v>
      </c>
      <c r="AN421" s="405" t="s">
        <v>50</v>
      </c>
      <c r="AO421" s="405"/>
      <c r="AP421" s="413" t="s">
        <v>38</v>
      </c>
      <c r="AQ421" s="413" t="s">
        <v>37</v>
      </c>
      <c r="AR421" s="405"/>
      <c r="AS421" s="386"/>
      <c r="AT421" s="281"/>
      <c r="AU421" s="403"/>
      <c r="AV421" s="402" t="str">
        <f t="shared" si="98"/>
        <v>30390456H</v>
      </c>
      <c r="AW421" s="402" cm="1">
        <f t="array" ref="AW421">SUM(MID(0&amp;AV421,LARGE(INDEX(ISNUMBER(--MID(AV421,ROW($1:$8),1))*ROW($1:$8),),ROW($1:$8))+1,1)*10^ROW($1:$8)/10)</f>
        <v>30390456</v>
      </c>
      <c r="AX421" s="402" t="str">
        <f>VLOOKUP($AW421,'Item Master Data'!$A:$F,3,FALSE)</f>
        <v>Q.PEAK DUO BLK ML G10+</v>
      </c>
      <c r="AY421" s="402">
        <f>VLOOKUP($AW421,'Item Master Data'!$A:$F,6,FALSE)</f>
        <v>400</v>
      </c>
      <c r="AZ421" s="402">
        <f t="shared" si="99"/>
        <v>26</v>
      </c>
      <c r="BA421" s="402">
        <f>VLOOKUP(AW421,'Item Master Data'!$A:$G,7,FALSE)</f>
        <v>32</v>
      </c>
      <c r="BB421" s="402"/>
      <c r="BC421" s="402">
        <f t="shared" si="100"/>
        <v>0</v>
      </c>
    </row>
    <row r="422" spans="1:55">
      <c r="A422" s="278" t="s">
        <v>4584</v>
      </c>
      <c r="B422" s="491"/>
      <c r="C422" s="279"/>
      <c r="D422" s="366" t="s">
        <v>2804</v>
      </c>
      <c r="E422" s="280" t="s">
        <v>4857</v>
      </c>
      <c r="F422" s="405" t="s">
        <v>1139</v>
      </c>
      <c r="G422" s="405">
        <v>2022</v>
      </c>
      <c r="H422" s="405">
        <v>5</v>
      </c>
      <c r="I422" s="405"/>
      <c r="J422" s="406"/>
      <c r="K422" s="405" t="s">
        <v>2856</v>
      </c>
      <c r="L422" s="406" t="s">
        <v>1288</v>
      </c>
      <c r="M422" s="406">
        <v>44504</v>
      </c>
      <c r="N422" s="406">
        <v>44652</v>
      </c>
      <c r="O422" s="406"/>
      <c r="P422" s="406">
        <v>44692</v>
      </c>
      <c r="Q422" s="406"/>
      <c r="R422" s="406"/>
      <c r="S422" s="405" t="s">
        <v>1098</v>
      </c>
      <c r="T422" s="405">
        <v>60</v>
      </c>
      <c r="U422" s="405">
        <v>49203132</v>
      </c>
      <c r="V422" s="405" t="s">
        <v>986</v>
      </c>
      <c r="W422" s="407">
        <v>360</v>
      </c>
      <c r="X422" s="371">
        <v>2496</v>
      </c>
      <c r="Y422" s="408">
        <f>W422*X422</f>
        <v>898560</v>
      </c>
      <c r="Z422" s="409">
        <v>0.53</v>
      </c>
      <c r="AA422" s="410">
        <f>Y422*Z422</f>
        <v>476236.80000000005</v>
      </c>
      <c r="AB422" s="411"/>
      <c r="AC422" s="412">
        <v>0</v>
      </c>
      <c r="AD422" s="421"/>
      <c r="AE422" s="413"/>
      <c r="AF422" s="424">
        <f>AE422+AD422+AA422</f>
        <v>476236.80000000005</v>
      </c>
      <c r="AG422" s="405" t="s">
        <v>1069</v>
      </c>
      <c r="AH422" s="405"/>
      <c r="AI422" s="405">
        <v>60</v>
      </c>
      <c r="AJ422" s="405" t="s">
        <v>1289</v>
      </c>
      <c r="AK422" s="405" t="s">
        <v>1082</v>
      </c>
      <c r="AL422" s="425">
        <v>8110</v>
      </c>
      <c r="AM422" s="405" t="s">
        <v>52</v>
      </c>
      <c r="AN422" s="405" t="s">
        <v>1101</v>
      </c>
      <c r="AO422" s="405"/>
      <c r="AP422" s="413"/>
      <c r="AQ422" s="413"/>
      <c r="AR422" s="405"/>
      <c r="AS422" s="386"/>
      <c r="AT422" s="281" t="s">
        <v>1073</v>
      </c>
      <c r="AU422" s="403"/>
      <c r="AV422" s="402">
        <f t="shared" si="98"/>
        <v>49203132</v>
      </c>
      <c r="AW422" s="402" cm="1">
        <f t="array" ref="AW422">SUM(MID(0&amp;AV422,LARGE(INDEX(ISNUMBER(--MID(AV422,ROW($1:$8),1))*ROW($1:$8),),ROW($1:$8))+1,1)*10^ROW($1:$8)/10)</f>
        <v>49203132</v>
      </c>
      <c r="AX422" s="402" t="str">
        <f>VLOOKUP($AW422,'Item Master Data'!$A:$F,3,FALSE)</f>
        <v>Q.PEAK DUO BLK G10+</v>
      </c>
      <c r="AY422" s="402">
        <f>VLOOKUP($AW422,'Item Master Data'!$A:$F,6,FALSE)</f>
        <v>360</v>
      </c>
      <c r="AZ422" s="402">
        <f t="shared" si="99"/>
        <v>78</v>
      </c>
      <c r="BA422" s="402">
        <f>VLOOKUP(AW422,'Item Master Data'!$A:$G,7,FALSE)</f>
        <v>32</v>
      </c>
      <c r="BB422" s="402"/>
      <c r="BC422" s="402">
        <f t="shared" si="100"/>
        <v>0</v>
      </c>
    </row>
    <row r="423" spans="1:55">
      <c r="A423" s="278" t="s">
        <v>4584</v>
      </c>
      <c r="B423" s="491"/>
      <c r="C423" s="279" t="s">
        <v>1186</v>
      </c>
      <c r="D423" s="366" t="s">
        <v>2804</v>
      </c>
      <c r="E423" s="280" t="s">
        <v>4859</v>
      </c>
      <c r="F423" s="405"/>
      <c r="G423" s="405">
        <v>2022</v>
      </c>
      <c r="H423" s="405">
        <v>5</v>
      </c>
      <c r="I423" s="405"/>
      <c r="J423" s="406"/>
      <c r="K423" s="504" t="s">
        <v>2877</v>
      </c>
      <c r="L423" s="505" t="s">
        <v>1112</v>
      </c>
      <c r="M423" s="406">
        <v>44564</v>
      </c>
      <c r="N423" s="406">
        <v>44657</v>
      </c>
      <c r="O423" s="406"/>
      <c r="P423" s="406">
        <v>44690</v>
      </c>
      <c r="Q423" s="406"/>
      <c r="R423" s="406">
        <v>44697</v>
      </c>
      <c r="S423" s="405" t="s">
        <v>1098</v>
      </c>
      <c r="T423" s="405">
        <v>60</v>
      </c>
      <c r="U423" s="405" t="s">
        <v>1237</v>
      </c>
      <c r="V423" s="405" t="s">
        <v>973</v>
      </c>
      <c r="W423" s="407">
        <v>400</v>
      </c>
      <c r="X423" s="371">
        <v>832</v>
      </c>
      <c r="Y423" s="408">
        <f>W423*X423</f>
        <v>332800</v>
      </c>
      <c r="Z423" s="409">
        <v>0.55000000000000004</v>
      </c>
      <c r="AA423" s="410">
        <f>Y423*Z423</f>
        <v>183040.00000000003</v>
      </c>
      <c r="AB423" s="411"/>
      <c r="AC423" s="412"/>
      <c r="AD423" s="421"/>
      <c r="AE423" s="413"/>
      <c r="AF423" s="424">
        <v>183040.00000000003</v>
      </c>
      <c r="AG423" s="405" t="s">
        <v>47</v>
      </c>
      <c r="AH423" s="405"/>
      <c r="AI423" s="405">
        <v>45</v>
      </c>
      <c r="AJ423" s="405" t="s">
        <v>1113</v>
      </c>
      <c r="AK423" s="405" t="s">
        <v>1110</v>
      </c>
      <c r="AL423" s="425">
        <v>60433</v>
      </c>
      <c r="AM423" s="405" t="s">
        <v>52</v>
      </c>
      <c r="AN423" s="405" t="s">
        <v>50</v>
      </c>
      <c r="AO423" s="405"/>
      <c r="AP423" s="413" t="s">
        <v>38</v>
      </c>
      <c r="AQ423" s="413" t="s">
        <v>37</v>
      </c>
      <c r="AR423" s="405"/>
      <c r="AS423" s="386"/>
      <c r="AT423" s="281"/>
      <c r="AU423" s="403"/>
      <c r="AV423" s="402" t="str">
        <f t="shared" si="98"/>
        <v>30390456H</v>
      </c>
      <c r="AW423" s="402" cm="1">
        <f t="array" ref="AW423">SUM(MID(0&amp;AV423,LARGE(INDEX(ISNUMBER(--MID(AV423,ROW($1:$8),1))*ROW($1:$8),),ROW($1:$8))+1,1)*10^ROW($1:$8)/10)</f>
        <v>30390456</v>
      </c>
      <c r="AX423" s="402" t="str">
        <f>VLOOKUP($AW423,'Item Master Data'!$A:$F,3,FALSE)</f>
        <v>Q.PEAK DUO BLK ML G10+</v>
      </c>
      <c r="AY423" s="402">
        <f>VLOOKUP($AW423,'Item Master Data'!$A:$F,6,FALSE)</f>
        <v>400</v>
      </c>
      <c r="AZ423" s="402">
        <f t="shared" si="99"/>
        <v>26</v>
      </c>
      <c r="BA423" s="402">
        <f>VLOOKUP(AW423,'Item Master Data'!$A:$G,7,FALSE)</f>
        <v>32</v>
      </c>
      <c r="BB423" s="402"/>
      <c r="BC423" s="402">
        <f t="shared" si="100"/>
        <v>0</v>
      </c>
    </row>
    <row r="424" spans="1:55">
      <c r="A424" s="278"/>
      <c r="B424" s="279"/>
      <c r="C424" s="279"/>
      <c r="D424" s="366" t="s">
        <v>2804</v>
      </c>
      <c r="E424" s="280" t="s">
        <v>2828</v>
      </c>
      <c r="F424" s="405"/>
      <c r="G424" s="405">
        <v>2022</v>
      </c>
      <c r="H424" s="405">
        <v>5</v>
      </c>
      <c r="I424" s="416">
        <v>2005135</v>
      </c>
      <c r="J424" s="406"/>
      <c r="K424" s="405" t="s">
        <v>2829</v>
      </c>
      <c r="L424" s="405" t="s">
        <v>1085</v>
      </c>
      <c r="M424" s="406">
        <v>44505</v>
      </c>
      <c r="N424" s="406">
        <v>44652</v>
      </c>
      <c r="O424" s="406"/>
      <c r="P424" s="406" t="s">
        <v>4890</v>
      </c>
      <c r="Q424" s="406"/>
      <c r="R424" s="406"/>
      <c r="S424" s="405" t="s">
        <v>1098</v>
      </c>
      <c r="T424" s="405">
        <v>60</v>
      </c>
      <c r="U424" s="405">
        <v>49201132</v>
      </c>
      <c r="V424" s="405" t="s">
        <v>986</v>
      </c>
      <c r="W424" s="407">
        <v>360</v>
      </c>
      <c r="X424" s="371">
        <v>768</v>
      </c>
      <c r="Y424" s="422">
        <f>W424*X424</f>
        <v>276480</v>
      </c>
      <c r="Z424" s="409">
        <v>0.55000000000000004</v>
      </c>
      <c r="AA424" s="410">
        <f>Y424*Z424</f>
        <v>152064</v>
      </c>
      <c r="AB424" s="411"/>
      <c r="AC424" s="412">
        <v>0</v>
      </c>
      <c r="AD424" s="421"/>
      <c r="AE424" s="413"/>
      <c r="AF424" s="424">
        <f>AE424+AD424+AA424</f>
        <v>152064</v>
      </c>
      <c r="AG424" s="405" t="s">
        <v>1069</v>
      </c>
      <c r="AH424" s="405"/>
      <c r="AI424" s="405">
        <v>30</v>
      </c>
      <c r="AJ424" s="405" t="s">
        <v>1091</v>
      </c>
      <c r="AK424" s="405" t="s">
        <v>1092</v>
      </c>
      <c r="AL424" s="425">
        <v>1719</v>
      </c>
      <c r="AM424" s="405" t="s">
        <v>52</v>
      </c>
      <c r="AN424" s="405" t="s">
        <v>1071</v>
      </c>
      <c r="AO424" s="405"/>
      <c r="AP424" s="413"/>
      <c r="AQ424" s="413" t="s">
        <v>37</v>
      </c>
      <c r="AR424" s="405"/>
      <c r="AS424" s="281"/>
      <c r="AT424" s="386"/>
      <c r="AU424" s="403"/>
      <c r="AV424" s="402">
        <f t="shared" si="98"/>
        <v>49201132</v>
      </c>
      <c r="AW424" s="402" cm="1">
        <f t="array" ref="AW424">SUM(MID(0&amp;AV424,LARGE(INDEX(ISNUMBER(--MID(AV424,ROW($1:$8),1))*ROW($1:$8),),ROW($1:$8))+1,1)*10^ROW($1:$8)/10)</f>
        <v>49201132</v>
      </c>
      <c r="AX424" s="402" t="str">
        <f>VLOOKUP($AW424,'Item Master Data'!$A:$F,3,FALSE)</f>
        <v>Q.PEAK DUO BLK G10+</v>
      </c>
      <c r="AY424" s="402">
        <f>VLOOKUP($AW424,'Item Master Data'!$A:$F,6,FALSE)</f>
        <v>360</v>
      </c>
      <c r="AZ424" s="402">
        <f t="shared" si="99"/>
        <v>24</v>
      </c>
      <c r="BA424" s="402">
        <f>VLOOKUP(AW424,'Item Master Data'!$A:$G,7,FALSE)</f>
        <v>32</v>
      </c>
      <c r="BB424" s="402"/>
      <c r="BC424" s="402">
        <f t="shared" si="100"/>
        <v>0</v>
      </c>
    </row>
    <row r="425" spans="1:55">
      <c r="A425" s="278"/>
      <c r="B425" s="279"/>
      <c r="C425" s="279"/>
      <c r="D425" s="366" t="s">
        <v>2804</v>
      </c>
      <c r="E425" s="280" t="s">
        <v>2831</v>
      </c>
      <c r="F425" s="405"/>
      <c r="G425" s="405">
        <v>2022</v>
      </c>
      <c r="H425" s="405">
        <v>5</v>
      </c>
      <c r="I425" s="416">
        <v>2005137</v>
      </c>
      <c r="J425" s="406"/>
      <c r="K425" s="405" t="s">
        <v>2832</v>
      </c>
      <c r="L425" s="405" t="s">
        <v>1085</v>
      </c>
      <c r="M425" s="406">
        <v>44505</v>
      </c>
      <c r="N425" s="406">
        <v>44652</v>
      </c>
      <c r="O425" s="406"/>
      <c r="P425" s="406" t="s">
        <v>4890</v>
      </c>
      <c r="Q425" s="406"/>
      <c r="R425" s="406"/>
      <c r="S425" s="405" t="s">
        <v>1098</v>
      </c>
      <c r="T425" s="405">
        <v>60</v>
      </c>
      <c r="U425" s="405">
        <v>49201132</v>
      </c>
      <c r="V425" s="405" t="s">
        <v>986</v>
      </c>
      <c r="W425" s="407">
        <v>360</v>
      </c>
      <c r="X425" s="371">
        <v>768</v>
      </c>
      <c r="Y425" s="422">
        <f>W425*X425</f>
        <v>276480</v>
      </c>
      <c r="Z425" s="409">
        <v>0.55000000000000004</v>
      </c>
      <c r="AA425" s="410">
        <f>Y425*Z425</f>
        <v>152064</v>
      </c>
      <c r="AB425" s="411"/>
      <c r="AC425" s="412">
        <v>0</v>
      </c>
      <c r="AD425" s="421"/>
      <c r="AE425" s="413"/>
      <c r="AF425" s="424">
        <f>AE425+AD425+AA425</f>
        <v>152064</v>
      </c>
      <c r="AG425" s="405" t="s">
        <v>1069</v>
      </c>
      <c r="AH425" s="405"/>
      <c r="AI425" s="405">
        <v>30</v>
      </c>
      <c r="AJ425" s="405" t="s">
        <v>1086</v>
      </c>
      <c r="AK425" s="405" t="s">
        <v>50</v>
      </c>
      <c r="AL425" s="425">
        <v>95482</v>
      </c>
      <c r="AM425" s="405" t="s">
        <v>52</v>
      </c>
      <c r="AN425" s="405" t="s">
        <v>1071</v>
      </c>
      <c r="AO425" s="405"/>
      <c r="AP425" s="413"/>
      <c r="AQ425" s="413" t="s">
        <v>37</v>
      </c>
      <c r="AR425" s="405"/>
      <c r="AS425" s="281"/>
      <c r="AT425" s="386"/>
      <c r="AU425" s="403"/>
      <c r="AV425" s="402">
        <f t="shared" si="98"/>
        <v>49201132</v>
      </c>
      <c r="AW425" s="402" cm="1">
        <f t="array" ref="AW425">SUM(MID(0&amp;AV425,LARGE(INDEX(ISNUMBER(--MID(AV425,ROW($1:$8),1))*ROW($1:$8),),ROW($1:$8))+1,1)*10^ROW($1:$8)/10)</f>
        <v>49201132</v>
      </c>
      <c r="AX425" s="402" t="str">
        <f>VLOOKUP($AW425,'Item Master Data'!$A:$F,3,FALSE)</f>
        <v>Q.PEAK DUO BLK G10+</v>
      </c>
      <c r="AY425" s="402">
        <f>VLOOKUP($AW425,'Item Master Data'!$A:$F,6,FALSE)</f>
        <v>360</v>
      </c>
      <c r="AZ425" s="402">
        <f t="shared" si="99"/>
        <v>24</v>
      </c>
      <c r="BA425" s="402">
        <f>VLOOKUP(AW425,'Item Master Data'!$A:$G,7,FALSE)</f>
        <v>32</v>
      </c>
      <c r="BB425" s="402"/>
      <c r="BC425" s="402">
        <f t="shared" si="100"/>
        <v>0</v>
      </c>
    </row>
    <row r="426" spans="1:55">
      <c r="A426" s="278"/>
      <c r="B426" s="279"/>
      <c r="C426" s="279"/>
      <c r="D426" s="366" t="s">
        <v>2804</v>
      </c>
      <c r="E426" s="280" t="s">
        <v>2871</v>
      </c>
      <c r="F426" s="405"/>
      <c r="G426" s="405">
        <v>2022</v>
      </c>
      <c r="H426" s="405">
        <v>5</v>
      </c>
      <c r="I426" s="416">
        <v>2005138</v>
      </c>
      <c r="J426" s="406"/>
      <c r="K426" s="405" t="s">
        <v>2872</v>
      </c>
      <c r="L426" s="405" t="s">
        <v>1085</v>
      </c>
      <c r="M426" s="406">
        <v>44505</v>
      </c>
      <c r="N426" s="406">
        <v>44682</v>
      </c>
      <c r="O426" s="406"/>
      <c r="P426" s="406" t="s">
        <v>4890</v>
      </c>
      <c r="Q426" s="406"/>
      <c r="R426" s="406"/>
      <c r="S426" s="405" t="s">
        <v>1098</v>
      </c>
      <c r="T426" s="405">
        <v>60</v>
      </c>
      <c r="U426" s="405">
        <v>49201132</v>
      </c>
      <c r="V426" s="405" t="s">
        <v>986</v>
      </c>
      <c r="W426" s="407">
        <v>360</v>
      </c>
      <c r="X426" s="371">
        <v>1536</v>
      </c>
      <c r="Y426" s="422">
        <f>W426*X426</f>
        <v>552960</v>
      </c>
      <c r="Z426" s="409">
        <v>0.55000000000000004</v>
      </c>
      <c r="AA426" s="410">
        <f>Y426*Z426</f>
        <v>304128</v>
      </c>
      <c r="AB426" s="411"/>
      <c r="AC426" s="412">
        <v>0</v>
      </c>
      <c r="AD426" s="421"/>
      <c r="AE426" s="413"/>
      <c r="AF426" s="424">
        <f>AE426+AD426+AA426</f>
        <v>304128</v>
      </c>
      <c r="AG426" s="405" t="s">
        <v>1069</v>
      </c>
      <c r="AH426" s="405"/>
      <c r="AI426" s="405">
        <v>30</v>
      </c>
      <c r="AJ426" s="405" t="s">
        <v>1091</v>
      </c>
      <c r="AK426" s="405" t="s">
        <v>1092</v>
      </c>
      <c r="AL426" s="425">
        <v>1719</v>
      </c>
      <c r="AM426" s="405" t="s">
        <v>52</v>
      </c>
      <c r="AN426" s="405" t="s">
        <v>1071</v>
      </c>
      <c r="AO426" s="405"/>
      <c r="AP426" s="413"/>
      <c r="AQ426" s="413" t="s">
        <v>37</v>
      </c>
      <c r="AR426" s="405"/>
      <c r="AS426" s="281"/>
      <c r="AT426" s="386"/>
      <c r="AU426" s="403"/>
      <c r="AV426" s="402">
        <f t="shared" si="98"/>
        <v>49201132</v>
      </c>
      <c r="AW426" s="402" cm="1">
        <f t="array" ref="AW426">SUM(MID(0&amp;AV426,LARGE(INDEX(ISNUMBER(--MID(AV426,ROW($1:$8),1))*ROW($1:$8),),ROW($1:$8))+1,1)*10^ROW($1:$8)/10)</f>
        <v>49201132</v>
      </c>
      <c r="AX426" s="402" t="str">
        <f>VLOOKUP($AW426,'Item Master Data'!$A:$F,3,FALSE)</f>
        <v>Q.PEAK DUO BLK G10+</v>
      </c>
      <c r="AY426" s="402">
        <f>VLOOKUP($AW426,'Item Master Data'!$A:$F,6,FALSE)</f>
        <v>360</v>
      </c>
      <c r="AZ426" s="402">
        <f t="shared" si="99"/>
        <v>48</v>
      </c>
      <c r="BA426" s="402">
        <f>VLOOKUP(AW426,'Item Master Data'!$A:$G,7,FALSE)</f>
        <v>32</v>
      </c>
      <c r="BB426" s="402"/>
      <c r="BC426" s="402">
        <f t="shared" si="100"/>
        <v>0</v>
      </c>
    </row>
    <row r="427" spans="1:55">
      <c r="A427" s="278" t="s">
        <v>4584</v>
      </c>
      <c r="B427" s="491"/>
      <c r="C427" s="279" t="s">
        <v>1186</v>
      </c>
      <c r="D427" s="366" t="s">
        <v>2804</v>
      </c>
      <c r="E427" s="280" t="s">
        <v>4858</v>
      </c>
      <c r="F427" s="405"/>
      <c r="G427" s="405">
        <v>2022</v>
      </c>
      <c r="H427" s="405">
        <v>5</v>
      </c>
      <c r="I427" s="405"/>
      <c r="J427" s="406"/>
      <c r="K427" s="504" t="s">
        <v>2833</v>
      </c>
      <c r="L427" s="505" t="s">
        <v>1112</v>
      </c>
      <c r="M427" s="406">
        <v>44564</v>
      </c>
      <c r="N427" s="406">
        <v>44641</v>
      </c>
      <c r="O427" s="406"/>
      <c r="P427" s="406" t="s">
        <v>4691</v>
      </c>
      <c r="Q427" s="406"/>
      <c r="R427" s="406"/>
      <c r="S427" s="405" t="s">
        <v>1098</v>
      </c>
      <c r="T427" s="405">
        <v>60</v>
      </c>
      <c r="U427" s="405">
        <v>49203132</v>
      </c>
      <c r="V427" s="405" t="s">
        <v>986</v>
      </c>
      <c r="W427" s="407">
        <v>360</v>
      </c>
      <c r="X427" s="371">
        <v>768</v>
      </c>
      <c r="Y427" s="408">
        <f>W427*X427</f>
        <v>276480</v>
      </c>
      <c r="Z427" s="409">
        <v>0.51</v>
      </c>
      <c r="AA427" s="410">
        <f>Y427*Z427</f>
        <v>141004.79999999999</v>
      </c>
      <c r="AB427" s="411"/>
      <c r="AC427" s="412">
        <f>AB427*Y427</f>
        <v>0</v>
      </c>
      <c r="AD427" s="421"/>
      <c r="AE427" s="413"/>
      <c r="AF427" s="424">
        <f>AE427+AD427+AA427</f>
        <v>141004.79999999999</v>
      </c>
      <c r="AG427" s="405" t="s">
        <v>47</v>
      </c>
      <c r="AH427" s="405"/>
      <c r="AI427" s="405">
        <v>45</v>
      </c>
      <c r="AJ427" s="405" t="s">
        <v>1116</v>
      </c>
      <c r="AK427" s="405" t="s">
        <v>1117</v>
      </c>
      <c r="AL427" s="425">
        <v>55122</v>
      </c>
      <c r="AM427" s="405" t="s">
        <v>52</v>
      </c>
      <c r="AN427" s="405" t="s">
        <v>1101</v>
      </c>
      <c r="AO427" s="405"/>
      <c r="AP427" s="413"/>
      <c r="AQ427" s="413" t="s">
        <v>37</v>
      </c>
      <c r="AR427" s="405"/>
      <c r="AS427" s="386"/>
      <c r="AT427" s="281"/>
      <c r="AU427" s="403"/>
      <c r="AV427" s="402">
        <f t="shared" si="98"/>
        <v>49203132</v>
      </c>
      <c r="AW427" s="402" cm="1">
        <f t="array" ref="AW427">SUM(MID(0&amp;AV427,LARGE(INDEX(ISNUMBER(--MID(AV427,ROW($1:$8),1))*ROW($1:$8),),ROW($1:$8))+1,1)*10^ROW($1:$8)/10)</f>
        <v>49203132</v>
      </c>
      <c r="AX427" s="402" t="str">
        <f>VLOOKUP($AW427,'Item Master Data'!$A:$F,3,FALSE)</f>
        <v>Q.PEAK DUO BLK G10+</v>
      </c>
      <c r="AY427" s="402">
        <f>VLOOKUP($AW427,'Item Master Data'!$A:$F,6,FALSE)</f>
        <v>360</v>
      </c>
      <c r="AZ427" s="402">
        <f t="shared" si="99"/>
        <v>24</v>
      </c>
      <c r="BA427" s="402">
        <f>VLOOKUP(AW427,'Item Master Data'!$A:$G,7,FALSE)</f>
        <v>32</v>
      </c>
      <c r="BB427" s="402"/>
      <c r="BC427" s="402">
        <f t="shared" si="100"/>
        <v>0</v>
      </c>
    </row>
    <row r="428" spans="1:55">
      <c r="A428" s="278" t="s">
        <v>4584</v>
      </c>
      <c r="B428" s="491"/>
      <c r="C428" s="279" t="s">
        <v>1186</v>
      </c>
      <c r="D428" s="366" t="s">
        <v>2804</v>
      </c>
      <c r="E428" s="280" t="s">
        <v>4859</v>
      </c>
      <c r="F428" s="405"/>
      <c r="G428" s="405">
        <v>2022</v>
      </c>
      <c r="H428" s="405">
        <v>5</v>
      </c>
      <c r="I428" s="405"/>
      <c r="J428" s="406"/>
      <c r="K428" s="504" t="s">
        <v>2878</v>
      </c>
      <c r="L428" s="505" t="s">
        <v>1112</v>
      </c>
      <c r="M428" s="406">
        <v>44565</v>
      </c>
      <c r="N428" s="406">
        <v>44657</v>
      </c>
      <c r="O428" s="406"/>
      <c r="P428" s="406">
        <v>44690</v>
      </c>
      <c r="Q428" s="406"/>
      <c r="R428" s="406"/>
      <c r="S428" s="405" t="s">
        <v>1098</v>
      </c>
      <c r="T428" s="405">
        <v>60</v>
      </c>
      <c r="U428" s="405" t="s">
        <v>1237</v>
      </c>
      <c r="V428" s="405" t="s">
        <v>973</v>
      </c>
      <c r="W428" s="407">
        <v>400</v>
      </c>
      <c r="X428" s="371">
        <v>832</v>
      </c>
      <c r="Y428" s="408">
        <f>W428*X428</f>
        <v>332800</v>
      </c>
      <c r="Z428" s="409">
        <v>0.55000000000000004</v>
      </c>
      <c r="AA428" s="410">
        <f>Y428*Z428</f>
        <v>183040.00000000003</v>
      </c>
      <c r="AB428" s="411"/>
      <c r="AC428" s="412"/>
      <c r="AD428" s="421"/>
      <c r="AE428" s="413"/>
      <c r="AF428" s="424">
        <v>183040.00000000003</v>
      </c>
      <c r="AG428" s="405" t="s">
        <v>47</v>
      </c>
      <c r="AH428" s="405"/>
      <c r="AI428" s="405">
        <v>45</v>
      </c>
      <c r="AJ428" s="405" t="s">
        <v>1607</v>
      </c>
      <c r="AK428" s="405" t="s">
        <v>50</v>
      </c>
      <c r="AL428" s="425">
        <v>91304</v>
      </c>
      <c r="AM428" s="405" t="s">
        <v>52</v>
      </c>
      <c r="AN428" s="405" t="s">
        <v>50</v>
      </c>
      <c r="AO428" s="405"/>
      <c r="AP428" s="413" t="s">
        <v>38</v>
      </c>
      <c r="AQ428" s="413" t="s">
        <v>37</v>
      </c>
      <c r="AR428" s="405"/>
      <c r="AS428" s="386"/>
      <c r="AT428" s="281"/>
      <c r="AU428" s="403"/>
      <c r="AV428" s="402" t="str">
        <f t="shared" si="98"/>
        <v>30390456H</v>
      </c>
      <c r="AW428" s="402" cm="1">
        <f t="array" ref="AW428">SUM(MID(0&amp;AV428,LARGE(INDEX(ISNUMBER(--MID(AV428,ROW($1:$8),1))*ROW($1:$8),),ROW($1:$8))+1,1)*10^ROW($1:$8)/10)</f>
        <v>30390456</v>
      </c>
      <c r="AX428" s="402" t="str">
        <f>VLOOKUP($AW428,'Item Master Data'!$A:$F,3,FALSE)</f>
        <v>Q.PEAK DUO BLK ML G10+</v>
      </c>
      <c r="AY428" s="402">
        <f>VLOOKUP($AW428,'Item Master Data'!$A:$F,6,FALSE)</f>
        <v>400</v>
      </c>
      <c r="AZ428" s="402">
        <f t="shared" si="99"/>
        <v>26</v>
      </c>
      <c r="BA428" s="402">
        <f>VLOOKUP(AW428,'Item Master Data'!$A:$G,7,FALSE)</f>
        <v>32</v>
      </c>
      <c r="BB428" s="402"/>
      <c r="BC428" s="402">
        <f t="shared" si="100"/>
        <v>0</v>
      </c>
    </row>
    <row r="429" spans="1:55">
      <c r="A429" s="278" t="s">
        <v>4585</v>
      </c>
      <c r="B429" s="491"/>
      <c r="C429" s="279" t="s">
        <v>1186</v>
      </c>
      <c r="D429" s="366" t="s">
        <v>2804</v>
      </c>
      <c r="E429" s="280" t="s">
        <v>4860</v>
      </c>
      <c r="F429" s="405"/>
      <c r="G429" s="405">
        <v>2022</v>
      </c>
      <c r="H429" s="405">
        <v>5</v>
      </c>
      <c r="I429" s="405"/>
      <c r="J429" s="406"/>
      <c r="K429" s="506" t="s">
        <v>2882</v>
      </c>
      <c r="L429" s="507" t="s">
        <v>1112</v>
      </c>
      <c r="M429" s="406">
        <v>44575</v>
      </c>
      <c r="N429" s="406">
        <v>44636</v>
      </c>
      <c r="O429" s="406"/>
      <c r="P429" s="406" t="s">
        <v>4861</v>
      </c>
      <c r="Q429" s="406"/>
      <c r="R429" s="406"/>
      <c r="S429" s="405" t="s">
        <v>1098</v>
      </c>
      <c r="T429" s="405">
        <v>60</v>
      </c>
      <c r="U429" s="405">
        <v>49203132</v>
      </c>
      <c r="V429" s="405" t="s">
        <v>986</v>
      </c>
      <c r="W429" s="407">
        <v>360</v>
      </c>
      <c r="X429" s="371">
        <v>768</v>
      </c>
      <c r="Y429" s="408">
        <f>W429*X429</f>
        <v>276480</v>
      </c>
      <c r="Z429" s="409">
        <v>0.53</v>
      </c>
      <c r="AA429" s="410">
        <f>Y429*Z429</f>
        <v>146534.39999999999</v>
      </c>
      <c r="AB429" s="411"/>
      <c r="AC429" s="412"/>
      <c r="AD429" s="421"/>
      <c r="AE429" s="413"/>
      <c r="AF429" s="424">
        <f>AE429+AD429+AA429</f>
        <v>146534.39999999999</v>
      </c>
      <c r="AG429" s="405" t="s">
        <v>47</v>
      </c>
      <c r="AH429" s="405"/>
      <c r="AI429" s="405">
        <v>45</v>
      </c>
      <c r="AJ429" s="405" t="s">
        <v>1113</v>
      </c>
      <c r="AK429" s="405" t="s">
        <v>1110</v>
      </c>
      <c r="AL429" s="425">
        <v>60433</v>
      </c>
      <c r="AM429" s="405" t="s">
        <v>52</v>
      </c>
      <c r="AN429" s="405" t="s">
        <v>1101</v>
      </c>
      <c r="AO429" s="405"/>
      <c r="AP429" s="413"/>
      <c r="AQ429" s="413" t="s">
        <v>37</v>
      </c>
      <c r="AR429" s="405"/>
      <c r="AS429" s="386"/>
      <c r="AT429" s="281"/>
      <c r="AU429" s="403"/>
      <c r="AV429" s="402">
        <f t="shared" si="98"/>
        <v>49203132</v>
      </c>
      <c r="AW429" s="402" cm="1">
        <f t="array" ref="AW429">SUM(MID(0&amp;AV429,LARGE(INDEX(ISNUMBER(--MID(AV429,ROW($1:$8),1))*ROW($1:$8),),ROW($1:$8))+1,1)*10^ROW($1:$8)/10)</f>
        <v>49203132</v>
      </c>
      <c r="AX429" s="402" t="str">
        <f>VLOOKUP($AW429,'Item Master Data'!$A:$F,3,FALSE)</f>
        <v>Q.PEAK DUO BLK G10+</v>
      </c>
      <c r="AY429" s="402">
        <f>VLOOKUP($AW429,'Item Master Data'!$A:$F,6,FALSE)</f>
        <v>360</v>
      </c>
      <c r="AZ429" s="402">
        <f t="shared" si="99"/>
        <v>24</v>
      </c>
      <c r="BA429" s="402">
        <f>VLOOKUP(AW429,'Item Master Data'!$A:$G,7,FALSE)</f>
        <v>32</v>
      </c>
      <c r="BB429" s="402"/>
      <c r="BC429" s="402">
        <f t="shared" si="100"/>
        <v>0</v>
      </c>
    </row>
    <row r="430" spans="1:55">
      <c r="A430" s="278" t="s">
        <v>4585</v>
      </c>
      <c r="B430" s="491"/>
      <c r="C430" s="279" t="s">
        <v>1186</v>
      </c>
      <c r="D430" s="366" t="s">
        <v>2804</v>
      </c>
      <c r="E430" s="280" t="s">
        <v>4692</v>
      </c>
      <c r="F430" s="405"/>
      <c r="G430" s="405">
        <v>2022</v>
      </c>
      <c r="H430" s="405">
        <v>5</v>
      </c>
      <c r="I430" s="405"/>
      <c r="J430" s="406"/>
      <c r="K430" s="506" t="s">
        <v>2879</v>
      </c>
      <c r="L430" s="507" t="s">
        <v>1112</v>
      </c>
      <c r="M430" s="406">
        <v>44565</v>
      </c>
      <c r="N430" s="406">
        <v>44657</v>
      </c>
      <c r="O430" s="406"/>
      <c r="P430" s="406"/>
      <c r="Q430" s="406" t="s">
        <v>4598</v>
      </c>
      <c r="R430" s="406"/>
      <c r="S430" s="405" t="s">
        <v>1098</v>
      </c>
      <c r="T430" s="405">
        <v>60</v>
      </c>
      <c r="U430" s="405"/>
      <c r="V430" s="405" t="s">
        <v>973</v>
      </c>
      <c r="W430" s="407">
        <v>400</v>
      </c>
      <c r="X430" s="371">
        <v>832</v>
      </c>
      <c r="Y430" s="408">
        <f>W430*X430</f>
        <v>332800</v>
      </c>
      <c r="Z430" s="409">
        <v>0.64</v>
      </c>
      <c r="AA430" s="410">
        <f>Y430*Z430</f>
        <v>212992</v>
      </c>
      <c r="AB430" s="411"/>
      <c r="AC430" s="412"/>
      <c r="AD430" s="421"/>
      <c r="AE430" s="413"/>
      <c r="AF430" s="424">
        <v>183040.00000000003</v>
      </c>
      <c r="AG430" s="405" t="s">
        <v>47</v>
      </c>
      <c r="AH430" s="405"/>
      <c r="AI430" s="405">
        <v>45</v>
      </c>
      <c r="AJ430" s="405" t="s">
        <v>1129</v>
      </c>
      <c r="AK430" s="405" t="s">
        <v>1130</v>
      </c>
      <c r="AL430" s="425">
        <v>11416</v>
      </c>
      <c r="AM430" s="405" t="s">
        <v>52</v>
      </c>
      <c r="AN430" s="405"/>
      <c r="AO430" s="405"/>
      <c r="AP430" s="413"/>
      <c r="AQ430" s="413" t="s">
        <v>37</v>
      </c>
      <c r="AR430" s="405"/>
      <c r="AS430" s="386"/>
      <c r="AT430" s="281"/>
      <c r="AU430" s="403"/>
      <c r="AV430" s="402">
        <f t="shared" si="98"/>
        <v>0</v>
      </c>
      <c r="AW430" s="402" cm="1">
        <f t="array" ref="AW430">SUM(MID(0&amp;AV430,LARGE(INDEX(ISNUMBER(--MID(AV430,ROW($1:$8),1))*ROW($1:$8),),ROW($1:$8))+1,1)*10^ROW($1:$8)/10)</f>
        <v>0</v>
      </c>
      <c r="AX430" s="402" t="e">
        <f>VLOOKUP($AW430,'Item Master Data'!$A:$F,3,FALSE)</f>
        <v>#N/A</v>
      </c>
      <c r="AY430" s="402" t="e">
        <f>VLOOKUP($AW430,'Item Master Data'!$A:$F,6,FALSE)</f>
        <v>#N/A</v>
      </c>
      <c r="AZ430" s="402" t="e">
        <f t="shared" si="99"/>
        <v>#N/A</v>
      </c>
      <c r="BA430" s="402" t="e">
        <f>VLOOKUP(AW430,'Item Master Data'!$A:$G,7,FALSE)</f>
        <v>#N/A</v>
      </c>
      <c r="BB430" s="402"/>
      <c r="BC430" s="402" t="e">
        <f t="shared" si="100"/>
        <v>#N/A</v>
      </c>
    </row>
    <row r="431" spans="1:55">
      <c r="A431" s="278" t="s">
        <v>4585</v>
      </c>
      <c r="B431" s="491"/>
      <c r="C431" s="279" t="s">
        <v>1186</v>
      </c>
      <c r="D431" s="366" t="s">
        <v>2804</v>
      </c>
      <c r="E431" s="280" t="s">
        <v>4692</v>
      </c>
      <c r="F431" s="405"/>
      <c r="G431" s="405">
        <v>2022</v>
      </c>
      <c r="H431" s="405">
        <v>5</v>
      </c>
      <c r="I431" s="405"/>
      <c r="J431" s="406"/>
      <c r="K431" s="506" t="s">
        <v>2880</v>
      </c>
      <c r="L431" s="507" t="s">
        <v>1112</v>
      </c>
      <c r="M431" s="406">
        <v>44565</v>
      </c>
      <c r="N431" s="406">
        <v>44685</v>
      </c>
      <c r="O431" s="406"/>
      <c r="P431" s="406"/>
      <c r="Q431" s="406" t="s">
        <v>4598</v>
      </c>
      <c r="R431" s="406"/>
      <c r="S431" s="405" t="s">
        <v>1098</v>
      </c>
      <c r="T431" s="405">
        <v>60</v>
      </c>
      <c r="U431" s="405"/>
      <c r="V431" s="405" t="s">
        <v>973</v>
      </c>
      <c r="W431" s="407">
        <v>400</v>
      </c>
      <c r="X431" s="371">
        <v>832</v>
      </c>
      <c r="Y431" s="408">
        <f>W431*X431</f>
        <v>332800</v>
      </c>
      <c r="Z431" s="409">
        <v>0.64</v>
      </c>
      <c r="AA431" s="410">
        <f>Y431*Z431</f>
        <v>212992</v>
      </c>
      <c r="AB431" s="411"/>
      <c r="AC431" s="412"/>
      <c r="AD431" s="421"/>
      <c r="AE431" s="413"/>
      <c r="AF431" s="424">
        <v>183040.00000000003</v>
      </c>
      <c r="AG431" s="405" t="s">
        <v>47</v>
      </c>
      <c r="AH431" s="405"/>
      <c r="AI431" s="405">
        <v>45</v>
      </c>
      <c r="AJ431" s="405" t="s">
        <v>1607</v>
      </c>
      <c r="AK431" s="405" t="s">
        <v>50</v>
      </c>
      <c r="AL431" s="425">
        <v>91304</v>
      </c>
      <c r="AM431" s="405" t="s">
        <v>52</v>
      </c>
      <c r="AN431" s="405"/>
      <c r="AO431" s="405"/>
      <c r="AP431" s="413"/>
      <c r="AQ431" s="413" t="s">
        <v>37</v>
      </c>
      <c r="AR431" s="405"/>
      <c r="AS431" s="386"/>
      <c r="AT431" s="281"/>
      <c r="AU431" s="403"/>
      <c r="AV431" s="402">
        <f t="shared" si="98"/>
        <v>0</v>
      </c>
      <c r="AW431" s="402" cm="1">
        <f t="array" ref="AW431">SUM(MID(0&amp;AV431,LARGE(INDEX(ISNUMBER(--MID(AV431,ROW($1:$8),1))*ROW($1:$8),),ROW($1:$8))+1,1)*10^ROW($1:$8)/10)</f>
        <v>0</v>
      </c>
      <c r="AX431" s="402" t="e">
        <f>VLOOKUP($AW431,'Item Master Data'!$A:$F,3,FALSE)</f>
        <v>#N/A</v>
      </c>
      <c r="AY431" s="402" t="e">
        <f>VLOOKUP($AW431,'Item Master Data'!$A:$F,6,FALSE)</f>
        <v>#N/A</v>
      </c>
      <c r="AZ431" s="402" t="e">
        <f t="shared" si="99"/>
        <v>#N/A</v>
      </c>
      <c r="BA431" s="402" t="e">
        <f>VLOOKUP(AW431,'Item Master Data'!$A:$G,7,FALSE)</f>
        <v>#N/A</v>
      </c>
      <c r="BB431" s="402"/>
      <c r="BC431" s="402" t="e">
        <f t="shared" si="100"/>
        <v>#N/A</v>
      </c>
    </row>
    <row r="432" spans="1:55">
      <c r="A432" s="278" t="s">
        <v>4585</v>
      </c>
      <c r="B432" s="491"/>
      <c r="C432" s="279" t="s">
        <v>1186</v>
      </c>
      <c r="D432" s="366" t="s">
        <v>2804</v>
      </c>
      <c r="E432" s="280" t="s">
        <v>4692</v>
      </c>
      <c r="F432" s="405"/>
      <c r="G432" s="405">
        <v>2022</v>
      </c>
      <c r="H432" s="405">
        <v>5</v>
      </c>
      <c r="I432" s="405"/>
      <c r="J432" s="406"/>
      <c r="K432" s="506" t="s">
        <v>2881</v>
      </c>
      <c r="L432" s="507" t="s">
        <v>1112</v>
      </c>
      <c r="M432" s="406">
        <v>44565</v>
      </c>
      <c r="N432" s="406">
        <v>44685</v>
      </c>
      <c r="O432" s="406"/>
      <c r="P432" s="406"/>
      <c r="Q432" s="406" t="s">
        <v>4598</v>
      </c>
      <c r="R432" s="406"/>
      <c r="S432" s="405" t="s">
        <v>1098</v>
      </c>
      <c r="T432" s="405">
        <v>60</v>
      </c>
      <c r="U432" s="405"/>
      <c r="V432" s="405" t="s">
        <v>973</v>
      </c>
      <c r="W432" s="407">
        <v>400</v>
      </c>
      <c r="X432" s="371">
        <v>832</v>
      </c>
      <c r="Y432" s="408">
        <f>W432*X432</f>
        <v>332800</v>
      </c>
      <c r="Z432" s="409">
        <v>0.64</v>
      </c>
      <c r="AA432" s="410">
        <f>Y432*Z432</f>
        <v>212992</v>
      </c>
      <c r="AB432" s="411"/>
      <c r="AC432" s="412"/>
      <c r="AD432" s="421"/>
      <c r="AE432" s="413"/>
      <c r="AF432" s="424">
        <v>183040.00000000003</v>
      </c>
      <c r="AG432" s="405" t="s">
        <v>47</v>
      </c>
      <c r="AH432" s="405"/>
      <c r="AI432" s="405">
        <v>45</v>
      </c>
      <c r="AJ432" s="405" t="s">
        <v>1116</v>
      </c>
      <c r="AK432" s="405" t="s">
        <v>1117</v>
      </c>
      <c r="AL432" s="425">
        <v>55122</v>
      </c>
      <c r="AM432" s="405" t="s">
        <v>52</v>
      </c>
      <c r="AN432" s="405"/>
      <c r="AO432" s="405"/>
      <c r="AP432" s="413"/>
      <c r="AQ432" s="413" t="s">
        <v>37</v>
      </c>
      <c r="AR432" s="405"/>
      <c r="AS432" s="386"/>
      <c r="AT432" s="281"/>
      <c r="AU432" s="403"/>
      <c r="AV432" s="402">
        <f t="shared" si="98"/>
        <v>0</v>
      </c>
      <c r="AW432" s="402" cm="1">
        <f t="array" ref="AW432">SUM(MID(0&amp;AV432,LARGE(INDEX(ISNUMBER(--MID(AV432,ROW($1:$8),1))*ROW($1:$8),),ROW($1:$8))+1,1)*10^ROW($1:$8)/10)</f>
        <v>0</v>
      </c>
      <c r="AX432" s="402" t="e">
        <f>VLOOKUP($AW432,'Item Master Data'!$A:$F,3,FALSE)</f>
        <v>#N/A</v>
      </c>
      <c r="AY432" s="402" t="e">
        <f>VLOOKUP($AW432,'Item Master Data'!$A:$F,6,FALSE)</f>
        <v>#N/A</v>
      </c>
      <c r="AZ432" s="402" t="e">
        <f t="shared" si="99"/>
        <v>#N/A</v>
      </c>
      <c r="BA432" s="402" t="e">
        <f>VLOOKUP(AW432,'Item Master Data'!$A:$G,7,FALSE)</f>
        <v>#N/A</v>
      </c>
      <c r="BB432" s="402"/>
      <c r="BC432" s="402" t="e">
        <f t="shared" si="100"/>
        <v>#N/A</v>
      </c>
    </row>
    <row r="433" spans="1:55">
      <c r="A433" s="278"/>
      <c r="B433" s="491"/>
      <c r="C433" s="279"/>
      <c r="D433" s="366" t="s">
        <v>2804</v>
      </c>
      <c r="E433" s="280"/>
      <c r="F433" s="405"/>
      <c r="G433" s="405">
        <v>2022</v>
      </c>
      <c r="H433" s="405">
        <v>5</v>
      </c>
      <c r="I433" s="405"/>
      <c r="J433" s="406"/>
      <c r="K433" s="405">
        <v>1069</v>
      </c>
      <c r="L433" s="406" t="s">
        <v>2806</v>
      </c>
      <c r="M433" s="406"/>
      <c r="N433" s="406">
        <v>44551</v>
      </c>
      <c r="O433" s="406" t="s">
        <v>1460</v>
      </c>
      <c r="P433" s="406"/>
      <c r="Q433" s="406" t="s">
        <v>4373</v>
      </c>
      <c r="R433" s="406"/>
      <c r="S433" s="405" t="s">
        <v>1098</v>
      </c>
      <c r="T433" s="405">
        <v>60</v>
      </c>
      <c r="U433" s="405"/>
      <c r="V433" s="405" t="s">
        <v>973</v>
      </c>
      <c r="W433" s="407">
        <v>400</v>
      </c>
      <c r="X433" s="371">
        <v>768</v>
      </c>
      <c r="Y433" s="408">
        <f>W433*X433</f>
        <v>307200</v>
      </c>
      <c r="Z433" s="409">
        <v>0.48</v>
      </c>
      <c r="AA433" s="410">
        <f>Y433*Z433</f>
        <v>147456</v>
      </c>
      <c r="AB433" s="411"/>
      <c r="AC433" s="412">
        <f>AB433*Y433</f>
        <v>0</v>
      </c>
      <c r="AD433" s="421"/>
      <c r="AE433" s="413"/>
      <c r="AF433" s="424">
        <f>AE433+AD433+AA433</f>
        <v>147456</v>
      </c>
      <c r="AG433" s="405" t="s">
        <v>47</v>
      </c>
      <c r="AH433" s="405"/>
      <c r="AI433" s="405">
        <v>45</v>
      </c>
      <c r="AJ433" s="405" t="s">
        <v>1102</v>
      </c>
      <c r="AK433" s="405" t="s">
        <v>1102</v>
      </c>
      <c r="AL433" s="425" t="s">
        <v>2838</v>
      </c>
      <c r="AM433" s="405" t="s">
        <v>52</v>
      </c>
      <c r="AN433" s="405" t="s">
        <v>1071</v>
      </c>
      <c r="AO433" s="405"/>
      <c r="AP433" s="413"/>
      <c r="AQ433" s="413" t="s">
        <v>37</v>
      </c>
      <c r="AR433" s="405"/>
      <c r="AS433" s="386" t="s">
        <v>1073</v>
      </c>
      <c r="AT433" s="281" t="s">
        <v>1073</v>
      </c>
      <c r="AU433" s="403"/>
      <c r="AV433" s="402">
        <f t="shared" si="98"/>
        <v>0</v>
      </c>
      <c r="AW433" s="402" cm="1">
        <f t="array" ref="AW433">SUM(MID(0&amp;AV433,LARGE(INDEX(ISNUMBER(--MID(AV433,ROW($1:$8),1))*ROW($1:$8),),ROW($1:$8))+1,1)*10^ROW($1:$8)/10)</f>
        <v>0</v>
      </c>
      <c r="AX433" s="402" t="e">
        <f>VLOOKUP($AW433,'Item Master Data'!$A:$F,3,FALSE)</f>
        <v>#N/A</v>
      </c>
      <c r="AY433" s="402" t="e">
        <f>VLOOKUP($AW433,'Item Master Data'!$A:$F,6,FALSE)</f>
        <v>#N/A</v>
      </c>
      <c r="AZ433" s="402" t="e">
        <f t="shared" si="99"/>
        <v>#N/A</v>
      </c>
      <c r="BA433" s="402" t="e">
        <f>VLOOKUP(AW433,'Item Master Data'!$A:$G,7,FALSE)</f>
        <v>#N/A</v>
      </c>
      <c r="BB433" s="402"/>
      <c r="BC433" s="402" t="e">
        <f t="shared" si="100"/>
        <v>#N/A</v>
      </c>
    </row>
    <row r="434" spans="1:55">
      <c r="A434" s="278">
        <v>19</v>
      </c>
      <c r="B434" s="491">
        <v>400</v>
      </c>
      <c r="C434" s="279"/>
      <c r="D434" s="366" t="s">
        <v>2804</v>
      </c>
      <c r="E434" s="280" t="s">
        <v>4699</v>
      </c>
      <c r="F434" s="405"/>
      <c r="G434" s="405">
        <v>2022</v>
      </c>
      <c r="H434" s="405">
        <v>5</v>
      </c>
      <c r="I434" s="405" t="s">
        <v>2393</v>
      </c>
      <c r="J434" s="406"/>
      <c r="K434" s="405" t="s">
        <v>2839</v>
      </c>
      <c r="L434" s="406" t="s">
        <v>2806</v>
      </c>
      <c r="M434" s="406">
        <v>44656</v>
      </c>
      <c r="N434" s="406">
        <v>44656</v>
      </c>
      <c r="O434" s="406"/>
      <c r="P434" s="406">
        <v>44686</v>
      </c>
      <c r="Q434" s="406"/>
      <c r="R434" s="406"/>
      <c r="S434" s="405" t="s">
        <v>1098</v>
      </c>
      <c r="T434" s="405">
        <v>60</v>
      </c>
      <c r="U434" s="405" t="s">
        <v>1559</v>
      </c>
      <c r="V434" s="405" t="s">
        <v>973</v>
      </c>
      <c r="W434" s="407">
        <v>400</v>
      </c>
      <c r="X434" s="371">
        <v>64</v>
      </c>
      <c r="Y434" s="408">
        <f>W434*X434</f>
        <v>25600</v>
      </c>
      <c r="Z434" s="409">
        <v>0.48</v>
      </c>
      <c r="AA434" s="410">
        <f>Y434*Z434</f>
        <v>12288</v>
      </c>
      <c r="AB434" s="411"/>
      <c r="AC434" s="412">
        <f>AB434*Y434</f>
        <v>0</v>
      </c>
      <c r="AD434" s="421"/>
      <c r="AE434" s="413"/>
      <c r="AF434" s="424">
        <f>AE434+AD434+AA434</f>
        <v>12288</v>
      </c>
      <c r="AG434" s="405" t="s">
        <v>47</v>
      </c>
      <c r="AH434" s="405"/>
      <c r="AI434" s="405">
        <v>45</v>
      </c>
      <c r="AJ434" s="405" t="s">
        <v>1185</v>
      </c>
      <c r="AK434" s="405" t="s">
        <v>1092</v>
      </c>
      <c r="AL434" s="425">
        <v>1501</v>
      </c>
      <c r="AM434" s="405" t="s">
        <v>52</v>
      </c>
      <c r="AN434" s="405" t="s">
        <v>1446</v>
      </c>
      <c r="AO434" s="405"/>
      <c r="AP434" s="413"/>
      <c r="AQ434" s="413" t="s">
        <v>37</v>
      </c>
      <c r="AR434" s="405"/>
      <c r="AS434" s="386" t="s">
        <v>1073</v>
      </c>
      <c r="AT434" s="281" t="s">
        <v>1073</v>
      </c>
      <c r="AU434" s="403"/>
      <c r="AV434" s="402" t="str">
        <f t="shared" si="98"/>
        <v>30390156H</v>
      </c>
      <c r="AW434" s="402" cm="1">
        <f t="array" ref="AW434">SUM(MID(0&amp;AV434,LARGE(INDEX(ISNUMBER(--MID(AV434,ROW($1:$8),1))*ROW($1:$8),),ROW($1:$8))+1,1)*10^ROW($1:$8)/10)</f>
        <v>30390156</v>
      </c>
      <c r="AX434" s="402" t="str">
        <f>VLOOKUP($AW434,'Item Master Data'!$A:$F,3,FALSE)</f>
        <v>Q.PEAK DUO BLK ML G10+</v>
      </c>
      <c r="AY434" s="402">
        <f>VLOOKUP($AW434,'Item Master Data'!$A:$F,6,FALSE)</f>
        <v>400</v>
      </c>
      <c r="AZ434" s="402">
        <f t="shared" si="99"/>
        <v>2</v>
      </c>
      <c r="BA434" s="402">
        <f>VLOOKUP(AW434,'Item Master Data'!$A:$G,7,FALSE)</f>
        <v>32</v>
      </c>
      <c r="BB434" s="402"/>
      <c r="BC434" s="402">
        <f t="shared" si="100"/>
        <v>0</v>
      </c>
    </row>
    <row r="435" spans="1:55">
      <c r="A435" s="278" t="s">
        <v>4585</v>
      </c>
      <c r="B435" s="491"/>
      <c r="C435" s="279"/>
      <c r="D435" s="366" t="s">
        <v>2804</v>
      </c>
      <c r="E435" s="280" t="s">
        <v>4692</v>
      </c>
      <c r="F435" s="405"/>
      <c r="G435" s="405">
        <v>2022</v>
      </c>
      <c r="H435" s="405">
        <v>5</v>
      </c>
      <c r="I435" s="405"/>
      <c r="J435" s="406"/>
      <c r="K435" s="506" t="s">
        <v>2834</v>
      </c>
      <c r="L435" s="507" t="s">
        <v>1112</v>
      </c>
      <c r="M435" s="406">
        <v>44519</v>
      </c>
      <c r="N435" s="406">
        <v>44666</v>
      </c>
      <c r="O435" s="406"/>
      <c r="P435" s="406" t="s">
        <v>4625</v>
      </c>
      <c r="Q435" s="406" t="s">
        <v>4598</v>
      </c>
      <c r="R435" s="406"/>
      <c r="S435" s="405" t="s">
        <v>1098</v>
      </c>
      <c r="T435" s="405">
        <v>60</v>
      </c>
      <c r="U435" s="405">
        <v>49203132</v>
      </c>
      <c r="V435" s="405" t="s">
        <v>986</v>
      </c>
      <c r="W435" s="407">
        <v>360</v>
      </c>
      <c r="X435" s="371">
        <v>768</v>
      </c>
      <c r="Y435" s="408">
        <f>W435*X435</f>
        <v>276480</v>
      </c>
      <c r="Z435" s="409">
        <f>183.6/360</f>
        <v>0.51</v>
      </c>
      <c r="AA435" s="410">
        <f>Y435*Z435</f>
        <v>141004.79999999999</v>
      </c>
      <c r="AB435" s="411"/>
      <c r="AC435" s="412">
        <v>0</v>
      </c>
      <c r="AD435" s="421"/>
      <c r="AE435" s="413"/>
      <c r="AF435" s="424">
        <f>AE435+AD435+AA435</f>
        <v>141004.79999999999</v>
      </c>
      <c r="AG435" s="405" t="s">
        <v>47</v>
      </c>
      <c r="AH435" s="405"/>
      <c r="AI435" s="405">
        <v>45</v>
      </c>
      <c r="AJ435" s="405" t="s">
        <v>1120</v>
      </c>
      <c r="AK435" s="405" t="s">
        <v>1082</v>
      </c>
      <c r="AL435" s="425">
        <v>8505</v>
      </c>
      <c r="AM435" s="405" t="s">
        <v>52</v>
      </c>
      <c r="AN435" s="405"/>
      <c r="AO435" s="405"/>
      <c r="AP435" s="413"/>
      <c r="AQ435" s="413"/>
      <c r="AR435" s="405"/>
      <c r="AS435" s="386"/>
      <c r="AT435" s="281" t="s">
        <v>1073</v>
      </c>
      <c r="AU435" s="403"/>
      <c r="AV435" s="402">
        <f t="shared" si="98"/>
        <v>49203132</v>
      </c>
      <c r="AW435" s="402" cm="1">
        <f t="array" ref="AW435">SUM(MID(0&amp;AV435,LARGE(INDEX(ISNUMBER(--MID(AV435,ROW($1:$8),1))*ROW($1:$8),),ROW($1:$8))+1,1)*10^ROW($1:$8)/10)</f>
        <v>49203132</v>
      </c>
      <c r="AX435" s="402" t="str">
        <f>VLOOKUP($AW435,'Item Master Data'!$A:$F,3,FALSE)</f>
        <v>Q.PEAK DUO BLK G10+</v>
      </c>
      <c r="AY435" s="402">
        <f>VLOOKUP($AW435,'Item Master Data'!$A:$F,6,FALSE)</f>
        <v>360</v>
      </c>
      <c r="AZ435" s="402">
        <f t="shared" si="99"/>
        <v>24</v>
      </c>
      <c r="BA435" s="402">
        <f>VLOOKUP(AW435,'Item Master Data'!$A:$G,7,FALSE)</f>
        <v>32</v>
      </c>
      <c r="BB435" s="402"/>
      <c r="BC435" s="402">
        <f t="shared" si="100"/>
        <v>0</v>
      </c>
    </row>
    <row r="436" spans="1:55">
      <c r="A436" s="278" t="s">
        <v>4584</v>
      </c>
      <c r="B436" s="491"/>
      <c r="C436" s="279"/>
      <c r="D436" s="366" t="s">
        <v>2804</v>
      </c>
      <c r="E436" s="280" t="s">
        <v>4862</v>
      </c>
      <c r="F436" s="405"/>
      <c r="G436" s="405">
        <v>2022</v>
      </c>
      <c r="H436" s="405">
        <v>5</v>
      </c>
      <c r="I436" s="405"/>
      <c r="J436" s="406"/>
      <c r="K436" s="295" t="s">
        <v>2835</v>
      </c>
      <c r="L436" s="296" t="s">
        <v>1112</v>
      </c>
      <c r="M436" s="406">
        <v>44519</v>
      </c>
      <c r="N436" s="406">
        <v>44652</v>
      </c>
      <c r="O436" s="406"/>
      <c r="P436" s="406">
        <v>44670</v>
      </c>
      <c r="Q436" s="406">
        <v>44680</v>
      </c>
      <c r="R436" s="406">
        <v>44683</v>
      </c>
      <c r="S436" s="405" t="s">
        <v>1098</v>
      </c>
      <c r="T436" s="405">
        <v>60</v>
      </c>
      <c r="U436" s="405">
        <v>49203132</v>
      </c>
      <c r="V436" s="405" t="s">
        <v>986</v>
      </c>
      <c r="W436" s="407">
        <v>360</v>
      </c>
      <c r="X436" s="371">
        <v>768</v>
      </c>
      <c r="Y436" s="408">
        <f>W436*X436</f>
        <v>276480</v>
      </c>
      <c r="Z436" s="409">
        <f>183.6/360</f>
        <v>0.51</v>
      </c>
      <c r="AA436" s="410">
        <f>Y436*Z436</f>
        <v>141004.79999999999</v>
      </c>
      <c r="AB436" s="411"/>
      <c r="AC436" s="412">
        <v>0</v>
      </c>
      <c r="AD436" s="421"/>
      <c r="AE436" s="413"/>
      <c r="AF436" s="424">
        <f>AE436+AD436+AA436</f>
        <v>141004.79999999999</v>
      </c>
      <c r="AG436" s="405" t="s">
        <v>47</v>
      </c>
      <c r="AH436" s="405"/>
      <c r="AI436" s="405">
        <v>45</v>
      </c>
      <c r="AJ436" s="405" t="s">
        <v>1124</v>
      </c>
      <c r="AK436" s="405" t="s">
        <v>1125</v>
      </c>
      <c r="AL436" s="425">
        <v>85215</v>
      </c>
      <c r="AM436" s="405" t="s">
        <v>52</v>
      </c>
      <c r="AN436" s="405" t="s">
        <v>1101</v>
      </c>
      <c r="AO436" s="405"/>
      <c r="AP436" s="413"/>
      <c r="AQ436" s="413"/>
      <c r="AR436" s="405"/>
      <c r="AS436" s="386"/>
      <c r="AT436" s="281" t="s">
        <v>1073</v>
      </c>
      <c r="AU436" s="403"/>
      <c r="AV436" s="402">
        <f t="shared" si="98"/>
        <v>49203132</v>
      </c>
      <c r="AW436" s="402" cm="1">
        <f t="array" ref="AW436">SUM(MID(0&amp;AV436,LARGE(INDEX(ISNUMBER(--MID(AV436,ROW($1:$8),1))*ROW($1:$8),),ROW($1:$8))+1,1)*10^ROW($1:$8)/10)</f>
        <v>49203132</v>
      </c>
      <c r="AX436" s="402" t="str">
        <f>VLOOKUP($AW436,'Item Master Data'!$A:$F,3,FALSE)</f>
        <v>Q.PEAK DUO BLK G10+</v>
      </c>
      <c r="AY436" s="402">
        <f>VLOOKUP($AW436,'Item Master Data'!$A:$F,6,FALSE)</f>
        <v>360</v>
      </c>
      <c r="AZ436" s="402">
        <f t="shared" si="99"/>
        <v>24</v>
      </c>
      <c r="BA436" s="402">
        <f>VLOOKUP(AW436,'Item Master Data'!$A:$G,7,FALSE)</f>
        <v>32</v>
      </c>
      <c r="BB436" s="402"/>
      <c r="BC436" s="402">
        <f t="shared" si="100"/>
        <v>0</v>
      </c>
    </row>
    <row r="437" spans="1:55">
      <c r="A437" s="278" t="s">
        <v>4584</v>
      </c>
      <c r="B437" s="491"/>
      <c r="C437" s="279"/>
      <c r="D437" s="366" t="s">
        <v>2804</v>
      </c>
      <c r="E437" s="280" t="s">
        <v>4863</v>
      </c>
      <c r="F437" s="405"/>
      <c r="G437" s="405">
        <v>2022</v>
      </c>
      <c r="H437" s="405">
        <v>5</v>
      </c>
      <c r="I437" s="405"/>
      <c r="J437" s="406"/>
      <c r="K437" s="504" t="s">
        <v>2836</v>
      </c>
      <c r="L437" s="505" t="s">
        <v>1112</v>
      </c>
      <c r="M437" s="406">
        <v>44519</v>
      </c>
      <c r="N437" s="406">
        <v>44652</v>
      </c>
      <c r="O437" s="406"/>
      <c r="P437" s="406">
        <v>44692</v>
      </c>
      <c r="Q437" s="406"/>
      <c r="R437" s="406"/>
      <c r="S437" s="405" t="s">
        <v>1098</v>
      </c>
      <c r="T437" s="405">
        <v>60</v>
      </c>
      <c r="U437" s="405">
        <v>49203132</v>
      </c>
      <c r="V437" s="405" t="s">
        <v>986</v>
      </c>
      <c r="W437" s="407">
        <v>360</v>
      </c>
      <c r="X437" s="371">
        <v>768</v>
      </c>
      <c r="Y437" s="408">
        <f>W437*X437</f>
        <v>276480</v>
      </c>
      <c r="Z437" s="409">
        <f>183.6/360</f>
        <v>0.51</v>
      </c>
      <c r="AA437" s="410">
        <f>Y437*Z437</f>
        <v>141004.79999999999</v>
      </c>
      <c r="AB437" s="411"/>
      <c r="AC437" s="412">
        <v>0</v>
      </c>
      <c r="AD437" s="421"/>
      <c r="AE437" s="413"/>
      <c r="AF437" s="424">
        <f>AE437+AD437+AA437</f>
        <v>141004.79999999999</v>
      </c>
      <c r="AG437" s="405" t="s">
        <v>47</v>
      </c>
      <c r="AH437" s="405"/>
      <c r="AI437" s="405">
        <v>45</v>
      </c>
      <c r="AJ437" s="405" t="s">
        <v>1124</v>
      </c>
      <c r="AK437" s="405" t="s">
        <v>1125</v>
      </c>
      <c r="AL437" s="425">
        <v>85215</v>
      </c>
      <c r="AM437" s="405" t="s">
        <v>52</v>
      </c>
      <c r="AN437" s="405" t="s">
        <v>1101</v>
      </c>
      <c r="AO437" s="405"/>
      <c r="AP437" s="413"/>
      <c r="AQ437" s="413"/>
      <c r="AR437" s="405"/>
      <c r="AS437" s="386"/>
      <c r="AT437" s="281" t="s">
        <v>1073</v>
      </c>
      <c r="AU437" s="403"/>
      <c r="AV437" s="402">
        <f t="shared" si="98"/>
        <v>49203132</v>
      </c>
      <c r="AW437" s="402" cm="1">
        <f t="array" ref="AW437">SUM(MID(0&amp;AV437,LARGE(INDEX(ISNUMBER(--MID(AV437,ROW($1:$8),1))*ROW($1:$8),),ROW($1:$8))+1,1)*10^ROW($1:$8)/10)</f>
        <v>49203132</v>
      </c>
      <c r="AX437" s="402" t="str">
        <f>VLOOKUP($AW437,'Item Master Data'!$A:$F,3,FALSE)</f>
        <v>Q.PEAK DUO BLK G10+</v>
      </c>
      <c r="AY437" s="402">
        <f>VLOOKUP($AW437,'Item Master Data'!$A:$F,6,FALSE)</f>
        <v>360</v>
      </c>
      <c r="AZ437" s="402">
        <f t="shared" si="99"/>
        <v>24</v>
      </c>
      <c r="BA437" s="402">
        <f>VLOOKUP(AW437,'Item Master Data'!$A:$G,7,FALSE)</f>
        <v>32</v>
      </c>
      <c r="BB437" s="402"/>
      <c r="BC437" s="402">
        <f t="shared" si="100"/>
        <v>0</v>
      </c>
    </row>
    <row r="438" spans="1:55">
      <c r="A438" s="278" t="s">
        <v>4585</v>
      </c>
      <c r="B438" s="491"/>
      <c r="C438" s="279"/>
      <c r="D438" s="366" t="s">
        <v>2804</v>
      </c>
      <c r="E438" s="280" t="s">
        <v>4692</v>
      </c>
      <c r="F438" s="405"/>
      <c r="G438" s="405">
        <v>2022</v>
      </c>
      <c r="H438" s="405">
        <v>5</v>
      </c>
      <c r="I438" s="405"/>
      <c r="J438" s="406"/>
      <c r="K438" s="506" t="s">
        <v>2884</v>
      </c>
      <c r="L438" s="507" t="s">
        <v>1112</v>
      </c>
      <c r="M438" s="406">
        <v>44519</v>
      </c>
      <c r="N438" s="406">
        <v>44666</v>
      </c>
      <c r="O438" s="406"/>
      <c r="P438" s="406"/>
      <c r="Q438" s="406" t="s">
        <v>4598</v>
      </c>
      <c r="R438" s="406"/>
      <c r="S438" s="405" t="s">
        <v>1098</v>
      </c>
      <c r="T438" s="405">
        <v>60</v>
      </c>
      <c r="U438" s="405">
        <v>49201132</v>
      </c>
      <c r="V438" s="405" t="s">
        <v>986</v>
      </c>
      <c r="W438" s="407">
        <v>360</v>
      </c>
      <c r="X438" s="371">
        <v>768</v>
      </c>
      <c r="Y438" s="408">
        <f>W438*X438</f>
        <v>276480</v>
      </c>
      <c r="Z438" s="409">
        <v>0.53</v>
      </c>
      <c r="AA438" s="410">
        <f>Y438*Z438</f>
        <v>146534.39999999999</v>
      </c>
      <c r="AB438" s="411"/>
      <c r="AC438" s="412">
        <v>0</v>
      </c>
      <c r="AD438" s="421"/>
      <c r="AE438" s="413"/>
      <c r="AF438" s="424">
        <f>AE438+AD438+AA438</f>
        <v>146534.39999999999</v>
      </c>
      <c r="AG438" s="405" t="s">
        <v>47</v>
      </c>
      <c r="AH438" s="405"/>
      <c r="AI438" s="405">
        <v>45</v>
      </c>
      <c r="AJ438" s="405" t="s">
        <v>2883</v>
      </c>
      <c r="AK438" s="405" t="s">
        <v>1092</v>
      </c>
      <c r="AL438" s="425">
        <v>1583</v>
      </c>
      <c r="AM438" s="405" t="s">
        <v>52</v>
      </c>
      <c r="AN438" s="405"/>
      <c r="AO438" s="405"/>
      <c r="AP438" s="413"/>
      <c r="AQ438" s="413"/>
      <c r="AR438" s="405"/>
      <c r="AS438" s="386"/>
      <c r="AT438" s="281" t="s">
        <v>1073</v>
      </c>
      <c r="AU438" s="403"/>
      <c r="AV438" s="402">
        <f t="shared" si="98"/>
        <v>49201132</v>
      </c>
      <c r="AW438" s="402" cm="1">
        <f t="array" ref="AW438">SUM(MID(0&amp;AV438,LARGE(INDEX(ISNUMBER(--MID(AV438,ROW($1:$8),1))*ROW($1:$8),),ROW($1:$8))+1,1)*10^ROW($1:$8)/10)</f>
        <v>49201132</v>
      </c>
      <c r="AX438" s="402" t="str">
        <f>VLOOKUP($AW438,'Item Master Data'!$A:$F,3,FALSE)</f>
        <v>Q.PEAK DUO BLK G10+</v>
      </c>
      <c r="AY438" s="402">
        <f>VLOOKUP($AW438,'Item Master Data'!$A:$F,6,FALSE)</f>
        <v>360</v>
      </c>
      <c r="AZ438" s="402">
        <f t="shared" si="99"/>
        <v>24</v>
      </c>
      <c r="BA438" s="402">
        <f>VLOOKUP(AW438,'Item Master Data'!$A:$G,7,FALSE)</f>
        <v>32</v>
      </c>
      <c r="BB438" s="402"/>
      <c r="BC438" s="402">
        <f t="shared" si="100"/>
        <v>0</v>
      </c>
    </row>
    <row r="439" spans="1:55">
      <c r="A439" s="278"/>
      <c r="B439" s="279"/>
      <c r="C439" s="284"/>
      <c r="D439" s="366" t="s">
        <v>2804</v>
      </c>
      <c r="E439" s="508" t="s">
        <v>4857</v>
      </c>
      <c r="F439" s="405"/>
      <c r="G439" s="405">
        <v>2022</v>
      </c>
      <c r="H439" s="405">
        <v>5</v>
      </c>
      <c r="I439" s="373"/>
      <c r="J439" s="329"/>
      <c r="K439" s="405" t="s">
        <v>3955</v>
      </c>
      <c r="L439" s="406" t="s">
        <v>1112</v>
      </c>
      <c r="M439" s="406">
        <v>44582</v>
      </c>
      <c r="N439" s="406">
        <v>44596</v>
      </c>
      <c r="O439" s="406"/>
      <c r="P439" s="406">
        <v>44692</v>
      </c>
      <c r="Q439" s="406"/>
      <c r="R439" s="406"/>
      <c r="S439" s="405" t="s">
        <v>1098</v>
      </c>
      <c r="T439" s="405">
        <v>60</v>
      </c>
      <c r="U439" s="405">
        <v>49204132</v>
      </c>
      <c r="V439" s="405" t="s">
        <v>4891</v>
      </c>
      <c r="W439" s="407">
        <v>360</v>
      </c>
      <c r="X439" s="371">
        <v>728</v>
      </c>
      <c r="Y439" s="408">
        <f>W439*X439</f>
        <v>262080</v>
      </c>
      <c r="Z439" s="409">
        <v>0.8</v>
      </c>
      <c r="AA439" s="410">
        <f>Z439*Y439</f>
        <v>209664</v>
      </c>
      <c r="AB439" s="362"/>
      <c r="AC439" s="412"/>
      <c r="AD439" s="405"/>
      <c r="AE439" s="413"/>
      <c r="AF439" s="424">
        <f>AE439+AD439+AA439</f>
        <v>209664</v>
      </c>
      <c r="AG439" s="405" t="s">
        <v>47</v>
      </c>
      <c r="AH439" s="395"/>
      <c r="AI439" s="405">
        <v>45</v>
      </c>
      <c r="AJ439" s="405" t="s">
        <v>1129</v>
      </c>
      <c r="AK439" s="405" t="s">
        <v>1130</v>
      </c>
      <c r="AL439" s="425">
        <v>11416</v>
      </c>
      <c r="AM439" s="405" t="s">
        <v>52</v>
      </c>
      <c r="AN439" s="405" t="s">
        <v>1101</v>
      </c>
      <c r="AO439" s="405"/>
      <c r="AP439" s="405"/>
      <c r="AQ439" s="413" t="s">
        <v>37</v>
      </c>
      <c r="AR439" s="405"/>
      <c r="AS439" s="363"/>
      <c r="AT439" s="335"/>
      <c r="AU439" s="363"/>
      <c r="AV439" s="402">
        <f t="shared" si="98"/>
        <v>49204132</v>
      </c>
      <c r="AW439" s="402" cm="1">
        <f t="array" ref="AW439">SUM(MID(0&amp;AV439,LARGE(INDEX(ISNUMBER(--MID(AV439,ROW($1:$8),1))*ROW($1:$8),),ROW($1:$8))+1,1)*10^ROW($1:$8)/10)</f>
        <v>49204132</v>
      </c>
      <c r="AX439" s="402" t="str">
        <f>VLOOKUP($AW439,'Item Master Data'!$A:$F,3,FALSE)</f>
        <v>Q.PEAK DUO BLK G10+/AC</v>
      </c>
      <c r="AY439" s="402">
        <f>VLOOKUP($AW439,'Item Master Data'!$A:$F,6,FALSE)</f>
        <v>360</v>
      </c>
      <c r="AZ439" s="402">
        <f t="shared" si="99"/>
        <v>28</v>
      </c>
      <c r="BA439" s="402">
        <f>VLOOKUP(AW439,'Item Master Data'!$A:$G,7,FALSE)</f>
        <v>26</v>
      </c>
      <c r="BB439" s="402"/>
      <c r="BC439" s="402">
        <f t="shared" si="100"/>
        <v>0</v>
      </c>
    </row>
    <row r="440" spans="1:55">
      <c r="A440" s="278"/>
      <c r="B440" s="279"/>
      <c r="C440" s="284"/>
      <c r="D440" s="366" t="s">
        <v>2804</v>
      </c>
      <c r="E440" s="508" t="s">
        <v>4857</v>
      </c>
      <c r="F440" s="405"/>
      <c r="G440" s="405">
        <v>2022</v>
      </c>
      <c r="H440" s="405">
        <v>5</v>
      </c>
      <c r="I440" s="373"/>
      <c r="J440" s="406"/>
      <c r="K440" s="518" t="s">
        <v>3956</v>
      </c>
      <c r="L440" s="519" t="s">
        <v>1112</v>
      </c>
      <c r="M440" s="406">
        <v>44580</v>
      </c>
      <c r="N440" s="406">
        <v>44607</v>
      </c>
      <c r="O440" s="406"/>
      <c r="P440" s="406">
        <v>44692</v>
      </c>
      <c r="Q440" s="406"/>
      <c r="R440" s="406"/>
      <c r="S440" s="405" t="s">
        <v>1098</v>
      </c>
      <c r="T440" s="405">
        <v>60</v>
      </c>
      <c r="U440" s="405">
        <v>49204132</v>
      </c>
      <c r="V440" s="405" t="s">
        <v>4891</v>
      </c>
      <c r="W440" s="407">
        <v>360</v>
      </c>
      <c r="X440" s="371">
        <v>728</v>
      </c>
      <c r="Y440" s="408">
        <f>W440*X440</f>
        <v>262080</v>
      </c>
      <c r="Z440" s="409">
        <v>0.8</v>
      </c>
      <c r="AA440" s="410">
        <f>Z440*Y440</f>
        <v>209664</v>
      </c>
      <c r="AB440" s="362"/>
      <c r="AC440" s="412"/>
      <c r="AD440" s="405"/>
      <c r="AE440" s="413"/>
      <c r="AF440" s="424">
        <f>AE440+AD440+AA440</f>
        <v>209664</v>
      </c>
      <c r="AG440" s="405" t="s">
        <v>47</v>
      </c>
      <c r="AH440" s="395"/>
      <c r="AI440" s="405">
        <v>45</v>
      </c>
      <c r="AJ440" s="405" t="s">
        <v>1120</v>
      </c>
      <c r="AK440" s="405" t="s">
        <v>1082</v>
      </c>
      <c r="AL440" s="425">
        <v>8505</v>
      </c>
      <c r="AM440" s="405" t="s">
        <v>52</v>
      </c>
      <c r="AN440" s="405" t="s">
        <v>1101</v>
      </c>
      <c r="AO440" s="405"/>
      <c r="AP440" s="405"/>
      <c r="AQ440" s="413" t="s">
        <v>37</v>
      </c>
      <c r="AR440" s="405"/>
      <c r="AS440" s="363"/>
      <c r="AT440" s="335"/>
      <c r="AU440" s="363"/>
      <c r="AV440" s="402">
        <f t="shared" si="98"/>
        <v>49204132</v>
      </c>
      <c r="AW440" s="402" cm="1">
        <f t="array" ref="AW440">SUM(MID(0&amp;AV440,LARGE(INDEX(ISNUMBER(--MID(AV440,ROW($1:$8),1))*ROW($1:$8),),ROW($1:$8))+1,1)*10^ROW($1:$8)/10)</f>
        <v>49204132</v>
      </c>
      <c r="AX440" s="402" t="str">
        <f>VLOOKUP($AW440,'Item Master Data'!$A:$F,3,FALSE)</f>
        <v>Q.PEAK DUO BLK G10+/AC</v>
      </c>
      <c r="AY440" s="402">
        <f>VLOOKUP($AW440,'Item Master Data'!$A:$F,6,FALSE)</f>
        <v>360</v>
      </c>
      <c r="AZ440" s="402">
        <f t="shared" si="99"/>
        <v>28</v>
      </c>
      <c r="BA440" s="402">
        <f>VLOOKUP(AW440,'Item Master Data'!$A:$G,7,FALSE)</f>
        <v>26</v>
      </c>
      <c r="BB440" s="402"/>
      <c r="BC440" s="402">
        <f t="shared" si="100"/>
        <v>0</v>
      </c>
    </row>
    <row r="441" spans="1:55">
      <c r="A441" s="278" t="s">
        <v>4584</v>
      </c>
      <c r="B441" s="491"/>
      <c r="C441" s="279"/>
      <c r="D441" s="366" t="s">
        <v>2804</v>
      </c>
      <c r="E441" s="280" t="s">
        <v>4693</v>
      </c>
      <c r="F441" s="405"/>
      <c r="G441" s="405">
        <v>2022</v>
      </c>
      <c r="H441" s="405">
        <v>5</v>
      </c>
      <c r="I441" s="405"/>
      <c r="J441" s="406"/>
      <c r="K441" s="504" t="s">
        <v>2886</v>
      </c>
      <c r="L441" s="505" t="s">
        <v>1112</v>
      </c>
      <c r="M441" s="406">
        <v>44606</v>
      </c>
      <c r="N441" s="406">
        <v>44683</v>
      </c>
      <c r="O441" s="406"/>
      <c r="P441" s="406"/>
      <c r="Q441" s="406"/>
      <c r="R441" s="406"/>
      <c r="S441" s="405" t="s">
        <v>1098</v>
      </c>
      <c r="T441" s="405">
        <v>60</v>
      </c>
      <c r="U441" s="405">
        <v>49203132</v>
      </c>
      <c r="V441" s="405" t="s">
        <v>986</v>
      </c>
      <c r="W441" s="407">
        <v>360</v>
      </c>
      <c r="X441" s="371">
        <v>768</v>
      </c>
      <c r="Y441" s="408">
        <f>W441*X441</f>
        <v>276480</v>
      </c>
      <c r="Z441" s="409">
        <v>0.51</v>
      </c>
      <c r="AA441" s="410">
        <f>Y441*Z441</f>
        <v>141004.79999999999</v>
      </c>
      <c r="AB441" s="411"/>
      <c r="AC441" s="412">
        <v>0</v>
      </c>
      <c r="AD441" s="421"/>
      <c r="AE441" s="413"/>
      <c r="AF441" s="424">
        <f>AE441+AD441+AA441</f>
        <v>141004.79999999999</v>
      </c>
      <c r="AG441" s="405" t="s">
        <v>47</v>
      </c>
      <c r="AH441" s="405"/>
      <c r="AI441" s="405">
        <v>45</v>
      </c>
      <c r="AJ441" s="405" t="s">
        <v>1138</v>
      </c>
      <c r="AK441" s="405" t="s">
        <v>50</v>
      </c>
      <c r="AL441" s="425">
        <v>94577</v>
      </c>
      <c r="AM441" s="405" t="s">
        <v>52</v>
      </c>
      <c r="AN441" s="405" t="s">
        <v>1101</v>
      </c>
      <c r="AO441" s="405"/>
      <c r="AP441" s="413"/>
      <c r="AQ441" s="413"/>
      <c r="AR441" s="405"/>
      <c r="AS441" s="386"/>
      <c r="AT441" s="281" t="s">
        <v>1073</v>
      </c>
      <c r="AU441" s="403"/>
      <c r="AV441" s="402">
        <f t="shared" si="98"/>
        <v>49203132</v>
      </c>
      <c r="AW441" s="402" cm="1">
        <f t="array" ref="AW441">SUM(MID(0&amp;AV441,LARGE(INDEX(ISNUMBER(--MID(AV441,ROW($1:$8),1))*ROW($1:$8),),ROW($1:$8))+1,1)*10^ROW($1:$8)/10)</f>
        <v>49203132</v>
      </c>
      <c r="AX441" s="402" t="str">
        <f>VLOOKUP($AW441,'Item Master Data'!$A:$F,3,FALSE)</f>
        <v>Q.PEAK DUO BLK G10+</v>
      </c>
      <c r="AY441" s="402">
        <f>VLOOKUP($AW441,'Item Master Data'!$A:$F,6,FALSE)</f>
        <v>360</v>
      </c>
      <c r="AZ441" s="402">
        <f t="shared" si="99"/>
        <v>24</v>
      </c>
      <c r="BA441" s="402">
        <f>VLOOKUP(AW441,'Item Master Data'!$A:$G,7,FALSE)</f>
        <v>32</v>
      </c>
      <c r="BB441" s="402"/>
      <c r="BC441" s="402">
        <f t="shared" si="100"/>
        <v>0</v>
      </c>
    </row>
    <row r="442" spans="1:55">
      <c r="A442" s="278">
        <v>19</v>
      </c>
      <c r="B442" s="491">
        <v>360</v>
      </c>
      <c r="C442" s="279"/>
      <c r="D442" s="366" t="s">
        <v>2804</v>
      </c>
      <c r="E442" s="280" t="s">
        <v>4864</v>
      </c>
      <c r="F442" s="405"/>
      <c r="G442" s="405">
        <v>2022</v>
      </c>
      <c r="H442" s="405">
        <v>5</v>
      </c>
      <c r="I442" s="405"/>
      <c r="J442" s="406"/>
      <c r="K442" s="405" t="s">
        <v>4481</v>
      </c>
      <c r="L442" s="406" t="s">
        <v>2806</v>
      </c>
      <c r="M442" s="406">
        <v>44680</v>
      </c>
      <c r="N442" s="406">
        <v>44680</v>
      </c>
      <c r="O442" s="406"/>
      <c r="P442" s="406">
        <v>44690</v>
      </c>
      <c r="Q442" s="406"/>
      <c r="R442" s="406"/>
      <c r="S442" s="405" t="s">
        <v>1098</v>
      </c>
      <c r="T442" s="405">
        <v>60</v>
      </c>
      <c r="U442" s="405">
        <v>49203132</v>
      </c>
      <c r="V442" s="405" t="s">
        <v>986</v>
      </c>
      <c r="W442" s="407">
        <v>360</v>
      </c>
      <c r="X442" s="371">
        <v>768</v>
      </c>
      <c r="Y442" s="408">
        <f>W442*X442</f>
        <v>276480</v>
      </c>
      <c r="Z442" s="409">
        <v>0.47</v>
      </c>
      <c r="AA442" s="410">
        <f>Y442*Z442</f>
        <v>129945.59999999999</v>
      </c>
      <c r="AB442" s="411"/>
      <c r="AC442" s="412">
        <f>AB442*Y442</f>
        <v>0</v>
      </c>
      <c r="AD442" s="421"/>
      <c r="AE442" s="413"/>
      <c r="AF442" s="424">
        <f>AE442+AD442+AA442</f>
        <v>129945.59999999999</v>
      </c>
      <c r="AG442" s="405" t="s">
        <v>47</v>
      </c>
      <c r="AH442" s="405"/>
      <c r="AI442" s="405">
        <v>45</v>
      </c>
      <c r="AJ442" s="405" t="s">
        <v>1573</v>
      </c>
      <c r="AK442" s="405" t="s">
        <v>50</v>
      </c>
      <c r="AL442" s="425">
        <v>93308</v>
      </c>
      <c r="AM442" s="405" t="s">
        <v>52</v>
      </c>
      <c r="AN442" s="405" t="s">
        <v>1101</v>
      </c>
      <c r="AO442" s="405"/>
      <c r="AP442" s="413"/>
      <c r="AQ442" s="413" t="s">
        <v>37</v>
      </c>
      <c r="AR442" s="405"/>
      <c r="AS442" s="386" t="s">
        <v>1073</v>
      </c>
      <c r="AT442" s="281" t="s">
        <v>1073</v>
      </c>
      <c r="AU442" s="403"/>
      <c r="AV442" s="402">
        <f t="shared" si="98"/>
        <v>49203132</v>
      </c>
      <c r="AW442" s="402" cm="1">
        <f t="array" ref="AW442">SUM(MID(0&amp;AV442,LARGE(INDEX(ISNUMBER(--MID(AV442,ROW($1:$8),1))*ROW($1:$8),),ROW($1:$8))+1,1)*10^ROW($1:$8)/10)</f>
        <v>49203132</v>
      </c>
      <c r="AX442" s="402" t="str">
        <f>VLOOKUP($AW442,'Item Master Data'!$A:$F,3,FALSE)</f>
        <v>Q.PEAK DUO BLK G10+</v>
      </c>
      <c r="AY442" s="402">
        <f>VLOOKUP($AW442,'Item Master Data'!$A:$F,6,FALSE)</f>
        <v>360</v>
      </c>
      <c r="AZ442" s="402">
        <f t="shared" si="99"/>
        <v>24</v>
      </c>
      <c r="BA442" s="402">
        <f>VLOOKUP(AW442,'Item Master Data'!$A:$G,7,FALSE)</f>
        <v>32</v>
      </c>
      <c r="BB442" s="402"/>
      <c r="BC442" s="402">
        <f t="shared" si="100"/>
        <v>0</v>
      </c>
    </row>
    <row r="443" spans="1:55">
      <c r="A443" s="278">
        <v>19</v>
      </c>
      <c r="B443" s="491">
        <v>360</v>
      </c>
      <c r="C443" s="279"/>
      <c r="D443" s="366" t="s">
        <v>2804</v>
      </c>
      <c r="E443" s="280" t="s">
        <v>4865</v>
      </c>
      <c r="F443" s="405"/>
      <c r="G443" s="405">
        <v>2022</v>
      </c>
      <c r="H443" s="405">
        <v>5</v>
      </c>
      <c r="I443" s="405"/>
      <c r="J443" s="406"/>
      <c r="K443" s="405" t="s">
        <v>4490</v>
      </c>
      <c r="L443" s="406" t="s">
        <v>2806</v>
      </c>
      <c r="M443" s="406">
        <v>44680</v>
      </c>
      <c r="N443" s="406">
        <v>44680</v>
      </c>
      <c r="O443" s="406"/>
      <c r="P443" s="406">
        <v>44690</v>
      </c>
      <c r="Q443" s="406"/>
      <c r="R443" s="406"/>
      <c r="S443" s="405" t="s">
        <v>1098</v>
      </c>
      <c r="T443" s="405">
        <v>60</v>
      </c>
      <c r="U443" s="405">
        <v>49203132</v>
      </c>
      <c r="V443" s="405" t="s">
        <v>986</v>
      </c>
      <c r="W443" s="407">
        <v>360</v>
      </c>
      <c r="X443" s="371">
        <v>768</v>
      </c>
      <c r="Y443" s="408">
        <f>W443*X443</f>
        <v>276480</v>
      </c>
      <c r="Z443" s="409">
        <v>0.47</v>
      </c>
      <c r="AA443" s="410">
        <f>Y443*Z443</f>
        <v>129945.59999999999</v>
      </c>
      <c r="AB443" s="411"/>
      <c r="AC443" s="412">
        <f>AB443*Y443</f>
        <v>0</v>
      </c>
      <c r="AD443" s="421"/>
      <c r="AE443" s="413"/>
      <c r="AF443" s="424">
        <f>AE443+AD443+AA443</f>
        <v>129945.59999999999</v>
      </c>
      <c r="AG443" s="405" t="s">
        <v>47</v>
      </c>
      <c r="AH443" s="405"/>
      <c r="AI443" s="405">
        <v>45</v>
      </c>
      <c r="AJ443" s="405" t="s">
        <v>1584</v>
      </c>
      <c r="AK443" s="405" t="s">
        <v>50</v>
      </c>
      <c r="AL443" s="425">
        <v>95827</v>
      </c>
      <c r="AM443" s="405" t="s">
        <v>52</v>
      </c>
      <c r="AN443" s="405" t="s">
        <v>1101</v>
      </c>
      <c r="AO443" s="405"/>
      <c r="AP443" s="413"/>
      <c r="AQ443" s="413" t="s">
        <v>37</v>
      </c>
      <c r="AR443" s="405"/>
      <c r="AS443" s="386" t="s">
        <v>1073</v>
      </c>
      <c r="AT443" s="281" t="s">
        <v>1073</v>
      </c>
      <c r="AU443" s="403"/>
      <c r="AV443" s="402">
        <f t="shared" si="98"/>
        <v>49203132</v>
      </c>
      <c r="AW443" s="402" cm="1">
        <f t="array" ref="AW443">SUM(MID(0&amp;AV443,LARGE(INDEX(ISNUMBER(--MID(AV443,ROW($1:$8),1))*ROW($1:$8),),ROW($1:$8))+1,1)*10^ROW($1:$8)/10)</f>
        <v>49203132</v>
      </c>
      <c r="AX443" s="402" t="str">
        <f>VLOOKUP($AW443,'Item Master Data'!$A:$F,3,FALSE)</f>
        <v>Q.PEAK DUO BLK G10+</v>
      </c>
      <c r="AY443" s="402">
        <f>VLOOKUP($AW443,'Item Master Data'!$A:$F,6,FALSE)</f>
        <v>360</v>
      </c>
      <c r="AZ443" s="402">
        <f t="shared" si="99"/>
        <v>24</v>
      </c>
      <c r="BA443" s="402">
        <f>VLOOKUP(AW443,'Item Master Data'!$A:$G,7,FALSE)</f>
        <v>32</v>
      </c>
      <c r="BB443" s="402"/>
      <c r="BC443" s="402">
        <f t="shared" si="100"/>
        <v>0</v>
      </c>
    </row>
    <row r="444" spans="1:55">
      <c r="A444" s="278">
        <v>19</v>
      </c>
      <c r="B444" s="491">
        <v>360</v>
      </c>
      <c r="C444" s="279"/>
      <c r="D444" s="366" t="s">
        <v>2804</v>
      </c>
      <c r="E444" s="280" t="s">
        <v>4865</v>
      </c>
      <c r="F444" s="405"/>
      <c r="G444" s="405">
        <v>2022</v>
      </c>
      <c r="H444" s="405">
        <v>5</v>
      </c>
      <c r="I444" s="405"/>
      <c r="J444" s="406"/>
      <c r="K444" s="405" t="s">
        <v>4492</v>
      </c>
      <c r="L444" s="406" t="s">
        <v>2806</v>
      </c>
      <c r="M444" s="406">
        <v>44680</v>
      </c>
      <c r="N444" s="406">
        <v>44680</v>
      </c>
      <c r="O444" s="406"/>
      <c r="P444" s="406">
        <v>44690</v>
      </c>
      <c r="Q444" s="406"/>
      <c r="R444" s="406"/>
      <c r="S444" s="405" t="s">
        <v>1098</v>
      </c>
      <c r="T444" s="405">
        <v>60</v>
      </c>
      <c r="U444" s="405">
        <v>49203132</v>
      </c>
      <c r="V444" s="405" t="s">
        <v>986</v>
      </c>
      <c r="W444" s="407">
        <v>360</v>
      </c>
      <c r="X444" s="371">
        <v>768</v>
      </c>
      <c r="Y444" s="408">
        <f>W444*X444</f>
        <v>276480</v>
      </c>
      <c r="Z444" s="409">
        <v>0.47</v>
      </c>
      <c r="AA444" s="410">
        <f>Y444*Z444</f>
        <v>129945.59999999999</v>
      </c>
      <c r="AB444" s="411"/>
      <c r="AC444" s="412">
        <f>AB444*Y444</f>
        <v>0</v>
      </c>
      <c r="AD444" s="421"/>
      <c r="AE444" s="413"/>
      <c r="AF444" s="424">
        <f>AE444+AD444+AA444</f>
        <v>129945.59999999999</v>
      </c>
      <c r="AG444" s="405" t="s">
        <v>47</v>
      </c>
      <c r="AH444" s="405"/>
      <c r="AI444" s="405">
        <v>45</v>
      </c>
      <c r="AJ444" s="405" t="s">
        <v>2808</v>
      </c>
      <c r="AK444" s="405" t="s">
        <v>50</v>
      </c>
      <c r="AL444" s="425">
        <v>94551</v>
      </c>
      <c r="AM444" s="405" t="s">
        <v>52</v>
      </c>
      <c r="AN444" s="405" t="s">
        <v>1101</v>
      </c>
      <c r="AO444" s="405"/>
      <c r="AP444" s="413"/>
      <c r="AQ444" s="413" t="s">
        <v>37</v>
      </c>
      <c r="AR444" s="405"/>
      <c r="AS444" s="386" t="s">
        <v>1073</v>
      </c>
      <c r="AT444" s="281" t="s">
        <v>1073</v>
      </c>
      <c r="AU444" s="403"/>
      <c r="AV444" s="402"/>
      <c r="AW444" s="402"/>
      <c r="AX444" s="402"/>
      <c r="AY444" s="402"/>
      <c r="AZ444" s="402"/>
      <c r="BA444" s="402"/>
      <c r="BB444" s="402"/>
      <c r="BC444" s="402"/>
    </row>
    <row r="445" spans="1:55">
      <c r="A445" s="278">
        <v>20</v>
      </c>
      <c r="B445" s="491"/>
      <c r="C445" s="279"/>
      <c r="D445" s="366" t="s">
        <v>2804</v>
      </c>
      <c r="E445" s="280" t="s">
        <v>4866</v>
      </c>
      <c r="F445" s="405"/>
      <c r="G445" s="405">
        <v>2022</v>
      </c>
      <c r="H445" s="405">
        <v>5</v>
      </c>
      <c r="I445" s="405"/>
      <c r="J445" s="406"/>
      <c r="K445" s="405" t="s">
        <v>4493</v>
      </c>
      <c r="L445" s="406" t="s">
        <v>2806</v>
      </c>
      <c r="M445" s="406">
        <v>44680</v>
      </c>
      <c r="N445" s="406">
        <v>44680</v>
      </c>
      <c r="O445" s="406"/>
      <c r="P445" s="406">
        <v>44691</v>
      </c>
      <c r="Q445" s="406"/>
      <c r="R445" s="406"/>
      <c r="S445" s="405" t="s">
        <v>1098</v>
      </c>
      <c r="T445" s="405">
        <v>60</v>
      </c>
      <c r="U445" s="405">
        <v>49203132</v>
      </c>
      <c r="V445" s="405" t="s">
        <v>986</v>
      </c>
      <c r="W445" s="407">
        <v>360</v>
      </c>
      <c r="X445" s="371">
        <v>768</v>
      </c>
      <c r="Y445" s="408">
        <f>W445*X445</f>
        <v>276480</v>
      </c>
      <c r="Z445" s="409">
        <v>0.47</v>
      </c>
      <c r="AA445" s="410">
        <f>Y445*Z445</f>
        <v>129945.59999999999</v>
      </c>
      <c r="AB445" s="411"/>
      <c r="AC445" s="412">
        <f>AB445*Y445</f>
        <v>0</v>
      </c>
      <c r="AD445" s="421"/>
      <c r="AE445" s="413"/>
      <c r="AF445" s="424">
        <f>AE445+AD445+AA445</f>
        <v>129945.59999999999</v>
      </c>
      <c r="AG445" s="405" t="s">
        <v>47</v>
      </c>
      <c r="AH445" s="405"/>
      <c r="AI445" s="405">
        <v>45</v>
      </c>
      <c r="AJ445" s="405" t="s">
        <v>2808</v>
      </c>
      <c r="AK445" s="405" t="s">
        <v>50</v>
      </c>
      <c r="AL445" s="425">
        <v>94551</v>
      </c>
      <c r="AM445" s="405" t="s">
        <v>52</v>
      </c>
      <c r="AN445" s="405" t="s">
        <v>1101</v>
      </c>
      <c r="AO445" s="405"/>
      <c r="AP445" s="413"/>
      <c r="AQ445" s="413" t="s">
        <v>37</v>
      </c>
      <c r="AR445" s="405"/>
      <c r="AS445" s="386" t="s">
        <v>1073</v>
      </c>
      <c r="AT445" s="281" t="s">
        <v>1073</v>
      </c>
      <c r="AU445" s="403"/>
      <c r="AV445" s="402">
        <f t="shared" ref="AV445:AV454" si="104">U445</f>
        <v>49203132</v>
      </c>
      <c r="AW445" s="402" cm="1">
        <f t="array" ref="AW445">SUM(MID(0&amp;AV445,LARGE(INDEX(ISNUMBER(--MID(AV445,ROW($1:$8),1))*ROW($1:$8),),ROW($1:$8))+1,1)*10^ROW($1:$8)/10)</f>
        <v>49203132</v>
      </c>
      <c r="AX445" s="402" t="str">
        <f>VLOOKUP($AW445,'Item Master Data'!$A:$F,3,FALSE)</f>
        <v>Q.PEAK DUO BLK G10+</v>
      </c>
      <c r="AY445" s="402">
        <f>VLOOKUP($AW445,'Item Master Data'!$A:$F,6,FALSE)</f>
        <v>360</v>
      </c>
      <c r="AZ445" s="402">
        <f t="shared" ref="AZ445:AZ454" si="105">X445/BA445</f>
        <v>24</v>
      </c>
      <c r="BA445" s="402">
        <f>VLOOKUP(AW445,'Item Master Data'!$A:$G,7,FALSE)</f>
        <v>32</v>
      </c>
      <c r="BB445" s="402"/>
      <c r="BC445" s="402">
        <f t="shared" ref="BC445:BC454" si="106">W445-AY445</f>
        <v>0</v>
      </c>
    </row>
    <row r="446" spans="1:55">
      <c r="A446" s="278">
        <v>20</v>
      </c>
      <c r="B446" s="491">
        <v>360</v>
      </c>
      <c r="C446" s="279"/>
      <c r="D446" s="366" t="s">
        <v>2804</v>
      </c>
      <c r="E446" s="280" t="s">
        <v>4866</v>
      </c>
      <c r="F446" s="405"/>
      <c r="G446" s="405">
        <v>2022</v>
      </c>
      <c r="H446" s="405">
        <v>5</v>
      </c>
      <c r="I446" s="405"/>
      <c r="J446" s="406"/>
      <c r="K446" s="405" t="s">
        <v>4482</v>
      </c>
      <c r="L446" s="406" t="s">
        <v>2806</v>
      </c>
      <c r="M446" s="406">
        <v>44680</v>
      </c>
      <c r="N446" s="406">
        <v>44680</v>
      </c>
      <c r="O446" s="406"/>
      <c r="P446" s="406">
        <v>44691</v>
      </c>
      <c r="Q446" s="406"/>
      <c r="R446" s="406"/>
      <c r="S446" s="405" t="s">
        <v>1098</v>
      </c>
      <c r="T446" s="405">
        <v>60</v>
      </c>
      <c r="U446" s="405">
        <v>49203132</v>
      </c>
      <c r="V446" s="405" t="s">
        <v>986</v>
      </c>
      <c r="W446" s="407">
        <v>360</v>
      </c>
      <c r="X446" s="371">
        <v>768</v>
      </c>
      <c r="Y446" s="408">
        <f>W446*X446</f>
        <v>276480</v>
      </c>
      <c r="Z446" s="409">
        <v>0.47</v>
      </c>
      <c r="AA446" s="410">
        <f>Y446*Z446</f>
        <v>129945.59999999999</v>
      </c>
      <c r="AB446" s="411"/>
      <c r="AC446" s="412">
        <f>AB446*Y446</f>
        <v>0</v>
      </c>
      <c r="AD446" s="421"/>
      <c r="AE446" s="413"/>
      <c r="AF446" s="424">
        <f>AE446+AD446+AA446</f>
        <v>129945.59999999999</v>
      </c>
      <c r="AG446" s="405" t="s">
        <v>47</v>
      </c>
      <c r="AH446" s="405"/>
      <c r="AI446" s="405">
        <v>45</v>
      </c>
      <c r="AJ446" s="405" t="s">
        <v>1573</v>
      </c>
      <c r="AK446" s="405" t="s">
        <v>50</v>
      </c>
      <c r="AL446" s="425">
        <v>93308</v>
      </c>
      <c r="AM446" s="405" t="s">
        <v>52</v>
      </c>
      <c r="AN446" s="405" t="s">
        <v>1101</v>
      </c>
      <c r="AO446" s="405"/>
      <c r="AP446" s="413"/>
      <c r="AQ446" s="413" t="s">
        <v>37</v>
      </c>
      <c r="AR446" s="405"/>
      <c r="AS446" s="386" t="s">
        <v>1073</v>
      </c>
      <c r="AT446" s="281" t="s">
        <v>1073</v>
      </c>
      <c r="AU446" s="403"/>
      <c r="AV446" s="402">
        <f t="shared" si="104"/>
        <v>49203132</v>
      </c>
      <c r="AW446" s="402" cm="1">
        <f t="array" ref="AW446">SUM(MID(0&amp;AV446,LARGE(INDEX(ISNUMBER(--MID(AV446,ROW($1:$8),1))*ROW($1:$8),),ROW($1:$8))+1,1)*10^ROW($1:$8)/10)</f>
        <v>49203132</v>
      </c>
      <c r="AX446" s="402" t="str">
        <f>VLOOKUP($AW446,'Item Master Data'!$A:$F,3,FALSE)</f>
        <v>Q.PEAK DUO BLK G10+</v>
      </c>
      <c r="AY446" s="402">
        <f>VLOOKUP($AW446,'Item Master Data'!$A:$F,6,FALSE)</f>
        <v>360</v>
      </c>
      <c r="AZ446" s="402">
        <f t="shared" si="105"/>
        <v>24</v>
      </c>
      <c r="BA446" s="402">
        <f>VLOOKUP(AW446,'Item Master Data'!$A:$G,7,FALSE)</f>
        <v>32</v>
      </c>
      <c r="BB446" s="402"/>
      <c r="BC446" s="402">
        <f t="shared" si="106"/>
        <v>0</v>
      </c>
    </row>
    <row r="447" spans="1:55">
      <c r="A447" s="278">
        <v>20</v>
      </c>
      <c r="B447" s="491">
        <v>360</v>
      </c>
      <c r="C447" s="279"/>
      <c r="D447" s="366" t="s">
        <v>2804</v>
      </c>
      <c r="E447" s="280" t="s">
        <v>4866</v>
      </c>
      <c r="F447" s="405"/>
      <c r="G447" s="405">
        <v>2022</v>
      </c>
      <c r="H447" s="405">
        <v>5</v>
      </c>
      <c r="I447" s="405"/>
      <c r="J447" s="406"/>
      <c r="K447" s="405" t="s">
        <v>4484</v>
      </c>
      <c r="L447" s="406" t="s">
        <v>2806</v>
      </c>
      <c r="M447" s="406">
        <v>44680</v>
      </c>
      <c r="N447" s="406">
        <v>44680</v>
      </c>
      <c r="O447" s="406"/>
      <c r="P447" s="406">
        <v>44691</v>
      </c>
      <c r="Q447" s="406"/>
      <c r="R447" s="406"/>
      <c r="S447" s="405" t="s">
        <v>1098</v>
      </c>
      <c r="T447" s="405">
        <v>60</v>
      </c>
      <c r="U447" s="405">
        <v>49203132</v>
      </c>
      <c r="V447" s="405" t="s">
        <v>986</v>
      </c>
      <c r="W447" s="407">
        <v>360</v>
      </c>
      <c r="X447" s="371">
        <v>768</v>
      </c>
      <c r="Y447" s="408">
        <f>W447*X447</f>
        <v>276480</v>
      </c>
      <c r="Z447" s="409">
        <v>0.47</v>
      </c>
      <c r="AA447" s="410">
        <f>Y447*Z447</f>
        <v>129945.59999999999</v>
      </c>
      <c r="AB447" s="411"/>
      <c r="AC447" s="412">
        <f>AB447*Y447</f>
        <v>0</v>
      </c>
      <c r="AD447" s="421"/>
      <c r="AE447" s="413"/>
      <c r="AF447" s="424">
        <f>AE447+AD447+AA447</f>
        <v>129945.59999999999</v>
      </c>
      <c r="AG447" s="405" t="s">
        <v>47</v>
      </c>
      <c r="AH447" s="405"/>
      <c r="AI447" s="405">
        <v>45</v>
      </c>
      <c r="AJ447" s="405" t="s">
        <v>1681</v>
      </c>
      <c r="AK447" s="405" t="s">
        <v>50</v>
      </c>
      <c r="AL447" s="425">
        <v>92121</v>
      </c>
      <c r="AM447" s="405" t="s">
        <v>52</v>
      </c>
      <c r="AN447" s="405" t="s">
        <v>1101</v>
      </c>
      <c r="AO447" s="405"/>
      <c r="AP447" s="413"/>
      <c r="AQ447" s="413" t="s">
        <v>37</v>
      </c>
      <c r="AR447" s="405"/>
      <c r="AS447" s="386" t="s">
        <v>1073</v>
      </c>
      <c r="AT447" s="281" t="s">
        <v>1073</v>
      </c>
      <c r="AU447" s="403"/>
      <c r="AV447" s="402">
        <f t="shared" si="104"/>
        <v>49203132</v>
      </c>
      <c r="AW447" s="402" cm="1">
        <f t="array" ref="AW447">SUM(MID(0&amp;AV447,LARGE(INDEX(ISNUMBER(--MID(AV447,ROW($1:$8),1))*ROW($1:$8),),ROW($1:$8))+1,1)*10^ROW($1:$8)/10)</f>
        <v>49203132</v>
      </c>
      <c r="AX447" s="402" t="str">
        <f>VLOOKUP($AW447,'Item Master Data'!$A:$F,3,FALSE)</f>
        <v>Q.PEAK DUO BLK G10+</v>
      </c>
      <c r="AY447" s="402">
        <f>VLOOKUP($AW447,'Item Master Data'!$A:$F,6,FALSE)</f>
        <v>360</v>
      </c>
      <c r="AZ447" s="402">
        <f t="shared" si="105"/>
        <v>24</v>
      </c>
      <c r="BA447" s="402">
        <f>VLOOKUP(AW447,'Item Master Data'!$A:$G,7,FALSE)</f>
        <v>32</v>
      </c>
      <c r="BB447" s="402"/>
      <c r="BC447" s="402">
        <f t="shared" si="106"/>
        <v>0</v>
      </c>
    </row>
    <row r="448" spans="1:55">
      <c r="A448" s="278">
        <v>21</v>
      </c>
      <c r="B448" s="491">
        <v>360</v>
      </c>
      <c r="C448" s="279"/>
      <c r="D448" s="366" t="s">
        <v>2804</v>
      </c>
      <c r="E448" s="280" t="s">
        <v>4953</v>
      </c>
      <c r="F448" s="405"/>
      <c r="G448" s="405">
        <v>2022</v>
      </c>
      <c r="H448" s="405">
        <v>5</v>
      </c>
      <c r="I448" s="405"/>
      <c r="J448" s="406"/>
      <c r="K448" s="509" t="s">
        <v>4483</v>
      </c>
      <c r="L448" s="510" t="s">
        <v>2806</v>
      </c>
      <c r="M448" s="406">
        <v>44680</v>
      </c>
      <c r="N448" s="406">
        <v>44680</v>
      </c>
      <c r="O448" s="406"/>
      <c r="P448" s="406"/>
      <c r="Q448" s="406"/>
      <c r="R448" s="406"/>
      <c r="S448" s="405" t="s">
        <v>1098</v>
      </c>
      <c r="T448" s="405">
        <v>60</v>
      </c>
      <c r="U448" s="405"/>
      <c r="V448" s="405" t="s">
        <v>986</v>
      </c>
      <c r="W448" s="407">
        <v>360</v>
      </c>
      <c r="X448" s="371">
        <v>768</v>
      </c>
      <c r="Y448" s="408">
        <f>W448*X448</f>
        <v>276480</v>
      </c>
      <c r="Z448" s="409">
        <v>0.47</v>
      </c>
      <c r="AA448" s="410">
        <f>Y448*Z448</f>
        <v>129945.59999999999</v>
      </c>
      <c r="AB448" s="411"/>
      <c r="AC448" s="412">
        <f>AB448*Y448</f>
        <v>0</v>
      </c>
      <c r="AD448" s="421"/>
      <c r="AE448" s="413"/>
      <c r="AF448" s="424">
        <f>AE448+AD448+AA448</f>
        <v>129945.59999999999</v>
      </c>
      <c r="AG448" s="405" t="s">
        <v>47</v>
      </c>
      <c r="AH448" s="405"/>
      <c r="AI448" s="405">
        <v>45</v>
      </c>
      <c r="AJ448" s="405" t="s">
        <v>1573</v>
      </c>
      <c r="AK448" s="405" t="s">
        <v>50</v>
      </c>
      <c r="AL448" s="425">
        <v>93308</v>
      </c>
      <c r="AM448" s="405" t="s">
        <v>52</v>
      </c>
      <c r="AN448" s="405"/>
      <c r="AO448" s="405"/>
      <c r="AP448" s="413"/>
      <c r="AQ448" s="413" t="s">
        <v>37</v>
      </c>
      <c r="AR448" s="405"/>
      <c r="AS448" s="386" t="s">
        <v>1073</v>
      </c>
      <c r="AT448" s="281" t="s">
        <v>1073</v>
      </c>
      <c r="AU448" s="403"/>
      <c r="AV448" s="402">
        <f t="shared" si="104"/>
        <v>0</v>
      </c>
      <c r="AW448" s="402" cm="1">
        <f t="array" ref="AW448">SUM(MID(0&amp;AV448,LARGE(INDEX(ISNUMBER(--MID(AV448,ROW($1:$8),1))*ROW($1:$8),),ROW($1:$8))+1,1)*10^ROW($1:$8)/10)</f>
        <v>0</v>
      </c>
      <c r="AX448" s="402" t="e">
        <f>VLOOKUP($AW448,'Item Master Data'!$A:$F,3,FALSE)</f>
        <v>#N/A</v>
      </c>
      <c r="AY448" s="402" t="e">
        <f>VLOOKUP($AW448,'Item Master Data'!$A:$F,6,FALSE)</f>
        <v>#N/A</v>
      </c>
      <c r="AZ448" s="402" t="e">
        <f t="shared" si="105"/>
        <v>#N/A</v>
      </c>
      <c r="BA448" s="402" t="e">
        <f>VLOOKUP(AW448,'Item Master Data'!$A:$G,7,FALSE)</f>
        <v>#N/A</v>
      </c>
      <c r="BB448" s="402"/>
      <c r="BC448" s="402" t="e">
        <f t="shared" si="106"/>
        <v>#N/A</v>
      </c>
    </row>
    <row r="449" spans="1:55">
      <c r="A449" s="278">
        <v>21</v>
      </c>
      <c r="B449" s="491">
        <v>360</v>
      </c>
      <c r="C449" s="279"/>
      <c r="D449" s="366" t="s">
        <v>2804</v>
      </c>
      <c r="E449" s="280" t="s">
        <v>4694</v>
      </c>
      <c r="F449" s="405"/>
      <c r="G449" s="405">
        <v>2022</v>
      </c>
      <c r="H449" s="405">
        <v>5</v>
      </c>
      <c r="I449" s="405"/>
      <c r="J449" s="406"/>
      <c r="K449" s="405" t="s">
        <v>4485</v>
      </c>
      <c r="L449" s="406" t="s">
        <v>2806</v>
      </c>
      <c r="M449" s="406">
        <v>44680</v>
      </c>
      <c r="N449" s="406">
        <v>44680</v>
      </c>
      <c r="O449" s="406"/>
      <c r="P449" s="406"/>
      <c r="Q449" s="406" t="s">
        <v>4598</v>
      </c>
      <c r="R449" s="406"/>
      <c r="S449" s="405" t="s">
        <v>1098</v>
      </c>
      <c r="T449" s="405">
        <v>60</v>
      </c>
      <c r="U449" s="405"/>
      <c r="V449" s="405" t="s">
        <v>986</v>
      </c>
      <c r="W449" s="407">
        <v>360</v>
      </c>
      <c r="X449" s="371">
        <v>768</v>
      </c>
      <c r="Y449" s="408">
        <f>W449*X449</f>
        <v>276480</v>
      </c>
      <c r="Z449" s="409">
        <v>0.47</v>
      </c>
      <c r="AA449" s="410">
        <f>Y449*Z449</f>
        <v>129945.59999999999</v>
      </c>
      <c r="AB449" s="411"/>
      <c r="AC449" s="412">
        <f>AB449*Y449</f>
        <v>0</v>
      </c>
      <c r="AD449" s="421"/>
      <c r="AE449" s="413"/>
      <c r="AF449" s="424">
        <f>AE449+AD449+AA449</f>
        <v>129945.59999999999</v>
      </c>
      <c r="AG449" s="405" t="s">
        <v>47</v>
      </c>
      <c r="AH449" s="405"/>
      <c r="AI449" s="405">
        <v>45</v>
      </c>
      <c r="AJ449" s="405" t="s">
        <v>1681</v>
      </c>
      <c r="AK449" s="405" t="s">
        <v>50</v>
      </c>
      <c r="AL449" s="425">
        <v>92121</v>
      </c>
      <c r="AM449" s="405" t="s">
        <v>52</v>
      </c>
      <c r="AN449" s="405"/>
      <c r="AO449" s="405"/>
      <c r="AP449" s="413"/>
      <c r="AQ449" s="413" t="s">
        <v>37</v>
      </c>
      <c r="AR449" s="405"/>
      <c r="AS449" s="386" t="s">
        <v>1073</v>
      </c>
      <c r="AT449" s="281" t="s">
        <v>1073</v>
      </c>
      <c r="AU449" s="403"/>
      <c r="AV449" s="402">
        <f t="shared" si="104"/>
        <v>0</v>
      </c>
      <c r="AW449" s="402" cm="1">
        <f t="array" ref="AW449">SUM(MID(0&amp;AV449,LARGE(INDEX(ISNUMBER(--MID(AV449,ROW($1:$8),1))*ROW($1:$8),),ROW($1:$8))+1,1)*10^ROW($1:$8)/10)</f>
        <v>0</v>
      </c>
      <c r="AX449" s="402" t="e">
        <f>VLOOKUP($AW449,'Item Master Data'!$A:$F,3,FALSE)</f>
        <v>#N/A</v>
      </c>
      <c r="AY449" s="402" t="e">
        <f>VLOOKUP($AW449,'Item Master Data'!$A:$F,6,FALSE)</f>
        <v>#N/A</v>
      </c>
      <c r="AZ449" s="402" t="e">
        <f t="shared" si="105"/>
        <v>#N/A</v>
      </c>
      <c r="BA449" s="402" t="e">
        <f>VLOOKUP(AW449,'Item Master Data'!$A:$G,7,FALSE)</f>
        <v>#N/A</v>
      </c>
      <c r="BB449" s="402"/>
      <c r="BC449" s="402" t="e">
        <f t="shared" si="106"/>
        <v>#N/A</v>
      </c>
    </row>
    <row r="450" spans="1:55">
      <c r="A450" s="278">
        <v>21</v>
      </c>
      <c r="B450" s="491">
        <v>360</v>
      </c>
      <c r="C450" s="279"/>
      <c r="D450" s="366" t="s">
        <v>2804</v>
      </c>
      <c r="E450" s="280" t="s">
        <v>4694</v>
      </c>
      <c r="F450" s="405"/>
      <c r="G450" s="405">
        <v>2022</v>
      </c>
      <c r="H450" s="405">
        <v>5</v>
      </c>
      <c r="I450" s="405"/>
      <c r="J450" s="406"/>
      <c r="K450" s="405" t="s">
        <v>4486</v>
      </c>
      <c r="L450" s="406" t="s">
        <v>2806</v>
      </c>
      <c r="M450" s="406">
        <v>44680</v>
      </c>
      <c r="N450" s="406">
        <v>44680</v>
      </c>
      <c r="O450" s="406"/>
      <c r="P450" s="406"/>
      <c r="Q450" s="406" t="s">
        <v>4598</v>
      </c>
      <c r="R450" s="406"/>
      <c r="S450" s="405" t="s">
        <v>1098</v>
      </c>
      <c r="T450" s="405">
        <v>60</v>
      </c>
      <c r="U450" s="405"/>
      <c r="V450" s="405" t="s">
        <v>986</v>
      </c>
      <c r="W450" s="407">
        <v>360</v>
      </c>
      <c r="X450" s="371">
        <v>768</v>
      </c>
      <c r="Y450" s="408">
        <f>W450*X450</f>
        <v>276480</v>
      </c>
      <c r="Z450" s="409">
        <v>0.47</v>
      </c>
      <c r="AA450" s="410">
        <f>Y450*Z450</f>
        <v>129945.59999999999</v>
      </c>
      <c r="AB450" s="411"/>
      <c r="AC450" s="412">
        <f>AB450*Y450</f>
        <v>0</v>
      </c>
      <c r="AD450" s="421"/>
      <c r="AE450" s="413"/>
      <c r="AF450" s="424">
        <f>AE450+AD450+AA450</f>
        <v>129945.59999999999</v>
      </c>
      <c r="AG450" s="405" t="s">
        <v>47</v>
      </c>
      <c r="AH450" s="405"/>
      <c r="AI450" s="405">
        <v>45</v>
      </c>
      <c r="AJ450" s="405" t="s">
        <v>1681</v>
      </c>
      <c r="AK450" s="405" t="s">
        <v>50</v>
      </c>
      <c r="AL450" s="425">
        <v>92121</v>
      </c>
      <c r="AM450" s="405" t="s">
        <v>52</v>
      </c>
      <c r="AN450" s="405"/>
      <c r="AO450" s="405"/>
      <c r="AP450" s="413"/>
      <c r="AQ450" s="413" t="s">
        <v>37</v>
      </c>
      <c r="AR450" s="405"/>
      <c r="AS450" s="386" t="s">
        <v>1073</v>
      </c>
      <c r="AT450" s="281" t="s">
        <v>1073</v>
      </c>
      <c r="AU450" s="403"/>
      <c r="AV450" s="402">
        <f t="shared" si="104"/>
        <v>0</v>
      </c>
      <c r="AW450" s="402" cm="1">
        <f t="array" ref="AW450">SUM(MID(0&amp;AV450,LARGE(INDEX(ISNUMBER(--MID(AV450,ROW($1:$8),1))*ROW($1:$8),),ROW($1:$8))+1,1)*10^ROW($1:$8)/10)</f>
        <v>0</v>
      </c>
      <c r="AX450" s="402" t="e">
        <f>VLOOKUP($AW450,'Item Master Data'!$A:$F,3,FALSE)</f>
        <v>#N/A</v>
      </c>
      <c r="AY450" s="402" t="e">
        <f>VLOOKUP($AW450,'Item Master Data'!$A:$F,6,FALSE)</f>
        <v>#N/A</v>
      </c>
      <c r="AZ450" s="402" t="e">
        <f t="shared" si="105"/>
        <v>#N/A</v>
      </c>
      <c r="BA450" s="402" t="e">
        <f>VLOOKUP(AW450,'Item Master Data'!$A:$G,7,FALSE)</f>
        <v>#N/A</v>
      </c>
      <c r="BB450" s="402"/>
      <c r="BC450" s="402" t="e">
        <f t="shared" si="106"/>
        <v>#N/A</v>
      </c>
    </row>
    <row r="451" spans="1:55">
      <c r="A451" s="278">
        <v>22</v>
      </c>
      <c r="B451" s="491">
        <v>400</v>
      </c>
      <c r="C451" s="279"/>
      <c r="D451" s="366" t="s">
        <v>2804</v>
      </c>
      <c r="E451" s="280" t="s">
        <v>4953</v>
      </c>
      <c r="F451" s="405"/>
      <c r="G451" s="405">
        <v>2022</v>
      </c>
      <c r="H451" s="405">
        <v>5</v>
      </c>
      <c r="I451" s="405"/>
      <c r="J451" s="406"/>
      <c r="K451" s="509" t="s">
        <v>4487</v>
      </c>
      <c r="L451" s="510" t="s">
        <v>2806</v>
      </c>
      <c r="M451" s="406">
        <v>44680</v>
      </c>
      <c r="N451" s="406">
        <v>44680</v>
      </c>
      <c r="O451" s="406"/>
      <c r="P451" s="406"/>
      <c r="Q451" s="406" t="s">
        <v>4598</v>
      </c>
      <c r="R451" s="406"/>
      <c r="S451" s="405" t="s">
        <v>1098</v>
      </c>
      <c r="T451" s="405">
        <v>60</v>
      </c>
      <c r="U451" s="405"/>
      <c r="V451" s="405" t="s">
        <v>986</v>
      </c>
      <c r="W451" s="407">
        <v>400</v>
      </c>
      <c r="X451" s="371">
        <v>768</v>
      </c>
      <c r="Y451" s="408">
        <f>W451*X451</f>
        <v>307200</v>
      </c>
      <c r="Z451" s="409">
        <v>0.48</v>
      </c>
      <c r="AA451" s="410">
        <f>Y451*Z451</f>
        <v>147456</v>
      </c>
      <c r="AB451" s="411"/>
      <c r="AC451" s="412">
        <f>AB451*Y451</f>
        <v>0</v>
      </c>
      <c r="AD451" s="421"/>
      <c r="AE451" s="413"/>
      <c r="AF451" s="424">
        <f>AE451+AD451+AA451</f>
        <v>147456</v>
      </c>
      <c r="AG451" s="405" t="s">
        <v>47</v>
      </c>
      <c r="AH451" s="405"/>
      <c r="AI451" s="405">
        <v>45</v>
      </c>
      <c r="AJ451" s="405" t="s">
        <v>1573</v>
      </c>
      <c r="AK451" s="405" t="s">
        <v>50</v>
      </c>
      <c r="AL451" s="425">
        <v>93308</v>
      </c>
      <c r="AM451" s="405" t="s">
        <v>52</v>
      </c>
      <c r="AN451" s="405"/>
      <c r="AO451" s="405"/>
      <c r="AP451" s="413"/>
      <c r="AQ451" s="413" t="s">
        <v>37</v>
      </c>
      <c r="AR451" s="405"/>
      <c r="AS451" s="386" t="s">
        <v>1073</v>
      </c>
      <c r="AT451" s="281" t="s">
        <v>1073</v>
      </c>
      <c r="AU451" s="403"/>
      <c r="AV451" s="402">
        <f t="shared" si="104"/>
        <v>0</v>
      </c>
      <c r="AW451" s="402" cm="1">
        <f t="array" ref="AW451">SUM(MID(0&amp;AV451,LARGE(INDEX(ISNUMBER(--MID(AV451,ROW($1:$8),1))*ROW($1:$8),),ROW($1:$8))+1,1)*10^ROW($1:$8)/10)</f>
        <v>0</v>
      </c>
      <c r="AX451" s="402" t="e">
        <f>VLOOKUP($AW451,'Item Master Data'!$A:$F,3,FALSE)</f>
        <v>#N/A</v>
      </c>
      <c r="AY451" s="402" t="e">
        <f>VLOOKUP($AW451,'Item Master Data'!$A:$F,6,FALSE)</f>
        <v>#N/A</v>
      </c>
      <c r="AZ451" s="402" t="e">
        <f t="shared" si="105"/>
        <v>#N/A</v>
      </c>
      <c r="BA451" s="402" t="e">
        <f>VLOOKUP(AW451,'Item Master Data'!$A:$G,7,FALSE)</f>
        <v>#N/A</v>
      </c>
      <c r="BB451" s="402"/>
      <c r="BC451" s="402" t="e">
        <f t="shared" si="106"/>
        <v>#N/A</v>
      </c>
    </row>
    <row r="452" spans="1:55">
      <c r="A452" s="278">
        <v>22</v>
      </c>
      <c r="B452" s="491">
        <v>360</v>
      </c>
      <c r="C452" s="279"/>
      <c r="D452" s="366" t="s">
        <v>2804</v>
      </c>
      <c r="E452" s="280" t="s">
        <v>4953</v>
      </c>
      <c r="F452" s="405"/>
      <c r="G452" s="405">
        <v>2022</v>
      </c>
      <c r="H452" s="405">
        <v>5</v>
      </c>
      <c r="I452" s="405"/>
      <c r="J452" s="406"/>
      <c r="K452" s="509" t="s">
        <v>4488</v>
      </c>
      <c r="L452" s="510" t="s">
        <v>2806</v>
      </c>
      <c r="M452" s="406">
        <v>44680</v>
      </c>
      <c r="N452" s="406">
        <v>44680</v>
      </c>
      <c r="O452" s="406"/>
      <c r="P452" s="406"/>
      <c r="Q452" s="406" t="s">
        <v>4598</v>
      </c>
      <c r="R452" s="406"/>
      <c r="S452" s="405" t="s">
        <v>1098</v>
      </c>
      <c r="T452" s="405">
        <v>60</v>
      </c>
      <c r="U452" s="405"/>
      <c r="V452" s="405" t="s">
        <v>986</v>
      </c>
      <c r="W452" s="407">
        <v>360</v>
      </c>
      <c r="X452" s="371">
        <v>768</v>
      </c>
      <c r="Y452" s="408">
        <f>W452*X452</f>
        <v>276480</v>
      </c>
      <c r="Z452" s="409">
        <v>0.47</v>
      </c>
      <c r="AA452" s="410">
        <f>Y452*Z452</f>
        <v>129945.59999999999</v>
      </c>
      <c r="AB452" s="411"/>
      <c r="AC452" s="412">
        <f>AB452*Y452</f>
        <v>0</v>
      </c>
      <c r="AD452" s="421"/>
      <c r="AE452" s="413"/>
      <c r="AF452" s="424">
        <f>AE452+AD452+AA452</f>
        <v>129945.59999999999</v>
      </c>
      <c r="AG452" s="405" t="s">
        <v>47</v>
      </c>
      <c r="AH452" s="405"/>
      <c r="AI452" s="405">
        <v>45</v>
      </c>
      <c r="AJ452" s="405" t="s">
        <v>1679</v>
      </c>
      <c r="AK452" s="405" t="s">
        <v>50</v>
      </c>
      <c r="AL452" s="425">
        <v>91761</v>
      </c>
      <c r="AM452" s="405" t="s">
        <v>52</v>
      </c>
      <c r="AN452" s="405"/>
      <c r="AO452" s="405"/>
      <c r="AP452" s="413"/>
      <c r="AQ452" s="413" t="s">
        <v>37</v>
      </c>
      <c r="AR452" s="405"/>
      <c r="AS452" s="386" t="s">
        <v>1073</v>
      </c>
      <c r="AT452" s="281" t="s">
        <v>1073</v>
      </c>
      <c r="AU452" s="403"/>
      <c r="AV452" s="402">
        <f t="shared" si="104"/>
        <v>0</v>
      </c>
      <c r="AW452" s="402" cm="1">
        <f t="array" ref="AW452">SUM(MID(0&amp;AV452,LARGE(INDEX(ISNUMBER(--MID(AV452,ROW($1:$8),1))*ROW($1:$8),),ROW($1:$8))+1,1)*10^ROW($1:$8)/10)</f>
        <v>0</v>
      </c>
      <c r="AX452" s="402" t="e">
        <f>VLOOKUP($AW452,'Item Master Data'!$A:$F,3,FALSE)</f>
        <v>#N/A</v>
      </c>
      <c r="AY452" s="402" t="e">
        <f>VLOOKUP($AW452,'Item Master Data'!$A:$F,6,FALSE)</f>
        <v>#N/A</v>
      </c>
      <c r="AZ452" s="402" t="e">
        <f t="shared" si="105"/>
        <v>#N/A</v>
      </c>
      <c r="BA452" s="402" t="e">
        <f>VLOOKUP(AW452,'Item Master Data'!$A:$G,7,FALSE)</f>
        <v>#N/A</v>
      </c>
      <c r="BB452" s="402"/>
      <c r="BC452" s="402" t="e">
        <f t="shared" si="106"/>
        <v>#N/A</v>
      </c>
    </row>
    <row r="453" spans="1:55">
      <c r="A453" s="278">
        <v>22</v>
      </c>
      <c r="B453" s="491">
        <v>360</v>
      </c>
      <c r="C453" s="279"/>
      <c r="D453" s="366" t="s">
        <v>2804</v>
      </c>
      <c r="E453" s="280" t="s">
        <v>4694</v>
      </c>
      <c r="F453" s="405"/>
      <c r="G453" s="405">
        <v>2022</v>
      </c>
      <c r="H453" s="405">
        <v>5</v>
      </c>
      <c r="I453" s="405"/>
      <c r="J453" s="406"/>
      <c r="K453" s="405" t="s">
        <v>4489</v>
      </c>
      <c r="L453" s="406" t="s">
        <v>2806</v>
      </c>
      <c r="M453" s="406">
        <v>44680</v>
      </c>
      <c r="N453" s="406">
        <v>44680</v>
      </c>
      <c r="O453" s="406"/>
      <c r="P453" s="406"/>
      <c r="Q453" s="406" t="s">
        <v>4598</v>
      </c>
      <c r="R453" s="406"/>
      <c r="S453" s="405" t="s">
        <v>1098</v>
      </c>
      <c r="T453" s="405">
        <v>60</v>
      </c>
      <c r="U453" s="405"/>
      <c r="V453" s="405" t="s">
        <v>986</v>
      </c>
      <c r="W453" s="407">
        <v>360</v>
      </c>
      <c r="X453" s="371">
        <v>768</v>
      </c>
      <c r="Y453" s="408">
        <f>W453*X453</f>
        <v>276480</v>
      </c>
      <c r="Z453" s="409">
        <v>0.47</v>
      </c>
      <c r="AA453" s="410">
        <f>Y453*Z453</f>
        <v>129945.59999999999</v>
      </c>
      <c r="AB453" s="411"/>
      <c r="AC453" s="412">
        <f>AB453*Y453</f>
        <v>0</v>
      </c>
      <c r="AD453" s="421"/>
      <c r="AE453" s="413"/>
      <c r="AF453" s="424">
        <f>AE453+AD453+AA453</f>
        <v>129945.59999999999</v>
      </c>
      <c r="AG453" s="405" t="s">
        <v>47</v>
      </c>
      <c r="AH453" s="405"/>
      <c r="AI453" s="405">
        <v>45</v>
      </c>
      <c r="AJ453" s="405" t="s">
        <v>1679</v>
      </c>
      <c r="AK453" s="405" t="s">
        <v>50</v>
      </c>
      <c r="AL453" s="425">
        <v>91761</v>
      </c>
      <c r="AM453" s="405" t="s">
        <v>52</v>
      </c>
      <c r="AN453" s="405"/>
      <c r="AO453" s="405"/>
      <c r="AP453" s="413"/>
      <c r="AQ453" s="413" t="s">
        <v>37</v>
      </c>
      <c r="AR453" s="405"/>
      <c r="AS453" s="386" t="s">
        <v>1073</v>
      </c>
      <c r="AT453" s="281" t="s">
        <v>1073</v>
      </c>
      <c r="AU453" s="403"/>
      <c r="AV453" s="402">
        <f t="shared" si="104"/>
        <v>0</v>
      </c>
      <c r="AW453" s="402" cm="1">
        <f t="array" ref="AW453">SUM(MID(0&amp;AV453,LARGE(INDEX(ISNUMBER(--MID(AV453,ROW($1:$8),1))*ROW($1:$8),),ROW($1:$8))+1,1)*10^ROW($1:$8)/10)</f>
        <v>0</v>
      </c>
      <c r="AX453" s="402" t="e">
        <f>VLOOKUP($AW453,'Item Master Data'!$A:$F,3,FALSE)</f>
        <v>#N/A</v>
      </c>
      <c r="AY453" s="402" t="e">
        <f>VLOOKUP($AW453,'Item Master Data'!$A:$F,6,FALSE)</f>
        <v>#N/A</v>
      </c>
      <c r="AZ453" s="402" t="e">
        <f t="shared" si="105"/>
        <v>#N/A</v>
      </c>
      <c r="BA453" s="402" t="e">
        <f>VLOOKUP(AW453,'Item Master Data'!$A:$G,7,FALSE)</f>
        <v>#N/A</v>
      </c>
      <c r="BB453" s="402"/>
      <c r="BC453" s="402" t="e">
        <f t="shared" si="106"/>
        <v>#N/A</v>
      </c>
    </row>
    <row r="454" spans="1:55">
      <c r="A454" s="278" t="s">
        <v>4584</v>
      </c>
      <c r="B454" s="491">
        <v>360</v>
      </c>
      <c r="C454" s="279"/>
      <c r="D454" s="366" t="s">
        <v>2804</v>
      </c>
      <c r="E454" s="280" t="s">
        <v>4695</v>
      </c>
      <c r="F454" s="405"/>
      <c r="G454" s="405">
        <v>2022</v>
      </c>
      <c r="H454" s="405">
        <v>5</v>
      </c>
      <c r="I454" s="405"/>
      <c r="J454" s="406"/>
      <c r="K454" s="405" t="s">
        <v>2845</v>
      </c>
      <c r="L454" s="406" t="s">
        <v>2806</v>
      </c>
      <c r="M454" s="406">
        <v>44656</v>
      </c>
      <c r="N454" s="406">
        <v>44656</v>
      </c>
      <c r="O454" s="406"/>
      <c r="P454" s="406">
        <v>44666</v>
      </c>
      <c r="Q454" s="406">
        <v>44678</v>
      </c>
      <c r="R454" s="406">
        <v>44684</v>
      </c>
      <c r="S454" s="405" t="s">
        <v>1098</v>
      </c>
      <c r="T454" s="405">
        <v>60</v>
      </c>
      <c r="U454" s="405">
        <v>49203132</v>
      </c>
      <c r="V454" s="405" t="s">
        <v>986</v>
      </c>
      <c r="W454" s="407">
        <v>360</v>
      </c>
      <c r="X454" s="371">
        <v>832</v>
      </c>
      <c r="Y454" s="408">
        <f>W454*X454</f>
        <v>299520</v>
      </c>
      <c r="Z454" s="409">
        <v>0.47</v>
      </c>
      <c r="AA454" s="410">
        <f>Y454*Z454</f>
        <v>140774.39999999999</v>
      </c>
      <c r="AB454" s="411"/>
      <c r="AC454" s="412">
        <f>AB454*Y454</f>
        <v>0</v>
      </c>
      <c r="AD454" s="421"/>
      <c r="AE454" s="413"/>
      <c r="AF454" s="424">
        <f>AE454+AD454+AA454</f>
        <v>140774.39999999999</v>
      </c>
      <c r="AG454" s="405" t="s">
        <v>47</v>
      </c>
      <c r="AH454" s="405"/>
      <c r="AI454" s="405">
        <v>45</v>
      </c>
      <c r="AJ454" s="405" t="s">
        <v>1679</v>
      </c>
      <c r="AK454" s="405" t="s">
        <v>50</v>
      </c>
      <c r="AL454" s="425">
        <v>91761</v>
      </c>
      <c r="AM454" s="405" t="s">
        <v>52</v>
      </c>
      <c r="AN454" s="405" t="s">
        <v>1101</v>
      </c>
      <c r="AO454" s="405"/>
      <c r="AP454" s="413"/>
      <c r="AQ454" s="413" t="s">
        <v>37</v>
      </c>
      <c r="AR454" s="405"/>
      <c r="AS454" s="386" t="s">
        <v>1073</v>
      </c>
      <c r="AT454" s="281" t="s">
        <v>1073</v>
      </c>
      <c r="AU454" s="403"/>
      <c r="AV454" s="402">
        <f t="shared" si="104"/>
        <v>49203132</v>
      </c>
      <c r="AW454" s="402" cm="1">
        <f t="array" ref="AW454">SUM(MID(0&amp;AV454,LARGE(INDEX(ISNUMBER(--MID(AV454,ROW($1:$8),1))*ROW($1:$8),),ROW($1:$8))+1,1)*10^ROW($1:$8)/10)</f>
        <v>49203132</v>
      </c>
      <c r="AX454" s="402" t="str">
        <f>VLOOKUP($AW454,'Item Master Data'!$A:$F,3,FALSE)</f>
        <v>Q.PEAK DUO BLK G10+</v>
      </c>
      <c r="AY454" s="402">
        <f>VLOOKUP($AW454,'Item Master Data'!$A:$F,6,FALSE)</f>
        <v>360</v>
      </c>
      <c r="AZ454" s="402">
        <f t="shared" si="105"/>
        <v>26</v>
      </c>
      <c r="BA454" s="402">
        <f>VLOOKUP(AW454,'Item Master Data'!$A:$G,7,FALSE)</f>
        <v>32</v>
      </c>
      <c r="BB454" s="402"/>
      <c r="BC454" s="402">
        <f t="shared" si="106"/>
        <v>0</v>
      </c>
    </row>
    <row r="455" spans="1:55">
      <c r="A455" s="278">
        <v>23</v>
      </c>
      <c r="B455" s="491">
        <v>360</v>
      </c>
      <c r="C455" s="279"/>
      <c r="D455" s="366" t="s">
        <v>2804</v>
      </c>
      <c r="E455" s="280" t="s">
        <v>4953</v>
      </c>
      <c r="F455" s="405"/>
      <c r="G455" s="405">
        <v>2022</v>
      </c>
      <c r="H455" s="405">
        <v>5</v>
      </c>
      <c r="I455" s="405"/>
      <c r="J455" s="406"/>
      <c r="K455" s="509" t="s">
        <v>4491</v>
      </c>
      <c r="L455" s="510" t="s">
        <v>2806</v>
      </c>
      <c r="M455" s="406">
        <v>44680</v>
      </c>
      <c r="N455" s="406">
        <v>44680</v>
      </c>
      <c r="O455" s="406"/>
      <c r="P455" s="406"/>
      <c r="Q455" s="406" t="s">
        <v>4598</v>
      </c>
      <c r="R455" s="406"/>
      <c r="S455" s="405" t="s">
        <v>1098</v>
      </c>
      <c r="T455" s="405">
        <v>60</v>
      </c>
      <c r="U455" s="405"/>
      <c r="V455" s="405" t="s">
        <v>986</v>
      </c>
      <c r="W455" s="407">
        <v>360</v>
      </c>
      <c r="X455" s="371">
        <v>768</v>
      </c>
      <c r="Y455" s="408">
        <f>W455*X455</f>
        <v>276480</v>
      </c>
      <c r="Z455" s="409">
        <v>0.47</v>
      </c>
      <c r="AA455" s="410">
        <f>Y455*Z455</f>
        <v>129945.59999999999</v>
      </c>
      <c r="AB455" s="411"/>
      <c r="AC455" s="412">
        <f>AB455*Y455</f>
        <v>0</v>
      </c>
      <c r="AD455" s="421"/>
      <c r="AE455" s="413"/>
      <c r="AF455" s="424">
        <f>AE455+AD455+AA455</f>
        <v>129945.59999999999</v>
      </c>
      <c r="AG455" s="405" t="s">
        <v>47</v>
      </c>
      <c r="AH455" s="405"/>
      <c r="AI455" s="405">
        <v>45</v>
      </c>
      <c r="AJ455" s="405" t="s">
        <v>1584</v>
      </c>
      <c r="AK455" s="405" t="s">
        <v>50</v>
      </c>
      <c r="AL455" s="425">
        <v>95827</v>
      </c>
      <c r="AM455" s="405" t="s">
        <v>52</v>
      </c>
      <c r="AN455" s="405"/>
      <c r="AO455" s="405"/>
      <c r="AP455" s="413"/>
      <c r="AQ455" s="413" t="s">
        <v>37</v>
      </c>
      <c r="AR455" s="405"/>
      <c r="AS455" s="386" t="s">
        <v>1073</v>
      </c>
      <c r="AT455" s="281" t="s">
        <v>1073</v>
      </c>
      <c r="AU455" s="403"/>
      <c r="AV455" s="402"/>
      <c r="AW455" s="402"/>
      <c r="AX455" s="402"/>
      <c r="AY455" s="402"/>
      <c r="AZ455" s="402"/>
      <c r="BA455" s="402"/>
      <c r="BB455" s="402"/>
      <c r="BC455" s="402"/>
    </row>
    <row r="456" spans="1:55">
      <c r="A456" s="278">
        <v>18</v>
      </c>
      <c r="B456" s="491">
        <v>400</v>
      </c>
      <c r="C456" s="279"/>
      <c r="D456" s="366" t="s">
        <v>2804</v>
      </c>
      <c r="E456" s="280" t="s">
        <v>4697</v>
      </c>
      <c r="F456" s="405"/>
      <c r="G456" s="405">
        <v>2022</v>
      </c>
      <c r="H456" s="405">
        <v>5</v>
      </c>
      <c r="I456" s="405"/>
      <c r="J456" s="406"/>
      <c r="K456" s="405" t="s">
        <v>2840</v>
      </c>
      <c r="L456" s="406" t="s">
        <v>2806</v>
      </c>
      <c r="M456" s="406">
        <v>44656</v>
      </c>
      <c r="N456" s="406">
        <v>44656</v>
      </c>
      <c r="O456" s="406"/>
      <c r="P456" s="406">
        <v>44676</v>
      </c>
      <c r="Q456" s="406"/>
      <c r="R456" s="406">
        <v>44685</v>
      </c>
      <c r="S456" s="405" t="s">
        <v>1098</v>
      </c>
      <c r="T456" s="405">
        <v>60</v>
      </c>
      <c r="U456" s="405" t="s">
        <v>1559</v>
      </c>
      <c r="V456" s="405" t="s">
        <v>973</v>
      </c>
      <c r="W456" s="407">
        <v>400</v>
      </c>
      <c r="X456" s="371">
        <v>768</v>
      </c>
      <c r="Y456" s="408">
        <f>W456*X456</f>
        <v>307200</v>
      </c>
      <c r="Z456" s="409">
        <v>0.48</v>
      </c>
      <c r="AA456" s="410">
        <f>Y456*Z456</f>
        <v>147456</v>
      </c>
      <c r="AB456" s="411"/>
      <c r="AC456" s="412">
        <f>AB456*Y456</f>
        <v>0</v>
      </c>
      <c r="AD456" s="421"/>
      <c r="AE456" s="413"/>
      <c r="AF456" s="424">
        <f>AE456+AD456+AA456</f>
        <v>147456</v>
      </c>
      <c r="AG456" s="405" t="s">
        <v>47</v>
      </c>
      <c r="AH456" s="405"/>
      <c r="AI456" s="405">
        <v>45</v>
      </c>
      <c r="AJ456" s="405" t="s">
        <v>1185</v>
      </c>
      <c r="AK456" s="405" t="s">
        <v>1092</v>
      </c>
      <c r="AL456" s="425">
        <v>1501</v>
      </c>
      <c r="AM456" s="405" t="s">
        <v>52</v>
      </c>
      <c r="AN456" s="405" t="s">
        <v>50</v>
      </c>
      <c r="AO456" s="405"/>
      <c r="AP456" s="413"/>
      <c r="AQ456" s="413" t="s">
        <v>37</v>
      </c>
      <c r="AR456" s="405"/>
      <c r="AS456" s="386" t="s">
        <v>1073</v>
      </c>
      <c r="AT456" s="281" t="s">
        <v>1073</v>
      </c>
      <c r="AU456" s="403"/>
      <c r="AV456" s="402"/>
      <c r="AW456" s="402"/>
      <c r="AX456" s="402"/>
      <c r="AY456" s="402"/>
      <c r="AZ456" s="402"/>
      <c r="BA456" s="402"/>
      <c r="BB456" s="402"/>
      <c r="BC456" s="402"/>
    </row>
    <row r="457" spans="1:55">
      <c r="A457" s="278">
        <v>18</v>
      </c>
      <c r="B457" s="491">
        <v>400</v>
      </c>
      <c r="C457" s="279"/>
      <c r="D457" s="366" t="s">
        <v>2804</v>
      </c>
      <c r="E457" s="280" t="s">
        <v>4696</v>
      </c>
      <c r="F457" s="405"/>
      <c r="G457" s="405">
        <v>2022</v>
      </c>
      <c r="H457" s="405">
        <v>5</v>
      </c>
      <c r="I457" s="405"/>
      <c r="J457" s="406"/>
      <c r="K457" s="405" t="s">
        <v>2841</v>
      </c>
      <c r="L457" s="406" t="s">
        <v>2806</v>
      </c>
      <c r="M457" s="406">
        <v>44656</v>
      </c>
      <c r="N457" s="406">
        <v>44656</v>
      </c>
      <c r="O457" s="406"/>
      <c r="P457" s="406">
        <v>44671</v>
      </c>
      <c r="Q457" s="406">
        <v>44677</v>
      </c>
      <c r="R457" s="406">
        <v>44683</v>
      </c>
      <c r="S457" s="405" t="s">
        <v>1098</v>
      </c>
      <c r="T457" s="405">
        <v>60</v>
      </c>
      <c r="U457" s="405" t="s">
        <v>1559</v>
      </c>
      <c r="V457" s="405" t="s">
        <v>973</v>
      </c>
      <c r="W457" s="407">
        <v>400</v>
      </c>
      <c r="X457" s="371">
        <v>768</v>
      </c>
      <c r="Y457" s="408">
        <f>W457*X457</f>
        <v>307200</v>
      </c>
      <c r="Z457" s="409">
        <v>0.48</v>
      </c>
      <c r="AA457" s="410">
        <f>Y457*Z457</f>
        <v>147456</v>
      </c>
      <c r="AB457" s="411"/>
      <c r="AC457" s="412">
        <f>AB457*Y457</f>
        <v>0</v>
      </c>
      <c r="AD457" s="421"/>
      <c r="AE457" s="413"/>
      <c r="AF457" s="424">
        <f>AE457+AD457+AA457</f>
        <v>147456</v>
      </c>
      <c r="AG457" s="405" t="s">
        <v>47</v>
      </c>
      <c r="AH457" s="405"/>
      <c r="AI457" s="405">
        <v>45</v>
      </c>
      <c r="AJ457" s="405" t="s">
        <v>2809</v>
      </c>
      <c r="AK457" s="405" t="s">
        <v>1082</v>
      </c>
      <c r="AL457" s="425">
        <v>7444</v>
      </c>
      <c r="AM457" s="405" t="s">
        <v>52</v>
      </c>
      <c r="AN457" s="405"/>
      <c r="AO457" s="405"/>
      <c r="AP457" s="413"/>
      <c r="AQ457" s="413" t="s">
        <v>37</v>
      </c>
      <c r="AR457" s="405"/>
      <c r="AS457" s="386" t="s">
        <v>1073</v>
      </c>
      <c r="AT457" s="281" t="s">
        <v>1073</v>
      </c>
      <c r="AU457" s="403"/>
      <c r="AV457" s="402" t="str">
        <f>U457</f>
        <v>30390156H</v>
      </c>
      <c r="AW457" s="402" cm="1">
        <f t="array" ref="AW457">SUM(MID(0&amp;AV457,LARGE(INDEX(ISNUMBER(--MID(AV457,ROW($1:$8),1))*ROW($1:$8),),ROW($1:$8))+1,1)*10^ROW($1:$8)/10)</f>
        <v>30390156</v>
      </c>
      <c r="AX457" s="402" t="str">
        <f>VLOOKUP($AW457,'Item Master Data'!$A:$F,3,FALSE)</f>
        <v>Q.PEAK DUO BLK ML G10+</v>
      </c>
      <c r="AY457" s="402">
        <f>VLOOKUP($AW457,'Item Master Data'!$A:$F,6,FALSE)</f>
        <v>400</v>
      </c>
      <c r="AZ457" s="402">
        <f>X457/BA457</f>
        <v>24</v>
      </c>
      <c r="BA457" s="402">
        <f>VLOOKUP(AW457,'Item Master Data'!$A:$G,7,FALSE)</f>
        <v>32</v>
      </c>
      <c r="BB457" s="402"/>
      <c r="BC457" s="402">
        <f>W457-AY457</f>
        <v>0</v>
      </c>
    </row>
    <row r="458" spans="1:55">
      <c r="A458" s="278">
        <v>18</v>
      </c>
      <c r="B458" s="491">
        <v>400</v>
      </c>
      <c r="C458" s="279"/>
      <c r="D458" s="366" t="s">
        <v>2804</v>
      </c>
      <c r="E458" s="280" t="s">
        <v>4698</v>
      </c>
      <c r="F458" s="405"/>
      <c r="G458" s="405">
        <v>2022</v>
      </c>
      <c r="H458" s="405">
        <v>5</v>
      </c>
      <c r="I458" s="405"/>
      <c r="J458" s="406"/>
      <c r="K458" s="405" t="s">
        <v>2887</v>
      </c>
      <c r="L458" s="406" t="s">
        <v>2806</v>
      </c>
      <c r="M458" s="406">
        <v>44614</v>
      </c>
      <c r="N458" s="406"/>
      <c r="O458" s="406"/>
      <c r="P458" s="406">
        <v>44676</v>
      </c>
      <c r="Q458" s="406"/>
      <c r="R458" s="406">
        <v>44684</v>
      </c>
      <c r="S458" s="405" t="s">
        <v>1098</v>
      </c>
      <c r="T458" s="405">
        <v>60</v>
      </c>
      <c r="U458" s="405" t="s">
        <v>1559</v>
      </c>
      <c r="V458" s="405" t="s">
        <v>973</v>
      </c>
      <c r="W458" s="407">
        <v>400</v>
      </c>
      <c r="X458" s="371">
        <v>768</v>
      </c>
      <c r="Y458" s="408">
        <f>W458*X458</f>
        <v>307200</v>
      </c>
      <c r="Z458" s="409">
        <v>0.48</v>
      </c>
      <c r="AA458" s="410">
        <f>Y458*Z458</f>
        <v>147456</v>
      </c>
      <c r="AB458" s="411"/>
      <c r="AC458" s="412">
        <f>AB458*Y458</f>
        <v>0</v>
      </c>
      <c r="AD458" s="421"/>
      <c r="AE458" s="413"/>
      <c r="AF458" s="424">
        <f>AE458+AD458+AA458</f>
        <v>147456</v>
      </c>
      <c r="AG458" s="405" t="s">
        <v>47</v>
      </c>
      <c r="AH458" s="405"/>
      <c r="AI458" s="405">
        <v>45</v>
      </c>
      <c r="AJ458" s="405" t="s">
        <v>2807</v>
      </c>
      <c r="AK458" s="405" t="s">
        <v>1110</v>
      </c>
      <c r="AL458" s="425">
        <v>60517</v>
      </c>
      <c r="AM458" s="405" t="s">
        <v>52</v>
      </c>
      <c r="AN458" s="405" t="s">
        <v>50</v>
      </c>
      <c r="AO458" s="405"/>
      <c r="AP458" s="413"/>
      <c r="AQ458" s="413" t="s">
        <v>37</v>
      </c>
      <c r="AR458" s="405"/>
      <c r="AS458" s="386" t="s">
        <v>1073</v>
      </c>
      <c r="AT458" s="281" t="s">
        <v>1073</v>
      </c>
      <c r="AU458" s="403"/>
      <c r="AV458" s="402" t="str">
        <f>U458</f>
        <v>30390156H</v>
      </c>
      <c r="AW458" s="402" cm="1">
        <f t="array" ref="AW458">SUM(MID(0&amp;AV458,LARGE(INDEX(ISNUMBER(--MID(AV458,ROW($1:$8),1))*ROW($1:$8),),ROW($1:$8))+1,1)*10^ROW($1:$8)/10)</f>
        <v>30390156</v>
      </c>
      <c r="AX458" s="402" t="str">
        <f>VLOOKUP($AW458,'Item Master Data'!$A:$F,3,FALSE)</f>
        <v>Q.PEAK DUO BLK ML G10+</v>
      </c>
      <c r="AY458" s="402">
        <f>VLOOKUP($AW458,'Item Master Data'!$A:$F,6,FALSE)</f>
        <v>400</v>
      </c>
      <c r="AZ458" s="402">
        <f>X458/BA458</f>
        <v>24</v>
      </c>
      <c r="BA458" s="402">
        <f>VLOOKUP(AW458,'Item Master Data'!$A:$G,7,FALSE)</f>
        <v>32</v>
      </c>
      <c r="BB458" s="402"/>
      <c r="BC458" s="402">
        <f>W458-AY458</f>
        <v>0</v>
      </c>
    </row>
    <row r="459" spans="1:55">
      <c r="A459" s="278">
        <v>19</v>
      </c>
      <c r="B459" s="491">
        <v>400</v>
      </c>
      <c r="C459" s="279"/>
      <c r="D459" s="366" t="s">
        <v>2804</v>
      </c>
      <c r="E459" s="280" t="s">
        <v>4867</v>
      </c>
      <c r="F459" s="405"/>
      <c r="G459" s="405">
        <v>2022</v>
      </c>
      <c r="H459" s="405">
        <v>5</v>
      </c>
      <c r="I459" s="405"/>
      <c r="J459" s="406"/>
      <c r="K459" s="405" t="s">
        <v>4494</v>
      </c>
      <c r="L459" s="406" t="s">
        <v>2806</v>
      </c>
      <c r="M459" s="406">
        <v>44680</v>
      </c>
      <c r="N459" s="406">
        <v>44680</v>
      </c>
      <c r="O459" s="406"/>
      <c r="P459" s="406">
        <v>44690</v>
      </c>
      <c r="Q459" s="406"/>
      <c r="R459" s="406"/>
      <c r="S459" s="405" t="s">
        <v>1098</v>
      </c>
      <c r="T459" s="405">
        <v>60</v>
      </c>
      <c r="U459" s="405" t="s">
        <v>1237</v>
      </c>
      <c r="V459" s="405" t="s">
        <v>973</v>
      </c>
      <c r="W459" s="407">
        <v>400</v>
      </c>
      <c r="X459" s="371">
        <v>768</v>
      </c>
      <c r="Y459" s="408">
        <f>W459*X459</f>
        <v>307200</v>
      </c>
      <c r="Z459" s="409">
        <v>0.48</v>
      </c>
      <c r="AA459" s="410">
        <f>Y459*Z459</f>
        <v>147456</v>
      </c>
      <c r="AB459" s="411"/>
      <c r="AC459" s="412">
        <f>AB459*Y459</f>
        <v>0</v>
      </c>
      <c r="AD459" s="421"/>
      <c r="AE459" s="413"/>
      <c r="AF459" s="424">
        <f>AE459+AD459+AA459</f>
        <v>147456</v>
      </c>
      <c r="AG459" s="405" t="s">
        <v>47</v>
      </c>
      <c r="AH459" s="405"/>
      <c r="AI459" s="405">
        <v>45</v>
      </c>
      <c r="AJ459" s="405" t="s">
        <v>1185</v>
      </c>
      <c r="AK459" s="405" t="s">
        <v>1092</v>
      </c>
      <c r="AL459" s="425">
        <v>1501</v>
      </c>
      <c r="AM459" s="405" t="s">
        <v>52</v>
      </c>
      <c r="AN459" s="405" t="s">
        <v>50</v>
      </c>
      <c r="AO459" s="405"/>
      <c r="AP459" s="413" t="s">
        <v>38</v>
      </c>
      <c r="AQ459" s="413" t="s">
        <v>37</v>
      </c>
      <c r="AR459" s="405"/>
      <c r="AS459" s="386" t="s">
        <v>1073</v>
      </c>
      <c r="AT459" s="281" t="s">
        <v>1073</v>
      </c>
      <c r="AU459" s="403"/>
      <c r="AV459" s="402" t="str">
        <f>U459</f>
        <v>30390456H</v>
      </c>
      <c r="AW459" s="402" cm="1">
        <f t="array" ref="AW459">SUM(MID(0&amp;AV459,LARGE(INDEX(ISNUMBER(--MID(AV459,ROW($1:$8),1))*ROW($1:$8),),ROW($1:$8))+1,1)*10^ROW($1:$8)/10)</f>
        <v>30390456</v>
      </c>
      <c r="AX459" s="402" t="str">
        <f>VLOOKUP($AW459,'Item Master Data'!$A:$F,3,FALSE)</f>
        <v>Q.PEAK DUO BLK ML G10+</v>
      </c>
      <c r="AY459" s="402">
        <f>VLOOKUP($AW459,'Item Master Data'!$A:$F,6,FALSE)</f>
        <v>400</v>
      </c>
      <c r="AZ459" s="402">
        <f>X459/BA459</f>
        <v>24</v>
      </c>
      <c r="BA459" s="402">
        <f>VLOOKUP(AW459,'Item Master Data'!$A:$G,7,FALSE)</f>
        <v>32</v>
      </c>
      <c r="BB459" s="402"/>
      <c r="BC459" s="402">
        <f>W459-AY459</f>
        <v>0</v>
      </c>
    </row>
    <row r="460" spans="1:55">
      <c r="A460" s="278">
        <v>21</v>
      </c>
      <c r="B460" s="491">
        <v>400</v>
      </c>
      <c r="C460" s="279"/>
      <c r="D460" s="366" t="s">
        <v>2804</v>
      </c>
      <c r="E460" s="280" t="s">
        <v>4953</v>
      </c>
      <c r="F460" s="405"/>
      <c r="G460" s="405">
        <v>2022</v>
      </c>
      <c r="H460" s="405">
        <v>5</v>
      </c>
      <c r="I460" s="405"/>
      <c r="J460" s="406"/>
      <c r="K460" s="509" t="s">
        <v>4495</v>
      </c>
      <c r="L460" s="510" t="s">
        <v>2806</v>
      </c>
      <c r="M460" s="406">
        <v>44680</v>
      </c>
      <c r="N460" s="406">
        <v>44680</v>
      </c>
      <c r="O460" s="406"/>
      <c r="P460" s="406"/>
      <c r="Q460" s="406" t="s">
        <v>4598</v>
      </c>
      <c r="R460" s="406"/>
      <c r="S460" s="405" t="s">
        <v>1098</v>
      </c>
      <c r="T460" s="405">
        <v>60</v>
      </c>
      <c r="U460" s="405"/>
      <c r="V460" s="405" t="s">
        <v>973</v>
      </c>
      <c r="W460" s="407">
        <v>400</v>
      </c>
      <c r="X460" s="371">
        <v>768</v>
      </c>
      <c r="Y460" s="408">
        <f>W460*X460</f>
        <v>307200</v>
      </c>
      <c r="Z460" s="409">
        <v>0.48</v>
      </c>
      <c r="AA460" s="410">
        <f>Y460*Z460</f>
        <v>147456</v>
      </c>
      <c r="AB460" s="411"/>
      <c r="AC460" s="412">
        <f>AB460*Y460</f>
        <v>0</v>
      </c>
      <c r="AD460" s="421"/>
      <c r="AE460" s="413"/>
      <c r="AF460" s="424">
        <f>AE460+AD460+AA460</f>
        <v>147456</v>
      </c>
      <c r="AG460" s="405" t="s">
        <v>47</v>
      </c>
      <c r="AH460" s="405"/>
      <c r="AI460" s="405">
        <v>45</v>
      </c>
      <c r="AJ460" s="405" t="s">
        <v>1185</v>
      </c>
      <c r="AK460" s="405" t="s">
        <v>1092</v>
      </c>
      <c r="AL460" s="425">
        <v>1501</v>
      </c>
      <c r="AM460" s="405" t="s">
        <v>52</v>
      </c>
      <c r="AN460" s="405"/>
      <c r="AO460" s="405"/>
      <c r="AP460" s="413"/>
      <c r="AQ460" s="413" t="s">
        <v>37</v>
      </c>
      <c r="AR460" s="405"/>
      <c r="AS460" s="386" t="s">
        <v>1073</v>
      </c>
      <c r="AT460" s="281" t="s">
        <v>1073</v>
      </c>
      <c r="AU460" s="403"/>
      <c r="AV460" s="402">
        <f>U460</f>
        <v>0</v>
      </c>
      <c r="AW460" s="402" cm="1">
        <f t="array" ref="AW460">SUM(MID(0&amp;AV460,LARGE(INDEX(ISNUMBER(--MID(AV460,ROW($1:$8),1))*ROW($1:$8),),ROW($1:$8))+1,1)*10^ROW($1:$8)/10)</f>
        <v>0</v>
      </c>
      <c r="AX460" s="402" t="e">
        <f>VLOOKUP($AW460,'Item Master Data'!$A:$F,3,FALSE)</f>
        <v>#N/A</v>
      </c>
      <c r="AY460" s="402" t="e">
        <f>VLOOKUP($AW460,'Item Master Data'!$A:$F,6,FALSE)</f>
        <v>#N/A</v>
      </c>
      <c r="AZ460" s="402" t="e">
        <f>X460/BA460</f>
        <v>#N/A</v>
      </c>
      <c r="BA460" s="402" t="e">
        <f>VLOOKUP(AW460,'Item Master Data'!$A:$G,7,FALSE)</f>
        <v>#N/A</v>
      </c>
      <c r="BB460" s="402"/>
      <c r="BC460" s="402" t="e">
        <f>W460-AY460</f>
        <v>#N/A</v>
      </c>
    </row>
    <row r="461" spans="1:55">
      <c r="A461" s="278">
        <v>19</v>
      </c>
      <c r="B461" s="491">
        <v>400</v>
      </c>
      <c r="C461" s="279"/>
      <c r="D461" s="366" t="s">
        <v>2804</v>
      </c>
      <c r="E461" s="280" t="s">
        <v>4867</v>
      </c>
      <c r="F461" s="405"/>
      <c r="G461" s="405">
        <v>2022</v>
      </c>
      <c r="H461" s="405">
        <v>5</v>
      </c>
      <c r="I461" s="405"/>
      <c r="J461" s="406"/>
      <c r="K461" s="405" t="s">
        <v>4496</v>
      </c>
      <c r="L461" s="406" t="s">
        <v>2806</v>
      </c>
      <c r="M461" s="406">
        <v>44680</v>
      </c>
      <c r="N461" s="406">
        <v>44680</v>
      </c>
      <c r="O461" s="406"/>
      <c r="P461" s="406">
        <v>44690</v>
      </c>
      <c r="Q461" s="406"/>
      <c r="R461" s="406"/>
      <c r="S461" s="405" t="s">
        <v>1098</v>
      </c>
      <c r="T461" s="405">
        <v>60</v>
      </c>
      <c r="U461" s="405" t="s">
        <v>1237</v>
      </c>
      <c r="V461" s="405" t="s">
        <v>973</v>
      </c>
      <c r="W461" s="407">
        <v>400</v>
      </c>
      <c r="X461" s="371">
        <v>768</v>
      </c>
      <c r="Y461" s="408">
        <f>W461*X461</f>
        <v>307200</v>
      </c>
      <c r="Z461" s="409">
        <v>0.48</v>
      </c>
      <c r="AA461" s="410">
        <f>Y461*Z461</f>
        <v>147456</v>
      </c>
      <c r="AB461" s="411"/>
      <c r="AC461" s="412">
        <f>AB461*Y461</f>
        <v>0</v>
      </c>
      <c r="AD461" s="421"/>
      <c r="AE461" s="413"/>
      <c r="AF461" s="424">
        <f>AE461+AD461+AA461</f>
        <v>147456</v>
      </c>
      <c r="AG461" s="405" t="s">
        <v>47</v>
      </c>
      <c r="AH461" s="405"/>
      <c r="AI461" s="405">
        <v>45</v>
      </c>
      <c r="AJ461" s="405" t="s">
        <v>1681</v>
      </c>
      <c r="AK461" s="405" t="s">
        <v>50</v>
      </c>
      <c r="AL461" s="425">
        <v>92121</v>
      </c>
      <c r="AM461" s="405" t="s">
        <v>52</v>
      </c>
      <c r="AN461" s="405" t="s">
        <v>50</v>
      </c>
      <c r="AO461" s="405"/>
      <c r="AP461" s="413"/>
      <c r="AQ461" s="413" t="s">
        <v>37</v>
      </c>
      <c r="AR461" s="405"/>
      <c r="AS461" s="386" t="s">
        <v>1073</v>
      </c>
      <c r="AT461" s="281" t="s">
        <v>1073</v>
      </c>
      <c r="AU461" s="403"/>
      <c r="AV461" s="402"/>
      <c r="AW461" s="402"/>
      <c r="AX461" s="402"/>
      <c r="AY461" s="402"/>
      <c r="AZ461" s="402"/>
      <c r="BA461" s="402"/>
      <c r="BB461" s="402"/>
      <c r="BC461" s="402"/>
    </row>
    <row r="462" spans="1:55">
      <c r="A462" s="278">
        <v>20</v>
      </c>
      <c r="B462" s="491">
        <v>400</v>
      </c>
      <c r="C462" s="279"/>
      <c r="D462" s="366" t="s">
        <v>2804</v>
      </c>
      <c r="E462" s="280" t="s">
        <v>4867</v>
      </c>
      <c r="F462" s="405"/>
      <c r="G462" s="405">
        <v>2022</v>
      </c>
      <c r="H462" s="405">
        <v>5</v>
      </c>
      <c r="I462" s="405"/>
      <c r="J462" s="406"/>
      <c r="K462" s="405" t="s">
        <v>4497</v>
      </c>
      <c r="L462" s="406" t="s">
        <v>2806</v>
      </c>
      <c r="M462" s="406">
        <v>44680</v>
      </c>
      <c r="N462" s="406">
        <v>44680</v>
      </c>
      <c r="O462" s="406"/>
      <c r="P462" s="406">
        <v>44690</v>
      </c>
      <c r="Q462" s="406"/>
      <c r="R462" s="406"/>
      <c r="S462" s="405" t="s">
        <v>1098</v>
      </c>
      <c r="T462" s="405">
        <v>60</v>
      </c>
      <c r="U462" s="405" t="s">
        <v>1237</v>
      </c>
      <c r="V462" s="405" t="s">
        <v>973</v>
      </c>
      <c r="W462" s="407">
        <v>400</v>
      </c>
      <c r="X462" s="371">
        <v>768</v>
      </c>
      <c r="Y462" s="408">
        <f>W462*X462</f>
        <v>307200</v>
      </c>
      <c r="Z462" s="409">
        <v>0.48</v>
      </c>
      <c r="AA462" s="410">
        <f>Y462*Z462</f>
        <v>147456</v>
      </c>
      <c r="AB462" s="411"/>
      <c r="AC462" s="412">
        <f>AB462*Y462</f>
        <v>0</v>
      </c>
      <c r="AD462" s="421"/>
      <c r="AE462" s="413"/>
      <c r="AF462" s="424">
        <f>AE462+AD462+AA462</f>
        <v>147456</v>
      </c>
      <c r="AG462" s="405" t="s">
        <v>47</v>
      </c>
      <c r="AH462" s="405"/>
      <c r="AI462" s="405">
        <v>45</v>
      </c>
      <c r="AJ462" s="405" t="s">
        <v>2809</v>
      </c>
      <c r="AK462" s="405" t="s">
        <v>1082</v>
      </c>
      <c r="AL462" s="425">
        <v>7444</v>
      </c>
      <c r="AM462" s="405" t="s">
        <v>52</v>
      </c>
      <c r="AN462" s="405" t="s">
        <v>50</v>
      </c>
      <c r="AO462" s="405"/>
      <c r="AP462" s="413"/>
      <c r="AQ462" s="413" t="s">
        <v>37</v>
      </c>
      <c r="AR462" s="405"/>
      <c r="AS462" s="386" t="s">
        <v>1073</v>
      </c>
      <c r="AT462" s="281" t="s">
        <v>1073</v>
      </c>
      <c r="AU462" s="403"/>
      <c r="AV462" s="402" t="str">
        <f>U462</f>
        <v>30390456H</v>
      </c>
      <c r="AW462" s="402" cm="1">
        <f t="array" ref="AW462">SUM(MID(0&amp;AV462,LARGE(INDEX(ISNUMBER(--MID(AV462,ROW($1:$8),1))*ROW($1:$8),),ROW($1:$8))+1,1)*10^ROW($1:$8)/10)</f>
        <v>30390456</v>
      </c>
      <c r="AX462" s="402" t="str">
        <f>VLOOKUP($AW462,'Item Master Data'!$A:$F,3,FALSE)</f>
        <v>Q.PEAK DUO BLK ML G10+</v>
      </c>
      <c r="AY462" s="402">
        <f>VLOOKUP($AW462,'Item Master Data'!$A:$F,6,FALSE)</f>
        <v>400</v>
      </c>
      <c r="AZ462" s="402">
        <f>X462/BA462</f>
        <v>24</v>
      </c>
      <c r="BA462" s="402">
        <f>VLOOKUP(AW462,'Item Master Data'!$A:$G,7,FALSE)</f>
        <v>32</v>
      </c>
      <c r="BB462" s="402"/>
      <c r="BC462" s="402">
        <f>W462-AY462</f>
        <v>0</v>
      </c>
    </row>
    <row r="463" spans="1:55">
      <c r="A463" s="278">
        <v>20</v>
      </c>
      <c r="B463" s="491">
        <v>400</v>
      </c>
      <c r="C463" s="279"/>
      <c r="D463" s="366" t="s">
        <v>2804</v>
      </c>
      <c r="E463" s="280" t="s">
        <v>4953</v>
      </c>
      <c r="F463" s="405"/>
      <c r="G463" s="405">
        <v>2022</v>
      </c>
      <c r="H463" s="405">
        <v>5</v>
      </c>
      <c r="I463" s="405"/>
      <c r="J463" s="406"/>
      <c r="K463" s="509" t="s">
        <v>4498</v>
      </c>
      <c r="L463" s="510" t="s">
        <v>2806</v>
      </c>
      <c r="M463" s="406">
        <v>44680</v>
      </c>
      <c r="N463" s="406">
        <v>44680</v>
      </c>
      <c r="O463" s="406"/>
      <c r="P463" s="406" t="s">
        <v>4581</v>
      </c>
      <c r="Q463" s="406" t="s">
        <v>4598</v>
      </c>
      <c r="R463" s="406"/>
      <c r="S463" s="405" t="s">
        <v>1098</v>
      </c>
      <c r="T463" s="405">
        <v>60</v>
      </c>
      <c r="U463" s="405"/>
      <c r="V463" s="405" t="s">
        <v>973</v>
      </c>
      <c r="W463" s="407">
        <v>400</v>
      </c>
      <c r="X463" s="371">
        <v>768</v>
      </c>
      <c r="Y463" s="408">
        <f>W463*X463</f>
        <v>307200</v>
      </c>
      <c r="Z463" s="409">
        <v>0.48</v>
      </c>
      <c r="AA463" s="410">
        <f>Y463*Z463</f>
        <v>147456</v>
      </c>
      <c r="AB463" s="411"/>
      <c r="AC463" s="412">
        <f>AB463*Y463</f>
        <v>0</v>
      </c>
      <c r="AD463" s="421"/>
      <c r="AE463" s="413"/>
      <c r="AF463" s="424">
        <f>AE463+AD463+AA463</f>
        <v>147456</v>
      </c>
      <c r="AG463" s="405" t="s">
        <v>47</v>
      </c>
      <c r="AH463" s="405"/>
      <c r="AI463" s="405">
        <v>45</v>
      </c>
      <c r="AJ463" s="405" t="s">
        <v>2809</v>
      </c>
      <c r="AK463" s="405" t="s">
        <v>1082</v>
      </c>
      <c r="AL463" s="425">
        <v>7444</v>
      </c>
      <c r="AM463" s="405" t="s">
        <v>52</v>
      </c>
      <c r="AN463" s="405"/>
      <c r="AO463" s="405"/>
      <c r="AP463" s="413"/>
      <c r="AQ463" s="413" t="s">
        <v>37</v>
      </c>
      <c r="AR463" s="405"/>
      <c r="AS463" s="386" t="s">
        <v>1073</v>
      </c>
      <c r="AT463" s="281" t="s">
        <v>1073</v>
      </c>
      <c r="AU463" s="403"/>
      <c r="AV463" s="402">
        <f>U463</f>
        <v>0</v>
      </c>
      <c r="AW463" s="402" cm="1">
        <f t="array" ref="AW463">SUM(MID(0&amp;AV463,LARGE(INDEX(ISNUMBER(--MID(AV463,ROW($1:$8),1))*ROW($1:$8),),ROW($1:$8))+1,1)*10^ROW($1:$8)/10)</f>
        <v>0</v>
      </c>
      <c r="AX463" s="402" t="e">
        <f>VLOOKUP($AW463,'Item Master Data'!$A:$F,3,FALSE)</f>
        <v>#N/A</v>
      </c>
      <c r="AY463" s="402" t="e">
        <f>VLOOKUP($AW463,'Item Master Data'!$A:$F,6,FALSE)</f>
        <v>#N/A</v>
      </c>
      <c r="AZ463" s="402" t="e">
        <f>X463/BA463</f>
        <v>#N/A</v>
      </c>
      <c r="BA463" s="402" t="e">
        <f>VLOOKUP(AW463,'Item Master Data'!$A:$G,7,FALSE)</f>
        <v>#N/A</v>
      </c>
      <c r="BB463" s="402"/>
      <c r="BC463" s="402" t="e">
        <f>W463-AY463</f>
        <v>#N/A</v>
      </c>
    </row>
    <row r="464" spans="1:55">
      <c r="A464" s="278">
        <v>21</v>
      </c>
      <c r="B464" s="491"/>
      <c r="C464" s="279"/>
      <c r="D464" s="366" t="s">
        <v>2804</v>
      </c>
      <c r="E464" s="280" t="s">
        <v>4892</v>
      </c>
      <c r="F464" s="405"/>
      <c r="G464" s="405">
        <v>2022</v>
      </c>
      <c r="H464" s="405">
        <v>5</v>
      </c>
      <c r="I464" s="405"/>
      <c r="J464" s="406"/>
      <c r="K464" s="405" t="s">
        <v>4499</v>
      </c>
      <c r="L464" s="406" t="s">
        <v>2806</v>
      </c>
      <c r="M464" s="406">
        <v>44680</v>
      </c>
      <c r="N464" s="406">
        <v>44680</v>
      </c>
      <c r="O464" s="406"/>
      <c r="P464" s="406" t="s">
        <v>4893</v>
      </c>
      <c r="Q464" s="406"/>
      <c r="R464" s="406"/>
      <c r="S464" s="405" t="s">
        <v>1098</v>
      </c>
      <c r="T464" s="405">
        <v>60</v>
      </c>
      <c r="U464" s="405" t="s">
        <v>1237</v>
      </c>
      <c r="V464" s="405" t="s">
        <v>973</v>
      </c>
      <c r="W464" s="407">
        <v>400</v>
      </c>
      <c r="X464" s="371">
        <v>768</v>
      </c>
      <c r="Y464" s="408">
        <f>W464*X464</f>
        <v>307200</v>
      </c>
      <c r="Z464" s="409">
        <v>0.48</v>
      </c>
      <c r="AA464" s="410">
        <f>Y464*Z464</f>
        <v>147456</v>
      </c>
      <c r="AB464" s="411"/>
      <c r="AC464" s="412">
        <f>AB464*Y464</f>
        <v>0</v>
      </c>
      <c r="AD464" s="421"/>
      <c r="AE464" s="413"/>
      <c r="AF464" s="424">
        <f>AE464+AD464+AA464</f>
        <v>147456</v>
      </c>
      <c r="AG464" s="405" t="s">
        <v>47</v>
      </c>
      <c r="AH464" s="405"/>
      <c r="AI464" s="405">
        <v>45</v>
      </c>
      <c r="AJ464" s="405" t="s">
        <v>1679</v>
      </c>
      <c r="AK464" s="405" t="s">
        <v>50</v>
      </c>
      <c r="AL464" s="425">
        <v>91761</v>
      </c>
      <c r="AM464" s="405" t="s">
        <v>52</v>
      </c>
      <c r="AN464" s="405" t="s">
        <v>50</v>
      </c>
      <c r="AO464" s="405"/>
      <c r="AP464" s="413" t="s">
        <v>38</v>
      </c>
      <c r="AQ464" s="413" t="s">
        <v>37</v>
      </c>
      <c r="AR464" s="405"/>
      <c r="AS464" s="386" t="s">
        <v>1073</v>
      </c>
      <c r="AT464" s="281" t="s">
        <v>1073</v>
      </c>
      <c r="AU464" s="403"/>
      <c r="AV464" s="402"/>
      <c r="AW464" s="402"/>
      <c r="AX464" s="402"/>
      <c r="AY464" s="402"/>
      <c r="AZ464" s="402"/>
      <c r="BA464" s="402"/>
      <c r="BB464" s="402"/>
      <c r="BC464" s="402"/>
    </row>
    <row r="465" spans="1:55">
      <c r="A465" s="278">
        <v>21</v>
      </c>
      <c r="B465" s="491"/>
      <c r="C465" s="279"/>
      <c r="D465" s="366" t="s">
        <v>2804</v>
      </c>
      <c r="E465" s="280" t="s">
        <v>4868</v>
      </c>
      <c r="F465" s="405"/>
      <c r="G465" s="405">
        <v>2022</v>
      </c>
      <c r="H465" s="405">
        <v>5</v>
      </c>
      <c r="I465" s="405"/>
      <c r="J465" s="406"/>
      <c r="K465" s="405" t="s">
        <v>4500</v>
      </c>
      <c r="L465" s="406" t="s">
        <v>2806</v>
      </c>
      <c r="M465" s="406">
        <v>44680</v>
      </c>
      <c r="N465" s="406">
        <v>44680</v>
      </c>
      <c r="O465" s="406"/>
      <c r="P465" s="406">
        <v>44691</v>
      </c>
      <c r="Q465" s="406"/>
      <c r="R465" s="406"/>
      <c r="S465" s="405" t="s">
        <v>1098</v>
      </c>
      <c r="T465" s="405">
        <v>60</v>
      </c>
      <c r="U465" s="405" t="s">
        <v>1237</v>
      </c>
      <c r="V465" s="405" t="s">
        <v>973</v>
      </c>
      <c r="W465" s="407">
        <v>400</v>
      </c>
      <c r="X465" s="371">
        <v>768</v>
      </c>
      <c r="Y465" s="408">
        <f>W465*X465</f>
        <v>307200</v>
      </c>
      <c r="Z465" s="409">
        <v>0.48</v>
      </c>
      <c r="AA465" s="410">
        <f>Y465*Z465</f>
        <v>147456</v>
      </c>
      <c r="AB465" s="411"/>
      <c r="AC465" s="412">
        <f>AB465*Y465</f>
        <v>0</v>
      </c>
      <c r="AD465" s="421"/>
      <c r="AE465" s="413"/>
      <c r="AF465" s="424">
        <f>AE465+AD465+AA465</f>
        <v>147456</v>
      </c>
      <c r="AG465" s="405" t="s">
        <v>47</v>
      </c>
      <c r="AH465" s="405"/>
      <c r="AI465" s="405">
        <v>45</v>
      </c>
      <c r="AJ465" s="405" t="s">
        <v>2807</v>
      </c>
      <c r="AK465" s="405" t="s">
        <v>1110</v>
      </c>
      <c r="AL465" s="425">
        <v>60517</v>
      </c>
      <c r="AM465" s="405" t="s">
        <v>52</v>
      </c>
      <c r="AN465" s="405" t="s">
        <v>1082</v>
      </c>
      <c r="AO465" s="405"/>
      <c r="AP465" s="413"/>
      <c r="AQ465" s="413" t="s">
        <v>37</v>
      </c>
      <c r="AR465" s="405"/>
      <c r="AS465" s="386" t="s">
        <v>1073</v>
      </c>
      <c r="AT465" s="281" t="s">
        <v>1073</v>
      </c>
      <c r="AU465" s="403"/>
      <c r="AV465" s="402" t="str">
        <f t="shared" ref="AV465:AV471" si="107">U465</f>
        <v>30390456H</v>
      </c>
      <c r="AW465" s="402" cm="1">
        <f t="array" ref="AW465">SUM(MID(0&amp;AV465,LARGE(INDEX(ISNUMBER(--MID(AV465,ROW($1:$8),1))*ROW($1:$8),),ROW($1:$8))+1,1)*10^ROW($1:$8)/10)</f>
        <v>30390456</v>
      </c>
      <c r="AX465" s="402" t="str">
        <f>VLOOKUP($AW465,'Item Master Data'!$A:$F,3,FALSE)</f>
        <v>Q.PEAK DUO BLK ML G10+</v>
      </c>
      <c r="AY465" s="402">
        <f>VLOOKUP($AW465,'Item Master Data'!$A:$F,6,FALSE)</f>
        <v>400</v>
      </c>
      <c r="AZ465" s="402">
        <f t="shared" ref="AZ465:AZ471" si="108">X465/BA465</f>
        <v>24</v>
      </c>
      <c r="BA465" s="402">
        <f>VLOOKUP(AW465,'Item Master Data'!$A:$G,7,FALSE)</f>
        <v>32</v>
      </c>
      <c r="BB465" s="402"/>
      <c r="BC465" s="402">
        <f t="shared" ref="BC465:BC471" si="109">W465-AY465</f>
        <v>0</v>
      </c>
    </row>
    <row r="466" spans="1:55">
      <c r="A466" s="278">
        <v>20</v>
      </c>
      <c r="B466" s="491"/>
      <c r="C466" s="279"/>
      <c r="D466" s="366" t="s">
        <v>2804</v>
      </c>
      <c r="E466" s="280" t="s">
        <v>4868</v>
      </c>
      <c r="F466" s="405"/>
      <c r="G466" s="405">
        <v>2022</v>
      </c>
      <c r="H466" s="405">
        <v>5</v>
      </c>
      <c r="I466" s="405"/>
      <c r="J466" s="406"/>
      <c r="K466" s="405" t="s">
        <v>4501</v>
      </c>
      <c r="L466" s="406" t="s">
        <v>2806</v>
      </c>
      <c r="M466" s="406">
        <v>44680</v>
      </c>
      <c r="N466" s="406">
        <v>44680</v>
      </c>
      <c r="O466" s="406"/>
      <c r="P466" s="519">
        <v>44691</v>
      </c>
      <c r="Q466" s="406"/>
      <c r="R466" s="406"/>
      <c r="S466" s="405" t="s">
        <v>1098</v>
      </c>
      <c r="T466" s="405">
        <v>60</v>
      </c>
      <c r="U466" s="405" t="s">
        <v>1237</v>
      </c>
      <c r="V466" s="405" t="s">
        <v>973</v>
      </c>
      <c r="W466" s="407">
        <v>400</v>
      </c>
      <c r="X466" s="371">
        <v>768</v>
      </c>
      <c r="Y466" s="408">
        <f>W466*X466</f>
        <v>307200</v>
      </c>
      <c r="Z466" s="409">
        <v>0.48</v>
      </c>
      <c r="AA466" s="410">
        <f>Y466*Z466</f>
        <v>147456</v>
      </c>
      <c r="AB466" s="411"/>
      <c r="AC466" s="412">
        <f>AB466*Y466</f>
        <v>0</v>
      </c>
      <c r="AD466" s="421"/>
      <c r="AE466" s="413"/>
      <c r="AF466" s="424">
        <f>AE466+AD466+AA466</f>
        <v>147456</v>
      </c>
      <c r="AG466" s="405" t="s">
        <v>47</v>
      </c>
      <c r="AH466" s="405"/>
      <c r="AI466" s="405">
        <v>45</v>
      </c>
      <c r="AJ466" s="405" t="s">
        <v>2808</v>
      </c>
      <c r="AK466" s="405" t="s">
        <v>50</v>
      </c>
      <c r="AL466" s="425">
        <v>94551</v>
      </c>
      <c r="AM466" s="405" t="s">
        <v>52</v>
      </c>
      <c r="AN466" s="405" t="s">
        <v>50</v>
      </c>
      <c r="AO466" s="405"/>
      <c r="AP466" s="413"/>
      <c r="AQ466" s="413" t="s">
        <v>37</v>
      </c>
      <c r="AR466" s="405"/>
      <c r="AS466" s="386" t="s">
        <v>1073</v>
      </c>
      <c r="AT466" s="281" t="s">
        <v>1073</v>
      </c>
      <c r="AU466" s="403"/>
      <c r="AV466" s="402" t="str">
        <f t="shared" si="107"/>
        <v>30390456H</v>
      </c>
      <c r="AW466" s="402" cm="1">
        <f t="array" ref="AW466">SUM(MID(0&amp;AV466,LARGE(INDEX(ISNUMBER(--MID(AV466,ROW($1:$8),1))*ROW($1:$8),),ROW($1:$8))+1,1)*10^ROW($1:$8)/10)</f>
        <v>30390456</v>
      </c>
      <c r="AX466" s="402" t="str">
        <f>VLOOKUP($AW466,'Item Master Data'!$A:$F,3,FALSE)</f>
        <v>Q.PEAK DUO BLK ML G10+</v>
      </c>
      <c r="AY466" s="402">
        <f>VLOOKUP($AW466,'Item Master Data'!$A:$F,6,FALSE)</f>
        <v>400</v>
      </c>
      <c r="AZ466" s="402">
        <f t="shared" si="108"/>
        <v>24</v>
      </c>
      <c r="BA466" s="402">
        <f>VLOOKUP(AW466,'Item Master Data'!$A:$G,7,FALSE)</f>
        <v>32</v>
      </c>
      <c r="BB466" s="402"/>
      <c r="BC466" s="402">
        <f t="shared" si="109"/>
        <v>0</v>
      </c>
    </row>
    <row r="467" spans="1:55">
      <c r="A467" s="278" t="s">
        <v>4584</v>
      </c>
      <c r="B467" s="491"/>
      <c r="C467" s="279"/>
      <c r="D467" s="366" t="s">
        <v>2804</v>
      </c>
      <c r="E467" s="280" t="s">
        <v>4954</v>
      </c>
      <c r="F467" s="405" t="s">
        <v>1139</v>
      </c>
      <c r="G467" s="405">
        <v>2022</v>
      </c>
      <c r="H467" s="405">
        <v>5</v>
      </c>
      <c r="I467" s="405"/>
      <c r="J467" s="406"/>
      <c r="K467" s="405" t="s">
        <v>4229</v>
      </c>
      <c r="L467" s="406" t="s">
        <v>1162</v>
      </c>
      <c r="M467" s="406">
        <v>44505</v>
      </c>
      <c r="N467" s="406">
        <v>44682</v>
      </c>
      <c r="O467" s="406" t="s">
        <v>1932</v>
      </c>
      <c r="P467" s="406">
        <v>44694</v>
      </c>
      <c r="Q467" s="406"/>
      <c r="R467" s="406"/>
      <c r="S467" s="405" t="s">
        <v>1098</v>
      </c>
      <c r="T467" s="405">
        <v>60</v>
      </c>
      <c r="U467" s="405" t="s">
        <v>1559</v>
      </c>
      <c r="V467" s="405" t="s">
        <v>973</v>
      </c>
      <c r="W467" s="407">
        <v>400</v>
      </c>
      <c r="X467" s="371">
        <v>768</v>
      </c>
      <c r="Y467" s="408">
        <f>W467*X467</f>
        <v>307200</v>
      </c>
      <c r="Z467" s="409">
        <v>0.55000000000000004</v>
      </c>
      <c r="AA467" s="410">
        <f>Y467*Z467</f>
        <v>168960</v>
      </c>
      <c r="AB467" s="411"/>
      <c r="AC467" s="412">
        <v>0</v>
      </c>
      <c r="AD467" s="421"/>
      <c r="AE467" s="413"/>
      <c r="AF467" s="424">
        <f>AE467+AD467+AA467</f>
        <v>168960</v>
      </c>
      <c r="AG467" s="405" t="s">
        <v>1069</v>
      </c>
      <c r="AH467" s="405"/>
      <c r="AI467" s="405">
        <v>60</v>
      </c>
      <c r="AJ467" s="405" t="s">
        <v>1163</v>
      </c>
      <c r="AK467" s="405" t="s">
        <v>1130</v>
      </c>
      <c r="AL467" s="425" t="s">
        <v>1164</v>
      </c>
      <c r="AM467" s="405" t="s">
        <v>52</v>
      </c>
      <c r="AN467" s="405" t="s">
        <v>50</v>
      </c>
      <c r="AO467" s="405"/>
      <c r="AP467" s="413"/>
      <c r="AQ467" s="413" t="s">
        <v>37</v>
      </c>
      <c r="AR467" s="405" t="s">
        <v>2810</v>
      </c>
      <c r="AS467" s="386"/>
      <c r="AT467" s="281"/>
      <c r="AU467" s="403">
        <v>0.5</v>
      </c>
      <c r="AV467" s="402" t="str">
        <f t="shared" si="107"/>
        <v>30390156H</v>
      </c>
      <c r="AW467" s="402" cm="1">
        <f t="array" ref="AW467">SUM(MID(0&amp;AV467,LARGE(INDEX(ISNUMBER(--MID(AV467,ROW($1:$8),1))*ROW($1:$8),),ROW($1:$8))+1,1)*10^ROW($1:$8)/10)</f>
        <v>30390156</v>
      </c>
      <c r="AX467" s="402" t="str">
        <f>VLOOKUP($AW467,'Item Master Data'!$A:$F,3,FALSE)</f>
        <v>Q.PEAK DUO BLK ML G10+</v>
      </c>
      <c r="AY467" s="402">
        <f>VLOOKUP($AW467,'Item Master Data'!$A:$F,6,FALSE)</f>
        <v>400</v>
      </c>
      <c r="AZ467" s="402">
        <f t="shared" si="108"/>
        <v>24</v>
      </c>
      <c r="BA467" s="402">
        <f>VLOOKUP(AW467,'Item Master Data'!$A:$G,7,FALSE)</f>
        <v>32</v>
      </c>
      <c r="BB467" s="402"/>
      <c r="BC467" s="402">
        <f t="shared" si="109"/>
        <v>0</v>
      </c>
    </row>
    <row r="468" spans="1:55">
      <c r="A468" s="278" t="s">
        <v>4585</v>
      </c>
      <c r="B468" s="491"/>
      <c r="C468" s="279"/>
      <c r="D468" s="366" t="s">
        <v>2804</v>
      </c>
      <c r="E468" s="280" t="s">
        <v>4895</v>
      </c>
      <c r="F468" s="405" t="s">
        <v>1139</v>
      </c>
      <c r="G468" s="405">
        <v>2022</v>
      </c>
      <c r="H468" s="405">
        <v>5</v>
      </c>
      <c r="I468" s="405"/>
      <c r="J468" s="406"/>
      <c r="K468" s="405" t="s">
        <v>4955</v>
      </c>
      <c r="L468" s="406" t="s">
        <v>1162</v>
      </c>
      <c r="M468" s="406">
        <v>44505</v>
      </c>
      <c r="N468" s="406">
        <v>44682</v>
      </c>
      <c r="O468" s="406" t="s">
        <v>1932</v>
      </c>
      <c r="P468" s="406"/>
      <c r="Q468" s="406" t="s">
        <v>4598</v>
      </c>
      <c r="R468" s="406"/>
      <c r="S468" s="405" t="s">
        <v>1098</v>
      </c>
      <c r="T468" s="405">
        <v>60</v>
      </c>
      <c r="U468" s="405" t="s">
        <v>1559</v>
      </c>
      <c r="V468" s="405" t="s">
        <v>973</v>
      </c>
      <c r="W468" s="407">
        <v>400</v>
      </c>
      <c r="X468" s="371">
        <f>1536-768</f>
        <v>768</v>
      </c>
      <c r="Y468" s="408">
        <f>W468*X468</f>
        <v>307200</v>
      </c>
      <c r="Z468" s="512">
        <v>0.55000000000000004</v>
      </c>
      <c r="AA468" s="410">
        <f>Y468*Z468</f>
        <v>168960</v>
      </c>
      <c r="AB468" s="411"/>
      <c r="AC468" s="412">
        <v>0</v>
      </c>
      <c r="AD468" s="421"/>
      <c r="AE468" s="413"/>
      <c r="AF468" s="424">
        <f>AE468+AD468+AA468</f>
        <v>168960</v>
      </c>
      <c r="AG468" s="405" t="s">
        <v>1069</v>
      </c>
      <c r="AH468" s="405"/>
      <c r="AI468" s="405">
        <v>60</v>
      </c>
      <c r="AJ468" s="405" t="s">
        <v>1163</v>
      </c>
      <c r="AK468" s="405" t="s">
        <v>1130</v>
      </c>
      <c r="AL468" s="425" t="s">
        <v>1164</v>
      </c>
      <c r="AM468" s="405" t="s">
        <v>52</v>
      </c>
      <c r="AN468" s="405"/>
      <c r="AO468" s="405"/>
      <c r="AP468" s="413"/>
      <c r="AQ468" s="413" t="s">
        <v>37</v>
      </c>
      <c r="AR468" s="405" t="s">
        <v>2810</v>
      </c>
      <c r="AS468" s="386"/>
      <c r="AT468" s="281"/>
      <c r="AU468" s="403">
        <v>0.5</v>
      </c>
      <c r="AV468" s="402" t="str">
        <f t="shared" si="107"/>
        <v>30390156H</v>
      </c>
      <c r="AW468" s="402" cm="1">
        <f t="array" ref="AW468">SUM(MID(0&amp;AV468,LARGE(INDEX(ISNUMBER(--MID(AV468,ROW($1:$8),1))*ROW($1:$8),),ROW($1:$8))+1,1)*10^ROW($1:$8)/10)</f>
        <v>30390156</v>
      </c>
      <c r="AX468" s="402" t="str">
        <f>VLOOKUP($AW468,'Item Master Data'!$A:$F,3,FALSE)</f>
        <v>Q.PEAK DUO BLK ML G10+</v>
      </c>
      <c r="AY468" s="402">
        <f>VLOOKUP($AW468,'Item Master Data'!$A:$F,6,FALSE)</f>
        <v>400</v>
      </c>
      <c r="AZ468" s="402">
        <f t="shared" si="108"/>
        <v>24</v>
      </c>
      <c r="BA468" s="402">
        <f>VLOOKUP(AW468,'Item Master Data'!$A:$G,7,FALSE)</f>
        <v>32</v>
      </c>
      <c r="BB468" s="402"/>
      <c r="BC468" s="402">
        <f t="shared" si="109"/>
        <v>0</v>
      </c>
    </row>
    <row r="469" spans="1:55">
      <c r="A469" s="278" t="s">
        <v>4584</v>
      </c>
      <c r="B469" s="491"/>
      <c r="C469" s="279"/>
      <c r="D469" s="366" t="s">
        <v>2804</v>
      </c>
      <c r="E469" s="280" t="s">
        <v>4869</v>
      </c>
      <c r="F469" s="405">
        <v>2</v>
      </c>
      <c r="G469" s="405">
        <v>2022</v>
      </c>
      <c r="H469" s="405">
        <v>5</v>
      </c>
      <c r="I469" s="405"/>
      <c r="J469" s="406"/>
      <c r="K469" s="405" t="s">
        <v>2847</v>
      </c>
      <c r="L469" s="406" t="s">
        <v>1195</v>
      </c>
      <c r="M469" s="406">
        <v>44511</v>
      </c>
      <c r="N469" s="406" t="s">
        <v>2848</v>
      </c>
      <c r="O469" s="406"/>
      <c r="P469" s="406">
        <v>44673</v>
      </c>
      <c r="Q469" s="406">
        <v>44693</v>
      </c>
      <c r="R469" s="406"/>
      <c r="S469" s="405" t="s">
        <v>1098</v>
      </c>
      <c r="T469" s="405">
        <v>60</v>
      </c>
      <c r="U469" s="405">
        <v>49203132</v>
      </c>
      <c r="V469" s="405" t="s">
        <v>986</v>
      </c>
      <c r="W469" s="407">
        <v>360</v>
      </c>
      <c r="X469" s="371">
        <v>832</v>
      </c>
      <c r="Y469" s="408">
        <f>W469*X469</f>
        <v>299520</v>
      </c>
      <c r="Z469" s="409">
        <v>0.53</v>
      </c>
      <c r="AA469" s="410">
        <f>Y469*Z469</f>
        <v>158745.60000000001</v>
      </c>
      <c r="AB469" s="411"/>
      <c r="AC469" s="412">
        <v>0</v>
      </c>
      <c r="AD469" s="421"/>
      <c r="AE469" s="413"/>
      <c r="AF469" s="424">
        <f>AE469+AD469+AA469</f>
        <v>158745.60000000001</v>
      </c>
      <c r="AG469" s="405" t="s">
        <v>1069</v>
      </c>
      <c r="AH469" s="405"/>
      <c r="AI469" s="405">
        <v>60</v>
      </c>
      <c r="AJ469" s="405" t="s">
        <v>1200</v>
      </c>
      <c r="AK469" s="405" t="s">
        <v>1176</v>
      </c>
      <c r="AL469" s="425" t="s">
        <v>1201</v>
      </c>
      <c r="AM469" s="405" t="s">
        <v>52</v>
      </c>
      <c r="AN469" s="405" t="s">
        <v>1101</v>
      </c>
      <c r="AO469" s="405"/>
      <c r="AP469" s="413"/>
      <c r="AQ469" s="413" t="s">
        <v>37</v>
      </c>
      <c r="AR469" s="405"/>
      <c r="AS469" s="386"/>
      <c r="AT469" s="281"/>
      <c r="AU469" s="403"/>
      <c r="AV469" s="402">
        <f t="shared" si="107"/>
        <v>49203132</v>
      </c>
      <c r="AW469" s="402" cm="1">
        <f t="array" ref="AW469">SUM(MID(0&amp;AV469,LARGE(INDEX(ISNUMBER(--MID(AV469,ROW($1:$8),1))*ROW($1:$8),),ROW($1:$8))+1,1)*10^ROW($1:$8)/10)</f>
        <v>49203132</v>
      </c>
      <c r="AX469" s="402" t="str">
        <f>VLOOKUP($AW469,'Item Master Data'!$A:$F,3,FALSE)</f>
        <v>Q.PEAK DUO BLK G10+</v>
      </c>
      <c r="AY469" s="402">
        <f>VLOOKUP($AW469,'Item Master Data'!$A:$F,6,FALSE)</f>
        <v>360</v>
      </c>
      <c r="AZ469" s="402">
        <f t="shared" si="108"/>
        <v>26</v>
      </c>
      <c r="BA469" s="402">
        <f>VLOOKUP(AW469,'Item Master Data'!$A:$G,7,FALSE)</f>
        <v>32</v>
      </c>
      <c r="BB469" s="402"/>
      <c r="BC469" s="402">
        <f t="shared" si="109"/>
        <v>0</v>
      </c>
    </row>
    <row r="470" spans="1:55">
      <c r="A470" s="278" t="s">
        <v>4584</v>
      </c>
      <c r="B470" s="279"/>
      <c r="C470" s="279"/>
      <c r="D470" s="366" t="s">
        <v>2804</v>
      </c>
      <c r="E470" s="280" t="s">
        <v>2934</v>
      </c>
      <c r="F470" s="405"/>
      <c r="G470" s="405">
        <v>2022</v>
      </c>
      <c r="H470" s="405">
        <v>5</v>
      </c>
      <c r="I470" s="416"/>
      <c r="J470" s="406"/>
      <c r="K470" s="405" t="s">
        <v>4956</v>
      </c>
      <c r="L470" s="405" t="s">
        <v>1174</v>
      </c>
      <c r="M470" s="406">
        <v>44596</v>
      </c>
      <c r="N470" s="406">
        <v>44746</v>
      </c>
      <c r="O470" s="406"/>
      <c r="P470" s="406"/>
      <c r="Q470" s="406"/>
      <c r="R470" s="406"/>
      <c r="S470" s="405" t="s">
        <v>1098</v>
      </c>
      <c r="T470" s="405">
        <v>60</v>
      </c>
      <c r="U470" s="405"/>
      <c r="V470" s="405" t="s">
        <v>973</v>
      </c>
      <c r="W470" s="407">
        <v>400</v>
      </c>
      <c r="X470" s="371">
        <v>1536</v>
      </c>
      <c r="Y470" s="408">
        <f>W470*X470</f>
        <v>614400</v>
      </c>
      <c r="Z470" s="409">
        <v>0.52</v>
      </c>
      <c r="AA470" s="410">
        <f>Y470*Z470</f>
        <v>319488</v>
      </c>
      <c r="AB470" s="411"/>
      <c r="AC470" s="412">
        <f>AB470*Y470</f>
        <v>0</v>
      </c>
      <c r="AD470" s="421"/>
      <c r="AE470" s="413"/>
      <c r="AF470" s="424">
        <f>AE470+AD470+AA470</f>
        <v>319488</v>
      </c>
      <c r="AG470" s="405" t="s">
        <v>1069</v>
      </c>
      <c r="AH470" s="405"/>
      <c r="AI470" s="405">
        <v>60</v>
      </c>
      <c r="AJ470" s="405" t="s">
        <v>1185</v>
      </c>
      <c r="AK470" s="405" t="s">
        <v>1092</v>
      </c>
      <c r="AL470" s="425">
        <v>1501</v>
      </c>
      <c r="AM470" s="405" t="s">
        <v>52</v>
      </c>
      <c r="AN470" s="405"/>
      <c r="AO470" s="405"/>
      <c r="AP470" s="413"/>
      <c r="AQ470" s="413" t="s">
        <v>37</v>
      </c>
      <c r="AR470" s="405"/>
      <c r="AS470" s="386"/>
      <c r="AT470" s="281"/>
      <c r="AU470" s="403"/>
      <c r="AV470" s="402">
        <f t="shared" si="107"/>
        <v>0</v>
      </c>
      <c r="AW470" s="402" cm="1">
        <f t="array" ref="AW470">SUM(MID(0&amp;AV470,LARGE(INDEX(ISNUMBER(--MID(AV470,ROW($1:$8),1))*ROW($1:$8),),ROW($1:$8))+1,1)*10^ROW($1:$8)/10)</f>
        <v>0</v>
      </c>
      <c r="AX470" s="402" t="e">
        <f>VLOOKUP($AW470,'Item Master Data'!$A:$F,3,FALSE)</f>
        <v>#N/A</v>
      </c>
      <c r="AY470" s="402" t="e">
        <f>VLOOKUP($AW470,'Item Master Data'!$A:$F,6,FALSE)</f>
        <v>#N/A</v>
      </c>
      <c r="AZ470" s="402" t="e">
        <f t="shared" si="108"/>
        <v>#N/A</v>
      </c>
      <c r="BA470" s="402" t="e">
        <f>VLOOKUP(AW470,'Item Master Data'!$A:$G,7,FALSE)</f>
        <v>#N/A</v>
      </c>
      <c r="BB470" s="402"/>
      <c r="BC470" s="402" t="e">
        <f t="shared" si="109"/>
        <v>#N/A</v>
      </c>
    </row>
    <row r="471" spans="1:55">
      <c r="A471" s="278" t="s">
        <v>4585</v>
      </c>
      <c r="B471" s="279"/>
      <c r="C471" s="279"/>
      <c r="D471" s="366" t="s">
        <v>2804</v>
      </c>
      <c r="E471" s="280" t="s">
        <v>2934</v>
      </c>
      <c r="F471" s="405"/>
      <c r="G471" s="405">
        <v>2022</v>
      </c>
      <c r="H471" s="405">
        <v>5</v>
      </c>
      <c r="I471" s="416"/>
      <c r="J471" s="406"/>
      <c r="K471" s="405" t="s">
        <v>4957</v>
      </c>
      <c r="L471" s="405" t="s">
        <v>1174</v>
      </c>
      <c r="M471" s="406">
        <v>44596</v>
      </c>
      <c r="N471" s="406">
        <v>44746</v>
      </c>
      <c r="O471" s="406"/>
      <c r="P471" s="406"/>
      <c r="Q471" s="406"/>
      <c r="R471" s="406"/>
      <c r="S471" s="405" t="s">
        <v>1098</v>
      </c>
      <c r="T471" s="405">
        <v>60</v>
      </c>
      <c r="U471" s="405"/>
      <c r="V471" s="405" t="s">
        <v>973</v>
      </c>
      <c r="W471" s="407">
        <v>400</v>
      </c>
      <c r="X471" s="371">
        <v>2304</v>
      </c>
      <c r="Y471" s="408">
        <f>W471*X471</f>
        <v>921600</v>
      </c>
      <c r="Z471" s="512">
        <v>0.52</v>
      </c>
      <c r="AA471" s="410">
        <f>Y471*Z471</f>
        <v>479232</v>
      </c>
      <c r="AB471" s="411"/>
      <c r="AC471" s="412">
        <f>AB471*Y471</f>
        <v>0</v>
      </c>
      <c r="AD471" s="421"/>
      <c r="AE471" s="413"/>
      <c r="AF471" s="424">
        <f>AE471+AD471+AA471</f>
        <v>479232</v>
      </c>
      <c r="AG471" s="405" t="s">
        <v>1069</v>
      </c>
      <c r="AH471" s="405"/>
      <c r="AI471" s="405">
        <v>60</v>
      </c>
      <c r="AJ471" s="405" t="s">
        <v>1185</v>
      </c>
      <c r="AK471" s="405" t="s">
        <v>1092</v>
      </c>
      <c r="AL471" s="425">
        <v>1501</v>
      </c>
      <c r="AM471" s="405" t="s">
        <v>52</v>
      </c>
      <c r="AN471" s="405"/>
      <c r="AO471" s="405"/>
      <c r="AP471" s="413"/>
      <c r="AQ471" s="413" t="s">
        <v>37</v>
      </c>
      <c r="AR471" s="405"/>
      <c r="AS471" s="386"/>
      <c r="AT471" s="281"/>
      <c r="AU471" s="403"/>
      <c r="AV471" s="402">
        <f t="shared" si="107"/>
        <v>0</v>
      </c>
      <c r="AW471" s="402" cm="1">
        <f t="array" ref="AW471">SUM(MID(0&amp;AV471,LARGE(INDEX(ISNUMBER(--MID(AV471,ROW($1:$8),1))*ROW($1:$8),),ROW($1:$8))+1,1)*10^ROW($1:$8)/10)</f>
        <v>0</v>
      </c>
      <c r="AX471" s="402" t="e">
        <f>VLOOKUP($AW471,'Item Master Data'!$A:$F,3,FALSE)</f>
        <v>#N/A</v>
      </c>
      <c r="AY471" s="402" t="e">
        <f>VLOOKUP($AW471,'Item Master Data'!$A:$F,6,FALSE)</f>
        <v>#N/A</v>
      </c>
      <c r="AZ471" s="402" t="e">
        <f t="shared" si="108"/>
        <v>#N/A</v>
      </c>
      <c r="BA471" s="402" t="e">
        <f>VLOOKUP(AW471,'Item Master Data'!$A:$G,7,FALSE)</f>
        <v>#N/A</v>
      </c>
      <c r="BB471" s="402"/>
      <c r="BC471" s="402" t="e">
        <f t="shared" si="109"/>
        <v>#N/A</v>
      </c>
    </row>
    <row r="472" spans="1:55">
      <c r="A472" s="278" t="s">
        <v>4585</v>
      </c>
      <c r="B472" s="491"/>
      <c r="C472" s="279"/>
      <c r="D472" s="366" t="s">
        <v>2804</v>
      </c>
      <c r="E472" s="280" t="s">
        <v>4958</v>
      </c>
      <c r="F472" s="405"/>
      <c r="G472" s="405">
        <v>2022</v>
      </c>
      <c r="H472" s="405">
        <v>6</v>
      </c>
      <c r="I472" s="405" t="s">
        <v>4337</v>
      </c>
      <c r="J472" s="406"/>
      <c r="K472" s="453" t="s">
        <v>2888</v>
      </c>
      <c r="L472" s="520" t="s">
        <v>1195</v>
      </c>
      <c r="M472" s="406">
        <v>44531</v>
      </c>
      <c r="N472" s="406">
        <v>44680</v>
      </c>
      <c r="O472" s="406"/>
      <c r="P472" s="406"/>
      <c r="Q472" s="406" t="s">
        <v>4598</v>
      </c>
      <c r="R472" s="406"/>
      <c r="S472" s="405" t="s">
        <v>1098</v>
      </c>
      <c r="T472" s="405">
        <v>60</v>
      </c>
      <c r="U472" s="405"/>
      <c r="V472" s="405" t="s">
        <v>986</v>
      </c>
      <c r="W472" s="407">
        <v>360</v>
      </c>
      <c r="X472" s="371">
        <v>832</v>
      </c>
      <c r="Y472" s="408">
        <f>W472*X472</f>
        <v>299520</v>
      </c>
      <c r="Z472" s="409">
        <v>0.49</v>
      </c>
      <c r="AA472" s="410">
        <f>Y472*Z472</f>
        <v>146764.79999999999</v>
      </c>
      <c r="AB472" s="411"/>
      <c r="AC472" s="412">
        <v>0</v>
      </c>
      <c r="AD472" s="421"/>
      <c r="AE472" s="413"/>
      <c r="AF472" s="424">
        <f>AE472+AD472+AA472</f>
        <v>146764.79999999999</v>
      </c>
      <c r="AG472" s="405" t="s">
        <v>1069</v>
      </c>
      <c r="AH472" s="405"/>
      <c r="AI472" s="405">
        <v>60</v>
      </c>
      <c r="AJ472" s="405" t="s">
        <v>1200</v>
      </c>
      <c r="AK472" s="405" t="s">
        <v>1176</v>
      </c>
      <c r="AL472" s="425" t="s">
        <v>1201</v>
      </c>
      <c r="AM472" s="405" t="s">
        <v>52</v>
      </c>
      <c r="AN472" s="405" t="s">
        <v>1082</v>
      </c>
      <c r="AO472" s="405"/>
      <c r="AP472" s="413" t="s">
        <v>38</v>
      </c>
      <c r="AQ472" s="413" t="s">
        <v>37</v>
      </c>
      <c r="AR472" s="405"/>
      <c r="AS472" s="386"/>
      <c r="AT472" s="281"/>
      <c r="AU472" s="403"/>
      <c r="AV472" s="402"/>
      <c r="AW472" s="402"/>
      <c r="AX472" s="402"/>
      <c r="AY472" s="402"/>
      <c r="AZ472" s="402"/>
      <c r="BA472" s="402"/>
      <c r="BB472" s="402"/>
      <c r="BC472" s="402"/>
    </row>
    <row r="473" spans="1:55">
      <c r="A473" s="278" t="s">
        <v>4585</v>
      </c>
      <c r="B473" s="491"/>
      <c r="C473" s="279" t="s">
        <v>4585</v>
      </c>
      <c r="D473" s="366" t="s">
        <v>2804</v>
      </c>
      <c r="E473" s="280" t="s">
        <v>4701</v>
      </c>
      <c r="F473" s="405"/>
      <c r="G473" s="405">
        <v>2022</v>
      </c>
      <c r="H473" s="405">
        <v>6</v>
      </c>
      <c r="I473" s="405"/>
      <c r="J473" s="406"/>
      <c r="K473" s="405" t="s">
        <v>2891</v>
      </c>
      <c r="L473" s="520" t="s">
        <v>1250</v>
      </c>
      <c r="M473" s="406">
        <v>44522</v>
      </c>
      <c r="N473" s="406">
        <v>44599</v>
      </c>
      <c r="O473" s="406"/>
      <c r="P473" s="406"/>
      <c r="Q473" s="406" t="s">
        <v>4598</v>
      </c>
      <c r="R473" s="406"/>
      <c r="S473" s="405" t="s">
        <v>1098</v>
      </c>
      <c r="T473" s="405">
        <v>60</v>
      </c>
      <c r="U473" s="405" t="s">
        <v>1908</v>
      </c>
      <c r="V473" s="405" t="s">
        <v>986</v>
      </c>
      <c r="W473" s="407">
        <v>360</v>
      </c>
      <c r="X473" s="371">
        <v>832</v>
      </c>
      <c r="Y473" s="408">
        <f>W473*X473</f>
        <v>299520</v>
      </c>
      <c r="Z473" s="409">
        <v>0.5</v>
      </c>
      <c r="AA473" s="410">
        <f>Y473*Z473</f>
        <v>149760</v>
      </c>
      <c r="AB473" s="411"/>
      <c r="AC473" s="412">
        <v>0</v>
      </c>
      <c r="AD473" s="421"/>
      <c r="AE473" s="413"/>
      <c r="AF473" s="424">
        <f>AE473+AD473+AA473</f>
        <v>149760</v>
      </c>
      <c r="AG473" s="405" t="s">
        <v>1069</v>
      </c>
      <c r="AH473" s="405"/>
      <c r="AI473" s="405">
        <v>60</v>
      </c>
      <c r="AJ473" s="405" t="s">
        <v>1251</v>
      </c>
      <c r="AK473" s="405" t="s">
        <v>1252</v>
      </c>
      <c r="AL473" s="425" t="s">
        <v>1253</v>
      </c>
      <c r="AM473" s="405" t="s">
        <v>52</v>
      </c>
      <c r="AN473" s="405" t="s">
        <v>1071</v>
      </c>
      <c r="AO473" s="405"/>
      <c r="AP473" s="413"/>
      <c r="AQ473" s="413" t="s">
        <v>37</v>
      </c>
      <c r="AR473" s="405"/>
      <c r="AS473" s="386"/>
      <c r="AT473" s="281"/>
      <c r="AU473" s="403"/>
      <c r="AV473" s="402" t="str">
        <f>U473</f>
        <v>30390156F</v>
      </c>
      <c r="AW473" s="402" cm="1">
        <f t="array" ref="AW473">SUM(MID(0&amp;AV473,LARGE(INDEX(ISNUMBER(--MID(AV473,ROW($1:$8),1))*ROW($1:$8),),ROW($1:$8))+1,1)*10^ROW($1:$8)/10)</f>
        <v>30390156</v>
      </c>
      <c r="AX473" s="402" t="str">
        <f>VLOOKUP($AW473,'Item Master Data'!$A:$F,3,FALSE)</f>
        <v>Q.PEAK DUO BLK ML G10+</v>
      </c>
      <c r="AY473" s="402">
        <f>VLOOKUP($AW473,'Item Master Data'!$A:$F,6,FALSE)</f>
        <v>400</v>
      </c>
      <c r="AZ473" s="402">
        <f>X473/BA473</f>
        <v>26</v>
      </c>
      <c r="BA473" s="402">
        <f>VLOOKUP(AW473,'Item Master Data'!$A:$G,7,FALSE)</f>
        <v>32</v>
      </c>
      <c r="BB473" s="402"/>
      <c r="BC473" s="402">
        <f>W473-AY473</f>
        <v>-40</v>
      </c>
    </row>
    <row r="474" spans="1:55">
      <c r="A474" s="278" t="s">
        <v>4584</v>
      </c>
      <c r="B474" s="491"/>
      <c r="C474" s="279"/>
      <c r="D474" s="366" t="s">
        <v>2804</v>
      </c>
      <c r="E474" s="280" t="s">
        <v>4700</v>
      </c>
      <c r="F474" s="405" t="s">
        <v>1139</v>
      </c>
      <c r="G474" s="405">
        <v>2022</v>
      </c>
      <c r="H474" s="405">
        <v>5</v>
      </c>
      <c r="I474" s="405"/>
      <c r="J474" s="406"/>
      <c r="K474" s="405" t="s">
        <v>2889</v>
      </c>
      <c r="L474" s="406" t="s">
        <v>1195</v>
      </c>
      <c r="M474" s="406">
        <v>44503</v>
      </c>
      <c r="N474" s="406">
        <v>44607</v>
      </c>
      <c r="O474" s="406">
        <v>44683</v>
      </c>
      <c r="P474" s="406">
        <v>44680</v>
      </c>
      <c r="Q474" s="406">
        <v>44684</v>
      </c>
      <c r="R474" s="406">
        <v>44685</v>
      </c>
      <c r="S474" s="405" t="s">
        <v>1098</v>
      </c>
      <c r="T474" s="405">
        <v>60</v>
      </c>
      <c r="U474" s="405" t="s">
        <v>1237</v>
      </c>
      <c r="V474" s="405" t="s">
        <v>973</v>
      </c>
      <c r="W474" s="407">
        <v>400</v>
      </c>
      <c r="X474" s="371">
        <v>768</v>
      </c>
      <c r="Y474" s="408">
        <f>W474*X474</f>
        <v>307200</v>
      </c>
      <c r="Z474" s="409">
        <v>0.55000000000000004</v>
      </c>
      <c r="AA474" s="410">
        <f>Y474*Z474</f>
        <v>168960</v>
      </c>
      <c r="AB474" s="411"/>
      <c r="AC474" s="412">
        <f>AB474*Y474</f>
        <v>0</v>
      </c>
      <c r="AD474" s="421"/>
      <c r="AE474" s="413"/>
      <c r="AF474" s="424">
        <f>AE474+AD474+AA474</f>
        <v>168960</v>
      </c>
      <c r="AG474" s="405" t="s">
        <v>1069</v>
      </c>
      <c r="AH474" s="405"/>
      <c r="AI474" s="405">
        <v>60</v>
      </c>
      <c r="AJ474" s="405" t="s">
        <v>2811</v>
      </c>
      <c r="AK474" s="405" t="s">
        <v>1176</v>
      </c>
      <c r="AL474" s="425">
        <v>6492</v>
      </c>
      <c r="AM474" s="405" t="s">
        <v>52</v>
      </c>
      <c r="AN474" s="405" t="s">
        <v>1082</v>
      </c>
      <c r="AO474" s="405"/>
      <c r="AP474" s="413" t="s">
        <v>92</v>
      </c>
      <c r="AQ474" s="413" t="s">
        <v>37</v>
      </c>
      <c r="AR474" s="405"/>
      <c r="AS474" s="386" t="s">
        <v>1073</v>
      </c>
      <c r="AT474" s="281" t="s">
        <v>1073</v>
      </c>
      <c r="AU474" s="403">
        <v>0.46500000000000002</v>
      </c>
      <c r="AV474" s="402" t="str">
        <f>U474</f>
        <v>30390456H</v>
      </c>
      <c r="AW474" s="402" cm="1">
        <f t="array" ref="AW474">SUM(MID(0&amp;AV474,LARGE(INDEX(ISNUMBER(--MID(AV474,ROW($1:$8),1))*ROW($1:$8),),ROW($1:$8))+1,1)*10^ROW($1:$8)/10)</f>
        <v>30390456</v>
      </c>
      <c r="AX474" s="402" t="str">
        <f>VLOOKUP($AW474,'Item Master Data'!$A:$F,3,FALSE)</f>
        <v>Q.PEAK DUO BLK ML G10+</v>
      </c>
      <c r="AY474" s="402">
        <f>VLOOKUP($AW474,'Item Master Data'!$A:$F,6,FALSE)</f>
        <v>400</v>
      </c>
      <c r="AZ474" s="402">
        <f>X474/BA474</f>
        <v>24</v>
      </c>
      <c r="BA474" s="402">
        <f>VLOOKUP(AW474,'Item Master Data'!$A:$G,7,FALSE)</f>
        <v>32</v>
      </c>
      <c r="BB474" s="402"/>
      <c r="BC474" s="402">
        <f>W474-AY474</f>
        <v>0</v>
      </c>
    </row>
    <row r="475" spans="1:55">
      <c r="A475" s="278" t="s">
        <v>4584</v>
      </c>
      <c r="B475" s="491"/>
      <c r="C475" s="279"/>
      <c r="D475" s="366" t="s">
        <v>2804</v>
      </c>
      <c r="E475" s="280" t="s">
        <v>4894</v>
      </c>
      <c r="F475" s="405" t="s">
        <v>1139</v>
      </c>
      <c r="G475" s="405">
        <v>2022</v>
      </c>
      <c r="H475" s="405">
        <v>5</v>
      </c>
      <c r="I475" s="405"/>
      <c r="J475" s="406"/>
      <c r="K475" s="405" t="s">
        <v>2853</v>
      </c>
      <c r="L475" s="406" t="s">
        <v>1263</v>
      </c>
      <c r="M475" s="406">
        <v>44477</v>
      </c>
      <c r="N475" s="406">
        <v>44627</v>
      </c>
      <c r="O475" s="406"/>
      <c r="P475" s="406">
        <v>44678</v>
      </c>
      <c r="Q475" s="406"/>
      <c r="R475" s="406"/>
      <c r="S475" s="405" t="s">
        <v>1098</v>
      </c>
      <c r="T475" s="405">
        <v>60</v>
      </c>
      <c r="U475" s="405">
        <v>49203132</v>
      </c>
      <c r="V475" s="405" t="s">
        <v>986</v>
      </c>
      <c r="W475" s="407">
        <v>360</v>
      </c>
      <c r="X475" s="371">
        <v>2496</v>
      </c>
      <c r="Y475" s="408">
        <f>W475*X475</f>
        <v>898560</v>
      </c>
      <c r="Z475" s="409">
        <v>0.53</v>
      </c>
      <c r="AA475" s="410">
        <f>Y475*Z475</f>
        <v>476236.80000000005</v>
      </c>
      <c r="AB475" s="411"/>
      <c r="AC475" s="412">
        <v>0</v>
      </c>
      <c r="AD475" s="421"/>
      <c r="AE475" s="413"/>
      <c r="AF475" s="424">
        <f>AE475+AD475+AA475</f>
        <v>476236.80000000005</v>
      </c>
      <c r="AG475" s="405" t="s">
        <v>1069</v>
      </c>
      <c r="AH475" s="405"/>
      <c r="AI475" s="405">
        <v>60</v>
      </c>
      <c r="AJ475" s="405" t="s">
        <v>1177</v>
      </c>
      <c r="AK475" s="405" t="s">
        <v>1070</v>
      </c>
      <c r="AL475" s="425">
        <v>21046</v>
      </c>
      <c r="AM475" s="405" t="s">
        <v>52</v>
      </c>
      <c r="AN475" s="405" t="s">
        <v>1101</v>
      </c>
      <c r="AO475" s="405"/>
      <c r="AP475" s="413"/>
      <c r="AQ475" s="413"/>
      <c r="AR475" s="405"/>
      <c r="AS475" s="386"/>
      <c r="AT475" s="281" t="s">
        <v>1073</v>
      </c>
      <c r="AU475" s="403"/>
      <c r="AV475" s="402"/>
      <c r="AW475" s="402"/>
      <c r="AX475" s="402"/>
      <c r="AY475" s="402"/>
      <c r="AZ475" s="402"/>
      <c r="BA475" s="402"/>
      <c r="BB475" s="402"/>
      <c r="BC475" s="402"/>
    </row>
    <row r="476" spans="1:55">
      <c r="A476" s="278" t="s">
        <v>4585</v>
      </c>
      <c r="B476" s="491"/>
      <c r="C476" s="279"/>
      <c r="D476" s="366" t="s">
        <v>2804</v>
      </c>
      <c r="E476" s="280" t="s">
        <v>4894</v>
      </c>
      <c r="F476" s="405"/>
      <c r="G476" s="405">
        <v>2022</v>
      </c>
      <c r="H476" s="405">
        <v>6</v>
      </c>
      <c r="I476" s="405"/>
      <c r="J476" s="406"/>
      <c r="K476" s="453" t="s">
        <v>2855</v>
      </c>
      <c r="L476" s="520" t="s">
        <v>1263</v>
      </c>
      <c r="M476" s="406">
        <v>44504</v>
      </c>
      <c r="N476" s="406">
        <v>44621</v>
      </c>
      <c r="O476" s="406"/>
      <c r="P476" s="406">
        <v>44678</v>
      </c>
      <c r="Q476" s="406"/>
      <c r="R476" s="406"/>
      <c r="S476" s="405" t="s">
        <v>1098</v>
      </c>
      <c r="T476" s="405">
        <v>60</v>
      </c>
      <c r="U476" s="405">
        <v>49203132</v>
      </c>
      <c r="V476" s="405" t="s">
        <v>986</v>
      </c>
      <c r="W476" s="407">
        <v>360</v>
      </c>
      <c r="X476" s="371">
        <v>1664</v>
      </c>
      <c r="Y476" s="408">
        <f>W476*X476</f>
        <v>599040</v>
      </c>
      <c r="Z476" s="409">
        <v>0.53</v>
      </c>
      <c r="AA476" s="410">
        <f>Y476*Z476</f>
        <v>317491.20000000001</v>
      </c>
      <c r="AB476" s="411"/>
      <c r="AC476" s="412">
        <v>0</v>
      </c>
      <c r="AD476" s="421"/>
      <c r="AE476" s="413"/>
      <c r="AF476" s="424">
        <f>AE476+AD476+AA476</f>
        <v>317491.20000000001</v>
      </c>
      <c r="AG476" s="405" t="s">
        <v>1069</v>
      </c>
      <c r="AH476" s="405"/>
      <c r="AI476" s="405">
        <v>60</v>
      </c>
      <c r="AJ476" s="405" t="s">
        <v>1177</v>
      </c>
      <c r="AK476" s="405" t="s">
        <v>1070</v>
      </c>
      <c r="AL476" s="425">
        <v>21046</v>
      </c>
      <c r="AM476" s="405" t="s">
        <v>52</v>
      </c>
      <c r="AN476" s="405" t="s">
        <v>1101</v>
      </c>
      <c r="AO476" s="405"/>
      <c r="AP476" s="413"/>
      <c r="AQ476" s="413"/>
      <c r="AR476" s="405"/>
      <c r="AS476" s="386"/>
      <c r="AT476" s="281" t="s">
        <v>1073</v>
      </c>
      <c r="AU476" s="403"/>
      <c r="AV476" s="402"/>
      <c r="AW476" s="402"/>
      <c r="AX476" s="402"/>
      <c r="AY476" s="402"/>
      <c r="AZ476" s="402"/>
      <c r="BA476" s="402"/>
      <c r="BB476" s="402"/>
      <c r="BC476" s="402"/>
    </row>
    <row r="477" spans="1:55">
      <c r="A477" s="278" t="s">
        <v>4585</v>
      </c>
      <c r="B477" s="491"/>
      <c r="C477" s="279"/>
      <c r="D477" s="366" t="s">
        <v>2804</v>
      </c>
      <c r="E477" s="280" t="s">
        <v>4958</v>
      </c>
      <c r="F477" s="405"/>
      <c r="G477" s="405">
        <v>2022</v>
      </c>
      <c r="H477" s="521">
        <v>6</v>
      </c>
      <c r="I477" s="30"/>
      <c r="J477" s="406"/>
      <c r="K477" s="509" t="s">
        <v>2892</v>
      </c>
      <c r="L477" s="522" t="s">
        <v>1263</v>
      </c>
      <c r="M477" s="523">
        <v>44477</v>
      </c>
      <c r="N477" s="406">
        <v>44655</v>
      </c>
      <c r="O477" s="406"/>
      <c r="P477" s="406"/>
      <c r="Q477" s="406" t="s">
        <v>4598</v>
      </c>
      <c r="R477" s="406"/>
      <c r="S477" s="405" t="s">
        <v>1098</v>
      </c>
      <c r="T477" s="405">
        <v>60</v>
      </c>
      <c r="U477" s="405"/>
      <c r="V477" s="405" t="s">
        <v>986</v>
      </c>
      <c r="W477" s="407">
        <v>360</v>
      </c>
      <c r="X477" s="371">
        <v>1664</v>
      </c>
      <c r="Y477" s="408">
        <f>W477*X477</f>
        <v>599040</v>
      </c>
      <c r="Z477" s="409">
        <v>0.5</v>
      </c>
      <c r="AA477" s="410">
        <f>Y477*Z477</f>
        <v>299520</v>
      </c>
      <c r="AB477" s="411"/>
      <c r="AC477" s="412">
        <v>0</v>
      </c>
      <c r="AD477" s="421"/>
      <c r="AE477" s="413"/>
      <c r="AF477" s="424">
        <f>AE477+AD477+AA477</f>
        <v>299520</v>
      </c>
      <c r="AG477" s="405" t="s">
        <v>1069</v>
      </c>
      <c r="AH477" s="405"/>
      <c r="AI477" s="405">
        <v>60</v>
      </c>
      <c r="AJ477" s="405" t="s">
        <v>1177</v>
      </c>
      <c r="AK477" s="405" t="s">
        <v>1070</v>
      </c>
      <c r="AL477" s="425">
        <v>21046</v>
      </c>
      <c r="AM477" s="405" t="s">
        <v>52</v>
      </c>
      <c r="AN477" s="405" t="s">
        <v>1071</v>
      </c>
      <c r="AO477" s="405"/>
      <c r="AP477" s="413"/>
      <c r="AQ477" s="413"/>
      <c r="AR477" s="405"/>
      <c r="AS477" s="386"/>
      <c r="AT477" s="386" t="s">
        <v>1073</v>
      </c>
      <c r="AU477" s="403"/>
      <c r="AV477" s="402"/>
      <c r="AW477" s="402"/>
      <c r="AX477" s="402"/>
      <c r="AY477" s="402"/>
      <c r="AZ477" s="402"/>
      <c r="BA477" s="402"/>
      <c r="BB477" s="402"/>
      <c r="BC477" s="402"/>
    </row>
    <row r="478" spans="1:55">
      <c r="A478" s="278" t="s">
        <v>4585</v>
      </c>
      <c r="B478" s="491"/>
      <c r="C478" s="279"/>
      <c r="D478" s="366" t="s">
        <v>2804</v>
      </c>
      <c r="E478" s="280" t="s">
        <v>4959</v>
      </c>
      <c r="F478" s="405" t="s">
        <v>1139</v>
      </c>
      <c r="G478" s="405">
        <v>2022</v>
      </c>
      <c r="H478" s="405">
        <v>6</v>
      </c>
      <c r="I478" s="405"/>
      <c r="J478" s="406"/>
      <c r="K478" s="405" t="s">
        <v>2857</v>
      </c>
      <c r="L478" s="520" t="s">
        <v>1288</v>
      </c>
      <c r="M478" s="406">
        <v>44504</v>
      </c>
      <c r="N478" s="406">
        <v>44652</v>
      </c>
      <c r="O478" s="406"/>
      <c r="P478" s="406">
        <v>44692</v>
      </c>
      <c r="Q478" s="406"/>
      <c r="R478" s="406"/>
      <c r="S478" s="405" t="s">
        <v>1098</v>
      </c>
      <c r="T478" s="405">
        <v>60</v>
      </c>
      <c r="U478" s="405">
        <v>49203132</v>
      </c>
      <c r="V478" s="405" t="s">
        <v>986</v>
      </c>
      <c r="W478" s="407">
        <v>360</v>
      </c>
      <c r="X478" s="371">
        <v>2496</v>
      </c>
      <c r="Y478" s="408">
        <f>W478*X478</f>
        <v>898560</v>
      </c>
      <c r="Z478" s="409">
        <v>0.53</v>
      </c>
      <c r="AA478" s="410">
        <f>Y478*Z478</f>
        <v>476236.80000000005</v>
      </c>
      <c r="AB478" s="411"/>
      <c r="AC478" s="412">
        <v>0</v>
      </c>
      <c r="AD478" s="421"/>
      <c r="AE478" s="413"/>
      <c r="AF478" s="424">
        <f>AE478+AD478+AA478</f>
        <v>476236.80000000005</v>
      </c>
      <c r="AG478" s="405" t="s">
        <v>1069</v>
      </c>
      <c r="AH478" s="405"/>
      <c r="AI478" s="405">
        <v>60</v>
      </c>
      <c r="AJ478" s="405" t="s">
        <v>1289</v>
      </c>
      <c r="AK478" s="405" t="s">
        <v>1082</v>
      </c>
      <c r="AL478" s="425">
        <v>8110</v>
      </c>
      <c r="AM478" s="405" t="s">
        <v>52</v>
      </c>
      <c r="AN478" s="405" t="s">
        <v>1101</v>
      </c>
      <c r="AO478" s="405"/>
      <c r="AP478" s="413"/>
      <c r="AQ478" s="413"/>
      <c r="AR478" s="405"/>
      <c r="AS478" s="386"/>
      <c r="AT478" s="281" t="s">
        <v>1073</v>
      </c>
      <c r="AU478" s="403"/>
      <c r="AV478" s="402"/>
      <c r="AW478" s="402"/>
      <c r="AX478" s="402"/>
      <c r="AY478" s="402"/>
      <c r="AZ478" s="402"/>
      <c r="BA478" s="402"/>
      <c r="BB478" s="402"/>
      <c r="BC478" s="402"/>
    </row>
    <row r="479" spans="1:55">
      <c r="A479" s="278"/>
      <c r="B479" s="279"/>
      <c r="C479" s="279"/>
      <c r="D479" s="366" t="s">
        <v>2804</v>
      </c>
      <c r="E479" s="280" t="s">
        <v>4960</v>
      </c>
      <c r="F479" s="405" t="s">
        <v>1139</v>
      </c>
      <c r="G479" s="405">
        <v>2022</v>
      </c>
      <c r="H479" s="405">
        <v>6</v>
      </c>
      <c r="I479" s="416"/>
      <c r="J479" s="406"/>
      <c r="K479" s="405" t="s">
        <v>2923</v>
      </c>
      <c r="L479" s="405" t="s">
        <v>1288</v>
      </c>
      <c r="M479" s="406">
        <v>44475</v>
      </c>
      <c r="N479" s="406">
        <v>44522</v>
      </c>
      <c r="O479" s="406" t="s">
        <v>1236</v>
      </c>
      <c r="P479" s="406">
        <v>44693</v>
      </c>
      <c r="Q479" s="406"/>
      <c r="R479" s="406"/>
      <c r="S479" s="405" t="s">
        <v>1098</v>
      </c>
      <c r="T479" s="405">
        <v>60</v>
      </c>
      <c r="U479" s="405" t="s">
        <v>1559</v>
      </c>
      <c r="V479" s="405" t="s">
        <v>973</v>
      </c>
      <c r="W479" s="407">
        <v>400</v>
      </c>
      <c r="X479" s="371">
        <v>768</v>
      </c>
      <c r="Y479" s="408">
        <f>W479*X479</f>
        <v>307200</v>
      </c>
      <c r="Z479" s="409">
        <v>0.55000000000000004</v>
      </c>
      <c r="AA479" s="410">
        <f>Y479*Z479</f>
        <v>168960</v>
      </c>
      <c r="AB479" s="411"/>
      <c r="AC479" s="412">
        <v>0</v>
      </c>
      <c r="AD479" s="421"/>
      <c r="AE479" s="413"/>
      <c r="AF479" s="424">
        <f>AE479+AD479+AA479</f>
        <v>168960</v>
      </c>
      <c r="AG479" s="405" t="s">
        <v>1069</v>
      </c>
      <c r="AH479" s="405"/>
      <c r="AI479" s="405">
        <v>60</v>
      </c>
      <c r="AJ479" s="405" t="s">
        <v>1289</v>
      </c>
      <c r="AK479" s="405" t="s">
        <v>1082</v>
      </c>
      <c r="AL479" s="425">
        <v>8110</v>
      </c>
      <c r="AM479" s="405" t="s">
        <v>52</v>
      </c>
      <c r="AN479" s="405" t="s">
        <v>50</v>
      </c>
      <c r="AO479" s="405"/>
      <c r="AP479" s="413"/>
      <c r="AQ479" s="413" t="s">
        <v>37</v>
      </c>
      <c r="AR479" s="405"/>
      <c r="AS479" s="386"/>
      <c r="AT479" s="281"/>
      <c r="AU479" s="403"/>
      <c r="AV479" s="402"/>
      <c r="AW479" s="402"/>
      <c r="AX479" s="402"/>
      <c r="AY479" s="402"/>
      <c r="AZ479" s="402"/>
      <c r="BA479" s="402"/>
      <c r="BB479" s="402"/>
      <c r="BC479" s="402"/>
    </row>
    <row r="480" spans="1:55">
      <c r="A480" s="278" t="s">
        <v>4585</v>
      </c>
      <c r="B480" s="491"/>
      <c r="C480" s="279"/>
      <c r="D480" s="366" t="s">
        <v>2804</v>
      </c>
      <c r="E480" s="280" t="s">
        <v>4502</v>
      </c>
      <c r="F480" s="405"/>
      <c r="G480" s="405">
        <v>2022</v>
      </c>
      <c r="H480" s="405">
        <v>6</v>
      </c>
      <c r="I480" s="405"/>
      <c r="J480" s="406"/>
      <c r="K480" s="405" t="s">
        <v>2898</v>
      </c>
      <c r="L480" s="406" t="s">
        <v>1298</v>
      </c>
      <c r="M480" s="406">
        <v>44505</v>
      </c>
      <c r="N480" s="406">
        <v>44648</v>
      </c>
      <c r="O480" s="406"/>
      <c r="P480" s="406"/>
      <c r="Q480" s="406" t="s">
        <v>4598</v>
      </c>
      <c r="R480" s="406"/>
      <c r="S480" s="405" t="s">
        <v>1098</v>
      </c>
      <c r="T480" s="405">
        <v>60</v>
      </c>
      <c r="U480" s="405"/>
      <c r="V480" s="405" t="s">
        <v>1970</v>
      </c>
      <c r="W480" s="407">
        <v>400</v>
      </c>
      <c r="X480" s="371">
        <v>768</v>
      </c>
      <c r="Y480" s="408">
        <f>W480*X480</f>
        <v>307200</v>
      </c>
      <c r="Z480" s="409">
        <v>0.55000000000000004</v>
      </c>
      <c r="AA480" s="410">
        <f>Y480*Z480</f>
        <v>168960</v>
      </c>
      <c r="AB480" s="411"/>
      <c r="AC480" s="412">
        <v>0</v>
      </c>
      <c r="AD480" s="421"/>
      <c r="AE480" s="413"/>
      <c r="AF480" s="424">
        <f>AE480+AD480+AA480</f>
        <v>168960</v>
      </c>
      <c r="AG480" s="405" t="s">
        <v>1069</v>
      </c>
      <c r="AH480" s="405"/>
      <c r="AI480" s="405">
        <v>60</v>
      </c>
      <c r="AJ480" s="405" t="s">
        <v>1181</v>
      </c>
      <c r="AK480" s="405" t="s">
        <v>1130</v>
      </c>
      <c r="AL480" s="425">
        <v>14624</v>
      </c>
      <c r="AM480" s="405" t="s">
        <v>52</v>
      </c>
      <c r="AN480" s="405" t="s">
        <v>1071</v>
      </c>
      <c r="AO480" s="405"/>
      <c r="AP480" s="413"/>
      <c r="AQ480" s="413" t="s">
        <v>37</v>
      </c>
      <c r="AR480" s="405"/>
      <c r="AS480" s="386"/>
      <c r="AT480" s="281"/>
      <c r="AU480" s="403"/>
      <c r="AV480" s="402">
        <f t="shared" ref="AV480:AV497" si="110">U480</f>
        <v>0</v>
      </c>
      <c r="AW480" s="402" cm="1">
        <f t="array" ref="AW480">SUM(MID(0&amp;AV480,LARGE(INDEX(ISNUMBER(--MID(AV480,ROW($1:$8),1))*ROW($1:$8),),ROW($1:$8))+1,1)*10^ROW($1:$8)/10)</f>
        <v>0</v>
      </c>
      <c r="AX480" s="402" t="e">
        <f>VLOOKUP($AW480,'Item Master Data'!$A:$F,3,FALSE)</f>
        <v>#N/A</v>
      </c>
      <c r="AY480" s="402" t="e">
        <f>VLOOKUP($AW480,'Item Master Data'!$A:$F,6,FALSE)</f>
        <v>#N/A</v>
      </c>
      <c r="AZ480" s="402" t="e">
        <f t="shared" ref="AZ480:AZ497" si="111">X480/BA480</f>
        <v>#N/A</v>
      </c>
      <c r="BA480" s="402" t="e">
        <f>VLOOKUP(AW480,'Item Master Data'!$A:$G,7,FALSE)</f>
        <v>#N/A</v>
      </c>
      <c r="BB480" s="402"/>
      <c r="BC480" s="402" t="e">
        <f t="shared" ref="BC480:BC497" si="112">W480-AY480</f>
        <v>#N/A</v>
      </c>
    </row>
    <row r="481" spans="1:55">
      <c r="A481" s="278"/>
      <c r="B481" s="491"/>
      <c r="C481" s="279"/>
      <c r="D481" s="366" t="s">
        <v>2804</v>
      </c>
      <c r="E481" s="280" t="s">
        <v>4582</v>
      </c>
      <c r="F481" s="405"/>
      <c r="G481" s="405">
        <v>2022</v>
      </c>
      <c r="H481" s="405">
        <v>6</v>
      </c>
      <c r="I481" s="405"/>
      <c r="J481" s="406"/>
      <c r="K481" s="405" t="s">
        <v>4689</v>
      </c>
      <c r="L481" s="406" t="s">
        <v>1288</v>
      </c>
      <c r="M481" s="406">
        <v>44504</v>
      </c>
      <c r="N481" s="406">
        <v>44621</v>
      </c>
      <c r="O481" s="406"/>
      <c r="P481" s="406"/>
      <c r="Q481" s="406"/>
      <c r="R481" s="406"/>
      <c r="S481" s="405" t="s">
        <v>1098</v>
      </c>
      <c r="T481" s="405">
        <v>60</v>
      </c>
      <c r="U481" s="405"/>
      <c r="V481" s="405" t="s">
        <v>986</v>
      </c>
      <c r="W481" s="407">
        <v>360</v>
      </c>
      <c r="X481" s="371">
        <v>2496</v>
      </c>
      <c r="Y481" s="408">
        <f>W481*X481</f>
        <v>898560</v>
      </c>
      <c r="Z481" s="409">
        <v>0.53</v>
      </c>
      <c r="AA481" s="410">
        <f>Y481*Z481</f>
        <v>476236.80000000005</v>
      </c>
      <c r="AB481" s="411"/>
      <c r="AC481" s="412">
        <v>0</v>
      </c>
      <c r="AD481" s="421"/>
      <c r="AE481" s="413"/>
      <c r="AF481" s="424">
        <f>AE481+AD481+AA481</f>
        <v>476236.80000000005</v>
      </c>
      <c r="AG481" s="405" t="s">
        <v>1069</v>
      </c>
      <c r="AH481" s="405"/>
      <c r="AI481" s="405">
        <v>60</v>
      </c>
      <c r="AJ481" s="405" t="s">
        <v>1289</v>
      </c>
      <c r="AK481" s="405" t="s">
        <v>1082</v>
      </c>
      <c r="AL481" s="425">
        <v>8110</v>
      </c>
      <c r="AM481" s="405" t="s">
        <v>52</v>
      </c>
      <c r="AN481" s="405"/>
      <c r="AO481" s="405"/>
      <c r="AP481" s="413"/>
      <c r="AQ481" s="413"/>
      <c r="AR481" s="405"/>
      <c r="AS481" s="386"/>
      <c r="AT481" s="281" t="s">
        <v>1073</v>
      </c>
      <c r="AU481" s="403"/>
      <c r="AV481" s="402">
        <f t="shared" si="110"/>
        <v>0</v>
      </c>
      <c r="AW481" s="402" cm="1">
        <f t="array" ref="AW481">SUM(MID(0&amp;AV481,LARGE(INDEX(ISNUMBER(--MID(AV481,ROW($1:$8),1))*ROW($1:$8),),ROW($1:$8))+1,1)*10^ROW($1:$8)/10)</f>
        <v>0</v>
      </c>
      <c r="AX481" s="402" t="e">
        <f>VLOOKUP($AW481,'Item Master Data'!$A:$F,3,FALSE)</f>
        <v>#N/A</v>
      </c>
      <c r="AY481" s="402" t="e">
        <f>VLOOKUP($AW481,'Item Master Data'!$A:$F,6,FALSE)</f>
        <v>#N/A</v>
      </c>
      <c r="AZ481" s="402" t="e">
        <f t="shared" si="111"/>
        <v>#N/A</v>
      </c>
      <c r="BA481" s="402" t="e">
        <f>VLOOKUP(AW481,'Item Master Data'!$A:$G,7,FALSE)</f>
        <v>#N/A</v>
      </c>
      <c r="BB481" s="402"/>
      <c r="BC481" s="402" t="e">
        <f t="shared" si="112"/>
        <v>#N/A</v>
      </c>
    </row>
    <row r="482" spans="1:55">
      <c r="A482" s="278">
        <v>10</v>
      </c>
      <c r="B482" s="491"/>
      <c r="C482" s="279"/>
      <c r="D482" s="366" t="s">
        <v>2804</v>
      </c>
      <c r="E482" s="280" t="s">
        <v>2893</v>
      </c>
      <c r="F482" s="405" t="s">
        <v>1139</v>
      </c>
      <c r="G482" s="405">
        <v>2022</v>
      </c>
      <c r="H482" s="405">
        <v>6</v>
      </c>
      <c r="I482" s="405"/>
      <c r="J482" s="406"/>
      <c r="K482" s="405" t="s">
        <v>2894</v>
      </c>
      <c r="L482" s="406" t="s">
        <v>1288</v>
      </c>
      <c r="M482" s="406">
        <v>44475</v>
      </c>
      <c r="N482" s="406">
        <v>44522</v>
      </c>
      <c r="O482" s="406" t="s">
        <v>1236</v>
      </c>
      <c r="P482" s="406"/>
      <c r="Q482" s="406"/>
      <c r="R482" s="406"/>
      <c r="S482" s="405" t="s">
        <v>1098</v>
      </c>
      <c r="T482" s="405">
        <v>60</v>
      </c>
      <c r="U482" s="405">
        <v>49403140</v>
      </c>
      <c r="V482" s="405" t="s">
        <v>973</v>
      </c>
      <c r="W482" s="407">
        <v>400</v>
      </c>
      <c r="X482" s="371">
        <v>768</v>
      </c>
      <c r="Y482" s="408">
        <f>W482*X482</f>
        <v>307200</v>
      </c>
      <c r="Z482" s="409">
        <v>0.55000000000000004</v>
      </c>
      <c r="AA482" s="410">
        <f>Y482*Z482</f>
        <v>168960</v>
      </c>
      <c r="AB482" s="411"/>
      <c r="AC482" s="412">
        <v>0</v>
      </c>
      <c r="AD482" s="421"/>
      <c r="AE482" s="413"/>
      <c r="AF482" s="424">
        <f>AE482+AD482+AA482</f>
        <v>168960</v>
      </c>
      <c r="AG482" s="405" t="s">
        <v>1069</v>
      </c>
      <c r="AH482" s="405"/>
      <c r="AI482" s="405">
        <v>60</v>
      </c>
      <c r="AJ482" s="405" t="s">
        <v>1289</v>
      </c>
      <c r="AK482" s="405" t="s">
        <v>1082</v>
      </c>
      <c r="AL482" s="425">
        <v>8110</v>
      </c>
      <c r="AM482" s="405" t="s">
        <v>52</v>
      </c>
      <c r="AN482" s="405"/>
      <c r="AO482" s="405"/>
      <c r="AP482" s="413"/>
      <c r="AQ482" s="413" t="s">
        <v>37</v>
      </c>
      <c r="AR482" s="405"/>
      <c r="AS482" s="386"/>
      <c r="AT482" s="281"/>
      <c r="AU482" s="403"/>
      <c r="AV482" s="402">
        <f t="shared" si="110"/>
        <v>49403140</v>
      </c>
      <c r="AW482" s="402" cm="1">
        <f t="array" ref="AW482">SUM(MID(0&amp;AV482,LARGE(INDEX(ISNUMBER(--MID(AV482,ROW($1:$8),1))*ROW($1:$8),),ROW($1:$8))+1,1)*10^ROW($1:$8)/10)</f>
        <v>49403140</v>
      </c>
      <c r="AX482" s="402" t="str">
        <f>VLOOKUP($AW482,'Item Master Data'!$A:$F,3,FALSE)</f>
        <v>Q.PEAK DUO BLK ML G10+</v>
      </c>
      <c r="AY482" s="402">
        <f>VLOOKUP($AW482,'Item Master Data'!$A:$F,6,FALSE)</f>
        <v>400</v>
      </c>
      <c r="AZ482" s="402">
        <f t="shared" si="111"/>
        <v>24</v>
      </c>
      <c r="BA482" s="402">
        <f>VLOOKUP(AW482,'Item Master Data'!$A:$G,7,FALSE)</f>
        <v>32</v>
      </c>
      <c r="BB482" s="402"/>
      <c r="BC482" s="402">
        <f t="shared" si="112"/>
        <v>0</v>
      </c>
    </row>
    <row r="483" spans="1:55">
      <c r="A483" s="278" t="s">
        <v>4584</v>
      </c>
      <c r="B483" s="491"/>
      <c r="C483" s="279"/>
      <c r="D483" s="366" t="s">
        <v>2804</v>
      </c>
      <c r="E483" s="280" t="s">
        <v>4700</v>
      </c>
      <c r="F483" s="405"/>
      <c r="G483" s="405">
        <v>2022</v>
      </c>
      <c r="H483" s="405">
        <v>5</v>
      </c>
      <c r="I483" s="405"/>
      <c r="J483" s="406"/>
      <c r="K483" s="405" t="s">
        <v>2890</v>
      </c>
      <c r="L483" s="406" t="s">
        <v>1195</v>
      </c>
      <c r="M483" s="406">
        <v>44518</v>
      </c>
      <c r="N483" s="406">
        <v>44704</v>
      </c>
      <c r="O483" s="406">
        <v>44683</v>
      </c>
      <c r="P483" s="406">
        <v>44680</v>
      </c>
      <c r="Q483" s="406">
        <v>44684</v>
      </c>
      <c r="R483" s="406">
        <v>44685</v>
      </c>
      <c r="S483" s="405" t="s">
        <v>1098</v>
      </c>
      <c r="T483" s="405">
        <v>60</v>
      </c>
      <c r="U483" s="405" t="s">
        <v>1237</v>
      </c>
      <c r="V483" s="405" t="s">
        <v>973</v>
      </c>
      <c r="W483" s="407">
        <v>400</v>
      </c>
      <c r="X483" s="371">
        <v>768</v>
      </c>
      <c r="Y483" s="408">
        <f>W483*X483</f>
        <v>307200</v>
      </c>
      <c r="Z483" s="409">
        <v>0.55000000000000004</v>
      </c>
      <c r="AA483" s="410">
        <f>Y483*Z483</f>
        <v>168960</v>
      </c>
      <c r="AB483" s="411"/>
      <c r="AC483" s="412">
        <f>AB483*Y483</f>
        <v>0</v>
      </c>
      <c r="AD483" s="421"/>
      <c r="AE483" s="413"/>
      <c r="AF483" s="424">
        <f>AE483+AD483+AA483</f>
        <v>168960</v>
      </c>
      <c r="AG483" s="405" t="s">
        <v>1069</v>
      </c>
      <c r="AH483" s="405"/>
      <c r="AI483" s="405">
        <v>60</v>
      </c>
      <c r="AJ483" s="405" t="s">
        <v>2811</v>
      </c>
      <c r="AK483" s="405" t="s">
        <v>1176</v>
      </c>
      <c r="AL483" s="425">
        <v>6492</v>
      </c>
      <c r="AM483" s="405" t="s">
        <v>52</v>
      </c>
      <c r="AN483" s="405" t="s">
        <v>1082</v>
      </c>
      <c r="AO483" s="405"/>
      <c r="AP483" s="413" t="s">
        <v>92</v>
      </c>
      <c r="AQ483" s="413" t="s">
        <v>37</v>
      </c>
      <c r="AR483" s="405"/>
      <c r="AS483" s="386" t="s">
        <v>1073</v>
      </c>
      <c r="AT483" s="281" t="s">
        <v>1073</v>
      </c>
      <c r="AU483" s="403">
        <v>0.52</v>
      </c>
      <c r="AV483" s="402" t="str">
        <f t="shared" si="110"/>
        <v>30390456H</v>
      </c>
      <c r="AW483" s="402" cm="1">
        <f t="array" ref="AW483">SUM(MID(0&amp;AV483,LARGE(INDEX(ISNUMBER(--MID(AV483,ROW($1:$8),1))*ROW($1:$8),),ROW($1:$8))+1,1)*10^ROW($1:$8)/10)</f>
        <v>30390456</v>
      </c>
      <c r="AX483" s="402" t="str">
        <f>VLOOKUP($AW483,'Item Master Data'!$A:$F,3,FALSE)</f>
        <v>Q.PEAK DUO BLK ML G10+</v>
      </c>
      <c r="AY483" s="402">
        <f>VLOOKUP($AW483,'Item Master Data'!$A:$F,6,FALSE)</f>
        <v>400</v>
      </c>
      <c r="AZ483" s="402">
        <f t="shared" si="111"/>
        <v>24</v>
      </c>
      <c r="BA483" s="402">
        <f>VLOOKUP(AW483,'Item Master Data'!$A:$G,7,FALSE)</f>
        <v>32</v>
      </c>
      <c r="BB483" s="402"/>
      <c r="BC483" s="402">
        <f t="shared" si="112"/>
        <v>0</v>
      </c>
    </row>
    <row r="484" spans="1:55">
      <c r="A484" s="278" t="s">
        <v>4584</v>
      </c>
      <c r="B484" s="491"/>
      <c r="C484" s="279"/>
      <c r="D484" s="366" t="s">
        <v>2804</v>
      </c>
      <c r="E484" s="280" t="s">
        <v>4702</v>
      </c>
      <c r="F484" s="405"/>
      <c r="G484" s="405">
        <v>2022</v>
      </c>
      <c r="H484" s="405">
        <v>5</v>
      </c>
      <c r="I484" s="405"/>
      <c r="J484" s="406"/>
      <c r="K484" s="405" t="s">
        <v>2852</v>
      </c>
      <c r="L484" s="406" t="s">
        <v>1250</v>
      </c>
      <c r="M484" s="406">
        <v>44522</v>
      </c>
      <c r="N484" s="406">
        <v>44606</v>
      </c>
      <c r="O484" s="406"/>
      <c r="P484" s="406">
        <v>44676</v>
      </c>
      <c r="Q484" s="406">
        <v>44683</v>
      </c>
      <c r="R484" s="406">
        <v>44686</v>
      </c>
      <c r="S484" s="405" t="s">
        <v>1098</v>
      </c>
      <c r="T484" s="405">
        <v>60</v>
      </c>
      <c r="U484" s="405" t="s">
        <v>1559</v>
      </c>
      <c r="V484" s="405" t="s">
        <v>973</v>
      </c>
      <c r="W484" s="407">
        <v>400</v>
      </c>
      <c r="X484" s="371">
        <v>768</v>
      </c>
      <c r="Y484" s="408">
        <f>W484*X484</f>
        <v>307200</v>
      </c>
      <c r="Z484" s="409">
        <v>0.55000000000000004</v>
      </c>
      <c r="AA484" s="410">
        <f>Y484*Z484</f>
        <v>168960</v>
      </c>
      <c r="AB484" s="411"/>
      <c r="AC484" s="412">
        <v>0</v>
      </c>
      <c r="AD484" s="421"/>
      <c r="AE484" s="413"/>
      <c r="AF484" s="424">
        <f>AE484+AD484+AA484</f>
        <v>168960</v>
      </c>
      <c r="AG484" s="405" t="s">
        <v>1069</v>
      </c>
      <c r="AH484" s="405"/>
      <c r="AI484" s="405">
        <v>60</v>
      </c>
      <c r="AJ484" s="405" t="s">
        <v>1251</v>
      </c>
      <c r="AK484" s="405" t="s">
        <v>1252</v>
      </c>
      <c r="AL484" s="425" t="s">
        <v>1253</v>
      </c>
      <c r="AM484" s="405" t="s">
        <v>52</v>
      </c>
      <c r="AN484" s="405" t="s">
        <v>50</v>
      </c>
      <c r="AO484" s="405"/>
      <c r="AP484" s="413"/>
      <c r="AQ484" s="413" t="s">
        <v>37</v>
      </c>
      <c r="AR484" s="405"/>
      <c r="AS484" s="386"/>
      <c r="AT484" s="281"/>
      <c r="AU484" s="403"/>
      <c r="AV484" s="402" t="str">
        <f t="shared" si="110"/>
        <v>30390156H</v>
      </c>
      <c r="AW484" s="402" cm="1">
        <f t="array" ref="AW484">SUM(MID(0&amp;AV484,LARGE(INDEX(ISNUMBER(--MID(AV484,ROW($1:$8),1))*ROW($1:$8),),ROW($1:$8))+1,1)*10^ROW($1:$8)/10)</f>
        <v>30390156</v>
      </c>
      <c r="AX484" s="402" t="str">
        <f>VLOOKUP($AW484,'Item Master Data'!$A:$F,3,FALSE)</f>
        <v>Q.PEAK DUO BLK ML G10+</v>
      </c>
      <c r="AY484" s="402">
        <f>VLOOKUP($AW484,'Item Master Data'!$A:$F,6,FALSE)</f>
        <v>400</v>
      </c>
      <c r="AZ484" s="402">
        <f t="shared" si="111"/>
        <v>24</v>
      </c>
      <c r="BA484" s="402">
        <f>VLOOKUP(AW484,'Item Master Data'!$A:$G,7,FALSE)</f>
        <v>32</v>
      </c>
      <c r="BB484" s="402"/>
      <c r="BC484" s="402">
        <f t="shared" si="112"/>
        <v>0</v>
      </c>
    </row>
    <row r="485" spans="1:55">
      <c r="A485" s="278" t="s">
        <v>4585</v>
      </c>
      <c r="B485" s="279"/>
      <c r="C485" s="279"/>
      <c r="D485" s="366" t="s">
        <v>2804</v>
      </c>
      <c r="E485" s="280" t="s">
        <v>4958</v>
      </c>
      <c r="F485" s="405" t="s">
        <v>1139</v>
      </c>
      <c r="G485" s="405">
        <v>2022</v>
      </c>
      <c r="H485" s="405">
        <v>6</v>
      </c>
      <c r="I485" s="416"/>
      <c r="J485" s="406"/>
      <c r="K485" s="405" t="s">
        <v>2895</v>
      </c>
      <c r="L485" s="520" t="s">
        <v>1288</v>
      </c>
      <c r="M485" s="406">
        <v>44504</v>
      </c>
      <c r="N485" s="406">
        <v>44652</v>
      </c>
      <c r="O485" s="406"/>
      <c r="P485" s="406"/>
      <c r="Q485" s="406" t="s">
        <v>4598</v>
      </c>
      <c r="R485" s="406"/>
      <c r="S485" s="405" t="s">
        <v>1098</v>
      </c>
      <c r="T485" s="405">
        <v>60</v>
      </c>
      <c r="U485" s="405"/>
      <c r="V485" s="405" t="s">
        <v>986</v>
      </c>
      <c r="W485" s="407">
        <v>360</v>
      </c>
      <c r="X485" s="371">
        <v>832</v>
      </c>
      <c r="Y485" s="408">
        <f>W485*X485</f>
        <v>299520</v>
      </c>
      <c r="Z485" s="409">
        <v>0.5</v>
      </c>
      <c r="AA485" s="410">
        <f>Y485*Z485</f>
        <v>149760</v>
      </c>
      <c r="AB485" s="411"/>
      <c r="AC485" s="412">
        <v>0</v>
      </c>
      <c r="AD485" s="421"/>
      <c r="AE485" s="413"/>
      <c r="AF485" s="424">
        <f>AE485+AD485+AA485</f>
        <v>149760</v>
      </c>
      <c r="AG485" s="405" t="s">
        <v>1069</v>
      </c>
      <c r="AH485" s="405"/>
      <c r="AI485" s="405">
        <v>60</v>
      </c>
      <c r="AJ485" s="405" t="s">
        <v>1289</v>
      </c>
      <c r="AK485" s="405" t="s">
        <v>1082</v>
      </c>
      <c r="AL485" s="425">
        <v>8110</v>
      </c>
      <c r="AM485" s="405" t="s">
        <v>52</v>
      </c>
      <c r="AN485" s="405"/>
      <c r="AO485" s="405"/>
      <c r="AP485" s="413"/>
      <c r="AQ485" s="413"/>
      <c r="AR485" s="405"/>
      <c r="AS485" s="386"/>
      <c r="AT485" s="281" t="s">
        <v>1073</v>
      </c>
      <c r="AU485" s="403"/>
      <c r="AV485" s="402">
        <f t="shared" si="110"/>
        <v>0</v>
      </c>
      <c r="AW485" s="402" cm="1">
        <f t="array" ref="AW485">SUM(MID(0&amp;AV485,LARGE(INDEX(ISNUMBER(--MID(AV485,ROW($1:$8),1))*ROW($1:$8),),ROW($1:$8))+1,1)*10^ROW($1:$8)/10)</f>
        <v>0</v>
      </c>
      <c r="AX485" s="402" t="e">
        <f>VLOOKUP($AW485,'Item Master Data'!$A:$F,3,FALSE)</f>
        <v>#N/A</v>
      </c>
      <c r="AY485" s="402" t="e">
        <f>VLOOKUP($AW485,'Item Master Data'!$A:$F,6,FALSE)</f>
        <v>#N/A</v>
      </c>
      <c r="AZ485" s="402" t="e">
        <f t="shared" si="111"/>
        <v>#N/A</v>
      </c>
      <c r="BA485" s="402" t="e">
        <f>VLOOKUP(AW485,'Item Master Data'!$A:$G,7,FALSE)</f>
        <v>#N/A</v>
      </c>
      <c r="BB485" s="402"/>
      <c r="BC485" s="402" t="e">
        <f t="shared" si="112"/>
        <v>#N/A</v>
      </c>
    </row>
    <row r="486" spans="1:55">
      <c r="A486" s="278" t="s">
        <v>4584</v>
      </c>
      <c r="B486" s="491"/>
      <c r="C486" s="279">
        <v>44694</v>
      </c>
      <c r="D486" s="366" t="s">
        <v>2804</v>
      </c>
      <c r="E486" s="280" t="s">
        <v>4961</v>
      </c>
      <c r="F486" s="405"/>
      <c r="G486" s="405">
        <v>2022</v>
      </c>
      <c r="H486" s="405">
        <v>5</v>
      </c>
      <c r="I486" s="405"/>
      <c r="J486" s="406"/>
      <c r="K486" s="405" t="s">
        <v>4703</v>
      </c>
      <c r="L486" s="406" t="s">
        <v>2813</v>
      </c>
      <c r="M486" s="406">
        <v>44512</v>
      </c>
      <c r="N486" s="406">
        <v>44621</v>
      </c>
      <c r="O486" s="406">
        <v>44652</v>
      </c>
      <c r="P486" s="406"/>
      <c r="Q486" s="406"/>
      <c r="R486" s="406"/>
      <c r="S486" s="405" t="s">
        <v>1098</v>
      </c>
      <c r="T486" s="405">
        <v>60</v>
      </c>
      <c r="U486" s="405"/>
      <c r="V486" s="405" t="s">
        <v>973</v>
      </c>
      <c r="W486" s="407">
        <v>400</v>
      </c>
      <c r="X486" s="371">
        <v>768</v>
      </c>
      <c r="Y486" s="408">
        <f>W486*X486</f>
        <v>307200</v>
      </c>
      <c r="Z486" s="409">
        <v>0.55000000000000004</v>
      </c>
      <c r="AA486" s="410">
        <f>Y486*Z486</f>
        <v>168960</v>
      </c>
      <c r="AB486" s="411"/>
      <c r="AC486" s="412">
        <v>0</v>
      </c>
      <c r="AD486" s="421"/>
      <c r="AE486" s="413"/>
      <c r="AF486" s="424">
        <f>AE486+AD486+AA486</f>
        <v>168960</v>
      </c>
      <c r="AG486" s="405" t="s">
        <v>1069</v>
      </c>
      <c r="AH486" s="405"/>
      <c r="AI486" s="405">
        <v>60</v>
      </c>
      <c r="AJ486" s="405" t="s">
        <v>2814</v>
      </c>
      <c r="AK486" s="405" t="s">
        <v>1130</v>
      </c>
      <c r="AL486" s="425" t="s">
        <v>2815</v>
      </c>
      <c r="AM486" s="405" t="s">
        <v>52</v>
      </c>
      <c r="AN486" s="405" t="s">
        <v>1071</v>
      </c>
      <c r="AO486" s="405"/>
      <c r="AP486" s="413"/>
      <c r="AQ486" s="413" t="s">
        <v>37</v>
      </c>
      <c r="AR486" s="405"/>
      <c r="AS486" s="386" t="s">
        <v>1073</v>
      </c>
      <c r="AT486" s="281" t="s">
        <v>1073</v>
      </c>
      <c r="AU486" s="403"/>
      <c r="AV486" s="402">
        <f t="shared" si="110"/>
        <v>0</v>
      </c>
      <c r="AW486" s="402" cm="1">
        <f t="array" ref="AW486">SUM(MID(0&amp;AV486,LARGE(INDEX(ISNUMBER(--MID(AV486,ROW($1:$8),1))*ROW($1:$8),),ROW($1:$8))+1,1)*10^ROW($1:$8)/10)</f>
        <v>0</v>
      </c>
      <c r="AX486" s="402" t="e">
        <f>VLOOKUP($AW486,'Item Master Data'!$A:$F,3,FALSE)</f>
        <v>#N/A</v>
      </c>
      <c r="AY486" s="402" t="e">
        <f>VLOOKUP($AW486,'Item Master Data'!$A:$F,6,FALSE)</f>
        <v>#N/A</v>
      </c>
      <c r="AZ486" s="402" t="e">
        <f t="shared" si="111"/>
        <v>#N/A</v>
      </c>
      <c r="BA486" s="402" t="e">
        <f>VLOOKUP(AW486,'Item Master Data'!$A:$G,7,FALSE)</f>
        <v>#N/A</v>
      </c>
      <c r="BB486" s="402"/>
      <c r="BC486" s="402" t="e">
        <f t="shared" si="112"/>
        <v>#N/A</v>
      </c>
    </row>
    <row r="487" spans="1:55">
      <c r="A487" s="278" t="s">
        <v>4585</v>
      </c>
      <c r="B487" s="279"/>
      <c r="C487" s="279"/>
      <c r="D487" s="366" t="s">
        <v>2804</v>
      </c>
      <c r="E487" s="280" t="s">
        <v>4958</v>
      </c>
      <c r="F487" s="405" t="s">
        <v>1139</v>
      </c>
      <c r="G487" s="405">
        <v>2022</v>
      </c>
      <c r="H487" s="405">
        <v>6</v>
      </c>
      <c r="I487" s="416"/>
      <c r="J487" s="406"/>
      <c r="K487" s="405" t="s">
        <v>2924</v>
      </c>
      <c r="L487" s="405" t="s">
        <v>1288</v>
      </c>
      <c r="M487" s="406">
        <v>44504</v>
      </c>
      <c r="N487" s="406">
        <v>44652</v>
      </c>
      <c r="O487" s="406"/>
      <c r="P487" s="406"/>
      <c r="Q487" s="406"/>
      <c r="R487" s="406"/>
      <c r="S487" s="405" t="s">
        <v>1098</v>
      </c>
      <c r="T487" s="405">
        <v>60</v>
      </c>
      <c r="U487" s="405"/>
      <c r="V487" s="405" t="s">
        <v>986</v>
      </c>
      <c r="W487" s="407">
        <v>360</v>
      </c>
      <c r="X487" s="371">
        <f>4992-832-832</f>
        <v>3328</v>
      </c>
      <c r="Y487" s="408">
        <f>W487*X487</f>
        <v>1198080</v>
      </c>
      <c r="Z487" s="409">
        <v>0.5</v>
      </c>
      <c r="AA487" s="410">
        <f>Y487*Z487</f>
        <v>599040</v>
      </c>
      <c r="AB487" s="411"/>
      <c r="AC487" s="412">
        <v>0</v>
      </c>
      <c r="AD487" s="421"/>
      <c r="AE487" s="413"/>
      <c r="AF487" s="424">
        <f>AE487+AD487+AA487</f>
        <v>599040</v>
      </c>
      <c r="AG487" s="405" t="s">
        <v>1069</v>
      </c>
      <c r="AH487" s="405"/>
      <c r="AI487" s="405">
        <v>60</v>
      </c>
      <c r="AJ487" s="405" t="s">
        <v>1289</v>
      </c>
      <c r="AK487" s="405" t="s">
        <v>1082</v>
      </c>
      <c r="AL487" s="425">
        <v>8110</v>
      </c>
      <c r="AM487" s="405" t="s">
        <v>52</v>
      </c>
      <c r="AN487" s="405" t="s">
        <v>1071</v>
      </c>
      <c r="AO487" s="405"/>
      <c r="AP487" s="413"/>
      <c r="AQ487" s="413"/>
      <c r="AR487" s="405"/>
      <c r="AS487" s="386"/>
      <c r="AT487" s="281" t="s">
        <v>1073</v>
      </c>
      <c r="AU487" s="403"/>
      <c r="AV487" s="402">
        <f t="shared" si="110"/>
        <v>0</v>
      </c>
      <c r="AW487" s="402" cm="1">
        <f t="array" ref="AW487">SUM(MID(0&amp;AV487,LARGE(INDEX(ISNUMBER(--MID(AV487,ROW($1:$8),1))*ROW($1:$8),),ROW($1:$8))+1,1)*10^ROW($1:$8)/10)</f>
        <v>0</v>
      </c>
      <c r="AX487" s="402" t="e">
        <f>VLOOKUP($AW487,'Item Master Data'!$A:$F,3,FALSE)</f>
        <v>#N/A</v>
      </c>
      <c r="AY487" s="402" t="e">
        <f>VLOOKUP($AW487,'Item Master Data'!$A:$F,6,FALSE)</f>
        <v>#N/A</v>
      </c>
      <c r="AZ487" s="402" t="e">
        <f t="shared" si="111"/>
        <v>#N/A</v>
      </c>
      <c r="BA487" s="402" t="e">
        <f>VLOOKUP(AW487,'Item Master Data'!$A:$G,7,FALSE)</f>
        <v>#N/A</v>
      </c>
      <c r="BB487" s="402"/>
      <c r="BC487" s="402" t="e">
        <f t="shared" si="112"/>
        <v>#N/A</v>
      </c>
    </row>
    <row r="488" spans="1:55">
      <c r="A488" s="278"/>
      <c r="B488" s="491"/>
      <c r="C488" s="279"/>
      <c r="D488" s="366" t="s">
        <v>2804</v>
      </c>
      <c r="E488" s="280" t="s">
        <v>2860</v>
      </c>
      <c r="F488" s="405"/>
      <c r="G488" s="405">
        <v>2022</v>
      </c>
      <c r="H488" s="405">
        <v>7</v>
      </c>
      <c r="I488" s="405" t="s">
        <v>2862</v>
      </c>
      <c r="J488" s="406"/>
      <c r="K488" s="405" t="s">
        <v>2861</v>
      </c>
      <c r="L488" s="406" t="s">
        <v>1373</v>
      </c>
      <c r="M488" s="406">
        <v>44503</v>
      </c>
      <c r="N488" s="406">
        <v>44562</v>
      </c>
      <c r="O488" s="406"/>
      <c r="P488" s="406" t="s">
        <v>2830</v>
      </c>
      <c r="Q488" s="406"/>
      <c r="R488" s="406"/>
      <c r="S488" s="405" t="s">
        <v>1098</v>
      </c>
      <c r="T488" s="405">
        <v>60</v>
      </c>
      <c r="U488" s="405">
        <v>49203132</v>
      </c>
      <c r="V488" s="405" t="s">
        <v>986</v>
      </c>
      <c r="W488" s="407">
        <v>360</v>
      </c>
      <c r="X488" s="371">
        <v>448</v>
      </c>
      <c r="Y488" s="408">
        <f>W488*X488</f>
        <v>161280</v>
      </c>
      <c r="Z488" s="409">
        <v>0.55000000000000004</v>
      </c>
      <c r="AA488" s="410">
        <f>Y488*Z488</f>
        <v>88704</v>
      </c>
      <c r="AB488" s="411"/>
      <c r="AC488" s="412">
        <f>AB488*Y488</f>
        <v>0</v>
      </c>
      <c r="AD488" s="421"/>
      <c r="AE488" s="413"/>
      <c r="AF488" s="424">
        <f>AE488+AD488+AA488</f>
        <v>88704</v>
      </c>
      <c r="AG488" s="405" t="s">
        <v>47</v>
      </c>
      <c r="AH488" s="405">
        <v>100</v>
      </c>
      <c r="AI488" s="405">
        <v>0</v>
      </c>
      <c r="AJ488" s="405" t="s">
        <v>1374</v>
      </c>
      <c r="AK488" s="405" t="s">
        <v>1130</v>
      </c>
      <c r="AL488" s="425">
        <v>12065</v>
      </c>
      <c r="AM488" s="405" t="s">
        <v>52</v>
      </c>
      <c r="AN488" s="405" t="s">
        <v>1101</v>
      </c>
      <c r="AO488" s="405"/>
      <c r="AP488" s="413"/>
      <c r="AQ488" s="413" t="s">
        <v>37</v>
      </c>
      <c r="AR488" s="405"/>
      <c r="AS488" s="386" t="s">
        <v>1073</v>
      </c>
      <c r="AT488" s="281" t="s">
        <v>1073</v>
      </c>
      <c r="AU488" s="403"/>
      <c r="AV488" s="402">
        <f t="shared" si="110"/>
        <v>49203132</v>
      </c>
      <c r="AW488" s="402" cm="1">
        <f t="array" ref="AW488">SUM(MID(0&amp;AV488,LARGE(INDEX(ISNUMBER(--MID(AV488,ROW($1:$8),1))*ROW($1:$8),),ROW($1:$8))+1,1)*10^ROW($1:$8)/10)</f>
        <v>49203132</v>
      </c>
      <c r="AX488" s="402" t="str">
        <f>VLOOKUP($AW488,'Item Master Data'!$A:$F,3,FALSE)</f>
        <v>Q.PEAK DUO BLK G10+</v>
      </c>
      <c r="AY488" s="402">
        <f>VLOOKUP($AW488,'Item Master Data'!$A:$F,6,FALSE)</f>
        <v>360</v>
      </c>
      <c r="AZ488" s="402">
        <f t="shared" si="111"/>
        <v>14</v>
      </c>
      <c r="BA488" s="402">
        <f>VLOOKUP(AW488,'Item Master Data'!$A:$G,7,FALSE)</f>
        <v>32</v>
      </c>
      <c r="BB488" s="402"/>
      <c r="BC488" s="402">
        <f t="shared" si="112"/>
        <v>0</v>
      </c>
    </row>
    <row r="489" spans="1:55">
      <c r="A489" s="278">
        <v>22</v>
      </c>
      <c r="B489" s="491"/>
      <c r="C489" s="279"/>
      <c r="D489" s="366" t="s">
        <v>2804</v>
      </c>
      <c r="E489" s="280" t="s">
        <v>4521</v>
      </c>
      <c r="F489" s="405"/>
      <c r="G489" s="405">
        <v>2022</v>
      </c>
      <c r="H489" s="405">
        <v>5</v>
      </c>
      <c r="I489" s="405"/>
      <c r="J489" s="406"/>
      <c r="K489" s="405" t="s">
        <v>4522</v>
      </c>
      <c r="L489" s="406" t="s">
        <v>2817</v>
      </c>
      <c r="M489" s="406">
        <v>44676</v>
      </c>
      <c r="N489" s="406">
        <v>44676</v>
      </c>
      <c r="O489" s="406"/>
      <c r="P489" s="406"/>
      <c r="Q489" s="406" t="s">
        <v>4598</v>
      </c>
      <c r="R489" s="406"/>
      <c r="S489" s="405" t="s">
        <v>1098</v>
      </c>
      <c r="T489" s="405">
        <v>60</v>
      </c>
      <c r="U489" s="405"/>
      <c r="V489" s="405" t="s">
        <v>986</v>
      </c>
      <c r="W489" s="407">
        <v>360</v>
      </c>
      <c r="X489" s="371">
        <v>2496</v>
      </c>
      <c r="Y489" s="408">
        <f>W489*X489</f>
        <v>898560</v>
      </c>
      <c r="Z489" s="409">
        <v>0.505</v>
      </c>
      <c r="AA489" s="410">
        <f>Y489*Z489</f>
        <v>453772.79999999999</v>
      </c>
      <c r="AB489" s="411"/>
      <c r="AC489" s="412">
        <f>AB489*Y489</f>
        <v>0</v>
      </c>
      <c r="AD489" s="421"/>
      <c r="AE489" s="413"/>
      <c r="AF489" s="424">
        <f>AE489+AD489+AA489</f>
        <v>453772.79999999999</v>
      </c>
      <c r="AG489" s="405" t="s">
        <v>47</v>
      </c>
      <c r="AH489" s="405">
        <v>0</v>
      </c>
      <c r="AI489" s="405">
        <v>60</v>
      </c>
      <c r="AJ489" s="405"/>
      <c r="AK489" s="405"/>
      <c r="AL489" s="425"/>
      <c r="AM489" s="405" t="s">
        <v>52</v>
      </c>
      <c r="AN489" s="405"/>
      <c r="AO489" s="405"/>
      <c r="AP489" s="413"/>
      <c r="AQ489" s="413"/>
      <c r="AR489" s="405"/>
      <c r="AS489" s="386" t="s">
        <v>2818</v>
      </c>
      <c r="AT489" s="281" t="s">
        <v>1073</v>
      </c>
      <c r="AU489" s="403"/>
      <c r="AV489" s="402">
        <f t="shared" si="110"/>
        <v>0</v>
      </c>
      <c r="AW489" s="402" cm="1">
        <f t="array" ref="AW489">SUM(MID(0&amp;AV489,LARGE(INDEX(ISNUMBER(--MID(AV489,ROW($1:$8),1))*ROW($1:$8),),ROW($1:$8))+1,1)*10^ROW($1:$8)/10)</f>
        <v>0</v>
      </c>
      <c r="AX489" s="402" t="e">
        <f>VLOOKUP($AW489,'Item Master Data'!$A:$F,3,FALSE)</f>
        <v>#N/A</v>
      </c>
      <c r="AY489" s="402" t="e">
        <f>VLOOKUP($AW489,'Item Master Data'!$A:$F,6,FALSE)</f>
        <v>#N/A</v>
      </c>
      <c r="AZ489" s="402" t="e">
        <f t="shared" si="111"/>
        <v>#N/A</v>
      </c>
      <c r="BA489" s="402" t="e">
        <f>VLOOKUP(AW489,'Item Master Data'!$A:$G,7,FALSE)</f>
        <v>#N/A</v>
      </c>
      <c r="BB489" s="402"/>
      <c r="BC489" s="402" t="e">
        <f t="shared" si="112"/>
        <v>#N/A</v>
      </c>
    </row>
    <row r="490" spans="1:55">
      <c r="A490" s="278">
        <v>19</v>
      </c>
      <c r="B490" s="491"/>
      <c r="C490" s="279"/>
      <c r="D490" s="366" t="s">
        <v>2804</v>
      </c>
      <c r="E490" s="280" t="s">
        <v>4690</v>
      </c>
      <c r="F490" s="405"/>
      <c r="G490" s="405">
        <v>2022</v>
      </c>
      <c r="H490" s="405">
        <v>5</v>
      </c>
      <c r="I490" s="405"/>
      <c r="J490" s="406"/>
      <c r="K490" s="405" t="s">
        <v>4523</v>
      </c>
      <c r="L490" s="406" t="s">
        <v>2817</v>
      </c>
      <c r="M490" s="406">
        <v>44683</v>
      </c>
      <c r="N490" s="406">
        <v>44683</v>
      </c>
      <c r="O490" s="406"/>
      <c r="P490" s="406">
        <v>44690</v>
      </c>
      <c r="Q490" s="406">
        <v>44693</v>
      </c>
      <c r="R490" s="406">
        <v>44694</v>
      </c>
      <c r="S490" s="405" t="s">
        <v>1098</v>
      </c>
      <c r="T490" s="405">
        <v>60</v>
      </c>
      <c r="U490" s="405">
        <v>49203132</v>
      </c>
      <c r="V490" s="405" t="s">
        <v>986</v>
      </c>
      <c r="W490" s="407">
        <v>360</v>
      </c>
      <c r="X490" s="371">
        <v>832</v>
      </c>
      <c r="Y490" s="408">
        <f>W490*X490</f>
        <v>299520</v>
      </c>
      <c r="Z490" s="409">
        <v>0.505</v>
      </c>
      <c r="AA490" s="410">
        <f>Y490*Z490</f>
        <v>151257.60000000001</v>
      </c>
      <c r="AB490" s="411"/>
      <c r="AC490" s="412">
        <f>AB490*Y490</f>
        <v>0</v>
      </c>
      <c r="AD490" s="421"/>
      <c r="AE490" s="413"/>
      <c r="AF490" s="424">
        <f>AE490+AD490+AA490</f>
        <v>151257.60000000001</v>
      </c>
      <c r="AG490" s="405" t="s">
        <v>47</v>
      </c>
      <c r="AH490" s="405">
        <v>0</v>
      </c>
      <c r="AI490" s="405">
        <v>60</v>
      </c>
      <c r="AJ490" s="405" t="s">
        <v>2820</v>
      </c>
      <c r="AK490" s="405" t="s">
        <v>1130</v>
      </c>
      <c r="AL490" s="425">
        <v>11803</v>
      </c>
      <c r="AM490" s="405" t="s">
        <v>52</v>
      </c>
      <c r="AN490" s="405" t="s">
        <v>1101</v>
      </c>
      <c r="AO490" s="405"/>
      <c r="AP490" s="413"/>
      <c r="AQ490" s="413"/>
      <c r="AR490" s="405"/>
      <c r="AS490" s="386" t="s">
        <v>2818</v>
      </c>
      <c r="AT490" s="281" t="s">
        <v>1073</v>
      </c>
      <c r="AU490" s="403"/>
      <c r="AV490" s="402">
        <f t="shared" si="110"/>
        <v>49203132</v>
      </c>
      <c r="AW490" s="402" cm="1">
        <f t="array" ref="AW490">SUM(MID(0&amp;AV490,LARGE(INDEX(ISNUMBER(--MID(AV490,ROW($1:$8),1))*ROW($1:$8),),ROW($1:$8))+1,1)*10^ROW($1:$8)/10)</f>
        <v>49203132</v>
      </c>
      <c r="AX490" s="402" t="str">
        <f>VLOOKUP($AW490,'Item Master Data'!$A:$F,3,FALSE)</f>
        <v>Q.PEAK DUO BLK G10+</v>
      </c>
      <c r="AY490" s="402">
        <f>VLOOKUP($AW490,'Item Master Data'!$A:$F,6,FALSE)</f>
        <v>360</v>
      </c>
      <c r="AZ490" s="402">
        <f t="shared" si="111"/>
        <v>26</v>
      </c>
      <c r="BA490" s="402">
        <f>VLOOKUP(AW490,'Item Master Data'!$A:$G,7,FALSE)</f>
        <v>32</v>
      </c>
      <c r="BB490" s="402"/>
      <c r="BC490" s="402">
        <f t="shared" si="112"/>
        <v>0</v>
      </c>
    </row>
    <row r="491" spans="1:55">
      <c r="A491" s="278">
        <v>19</v>
      </c>
      <c r="B491" s="491"/>
      <c r="C491" s="279"/>
      <c r="D491" s="366" t="s">
        <v>2804</v>
      </c>
      <c r="E491" s="280" t="s">
        <v>4690</v>
      </c>
      <c r="F491" s="405"/>
      <c r="G491" s="405">
        <v>2022</v>
      </c>
      <c r="H491" s="405">
        <v>5</v>
      </c>
      <c r="I491" s="405"/>
      <c r="J491" s="406"/>
      <c r="K491" s="405" t="s">
        <v>4524</v>
      </c>
      <c r="L491" s="406" t="s">
        <v>2817</v>
      </c>
      <c r="M491" s="406">
        <v>44683</v>
      </c>
      <c r="N491" s="406">
        <v>44683</v>
      </c>
      <c r="O491" s="406"/>
      <c r="P491" s="406">
        <v>44690</v>
      </c>
      <c r="Q491" s="406"/>
      <c r="R491" s="406"/>
      <c r="S491" s="405" t="s">
        <v>1098</v>
      </c>
      <c r="T491" s="405">
        <v>60</v>
      </c>
      <c r="U491" s="405">
        <v>49203132</v>
      </c>
      <c r="V491" s="405" t="s">
        <v>986</v>
      </c>
      <c r="W491" s="407">
        <v>360</v>
      </c>
      <c r="X491" s="371">
        <v>832</v>
      </c>
      <c r="Y491" s="408">
        <f>W491*X491</f>
        <v>299520</v>
      </c>
      <c r="Z491" s="409">
        <v>0.505</v>
      </c>
      <c r="AA491" s="410">
        <f>Y491*Z491</f>
        <v>151257.60000000001</v>
      </c>
      <c r="AB491" s="411"/>
      <c r="AC491" s="412">
        <f>AB491*Y491</f>
        <v>0</v>
      </c>
      <c r="AD491" s="421"/>
      <c r="AE491" s="413"/>
      <c r="AF491" s="424">
        <f>AE491+AD491+AA491</f>
        <v>151257.60000000001</v>
      </c>
      <c r="AG491" s="405" t="s">
        <v>47</v>
      </c>
      <c r="AH491" s="405">
        <v>0</v>
      </c>
      <c r="AI491" s="405">
        <v>60</v>
      </c>
      <c r="AJ491" s="405" t="s">
        <v>1454</v>
      </c>
      <c r="AK491" s="405" t="s">
        <v>1136</v>
      </c>
      <c r="AL491" s="425">
        <v>78764</v>
      </c>
      <c r="AM491" s="405" t="s">
        <v>52</v>
      </c>
      <c r="AN491" s="405" t="s">
        <v>1101</v>
      </c>
      <c r="AO491" s="405"/>
      <c r="AP491" s="413"/>
      <c r="AQ491" s="413"/>
      <c r="AR491" s="405"/>
      <c r="AS491" s="386" t="s">
        <v>2818</v>
      </c>
      <c r="AT491" s="281" t="s">
        <v>1073</v>
      </c>
      <c r="AU491" s="403"/>
      <c r="AV491" s="402">
        <f t="shared" si="110"/>
        <v>49203132</v>
      </c>
      <c r="AW491" s="402" cm="1">
        <f t="array" ref="AW491">SUM(MID(0&amp;AV491,LARGE(INDEX(ISNUMBER(--MID(AV491,ROW($1:$8),1))*ROW($1:$8),),ROW($1:$8))+1,1)*10^ROW($1:$8)/10)</f>
        <v>49203132</v>
      </c>
      <c r="AX491" s="402" t="str">
        <f>VLOOKUP($AW491,'Item Master Data'!$A:$F,3,FALSE)</f>
        <v>Q.PEAK DUO BLK G10+</v>
      </c>
      <c r="AY491" s="402">
        <f>VLOOKUP($AW491,'Item Master Data'!$A:$F,6,FALSE)</f>
        <v>360</v>
      </c>
      <c r="AZ491" s="402">
        <f t="shared" si="111"/>
        <v>26</v>
      </c>
      <c r="BA491" s="402">
        <f>VLOOKUP(AW491,'Item Master Data'!$A:$G,7,FALSE)</f>
        <v>32</v>
      </c>
      <c r="BB491" s="402"/>
      <c r="BC491" s="402">
        <f t="shared" si="112"/>
        <v>0</v>
      </c>
    </row>
    <row r="492" spans="1:55">
      <c r="A492" s="278">
        <v>19</v>
      </c>
      <c r="B492" s="491"/>
      <c r="C492" s="279"/>
      <c r="D492" s="366" t="s">
        <v>2804</v>
      </c>
      <c r="E492" s="280" t="s">
        <v>4690</v>
      </c>
      <c r="F492" s="405"/>
      <c r="G492" s="405">
        <v>2022</v>
      </c>
      <c r="H492" s="405">
        <v>5</v>
      </c>
      <c r="I492" s="405"/>
      <c r="J492" s="406"/>
      <c r="K492" s="405" t="s">
        <v>4525</v>
      </c>
      <c r="L492" s="406" t="s">
        <v>2817</v>
      </c>
      <c r="M492" s="406">
        <v>44683</v>
      </c>
      <c r="N492" s="406">
        <v>44683</v>
      </c>
      <c r="O492" s="406"/>
      <c r="P492" s="406">
        <v>44690</v>
      </c>
      <c r="Q492" s="406"/>
      <c r="R492" s="406">
        <v>44697</v>
      </c>
      <c r="S492" s="405" t="s">
        <v>1098</v>
      </c>
      <c r="T492" s="405">
        <v>60</v>
      </c>
      <c r="U492" s="405">
        <v>49203132</v>
      </c>
      <c r="V492" s="405" t="s">
        <v>986</v>
      </c>
      <c r="W492" s="407">
        <v>360</v>
      </c>
      <c r="X492" s="371">
        <v>832</v>
      </c>
      <c r="Y492" s="408">
        <f>W492*X492</f>
        <v>299520</v>
      </c>
      <c r="Z492" s="409">
        <v>0.505</v>
      </c>
      <c r="AA492" s="410">
        <f>Y492*Z492</f>
        <v>151257.60000000001</v>
      </c>
      <c r="AB492" s="411"/>
      <c r="AC492" s="412">
        <f>AB492*Y492</f>
        <v>0</v>
      </c>
      <c r="AD492" s="421"/>
      <c r="AE492" s="413"/>
      <c r="AF492" s="424">
        <f>AE492+AD492+AA492</f>
        <v>151257.60000000001</v>
      </c>
      <c r="AG492" s="405" t="s">
        <v>47</v>
      </c>
      <c r="AH492" s="405">
        <v>0</v>
      </c>
      <c r="AI492" s="405">
        <v>60</v>
      </c>
      <c r="AJ492" s="405" t="s">
        <v>1881</v>
      </c>
      <c r="AK492" s="405" t="s">
        <v>1081</v>
      </c>
      <c r="AL492" s="425">
        <v>32822</v>
      </c>
      <c r="AM492" s="405" t="s">
        <v>52</v>
      </c>
      <c r="AN492" s="405" t="s">
        <v>1101</v>
      </c>
      <c r="AO492" s="405"/>
      <c r="AP492" s="413"/>
      <c r="AQ492" s="413"/>
      <c r="AR492" s="405"/>
      <c r="AS492" s="386" t="s">
        <v>2818</v>
      </c>
      <c r="AT492" s="281" t="s">
        <v>1073</v>
      </c>
      <c r="AU492" s="403"/>
      <c r="AV492" s="402">
        <f t="shared" si="110"/>
        <v>49203132</v>
      </c>
      <c r="AW492" s="402" cm="1">
        <f t="array" ref="AW492">SUM(MID(0&amp;AV492,LARGE(INDEX(ISNUMBER(--MID(AV492,ROW($1:$8),1))*ROW($1:$8),),ROW($1:$8))+1,1)*10^ROW($1:$8)/10)</f>
        <v>49203132</v>
      </c>
      <c r="AX492" s="402" t="str">
        <f>VLOOKUP($AW492,'Item Master Data'!$A:$F,3,FALSE)</f>
        <v>Q.PEAK DUO BLK G10+</v>
      </c>
      <c r="AY492" s="402">
        <f>VLOOKUP($AW492,'Item Master Data'!$A:$F,6,FALSE)</f>
        <v>360</v>
      </c>
      <c r="AZ492" s="402">
        <f t="shared" si="111"/>
        <v>26</v>
      </c>
      <c r="BA492" s="402">
        <f>VLOOKUP(AW492,'Item Master Data'!$A:$G,7,FALSE)</f>
        <v>32</v>
      </c>
      <c r="BB492" s="402"/>
      <c r="BC492" s="402">
        <f t="shared" si="112"/>
        <v>0</v>
      </c>
    </row>
    <row r="493" spans="1:55">
      <c r="A493" s="278">
        <v>20</v>
      </c>
      <c r="B493" s="491"/>
      <c r="C493" s="279"/>
      <c r="D493" s="366" t="s">
        <v>2804</v>
      </c>
      <c r="E493" s="280" t="s">
        <v>4897</v>
      </c>
      <c r="F493" s="405"/>
      <c r="G493" s="405">
        <v>2022</v>
      </c>
      <c r="H493" s="405">
        <v>5</v>
      </c>
      <c r="I493" s="405"/>
      <c r="J493" s="406"/>
      <c r="K493" s="405" t="s">
        <v>4526</v>
      </c>
      <c r="L493" s="406" t="s">
        <v>2817</v>
      </c>
      <c r="M493" s="406">
        <v>44690</v>
      </c>
      <c r="N493" s="406">
        <v>44690</v>
      </c>
      <c r="O493" s="406"/>
      <c r="P493" s="406">
        <v>44691</v>
      </c>
      <c r="Q493" s="406"/>
      <c r="R493" s="406">
        <v>44697</v>
      </c>
      <c r="S493" s="405" t="s">
        <v>1098</v>
      </c>
      <c r="T493" s="405">
        <v>60</v>
      </c>
      <c r="U493" s="405">
        <v>49203132</v>
      </c>
      <c r="V493" s="405" t="s">
        <v>986</v>
      </c>
      <c r="W493" s="407">
        <v>360</v>
      </c>
      <c r="X493" s="371">
        <v>832</v>
      </c>
      <c r="Y493" s="408">
        <f>W493*X493</f>
        <v>299520</v>
      </c>
      <c r="Z493" s="409">
        <v>0.505</v>
      </c>
      <c r="AA493" s="410">
        <f>Y493*Z493</f>
        <v>151257.60000000001</v>
      </c>
      <c r="AB493" s="411"/>
      <c r="AC493" s="412">
        <f>AB493*Y493</f>
        <v>0</v>
      </c>
      <c r="AD493" s="421"/>
      <c r="AE493" s="413"/>
      <c r="AF493" s="424">
        <f>AE493+AD493+AA493</f>
        <v>151257.60000000001</v>
      </c>
      <c r="AG493" s="405" t="s">
        <v>47</v>
      </c>
      <c r="AH493" s="405">
        <v>0</v>
      </c>
      <c r="AI493" s="405">
        <v>60</v>
      </c>
      <c r="AJ493" s="405" t="s">
        <v>2820</v>
      </c>
      <c r="AK493" s="405" t="s">
        <v>1130</v>
      </c>
      <c r="AL493" s="425">
        <v>11803</v>
      </c>
      <c r="AM493" s="405" t="s">
        <v>52</v>
      </c>
      <c r="AN493" s="405" t="s">
        <v>1101</v>
      </c>
      <c r="AO493" s="405"/>
      <c r="AP493" s="413"/>
      <c r="AQ493" s="413"/>
      <c r="AR493" s="405"/>
      <c r="AS493" s="386" t="s">
        <v>2818</v>
      </c>
      <c r="AT493" s="281" t="s">
        <v>1073</v>
      </c>
      <c r="AU493" s="403"/>
      <c r="AV493" s="402">
        <f t="shared" si="110"/>
        <v>49203132</v>
      </c>
      <c r="AW493" s="402" cm="1">
        <f t="array" ref="AW493">SUM(MID(0&amp;AV493,LARGE(INDEX(ISNUMBER(--MID(AV493,ROW($1:$8),1))*ROW($1:$8),),ROW($1:$8))+1,1)*10^ROW($1:$8)/10)</f>
        <v>49203132</v>
      </c>
      <c r="AX493" s="402" t="str">
        <f>VLOOKUP($AW493,'Item Master Data'!$A:$F,3,FALSE)</f>
        <v>Q.PEAK DUO BLK G10+</v>
      </c>
      <c r="AY493" s="402">
        <f>VLOOKUP($AW493,'Item Master Data'!$A:$F,6,FALSE)</f>
        <v>360</v>
      </c>
      <c r="AZ493" s="402">
        <f t="shared" si="111"/>
        <v>26</v>
      </c>
      <c r="BA493" s="402">
        <f>VLOOKUP(AW493,'Item Master Data'!$A:$G,7,FALSE)</f>
        <v>32</v>
      </c>
      <c r="BB493" s="402"/>
      <c r="BC493" s="402">
        <f t="shared" si="112"/>
        <v>0</v>
      </c>
    </row>
    <row r="494" spans="1:55">
      <c r="A494" s="278">
        <v>20</v>
      </c>
      <c r="B494" s="491"/>
      <c r="C494" s="279"/>
      <c r="D494" s="366" t="s">
        <v>2804</v>
      </c>
      <c r="E494" s="280" t="s">
        <v>4897</v>
      </c>
      <c r="F494" s="405"/>
      <c r="G494" s="405">
        <v>2022</v>
      </c>
      <c r="H494" s="405">
        <v>5</v>
      </c>
      <c r="I494" s="405"/>
      <c r="J494" s="406"/>
      <c r="K494" s="405" t="s">
        <v>4527</v>
      </c>
      <c r="L494" s="406" t="s">
        <v>2817</v>
      </c>
      <c r="M494" s="406">
        <v>44690</v>
      </c>
      <c r="N494" s="406">
        <v>44690</v>
      </c>
      <c r="O494" s="406"/>
      <c r="P494" s="406">
        <v>44691</v>
      </c>
      <c r="Q494" s="406"/>
      <c r="R494" s="406">
        <v>44697</v>
      </c>
      <c r="S494" s="405" t="s">
        <v>1098</v>
      </c>
      <c r="T494" s="405">
        <v>60</v>
      </c>
      <c r="U494" s="405">
        <v>49203132</v>
      </c>
      <c r="V494" s="405" t="s">
        <v>986</v>
      </c>
      <c r="W494" s="407">
        <v>360</v>
      </c>
      <c r="X494" s="371">
        <v>832</v>
      </c>
      <c r="Y494" s="408">
        <f>W494*X494</f>
        <v>299520</v>
      </c>
      <c r="Z494" s="409">
        <v>0.505</v>
      </c>
      <c r="AA494" s="410">
        <f>Y494*Z494</f>
        <v>151257.60000000001</v>
      </c>
      <c r="AB494" s="411"/>
      <c r="AC494" s="412">
        <f>AB494*Y494</f>
        <v>0</v>
      </c>
      <c r="AD494" s="421"/>
      <c r="AE494" s="413"/>
      <c r="AF494" s="424">
        <f>AE494+AD494+AA494</f>
        <v>151257.60000000001</v>
      </c>
      <c r="AG494" s="405" t="s">
        <v>47</v>
      </c>
      <c r="AH494" s="405">
        <v>0</v>
      </c>
      <c r="AI494" s="405">
        <v>60</v>
      </c>
      <c r="AJ494" s="405" t="s">
        <v>1881</v>
      </c>
      <c r="AK494" s="405" t="s">
        <v>1081</v>
      </c>
      <c r="AL494" s="425">
        <v>32822</v>
      </c>
      <c r="AM494" s="405" t="s">
        <v>52</v>
      </c>
      <c r="AN494" s="405" t="s">
        <v>1101</v>
      </c>
      <c r="AO494" s="405"/>
      <c r="AP494" s="413"/>
      <c r="AQ494" s="413"/>
      <c r="AR494" s="405"/>
      <c r="AS494" s="386" t="s">
        <v>2818</v>
      </c>
      <c r="AT494" s="281" t="s">
        <v>1073</v>
      </c>
      <c r="AU494" s="403"/>
      <c r="AV494" s="402">
        <f t="shared" si="110"/>
        <v>49203132</v>
      </c>
      <c r="AW494" s="402" cm="1">
        <f t="array" ref="AW494">SUM(MID(0&amp;AV494,LARGE(INDEX(ISNUMBER(--MID(AV494,ROW($1:$8),1))*ROW($1:$8),),ROW($1:$8))+1,1)*10^ROW($1:$8)/10)</f>
        <v>49203132</v>
      </c>
      <c r="AX494" s="402" t="str">
        <f>VLOOKUP($AW494,'Item Master Data'!$A:$F,3,FALSE)</f>
        <v>Q.PEAK DUO BLK G10+</v>
      </c>
      <c r="AY494" s="402">
        <f>VLOOKUP($AW494,'Item Master Data'!$A:$F,6,FALSE)</f>
        <v>360</v>
      </c>
      <c r="AZ494" s="402">
        <f t="shared" si="111"/>
        <v>26</v>
      </c>
      <c r="BA494" s="402">
        <f>VLOOKUP(AW494,'Item Master Data'!$A:$G,7,FALSE)</f>
        <v>32</v>
      </c>
      <c r="BB494" s="402"/>
      <c r="BC494" s="402">
        <f t="shared" si="112"/>
        <v>0</v>
      </c>
    </row>
    <row r="495" spans="1:55">
      <c r="A495" s="278">
        <v>20</v>
      </c>
      <c r="B495" s="491"/>
      <c r="C495" s="279"/>
      <c r="D495" s="366" t="s">
        <v>2804</v>
      </c>
      <c r="E495" s="280" t="s">
        <v>4897</v>
      </c>
      <c r="F495" s="405"/>
      <c r="G495" s="405">
        <v>2022</v>
      </c>
      <c r="H495" s="405">
        <v>5</v>
      </c>
      <c r="I495" s="405"/>
      <c r="J495" s="406"/>
      <c r="K495" s="405" t="s">
        <v>4528</v>
      </c>
      <c r="L495" s="406" t="s">
        <v>2817</v>
      </c>
      <c r="M495" s="406">
        <v>44690</v>
      </c>
      <c r="N495" s="406">
        <v>44690</v>
      </c>
      <c r="O495" s="406"/>
      <c r="P495" s="406">
        <v>44691</v>
      </c>
      <c r="Q495" s="406"/>
      <c r="R495" s="406">
        <v>44697</v>
      </c>
      <c r="S495" s="405" t="s">
        <v>1098</v>
      </c>
      <c r="T495" s="405">
        <v>60</v>
      </c>
      <c r="U495" s="405">
        <v>49203132</v>
      </c>
      <c r="V495" s="405" t="s">
        <v>986</v>
      </c>
      <c r="W495" s="407">
        <v>360</v>
      </c>
      <c r="X495" s="371">
        <v>832</v>
      </c>
      <c r="Y495" s="408">
        <f>W495*X495</f>
        <v>299520</v>
      </c>
      <c r="Z495" s="409">
        <v>0.505</v>
      </c>
      <c r="AA495" s="410">
        <f>Y495*Z495</f>
        <v>151257.60000000001</v>
      </c>
      <c r="AB495" s="411"/>
      <c r="AC495" s="412">
        <f>AB495*Y495</f>
        <v>0</v>
      </c>
      <c r="AD495" s="421"/>
      <c r="AE495" s="413"/>
      <c r="AF495" s="424">
        <f>AE495+AD495+AA495</f>
        <v>151257.60000000001</v>
      </c>
      <c r="AG495" s="405" t="s">
        <v>47</v>
      </c>
      <c r="AH495" s="405">
        <v>0</v>
      </c>
      <c r="AI495" s="405">
        <v>60</v>
      </c>
      <c r="AJ495" s="405" t="s">
        <v>1981</v>
      </c>
      <c r="AK495" s="405" t="s">
        <v>1081</v>
      </c>
      <c r="AL495" s="425">
        <v>33634</v>
      </c>
      <c r="AM495" s="405" t="s">
        <v>52</v>
      </c>
      <c r="AN495" s="405" t="s">
        <v>1101</v>
      </c>
      <c r="AO495" s="405"/>
      <c r="AP495" s="413"/>
      <c r="AQ495" s="413"/>
      <c r="AR495" s="405"/>
      <c r="AS495" s="386" t="s">
        <v>2818</v>
      </c>
      <c r="AT495" s="281" t="s">
        <v>1073</v>
      </c>
      <c r="AU495" s="403"/>
      <c r="AV495" s="402">
        <f t="shared" si="110"/>
        <v>49203132</v>
      </c>
      <c r="AW495" s="402" cm="1">
        <f t="array" ref="AW495">SUM(MID(0&amp;AV495,LARGE(INDEX(ISNUMBER(--MID(AV495,ROW($1:$8),1))*ROW($1:$8),),ROW($1:$8))+1,1)*10^ROW($1:$8)/10)</f>
        <v>49203132</v>
      </c>
      <c r="AX495" s="402" t="str">
        <f>VLOOKUP($AW495,'Item Master Data'!$A:$F,3,FALSE)</f>
        <v>Q.PEAK DUO BLK G10+</v>
      </c>
      <c r="AY495" s="402">
        <f>VLOOKUP($AW495,'Item Master Data'!$A:$F,6,FALSE)</f>
        <v>360</v>
      </c>
      <c r="AZ495" s="402">
        <f t="shared" si="111"/>
        <v>26</v>
      </c>
      <c r="BA495" s="402">
        <f>VLOOKUP(AW495,'Item Master Data'!$A:$G,7,FALSE)</f>
        <v>32</v>
      </c>
      <c r="BB495" s="402"/>
      <c r="BC495" s="402">
        <f t="shared" si="112"/>
        <v>0</v>
      </c>
    </row>
    <row r="496" spans="1:55">
      <c r="A496" s="278"/>
      <c r="B496" s="491"/>
      <c r="C496" s="279"/>
      <c r="D496" s="366" t="s">
        <v>2804</v>
      </c>
      <c r="E496" s="280"/>
      <c r="F496" s="405"/>
      <c r="G496" s="405">
        <v>2022</v>
      </c>
      <c r="H496" s="405">
        <v>5</v>
      </c>
      <c r="I496" s="405"/>
      <c r="J496" s="406"/>
      <c r="K496" s="509" t="s">
        <v>4898</v>
      </c>
      <c r="L496" s="510" t="s">
        <v>2817</v>
      </c>
      <c r="M496" s="406">
        <v>44692</v>
      </c>
      <c r="N496" s="406">
        <v>44692</v>
      </c>
      <c r="O496" s="406"/>
      <c r="P496" s="406" t="s">
        <v>4899</v>
      </c>
      <c r="Q496" s="406"/>
      <c r="R496" s="406"/>
      <c r="S496" s="405" t="s">
        <v>1098</v>
      </c>
      <c r="T496" s="405">
        <v>60</v>
      </c>
      <c r="U496" s="405"/>
      <c r="V496" s="405" t="s">
        <v>986</v>
      </c>
      <c r="W496" s="407">
        <v>360</v>
      </c>
      <c r="X496" s="371">
        <v>832</v>
      </c>
      <c r="Y496" s="408">
        <f>W496*X496</f>
        <v>299520</v>
      </c>
      <c r="Z496" s="409">
        <v>0.505</v>
      </c>
      <c r="AA496" s="410">
        <f>Y496*Z496</f>
        <v>151257.60000000001</v>
      </c>
      <c r="AB496" s="411"/>
      <c r="AC496" s="412">
        <f>AB496*Y496</f>
        <v>0</v>
      </c>
      <c r="AD496" s="421"/>
      <c r="AE496" s="413"/>
      <c r="AF496" s="424">
        <f>AE496+AD496+AA496</f>
        <v>151257.60000000001</v>
      </c>
      <c r="AG496" s="405" t="s">
        <v>47</v>
      </c>
      <c r="AH496" s="405">
        <v>0</v>
      </c>
      <c r="AI496" s="405">
        <v>60</v>
      </c>
      <c r="AJ496" s="405" t="s">
        <v>1881</v>
      </c>
      <c r="AK496" s="405" t="s">
        <v>1081</v>
      </c>
      <c r="AL496" s="425">
        <v>32822</v>
      </c>
      <c r="AM496" s="405" t="s">
        <v>52</v>
      </c>
      <c r="AN496" s="405"/>
      <c r="AO496" s="405"/>
      <c r="AP496" s="413"/>
      <c r="AQ496" s="413"/>
      <c r="AR496" s="405"/>
      <c r="AS496" s="386" t="s">
        <v>2818</v>
      </c>
      <c r="AT496" s="281" t="s">
        <v>1073</v>
      </c>
      <c r="AU496" s="403"/>
      <c r="AV496" s="402">
        <f t="shared" si="110"/>
        <v>0</v>
      </c>
      <c r="AW496" s="402" cm="1">
        <f t="array" ref="AW496">SUM(MID(0&amp;AV496,LARGE(INDEX(ISNUMBER(--MID(AV496,ROW($1:$8),1))*ROW($1:$8),),ROW($1:$8))+1,1)*10^ROW($1:$8)/10)</f>
        <v>0</v>
      </c>
      <c r="AX496" s="402" t="e">
        <f>VLOOKUP($AW496,'Item Master Data'!$A:$F,3,FALSE)</f>
        <v>#N/A</v>
      </c>
      <c r="AY496" s="402" t="e">
        <f>VLOOKUP($AW496,'Item Master Data'!$A:$F,6,FALSE)</f>
        <v>#N/A</v>
      </c>
      <c r="AZ496" s="402" t="e">
        <f t="shared" si="111"/>
        <v>#N/A</v>
      </c>
      <c r="BA496" s="402" t="e">
        <f>VLOOKUP(AW496,'Item Master Data'!$A:$G,7,FALSE)</f>
        <v>#N/A</v>
      </c>
      <c r="BB496" s="402"/>
      <c r="BC496" s="402" t="e">
        <f t="shared" si="112"/>
        <v>#N/A</v>
      </c>
    </row>
    <row r="497" spans="1:55">
      <c r="A497" s="278"/>
      <c r="B497" s="491"/>
      <c r="C497" s="279"/>
      <c r="D497" s="366" t="s">
        <v>2804</v>
      </c>
      <c r="E497" s="280"/>
      <c r="F497" s="405"/>
      <c r="G497" s="405">
        <v>2022</v>
      </c>
      <c r="H497" s="405">
        <v>5</v>
      </c>
      <c r="I497" s="405"/>
      <c r="J497" s="406"/>
      <c r="K497" s="509" t="s">
        <v>4900</v>
      </c>
      <c r="L497" s="510" t="s">
        <v>2817</v>
      </c>
      <c r="M497" s="406">
        <v>44692</v>
      </c>
      <c r="N497" s="406">
        <v>44692</v>
      </c>
      <c r="O497" s="406"/>
      <c r="P497" s="406" t="s">
        <v>4899</v>
      </c>
      <c r="Q497" s="406"/>
      <c r="R497" s="406"/>
      <c r="S497" s="405" t="s">
        <v>1098</v>
      </c>
      <c r="T497" s="405">
        <v>60</v>
      </c>
      <c r="U497" s="405"/>
      <c r="V497" s="405" t="s">
        <v>986</v>
      </c>
      <c r="W497" s="407">
        <v>360</v>
      </c>
      <c r="X497" s="371">
        <v>832</v>
      </c>
      <c r="Y497" s="408">
        <f>W497*X497</f>
        <v>299520</v>
      </c>
      <c r="Z497" s="409">
        <v>0.505</v>
      </c>
      <c r="AA497" s="410">
        <f>Y497*Z497</f>
        <v>151257.60000000001</v>
      </c>
      <c r="AB497" s="411"/>
      <c r="AC497" s="412">
        <f>AB497*Y497</f>
        <v>0</v>
      </c>
      <c r="AD497" s="421"/>
      <c r="AE497" s="413"/>
      <c r="AF497" s="424">
        <f>AE497+AD497+AA497</f>
        <v>151257.60000000001</v>
      </c>
      <c r="AG497" s="405" t="s">
        <v>47</v>
      </c>
      <c r="AH497" s="405">
        <v>0</v>
      </c>
      <c r="AI497" s="405">
        <v>60</v>
      </c>
      <c r="AJ497" s="405" t="s">
        <v>2820</v>
      </c>
      <c r="AK497" s="405" t="s">
        <v>1130</v>
      </c>
      <c r="AL497" s="425">
        <v>11803</v>
      </c>
      <c r="AM497" s="405" t="s">
        <v>52</v>
      </c>
      <c r="AN497" s="405"/>
      <c r="AO497" s="405"/>
      <c r="AP497" s="413"/>
      <c r="AQ497" s="413"/>
      <c r="AR497" s="405"/>
      <c r="AS497" s="386" t="s">
        <v>2818</v>
      </c>
      <c r="AT497" s="281" t="s">
        <v>1073</v>
      </c>
      <c r="AU497" s="403"/>
      <c r="AV497" s="402">
        <f t="shared" si="110"/>
        <v>0</v>
      </c>
      <c r="AW497" s="402" cm="1">
        <f t="array" ref="AW497">SUM(MID(0&amp;AV497,LARGE(INDEX(ISNUMBER(--MID(AV497,ROW($1:$8),1))*ROW($1:$8),),ROW($1:$8))+1,1)*10^ROW($1:$8)/10)</f>
        <v>0</v>
      </c>
      <c r="AX497" s="402" t="e">
        <f>VLOOKUP($AW497,'Item Master Data'!$A:$F,3,FALSE)</f>
        <v>#N/A</v>
      </c>
      <c r="AY497" s="402" t="e">
        <f>VLOOKUP($AW497,'Item Master Data'!$A:$F,6,FALSE)</f>
        <v>#N/A</v>
      </c>
      <c r="AZ497" s="402" t="e">
        <f t="shared" si="111"/>
        <v>#N/A</v>
      </c>
      <c r="BA497" s="402" t="e">
        <f>VLOOKUP(AW497,'Item Master Data'!$A:$G,7,FALSE)</f>
        <v>#N/A</v>
      </c>
      <c r="BB497" s="402"/>
      <c r="BC497" s="402" t="e">
        <f t="shared" si="112"/>
        <v>#N/A</v>
      </c>
    </row>
    <row r="498" spans="1:55">
      <c r="A498" s="278"/>
      <c r="B498" s="491"/>
      <c r="C498" s="279"/>
      <c r="D498" s="366" t="s">
        <v>2804</v>
      </c>
      <c r="E498" s="280"/>
      <c r="F498" s="405"/>
      <c r="G498" s="405">
        <v>2022</v>
      </c>
      <c r="H498" s="405">
        <v>5</v>
      </c>
      <c r="I498" s="405"/>
      <c r="J498" s="406"/>
      <c r="K498" s="509" t="s">
        <v>4901</v>
      </c>
      <c r="L498" s="510" t="s">
        <v>2817</v>
      </c>
      <c r="M498" s="406">
        <v>44692</v>
      </c>
      <c r="N498" s="406">
        <v>44692</v>
      </c>
      <c r="O498" s="406"/>
      <c r="P498" s="406" t="s">
        <v>4899</v>
      </c>
      <c r="Q498" s="406"/>
      <c r="R498" s="406"/>
      <c r="S498" s="405" t="s">
        <v>1098</v>
      </c>
      <c r="T498" s="405">
        <v>60</v>
      </c>
      <c r="U498" s="405"/>
      <c r="V498" s="405" t="s">
        <v>986</v>
      </c>
      <c r="W498" s="407">
        <v>360</v>
      </c>
      <c r="X498" s="371">
        <v>832</v>
      </c>
      <c r="Y498" s="408">
        <f>W498*X498</f>
        <v>299520</v>
      </c>
      <c r="Z498" s="409">
        <v>0.505</v>
      </c>
      <c r="AA498" s="410">
        <f>Y498*Z498</f>
        <v>151257.60000000001</v>
      </c>
      <c r="AB498" s="411"/>
      <c r="AC498" s="412">
        <f>AB498*Y498</f>
        <v>0</v>
      </c>
      <c r="AD498" s="421"/>
      <c r="AE498" s="413"/>
      <c r="AF498" s="424">
        <f>AE498+AD498+AA498</f>
        <v>151257.60000000001</v>
      </c>
      <c r="AG498" s="405" t="s">
        <v>47</v>
      </c>
      <c r="AH498" s="405">
        <v>0</v>
      </c>
      <c r="AI498" s="405">
        <v>60</v>
      </c>
      <c r="AJ498" s="405" t="s">
        <v>2522</v>
      </c>
      <c r="AK498" s="405" t="s">
        <v>1136</v>
      </c>
      <c r="AL498" s="425">
        <v>75261</v>
      </c>
      <c r="AM498" s="405" t="s">
        <v>52</v>
      </c>
      <c r="AN498" s="405"/>
      <c r="AO498" s="405"/>
      <c r="AP498" s="413"/>
      <c r="AQ498" s="413"/>
      <c r="AR498" s="405"/>
      <c r="AS498" s="386" t="s">
        <v>2818</v>
      </c>
      <c r="AT498" s="281" t="s">
        <v>1073</v>
      </c>
      <c r="AU498" s="403"/>
      <c r="AV498" s="402"/>
      <c r="AW498" s="402"/>
      <c r="AX498" s="402"/>
      <c r="AY498" s="402"/>
      <c r="AZ498" s="402"/>
      <c r="BA498" s="402"/>
      <c r="BB498" s="402"/>
      <c r="BC498" s="402"/>
    </row>
    <row r="499" spans="1:55">
      <c r="A499" s="278"/>
      <c r="B499" s="491"/>
      <c r="C499" s="279"/>
      <c r="D499" s="366" t="s">
        <v>2804</v>
      </c>
      <c r="E499" s="280"/>
      <c r="F499" s="405"/>
      <c r="G499" s="405">
        <v>2022</v>
      </c>
      <c r="H499" s="405">
        <v>5</v>
      </c>
      <c r="I499" s="405"/>
      <c r="J499" s="406"/>
      <c r="K499" s="509" t="s">
        <v>4902</v>
      </c>
      <c r="L499" s="510" t="s">
        <v>2817</v>
      </c>
      <c r="M499" s="406">
        <v>44692</v>
      </c>
      <c r="N499" s="406">
        <v>44692</v>
      </c>
      <c r="O499" s="406"/>
      <c r="P499" s="406" t="s">
        <v>4899</v>
      </c>
      <c r="Q499" s="406"/>
      <c r="R499" s="406"/>
      <c r="S499" s="405" t="s">
        <v>1098</v>
      </c>
      <c r="T499" s="405">
        <v>60</v>
      </c>
      <c r="U499" s="405"/>
      <c r="V499" s="405" t="s">
        <v>986</v>
      </c>
      <c r="W499" s="407">
        <v>360</v>
      </c>
      <c r="X499" s="371">
        <v>832</v>
      </c>
      <c r="Y499" s="408">
        <f>W499*X499</f>
        <v>299520</v>
      </c>
      <c r="Z499" s="409">
        <v>0.505</v>
      </c>
      <c r="AA499" s="410">
        <f>Y499*Z499</f>
        <v>151257.60000000001</v>
      </c>
      <c r="AB499" s="411"/>
      <c r="AC499" s="412">
        <f>AB499*Y499</f>
        <v>0</v>
      </c>
      <c r="AD499" s="421"/>
      <c r="AE499" s="413"/>
      <c r="AF499" s="424">
        <f>AE499+AD499+AA499</f>
        <v>151257.60000000001</v>
      </c>
      <c r="AG499" s="405" t="s">
        <v>47</v>
      </c>
      <c r="AH499" s="405">
        <v>0</v>
      </c>
      <c r="AI499" s="405">
        <v>60</v>
      </c>
      <c r="AJ499" s="405" t="s">
        <v>2819</v>
      </c>
      <c r="AK499" s="405" t="s">
        <v>1082</v>
      </c>
      <c r="AL499" s="425">
        <v>8840</v>
      </c>
      <c r="AM499" s="405" t="s">
        <v>52</v>
      </c>
      <c r="AN499" s="405"/>
      <c r="AO499" s="405"/>
      <c r="AP499" s="413"/>
      <c r="AQ499" s="413"/>
      <c r="AR499" s="405"/>
      <c r="AS499" s="386" t="s">
        <v>2818</v>
      </c>
      <c r="AT499" s="281" t="s">
        <v>1073</v>
      </c>
      <c r="AU499" s="403"/>
      <c r="AV499" s="402">
        <f>U499</f>
        <v>0</v>
      </c>
      <c r="AW499" s="402" cm="1">
        <f t="array" ref="AW499">SUM(MID(0&amp;AV499,LARGE(INDEX(ISNUMBER(--MID(AV499,ROW($1:$8),1))*ROW($1:$8),),ROW($1:$8))+1,1)*10^ROW($1:$8)/10)</f>
        <v>0</v>
      </c>
      <c r="AX499" s="402" t="e">
        <f>VLOOKUP($AW499,'Item Master Data'!$A:$F,3,FALSE)</f>
        <v>#N/A</v>
      </c>
      <c r="AY499" s="402" t="e">
        <f>VLOOKUP($AW499,'Item Master Data'!$A:$F,6,FALSE)</f>
        <v>#N/A</v>
      </c>
      <c r="AZ499" s="402" t="e">
        <f>X499/BA499</f>
        <v>#N/A</v>
      </c>
      <c r="BA499" s="402" t="e">
        <f>VLOOKUP(AW499,'Item Master Data'!$A:$G,7,FALSE)</f>
        <v>#N/A</v>
      </c>
      <c r="BB499" s="402"/>
      <c r="BC499" s="402" t="e">
        <f>W499-AY499</f>
        <v>#N/A</v>
      </c>
    </row>
    <row r="500" spans="1:55">
      <c r="A500" s="278"/>
      <c r="B500" s="491"/>
      <c r="C500" s="279"/>
      <c r="D500" s="366" t="s">
        <v>2804</v>
      </c>
      <c r="E500" s="280"/>
      <c r="F500" s="405"/>
      <c r="G500" s="405">
        <v>2022</v>
      </c>
      <c r="H500" s="405">
        <v>5</v>
      </c>
      <c r="I500" s="405"/>
      <c r="J500" s="406"/>
      <c r="K500" s="509" t="s">
        <v>4903</v>
      </c>
      <c r="L500" s="510" t="s">
        <v>2817</v>
      </c>
      <c r="M500" s="406">
        <v>44692</v>
      </c>
      <c r="N500" s="406">
        <v>44692</v>
      </c>
      <c r="O500" s="406"/>
      <c r="P500" s="406" t="s">
        <v>4899</v>
      </c>
      <c r="Q500" s="406"/>
      <c r="R500" s="406"/>
      <c r="S500" s="405" t="s">
        <v>1098</v>
      </c>
      <c r="T500" s="405">
        <v>60</v>
      </c>
      <c r="U500" s="405"/>
      <c r="V500" s="405" t="s">
        <v>986</v>
      </c>
      <c r="W500" s="407">
        <v>360</v>
      </c>
      <c r="X500" s="371">
        <v>832</v>
      </c>
      <c r="Y500" s="408">
        <f>W500*X500</f>
        <v>299520</v>
      </c>
      <c r="Z500" s="409">
        <v>0.505</v>
      </c>
      <c r="AA500" s="410">
        <f>Y500*Z500</f>
        <v>151257.60000000001</v>
      </c>
      <c r="AB500" s="411"/>
      <c r="AC500" s="412">
        <f>AB500*Y500</f>
        <v>0</v>
      </c>
      <c r="AD500" s="421"/>
      <c r="AE500" s="413"/>
      <c r="AF500" s="424">
        <f>AE500+AD500+AA500</f>
        <v>151257.60000000001</v>
      </c>
      <c r="AG500" s="405" t="s">
        <v>47</v>
      </c>
      <c r="AH500" s="405">
        <v>0</v>
      </c>
      <c r="AI500" s="405">
        <v>60</v>
      </c>
      <c r="AJ500" s="405" t="s">
        <v>2819</v>
      </c>
      <c r="AK500" s="405" t="s">
        <v>1082</v>
      </c>
      <c r="AL500" s="425">
        <v>8840</v>
      </c>
      <c r="AM500" s="405" t="s">
        <v>52</v>
      </c>
      <c r="AN500" s="405"/>
      <c r="AO500" s="405"/>
      <c r="AP500" s="413"/>
      <c r="AQ500" s="413"/>
      <c r="AR500" s="405"/>
      <c r="AS500" s="386" t="s">
        <v>2818</v>
      </c>
      <c r="AT500" s="281" t="s">
        <v>1073</v>
      </c>
      <c r="AU500" s="403"/>
      <c r="AV500" s="402"/>
      <c r="AW500" s="402"/>
      <c r="AX500" s="402"/>
      <c r="AY500" s="402"/>
      <c r="AZ500" s="402"/>
      <c r="BA500" s="402"/>
      <c r="BB500" s="402"/>
      <c r="BC500" s="402"/>
    </row>
    <row r="501" spans="1:55">
      <c r="A501" s="278"/>
      <c r="B501" s="491"/>
      <c r="C501" s="279"/>
      <c r="D501" s="366" t="s">
        <v>2804</v>
      </c>
      <c r="E501" s="280"/>
      <c r="F501" s="405"/>
      <c r="G501" s="405">
        <v>2022</v>
      </c>
      <c r="H501" s="405">
        <v>5</v>
      </c>
      <c r="I501" s="405"/>
      <c r="J501" s="406"/>
      <c r="K501" s="509" t="s">
        <v>4904</v>
      </c>
      <c r="L501" s="510" t="s">
        <v>2817</v>
      </c>
      <c r="M501" s="406">
        <v>44692</v>
      </c>
      <c r="N501" s="406">
        <v>44692</v>
      </c>
      <c r="O501" s="406"/>
      <c r="P501" s="406" t="s">
        <v>4899</v>
      </c>
      <c r="Q501" s="406"/>
      <c r="R501" s="406"/>
      <c r="S501" s="405" t="s">
        <v>1098</v>
      </c>
      <c r="T501" s="405">
        <v>60</v>
      </c>
      <c r="U501" s="405"/>
      <c r="V501" s="405" t="s">
        <v>986</v>
      </c>
      <c r="W501" s="407">
        <v>360</v>
      </c>
      <c r="X501" s="371">
        <v>832</v>
      </c>
      <c r="Y501" s="408">
        <f>W501*X501</f>
        <v>299520</v>
      </c>
      <c r="Z501" s="409">
        <v>0.505</v>
      </c>
      <c r="AA501" s="410">
        <f>Y501*Z501</f>
        <v>151257.60000000001</v>
      </c>
      <c r="AB501" s="411"/>
      <c r="AC501" s="412">
        <f>AB501*Y501</f>
        <v>0</v>
      </c>
      <c r="AD501" s="421"/>
      <c r="AE501" s="413"/>
      <c r="AF501" s="424">
        <f>AE501+AD501+AA501</f>
        <v>151257.60000000001</v>
      </c>
      <c r="AG501" s="405" t="s">
        <v>47</v>
      </c>
      <c r="AH501" s="405">
        <v>0</v>
      </c>
      <c r="AI501" s="405">
        <v>60</v>
      </c>
      <c r="AJ501" s="405" t="s">
        <v>2522</v>
      </c>
      <c r="AK501" s="405" t="s">
        <v>1136</v>
      </c>
      <c r="AL501" s="425">
        <v>75261</v>
      </c>
      <c r="AM501" s="405" t="s">
        <v>52</v>
      </c>
      <c r="AN501" s="405"/>
      <c r="AO501" s="405"/>
      <c r="AP501" s="413"/>
      <c r="AQ501" s="413"/>
      <c r="AR501" s="405"/>
      <c r="AS501" s="386" t="s">
        <v>2818</v>
      </c>
      <c r="AT501" s="281" t="s">
        <v>1073</v>
      </c>
      <c r="AU501" s="403"/>
      <c r="AV501" s="402">
        <f>U501</f>
        <v>0</v>
      </c>
      <c r="AW501" s="402" cm="1">
        <f t="array" ref="AW501">SUM(MID(0&amp;AV501,LARGE(INDEX(ISNUMBER(--MID(AV501,ROW($1:$8),1))*ROW($1:$8),),ROW($1:$8))+1,1)*10^ROW($1:$8)/10)</f>
        <v>0</v>
      </c>
      <c r="AX501" s="402" t="e">
        <f>VLOOKUP($AW501,'Item Master Data'!$A:$F,3,FALSE)</f>
        <v>#N/A</v>
      </c>
      <c r="AY501" s="402" t="e">
        <f>VLOOKUP($AW501,'Item Master Data'!$A:$F,6,FALSE)</f>
        <v>#N/A</v>
      </c>
      <c r="AZ501" s="402" t="e">
        <f>X501/BA501</f>
        <v>#N/A</v>
      </c>
      <c r="BA501" s="402" t="e">
        <f>VLOOKUP(AW501,'Item Master Data'!$A:$G,7,FALSE)</f>
        <v>#N/A</v>
      </c>
      <c r="BB501" s="402"/>
      <c r="BC501" s="402" t="e">
        <f>W501-AY501</f>
        <v>#N/A</v>
      </c>
    </row>
    <row r="502" spans="1:55">
      <c r="A502" s="278" t="s">
        <v>4585</v>
      </c>
      <c r="B502" s="491"/>
      <c r="C502" s="279"/>
      <c r="D502" s="366" t="s">
        <v>2804</v>
      </c>
      <c r="E502" s="280" t="s">
        <v>4895</v>
      </c>
      <c r="F502" s="405"/>
      <c r="G502" s="405">
        <v>2022</v>
      </c>
      <c r="H502" s="405">
        <v>5</v>
      </c>
      <c r="I502" s="405"/>
      <c r="J502" s="406"/>
      <c r="K502" s="405" t="s">
        <v>4704</v>
      </c>
      <c r="L502" s="406" t="s">
        <v>2813</v>
      </c>
      <c r="M502" s="406">
        <v>44512</v>
      </c>
      <c r="N502" s="406">
        <v>44621</v>
      </c>
      <c r="O502" s="406">
        <v>44652</v>
      </c>
      <c r="P502" s="406"/>
      <c r="Q502" s="406" t="s">
        <v>4598</v>
      </c>
      <c r="R502" s="406"/>
      <c r="S502" s="405" t="s">
        <v>1098</v>
      </c>
      <c r="T502" s="405">
        <v>60</v>
      </c>
      <c r="U502" s="405"/>
      <c r="V502" s="405" t="s">
        <v>973</v>
      </c>
      <c r="W502" s="407">
        <v>400</v>
      </c>
      <c r="X502" s="371">
        <v>768</v>
      </c>
      <c r="Y502" s="408">
        <f>W502*X502</f>
        <v>307200</v>
      </c>
      <c r="Z502" s="512">
        <v>0.51</v>
      </c>
      <c r="AA502" s="410">
        <f>Y502*Z502</f>
        <v>156672</v>
      </c>
      <c r="AB502" s="411"/>
      <c r="AC502" s="412">
        <v>0</v>
      </c>
      <c r="AD502" s="421"/>
      <c r="AE502" s="413"/>
      <c r="AF502" s="424">
        <f>AE502+AD502+AA502</f>
        <v>156672</v>
      </c>
      <c r="AG502" s="405" t="s">
        <v>1069</v>
      </c>
      <c r="AH502" s="405"/>
      <c r="AI502" s="405">
        <v>60</v>
      </c>
      <c r="AJ502" s="405" t="s">
        <v>2814</v>
      </c>
      <c r="AK502" s="405" t="s">
        <v>1130</v>
      </c>
      <c r="AL502" s="425" t="s">
        <v>2815</v>
      </c>
      <c r="AM502" s="405" t="s">
        <v>52</v>
      </c>
      <c r="AN502" s="405" t="s">
        <v>1071</v>
      </c>
      <c r="AO502" s="405"/>
      <c r="AP502" s="413"/>
      <c r="AQ502" s="413" t="s">
        <v>37</v>
      </c>
      <c r="AR502" s="405" t="s">
        <v>2858</v>
      </c>
      <c r="AS502" s="386" t="s">
        <v>1073</v>
      </c>
      <c r="AT502" s="281" t="s">
        <v>1073</v>
      </c>
      <c r="AU502" s="403">
        <v>0.51</v>
      </c>
      <c r="AV502" s="402">
        <f>U502</f>
        <v>0</v>
      </c>
      <c r="AW502" s="402" cm="1">
        <f t="array" ref="AW502">SUM(MID(0&amp;AV502,LARGE(INDEX(ISNUMBER(--MID(AV502,ROW($1:$8),1))*ROW($1:$8),),ROW($1:$8))+1,1)*10^ROW($1:$8)/10)</f>
        <v>0</v>
      </c>
      <c r="AX502" s="402" t="e">
        <f>VLOOKUP($AW502,'Item Master Data'!$A:$F,3,FALSE)</f>
        <v>#N/A</v>
      </c>
      <c r="AY502" s="402" t="e">
        <f>VLOOKUP($AW502,'Item Master Data'!$A:$F,6,FALSE)</f>
        <v>#N/A</v>
      </c>
      <c r="AZ502" s="402" t="e">
        <f>X502/BA502</f>
        <v>#N/A</v>
      </c>
      <c r="BA502" s="402" t="e">
        <f>VLOOKUP(AW502,'Item Master Data'!$A:$G,7,FALSE)</f>
        <v>#N/A</v>
      </c>
      <c r="BB502" s="402"/>
      <c r="BC502" s="402" t="e">
        <f>W502-AY502</f>
        <v>#N/A</v>
      </c>
    </row>
    <row r="503" spans="1:55">
      <c r="A503" s="278" t="s">
        <v>4584</v>
      </c>
      <c r="B503" s="491"/>
      <c r="C503" s="279"/>
      <c r="D503" s="366" t="s">
        <v>2804</v>
      </c>
      <c r="E503" s="280" t="s">
        <v>4706</v>
      </c>
      <c r="F503" s="405" t="s">
        <v>1139</v>
      </c>
      <c r="G503" s="405">
        <v>2022</v>
      </c>
      <c r="H503" s="405">
        <v>5</v>
      </c>
      <c r="I503" s="405"/>
      <c r="J503" s="406"/>
      <c r="K503" s="405" t="s">
        <v>2900</v>
      </c>
      <c r="L503" s="406" t="s">
        <v>1308</v>
      </c>
      <c r="M503" s="406">
        <v>44473</v>
      </c>
      <c r="N503" s="406">
        <v>44622</v>
      </c>
      <c r="O503" s="406" t="s">
        <v>4434</v>
      </c>
      <c r="P503" s="406">
        <v>44680</v>
      </c>
      <c r="Q503" s="406">
        <v>44683</v>
      </c>
      <c r="R503" s="406">
        <v>44684</v>
      </c>
      <c r="S503" s="405" t="s">
        <v>1098</v>
      </c>
      <c r="T503" s="405">
        <v>60</v>
      </c>
      <c r="U503" s="405" t="s">
        <v>1237</v>
      </c>
      <c r="V503" s="405" t="s">
        <v>973</v>
      </c>
      <c r="W503" s="407">
        <v>400</v>
      </c>
      <c r="X503" s="371">
        <v>768</v>
      </c>
      <c r="Y503" s="408">
        <f>W503*X503</f>
        <v>307200</v>
      </c>
      <c r="Z503" s="409">
        <v>0.55000000000000004</v>
      </c>
      <c r="AA503" s="410">
        <f>Y503*Z503</f>
        <v>168960</v>
      </c>
      <c r="AB503" s="411"/>
      <c r="AC503" s="412">
        <v>0</v>
      </c>
      <c r="AD503" s="421"/>
      <c r="AE503" s="413"/>
      <c r="AF503" s="424">
        <f>AE503+AD503+AA503</f>
        <v>168960</v>
      </c>
      <c r="AG503" s="405" t="s">
        <v>1069</v>
      </c>
      <c r="AH503" s="405"/>
      <c r="AI503" s="405">
        <v>60</v>
      </c>
      <c r="AJ503" s="405" t="s">
        <v>1291</v>
      </c>
      <c r="AK503" s="405" t="s">
        <v>1292</v>
      </c>
      <c r="AL503" s="425">
        <v>18360</v>
      </c>
      <c r="AM503" s="405" t="s">
        <v>52</v>
      </c>
      <c r="AN503" s="405" t="s">
        <v>1082</v>
      </c>
      <c r="AO503" s="405"/>
      <c r="AP503" s="413" t="s">
        <v>92</v>
      </c>
      <c r="AQ503" s="413" t="s">
        <v>37</v>
      </c>
      <c r="AR503" s="405"/>
      <c r="AS503" s="386"/>
      <c r="AT503" s="281"/>
      <c r="AU503" s="403"/>
      <c r="AV503" s="402" t="str">
        <f>U503</f>
        <v>30390456H</v>
      </c>
      <c r="AW503" s="402" cm="1">
        <f t="array" ref="AW503">SUM(MID(0&amp;AV503,LARGE(INDEX(ISNUMBER(--MID(AV503,ROW($1:$8),1))*ROW($1:$8),),ROW($1:$8))+1,1)*10^ROW($1:$8)/10)</f>
        <v>30390456</v>
      </c>
      <c r="AX503" s="402" t="str">
        <f>VLOOKUP($AW503,'Item Master Data'!$A:$F,3,FALSE)</f>
        <v>Q.PEAK DUO BLK ML G10+</v>
      </c>
      <c r="AY503" s="402">
        <f>VLOOKUP($AW503,'Item Master Data'!$A:$F,6,FALSE)</f>
        <v>400</v>
      </c>
      <c r="AZ503" s="402">
        <f>X503/BA503</f>
        <v>24</v>
      </c>
      <c r="BA503" s="402">
        <f>VLOOKUP(AW503,'Item Master Data'!$A:$G,7,FALSE)</f>
        <v>32</v>
      </c>
      <c r="BB503" s="402"/>
      <c r="BC503" s="402">
        <f>W503-AY503</f>
        <v>0</v>
      </c>
    </row>
    <row r="504" spans="1:55">
      <c r="A504" s="278" t="s">
        <v>4585</v>
      </c>
      <c r="B504" s="279">
        <v>44642</v>
      </c>
      <c r="C504" s="279">
        <v>44694</v>
      </c>
      <c r="D504" s="366" t="s">
        <v>2804</v>
      </c>
      <c r="E504" s="280" t="s">
        <v>4030</v>
      </c>
      <c r="F504" s="405"/>
      <c r="G504" s="405"/>
      <c r="H504" s="405">
        <v>5</v>
      </c>
      <c r="I504" s="416" t="s">
        <v>1241</v>
      </c>
      <c r="J504" s="406"/>
      <c r="K504" s="405" t="s">
        <v>4962</v>
      </c>
      <c r="L504" s="405" t="s">
        <v>1310</v>
      </c>
      <c r="M504" s="406">
        <v>44623</v>
      </c>
      <c r="N504" s="406">
        <v>44623</v>
      </c>
      <c r="O504" s="406"/>
      <c r="P504" s="406"/>
      <c r="Q504" s="406"/>
      <c r="R504" s="406"/>
      <c r="S504" s="405" t="s">
        <v>1098</v>
      </c>
      <c r="T504" s="405">
        <v>60</v>
      </c>
      <c r="U504" s="405"/>
      <c r="V504" s="405" t="s">
        <v>973</v>
      </c>
      <c r="W504" s="407">
        <v>400</v>
      </c>
      <c r="X504" s="371">
        <v>384</v>
      </c>
      <c r="Y504" s="408">
        <f>W504*X504</f>
        <v>153600</v>
      </c>
      <c r="Z504" s="512">
        <v>0.55000000000000004</v>
      </c>
      <c r="AA504" s="410">
        <f>Z504*Y504</f>
        <v>84480</v>
      </c>
      <c r="AB504" s="411"/>
      <c r="AC504" s="412">
        <f>AB504*Y504</f>
        <v>0</v>
      </c>
      <c r="AD504" s="421"/>
      <c r="AE504" s="413"/>
      <c r="AF504" s="424">
        <f>AE504+AD504+AA504</f>
        <v>84480</v>
      </c>
      <c r="AG504" s="405" t="s">
        <v>1069</v>
      </c>
      <c r="AH504" s="405"/>
      <c r="AI504" s="405">
        <v>60</v>
      </c>
      <c r="AJ504" s="405" t="s">
        <v>1311</v>
      </c>
      <c r="AK504" s="405" t="s">
        <v>1312</v>
      </c>
      <c r="AL504" s="425">
        <v>5401</v>
      </c>
      <c r="AM504" s="405" t="s">
        <v>52</v>
      </c>
      <c r="AN504" s="405"/>
      <c r="AO504" s="405"/>
      <c r="AP504" s="413"/>
      <c r="AQ504" s="413" t="s">
        <v>37</v>
      </c>
      <c r="AR504" s="405"/>
      <c r="AS504" s="386"/>
      <c r="AT504" s="281"/>
      <c r="AU504" s="403"/>
      <c r="AV504" s="402"/>
      <c r="AW504" s="402"/>
      <c r="AX504" s="402"/>
      <c r="AY504" s="402"/>
      <c r="AZ504" s="402"/>
      <c r="BA504" s="402"/>
      <c r="BB504" s="402"/>
      <c r="BC504" s="402"/>
    </row>
    <row r="505" spans="1:55">
      <c r="A505" s="278"/>
      <c r="B505" s="279"/>
      <c r="C505" s="279"/>
      <c r="D505" s="366" t="s">
        <v>2804</v>
      </c>
      <c r="E505" s="280" t="s">
        <v>4030</v>
      </c>
      <c r="F505" s="405"/>
      <c r="G505" s="405"/>
      <c r="H505" s="405">
        <v>7</v>
      </c>
      <c r="I505" s="416" t="s">
        <v>1241</v>
      </c>
      <c r="J505" s="406"/>
      <c r="K505" s="405" t="s">
        <v>4963</v>
      </c>
      <c r="L505" s="405" t="s">
        <v>1310</v>
      </c>
      <c r="M505" s="406">
        <v>44623</v>
      </c>
      <c r="N505" s="406">
        <v>44623</v>
      </c>
      <c r="O505" s="406"/>
      <c r="P505" s="406"/>
      <c r="Q505" s="406"/>
      <c r="R505" s="406"/>
      <c r="S505" s="405" t="s">
        <v>1098</v>
      </c>
      <c r="T505" s="405">
        <v>60</v>
      </c>
      <c r="U505" s="405"/>
      <c r="V505" s="405" t="s">
        <v>973</v>
      </c>
      <c r="W505" s="407">
        <v>400</v>
      </c>
      <c r="X505" s="371">
        <f>832-384</f>
        <v>448</v>
      </c>
      <c r="Y505" s="408">
        <f>W505*X505</f>
        <v>179200</v>
      </c>
      <c r="Z505" s="409">
        <v>0.55000000000000004</v>
      </c>
      <c r="AA505" s="410">
        <f>Z505*Y505</f>
        <v>98560.000000000015</v>
      </c>
      <c r="AB505" s="411"/>
      <c r="AC505" s="412">
        <f>AB505*Y505</f>
        <v>0</v>
      </c>
      <c r="AD505" s="421"/>
      <c r="AE505" s="413"/>
      <c r="AF505" s="424">
        <f>AE505+AD505+AA505</f>
        <v>98560.000000000015</v>
      </c>
      <c r="AG505" s="405" t="s">
        <v>1069</v>
      </c>
      <c r="AH505" s="405"/>
      <c r="AI505" s="405">
        <v>60</v>
      </c>
      <c r="AJ505" s="405" t="s">
        <v>1311</v>
      </c>
      <c r="AK505" s="405" t="s">
        <v>1312</v>
      </c>
      <c r="AL505" s="425">
        <v>5401</v>
      </c>
      <c r="AM505" s="405" t="s">
        <v>52</v>
      </c>
      <c r="AN505" s="405"/>
      <c r="AO505" s="405"/>
      <c r="AP505" s="413"/>
      <c r="AQ505" s="413" t="s">
        <v>37</v>
      </c>
      <c r="AR505" s="405"/>
      <c r="AS505" s="386"/>
      <c r="AT505" s="281"/>
      <c r="AU505" s="403"/>
      <c r="AV505" s="402">
        <f>U505</f>
        <v>0</v>
      </c>
      <c r="AW505" s="402" cm="1">
        <f t="array" ref="AW505">SUM(MID(0&amp;AV505,LARGE(INDEX(ISNUMBER(--MID(AV505,ROW($1:$8),1))*ROW($1:$8),),ROW($1:$8))+1,1)*10^ROW($1:$8)/10)</f>
        <v>0</v>
      </c>
      <c r="AX505" s="402" t="e">
        <f>VLOOKUP($AW505,'Item Master Data'!$A:$F,3,FALSE)</f>
        <v>#N/A</v>
      </c>
      <c r="AY505" s="402" t="e">
        <f>VLOOKUP($AW505,'Item Master Data'!$A:$F,6,FALSE)</f>
        <v>#N/A</v>
      </c>
      <c r="AZ505" s="402" t="e">
        <f>X505/BA505</f>
        <v>#N/A</v>
      </c>
      <c r="BA505" s="402" t="e">
        <f>VLOOKUP(AW505,'Item Master Data'!$A:$G,7,FALSE)</f>
        <v>#N/A</v>
      </c>
      <c r="BB505" s="402"/>
      <c r="BC505" s="402" t="e">
        <f>W505-AY505</f>
        <v>#N/A</v>
      </c>
    </row>
    <row r="506" spans="1:55">
      <c r="A506" s="278" t="s">
        <v>4585</v>
      </c>
      <c r="B506" s="491"/>
      <c r="C506" s="279"/>
      <c r="D506" s="366" t="s">
        <v>2804</v>
      </c>
      <c r="E506" s="280"/>
      <c r="F506" s="405"/>
      <c r="G506" s="405">
        <v>2022</v>
      </c>
      <c r="H506" s="405">
        <v>5</v>
      </c>
      <c r="I506" s="405"/>
      <c r="J506" s="406"/>
      <c r="K506" s="405" t="s">
        <v>2903</v>
      </c>
      <c r="L506" s="406" t="s">
        <v>1315</v>
      </c>
      <c r="M506" s="406">
        <v>44519</v>
      </c>
      <c r="N506" s="406">
        <v>44652</v>
      </c>
      <c r="O506" s="406">
        <v>44682</v>
      </c>
      <c r="P506" s="406"/>
      <c r="Q506" s="406" t="s">
        <v>4598</v>
      </c>
      <c r="R506" s="406"/>
      <c r="S506" s="405" t="s">
        <v>1098</v>
      </c>
      <c r="T506" s="405">
        <v>60</v>
      </c>
      <c r="U506" s="405">
        <v>49401140</v>
      </c>
      <c r="V506" s="405" t="s">
        <v>973</v>
      </c>
      <c r="W506" s="407">
        <v>400</v>
      </c>
      <c r="X506" s="371">
        <v>768</v>
      </c>
      <c r="Y506" s="408">
        <f>W506*X506</f>
        <v>307200</v>
      </c>
      <c r="Z506" s="512">
        <v>0.52</v>
      </c>
      <c r="AA506" s="410">
        <f>Y506*Z506</f>
        <v>159744</v>
      </c>
      <c r="AB506" s="411"/>
      <c r="AC506" s="412">
        <f>AB506*Y506</f>
        <v>0</v>
      </c>
      <c r="AD506" s="421"/>
      <c r="AE506" s="413"/>
      <c r="AF506" s="424">
        <f>AE506+AD506+AA506</f>
        <v>159744</v>
      </c>
      <c r="AG506" s="405" t="s">
        <v>1069</v>
      </c>
      <c r="AH506" s="405">
        <v>0</v>
      </c>
      <c r="AI506" s="405">
        <v>60</v>
      </c>
      <c r="AJ506" s="405" t="s">
        <v>1316</v>
      </c>
      <c r="AK506" s="405" t="s">
        <v>1317</v>
      </c>
      <c r="AL506" s="425" t="s">
        <v>2816</v>
      </c>
      <c r="AM506" s="405" t="s">
        <v>52</v>
      </c>
      <c r="AN506" s="405" t="s">
        <v>1071</v>
      </c>
      <c r="AO506" s="405"/>
      <c r="AP506" s="413"/>
      <c r="AQ506" s="413" t="s">
        <v>1083</v>
      </c>
      <c r="AR506" s="405"/>
      <c r="AS506" s="386" t="s">
        <v>1084</v>
      </c>
      <c r="AT506" s="281" t="s">
        <v>1073</v>
      </c>
      <c r="AU506" s="403"/>
      <c r="AV506" s="402">
        <f>U506</f>
        <v>49401140</v>
      </c>
      <c r="AW506" s="402" cm="1">
        <f t="array" ref="AW506">SUM(MID(0&amp;AV506,LARGE(INDEX(ISNUMBER(--MID(AV506,ROW($1:$8),1))*ROW($1:$8),),ROW($1:$8))+1,1)*10^ROW($1:$8)/10)</f>
        <v>49401140</v>
      </c>
      <c r="AX506" s="402" t="str">
        <f>VLOOKUP($AW506,'Item Master Data'!$A:$F,3,FALSE)</f>
        <v>Q.PEAK DUO BLK ML G10.a+</v>
      </c>
      <c r="AY506" s="402">
        <f>VLOOKUP($AW506,'Item Master Data'!$A:$F,6,FALSE)</f>
        <v>400</v>
      </c>
      <c r="AZ506" s="402">
        <f>X506/BA506</f>
        <v>24</v>
      </c>
      <c r="BA506" s="402">
        <f>VLOOKUP(AW506,'Item Master Data'!$A:$G,7,FALSE)</f>
        <v>32</v>
      </c>
      <c r="BB506" s="402"/>
      <c r="BC506" s="402">
        <f>W506-AY506</f>
        <v>0</v>
      </c>
    </row>
    <row r="507" spans="1:55">
      <c r="A507" s="278">
        <v>22</v>
      </c>
      <c r="B507" s="491"/>
      <c r="C507" s="279"/>
      <c r="D507" s="366" t="s">
        <v>2804</v>
      </c>
      <c r="E507" s="280" t="s">
        <v>4529</v>
      </c>
      <c r="F507" s="405"/>
      <c r="G507" s="405">
        <v>2022</v>
      </c>
      <c r="H507" s="405">
        <v>5</v>
      </c>
      <c r="I507" s="405"/>
      <c r="J507" s="406"/>
      <c r="K507" s="405" t="s">
        <v>4530</v>
      </c>
      <c r="L507" s="406" t="s">
        <v>2817</v>
      </c>
      <c r="M507" s="406">
        <v>44676</v>
      </c>
      <c r="N507" s="406">
        <v>44676</v>
      </c>
      <c r="O507" s="406"/>
      <c r="P507" s="406"/>
      <c r="Q507" s="406" t="s">
        <v>4598</v>
      </c>
      <c r="R507" s="406"/>
      <c r="S507" s="405" t="s">
        <v>1098</v>
      </c>
      <c r="T507" s="405">
        <v>60</v>
      </c>
      <c r="U507" s="405"/>
      <c r="V507" s="405" t="s">
        <v>973</v>
      </c>
      <c r="W507" s="407">
        <v>400</v>
      </c>
      <c r="X507" s="371">
        <v>2304</v>
      </c>
      <c r="Y507" s="408">
        <f>W507*X507</f>
        <v>921600</v>
      </c>
      <c r="Z507" s="409">
        <v>0.51500000000000001</v>
      </c>
      <c r="AA507" s="410">
        <f>Y507*Z507</f>
        <v>474624</v>
      </c>
      <c r="AB507" s="411"/>
      <c r="AC507" s="412">
        <f>AB507*Y507</f>
        <v>0</v>
      </c>
      <c r="AD507" s="421"/>
      <c r="AE507" s="413"/>
      <c r="AF507" s="424">
        <f>AE507+AD507+AA507</f>
        <v>474624</v>
      </c>
      <c r="AG507" s="405" t="s">
        <v>47</v>
      </c>
      <c r="AH507" s="405">
        <v>0</v>
      </c>
      <c r="AI507" s="405">
        <v>60</v>
      </c>
      <c r="AJ507" s="405"/>
      <c r="AK507" s="405"/>
      <c r="AL507" s="425"/>
      <c r="AM507" s="405" t="s">
        <v>52</v>
      </c>
      <c r="AN507" s="405"/>
      <c r="AO507" s="405"/>
      <c r="AP507" s="413"/>
      <c r="AQ507" s="413"/>
      <c r="AR507" s="405"/>
      <c r="AS507" s="386" t="s">
        <v>2818</v>
      </c>
      <c r="AT507" s="281" t="s">
        <v>1073</v>
      </c>
      <c r="AU507" s="403"/>
      <c r="AV507" s="402">
        <f>U507</f>
        <v>0</v>
      </c>
      <c r="AW507" s="402" cm="1">
        <f t="array" ref="AW507">SUM(MID(0&amp;AV507,LARGE(INDEX(ISNUMBER(--MID(AV507,ROW($1:$8),1))*ROW($1:$8),),ROW($1:$8))+1,1)*10^ROW($1:$8)/10)</f>
        <v>0</v>
      </c>
      <c r="AX507" s="402" t="e">
        <f>VLOOKUP($AW507,'Item Master Data'!$A:$F,3,FALSE)</f>
        <v>#N/A</v>
      </c>
      <c r="AY507" s="402" t="e">
        <f>VLOOKUP($AW507,'Item Master Data'!$A:$F,6,FALSE)</f>
        <v>#N/A</v>
      </c>
      <c r="AZ507" s="402" t="e">
        <f>X507/BA507</f>
        <v>#N/A</v>
      </c>
      <c r="BA507" s="402" t="e">
        <f>VLOOKUP(AW507,'Item Master Data'!$A:$G,7,FALSE)</f>
        <v>#N/A</v>
      </c>
      <c r="BB507" s="402"/>
      <c r="BC507" s="402" t="e">
        <f>W507-AY507</f>
        <v>#N/A</v>
      </c>
    </row>
    <row r="508" spans="1:55">
      <c r="A508" s="278">
        <v>19</v>
      </c>
      <c r="B508" s="491"/>
      <c r="C508" s="279"/>
      <c r="D508" s="366" t="s">
        <v>2804</v>
      </c>
      <c r="E508" s="280" t="s">
        <v>4690</v>
      </c>
      <c r="F508" s="405"/>
      <c r="G508" s="405">
        <v>2022</v>
      </c>
      <c r="H508" s="405">
        <v>5</v>
      </c>
      <c r="I508" s="405"/>
      <c r="J508" s="406" t="s">
        <v>4964</v>
      </c>
      <c r="K508" s="405" t="s">
        <v>4531</v>
      </c>
      <c r="L508" s="406" t="s">
        <v>2817</v>
      </c>
      <c r="M508" s="406">
        <v>44683</v>
      </c>
      <c r="N508" s="406">
        <v>44683</v>
      </c>
      <c r="O508" s="406"/>
      <c r="P508" s="406">
        <v>44690</v>
      </c>
      <c r="Q508" s="406"/>
      <c r="R508" s="406"/>
      <c r="S508" s="405" t="s">
        <v>1098</v>
      </c>
      <c r="T508" s="405">
        <v>60</v>
      </c>
      <c r="U508" s="405" t="s">
        <v>1237</v>
      </c>
      <c r="V508" s="405" t="s">
        <v>973</v>
      </c>
      <c r="W508" s="407">
        <v>400</v>
      </c>
      <c r="X508" s="371">
        <v>768</v>
      </c>
      <c r="Y508" s="408">
        <f>W508*X508</f>
        <v>307200</v>
      </c>
      <c r="Z508" s="409">
        <v>0.51500000000000001</v>
      </c>
      <c r="AA508" s="410">
        <f>Y508*Z508</f>
        <v>158208</v>
      </c>
      <c r="AB508" s="411"/>
      <c r="AC508" s="412">
        <f>AB508*Y508</f>
        <v>0</v>
      </c>
      <c r="AD508" s="421"/>
      <c r="AE508" s="413"/>
      <c r="AF508" s="424">
        <f>AE508+AD508+AA508</f>
        <v>158208</v>
      </c>
      <c r="AG508" s="405" t="s">
        <v>47</v>
      </c>
      <c r="AH508" s="405">
        <v>0</v>
      </c>
      <c r="AI508" s="405">
        <v>60</v>
      </c>
      <c r="AJ508" s="405" t="s">
        <v>1323</v>
      </c>
      <c r="AK508" s="405" t="s">
        <v>1136</v>
      </c>
      <c r="AL508" s="425">
        <v>77041</v>
      </c>
      <c r="AM508" s="405" t="s">
        <v>52</v>
      </c>
      <c r="AN508" s="405" t="s">
        <v>50</v>
      </c>
      <c r="AO508" s="405"/>
      <c r="AP508" s="413"/>
      <c r="AQ508" s="413"/>
      <c r="AR508" s="405"/>
      <c r="AS508" s="386" t="s">
        <v>2818</v>
      </c>
      <c r="AT508" s="281" t="s">
        <v>1073</v>
      </c>
      <c r="AU508" s="403"/>
      <c r="AV508" s="402" t="str">
        <f>U508</f>
        <v>30390456H</v>
      </c>
      <c r="AW508" s="402" cm="1">
        <f t="array" ref="AW508">SUM(MID(0&amp;AV508,LARGE(INDEX(ISNUMBER(--MID(AV508,ROW($1:$8),1))*ROW($1:$8),),ROW($1:$8))+1,1)*10^ROW($1:$8)/10)</f>
        <v>30390456</v>
      </c>
      <c r="AX508" s="402" t="str">
        <f>VLOOKUP($AW508,'Item Master Data'!$A:$F,3,FALSE)</f>
        <v>Q.PEAK DUO BLK ML G10+</v>
      </c>
      <c r="AY508" s="402">
        <f>VLOOKUP($AW508,'Item Master Data'!$A:$F,6,FALSE)</f>
        <v>400</v>
      </c>
      <c r="AZ508" s="402">
        <f>X508/BA508</f>
        <v>24</v>
      </c>
      <c r="BA508" s="402">
        <f>VLOOKUP(AW508,'Item Master Data'!$A:$G,7,FALSE)</f>
        <v>32</v>
      </c>
      <c r="BB508" s="402"/>
      <c r="BC508" s="402">
        <f>W508-AY508</f>
        <v>0</v>
      </c>
    </row>
    <row r="509" spans="1:55">
      <c r="A509" s="278">
        <v>19</v>
      </c>
      <c r="B509" s="491"/>
      <c r="C509" s="279"/>
      <c r="D509" s="366" t="s">
        <v>2804</v>
      </c>
      <c r="E509" s="280" t="s">
        <v>4690</v>
      </c>
      <c r="F509" s="405"/>
      <c r="G509" s="405">
        <v>2022</v>
      </c>
      <c r="H509" s="405">
        <v>5</v>
      </c>
      <c r="I509" s="405"/>
      <c r="J509" s="406" t="s">
        <v>4965</v>
      </c>
      <c r="K509" s="405" t="s">
        <v>4532</v>
      </c>
      <c r="L509" s="406" t="s">
        <v>2817</v>
      </c>
      <c r="M509" s="406">
        <v>44683</v>
      </c>
      <c r="N509" s="406">
        <v>44683</v>
      </c>
      <c r="O509" s="406"/>
      <c r="P509" s="406">
        <v>44690</v>
      </c>
      <c r="Q509" s="406"/>
      <c r="R509" s="406"/>
      <c r="S509" s="405" t="s">
        <v>1098</v>
      </c>
      <c r="T509" s="405">
        <v>60</v>
      </c>
      <c r="U509" s="405" t="s">
        <v>1237</v>
      </c>
      <c r="V509" s="405" t="s">
        <v>973</v>
      </c>
      <c r="W509" s="407">
        <v>400</v>
      </c>
      <c r="X509" s="371">
        <v>768</v>
      </c>
      <c r="Y509" s="408">
        <f>W509*X509</f>
        <v>307200</v>
      </c>
      <c r="Z509" s="409">
        <v>0.51500000000000001</v>
      </c>
      <c r="AA509" s="410">
        <f>Y509*Z509</f>
        <v>158208</v>
      </c>
      <c r="AB509" s="411"/>
      <c r="AC509" s="412">
        <f>AB509*Y509</f>
        <v>0</v>
      </c>
      <c r="AD509" s="421"/>
      <c r="AE509" s="413"/>
      <c r="AF509" s="424">
        <f>AE509+AD509+AA509</f>
        <v>158208</v>
      </c>
      <c r="AG509" s="405" t="s">
        <v>47</v>
      </c>
      <c r="AH509" s="405">
        <v>0</v>
      </c>
      <c r="AI509" s="405">
        <v>60</v>
      </c>
      <c r="AJ509" s="405" t="s">
        <v>2820</v>
      </c>
      <c r="AK509" s="405" t="s">
        <v>1130</v>
      </c>
      <c r="AL509" s="425">
        <v>11803</v>
      </c>
      <c r="AM509" s="405" t="s">
        <v>52</v>
      </c>
      <c r="AN509" s="405" t="s">
        <v>1082</v>
      </c>
      <c r="AO509" s="405"/>
      <c r="AP509" s="413"/>
      <c r="AQ509" s="413"/>
      <c r="AR509" s="405"/>
      <c r="AS509" s="386" t="s">
        <v>2818</v>
      </c>
      <c r="AT509" s="281" t="s">
        <v>1073</v>
      </c>
      <c r="AU509" s="403"/>
      <c r="AV509" s="402"/>
      <c r="AW509" s="402"/>
      <c r="AX509" s="402"/>
      <c r="AY509" s="402"/>
      <c r="AZ509" s="402"/>
      <c r="BA509" s="402"/>
      <c r="BB509" s="402"/>
      <c r="BC509" s="402"/>
    </row>
    <row r="510" spans="1:55">
      <c r="A510" s="278">
        <v>19</v>
      </c>
      <c r="B510" s="491"/>
      <c r="C510" s="279"/>
      <c r="D510" s="366" t="s">
        <v>2804</v>
      </c>
      <c r="E510" s="280" t="s">
        <v>4966</v>
      </c>
      <c r="F510" s="405"/>
      <c r="G510" s="405">
        <v>2022</v>
      </c>
      <c r="H510" s="405">
        <v>5</v>
      </c>
      <c r="I510" s="405"/>
      <c r="J510" s="406" t="s">
        <v>4965</v>
      </c>
      <c r="K510" s="405" t="s">
        <v>4533</v>
      </c>
      <c r="L510" s="406" t="s">
        <v>2817</v>
      </c>
      <c r="M510" s="406">
        <v>44683</v>
      </c>
      <c r="N510" s="406">
        <v>44683</v>
      </c>
      <c r="O510" s="406"/>
      <c r="P510" s="406">
        <v>44690</v>
      </c>
      <c r="Q510" s="406">
        <v>44694</v>
      </c>
      <c r="R510" s="406">
        <v>44697</v>
      </c>
      <c r="S510" s="405" t="s">
        <v>1098</v>
      </c>
      <c r="T510" s="405">
        <v>60</v>
      </c>
      <c r="U510" s="405" t="s">
        <v>1237</v>
      </c>
      <c r="V510" s="405" t="s">
        <v>973</v>
      </c>
      <c r="W510" s="407">
        <v>400</v>
      </c>
      <c r="X510" s="371">
        <v>768</v>
      </c>
      <c r="Y510" s="408">
        <f>W510*X510</f>
        <v>307200</v>
      </c>
      <c r="Z510" s="409">
        <v>0.51500000000000001</v>
      </c>
      <c r="AA510" s="410">
        <f>Y510*Z510</f>
        <v>158208</v>
      </c>
      <c r="AB510" s="411"/>
      <c r="AC510" s="412">
        <f>AB510*Y510</f>
        <v>0</v>
      </c>
      <c r="AD510" s="421"/>
      <c r="AE510" s="413"/>
      <c r="AF510" s="424">
        <f>AE510+AD510+AA510</f>
        <v>158208</v>
      </c>
      <c r="AG510" s="405" t="s">
        <v>47</v>
      </c>
      <c r="AH510" s="405">
        <v>0</v>
      </c>
      <c r="AI510" s="405">
        <v>60</v>
      </c>
      <c r="AJ510" s="405" t="s">
        <v>4967</v>
      </c>
      <c r="AK510" s="405" t="s">
        <v>1082</v>
      </c>
      <c r="AL510" s="425">
        <v>1752</v>
      </c>
      <c r="AM510" s="405" t="s">
        <v>52</v>
      </c>
      <c r="AN510" s="405" t="s">
        <v>1082</v>
      </c>
      <c r="AO510" s="405"/>
      <c r="AP510" s="413"/>
      <c r="AQ510" s="413"/>
      <c r="AR510" s="405"/>
      <c r="AS510" s="386" t="s">
        <v>2818</v>
      </c>
      <c r="AT510" s="281" t="s">
        <v>1073</v>
      </c>
      <c r="AU510" s="403"/>
      <c r="AV510" s="402"/>
      <c r="AW510" s="402"/>
      <c r="AX510" s="402"/>
      <c r="AY510" s="402"/>
      <c r="AZ510" s="402"/>
      <c r="BA510" s="402"/>
      <c r="BB510" s="402"/>
      <c r="BC510" s="402"/>
    </row>
    <row r="511" spans="1:55">
      <c r="A511" s="278">
        <v>20</v>
      </c>
      <c r="B511" s="491"/>
      <c r="C511" s="279"/>
      <c r="D511" s="366" t="s">
        <v>2804</v>
      </c>
      <c r="E511" s="280" t="s">
        <v>4897</v>
      </c>
      <c r="F511" s="405"/>
      <c r="G511" s="405">
        <v>2022</v>
      </c>
      <c r="H511" s="405">
        <v>5</v>
      </c>
      <c r="I511" s="405"/>
      <c r="J511" s="406" t="s">
        <v>4964</v>
      </c>
      <c r="K511" s="405" t="s">
        <v>4534</v>
      </c>
      <c r="L511" s="406" t="s">
        <v>2817</v>
      </c>
      <c r="M511" s="406">
        <v>44690</v>
      </c>
      <c r="N511" s="406">
        <v>44690</v>
      </c>
      <c r="O511" s="406"/>
      <c r="P511" s="406">
        <v>44691</v>
      </c>
      <c r="Q511" s="406">
        <v>44694</v>
      </c>
      <c r="R511" s="406">
        <v>44697</v>
      </c>
      <c r="S511" s="405" t="s">
        <v>1098</v>
      </c>
      <c r="T511" s="405">
        <v>60</v>
      </c>
      <c r="U511" s="405" t="s">
        <v>1237</v>
      </c>
      <c r="V511" s="405" t="s">
        <v>973</v>
      </c>
      <c r="W511" s="407">
        <v>400</v>
      </c>
      <c r="X511" s="371">
        <v>768</v>
      </c>
      <c r="Y511" s="408">
        <f>W511*X511</f>
        <v>307200</v>
      </c>
      <c r="Z511" s="409">
        <v>0.51500000000000001</v>
      </c>
      <c r="AA511" s="410">
        <f>Y511*Z511</f>
        <v>158208</v>
      </c>
      <c r="AB511" s="411"/>
      <c r="AC511" s="412">
        <f>AB511*Y511</f>
        <v>0</v>
      </c>
      <c r="AD511" s="421"/>
      <c r="AE511" s="413"/>
      <c r="AF511" s="424">
        <f>AE511+AD511+AA511</f>
        <v>158208</v>
      </c>
      <c r="AG511" s="405" t="s">
        <v>47</v>
      </c>
      <c r="AH511" s="405">
        <v>0</v>
      </c>
      <c r="AI511" s="405">
        <v>60</v>
      </c>
      <c r="AJ511" s="405" t="s">
        <v>1323</v>
      </c>
      <c r="AK511" s="405" t="s">
        <v>1136</v>
      </c>
      <c r="AL511" s="425">
        <v>77041</v>
      </c>
      <c r="AM511" s="405" t="s">
        <v>52</v>
      </c>
      <c r="AN511" s="405" t="s">
        <v>50</v>
      </c>
      <c r="AO511" s="405"/>
      <c r="AP511" s="413"/>
      <c r="AQ511" s="413"/>
      <c r="AR511" s="405"/>
      <c r="AS511" s="386" t="s">
        <v>2818</v>
      </c>
      <c r="AT511" s="281" t="s">
        <v>1073</v>
      </c>
      <c r="AU511" s="403"/>
      <c r="AV511" s="402" t="str">
        <f>U511</f>
        <v>30390456H</v>
      </c>
      <c r="AW511" s="402" cm="1">
        <f t="array" ref="AW511">SUM(MID(0&amp;AV511,LARGE(INDEX(ISNUMBER(--MID(AV511,ROW($1:$8),1))*ROW($1:$8),),ROW($1:$8))+1,1)*10^ROW($1:$8)/10)</f>
        <v>30390456</v>
      </c>
      <c r="AX511" s="402" t="str">
        <f>VLOOKUP($AW511,'Item Master Data'!$A:$F,3,FALSE)</f>
        <v>Q.PEAK DUO BLK ML G10+</v>
      </c>
      <c r="AY511" s="402">
        <f>VLOOKUP($AW511,'Item Master Data'!$A:$F,6,FALSE)</f>
        <v>400</v>
      </c>
      <c r="AZ511" s="402">
        <f>X511/BA511</f>
        <v>24</v>
      </c>
      <c r="BA511" s="402">
        <f>VLOOKUP(AW511,'Item Master Data'!$A:$G,7,FALSE)</f>
        <v>32</v>
      </c>
      <c r="BB511" s="402"/>
      <c r="BC511" s="402">
        <f>W511-AY511</f>
        <v>0</v>
      </c>
    </row>
    <row r="512" spans="1:55">
      <c r="A512" s="278">
        <v>20</v>
      </c>
      <c r="B512" s="491"/>
      <c r="C512" s="279"/>
      <c r="D512" s="366" t="s">
        <v>2804</v>
      </c>
      <c r="E512" s="280" t="s">
        <v>4897</v>
      </c>
      <c r="F512" s="405"/>
      <c r="G512" s="405">
        <v>2022</v>
      </c>
      <c r="H512" s="405">
        <v>5</v>
      </c>
      <c r="I512" s="405"/>
      <c r="J512" s="406" t="s">
        <v>4964</v>
      </c>
      <c r="K512" s="405" t="s">
        <v>4535</v>
      </c>
      <c r="L512" s="406" t="s">
        <v>2817</v>
      </c>
      <c r="M512" s="406">
        <v>44690</v>
      </c>
      <c r="N512" s="406">
        <v>44690</v>
      </c>
      <c r="O512" s="406"/>
      <c r="P512" s="406">
        <v>44691</v>
      </c>
      <c r="Q512" s="406"/>
      <c r="R512" s="406"/>
      <c r="S512" s="405" t="s">
        <v>1098</v>
      </c>
      <c r="T512" s="405">
        <v>60</v>
      </c>
      <c r="U512" s="405" t="s">
        <v>1237</v>
      </c>
      <c r="V512" s="405" t="s">
        <v>973</v>
      </c>
      <c r="W512" s="407">
        <v>400</v>
      </c>
      <c r="X512" s="371">
        <v>768</v>
      </c>
      <c r="Y512" s="408">
        <f>W512*X512</f>
        <v>307200</v>
      </c>
      <c r="Z512" s="409">
        <v>0.51500000000000001</v>
      </c>
      <c r="AA512" s="410">
        <f>Y512*Z512</f>
        <v>158208</v>
      </c>
      <c r="AB512" s="411"/>
      <c r="AC512" s="412">
        <f>AB512*Y512</f>
        <v>0</v>
      </c>
      <c r="AD512" s="421"/>
      <c r="AE512" s="413"/>
      <c r="AF512" s="424">
        <f>AE512+AD512+AA512</f>
        <v>158208</v>
      </c>
      <c r="AG512" s="405" t="s">
        <v>47</v>
      </c>
      <c r="AH512" s="405">
        <v>0</v>
      </c>
      <c r="AI512" s="405">
        <v>60</v>
      </c>
      <c r="AJ512" s="405" t="s">
        <v>2522</v>
      </c>
      <c r="AK512" s="405" t="s">
        <v>1136</v>
      </c>
      <c r="AL512" s="425">
        <v>75261</v>
      </c>
      <c r="AM512" s="405" t="s">
        <v>52</v>
      </c>
      <c r="AN512" s="405" t="s">
        <v>50</v>
      </c>
      <c r="AO512" s="405"/>
      <c r="AP512" s="413"/>
      <c r="AQ512" s="413"/>
      <c r="AR512" s="405"/>
      <c r="AS512" s="386" t="s">
        <v>2818</v>
      </c>
      <c r="AT512" s="281" t="s">
        <v>1073</v>
      </c>
      <c r="AU512" s="403"/>
      <c r="AV512" s="402" t="str">
        <f>U512</f>
        <v>30390456H</v>
      </c>
      <c r="AW512" s="402" cm="1">
        <f t="array" ref="AW512">SUM(MID(0&amp;AV512,LARGE(INDEX(ISNUMBER(--MID(AV512,ROW($1:$8),1))*ROW($1:$8),),ROW($1:$8))+1,1)*10^ROW($1:$8)/10)</f>
        <v>30390456</v>
      </c>
      <c r="AX512" s="402" t="str">
        <f>VLOOKUP($AW512,'Item Master Data'!$A:$F,3,FALSE)</f>
        <v>Q.PEAK DUO BLK ML G10+</v>
      </c>
      <c r="AY512" s="402">
        <f>VLOOKUP($AW512,'Item Master Data'!$A:$F,6,FALSE)</f>
        <v>400</v>
      </c>
      <c r="AZ512" s="402">
        <f>X512/BA512</f>
        <v>24</v>
      </c>
      <c r="BA512" s="402">
        <f>VLOOKUP(AW512,'Item Master Data'!$A:$G,7,FALSE)</f>
        <v>32</v>
      </c>
      <c r="BB512" s="402"/>
      <c r="BC512" s="402">
        <f>W512-AY512</f>
        <v>0</v>
      </c>
    </row>
    <row r="513" spans="1:55">
      <c r="A513" s="278">
        <v>20</v>
      </c>
      <c r="B513" s="491"/>
      <c r="C513" s="279"/>
      <c r="D513" s="366" t="s">
        <v>2804</v>
      </c>
      <c r="E513" s="280" t="s">
        <v>4897</v>
      </c>
      <c r="F513" s="405"/>
      <c r="G513" s="405">
        <v>2022</v>
      </c>
      <c r="H513" s="405">
        <v>5</v>
      </c>
      <c r="I513" s="405"/>
      <c r="J513" s="406" t="s">
        <v>4965</v>
      </c>
      <c r="K513" s="405" t="s">
        <v>4536</v>
      </c>
      <c r="L513" s="406" t="s">
        <v>2817</v>
      </c>
      <c r="M513" s="406">
        <v>44690</v>
      </c>
      <c r="N513" s="406">
        <v>44690</v>
      </c>
      <c r="O513" s="406"/>
      <c r="P513" s="406">
        <v>44691</v>
      </c>
      <c r="Q513" s="406"/>
      <c r="R513" s="406"/>
      <c r="S513" s="405" t="s">
        <v>1098</v>
      </c>
      <c r="T513" s="405">
        <v>60</v>
      </c>
      <c r="U513" s="405" t="s">
        <v>1237</v>
      </c>
      <c r="V513" s="405" t="s">
        <v>973</v>
      </c>
      <c r="W513" s="407">
        <v>400</v>
      </c>
      <c r="X513" s="371">
        <v>768</v>
      </c>
      <c r="Y513" s="408">
        <f>W513*X513</f>
        <v>307200</v>
      </c>
      <c r="Z513" s="409">
        <v>0.51500000000000001</v>
      </c>
      <c r="AA513" s="410">
        <f>Y513*Z513</f>
        <v>158208</v>
      </c>
      <c r="AB513" s="411"/>
      <c r="AC513" s="412">
        <f>AB513*Y513</f>
        <v>0</v>
      </c>
      <c r="AD513" s="421"/>
      <c r="AE513" s="413"/>
      <c r="AF513" s="424">
        <f>AE513+AD513+AA513</f>
        <v>158208</v>
      </c>
      <c r="AG513" s="405" t="s">
        <v>47</v>
      </c>
      <c r="AH513" s="405">
        <v>0</v>
      </c>
      <c r="AI513" s="405">
        <v>60</v>
      </c>
      <c r="AJ513" s="405" t="s">
        <v>2820</v>
      </c>
      <c r="AK513" s="405" t="s">
        <v>1130</v>
      </c>
      <c r="AL513" s="425">
        <v>11803</v>
      </c>
      <c r="AM513" s="405" t="s">
        <v>52</v>
      </c>
      <c r="AN513" s="405" t="s">
        <v>1082</v>
      </c>
      <c r="AO513" s="405"/>
      <c r="AP513" s="413"/>
      <c r="AQ513" s="413"/>
      <c r="AR513" s="405"/>
      <c r="AS513" s="386" t="s">
        <v>2818</v>
      </c>
      <c r="AT513" s="281" t="s">
        <v>1073</v>
      </c>
      <c r="AU513" s="403"/>
      <c r="AV513" s="402" t="str">
        <f>U513</f>
        <v>30390456H</v>
      </c>
      <c r="AW513" s="402" cm="1">
        <f t="array" ref="AW513">SUM(MID(0&amp;AV513,LARGE(INDEX(ISNUMBER(--MID(AV513,ROW($1:$8),1))*ROW($1:$8),),ROW($1:$8))+1,1)*10^ROW($1:$8)/10)</f>
        <v>30390456</v>
      </c>
      <c r="AX513" s="402" t="str">
        <f>VLOOKUP($AW513,'Item Master Data'!$A:$F,3,FALSE)</f>
        <v>Q.PEAK DUO BLK ML G10+</v>
      </c>
      <c r="AY513" s="402">
        <f>VLOOKUP($AW513,'Item Master Data'!$A:$F,6,FALSE)</f>
        <v>400</v>
      </c>
      <c r="AZ513" s="402">
        <f>X513/BA513</f>
        <v>24</v>
      </c>
      <c r="BA513" s="402">
        <f>VLOOKUP(AW513,'Item Master Data'!$A:$G,7,FALSE)</f>
        <v>32</v>
      </c>
      <c r="BB513" s="402"/>
      <c r="BC513" s="402">
        <f>W513-AY513</f>
        <v>0</v>
      </c>
    </row>
    <row r="514" spans="1:55">
      <c r="A514" s="278"/>
      <c r="B514" s="491"/>
      <c r="C514" s="279"/>
      <c r="D514" s="366" t="s">
        <v>2804</v>
      </c>
      <c r="E514" s="280"/>
      <c r="F514" s="405"/>
      <c r="G514" s="405">
        <v>2022</v>
      </c>
      <c r="H514" s="405">
        <v>5</v>
      </c>
      <c r="I514" s="405"/>
      <c r="J514" s="406"/>
      <c r="K514" s="509" t="s">
        <v>4905</v>
      </c>
      <c r="L514" s="510" t="s">
        <v>2817</v>
      </c>
      <c r="M514" s="406">
        <v>44692</v>
      </c>
      <c r="N514" s="406">
        <v>44692</v>
      </c>
      <c r="O514" s="406"/>
      <c r="P514" s="406" t="s">
        <v>4899</v>
      </c>
      <c r="Q514" s="406"/>
      <c r="R514" s="406"/>
      <c r="S514" s="405" t="s">
        <v>1098</v>
      </c>
      <c r="T514" s="405">
        <v>60</v>
      </c>
      <c r="U514" s="405"/>
      <c r="V514" s="405" t="s">
        <v>973</v>
      </c>
      <c r="W514" s="407">
        <v>400</v>
      </c>
      <c r="X514" s="371">
        <v>768</v>
      </c>
      <c r="Y514" s="408">
        <f>W514*X514</f>
        <v>307200</v>
      </c>
      <c r="Z514" s="409">
        <v>0.51500000000000001</v>
      </c>
      <c r="AA514" s="410">
        <f>Y514*Z514</f>
        <v>158208</v>
      </c>
      <c r="AB514" s="411"/>
      <c r="AC514" s="412">
        <f>AB514*Y514</f>
        <v>0</v>
      </c>
      <c r="AD514" s="421"/>
      <c r="AE514" s="413"/>
      <c r="AF514" s="424">
        <f>AE514+AD514+AA514</f>
        <v>158208</v>
      </c>
      <c r="AG514" s="405" t="s">
        <v>47</v>
      </c>
      <c r="AH514" s="405">
        <v>0</v>
      </c>
      <c r="AI514" s="405">
        <v>60</v>
      </c>
      <c r="AJ514" s="405" t="s">
        <v>2522</v>
      </c>
      <c r="AK514" s="405" t="s">
        <v>1136</v>
      </c>
      <c r="AL514" s="425">
        <v>75261</v>
      </c>
      <c r="AM514" s="405" t="s">
        <v>52</v>
      </c>
      <c r="AN514" s="405"/>
      <c r="AO514" s="405"/>
      <c r="AP514" s="413"/>
      <c r="AQ514" s="413"/>
      <c r="AR514" s="405"/>
      <c r="AS514" s="386" t="s">
        <v>2818</v>
      </c>
      <c r="AT514" s="281" t="s">
        <v>1073</v>
      </c>
      <c r="AU514" s="403"/>
      <c r="AV514" s="402"/>
      <c r="AW514" s="402"/>
      <c r="AX514" s="402"/>
      <c r="AY514" s="402"/>
      <c r="AZ514" s="402"/>
      <c r="BA514" s="402"/>
      <c r="BB514" s="402"/>
      <c r="BC514" s="402"/>
    </row>
    <row r="515" spans="1:55">
      <c r="A515" s="278"/>
      <c r="B515" s="491"/>
      <c r="C515" s="279"/>
      <c r="D515" s="366" t="s">
        <v>2804</v>
      </c>
      <c r="E515" s="280"/>
      <c r="F515" s="405"/>
      <c r="G515" s="405">
        <v>2022</v>
      </c>
      <c r="H515" s="405">
        <v>5</v>
      </c>
      <c r="I515" s="405"/>
      <c r="J515" s="406"/>
      <c r="K515" s="509" t="s">
        <v>4906</v>
      </c>
      <c r="L515" s="510" t="s">
        <v>2817</v>
      </c>
      <c r="M515" s="406">
        <v>44692</v>
      </c>
      <c r="N515" s="406">
        <v>44692</v>
      </c>
      <c r="O515" s="406"/>
      <c r="P515" s="406" t="s">
        <v>4899</v>
      </c>
      <c r="Q515" s="406"/>
      <c r="R515" s="406"/>
      <c r="S515" s="405" t="s">
        <v>1098</v>
      </c>
      <c r="T515" s="405">
        <v>60</v>
      </c>
      <c r="U515" s="405"/>
      <c r="V515" s="405" t="s">
        <v>973</v>
      </c>
      <c r="W515" s="407">
        <v>400</v>
      </c>
      <c r="X515" s="371">
        <v>768</v>
      </c>
      <c r="Y515" s="408">
        <f>W515*X515</f>
        <v>307200</v>
      </c>
      <c r="Z515" s="409">
        <v>0.51500000000000001</v>
      </c>
      <c r="AA515" s="410">
        <f>Y515*Z515</f>
        <v>158208</v>
      </c>
      <c r="AB515" s="411"/>
      <c r="AC515" s="412">
        <f>AB515*Y515</f>
        <v>0</v>
      </c>
      <c r="AD515" s="421"/>
      <c r="AE515" s="413"/>
      <c r="AF515" s="424">
        <f>AE515+AD515+AA515</f>
        <v>158208</v>
      </c>
      <c r="AG515" s="405" t="s">
        <v>47</v>
      </c>
      <c r="AH515" s="405">
        <v>0</v>
      </c>
      <c r="AI515" s="405">
        <v>60</v>
      </c>
      <c r="AJ515" s="405" t="s">
        <v>2819</v>
      </c>
      <c r="AK515" s="405" t="s">
        <v>1082</v>
      </c>
      <c r="AL515" s="425">
        <v>8840</v>
      </c>
      <c r="AM515" s="405" t="s">
        <v>52</v>
      </c>
      <c r="AN515" s="405"/>
      <c r="AO515" s="405"/>
      <c r="AP515" s="413"/>
      <c r="AQ515" s="413"/>
      <c r="AR515" s="405"/>
      <c r="AS515" s="386" t="s">
        <v>2818</v>
      </c>
      <c r="AT515" s="281" t="s">
        <v>1073</v>
      </c>
      <c r="AU515" s="403"/>
      <c r="AV515" s="402">
        <f>U515</f>
        <v>0</v>
      </c>
      <c r="AW515" s="402" cm="1">
        <f t="array" ref="AW515">SUM(MID(0&amp;AV515,LARGE(INDEX(ISNUMBER(--MID(AV515,ROW($1:$8),1))*ROW($1:$8),),ROW($1:$8))+1,1)*10^ROW($1:$8)/10)</f>
        <v>0</v>
      </c>
      <c r="AX515" s="402" t="e">
        <f>VLOOKUP($AW515,'Item Master Data'!$A:$F,3,FALSE)</f>
        <v>#N/A</v>
      </c>
      <c r="AY515" s="402" t="e">
        <f>VLOOKUP($AW515,'Item Master Data'!$A:$F,6,FALSE)</f>
        <v>#N/A</v>
      </c>
      <c r="AZ515" s="402" t="e">
        <f>X515/BA515</f>
        <v>#N/A</v>
      </c>
      <c r="BA515" s="402" t="e">
        <f>VLOOKUP(AW515,'Item Master Data'!$A:$G,7,FALSE)</f>
        <v>#N/A</v>
      </c>
      <c r="BB515" s="402"/>
      <c r="BC515" s="402" t="e">
        <f>W515-AY515</f>
        <v>#N/A</v>
      </c>
    </row>
    <row r="516" spans="1:55">
      <c r="A516" s="278"/>
      <c r="B516" s="491"/>
      <c r="C516" s="279"/>
      <c r="D516" s="366" t="s">
        <v>2804</v>
      </c>
      <c r="E516" s="280"/>
      <c r="F516" s="405"/>
      <c r="G516" s="405">
        <v>2022</v>
      </c>
      <c r="H516" s="405">
        <v>5</v>
      </c>
      <c r="I516" s="405"/>
      <c r="J516" s="406"/>
      <c r="K516" s="509" t="s">
        <v>4907</v>
      </c>
      <c r="L516" s="510" t="s">
        <v>2817</v>
      </c>
      <c r="M516" s="406">
        <v>44692</v>
      </c>
      <c r="N516" s="406">
        <v>44692</v>
      </c>
      <c r="O516" s="406"/>
      <c r="P516" s="406" t="s">
        <v>4899</v>
      </c>
      <c r="Q516" s="406"/>
      <c r="R516" s="406"/>
      <c r="S516" s="405" t="s">
        <v>1098</v>
      </c>
      <c r="T516" s="405">
        <v>60</v>
      </c>
      <c r="U516" s="405"/>
      <c r="V516" s="405" t="s">
        <v>973</v>
      </c>
      <c r="W516" s="407">
        <v>400</v>
      </c>
      <c r="X516" s="371">
        <v>768</v>
      </c>
      <c r="Y516" s="408">
        <f>W516*X516</f>
        <v>307200</v>
      </c>
      <c r="Z516" s="409">
        <v>0.51500000000000001</v>
      </c>
      <c r="AA516" s="410">
        <f>Y516*Z516</f>
        <v>158208</v>
      </c>
      <c r="AB516" s="411"/>
      <c r="AC516" s="412">
        <f>AB516*Y516</f>
        <v>0</v>
      </c>
      <c r="AD516" s="421"/>
      <c r="AE516" s="413"/>
      <c r="AF516" s="424">
        <f>AE516+AD516+AA516</f>
        <v>158208</v>
      </c>
      <c r="AG516" s="405" t="s">
        <v>47</v>
      </c>
      <c r="AH516" s="405">
        <v>0</v>
      </c>
      <c r="AI516" s="405">
        <v>60</v>
      </c>
      <c r="AJ516" s="405" t="s">
        <v>1881</v>
      </c>
      <c r="AK516" s="405" t="s">
        <v>1081</v>
      </c>
      <c r="AL516" s="425">
        <v>32822</v>
      </c>
      <c r="AM516" s="405" t="s">
        <v>52</v>
      </c>
      <c r="AN516" s="405"/>
      <c r="AO516" s="405"/>
      <c r="AP516" s="413"/>
      <c r="AQ516" s="413"/>
      <c r="AR516" s="405"/>
      <c r="AS516" s="386" t="s">
        <v>2818</v>
      </c>
      <c r="AT516" s="281" t="s">
        <v>1073</v>
      </c>
      <c r="AU516" s="403"/>
      <c r="AV516" s="402">
        <f>U516</f>
        <v>0</v>
      </c>
      <c r="AW516" s="402" cm="1">
        <f t="array" ref="AW516">SUM(MID(0&amp;AV516,LARGE(INDEX(ISNUMBER(--MID(AV516,ROW($1:$8),1))*ROW($1:$8),),ROW($1:$8))+1,1)*10^ROW($1:$8)/10)</f>
        <v>0</v>
      </c>
      <c r="AX516" s="402" t="e">
        <f>VLOOKUP($AW516,'Item Master Data'!$A:$F,3,FALSE)</f>
        <v>#N/A</v>
      </c>
      <c r="AY516" s="402" t="e">
        <f>VLOOKUP($AW516,'Item Master Data'!$A:$F,6,FALSE)</f>
        <v>#N/A</v>
      </c>
      <c r="AZ516" s="402" t="e">
        <f>X516/BA516</f>
        <v>#N/A</v>
      </c>
      <c r="BA516" s="402" t="e">
        <f>VLOOKUP(AW516,'Item Master Data'!$A:$G,7,FALSE)</f>
        <v>#N/A</v>
      </c>
      <c r="BB516" s="402"/>
      <c r="BC516" s="402" t="e">
        <f>W516-AY516</f>
        <v>#N/A</v>
      </c>
    </row>
    <row r="517" spans="1:55">
      <c r="A517" s="278"/>
      <c r="B517" s="491"/>
      <c r="C517" s="279"/>
      <c r="D517" s="366" t="s">
        <v>2804</v>
      </c>
      <c r="E517" s="280"/>
      <c r="F517" s="405"/>
      <c r="G517" s="405">
        <v>2022</v>
      </c>
      <c r="H517" s="405">
        <v>5</v>
      </c>
      <c r="I517" s="405"/>
      <c r="J517" s="406"/>
      <c r="K517" s="509" t="s">
        <v>4908</v>
      </c>
      <c r="L517" s="510" t="s">
        <v>2817</v>
      </c>
      <c r="M517" s="406">
        <v>44692</v>
      </c>
      <c r="N517" s="406">
        <v>44692</v>
      </c>
      <c r="O517" s="406"/>
      <c r="P517" s="406" t="s">
        <v>4899</v>
      </c>
      <c r="Q517" s="406"/>
      <c r="R517" s="406"/>
      <c r="S517" s="405" t="s">
        <v>1098</v>
      </c>
      <c r="T517" s="405">
        <v>60</v>
      </c>
      <c r="U517" s="405"/>
      <c r="V517" s="405" t="s">
        <v>973</v>
      </c>
      <c r="W517" s="407">
        <v>400</v>
      </c>
      <c r="X517" s="371">
        <v>768</v>
      </c>
      <c r="Y517" s="408">
        <f>W517*X517</f>
        <v>307200</v>
      </c>
      <c r="Z517" s="409">
        <v>0.51500000000000001</v>
      </c>
      <c r="AA517" s="410">
        <f>Y517*Z517</f>
        <v>158208</v>
      </c>
      <c r="AB517" s="411"/>
      <c r="AC517" s="412">
        <f>AB517*Y517</f>
        <v>0</v>
      </c>
      <c r="AD517" s="421"/>
      <c r="AE517" s="413"/>
      <c r="AF517" s="424">
        <f>AE517+AD517+AA517</f>
        <v>158208</v>
      </c>
      <c r="AG517" s="405" t="s">
        <v>47</v>
      </c>
      <c r="AH517" s="405">
        <v>0</v>
      </c>
      <c r="AI517" s="405">
        <v>60</v>
      </c>
      <c r="AJ517" s="405" t="s">
        <v>1454</v>
      </c>
      <c r="AK517" s="405" t="s">
        <v>1136</v>
      </c>
      <c r="AL517" s="425">
        <v>78767</v>
      </c>
      <c r="AM517" s="405" t="s">
        <v>52</v>
      </c>
      <c r="AN517" s="405"/>
      <c r="AO517" s="405"/>
      <c r="AP517" s="413"/>
      <c r="AQ517" s="413"/>
      <c r="AR517" s="405"/>
      <c r="AS517" s="386" t="s">
        <v>2818</v>
      </c>
      <c r="AT517" s="281" t="s">
        <v>1073</v>
      </c>
      <c r="AU517" s="403"/>
      <c r="AV517" s="402">
        <f>U517</f>
        <v>0</v>
      </c>
      <c r="AW517" s="402" cm="1">
        <f t="array" ref="AW517">SUM(MID(0&amp;AV517,LARGE(INDEX(ISNUMBER(--MID(AV517,ROW($1:$8),1))*ROW($1:$8),),ROW($1:$8))+1,1)*10^ROW($1:$8)/10)</f>
        <v>0</v>
      </c>
      <c r="AX517" s="402" t="e">
        <f>VLOOKUP($AW517,'Item Master Data'!$A:$F,3,FALSE)</f>
        <v>#N/A</v>
      </c>
      <c r="AY517" s="402" t="e">
        <f>VLOOKUP($AW517,'Item Master Data'!$A:$F,6,FALSE)</f>
        <v>#N/A</v>
      </c>
      <c r="AZ517" s="402" t="e">
        <f>X517/BA517</f>
        <v>#N/A</v>
      </c>
      <c r="BA517" s="402" t="e">
        <f>VLOOKUP(AW517,'Item Master Data'!$A:$G,7,FALSE)</f>
        <v>#N/A</v>
      </c>
      <c r="BB517" s="402"/>
      <c r="BC517" s="402" t="e">
        <f>W517-AY517</f>
        <v>#N/A</v>
      </c>
    </row>
    <row r="518" spans="1:55">
      <c r="A518" s="278">
        <v>18</v>
      </c>
      <c r="B518" s="491"/>
      <c r="C518" s="279" t="s">
        <v>1186</v>
      </c>
      <c r="D518" s="366" t="s">
        <v>2804</v>
      </c>
      <c r="E518" s="283" t="s">
        <v>4912</v>
      </c>
      <c r="F518" s="405"/>
      <c r="G518" s="405">
        <v>2022</v>
      </c>
      <c r="H518" s="405">
        <v>5</v>
      </c>
      <c r="I518" s="405"/>
      <c r="J518" s="406"/>
      <c r="K518" s="405" t="s">
        <v>2863</v>
      </c>
      <c r="L518" s="406" t="s">
        <v>2817</v>
      </c>
      <c r="M518" s="406">
        <v>44599</v>
      </c>
      <c r="N518" s="406">
        <v>44610</v>
      </c>
      <c r="O518" s="406"/>
      <c r="P518" s="406">
        <v>44666</v>
      </c>
      <c r="Q518" s="406">
        <v>44680</v>
      </c>
      <c r="R518" s="406">
        <v>44683</v>
      </c>
      <c r="S518" s="405" t="s">
        <v>1098</v>
      </c>
      <c r="T518" s="405">
        <v>60</v>
      </c>
      <c r="U518" s="405">
        <v>49203132</v>
      </c>
      <c r="V518" s="405" t="s">
        <v>986</v>
      </c>
      <c r="W518" s="407">
        <v>360</v>
      </c>
      <c r="X518" s="371">
        <v>832</v>
      </c>
      <c r="Y518" s="408">
        <f>W518*X518</f>
        <v>299520</v>
      </c>
      <c r="Z518" s="409">
        <v>0.47499999999999998</v>
      </c>
      <c r="AA518" s="410">
        <f>Y518*Z518</f>
        <v>142272</v>
      </c>
      <c r="AB518" s="411"/>
      <c r="AC518" s="412">
        <f>AB518*Y518</f>
        <v>0</v>
      </c>
      <c r="AD518" s="421"/>
      <c r="AE518" s="413"/>
      <c r="AF518" s="424">
        <f>AE518+AD518+AA518</f>
        <v>142272</v>
      </c>
      <c r="AG518" s="405" t="s">
        <v>47</v>
      </c>
      <c r="AH518" s="405">
        <v>0</v>
      </c>
      <c r="AI518" s="405">
        <v>60</v>
      </c>
      <c r="AJ518" s="405" t="s">
        <v>2819</v>
      </c>
      <c r="AK518" s="405" t="s">
        <v>1082</v>
      </c>
      <c r="AL518" s="425">
        <v>8840</v>
      </c>
      <c r="AM518" s="405" t="s">
        <v>52</v>
      </c>
      <c r="AN518" s="405" t="s">
        <v>1101</v>
      </c>
      <c r="AO518" s="405"/>
      <c r="AP518" s="413"/>
      <c r="AQ518" s="413" t="s">
        <v>37</v>
      </c>
      <c r="AR518" s="405"/>
      <c r="AS518" s="386" t="s">
        <v>2818</v>
      </c>
      <c r="AT518" s="281" t="s">
        <v>1073</v>
      </c>
      <c r="AU518" s="403" t="s">
        <v>4374</v>
      </c>
      <c r="AV518" s="402">
        <f>U518</f>
        <v>49203132</v>
      </c>
      <c r="AW518" s="402" cm="1">
        <f t="array" ref="AW518">SUM(MID(0&amp;AV518,LARGE(INDEX(ISNUMBER(--MID(AV518,ROW($1:$8),1))*ROW($1:$8),),ROW($1:$8))+1,1)*10^ROW($1:$8)/10)</f>
        <v>49203132</v>
      </c>
      <c r="AX518" s="402" t="str">
        <f>VLOOKUP($AW518,'Item Master Data'!$A:$F,3,FALSE)</f>
        <v>Q.PEAK DUO BLK G10+</v>
      </c>
      <c r="AY518" s="402">
        <f>VLOOKUP($AW518,'Item Master Data'!$A:$F,6,FALSE)</f>
        <v>360</v>
      </c>
      <c r="AZ518" s="402">
        <f>X518/BA518</f>
        <v>26</v>
      </c>
      <c r="BA518" s="402">
        <f>VLOOKUP(AW518,'Item Master Data'!$A:$G,7,FALSE)</f>
        <v>32</v>
      </c>
      <c r="BB518" s="402"/>
      <c r="BC518" s="402">
        <f>W518-AY518</f>
        <v>0</v>
      </c>
    </row>
    <row r="519" spans="1:55">
      <c r="A519" s="278">
        <v>18</v>
      </c>
      <c r="B519" s="491"/>
      <c r="C519" s="279"/>
      <c r="D519" s="366" t="s">
        <v>2804</v>
      </c>
      <c r="E519" s="283" t="s">
        <v>4912</v>
      </c>
      <c r="F519" s="405"/>
      <c r="G519" s="405">
        <v>2022</v>
      </c>
      <c r="H519" s="405">
        <v>5</v>
      </c>
      <c r="I519" s="405"/>
      <c r="J519" s="406"/>
      <c r="K519" s="405" t="s">
        <v>2864</v>
      </c>
      <c r="L519" s="406" t="s">
        <v>2817</v>
      </c>
      <c r="M519" s="406">
        <v>44624</v>
      </c>
      <c r="N519" s="406">
        <v>44631</v>
      </c>
      <c r="O519" s="406"/>
      <c r="P519" s="406">
        <v>44657</v>
      </c>
      <c r="Q519" s="406">
        <v>44683</v>
      </c>
      <c r="R519" s="406">
        <v>44685</v>
      </c>
      <c r="S519" s="405" t="s">
        <v>1098</v>
      </c>
      <c r="T519" s="405">
        <v>60</v>
      </c>
      <c r="U519" s="405">
        <v>49203132</v>
      </c>
      <c r="V519" s="405" t="s">
        <v>986</v>
      </c>
      <c r="W519" s="407">
        <v>360</v>
      </c>
      <c r="X519" s="371">
        <v>896</v>
      </c>
      <c r="Y519" s="408">
        <f>W519*X519</f>
        <v>322560</v>
      </c>
      <c r="Z519" s="409">
        <v>0.47499999999999998</v>
      </c>
      <c r="AA519" s="410">
        <f>Y519*Z519</f>
        <v>153216</v>
      </c>
      <c r="AB519" s="411"/>
      <c r="AC519" s="412">
        <f>AB519*Y519</f>
        <v>0</v>
      </c>
      <c r="AD519" s="421"/>
      <c r="AE519" s="413"/>
      <c r="AF519" s="424">
        <f>AE519+AD519+AA519</f>
        <v>153216</v>
      </c>
      <c r="AG519" s="405" t="s">
        <v>47</v>
      </c>
      <c r="AH519" s="405">
        <v>0</v>
      </c>
      <c r="AI519" s="405">
        <v>60</v>
      </c>
      <c r="AJ519" s="405" t="s">
        <v>1454</v>
      </c>
      <c r="AK519" s="405" t="s">
        <v>1136</v>
      </c>
      <c r="AL519" s="425">
        <v>78764</v>
      </c>
      <c r="AM519" s="405" t="s">
        <v>52</v>
      </c>
      <c r="AN519" s="405" t="s">
        <v>1101</v>
      </c>
      <c r="AO519" s="405"/>
      <c r="AP519" s="413"/>
      <c r="AQ519" s="413" t="s">
        <v>37</v>
      </c>
      <c r="AR519" s="405"/>
      <c r="AS519" s="386" t="s">
        <v>2818</v>
      </c>
      <c r="AT519" s="281" t="s">
        <v>1073</v>
      </c>
      <c r="AU519" s="403"/>
      <c r="AV519" s="402">
        <f>U519</f>
        <v>49203132</v>
      </c>
      <c r="AW519" s="402" cm="1">
        <f t="array" ref="AW519">SUM(MID(0&amp;AV519,LARGE(INDEX(ISNUMBER(--MID(AV519,ROW($1:$8),1))*ROW($1:$8),),ROW($1:$8))+1,1)*10^ROW($1:$8)/10)</f>
        <v>49203132</v>
      </c>
      <c r="AX519" s="402" t="str">
        <f>VLOOKUP($AW519,'Item Master Data'!$A:$F,3,FALSE)</f>
        <v>Q.PEAK DUO BLK G10+</v>
      </c>
      <c r="AY519" s="402">
        <f>VLOOKUP($AW519,'Item Master Data'!$A:$F,6,FALSE)</f>
        <v>360</v>
      </c>
      <c r="AZ519" s="402">
        <f>X519/BA519</f>
        <v>28</v>
      </c>
      <c r="BA519" s="402">
        <f>VLOOKUP(AW519,'Item Master Data'!$A:$G,7,FALSE)</f>
        <v>32</v>
      </c>
      <c r="BB519" s="402"/>
      <c r="BC519" s="402">
        <f>W519-AY519</f>
        <v>0</v>
      </c>
    </row>
    <row r="520" spans="1:55">
      <c r="A520" s="278">
        <v>18</v>
      </c>
      <c r="B520" s="491"/>
      <c r="C520" s="279"/>
      <c r="D520" s="366" t="s">
        <v>2804</v>
      </c>
      <c r="E520" s="283" t="s">
        <v>4912</v>
      </c>
      <c r="F520" s="405"/>
      <c r="G520" s="405">
        <v>2022</v>
      </c>
      <c r="H520" s="405">
        <v>5</v>
      </c>
      <c r="I520" s="405"/>
      <c r="J520" s="406"/>
      <c r="K520" s="405" t="s">
        <v>2865</v>
      </c>
      <c r="L520" s="406" t="s">
        <v>2817</v>
      </c>
      <c r="M520" s="406">
        <v>44624</v>
      </c>
      <c r="N520" s="406">
        <v>44631</v>
      </c>
      <c r="O520" s="406"/>
      <c r="P520" s="406">
        <v>44663</v>
      </c>
      <c r="Q520" s="406">
        <v>44677</v>
      </c>
      <c r="R520" s="406">
        <v>44683</v>
      </c>
      <c r="S520" s="405" t="s">
        <v>1098</v>
      </c>
      <c r="T520" s="405">
        <v>60</v>
      </c>
      <c r="U520" s="405">
        <v>49203132</v>
      </c>
      <c r="V520" s="405" t="s">
        <v>986</v>
      </c>
      <c r="W520" s="407">
        <v>360</v>
      </c>
      <c r="X520" s="371">
        <v>832</v>
      </c>
      <c r="Y520" s="408">
        <f>W520*X520</f>
        <v>299520</v>
      </c>
      <c r="Z520" s="409">
        <v>0.47499999999999998</v>
      </c>
      <c r="AA520" s="410">
        <f>Y520*Z520</f>
        <v>142272</v>
      </c>
      <c r="AB520" s="411"/>
      <c r="AC520" s="412">
        <f>AB520*Y520</f>
        <v>0</v>
      </c>
      <c r="AD520" s="421"/>
      <c r="AE520" s="413"/>
      <c r="AF520" s="424">
        <f>AE520+AD520+AA520</f>
        <v>142272</v>
      </c>
      <c r="AG520" s="405" t="s">
        <v>47</v>
      </c>
      <c r="AH520" s="405">
        <v>0</v>
      </c>
      <c r="AI520" s="405">
        <v>60</v>
      </c>
      <c r="AJ520" s="405" t="s">
        <v>1933</v>
      </c>
      <c r="AK520" s="405" t="s">
        <v>1328</v>
      </c>
      <c r="AL520" s="425">
        <v>89118</v>
      </c>
      <c r="AM520" s="405" t="s">
        <v>52</v>
      </c>
      <c r="AN520" s="405" t="s">
        <v>1101</v>
      </c>
      <c r="AO520" s="405"/>
      <c r="AP520" s="413"/>
      <c r="AQ520" s="413" t="s">
        <v>37</v>
      </c>
      <c r="AR520" s="405"/>
      <c r="AS520" s="386" t="s">
        <v>2818</v>
      </c>
      <c r="AT520" s="281" t="s">
        <v>1073</v>
      </c>
      <c r="AU520" s="403"/>
      <c r="AV520" s="402"/>
      <c r="AW520" s="402"/>
      <c r="AX520" s="402"/>
      <c r="AY520" s="402"/>
      <c r="AZ520" s="402"/>
      <c r="BA520" s="402"/>
      <c r="BB520" s="402"/>
      <c r="BC520" s="402"/>
    </row>
    <row r="521" spans="1:55">
      <c r="A521" s="278"/>
      <c r="B521" s="279"/>
      <c r="C521" s="279"/>
      <c r="D521" s="366" t="s">
        <v>2804</v>
      </c>
      <c r="E521" s="280" t="s">
        <v>4968</v>
      </c>
      <c r="F521" s="405"/>
      <c r="G521" s="405">
        <v>2022</v>
      </c>
      <c r="H521" s="405">
        <v>5</v>
      </c>
      <c r="I521" s="416"/>
      <c r="J521" s="406"/>
      <c r="K521" s="405" t="s">
        <v>4969</v>
      </c>
      <c r="L521" s="405" t="s">
        <v>2817</v>
      </c>
      <c r="M521" s="406">
        <v>44637</v>
      </c>
      <c r="N521" s="406">
        <v>44641</v>
      </c>
      <c r="O521" s="406"/>
      <c r="P521" s="406">
        <v>44671</v>
      </c>
      <c r="Q521" s="406">
        <v>44683</v>
      </c>
      <c r="R521" s="418">
        <v>44685</v>
      </c>
      <c r="S521" s="405" t="s">
        <v>1098</v>
      </c>
      <c r="T521" s="405">
        <v>60</v>
      </c>
      <c r="U521" s="417">
        <v>49203132</v>
      </c>
      <c r="V521" s="405" t="s">
        <v>986</v>
      </c>
      <c r="W521" s="416">
        <v>360</v>
      </c>
      <c r="X521" s="524">
        <v>832</v>
      </c>
      <c r="Y521" s="408">
        <f>W521*X521</f>
        <v>299520</v>
      </c>
      <c r="Z521" s="409">
        <v>0.47499999999999998</v>
      </c>
      <c r="AA521" s="410">
        <f>Y521*Z521</f>
        <v>142272</v>
      </c>
      <c r="AB521" s="411"/>
      <c r="AC521" s="412">
        <f>AB521*Y521</f>
        <v>0</v>
      </c>
      <c r="AD521" s="413"/>
      <c r="AE521" s="413"/>
      <c r="AF521" s="424">
        <v>142272</v>
      </c>
      <c r="AG521" s="405" t="s">
        <v>47</v>
      </c>
      <c r="AH521" s="405">
        <v>0</v>
      </c>
      <c r="AI521" s="405">
        <v>60</v>
      </c>
      <c r="AJ521" s="405" t="s">
        <v>2820</v>
      </c>
      <c r="AK521" s="425" t="s">
        <v>1130</v>
      </c>
      <c r="AL521" s="405">
        <v>11803</v>
      </c>
      <c r="AM521" s="405" t="s">
        <v>52</v>
      </c>
      <c r="AN521" s="405" t="s">
        <v>1101</v>
      </c>
      <c r="AO521" s="413"/>
      <c r="AP521" s="413"/>
      <c r="AQ521" s="413" t="s">
        <v>37</v>
      </c>
      <c r="AR521" s="405"/>
      <c r="AS521" s="386" t="s">
        <v>2818</v>
      </c>
      <c r="AT521" s="281" t="s">
        <v>1073</v>
      </c>
      <c r="AU521" s="403" t="s">
        <v>4374</v>
      </c>
      <c r="AV521" s="402"/>
      <c r="AW521" s="402"/>
      <c r="AX521" s="402"/>
      <c r="AY521" s="402"/>
      <c r="AZ521" s="402"/>
      <c r="BA521" s="402"/>
      <c r="BB521" s="402"/>
      <c r="BC521" s="402"/>
    </row>
    <row r="522" spans="1:55">
      <c r="A522" s="278"/>
      <c r="B522" s="491"/>
      <c r="C522" s="279"/>
      <c r="D522" s="366" t="s">
        <v>2804</v>
      </c>
      <c r="E522" s="280"/>
      <c r="F522" s="405"/>
      <c r="G522" s="405">
        <v>2022</v>
      </c>
      <c r="H522" s="405">
        <v>5</v>
      </c>
      <c r="I522" s="405"/>
      <c r="J522" s="406"/>
      <c r="K522" s="509" t="s">
        <v>4909</v>
      </c>
      <c r="L522" s="510" t="s">
        <v>2817</v>
      </c>
      <c r="M522" s="406">
        <v>44692</v>
      </c>
      <c r="N522" s="406">
        <v>44692</v>
      </c>
      <c r="O522" s="406"/>
      <c r="P522" s="406" t="s">
        <v>4899</v>
      </c>
      <c r="Q522" s="406"/>
      <c r="R522" s="406"/>
      <c r="S522" s="405" t="s">
        <v>1098</v>
      </c>
      <c r="T522" s="405">
        <v>60</v>
      </c>
      <c r="U522" s="405"/>
      <c r="V522" s="405" t="s">
        <v>973</v>
      </c>
      <c r="W522" s="407">
        <v>400</v>
      </c>
      <c r="X522" s="371">
        <v>768</v>
      </c>
      <c r="Y522" s="408">
        <f>W522*X522</f>
        <v>307200</v>
      </c>
      <c r="Z522" s="409">
        <v>0.51500000000000001</v>
      </c>
      <c r="AA522" s="410">
        <f>Y522*Z522</f>
        <v>158208</v>
      </c>
      <c r="AB522" s="411"/>
      <c r="AC522" s="412">
        <f>AB522*Y522</f>
        <v>0</v>
      </c>
      <c r="AD522" s="421"/>
      <c r="AE522" s="413"/>
      <c r="AF522" s="424">
        <f>AE522+AD522+AA522</f>
        <v>158208</v>
      </c>
      <c r="AG522" s="405" t="s">
        <v>47</v>
      </c>
      <c r="AH522" s="405">
        <v>0</v>
      </c>
      <c r="AI522" s="405">
        <v>60</v>
      </c>
      <c r="AJ522" s="405" t="s">
        <v>2522</v>
      </c>
      <c r="AK522" s="405" t="s">
        <v>1136</v>
      </c>
      <c r="AL522" s="425">
        <v>75261</v>
      </c>
      <c r="AM522" s="405" t="s">
        <v>52</v>
      </c>
      <c r="AN522" s="405"/>
      <c r="AO522" s="405"/>
      <c r="AP522" s="413"/>
      <c r="AQ522" s="413"/>
      <c r="AR522" s="405"/>
      <c r="AS522" s="386" t="s">
        <v>2818</v>
      </c>
      <c r="AT522" s="281" t="s">
        <v>1073</v>
      </c>
      <c r="AU522" s="403"/>
      <c r="AV522" s="402">
        <f>U522</f>
        <v>0</v>
      </c>
      <c r="AW522" s="402" cm="1">
        <f t="array" ref="AW522">SUM(MID(0&amp;AV522,LARGE(INDEX(ISNUMBER(--MID(AV522,ROW($1:$8),1))*ROW($1:$8),),ROW($1:$8))+1,1)*10^ROW($1:$8)/10)</f>
        <v>0</v>
      </c>
      <c r="AX522" s="402" t="e">
        <f>VLOOKUP($AW522,'Item Master Data'!$A:$F,3,FALSE)</f>
        <v>#N/A</v>
      </c>
      <c r="AY522" s="402" t="e">
        <f>VLOOKUP($AW522,'Item Master Data'!$A:$F,6,FALSE)</f>
        <v>#N/A</v>
      </c>
      <c r="AZ522" s="402" t="e">
        <f>X522/BA522</f>
        <v>#N/A</v>
      </c>
      <c r="BA522" s="402" t="e">
        <f>VLOOKUP(AW522,'Item Master Data'!$A:$G,7,FALSE)</f>
        <v>#N/A</v>
      </c>
      <c r="BB522" s="402"/>
      <c r="BC522" s="402" t="e">
        <f>W522-AY522</f>
        <v>#N/A</v>
      </c>
    </row>
    <row r="523" spans="1:55">
      <c r="A523" s="278" t="s">
        <v>4584</v>
      </c>
      <c r="B523" s="399">
        <v>44692</v>
      </c>
      <c r="C523" s="279">
        <v>44694</v>
      </c>
      <c r="D523" s="366" t="s">
        <v>2804</v>
      </c>
      <c r="E523" s="280" t="s">
        <v>4970</v>
      </c>
      <c r="F523" s="405" t="s">
        <v>1139</v>
      </c>
      <c r="G523" s="405">
        <v>2022</v>
      </c>
      <c r="H523" s="405">
        <v>5</v>
      </c>
      <c r="I523" s="405"/>
      <c r="J523" s="406"/>
      <c r="K523" s="405" t="s">
        <v>4971</v>
      </c>
      <c r="L523" s="406" t="s">
        <v>2821</v>
      </c>
      <c r="M523" s="406">
        <v>44659</v>
      </c>
      <c r="N523" s="406">
        <v>44655</v>
      </c>
      <c r="O523" s="406"/>
      <c r="P523" s="406"/>
      <c r="Q523" s="406"/>
      <c r="R523" s="406"/>
      <c r="S523" s="405" t="s">
        <v>1098</v>
      </c>
      <c r="T523" s="405">
        <v>60</v>
      </c>
      <c r="U523" s="405">
        <v>49201132</v>
      </c>
      <c r="V523" s="405" t="s">
        <v>986</v>
      </c>
      <c r="W523" s="407">
        <v>360</v>
      </c>
      <c r="X523" s="371">
        <v>768</v>
      </c>
      <c r="Y523" s="408">
        <f>W523*X523</f>
        <v>276480</v>
      </c>
      <c r="Z523" s="409">
        <v>0.5</v>
      </c>
      <c r="AA523" s="410">
        <f>Y523*Z523</f>
        <v>138240</v>
      </c>
      <c r="AB523" s="411"/>
      <c r="AC523" s="412">
        <f>AB523*Y523</f>
        <v>0</v>
      </c>
      <c r="AD523" s="421"/>
      <c r="AE523" s="413"/>
      <c r="AF523" s="424">
        <f>AE523+AD523+AA523</f>
        <v>138240</v>
      </c>
      <c r="AG523" s="405" t="s">
        <v>47</v>
      </c>
      <c r="AH523" s="405">
        <v>10</v>
      </c>
      <c r="AI523" s="405">
        <v>30</v>
      </c>
      <c r="AJ523" s="405" t="s">
        <v>2822</v>
      </c>
      <c r="AK523" s="405" t="s">
        <v>1082</v>
      </c>
      <c r="AL523" s="425" t="s">
        <v>2908</v>
      </c>
      <c r="AM523" s="405" t="s">
        <v>52</v>
      </c>
      <c r="AN523" s="405" t="s">
        <v>1071</v>
      </c>
      <c r="AO523" s="405"/>
      <c r="AP523" s="413"/>
      <c r="AQ523" s="413"/>
      <c r="AR523" s="405"/>
      <c r="AS523" s="386"/>
      <c r="AT523" s="281"/>
      <c r="AU523" s="403"/>
      <c r="AV523" s="402"/>
      <c r="AW523" s="402"/>
      <c r="AX523" s="402"/>
      <c r="AY523" s="402"/>
      <c r="AZ523" s="402"/>
      <c r="BA523" s="402"/>
      <c r="BB523" s="402"/>
      <c r="BC523" s="402"/>
    </row>
    <row r="524" spans="1:55">
      <c r="A524" s="278" t="s">
        <v>4585</v>
      </c>
      <c r="B524" s="491"/>
      <c r="C524" s="279"/>
      <c r="D524" s="366" t="s">
        <v>2804</v>
      </c>
      <c r="E524" s="280" t="s">
        <v>4913</v>
      </c>
      <c r="F524" s="405" t="s">
        <v>1139</v>
      </c>
      <c r="G524" s="405">
        <v>2022</v>
      </c>
      <c r="H524" s="405">
        <v>5</v>
      </c>
      <c r="I524" s="405"/>
      <c r="J524" s="406"/>
      <c r="K524" s="405" t="s">
        <v>4972</v>
      </c>
      <c r="L524" s="406" t="s">
        <v>2821</v>
      </c>
      <c r="M524" s="406">
        <v>44659</v>
      </c>
      <c r="N524" s="406">
        <v>44655</v>
      </c>
      <c r="O524" s="406"/>
      <c r="P524" s="406"/>
      <c r="Q524" s="406" t="s">
        <v>4598</v>
      </c>
      <c r="R524" s="406"/>
      <c r="S524" s="405" t="s">
        <v>1098</v>
      </c>
      <c r="T524" s="405">
        <v>60</v>
      </c>
      <c r="U524" s="405">
        <v>49201132</v>
      </c>
      <c r="V524" s="405" t="s">
        <v>986</v>
      </c>
      <c r="W524" s="407">
        <v>360</v>
      </c>
      <c r="X524" s="371">
        <v>768</v>
      </c>
      <c r="Y524" s="408">
        <f>W524*X524</f>
        <v>276480</v>
      </c>
      <c r="Z524" s="409">
        <v>0.6</v>
      </c>
      <c r="AA524" s="410">
        <f>Y524*Z524</f>
        <v>165888</v>
      </c>
      <c r="AB524" s="411"/>
      <c r="AC524" s="412">
        <f>AB524*Y524</f>
        <v>0</v>
      </c>
      <c r="AD524" s="421"/>
      <c r="AE524" s="413"/>
      <c r="AF524" s="424">
        <f>AE524+AD524+AA524</f>
        <v>165888</v>
      </c>
      <c r="AG524" s="405" t="s">
        <v>47</v>
      </c>
      <c r="AH524" s="405">
        <v>10</v>
      </c>
      <c r="AI524" s="405">
        <v>30</v>
      </c>
      <c r="AJ524" s="405" t="s">
        <v>2822</v>
      </c>
      <c r="AK524" s="405" t="s">
        <v>1082</v>
      </c>
      <c r="AL524" s="425" t="s">
        <v>2908</v>
      </c>
      <c r="AM524" s="405" t="s">
        <v>52</v>
      </c>
      <c r="AN524" s="405" t="s">
        <v>1071</v>
      </c>
      <c r="AO524" s="405"/>
      <c r="AP524" s="413"/>
      <c r="AQ524" s="413"/>
      <c r="AR524" s="405"/>
      <c r="AS524" s="386"/>
      <c r="AT524" s="281"/>
      <c r="AU524" s="403"/>
      <c r="AV524" s="402"/>
      <c r="AW524" s="402"/>
      <c r="AX524" s="402"/>
      <c r="AY524" s="402"/>
      <c r="AZ524" s="402"/>
      <c r="BA524" s="402"/>
      <c r="BB524" s="402"/>
      <c r="BC524" s="402"/>
    </row>
    <row r="525" spans="1:55">
      <c r="A525" s="278"/>
      <c r="B525" s="491"/>
      <c r="C525" s="279"/>
      <c r="D525" s="366" t="s">
        <v>2804</v>
      </c>
      <c r="E525" s="280"/>
      <c r="F525" s="405" t="s">
        <v>1139</v>
      </c>
      <c r="G525" s="405">
        <v>2022</v>
      </c>
      <c r="H525" s="405">
        <v>6</v>
      </c>
      <c r="I525" s="405"/>
      <c r="J525" s="406"/>
      <c r="K525" s="405" t="s">
        <v>4973</v>
      </c>
      <c r="L525" s="406" t="s">
        <v>2821</v>
      </c>
      <c r="M525" s="406">
        <v>44659</v>
      </c>
      <c r="N525" s="406">
        <v>44655</v>
      </c>
      <c r="O525" s="406"/>
      <c r="P525" s="406"/>
      <c r="Q525" s="406"/>
      <c r="R525" s="406"/>
      <c r="S525" s="405" t="s">
        <v>1098</v>
      </c>
      <c r="T525" s="405">
        <v>60</v>
      </c>
      <c r="U525" s="405">
        <v>49201132</v>
      </c>
      <c r="V525" s="405" t="s">
        <v>986</v>
      </c>
      <c r="W525" s="407">
        <v>360</v>
      </c>
      <c r="X525" s="371">
        <v>768</v>
      </c>
      <c r="Y525" s="408">
        <f>W525*X525</f>
        <v>276480</v>
      </c>
      <c r="Z525" s="409">
        <v>0.6</v>
      </c>
      <c r="AA525" s="410">
        <f>Y525*Z525</f>
        <v>165888</v>
      </c>
      <c r="AB525" s="411"/>
      <c r="AC525" s="412">
        <f>AB525*Y525</f>
        <v>0</v>
      </c>
      <c r="AD525" s="421"/>
      <c r="AE525" s="413"/>
      <c r="AF525" s="424">
        <f>AE525+AD525+AA525</f>
        <v>165888</v>
      </c>
      <c r="AG525" s="405" t="s">
        <v>47</v>
      </c>
      <c r="AH525" s="405">
        <v>10</v>
      </c>
      <c r="AI525" s="405">
        <v>30</v>
      </c>
      <c r="AJ525" s="405" t="s">
        <v>2822</v>
      </c>
      <c r="AK525" s="405" t="s">
        <v>1082</v>
      </c>
      <c r="AL525" s="425" t="s">
        <v>2908</v>
      </c>
      <c r="AM525" s="405" t="s">
        <v>52</v>
      </c>
      <c r="AN525" s="405" t="s">
        <v>1071</v>
      </c>
      <c r="AO525" s="405"/>
      <c r="AP525" s="413"/>
      <c r="AQ525" s="413"/>
      <c r="AR525" s="405"/>
      <c r="AS525" s="386"/>
      <c r="AT525" s="281"/>
      <c r="AU525" s="403"/>
      <c r="AV525" s="402"/>
      <c r="AW525" s="402"/>
      <c r="AX525" s="402"/>
      <c r="AY525" s="402"/>
      <c r="AZ525" s="402"/>
      <c r="BA525" s="402"/>
      <c r="BB525" s="402"/>
      <c r="BC525" s="402"/>
    </row>
    <row r="526" spans="1:55">
      <c r="A526" s="278"/>
      <c r="B526" s="491"/>
      <c r="C526" s="279"/>
      <c r="D526" s="366" t="s">
        <v>2804</v>
      </c>
      <c r="E526" s="280" t="s">
        <v>4914</v>
      </c>
      <c r="F526" s="405" t="s">
        <v>1139</v>
      </c>
      <c r="G526" s="405">
        <v>2022</v>
      </c>
      <c r="H526" s="405">
        <v>5</v>
      </c>
      <c r="I526" s="405" t="s">
        <v>2905</v>
      </c>
      <c r="J526" s="406"/>
      <c r="K526" s="405" t="s">
        <v>2906</v>
      </c>
      <c r="L526" s="406" t="s">
        <v>2907</v>
      </c>
      <c r="M526" s="406">
        <v>44489</v>
      </c>
      <c r="N526" s="406">
        <v>44234</v>
      </c>
      <c r="O526" s="406"/>
      <c r="P526" s="406"/>
      <c r="Q526" s="406"/>
      <c r="R526" s="406"/>
      <c r="S526" s="405" t="s">
        <v>1098</v>
      </c>
      <c r="T526" s="405">
        <v>60</v>
      </c>
      <c r="U526" s="405">
        <v>49201132</v>
      </c>
      <c r="V526" s="405" t="s">
        <v>986</v>
      </c>
      <c r="W526" s="407">
        <v>360</v>
      </c>
      <c r="X526" s="371">
        <f>4160-768-768-2304</f>
        <v>320</v>
      </c>
      <c r="Y526" s="408">
        <f>W526*X526</f>
        <v>115200</v>
      </c>
      <c r="Z526" s="409">
        <v>0.5</v>
      </c>
      <c r="AA526" s="410">
        <f>Y526*Z526</f>
        <v>57600</v>
      </c>
      <c r="AB526" s="411"/>
      <c r="AC526" s="412">
        <f>AB526*Y526</f>
        <v>0</v>
      </c>
      <c r="AD526" s="421"/>
      <c r="AE526" s="413"/>
      <c r="AF526" s="424">
        <f>AE526+AD526+AA526</f>
        <v>57600</v>
      </c>
      <c r="AG526" s="405" t="s">
        <v>47</v>
      </c>
      <c r="AH526" s="405">
        <v>100</v>
      </c>
      <c r="AI526" s="405">
        <v>0</v>
      </c>
      <c r="AJ526" s="405" t="s">
        <v>2822</v>
      </c>
      <c r="AK526" s="405" t="s">
        <v>1082</v>
      </c>
      <c r="AL526" s="425" t="s">
        <v>2908</v>
      </c>
      <c r="AM526" s="405" t="s">
        <v>52</v>
      </c>
      <c r="AN526" s="405" t="s">
        <v>1071</v>
      </c>
      <c r="AO526" s="405"/>
      <c r="AP526" s="413"/>
      <c r="AQ526" s="413"/>
      <c r="AR526" s="405"/>
      <c r="AS526" s="386"/>
      <c r="AT526" s="281"/>
      <c r="AU526" s="403"/>
      <c r="AV526" s="402"/>
      <c r="AW526" s="402"/>
      <c r="AX526" s="402"/>
      <c r="AY526" s="402"/>
      <c r="AZ526" s="402"/>
      <c r="BA526" s="402"/>
      <c r="BB526" s="402"/>
      <c r="BC526" s="402"/>
    </row>
    <row r="527" spans="1:55">
      <c r="A527" s="278"/>
      <c r="B527" s="491"/>
      <c r="C527" s="279"/>
      <c r="D527" s="366" t="s">
        <v>2804</v>
      </c>
      <c r="E527" s="280"/>
      <c r="F527" s="405"/>
      <c r="G527" s="405">
        <v>2022</v>
      </c>
      <c r="H527" s="405">
        <v>5</v>
      </c>
      <c r="I527" s="405"/>
      <c r="J527" s="406"/>
      <c r="K527" s="509" t="s">
        <v>4910</v>
      </c>
      <c r="L527" s="510" t="s">
        <v>2817</v>
      </c>
      <c r="M527" s="406">
        <v>44692</v>
      </c>
      <c r="N527" s="406">
        <v>44692</v>
      </c>
      <c r="O527" s="406"/>
      <c r="P527" s="406" t="s">
        <v>4899</v>
      </c>
      <c r="Q527" s="406"/>
      <c r="R527" s="406"/>
      <c r="S527" s="405" t="s">
        <v>1098</v>
      </c>
      <c r="T527" s="405">
        <v>60</v>
      </c>
      <c r="U527" s="405"/>
      <c r="V527" s="405" t="s">
        <v>973</v>
      </c>
      <c r="W527" s="407">
        <v>400</v>
      </c>
      <c r="X527" s="371">
        <v>768</v>
      </c>
      <c r="Y527" s="408">
        <f>W527*X527</f>
        <v>307200</v>
      </c>
      <c r="Z527" s="409">
        <v>0.51500000000000001</v>
      </c>
      <c r="AA527" s="410">
        <f>Y527*Z527</f>
        <v>158208</v>
      </c>
      <c r="AB527" s="411"/>
      <c r="AC527" s="412">
        <f>AB527*Y527</f>
        <v>0</v>
      </c>
      <c r="AD527" s="421"/>
      <c r="AE527" s="413"/>
      <c r="AF527" s="424">
        <f>AE527+AD527+AA527</f>
        <v>158208</v>
      </c>
      <c r="AG527" s="405" t="s">
        <v>47</v>
      </c>
      <c r="AH527" s="405">
        <v>0</v>
      </c>
      <c r="AI527" s="405">
        <v>60</v>
      </c>
      <c r="AJ527" s="405" t="s">
        <v>2820</v>
      </c>
      <c r="AK527" s="405" t="s">
        <v>1130</v>
      </c>
      <c r="AL527" s="425">
        <v>11803</v>
      </c>
      <c r="AM527" s="405" t="s">
        <v>52</v>
      </c>
      <c r="AN527" s="405"/>
      <c r="AO527" s="405"/>
      <c r="AP527" s="413"/>
      <c r="AQ527" s="413"/>
      <c r="AR527" s="405"/>
      <c r="AS527" s="386" t="s">
        <v>2818</v>
      </c>
      <c r="AT527" s="281" t="s">
        <v>1073</v>
      </c>
      <c r="AU527" s="403"/>
      <c r="AV527" s="402">
        <f>U527</f>
        <v>0</v>
      </c>
      <c r="AW527" s="402" cm="1">
        <f t="array" ref="AW527">SUM(MID(0&amp;AV527,LARGE(INDEX(ISNUMBER(--MID(AV527,ROW($1:$8),1))*ROW($1:$8),),ROW($1:$8))+1,1)*10^ROW($1:$8)/10)</f>
        <v>0</v>
      </c>
      <c r="AX527" s="402" t="e">
        <f>VLOOKUP($AW527,'Item Master Data'!$A:$F,3,FALSE)</f>
        <v>#N/A</v>
      </c>
      <c r="AY527" s="402" t="e">
        <f>VLOOKUP($AW527,'Item Master Data'!$A:$F,6,FALSE)</f>
        <v>#N/A</v>
      </c>
      <c r="AZ527" s="402" t="e">
        <f>X527/BA527</f>
        <v>#N/A</v>
      </c>
      <c r="BA527" s="402" t="e">
        <f>VLOOKUP(AW527,'Item Master Data'!$A:$G,7,FALSE)</f>
        <v>#N/A</v>
      </c>
      <c r="BB527" s="402"/>
      <c r="BC527" s="402" t="e">
        <f>W527-AY527</f>
        <v>#N/A</v>
      </c>
    </row>
    <row r="528" spans="1:55">
      <c r="A528" s="278" t="s">
        <v>4584</v>
      </c>
      <c r="B528" s="491"/>
      <c r="C528" s="279"/>
      <c r="D528" s="366" t="s">
        <v>2804</v>
      </c>
      <c r="E528" s="280" t="s">
        <v>4624</v>
      </c>
      <c r="F528" s="405"/>
      <c r="G528" s="405">
        <v>2022</v>
      </c>
      <c r="H528" s="405">
        <v>5</v>
      </c>
      <c r="I528" s="405"/>
      <c r="J528" s="406"/>
      <c r="K528" s="405" t="s">
        <v>4911</v>
      </c>
      <c r="L528" s="406" t="s">
        <v>2817</v>
      </c>
      <c r="M528" s="406"/>
      <c r="N528" s="406"/>
      <c r="O528" s="406"/>
      <c r="P528" s="406">
        <v>44679</v>
      </c>
      <c r="Q528" s="406">
        <v>44683</v>
      </c>
      <c r="R528" s="406">
        <v>44684</v>
      </c>
      <c r="S528" s="405" t="s">
        <v>1098</v>
      </c>
      <c r="T528" s="405">
        <v>60</v>
      </c>
      <c r="U528" s="405" t="s">
        <v>1237</v>
      </c>
      <c r="V528" s="405" t="s">
        <v>973</v>
      </c>
      <c r="W528" s="407">
        <v>400</v>
      </c>
      <c r="X528" s="371">
        <v>768</v>
      </c>
      <c r="Y528" s="408">
        <f>W528*X528</f>
        <v>307200</v>
      </c>
      <c r="Z528" s="409">
        <v>0.49</v>
      </c>
      <c r="AA528" s="410">
        <f>Y528*Z528</f>
        <v>150528</v>
      </c>
      <c r="AB528" s="411"/>
      <c r="AC528" s="412">
        <f>AB528*Y528</f>
        <v>0</v>
      </c>
      <c r="AD528" s="421"/>
      <c r="AE528" s="413"/>
      <c r="AF528" s="424">
        <f>AE528+AD528+AA528</f>
        <v>150528</v>
      </c>
      <c r="AG528" s="405" t="s">
        <v>47</v>
      </c>
      <c r="AH528" s="405">
        <v>0</v>
      </c>
      <c r="AI528" s="405">
        <v>60</v>
      </c>
      <c r="AJ528" s="405" t="s">
        <v>2820</v>
      </c>
      <c r="AK528" s="405" t="s">
        <v>1130</v>
      </c>
      <c r="AL528" s="425">
        <v>11803</v>
      </c>
      <c r="AM528" s="405" t="s">
        <v>52</v>
      </c>
      <c r="AN528" s="405" t="s">
        <v>1082</v>
      </c>
      <c r="AO528" s="405"/>
      <c r="AP528" s="413" t="s">
        <v>92</v>
      </c>
      <c r="AQ528" s="413" t="s">
        <v>37</v>
      </c>
      <c r="AR528" s="405"/>
      <c r="AS528" s="386" t="s">
        <v>2818</v>
      </c>
      <c r="AT528" s="281" t="s">
        <v>1073</v>
      </c>
      <c r="AU528" s="403"/>
      <c r="AV528" s="402"/>
      <c r="AW528" s="402"/>
      <c r="AX528" s="402"/>
      <c r="AY528" s="402"/>
      <c r="AZ528" s="402"/>
      <c r="BA528" s="402"/>
      <c r="BB528" s="402"/>
      <c r="BC528" s="402"/>
    </row>
    <row r="529" spans="1:55">
      <c r="A529" s="278">
        <v>18</v>
      </c>
      <c r="B529" s="491"/>
      <c r="C529" s="279"/>
      <c r="D529" s="366" t="s">
        <v>2804</v>
      </c>
      <c r="E529" s="283" t="s">
        <v>4912</v>
      </c>
      <c r="F529" s="405"/>
      <c r="G529" s="405">
        <v>2022</v>
      </c>
      <c r="H529" s="405">
        <v>5</v>
      </c>
      <c r="I529" s="405"/>
      <c r="J529" s="406"/>
      <c r="K529" s="405" t="s">
        <v>4084</v>
      </c>
      <c r="L529" s="406" t="s">
        <v>2817</v>
      </c>
      <c r="M529" s="406">
        <v>44503</v>
      </c>
      <c r="N529" s="406">
        <v>44602</v>
      </c>
      <c r="O529" s="406"/>
      <c r="P529" s="406">
        <v>44679</v>
      </c>
      <c r="Q529" s="406">
        <v>44687</v>
      </c>
      <c r="R529" s="406">
        <v>44690</v>
      </c>
      <c r="S529" s="405" t="s">
        <v>1098</v>
      </c>
      <c r="T529" s="405">
        <v>60</v>
      </c>
      <c r="U529" s="405" t="s">
        <v>1559</v>
      </c>
      <c r="V529" s="405" t="s">
        <v>973</v>
      </c>
      <c r="W529" s="407">
        <v>400</v>
      </c>
      <c r="X529" s="371">
        <v>768</v>
      </c>
      <c r="Y529" s="408">
        <f>W529*X529</f>
        <v>307200</v>
      </c>
      <c r="Z529" s="409">
        <v>0.49</v>
      </c>
      <c r="AA529" s="410">
        <f>Y529*Z529</f>
        <v>150528</v>
      </c>
      <c r="AB529" s="411"/>
      <c r="AC529" s="412">
        <f>AB529*Y529</f>
        <v>0</v>
      </c>
      <c r="AD529" s="421"/>
      <c r="AE529" s="413"/>
      <c r="AF529" s="424">
        <f>AE529+AD529+AA529</f>
        <v>150528</v>
      </c>
      <c r="AG529" s="405" t="s">
        <v>47</v>
      </c>
      <c r="AH529" s="405">
        <v>0</v>
      </c>
      <c r="AI529" s="405">
        <v>60</v>
      </c>
      <c r="AJ529" s="405" t="s">
        <v>1454</v>
      </c>
      <c r="AK529" s="405" t="s">
        <v>1136</v>
      </c>
      <c r="AL529" s="425">
        <v>78764</v>
      </c>
      <c r="AM529" s="405" t="s">
        <v>52</v>
      </c>
      <c r="AN529" s="405" t="s">
        <v>50</v>
      </c>
      <c r="AO529" s="405"/>
      <c r="AP529" s="413" t="s">
        <v>92</v>
      </c>
      <c r="AQ529" s="413" t="s">
        <v>37</v>
      </c>
      <c r="AR529" s="405"/>
      <c r="AS529" s="386" t="s">
        <v>2818</v>
      </c>
      <c r="AT529" s="281" t="s">
        <v>1073</v>
      </c>
      <c r="AU529" s="403"/>
      <c r="AV529" s="402" t="str">
        <f>U529</f>
        <v>30390156H</v>
      </c>
      <c r="AW529" s="402" cm="1">
        <f t="array" ref="AW529">SUM(MID(0&amp;AV529,LARGE(INDEX(ISNUMBER(--MID(AV529,ROW($1:$8),1))*ROW($1:$8),),ROW($1:$8))+1,1)*10^ROW($1:$8)/10)</f>
        <v>30390156</v>
      </c>
      <c r="AX529" s="402" t="str">
        <f>VLOOKUP($AW529,'Item Master Data'!$A:$F,3,FALSE)</f>
        <v>Q.PEAK DUO BLK ML G10+</v>
      </c>
      <c r="AY529" s="402">
        <f>VLOOKUP($AW529,'Item Master Data'!$A:$F,6,FALSE)</f>
        <v>400</v>
      </c>
      <c r="AZ529" s="402">
        <f>X529/BA529</f>
        <v>24</v>
      </c>
      <c r="BA529" s="402">
        <f>VLOOKUP(AW529,'Item Master Data'!$A:$G,7,FALSE)</f>
        <v>32</v>
      </c>
      <c r="BB529" s="402"/>
      <c r="BC529" s="402">
        <f>W529-AY529</f>
        <v>0</v>
      </c>
    </row>
    <row r="530" spans="1:55">
      <c r="A530" s="278">
        <v>18</v>
      </c>
      <c r="B530" s="491"/>
      <c r="C530" s="279"/>
      <c r="D530" s="366" t="s">
        <v>2804</v>
      </c>
      <c r="E530" s="283" t="s">
        <v>4912</v>
      </c>
      <c r="F530" s="405"/>
      <c r="G530" s="405">
        <v>2022</v>
      </c>
      <c r="H530" s="405">
        <v>5</v>
      </c>
      <c r="I530" s="405"/>
      <c r="J530" s="406"/>
      <c r="K530" s="405" t="s">
        <v>4085</v>
      </c>
      <c r="L530" s="406" t="s">
        <v>2817</v>
      </c>
      <c r="M530" s="406">
        <v>44503</v>
      </c>
      <c r="N530" s="406">
        <v>44602</v>
      </c>
      <c r="O530" s="406"/>
      <c r="P530" s="406">
        <v>44679</v>
      </c>
      <c r="Q530" s="406">
        <v>44687</v>
      </c>
      <c r="R530" s="406">
        <v>44690</v>
      </c>
      <c r="S530" s="405" t="s">
        <v>1098</v>
      </c>
      <c r="T530" s="405">
        <v>60</v>
      </c>
      <c r="U530" s="405" t="s">
        <v>1559</v>
      </c>
      <c r="V530" s="405" t="s">
        <v>973</v>
      </c>
      <c r="W530" s="407">
        <v>400</v>
      </c>
      <c r="X530" s="371">
        <v>768</v>
      </c>
      <c r="Y530" s="408">
        <f>W530*X530</f>
        <v>307200</v>
      </c>
      <c r="Z530" s="409">
        <v>0.49</v>
      </c>
      <c r="AA530" s="410">
        <f>Y530*Z530</f>
        <v>150528</v>
      </c>
      <c r="AB530" s="411"/>
      <c r="AC530" s="412">
        <f>AB530*Y530</f>
        <v>0</v>
      </c>
      <c r="AD530" s="421"/>
      <c r="AE530" s="413"/>
      <c r="AF530" s="424">
        <f>AE530+AD530+AA530</f>
        <v>150528</v>
      </c>
      <c r="AG530" s="405" t="s">
        <v>47</v>
      </c>
      <c r="AH530" s="405">
        <v>0</v>
      </c>
      <c r="AI530" s="405">
        <v>60</v>
      </c>
      <c r="AJ530" s="405" t="s">
        <v>1454</v>
      </c>
      <c r="AK530" s="405" t="s">
        <v>1136</v>
      </c>
      <c r="AL530" s="425">
        <v>78764</v>
      </c>
      <c r="AM530" s="405" t="s">
        <v>52</v>
      </c>
      <c r="AN530" s="405" t="s">
        <v>50</v>
      </c>
      <c r="AO530" s="405"/>
      <c r="AP530" s="413" t="s">
        <v>92</v>
      </c>
      <c r="AQ530" s="413" t="s">
        <v>37</v>
      </c>
      <c r="AR530" s="405"/>
      <c r="AS530" s="386" t="s">
        <v>2818</v>
      </c>
      <c r="AT530" s="281" t="s">
        <v>1073</v>
      </c>
      <c r="AU530" s="403"/>
      <c r="AV530" s="402" t="str">
        <f>U530</f>
        <v>30390156H</v>
      </c>
      <c r="AW530" s="402" cm="1">
        <f t="array" ref="AW530">SUM(MID(0&amp;AV530,LARGE(INDEX(ISNUMBER(--MID(AV530,ROW($1:$8),1))*ROW($1:$8),),ROW($1:$8))+1,1)*10^ROW($1:$8)/10)</f>
        <v>30390156</v>
      </c>
      <c r="AX530" s="402" t="str">
        <f>VLOOKUP($AW530,'Item Master Data'!$A:$F,3,FALSE)</f>
        <v>Q.PEAK DUO BLK ML G10+</v>
      </c>
      <c r="AY530" s="402">
        <f>VLOOKUP($AW530,'Item Master Data'!$A:$F,6,FALSE)</f>
        <v>400</v>
      </c>
      <c r="AZ530" s="402">
        <f>X530/BA530</f>
        <v>24</v>
      </c>
      <c r="BA530" s="402">
        <f>VLOOKUP(AW530,'Item Master Data'!$A:$G,7,FALSE)</f>
        <v>32</v>
      </c>
      <c r="BB530" s="402"/>
      <c r="BC530" s="402">
        <f>W530-AY530</f>
        <v>0</v>
      </c>
    </row>
    <row r="531" spans="1:55">
      <c r="A531" s="278">
        <v>18</v>
      </c>
      <c r="B531" s="491"/>
      <c r="C531" s="279"/>
      <c r="D531" s="366" t="s">
        <v>2804</v>
      </c>
      <c r="E531" s="283" t="s">
        <v>4912</v>
      </c>
      <c r="F531" s="405"/>
      <c r="G531" s="405">
        <v>2022</v>
      </c>
      <c r="H531" s="405">
        <v>5</v>
      </c>
      <c r="I531" s="405"/>
      <c r="J531" s="406"/>
      <c r="K531" s="405" t="s">
        <v>2866</v>
      </c>
      <c r="L531" s="406" t="s">
        <v>2817</v>
      </c>
      <c r="M531" s="406">
        <v>44634</v>
      </c>
      <c r="N531" s="406">
        <v>44638</v>
      </c>
      <c r="O531" s="406"/>
      <c r="P531" s="406">
        <v>44679</v>
      </c>
      <c r="Q531" s="406">
        <v>44684</v>
      </c>
      <c r="R531" s="406">
        <v>44684</v>
      </c>
      <c r="S531" s="405" t="s">
        <v>1098</v>
      </c>
      <c r="T531" s="405">
        <v>60</v>
      </c>
      <c r="U531" s="405" t="s">
        <v>1237</v>
      </c>
      <c r="V531" s="405" t="s">
        <v>973</v>
      </c>
      <c r="W531" s="407">
        <v>400</v>
      </c>
      <c r="X531" s="371">
        <v>768</v>
      </c>
      <c r="Y531" s="408">
        <f>W531*X531</f>
        <v>307200</v>
      </c>
      <c r="Z531" s="409">
        <v>0.49</v>
      </c>
      <c r="AA531" s="410">
        <f>Y531*Z531</f>
        <v>150528</v>
      </c>
      <c r="AB531" s="411"/>
      <c r="AC531" s="412">
        <f>AB531*Y531</f>
        <v>0</v>
      </c>
      <c r="AD531" s="421"/>
      <c r="AE531" s="413"/>
      <c r="AF531" s="424">
        <f>AE531+AD531+AA531</f>
        <v>150528</v>
      </c>
      <c r="AG531" s="405" t="s">
        <v>47</v>
      </c>
      <c r="AH531" s="405">
        <v>0</v>
      </c>
      <c r="AI531" s="405">
        <v>60</v>
      </c>
      <c r="AJ531" s="405" t="s">
        <v>2820</v>
      </c>
      <c r="AK531" s="405" t="s">
        <v>1130</v>
      </c>
      <c r="AL531" s="425">
        <v>11803</v>
      </c>
      <c r="AM531" s="405" t="s">
        <v>52</v>
      </c>
      <c r="AN531" s="405" t="s">
        <v>1082</v>
      </c>
      <c r="AO531" s="405"/>
      <c r="AP531" s="413" t="s">
        <v>92</v>
      </c>
      <c r="AQ531" s="413" t="s">
        <v>37</v>
      </c>
      <c r="AR531" s="405"/>
      <c r="AS531" s="386" t="s">
        <v>2818</v>
      </c>
      <c r="AT531" s="281" t="s">
        <v>1073</v>
      </c>
      <c r="AU531" s="403" t="s">
        <v>4374</v>
      </c>
      <c r="AV531" s="402"/>
      <c r="AW531" s="402"/>
      <c r="AX531" s="402"/>
      <c r="AY531" s="402"/>
      <c r="AZ531" s="402"/>
      <c r="BA531" s="402"/>
      <c r="BB531" s="402"/>
      <c r="BC531" s="402"/>
    </row>
    <row r="532" spans="1:55">
      <c r="A532" s="278" t="s">
        <v>4585</v>
      </c>
      <c r="B532" s="491"/>
      <c r="C532" s="279"/>
      <c r="D532" s="366" t="s">
        <v>2804</v>
      </c>
      <c r="E532" s="280" t="s">
        <v>2867</v>
      </c>
      <c r="F532" s="405"/>
      <c r="G532" s="405">
        <v>2022</v>
      </c>
      <c r="H532" s="405">
        <v>5</v>
      </c>
      <c r="I532" s="405"/>
      <c r="J532" s="406"/>
      <c r="K532" s="405">
        <v>3851</v>
      </c>
      <c r="L532" s="406" t="s">
        <v>2823</v>
      </c>
      <c r="M532" s="406">
        <v>44504</v>
      </c>
      <c r="N532" s="406">
        <v>44621</v>
      </c>
      <c r="O532" s="406"/>
      <c r="P532" s="406" t="s">
        <v>4375</v>
      </c>
      <c r="Q532" s="406" t="s">
        <v>4598</v>
      </c>
      <c r="R532" s="406"/>
      <c r="S532" s="405" t="s">
        <v>1098</v>
      </c>
      <c r="T532" s="405">
        <v>60</v>
      </c>
      <c r="U532" s="405"/>
      <c r="V532" s="405" t="s">
        <v>973</v>
      </c>
      <c r="W532" s="407">
        <v>400</v>
      </c>
      <c r="X532" s="371">
        <v>832</v>
      </c>
      <c r="Y532" s="408">
        <f>W532*X532</f>
        <v>332800</v>
      </c>
      <c r="Z532" s="409">
        <v>0.48</v>
      </c>
      <c r="AA532" s="410">
        <f>Y532*Z532</f>
        <v>159744</v>
      </c>
      <c r="AB532" s="411"/>
      <c r="AC532" s="412">
        <f>AB532*Y532</f>
        <v>0</v>
      </c>
      <c r="AD532" s="421"/>
      <c r="AE532" s="413"/>
      <c r="AF532" s="424">
        <f>AE532+AD532+AA532</f>
        <v>159744</v>
      </c>
      <c r="AG532" s="405" t="s">
        <v>1069</v>
      </c>
      <c r="AH532" s="405"/>
      <c r="AI532" s="405">
        <v>60</v>
      </c>
      <c r="AJ532" s="405" t="s">
        <v>2825</v>
      </c>
      <c r="AK532" s="405" t="s">
        <v>1082</v>
      </c>
      <c r="AL532" s="425" t="s">
        <v>2868</v>
      </c>
      <c r="AM532" s="405" t="s">
        <v>52</v>
      </c>
      <c r="AN532" s="405" t="s">
        <v>1071</v>
      </c>
      <c r="AO532" s="405"/>
      <c r="AP532" s="413"/>
      <c r="AQ532" s="413" t="s">
        <v>37</v>
      </c>
      <c r="AR532" s="405"/>
      <c r="AS532" s="386" t="s">
        <v>1073</v>
      </c>
      <c r="AT532" s="281" t="s">
        <v>1073</v>
      </c>
      <c r="AU532" s="403"/>
      <c r="AV532" s="402">
        <f>U532</f>
        <v>0</v>
      </c>
      <c r="AW532" s="402" cm="1">
        <f t="array" ref="AW532">SUM(MID(0&amp;AV532,LARGE(INDEX(ISNUMBER(--MID(AV532,ROW($1:$8),1))*ROW($1:$8),),ROW($1:$8))+1,1)*10^ROW($1:$8)/10)</f>
        <v>0</v>
      </c>
      <c r="AX532" s="402" t="e">
        <f>VLOOKUP($AW532,'Item Master Data'!$A:$F,3,FALSE)</f>
        <v>#N/A</v>
      </c>
      <c r="AY532" s="402" t="e">
        <f>VLOOKUP($AW532,'Item Master Data'!$A:$F,6,FALSE)</f>
        <v>#N/A</v>
      </c>
      <c r="AZ532" s="402" t="e">
        <f>X532/BA532</f>
        <v>#N/A</v>
      </c>
      <c r="BA532" s="402" t="e">
        <f>VLOOKUP(AW532,'Item Master Data'!$A:$G,7,FALSE)</f>
        <v>#N/A</v>
      </c>
      <c r="BB532" s="402"/>
      <c r="BC532" s="402" t="e">
        <f>W532-AY532</f>
        <v>#N/A</v>
      </c>
    </row>
    <row r="533" spans="1:55">
      <c r="A533" s="278" t="s">
        <v>4585</v>
      </c>
      <c r="B533" s="491"/>
      <c r="C533" s="279"/>
      <c r="D533" s="366" t="s">
        <v>2804</v>
      </c>
      <c r="E533" s="280" t="s">
        <v>2867</v>
      </c>
      <c r="F533" s="405"/>
      <c r="G533" s="405">
        <v>2022</v>
      </c>
      <c r="H533" s="405">
        <v>5</v>
      </c>
      <c r="I533" s="405"/>
      <c r="J533" s="406"/>
      <c r="K533" s="405">
        <v>3851</v>
      </c>
      <c r="L533" s="406" t="s">
        <v>2823</v>
      </c>
      <c r="M533" s="406">
        <v>44504</v>
      </c>
      <c r="N533" s="406">
        <v>44621</v>
      </c>
      <c r="O533" s="406"/>
      <c r="P533" s="406" t="s">
        <v>2830</v>
      </c>
      <c r="Q533" s="406" t="s">
        <v>4598</v>
      </c>
      <c r="R533" s="406"/>
      <c r="S533" s="405" t="s">
        <v>1098</v>
      </c>
      <c r="T533" s="405">
        <v>60</v>
      </c>
      <c r="U533" s="405"/>
      <c r="V533" s="405" t="s">
        <v>973</v>
      </c>
      <c r="W533" s="407">
        <v>400</v>
      </c>
      <c r="X533" s="371">
        <f>14976-832-10816-832</f>
        <v>2496</v>
      </c>
      <c r="Y533" s="408">
        <f>W533*X533</f>
        <v>998400</v>
      </c>
      <c r="Z533" s="409">
        <v>0.48</v>
      </c>
      <c r="AA533" s="410">
        <f>Y533*Z533</f>
        <v>479232</v>
      </c>
      <c r="AB533" s="411"/>
      <c r="AC533" s="412">
        <f>AB533*Y533</f>
        <v>0</v>
      </c>
      <c r="AD533" s="421"/>
      <c r="AE533" s="413"/>
      <c r="AF533" s="424">
        <f>AE533+AD533+AA533</f>
        <v>479232</v>
      </c>
      <c r="AG533" s="405" t="s">
        <v>1069</v>
      </c>
      <c r="AH533" s="405"/>
      <c r="AI533" s="405">
        <v>60</v>
      </c>
      <c r="AJ533" s="405" t="s">
        <v>2825</v>
      </c>
      <c r="AK533" s="405" t="s">
        <v>1082</v>
      </c>
      <c r="AL533" s="425" t="s">
        <v>2868</v>
      </c>
      <c r="AM533" s="405" t="s">
        <v>52</v>
      </c>
      <c r="AN533" s="405" t="s">
        <v>1071</v>
      </c>
      <c r="AO533" s="405"/>
      <c r="AP533" s="413"/>
      <c r="AQ533" s="413" t="s">
        <v>37</v>
      </c>
      <c r="AR533" s="405"/>
      <c r="AS533" s="386" t="s">
        <v>1073</v>
      </c>
      <c r="AT533" s="281" t="s">
        <v>1073</v>
      </c>
      <c r="AU533" s="403"/>
      <c r="AV533" s="402">
        <f>U533</f>
        <v>0</v>
      </c>
      <c r="AW533" s="402" cm="1">
        <f t="array" ref="AW533">SUM(MID(0&amp;AV533,LARGE(INDEX(ISNUMBER(--MID(AV533,ROW($1:$8),1))*ROW($1:$8),),ROW($1:$8))+1,1)*10^ROW($1:$8)/10)</f>
        <v>0</v>
      </c>
      <c r="AX533" s="402" t="e">
        <f>VLOOKUP($AW533,'Item Master Data'!$A:$F,3,FALSE)</f>
        <v>#N/A</v>
      </c>
      <c r="AY533" s="402" t="e">
        <f>VLOOKUP($AW533,'Item Master Data'!$A:$F,6,FALSE)</f>
        <v>#N/A</v>
      </c>
      <c r="AZ533" s="402" t="e">
        <f>X533/BA533</f>
        <v>#N/A</v>
      </c>
      <c r="BA533" s="402" t="e">
        <f>VLOOKUP(AW533,'Item Master Data'!$A:$G,7,FALSE)</f>
        <v>#N/A</v>
      </c>
      <c r="BB533" s="402"/>
      <c r="BC533" s="402" t="e">
        <f>W533-AY533</f>
        <v>#N/A</v>
      </c>
    </row>
    <row r="534" spans="1:55">
      <c r="A534" s="278"/>
      <c r="B534" s="491"/>
      <c r="C534" s="279"/>
      <c r="D534" s="366" t="s">
        <v>2804</v>
      </c>
      <c r="E534" s="280" t="s">
        <v>2869</v>
      </c>
      <c r="F534" s="405"/>
      <c r="G534" s="405">
        <v>2022</v>
      </c>
      <c r="H534" s="405">
        <v>5</v>
      </c>
      <c r="I534" s="405"/>
      <c r="J534" s="406"/>
      <c r="K534" s="405">
        <v>3952</v>
      </c>
      <c r="L534" s="406" t="s">
        <v>2823</v>
      </c>
      <c r="M534" s="406">
        <v>44620</v>
      </c>
      <c r="N534" s="406">
        <v>44805</v>
      </c>
      <c r="O534" s="406"/>
      <c r="P534" s="406"/>
      <c r="Q534" s="406"/>
      <c r="R534" s="406"/>
      <c r="S534" s="405" t="s">
        <v>1098</v>
      </c>
      <c r="T534" s="405">
        <v>60</v>
      </c>
      <c r="U534" s="405"/>
      <c r="V534" s="405" t="s">
        <v>973</v>
      </c>
      <c r="W534" s="407">
        <v>400</v>
      </c>
      <c r="X534" s="371">
        <f>24128-5824</f>
        <v>18304</v>
      </c>
      <c r="Y534" s="408">
        <f>W534*X534</f>
        <v>7321600</v>
      </c>
      <c r="Z534" s="409">
        <v>0.48499999999999999</v>
      </c>
      <c r="AA534" s="410">
        <f>Y534*Z534</f>
        <v>3550976</v>
      </c>
      <c r="AB534" s="411"/>
      <c r="AC534" s="412">
        <f>AB534*Y534</f>
        <v>0</v>
      </c>
      <c r="AD534" s="421"/>
      <c r="AE534" s="413"/>
      <c r="AF534" s="424">
        <f>AE534+AD534+AA534</f>
        <v>3550976</v>
      </c>
      <c r="AG534" s="405" t="s">
        <v>1069</v>
      </c>
      <c r="AH534" s="405">
        <v>0</v>
      </c>
      <c r="AI534" s="405">
        <v>60</v>
      </c>
      <c r="AJ534" s="405" t="s">
        <v>2870</v>
      </c>
      <c r="AK534" s="405" t="s">
        <v>1082</v>
      </c>
      <c r="AL534" s="425">
        <v>7719</v>
      </c>
      <c r="AM534" s="405" t="s">
        <v>52</v>
      </c>
      <c r="AN534" s="405"/>
      <c r="AO534" s="405"/>
      <c r="AP534" s="413"/>
      <c r="AQ534" s="413" t="s">
        <v>37</v>
      </c>
      <c r="AR534" s="405"/>
      <c r="AS534" s="386" t="s">
        <v>2818</v>
      </c>
      <c r="AT534" s="281" t="s">
        <v>1073</v>
      </c>
      <c r="AU534" s="403"/>
      <c r="AV534" s="402">
        <f>U534</f>
        <v>0</v>
      </c>
      <c r="AW534" s="402" cm="1">
        <f t="array" ref="AW534">SUM(MID(0&amp;AV534,LARGE(INDEX(ISNUMBER(--MID(AV534,ROW($1:$8),1))*ROW($1:$8),),ROW($1:$8))+1,1)*10^ROW($1:$8)/10)</f>
        <v>0</v>
      </c>
      <c r="AX534" s="402" t="e">
        <f>VLOOKUP($AW534,'Item Master Data'!$A:$F,3,FALSE)</f>
        <v>#N/A</v>
      </c>
      <c r="AY534" s="402" t="e">
        <f>VLOOKUP($AW534,'Item Master Data'!$A:$F,6,FALSE)</f>
        <v>#N/A</v>
      </c>
      <c r="AZ534" s="402" t="e">
        <f>X534/BA534</f>
        <v>#N/A</v>
      </c>
      <c r="BA534" s="402" t="e">
        <f>VLOOKUP(AW534,'Item Master Data'!$A:$G,7,FALSE)</f>
        <v>#N/A</v>
      </c>
      <c r="BB534" s="402"/>
      <c r="BC534" s="402" t="e">
        <f>W534-AY534</f>
        <v>#N/A</v>
      </c>
    </row>
    <row r="535" spans="1:55">
      <c r="A535" s="278" t="s">
        <v>4585</v>
      </c>
      <c r="B535" s="491"/>
      <c r="C535" s="279"/>
      <c r="D535" s="366" t="s">
        <v>2804</v>
      </c>
      <c r="E535" s="280" t="s">
        <v>2869</v>
      </c>
      <c r="F535" s="405"/>
      <c r="G535" s="405">
        <v>2022</v>
      </c>
      <c r="H535" s="405">
        <v>5</v>
      </c>
      <c r="I535" s="405"/>
      <c r="J535" s="406"/>
      <c r="K535" s="405">
        <v>3952</v>
      </c>
      <c r="L535" s="406" t="s">
        <v>2823</v>
      </c>
      <c r="M535" s="406">
        <v>44620</v>
      </c>
      <c r="N535" s="406">
        <v>44805</v>
      </c>
      <c r="O535" s="406"/>
      <c r="P535" s="406" t="s">
        <v>2830</v>
      </c>
      <c r="Q535" s="406" t="s">
        <v>4598</v>
      </c>
      <c r="R535" s="406"/>
      <c r="S535" s="405" t="s">
        <v>1098</v>
      </c>
      <c r="T535" s="405">
        <v>60</v>
      </c>
      <c r="U535" s="405"/>
      <c r="V535" s="405" t="s">
        <v>973</v>
      </c>
      <c r="W535" s="407">
        <v>400</v>
      </c>
      <c r="X535" s="371">
        <v>5824</v>
      </c>
      <c r="Y535" s="408">
        <f>W535*X535</f>
        <v>2329600</v>
      </c>
      <c r="Z535" s="409">
        <v>0.48499999999999999</v>
      </c>
      <c r="AA535" s="410">
        <f>Y535*Z535</f>
        <v>1129856</v>
      </c>
      <c r="AB535" s="411"/>
      <c r="AC535" s="412">
        <f>AB535*Y535</f>
        <v>0</v>
      </c>
      <c r="AD535" s="421"/>
      <c r="AE535" s="413"/>
      <c r="AF535" s="424">
        <f>AE535+AD535+AA535</f>
        <v>1129856</v>
      </c>
      <c r="AG535" s="405" t="s">
        <v>1069</v>
      </c>
      <c r="AH535" s="405">
        <v>0</v>
      </c>
      <c r="AI535" s="405">
        <v>60</v>
      </c>
      <c r="AJ535" s="405" t="s">
        <v>2870</v>
      </c>
      <c r="AK535" s="405" t="s">
        <v>1082</v>
      </c>
      <c r="AL535" s="425">
        <v>7719</v>
      </c>
      <c r="AM535" s="405" t="s">
        <v>52</v>
      </c>
      <c r="AN535" s="405"/>
      <c r="AO535" s="405"/>
      <c r="AP535" s="413"/>
      <c r="AQ535" s="413" t="s">
        <v>37</v>
      </c>
      <c r="AR535" s="405"/>
      <c r="AS535" s="386" t="s">
        <v>2818</v>
      </c>
      <c r="AT535" s="281" t="s">
        <v>1073</v>
      </c>
      <c r="AU535" s="403"/>
      <c r="AV535" s="402">
        <f>U535</f>
        <v>0</v>
      </c>
      <c r="AW535" s="402" cm="1">
        <f t="array" ref="AW535">SUM(MID(0&amp;AV535,LARGE(INDEX(ISNUMBER(--MID(AV535,ROW($1:$8),1))*ROW($1:$8),),ROW($1:$8))+1,1)*10^ROW($1:$8)/10)</f>
        <v>0</v>
      </c>
      <c r="AX535" s="402" t="e">
        <f>VLOOKUP($AW535,'Item Master Data'!$A:$F,3,FALSE)</f>
        <v>#N/A</v>
      </c>
      <c r="AY535" s="402" t="e">
        <f>VLOOKUP($AW535,'Item Master Data'!$A:$F,6,FALSE)</f>
        <v>#N/A</v>
      </c>
      <c r="AZ535" s="402" t="e">
        <f>X535/BA535</f>
        <v>#N/A</v>
      </c>
      <c r="BA535" s="402" t="e">
        <f>VLOOKUP(AW535,'Item Master Data'!$A:$G,7,FALSE)</f>
        <v>#N/A</v>
      </c>
      <c r="BB535" s="402"/>
      <c r="BC535" s="402" t="e">
        <f>W535-AY535</f>
        <v>#N/A</v>
      </c>
    </row>
    <row r="536" spans="1:55">
      <c r="A536" s="278" t="s">
        <v>4585</v>
      </c>
      <c r="B536" s="491"/>
      <c r="C536" s="279" t="s">
        <v>1186</v>
      </c>
      <c r="D536" s="366" t="s">
        <v>2804</v>
      </c>
      <c r="E536" s="280" t="s">
        <v>4707</v>
      </c>
      <c r="F536" s="405"/>
      <c r="G536" s="405">
        <v>2022</v>
      </c>
      <c r="H536" s="405">
        <v>6</v>
      </c>
      <c r="I536" s="405"/>
      <c r="J536" s="406"/>
      <c r="K536" s="405" t="s">
        <v>2876</v>
      </c>
      <c r="L536" s="406" t="s">
        <v>1112</v>
      </c>
      <c r="M536" s="406">
        <v>44564</v>
      </c>
      <c r="N536" s="406">
        <v>44657</v>
      </c>
      <c r="O536" s="406"/>
      <c r="P536" s="406"/>
      <c r="Q536" s="406" t="s">
        <v>4598</v>
      </c>
      <c r="R536" s="406"/>
      <c r="S536" s="405" t="s">
        <v>1098</v>
      </c>
      <c r="T536" s="405">
        <v>60</v>
      </c>
      <c r="U536" s="405"/>
      <c r="V536" s="405" t="s">
        <v>986</v>
      </c>
      <c r="W536" s="407">
        <v>360</v>
      </c>
      <c r="X536" s="371">
        <v>768</v>
      </c>
      <c r="Y536" s="408">
        <f>W536*X536</f>
        <v>276480</v>
      </c>
      <c r="Z536" s="409">
        <v>0.53</v>
      </c>
      <c r="AA536" s="410">
        <f>Y536*Z536</f>
        <v>146534.39999999999</v>
      </c>
      <c r="AB536" s="411"/>
      <c r="AC536" s="412"/>
      <c r="AD536" s="421"/>
      <c r="AE536" s="413"/>
      <c r="AF536" s="424">
        <f>AE536+AD536+AA536</f>
        <v>146534.39999999999</v>
      </c>
      <c r="AG536" s="405" t="s">
        <v>47</v>
      </c>
      <c r="AH536" s="405"/>
      <c r="AI536" s="405">
        <v>45</v>
      </c>
      <c r="AJ536" s="405" t="s">
        <v>1127</v>
      </c>
      <c r="AK536" s="405" t="s">
        <v>1081</v>
      </c>
      <c r="AL536" s="425">
        <v>33069</v>
      </c>
      <c r="AM536" s="405" t="s">
        <v>52</v>
      </c>
      <c r="AN536" s="405"/>
      <c r="AO536" s="405"/>
      <c r="AP536" s="413"/>
      <c r="AQ536" s="413" t="s">
        <v>37</v>
      </c>
      <c r="AR536" s="405"/>
      <c r="AS536" s="386"/>
      <c r="AT536" s="281"/>
      <c r="AU536" s="403"/>
      <c r="AV536" s="402"/>
      <c r="AW536" s="402"/>
      <c r="AX536" s="402"/>
      <c r="AY536" s="402"/>
      <c r="AZ536" s="402"/>
      <c r="BA536" s="402"/>
      <c r="BB536" s="402"/>
      <c r="BC536" s="402"/>
    </row>
    <row r="537" spans="1:55">
      <c r="A537" s="278" t="s">
        <v>4585</v>
      </c>
      <c r="B537" s="491"/>
      <c r="C537" s="279"/>
      <c r="D537" s="366" t="s">
        <v>2804</v>
      </c>
      <c r="E537" s="280" t="s">
        <v>4707</v>
      </c>
      <c r="F537" s="405"/>
      <c r="G537" s="405">
        <v>2022</v>
      </c>
      <c r="H537" s="405">
        <v>6</v>
      </c>
      <c r="I537" s="405"/>
      <c r="J537" s="406"/>
      <c r="K537" s="405" t="s">
        <v>2885</v>
      </c>
      <c r="L537" s="406" t="s">
        <v>1112</v>
      </c>
      <c r="M537" s="406">
        <v>44519</v>
      </c>
      <c r="N537" s="406">
        <v>44652</v>
      </c>
      <c r="O537" s="406"/>
      <c r="P537" s="406"/>
      <c r="Q537" s="406" t="s">
        <v>4708</v>
      </c>
      <c r="R537" s="406"/>
      <c r="S537" s="405" t="s">
        <v>1098</v>
      </c>
      <c r="T537" s="405">
        <v>60</v>
      </c>
      <c r="U537" s="405"/>
      <c r="V537" s="405" t="s">
        <v>986</v>
      </c>
      <c r="W537" s="407">
        <v>360</v>
      </c>
      <c r="X537" s="371">
        <v>768</v>
      </c>
      <c r="Y537" s="408">
        <f>W537*X537</f>
        <v>276480</v>
      </c>
      <c r="Z537" s="409">
        <v>0.53</v>
      </c>
      <c r="AA537" s="410">
        <f>Y537*Z537</f>
        <v>146534.39999999999</v>
      </c>
      <c r="AB537" s="411"/>
      <c r="AC537" s="412">
        <v>0</v>
      </c>
      <c r="AD537" s="421"/>
      <c r="AE537" s="413"/>
      <c r="AF537" s="424">
        <f>AE537+AD537+AA537</f>
        <v>146534.39999999999</v>
      </c>
      <c r="AG537" s="405" t="s">
        <v>47</v>
      </c>
      <c r="AH537" s="405"/>
      <c r="AI537" s="405">
        <v>45</v>
      </c>
      <c r="AJ537" s="405" t="s">
        <v>1138</v>
      </c>
      <c r="AK537" s="405" t="s">
        <v>50</v>
      </c>
      <c r="AL537" s="425">
        <v>94577</v>
      </c>
      <c r="AM537" s="405" t="s">
        <v>52</v>
      </c>
      <c r="AN537" s="405"/>
      <c r="AO537" s="405"/>
      <c r="AP537" s="413"/>
      <c r="AQ537" s="413"/>
      <c r="AR537" s="405"/>
      <c r="AS537" s="386"/>
      <c r="AT537" s="281" t="s">
        <v>1073</v>
      </c>
      <c r="AU537" s="403"/>
      <c r="AV537" s="402">
        <f>U537</f>
        <v>0</v>
      </c>
      <c r="AW537" s="402" cm="1">
        <f t="array" ref="AW537">SUM(MID(0&amp;AV537,LARGE(INDEX(ISNUMBER(--MID(AV537,ROW($1:$8),1))*ROW($1:$8),),ROW($1:$8))+1,1)*10^ROW($1:$8)/10)</f>
        <v>0</v>
      </c>
      <c r="AX537" s="402" t="e">
        <f>VLOOKUP($AW537,'Item Master Data'!$A:$F,3,FALSE)</f>
        <v>#N/A</v>
      </c>
      <c r="AY537" s="402" t="e">
        <f>VLOOKUP($AW537,'Item Master Data'!$A:$F,6,FALSE)</f>
        <v>#N/A</v>
      </c>
      <c r="AZ537" s="402" t="e">
        <f>X537/BA537</f>
        <v>#N/A</v>
      </c>
      <c r="BA537" s="402" t="e">
        <f>VLOOKUP(AW537,'Item Master Data'!$A:$G,7,FALSE)</f>
        <v>#N/A</v>
      </c>
      <c r="BB537" s="402"/>
      <c r="BC537" s="402" t="e">
        <f>W537-AY537</f>
        <v>#N/A</v>
      </c>
    </row>
    <row r="538" spans="1:55">
      <c r="A538" s="278" t="s">
        <v>4585</v>
      </c>
      <c r="B538" s="491"/>
      <c r="C538" s="279"/>
      <c r="D538" s="366" t="s">
        <v>2804</v>
      </c>
      <c r="E538" s="280" t="s">
        <v>4974</v>
      </c>
      <c r="F538" s="405"/>
      <c r="G538" s="405">
        <v>2022</v>
      </c>
      <c r="H538" s="405">
        <v>6</v>
      </c>
      <c r="I538" s="405"/>
      <c r="J538" s="406"/>
      <c r="K538" s="453" t="s">
        <v>4705</v>
      </c>
      <c r="L538" s="520" t="s">
        <v>2813</v>
      </c>
      <c r="M538" s="406">
        <v>44529</v>
      </c>
      <c r="N538" s="406">
        <v>44682</v>
      </c>
      <c r="O538" s="406"/>
      <c r="P538" s="406"/>
      <c r="Q538" s="406" t="s">
        <v>4598</v>
      </c>
      <c r="R538" s="406"/>
      <c r="S538" s="405" t="s">
        <v>1098</v>
      </c>
      <c r="T538" s="405">
        <v>60</v>
      </c>
      <c r="U538" s="405"/>
      <c r="V538" s="405" t="s">
        <v>986</v>
      </c>
      <c r="W538" s="407">
        <v>360</v>
      </c>
      <c r="X538" s="371">
        <v>832</v>
      </c>
      <c r="Y538" s="408">
        <f>W538*X538</f>
        <v>299520</v>
      </c>
      <c r="Z538" s="409">
        <v>0.5</v>
      </c>
      <c r="AA538" s="410">
        <f>Y538*Z538</f>
        <v>149760</v>
      </c>
      <c r="AB538" s="411"/>
      <c r="AC538" s="412">
        <v>0</v>
      </c>
      <c r="AD538" s="421"/>
      <c r="AE538" s="413"/>
      <c r="AF538" s="424">
        <f>AE538+AD538+AA538</f>
        <v>149760</v>
      </c>
      <c r="AG538" s="405" t="s">
        <v>1069</v>
      </c>
      <c r="AH538" s="405"/>
      <c r="AI538" s="405">
        <v>60</v>
      </c>
      <c r="AJ538" s="405" t="s">
        <v>2814</v>
      </c>
      <c r="AK538" s="405" t="s">
        <v>1130</v>
      </c>
      <c r="AL538" s="425" t="s">
        <v>2815</v>
      </c>
      <c r="AM538" s="405" t="s">
        <v>52</v>
      </c>
      <c r="AN538" s="405" t="s">
        <v>1071</v>
      </c>
      <c r="AO538" s="405"/>
      <c r="AP538" s="413"/>
      <c r="AQ538" s="413" t="s">
        <v>37</v>
      </c>
      <c r="AR538" s="405"/>
      <c r="AS538" s="386" t="s">
        <v>1073</v>
      </c>
      <c r="AT538" s="281" t="s">
        <v>1073</v>
      </c>
      <c r="AU538" s="403"/>
      <c r="AV538" s="402">
        <f>U538</f>
        <v>0</v>
      </c>
      <c r="AW538" s="402" cm="1">
        <f t="array" ref="AW538">SUM(MID(0&amp;AV538,LARGE(INDEX(ISNUMBER(--MID(AV538,ROW($1:$8),1))*ROW($1:$8),),ROW($1:$8))+1,1)*10^ROW($1:$8)/10)</f>
        <v>0</v>
      </c>
      <c r="AX538" s="402" t="e">
        <f>VLOOKUP($AW538,'Item Master Data'!$A:$F,3,FALSE)</f>
        <v>#N/A</v>
      </c>
      <c r="AY538" s="402" t="e">
        <f>VLOOKUP($AW538,'Item Master Data'!$A:$F,6,FALSE)</f>
        <v>#N/A</v>
      </c>
      <c r="AZ538" s="402" t="e">
        <f>X538/BA538</f>
        <v>#N/A</v>
      </c>
      <c r="BA538" s="402" t="e">
        <f>VLOOKUP(AW538,'Item Master Data'!$A:$G,7,FALSE)</f>
        <v>#N/A</v>
      </c>
      <c r="BB538" s="402"/>
      <c r="BC538" s="402" t="e">
        <f>W538-AY538</f>
        <v>#N/A</v>
      </c>
    </row>
    <row r="539" spans="1:55">
      <c r="A539" s="278" t="s">
        <v>4584</v>
      </c>
      <c r="B539" s="491"/>
      <c r="C539" s="279"/>
      <c r="D539" s="366" t="s">
        <v>2804</v>
      </c>
      <c r="E539" s="280" t="s">
        <v>4870</v>
      </c>
      <c r="F539" s="405"/>
      <c r="G539" s="405">
        <v>2022</v>
      </c>
      <c r="H539" s="373">
        <v>5</v>
      </c>
      <c r="I539" s="405"/>
      <c r="J539" s="406"/>
      <c r="K539" s="405" t="s">
        <v>2901</v>
      </c>
      <c r="L539" s="406" t="s">
        <v>1308</v>
      </c>
      <c r="M539" s="406">
        <v>44498</v>
      </c>
      <c r="N539" s="406">
        <v>44621</v>
      </c>
      <c r="O539" s="406"/>
      <c r="P539" s="406">
        <v>44692</v>
      </c>
      <c r="Q539" s="406"/>
      <c r="R539" s="406"/>
      <c r="S539" s="405" t="s">
        <v>1098</v>
      </c>
      <c r="T539" s="405">
        <v>60</v>
      </c>
      <c r="U539" s="405">
        <v>49203132</v>
      </c>
      <c r="V539" s="405" t="s">
        <v>986</v>
      </c>
      <c r="W539" s="407">
        <v>360</v>
      </c>
      <c r="X539" s="371">
        <v>832</v>
      </c>
      <c r="Y539" s="408">
        <f>W539*X539</f>
        <v>299520</v>
      </c>
      <c r="Z539" s="409">
        <v>0.53</v>
      </c>
      <c r="AA539" s="410">
        <f>Y539*Z539</f>
        <v>158745.60000000001</v>
      </c>
      <c r="AB539" s="411"/>
      <c r="AC539" s="412">
        <v>0</v>
      </c>
      <c r="AD539" s="421"/>
      <c r="AE539" s="413"/>
      <c r="AF539" s="424">
        <f>AE539+AD539+AA539</f>
        <v>158745.60000000001</v>
      </c>
      <c r="AG539" s="405" t="s">
        <v>1069</v>
      </c>
      <c r="AH539" s="405"/>
      <c r="AI539" s="405">
        <v>60</v>
      </c>
      <c r="AJ539" s="405" t="s">
        <v>1291</v>
      </c>
      <c r="AK539" s="405" t="s">
        <v>1292</v>
      </c>
      <c r="AL539" s="425">
        <v>18360</v>
      </c>
      <c r="AM539" s="405" t="s">
        <v>52</v>
      </c>
      <c r="AN539" s="405" t="s">
        <v>1101</v>
      </c>
      <c r="AO539" s="405"/>
      <c r="AP539" s="413"/>
      <c r="AQ539" s="413" t="s">
        <v>37</v>
      </c>
      <c r="AR539" s="405"/>
      <c r="AS539" s="386"/>
      <c r="AT539" s="281"/>
      <c r="AU539" s="403"/>
      <c r="AV539" s="402">
        <f>U539</f>
        <v>49203132</v>
      </c>
      <c r="AW539" s="402" cm="1">
        <f t="array" ref="AW539">SUM(MID(0&amp;AV539,LARGE(INDEX(ISNUMBER(--MID(AV539,ROW($1:$8),1))*ROW($1:$8),),ROW($1:$8))+1,1)*10^ROW($1:$8)/10)</f>
        <v>49203132</v>
      </c>
      <c r="AX539" s="402" t="str">
        <f>VLOOKUP($AW539,'Item Master Data'!$A:$F,3,FALSE)</f>
        <v>Q.PEAK DUO BLK G10+</v>
      </c>
      <c r="AY539" s="402">
        <f>VLOOKUP($AW539,'Item Master Data'!$A:$F,6,FALSE)</f>
        <v>360</v>
      </c>
      <c r="AZ539" s="402">
        <f>X539/BA539</f>
        <v>26</v>
      </c>
      <c r="BA539" s="402">
        <f>VLOOKUP(AW539,'Item Master Data'!$A:$G,7,FALSE)</f>
        <v>32</v>
      </c>
      <c r="BB539" s="402"/>
      <c r="BC539" s="402">
        <f>W539-AY539</f>
        <v>0</v>
      </c>
    </row>
    <row r="540" spans="1:55">
      <c r="A540" s="278"/>
      <c r="B540" s="491"/>
      <c r="C540" s="279"/>
      <c r="D540" s="366" t="s">
        <v>2804</v>
      </c>
      <c r="E540" s="280" t="s">
        <v>4502</v>
      </c>
      <c r="F540" s="405"/>
      <c r="G540" s="405">
        <v>2022</v>
      </c>
      <c r="H540" s="405">
        <v>6</v>
      </c>
      <c r="I540" s="405" t="s">
        <v>2896</v>
      </c>
      <c r="J540" s="406"/>
      <c r="K540" s="405" t="s">
        <v>2897</v>
      </c>
      <c r="L540" s="406" t="s">
        <v>1298</v>
      </c>
      <c r="M540" s="406">
        <v>44505</v>
      </c>
      <c r="N540" s="406">
        <v>44607</v>
      </c>
      <c r="O540" s="406"/>
      <c r="P540" s="406"/>
      <c r="Q540" s="406"/>
      <c r="R540" s="406"/>
      <c r="S540" s="405" t="s">
        <v>1098</v>
      </c>
      <c r="T540" s="405">
        <v>60</v>
      </c>
      <c r="U540" s="405"/>
      <c r="V540" s="405" t="s">
        <v>1192</v>
      </c>
      <c r="W540" s="407">
        <v>360</v>
      </c>
      <c r="X540" s="371">
        <v>676</v>
      </c>
      <c r="Y540" s="408">
        <f>W540*X540</f>
        <v>243360</v>
      </c>
      <c r="Z540" s="409">
        <v>0.83</v>
      </c>
      <c r="AA540" s="410">
        <f>Y540*Z540</f>
        <v>201988.8</v>
      </c>
      <c r="AB540" s="411"/>
      <c r="AC540" s="412">
        <v>0</v>
      </c>
      <c r="AD540" s="421"/>
      <c r="AE540" s="413"/>
      <c r="AF540" s="424">
        <f>AE540+AD540+AA540</f>
        <v>201988.8</v>
      </c>
      <c r="AG540" s="405" t="s">
        <v>1069</v>
      </c>
      <c r="AH540" s="405"/>
      <c r="AI540" s="405">
        <v>60</v>
      </c>
      <c r="AJ540" s="405" t="s">
        <v>1181</v>
      </c>
      <c r="AK540" s="405" t="s">
        <v>1130</v>
      </c>
      <c r="AL540" s="425">
        <v>14624</v>
      </c>
      <c r="AM540" s="405" t="s">
        <v>52</v>
      </c>
      <c r="AN540" s="405" t="s">
        <v>1071</v>
      </c>
      <c r="AO540" s="405"/>
      <c r="AP540" s="413"/>
      <c r="AQ540" s="413" t="s">
        <v>37</v>
      </c>
      <c r="AR540" s="405"/>
      <c r="AS540" s="386"/>
      <c r="AT540" s="281"/>
      <c r="AU540" s="403"/>
      <c r="AV540" s="402">
        <f>U540</f>
        <v>0</v>
      </c>
      <c r="AW540" s="402" cm="1">
        <f t="array" ref="AW540">SUM(MID(0&amp;AV540,LARGE(INDEX(ISNUMBER(--MID(AV540,ROW($1:$8),1))*ROW($1:$8),),ROW($1:$8))+1,1)*10^ROW($1:$8)/10)</f>
        <v>0</v>
      </c>
      <c r="AX540" s="402" t="e">
        <f>VLOOKUP($AW540,'Item Master Data'!$A:$F,3,FALSE)</f>
        <v>#N/A</v>
      </c>
      <c r="AY540" s="402" t="e">
        <f>VLOOKUP($AW540,'Item Master Data'!$A:$F,6,FALSE)</f>
        <v>#N/A</v>
      </c>
      <c r="AZ540" s="402" t="e">
        <f>X540/BA540</f>
        <v>#N/A</v>
      </c>
      <c r="BA540" s="402" t="e">
        <f>VLOOKUP(AW540,'Item Master Data'!$A:$G,7,FALSE)</f>
        <v>#N/A</v>
      </c>
      <c r="BB540" s="402"/>
      <c r="BC540" s="402" t="e">
        <f>W540-AY540</f>
        <v>#N/A</v>
      </c>
    </row>
    <row r="541" spans="1:55">
      <c r="A541" s="278"/>
      <c r="B541" s="491"/>
      <c r="C541" s="279"/>
      <c r="D541" s="366" t="s">
        <v>2804</v>
      </c>
      <c r="E541" s="280"/>
      <c r="F541" s="405"/>
      <c r="G541" s="405">
        <v>2022</v>
      </c>
      <c r="H541" s="405">
        <v>6</v>
      </c>
      <c r="I541" s="405"/>
      <c r="J541" s="406" t="s">
        <v>4583</v>
      </c>
      <c r="K541" s="405" t="s">
        <v>2899</v>
      </c>
      <c r="L541" s="406" t="s">
        <v>2813</v>
      </c>
      <c r="M541" s="406">
        <v>44529</v>
      </c>
      <c r="N541" s="406">
        <v>44682</v>
      </c>
      <c r="O541" s="406"/>
      <c r="P541" s="406"/>
      <c r="Q541" s="406"/>
      <c r="R541" s="406"/>
      <c r="S541" s="405" t="s">
        <v>1098</v>
      </c>
      <c r="T541" s="405">
        <v>60</v>
      </c>
      <c r="U541" s="405">
        <v>49401140</v>
      </c>
      <c r="V541" s="405" t="s">
        <v>973</v>
      </c>
      <c r="W541" s="407">
        <v>400</v>
      </c>
      <c r="X541" s="371">
        <v>1536</v>
      </c>
      <c r="Y541" s="408">
        <f>W541*X541</f>
        <v>614400</v>
      </c>
      <c r="Z541" s="409">
        <v>0.52</v>
      </c>
      <c r="AA541" s="410">
        <f>Y541*Z541</f>
        <v>319488</v>
      </c>
      <c r="AB541" s="411"/>
      <c r="AC541" s="412">
        <v>0</v>
      </c>
      <c r="AD541" s="421"/>
      <c r="AE541" s="413"/>
      <c r="AF541" s="424">
        <f>AE541+AD541+AA541</f>
        <v>319488</v>
      </c>
      <c r="AG541" s="405" t="s">
        <v>1069</v>
      </c>
      <c r="AH541" s="405"/>
      <c r="AI541" s="405">
        <v>60</v>
      </c>
      <c r="AJ541" s="405" t="s">
        <v>2814</v>
      </c>
      <c r="AK541" s="405" t="s">
        <v>1130</v>
      </c>
      <c r="AL541" s="425" t="s">
        <v>2815</v>
      </c>
      <c r="AM541" s="405" t="s">
        <v>52</v>
      </c>
      <c r="AN541" s="405" t="s">
        <v>1071</v>
      </c>
      <c r="AO541" s="405"/>
      <c r="AP541" s="413"/>
      <c r="AQ541" s="413" t="s">
        <v>37</v>
      </c>
      <c r="AR541" s="405"/>
      <c r="AS541" s="386" t="s">
        <v>1073</v>
      </c>
      <c r="AT541" s="281" t="s">
        <v>1073</v>
      </c>
      <c r="AU541" s="403"/>
      <c r="AV541" s="402">
        <f>U541</f>
        <v>49401140</v>
      </c>
      <c r="AW541" s="402" cm="1">
        <f t="array" ref="AW541">SUM(MID(0&amp;AV541,LARGE(INDEX(ISNUMBER(--MID(AV541,ROW($1:$8),1))*ROW($1:$8),),ROW($1:$8))+1,1)*10^ROW($1:$8)/10)</f>
        <v>49401140</v>
      </c>
      <c r="AX541" s="402" t="str">
        <f>VLOOKUP($AW541,'Item Master Data'!$A:$F,3,FALSE)</f>
        <v>Q.PEAK DUO BLK ML G10.a+</v>
      </c>
      <c r="AY541" s="402">
        <f>VLOOKUP($AW541,'Item Master Data'!$A:$F,6,FALSE)</f>
        <v>400</v>
      </c>
      <c r="AZ541" s="402">
        <f>X541/BA541</f>
        <v>48</v>
      </c>
      <c r="BA541" s="402">
        <f>VLOOKUP(AW541,'Item Master Data'!$A:$G,7,FALSE)</f>
        <v>32</v>
      </c>
      <c r="BB541" s="402"/>
      <c r="BC541" s="402">
        <f>W541-AY541</f>
        <v>0</v>
      </c>
    </row>
    <row r="542" spans="1:55">
      <c r="A542" s="278"/>
      <c r="B542" s="491"/>
      <c r="C542" s="279"/>
      <c r="D542" s="366" t="s">
        <v>2804</v>
      </c>
      <c r="E542" s="280"/>
      <c r="F542" s="405"/>
      <c r="G542" s="405">
        <v>2022</v>
      </c>
      <c r="H542" s="405">
        <v>6</v>
      </c>
      <c r="I542" s="405"/>
      <c r="J542" s="406"/>
      <c r="K542" s="405" t="s">
        <v>2904</v>
      </c>
      <c r="L542" s="406" t="s">
        <v>1315</v>
      </c>
      <c r="M542" s="406">
        <v>44519</v>
      </c>
      <c r="N542" s="406">
        <v>44652</v>
      </c>
      <c r="O542" s="406">
        <v>44682</v>
      </c>
      <c r="P542" s="406"/>
      <c r="Q542" s="406"/>
      <c r="R542" s="406"/>
      <c r="S542" s="405" t="s">
        <v>1098</v>
      </c>
      <c r="T542" s="405">
        <v>60</v>
      </c>
      <c r="U542" s="405">
        <v>49401140</v>
      </c>
      <c r="V542" s="405" t="s">
        <v>985</v>
      </c>
      <c r="W542" s="407">
        <v>400</v>
      </c>
      <c r="X542" s="371">
        <v>768</v>
      </c>
      <c r="Y542" s="408">
        <f>W542*X542</f>
        <v>307200</v>
      </c>
      <c r="Z542" s="409">
        <v>0.52</v>
      </c>
      <c r="AA542" s="410">
        <f>Y542*Z542</f>
        <v>159744</v>
      </c>
      <c r="AB542" s="411"/>
      <c r="AC542" s="412">
        <f>AB542*Y542</f>
        <v>0</v>
      </c>
      <c r="AD542" s="421"/>
      <c r="AE542" s="413"/>
      <c r="AF542" s="424">
        <f>AE542+AD542+AA542</f>
        <v>159744</v>
      </c>
      <c r="AG542" s="405" t="s">
        <v>1069</v>
      </c>
      <c r="AH542" s="405">
        <v>0</v>
      </c>
      <c r="AI542" s="405">
        <v>60</v>
      </c>
      <c r="AJ542" s="405" t="s">
        <v>1316</v>
      </c>
      <c r="AK542" s="405" t="s">
        <v>1317</v>
      </c>
      <c r="AL542" s="425" t="s">
        <v>2816</v>
      </c>
      <c r="AM542" s="405" t="s">
        <v>52</v>
      </c>
      <c r="AN542" s="405" t="s">
        <v>1071</v>
      </c>
      <c r="AO542" s="405"/>
      <c r="AP542" s="413"/>
      <c r="AQ542" s="413" t="s">
        <v>1083</v>
      </c>
      <c r="AR542" s="405"/>
      <c r="AS542" s="386" t="s">
        <v>1084</v>
      </c>
      <c r="AT542" s="281" t="s">
        <v>1073</v>
      </c>
      <c r="AU542" s="403"/>
      <c r="AV542" s="402"/>
      <c r="AW542" s="402"/>
      <c r="AX542" s="402"/>
      <c r="AY542" s="402"/>
      <c r="AZ542" s="402"/>
      <c r="BA542" s="402"/>
      <c r="BB542" s="402"/>
      <c r="BC542" s="402"/>
    </row>
    <row r="543" spans="1:55">
      <c r="A543" s="278"/>
      <c r="B543" s="491"/>
      <c r="C543" s="279" t="s">
        <v>1186</v>
      </c>
      <c r="D543" s="366" t="s">
        <v>2804</v>
      </c>
      <c r="E543" s="280" t="s">
        <v>2875</v>
      </c>
      <c r="F543" s="405"/>
      <c r="G543" s="405">
        <v>2022</v>
      </c>
      <c r="H543" s="405">
        <v>6</v>
      </c>
      <c r="I543" s="405"/>
      <c r="J543" s="406"/>
      <c r="K543" s="405" t="s">
        <v>2877</v>
      </c>
      <c r="L543" s="406" t="s">
        <v>1112</v>
      </c>
      <c r="M543" s="406">
        <v>44564</v>
      </c>
      <c r="N543" s="406">
        <v>44657</v>
      </c>
      <c r="O543" s="406"/>
      <c r="P543" s="406"/>
      <c r="Q543" s="406"/>
      <c r="R543" s="406"/>
      <c r="S543" s="405" t="s">
        <v>1098</v>
      </c>
      <c r="T543" s="405">
        <v>60</v>
      </c>
      <c r="U543" s="405"/>
      <c r="V543" s="405" t="s">
        <v>986</v>
      </c>
      <c r="W543" s="407">
        <v>360</v>
      </c>
      <c r="X543" s="371">
        <v>768</v>
      </c>
      <c r="Y543" s="408">
        <f>W543*X543</f>
        <v>276480</v>
      </c>
      <c r="Z543" s="409">
        <v>0.53</v>
      </c>
      <c r="AA543" s="410">
        <f>Y543*Z543</f>
        <v>146534.39999999999</v>
      </c>
      <c r="AB543" s="411"/>
      <c r="AC543" s="412"/>
      <c r="AD543" s="421"/>
      <c r="AE543" s="413"/>
      <c r="AF543" s="424">
        <f>AE543+AD543+AA543</f>
        <v>146534.39999999999</v>
      </c>
      <c r="AG543" s="405" t="s">
        <v>47</v>
      </c>
      <c r="AH543" s="405"/>
      <c r="AI543" s="405">
        <v>45</v>
      </c>
      <c r="AJ543" s="405" t="s">
        <v>1113</v>
      </c>
      <c r="AK543" s="405" t="s">
        <v>1110</v>
      </c>
      <c r="AL543" s="425">
        <v>60433</v>
      </c>
      <c r="AM543" s="405" t="s">
        <v>52</v>
      </c>
      <c r="AN543" s="405"/>
      <c r="AO543" s="405"/>
      <c r="AP543" s="413"/>
      <c r="AQ543" s="413" t="s">
        <v>37</v>
      </c>
      <c r="AR543" s="405"/>
      <c r="AS543" s="386"/>
      <c r="AT543" s="281"/>
      <c r="AU543" s="403"/>
      <c r="AV543" s="402">
        <f>U543</f>
        <v>0</v>
      </c>
      <c r="AW543" s="402" cm="1">
        <f t="array" ref="AW543">SUM(MID(0&amp;AV543,LARGE(INDEX(ISNUMBER(--MID(AV543,ROW($1:$8),1))*ROW($1:$8),),ROW($1:$8))+1,1)*10^ROW($1:$8)/10)</f>
        <v>0</v>
      </c>
      <c r="AX543" s="402" t="e">
        <f>VLOOKUP($AW543,'Item Master Data'!$A:$F,3,FALSE)</f>
        <v>#N/A</v>
      </c>
      <c r="AY543" s="402" t="e">
        <f>VLOOKUP($AW543,'Item Master Data'!$A:$F,6,FALSE)</f>
        <v>#N/A</v>
      </c>
      <c r="AZ543" s="402" t="e">
        <f>X543/BA543</f>
        <v>#N/A</v>
      </c>
      <c r="BA543" s="402" t="e">
        <f>VLOOKUP(AW543,'Item Master Data'!$A:$G,7,FALSE)</f>
        <v>#N/A</v>
      </c>
      <c r="BB543" s="402"/>
      <c r="BC543" s="402" t="e">
        <f>W543-AY543</f>
        <v>#N/A</v>
      </c>
    </row>
    <row r="544" spans="1:55">
      <c r="A544" s="278"/>
      <c r="B544" s="491"/>
      <c r="C544" s="279" t="s">
        <v>1186</v>
      </c>
      <c r="D544" s="366" t="s">
        <v>2804</v>
      </c>
      <c r="E544" s="280" t="s">
        <v>2875</v>
      </c>
      <c r="F544" s="405"/>
      <c r="G544" s="405">
        <v>2022</v>
      </c>
      <c r="H544" s="405">
        <v>6</v>
      </c>
      <c r="I544" s="405"/>
      <c r="J544" s="406"/>
      <c r="K544" s="405" t="s">
        <v>2880</v>
      </c>
      <c r="L544" s="406" t="s">
        <v>1112</v>
      </c>
      <c r="M544" s="406">
        <v>44565</v>
      </c>
      <c r="N544" s="406">
        <v>44685</v>
      </c>
      <c r="O544" s="406"/>
      <c r="P544" s="406"/>
      <c r="Q544" s="406"/>
      <c r="R544" s="406"/>
      <c r="S544" s="405" t="s">
        <v>1098</v>
      </c>
      <c r="T544" s="405">
        <v>60</v>
      </c>
      <c r="U544" s="405"/>
      <c r="V544" s="405" t="s">
        <v>986</v>
      </c>
      <c r="W544" s="407">
        <v>360</v>
      </c>
      <c r="X544" s="371">
        <v>768</v>
      </c>
      <c r="Y544" s="408">
        <f>W544*X544</f>
        <v>276480</v>
      </c>
      <c r="Z544" s="409">
        <v>0.53</v>
      </c>
      <c r="AA544" s="410">
        <f>Y544*Z544</f>
        <v>146534.39999999999</v>
      </c>
      <c r="AB544" s="411"/>
      <c r="AC544" s="412"/>
      <c r="AD544" s="421"/>
      <c r="AE544" s="413"/>
      <c r="AF544" s="424">
        <f>AE544+AD544+AA544</f>
        <v>146534.39999999999</v>
      </c>
      <c r="AG544" s="405" t="s">
        <v>47</v>
      </c>
      <c r="AH544" s="405"/>
      <c r="AI544" s="405">
        <v>45</v>
      </c>
      <c r="AJ544" s="405" t="s">
        <v>1607</v>
      </c>
      <c r="AK544" s="405" t="s">
        <v>50</v>
      </c>
      <c r="AL544" s="425">
        <v>91304</v>
      </c>
      <c r="AM544" s="405" t="s">
        <v>52</v>
      </c>
      <c r="AN544" s="405"/>
      <c r="AO544" s="405"/>
      <c r="AP544" s="413"/>
      <c r="AQ544" s="413" t="s">
        <v>37</v>
      </c>
      <c r="AR544" s="405"/>
      <c r="AS544" s="386"/>
      <c r="AT544" s="281"/>
      <c r="AU544" s="403"/>
      <c r="AV544" s="402">
        <f>U544</f>
        <v>0</v>
      </c>
      <c r="AW544" s="402" cm="1">
        <f t="array" ref="AW544">SUM(MID(0&amp;AV544,LARGE(INDEX(ISNUMBER(--MID(AV544,ROW($1:$8),1))*ROW($1:$8),),ROW($1:$8))+1,1)*10^ROW($1:$8)/10)</f>
        <v>0</v>
      </c>
      <c r="AX544" s="402" t="e">
        <f>VLOOKUP($AW544,'Item Master Data'!$A:$F,3,FALSE)</f>
        <v>#N/A</v>
      </c>
      <c r="AY544" s="402" t="e">
        <f>VLOOKUP($AW544,'Item Master Data'!$A:$F,6,FALSE)</f>
        <v>#N/A</v>
      </c>
      <c r="AZ544" s="402" t="e">
        <f>X544/BA544</f>
        <v>#N/A</v>
      </c>
      <c r="BA544" s="402" t="e">
        <f>VLOOKUP(AW544,'Item Master Data'!$A:$G,7,FALSE)</f>
        <v>#N/A</v>
      </c>
      <c r="BB544" s="402"/>
      <c r="BC544" s="402" t="e">
        <f>W544-AY544</f>
        <v>#N/A</v>
      </c>
    </row>
    <row r="545" spans="1:55">
      <c r="A545" s="278"/>
      <c r="B545" s="491"/>
      <c r="C545" s="279" t="s">
        <v>1186</v>
      </c>
      <c r="D545" s="366" t="s">
        <v>2804</v>
      </c>
      <c r="E545" s="280" t="s">
        <v>2909</v>
      </c>
      <c r="F545" s="405"/>
      <c r="G545" s="405">
        <v>2022</v>
      </c>
      <c r="H545" s="405">
        <v>6</v>
      </c>
      <c r="I545" s="405"/>
      <c r="J545" s="406"/>
      <c r="K545" s="405" t="s">
        <v>2881</v>
      </c>
      <c r="L545" s="406" t="s">
        <v>1112</v>
      </c>
      <c r="M545" s="406">
        <v>44565</v>
      </c>
      <c r="N545" s="406">
        <v>44685</v>
      </c>
      <c r="O545" s="406"/>
      <c r="P545" s="406"/>
      <c r="Q545" s="406"/>
      <c r="R545" s="406"/>
      <c r="S545" s="405" t="s">
        <v>1098</v>
      </c>
      <c r="T545" s="405">
        <v>60</v>
      </c>
      <c r="U545" s="405"/>
      <c r="V545" s="405" t="s">
        <v>986</v>
      </c>
      <c r="W545" s="407">
        <v>360</v>
      </c>
      <c r="X545" s="371">
        <v>768</v>
      </c>
      <c r="Y545" s="408">
        <f>W545*X545</f>
        <v>276480</v>
      </c>
      <c r="Z545" s="409">
        <v>0.53</v>
      </c>
      <c r="AA545" s="410">
        <f>Y545*Z545</f>
        <v>146534.39999999999</v>
      </c>
      <c r="AB545" s="411"/>
      <c r="AC545" s="412"/>
      <c r="AD545" s="421"/>
      <c r="AE545" s="413"/>
      <c r="AF545" s="424">
        <f>AE545+AD545+AA545</f>
        <v>146534.39999999999</v>
      </c>
      <c r="AG545" s="405" t="s">
        <v>47</v>
      </c>
      <c r="AH545" s="405"/>
      <c r="AI545" s="405">
        <v>45</v>
      </c>
      <c r="AJ545" s="405" t="s">
        <v>1116</v>
      </c>
      <c r="AK545" s="405" t="s">
        <v>1117</v>
      </c>
      <c r="AL545" s="425">
        <v>55122</v>
      </c>
      <c r="AM545" s="405" t="s">
        <v>52</v>
      </c>
      <c r="AN545" s="405"/>
      <c r="AO545" s="405"/>
      <c r="AP545" s="413"/>
      <c r="AQ545" s="413" t="s">
        <v>37</v>
      </c>
      <c r="AR545" s="405"/>
      <c r="AS545" s="386"/>
      <c r="AT545" s="281"/>
      <c r="AU545" s="403"/>
      <c r="AV545" s="402">
        <f>U545</f>
        <v>0</v>
      </c>
      <c r="AW545" s="402" cm="1">
        <f t="array" ref="AW545">SUM(MID(0&amp;AV545,LARGE(INDEX(ISNUMBER(--MID(AV545,ROW($1:$8),1))*ROW($1:$8),),ROW($1:$8))+1,1)*10^ROW($1:$8)/10)</f>
        <v>0</v>
      </c>
      <c r="AX545" s="402" t="e">
        <f>VLOOKUP($AW545,'Item Master Data'!$A:$F,3,FALSE)</f>
        <v>#N/A</v>
      </c>
      <c r="AY545" s="402" t="e">
        <f>VLOOKUP($AW545,'Item Master Data'!$A:$F,6,FALSE)</f>
        <v>#N/A</v>
      </c>
      <c r="AZ545" s="402" t="e">
        <f>X545/BA545</f>
        <v>#N/A</v>
      </c>
      <c r="BA545" s="402" t="e">
        <f>VLOOKUP(AW545,'Item Master Data'!$A:$G,7,FALSE)</f>
        <v>#N/A</v>
      </c>
      <c r="BB545" s="402"/>
      <c r="BC545" s="402" t="e">
        <f>W545-AY545</f>
        <v>#N/A</v>
      </c>
    </row>
    <row r="546" spans="1:55">
      <c r="A546" s="278"/>
      <c r="B546" s="491"/>
      <c r="C546" s="279" t="s">
        <v>1186</v>
      </c>
      <c r="D546" s="366" t="s">
        <v>2804</v>
      </c>
      <c r="E546" s="280" t="s">
        <v>2909</v>
      </c>
      <c r="F546" s="405"/>
      <c r="G546" s="405">
        <v>2022</v>
      </c>
      <c r="H546" s="405">
        <v>6</v>
      </c>
      <c r="I546" s="405" t="s">
        <v>1241</v>
      </c>
      <c r="J546" s="406"/>
      <c r="K546" s="405" t="s">
        <v>2910</v>
      </c>
      <c r="L546" s="406" t="s">
        <v>1112</v>
      </c>
      <c r="M546" s="406">
        <v>44565</v>
      </c>
      <c r="N546" s="406">
        <v>44685</v>
      </c>
      <c r="O546" s="406"/>
      <c r="P546" s="406"/>
      <c r="Q546" s="406"/>
      <c r="R546" s="406"/>
      <c r="S546" s="405" t="s">
        <v>1098</v>
      </c>
      <c r="T546" s="405">
        <v>60</v>
      </c>
      <c r="U546" s="405"/>
      <c r="V546" s="405" t="s">
        <v>986</v>
      </c>
      <c r="W546" s="407">
        <v>360</v>
      </c>
      <c r="X546" s="371">
        <v>768</v>
      </c>
      <c r="Y546" s="408">
        <f>W546*X546</f>
        <v>276480</v>
      </c>
      <c r="Z546" s="409">
        <v>0.53</v>
      </c>
      <c r="AA546" s="410">
        <f>Y546*Z546</f>
        <v>146534.39999999999</v>
      </c>
      <c r="AB546" s="411"/>
      <c r="AC546" s="412"/>
      <c r="AD546" s="421"/>
      <c r="AE546" s="413"/>
      <c r="AF546" s="424">
        <f>AE546+AD546+AA546</f>
        <v>146534.39999999999</v>
      </c>
      <c r="AG546" s="405" t="s">
        <v>47</v>
      </c>
      <c r="AH546" s="405"/>
      <c r="AI546" s="405">
        <v>45</v>
      </c>
      <c r="AJ546" s="405" t="s">
        <v>1124</v>
      </c>
      <c r="AK546" s="405" t="s">
        <v>1125</v>
      </c>
      <c r="AL546" s="425">
        <v>85215</v>
      </c>
      <c r="AM546" s="405" t="s">
        <v>52</v>
      </c>
      <c r="AN546" s="405"/>
      <c r="AO546" s="405"/>
      <c r="AP546" s="413"/>
      <c r="AQ546" s="413" t="s">
        <v>37</v>
      </c>
      <c r="AR546" s="405"/>
      <c r="AS546" s="386"/>
      <c r="AT546" s="281"/>
      <c r="AU546" s="403"/>
      <c r="AV546" s="402"/>
      <c r="AW546" s="402"/>
      <c r="AX546" s="402"/>
      <c r="AY546" s="402"/>
      <c r="AZ546" s="402"/>
      <c r="BA546" s="402"/>
      <c r="BB546" s="402"/>
      <c r="BC546" s="402"/>
    </row>
    <row r="547" spans="1:55">
      <c r="A547" s="278"/>
      <c r="B547" s="491"/>
      <c r="C547" s="279" t="s">
        <v>1186</v>
      </c>
      <c r="D547" s="366" t="s">
        <v>2804</v>
      </c>
      <c r="E547" s="280" t="s">
        <v>2875</v>
      </c>
      <c r="F547" s="405"/>
      <c r="G547" s="405">
        <v>2022</v>
      </c>
      <c r="H547" s="405">
        <v>6</v>
      </c>
      <c r="I547" s="405" t="s">
        <v>1241</v>
      </c>
      <c r="J547" s="406"/>
      <c r="K547" s="405" t="s">
        <v>2911</v>
      </c>
      <c r="L547" s="406" t="s">
        <v>1112</v>
      </c>
      <c r="M547" s="406">
        <v>44565</v>
      </c>
      <c r="N547" s="406">
        <v>44685</v>
      </c>
      <c r="O547" s="406"/>
      <c r="P547" s="406"/>
      <c r="Q547" s="406"/>
      <c r="R547" s="406"/>
      <c r="S547" s="405" t="s">
        <v>1098</v>
      </c>
      <c r="T547" s="405">
        <v>60</v>
      </c>
      <c r="U547" s="405"/>
      <c r="V547" s="405" t="s">
        <v>986</v>
      </c>
      <c r="W547" s="407">
        <v>360</v>
      </c>
      <c r="X547" s="371">
        <v>768</v>
      </c>
      <c r="Y547" s="408">
        <f>W547*X547</f>
        <v>276480</v>
      </c>
      <c r="Z547" s="409">
        <v>0.53</v>
      </c>
      <c r="AA547" s="410">
        <f>Y547*Z547</f>
        <v>146534.39999999999</v>
      </c>
      <c r="AB547" s="411"/>
      <c r="AC547" s="412"/>
      <c r="AD547" s="421"/>
      <c r="AE547" s="413"/>
      <c r="AF547" s="424">
        <f>AE547+AD547+AA547</f>
        <v>146534.39999999999</v>
      </c>
      <c r="AG547" s="405" t="s">
        <v>47</v>
      </c>
      <c r="AH547" s="405"/>
      <c r="AI547" s="405">
        <v>45</v>
      </c>
      <c r="AJ547" s="405" t="s">
        <v>2874</v>
      </c>
      <c r="AK547" s="405" t="s">
        <v>1081</v>
      </c>
      <c r="AL547" s="425">
        <v>33442</v>
      </c>
      <c r="AM547" s="405" t="s">
        <v>52</v>
      </c>
      <c r="AN547" s="405"/>
      <c r="AO547" s="405"/>
      <c r="AP547" s="413"/>
      <c r="AQ547" s="413" t="s">
        <v>37</v>
      </c>
      <c r="AR547" s="405"/>
      <c r="AS547" s="386"/>
      <c r="AT547" s="281"/>
      <c r="AU547" s="403"/>
      <c r="AV547" s="402">
        <f>U547</f>
        <v>0</v>
      </c>
      <c r="AW547" s="402" cm="1">
        <f t="array" ref="AW547">SUM(MID(0&amp;AV547,LARGE(INDEX(ISNUMBER(--MID(AV547,ROW($1:$8),1))*ROW($1:$8),),ROW($1:$8))+1,1)*10^ROW($1:$8)/10)</f>
        <v>0</v>
      </c>
      <c r="AX547" s="402" t="e">
        <f>VLOOKUP($AW547,'Item Master Data'!$A:$F,3,FALSE)</f>
        <v>#N/A</v>
      </c>
      <c r="AY547" s="402" t="e">
        <f>VLOOKUP($AW547,'Item Master Data'!$A:$F,6,FALSE)</f>
        <v>#N/A</v>
      </c>
      <c r="AZ547" s="402" t="e">
        <f>X547/BA547</f>
        <v>#N/A</v>
      </c>
      <c r="BA547" s="402" t="e">
        <f>VLOOKUP(AW547,'Item Master Data'!$A:$G,7,FALSE)</f>
        <v>#N/A</v>
      </c>
      <c r="BB547" s="402"/>
      <c r="BC547" s="402" t="e">
        <f>W547-AY547</f>
        <v>#N/A</v>
      </c>
    </row>
    <row r="548" spans="1:55">
      <c r="A548" s="278"/>
      <c r="B548" s="491"/>
      <c r="C548" s="279" t="s">
        <v>1186</v>
      </c>
      <c r="D548" s="366" t="s">
        <v>2804</v>
      </c>
      <c r="E548" s="280" t="s">
        <v>2875</v>
      </c>
      <c r="F548" s="405"/>
      <c r="G548" s="405">
        <v>2022</v>
      </c>
      <c r="H548" s="405">
        <v>6</v>
      </c>
      <c r="I548" s="405" t="s">
        <v>1241</v>
      </c>
      <c r="J548" s="406"/>
      <c r="K548" s="405" t="s">
        <v>2911</v>
      </c>
      <c r="L548" s="406" t="s">
        <v>1112</v>
      </c>
      <c r="M548" s="406">
        <v>44565</v>
      </c>
      <c r="N548" s="406">
        <v>44685</v>
      </c>
      <c r="O548" s="406"/>
      <c r="P548" s="406"/>
      <c r="Q548" s="406"/>
      <c r="R548" s="406"/>
      <c r="S548" s="405" t="s">
        <v>1098</v>
      </c>
      <c r="T548" s="405">
        <v>60</v>
      </c>
      <c r="U548" s="405"/>
      <c r="V548" s="405" t="s">
        <v>986</v>
      </c>
      <c r="W548" s="407">
        <v>360</v>
      </c>
      <c r="X548" s="371">
        <v>768</v>
      </c>
      <c r="Y548" s="408">
        <f>W548*X548</f>
        <v>276480</v>
      </c>
      <c r="Z548" s="409">
        <v>0.53</v>
      </c>
      <c r="AA548" s="410">
        <f>Y548*Z548</f>
        <v>146534.39999999999</v>
      </c>
      <c r="AB548" s="411"/>
      <c r="AC548" s="412"/>
      <c r="AD548" s="421"/>
      <c r="AE548" s="413"/>
      <c r="AF548" s="424">
        <f>AE548+AD548+AA548</f>
        <v>146534.39999999999</v>
      </c>
      <c r="AG548" s="405" t="s">
        <v>47</v>
      </c>
      <c r="AH548" s="405"/>
      <c r="AI548" s="405">
        <v>45</v>
      </c>
      <c r="AJ548" s="405" t="s">
        <v>2874</v>
      </c>
      <c r="AK548" s="405" t="s">
        <v>1081</v>
      </c>
      <c r="AL548" s="425">
        <v>33442</v>
      </c>
      <c r="AM548" s="405" t="s">
        <v>52</v>
      </c>
      <c r="AN548" s="405"/>
      <c r="AO548" s="405"/>
      <c r="AP548" s="413"/>
      <c r="AQ548" s="413" t="s">
        <v>37</v>
      </c>
      <c r="AR548" s="405"/>
      <c r="AS548" s="386"/>
      <c r="AT548" s="281"/>
      <c r="AU548" s="403"/>
      <c r="AV548" s="402"/>
      <c r="AW548" s="402"/>
      <c r="AX548" s="402"/>
      <c r="AY548" s="402"/>
      <c r="AZ548" s="402"/>
      <c r="BA548" s="402"/>
      <c r="BB548" s="402"/>
      <c r="BC548" s="402"/>
    </row>
    <row r="549" spans="1:55">
      <c r="A549" s="278"/>
      <c r="B549" s="491"/>
      <c r="C549" s="279" t="s">
        <v>1186</v>
      </c>
      <c r="D549" s="366" t="s">
        <v>2804</v>
      </c>
      <c r="E549" s="280" t="s">
        <v>2912</v>
      </c>
      <c r="F549" s="405"/>
      <c r="G549" s="405">
        <v>2022</v>
      </c>
      <c r="H549" s="405">
        <v>6</v>
      </c>
      <c r="I549" s="405" t="s">
        <v>1241</v>
      </c>
      <c r="J549" s="406"/>
      <c r="K549" s="405" t="s">
        <v>2913</v>
      </c>
      <c r="L549" s="406" t="s">
        <v>1112</v>
      </c>
      <c r="M549" s="406">
        <v>44565</v>
      </c>
      <c r="N549" s="406">
        <v>44715</v>
      </c>
      <c r="O549" s="406"/>
      <c r="P549" s="406"/>
      <c r="Q549" s="406"/>
      <c r="R549" s="406"/>
      <c r="S549" s="405" t="s">
        <v>1098</v>
      </c>
      <c r="T549" s="405">
        <v>60</v>
      </c>
      <c r="U549" s="405"/>
      <c r="V549" s="405" t="s">
        <v>973</v>
      </c>
      <c r="W549" s="407">
        <v>400</v>
      </c>
      <c r="X549" s="371">
        <v>832</v>
      </c>
      <c r="Y549" s="408">
        <f>W549*X549</f>
        <v>332800</v>
      </c>
      <c r="Z549" s="409">
        <v>0.55000000000000004</v>
      </c>
      <c r="AA549" s="410">
        <f>Y549*Z549</f>
        <v>183040.00000000003</v>
      </c>
      <c r="AB549" s="411"/>
      <c r="AC549" s="412"/>
      <c r="AD549" s="421"/>
      <c r="AE549" s="413"/>
      <c r="AF549" s="424">
        <v>183040.00000000003</v>
      </c>
      <c r="AG549" s="405" t="s">
        <v>47</v>
      </c>
      <c r="AH549" s="405"/>
      <c r="AI549" s="405">
        <v>45</v>
      </c>
      <c r="AJ549" s="405" t="s">
        <v>2874</v>
      </c>
      <c r="AK549" s="405" t="s">
        <v>1081</v>
      </c>
      <c r="AL549" s="425">
        <v>33442</v>
      </c>
      <c r="AM549" s="405" t="s">
        <v>52</v>
      </c>
      <c r="AN549" s="405"/>
      <c r="AO549" s="405"/>
      <c r="AP549" s="413"/>
      <c r="AQ549" s="413" t="s">
        <v>37</v>
      </c>
      <c r="AR549" s="405"/>
      <c r="AS549" s="386"/>
      <c r="AT549" s="281"/>
      <c r="AU549" s="403"/>
      <c r="AV549" s="402">
        <f>U549</f>
        <v>0</v>
      </c>
      <c r="AW549" s="402" cm="1">
        <f t="array" ref="AW549">SUM(MID(0&amp;AV549,LARGE(INDEX(ISNUMBER(--MID(AV549,ROW($1:$8),1))*ROW($1:$8),),ROW($1:$8))+1,1)*10^ROW($1:$8)/10)</f>
        <v>0</v>
      </c>
      <c r="AX549" s="402" t="e">
        <f>VLOOKUP($AW549,'Item Master Data'!$A:$F,3,FALSE)</f>
        <v>#N/A</v>
      </c>
      <c r="AY549" s="402" t="e">
        <f>VLOOKUP($AW549,'Item Master Data'!$A:$F,6,FALSE)</f>
        <v>#N/A</v>
      </c>
      <c r="AZ549" s="402" t="e">
        <f>X549/BA549</f>
        <v>#N/A</v>
      </c>
      <c r="BA549" s="402" t="e">
        <f>VLOOKUP(AW549,'Item Master Data'!$A:$G,7,FALSE)</f>
        <v>#N/A</v>
      </c>
      <c r="BB549" s="402"/>
      <c r="BC549" s="402" t="e">
        <f>W549-AY549</f>
        <v>#N/A</v>
      </c>
    </row>
    <row r="550" spans="1:55">
      <c r="A550" s="278"/>
      <c r="B550" s="491"/>
      <c r="C550" s="279" t="s">
        <v>1186</v>
      </c>
      <c r="D550" s="366" t="s">
        <v>2804</v>
      </c>
      <c r="E550" s="280" t="s">
        <v>2912</v>
      </c>
      <c r="F550" s="405"/>
      <c r="G550" s="405">
        <v>2022</v>
      </c>
      <c r="H550" s="405">
        <v>6</v>
      </c>
      <c r="I550" s="405" t="s">
        <v>1241</v>
      </c>
      <c r="J550" s="406"/>
      <c r="K550" s="405" t="s">
        <v>2913</v>
      </c>
      <c r="L550" s="406" t="s">
        <v>1112</v>
      </c>
      <c r="M550" s="406">
        <v>44565</v>
      </c>
      <c r="N550" s="406">
        <v>44715</v>
      </c>
      <c r="O550" s="406"/>
      <c r="P550" s="406"/>
      <c r="Q550" s="406"/>
      <c r="R550" s="406"/>
      <c r="S550" s="405" t="s">
        <v>1098</v>
      </c>
      <c r="T550" s="405">
        <v>60</v>
      </c>
      <c r="U550" s="405"/>
      <c r="V550" s="405" t="s">
        <v>973</v>
      </c>
      <c r="W550" s="407">
        <v>400</v>
      </c>
      <c r="X550" s="371">
        <v>832</v>
      </c>
      <c r="Y550" s="408">
        <f>W550*X550</f>
        <v>332800</v>
      </c>
      <c r="Z550" s="409">
        <v>0.55000000000000004</v>
      </c>
      <c r="AA550" s="410">
        <f>Y550*Z550</f>
        <v>183040.00000000003</v>
      </c>
      <c r="AB550" s="411"/>
      <c r="AC550" s="412"/>
      <c r="AD550" s="421"/>
      <c r="AE550" s="413"/>
      <c r="AF550" s="424">
        <v>183040.00000000003</v>
      </c>
      <c r="AG550" s="405" t="s">
        <v>47</v>
      </c>
      <c r="AH550" s="405"/>
      <c r="AI550" s="405">
        <v>45</v>
      </c>
      <c r="AJ550" s="405" t="s">
        <v>2874</v>
      </c>
      <c r="AK550" s="405" t="s">
        <v>1081</v>
      </c>
      <c r="AL550" s="425">
        <v>33442</v>
      </c>
      <c r="AM550" s="405" t="s">
        <v>52</v>
      </c>
      <c r="AN550" s="405"/>
      <c r="AO550" s="405"/>
      <c r="AP550" s="413"/>
      <c r="AQ550" s="413" t="s">
        <v>37</v>
      </c>
      <c r="AR550" s="405"/>
      <c r="AS550" s="386"/>
      <c r="AT550" s="281"/>
      <c r="AU550" s="403"/>
      <c r="AV550" s="402"/>
      <c r="AW550" s="402"/>
      <c r="AX550" s="402"/>
      <c r="AY550" s="402"/>
      <c r="AZ550" s="402"/>
      <c r="BA550" s="402"/>
      <c r="BB550" s="402"/>
      <c r="BC550" s="402"/>
    </row>
    <row r="551" spans="1:55">
      <c r="A551" s="278"/>
      <c r="B551" s="491"/>
      <c r="C551" s="279" t="s">
        <v>1186</v>
      </c>
      <c r="D551" s="366" t="s">
        <v>2804</v>
      </c>
      <c r="E551" s="280" t="s">
        <v>2912</v>
      </c>
      <c r="F551" s="405"/>
      <c r="G551" s="405">
        <v>2022</v>
      </c>
      <c r="H551" s="405">
        <v>6</v>
      </c>
      <c r="I551" s="405" t="s">
        <v>1241</v>
      </c>
      <c r="J551" s="406"/>
      <c r="K551" s="405" t="s">
        <v>2914</v>
      </c>
      <c r="L551" s="406" t="s">
        <v>1112</v>
      </c>
      <c r="M551" s="406">
        <v>44565</v>
      </c>
      <c r="N551" s="406">
        <v>44715</v>
      </c>
      <c r="O551" s="406"/>
      <c r="P551" s="406"/>
      <c r="Q551" s="406"/>
      <c r="R551" s="406"/>
      <c r="S551" s="405" t="s">
        <v>1098</v>
      </c>
      <c r="T551" s="405">
        <v>60</v>
      </c>
      <c r="U551" s="405"/>
      <c r="V551" s="405" t="s">
        <v>973</v>
      </c>
      <c r="W551" s="407">
        <v>400</v>
      </c>
      <c r="X551" s="371">
        <v>832</v>
      </c>
      <c r="Y551" s="408">
        <f>W551*X551</f>
        <v>332800</v>
      </c>
      <c r="Z551" s="409">
        <v>0.55000000000000004</v>
      </c>
      <c r="AA551" s="410">
        <f>Y551*Z551</f>
        <v>183040.00000000003</v>
      </c>
      <c r="AB551" s="411"/>
      <c r="AC551" s="412"/>
      <c r="AD551" s="421"/>
      <c r="AE551" s="413"/>
      <c r="AF551" s="424">
        <v>183040.00000000003</v>
      </c>
      <c r="AG551" s="405" t="s">
        <v>47</v>
      </c>
      <c r="AH551" s="405"/>
      <c r="AI551" s="405">
        <v>45</v>
      </c>
      <c r="AJ551" s="405" t="s">
        <v>1113</v>
      </c>
      <c r="AK551" s="405" t="s">
        <v>1110</v>
      </c>
      <c r="AL551" s="425">
        <v>60433</v>
      </c>
      <c r="AM551" s="405" t="s">
        <v>52</v>
      </c>
      <c r="AN551" s="405"/>
      <c r="AO551" s="405"/>
      <c r="AP551" s="413"/>
      <c r="AQ551" s="413" t="s">
        <v>37</v>
      </c>
      <c r="AR551" s="405"/>
      <c r="AS551" s="386"/>
      <c r="AT551" s="281"/>
      <c r="AU551" s="403"/>
      <c r="AV551" s="402"/>
      <c r="AW551" s="402"/>
      <c r="AX551" s="402"/>
      <c r="AY551" s="402"/>
      <c r="AZ551" s="402"/>
      <c r="BA551" s="402"/>
      <c r="BB551" s="402"/>
      <c r="BC551" s="402"/>
    </row>
    <row r="552" spans="1:55">
      <c r="A552" s="278"/>
      <c r="B552" s="491"/>
      <c r="C552" s="279" t="s">
        <v>1186</v>
      </c>
      <c r="D552" s="366" t="s">
        <v>2804</v>
      </c>
      <c r="E552" s="280" t="s">
        <v>2912</v>
      </c>
      <c r="F552" s="405"/>
      <c r="G552" s="405">
        <v>2022</v>
      </c>
      <c r="H552" s="405">
        <v>6</v>
      </c>
      <c r="I552" s="405" t="s">
        <v>1241</v>
      </c>
      <c r="J552" s="406"/>
      <c r="K552" s="405" t="s">
        <v>2914</v>
      </c>
      <c r="L552" s="406" t="s">
        <v>1112</v>
      </c>
      <c r="M552" s="406">
        <v>44565</v>
      </c>
      <c r="N552" s="406">
        <v>44715</v>
      </c>
      <c r="O552" s="406"/>
      <c r="P552" s="406"/>
      <c r="Q552" s="406"/>
      <c r="R552" s="406"/>
      <c r="S552" s="405" t="s">
        <v>1098</v>
      </c>
      <c r="T552" s="405">
        <v>60</v>
      </c>
      <c r="U552" s="405"/>
      <c r="V552" s="405" t="s">
        <v>973</v>
      </c>
      <c r="W552" s="407">
        <v>400</v>
      </c>
      <c r="X552" s="371">
        <v>832</v>
      </c>
      <c r="Y552" s="408">
        <f>W552*X552</f>
        <v>332800</v>
      </c>
      <c r="Z552" s="409">
        <v>0.55000000000000004</v>
      </c>
      <c r="AA552" s="410">
        <f>Y552*Z552</f>
        <v>183040.00000000003</v>
      </c>
      <c r="AB552" s="411"/>
      <c r="AC552" s="412"/>
      <c r="AD552" s="421"/>
      <c r="AE552" s="413"/>
      <c r="AF552" s="424">
        <v>183040.00000000003</v>
      </c>
      <c r="AG552" s="405" t="s">
        <v>47</v>
      </c>
      <c r="AH552" s="405"/>
      <c r="AI552" s="405">
        <v>45</v>
      </c>
      <c r="AJ552" s="405" t="s">
        <v>1113</v>
      </c>
      <c r="AK552" s="405" t="s">
        <v>1110</v>
      </c>
      <c r="AL552" s="425">
        <v>60433</v>
      </c>
      <c r="AM552" s="405" t="s">
        <v>52</v>
      </c>
      <c r="AN552" s="405"/>
      <c r="AO552" s="405"/>
      <c r="AP552" s="413"/>
      <c r="AQ552" s="413" t="s">
        <v>37</v>
      </c>
      <c r="AR552" s="405"/>
      <c r="AS552" s="386"/>
      <c r="AT552" s="281"/>
      <c r="AU552" s="403"/>
      <c r="AV552" s="402">
        <f t="shared" ref="AV552:AV561" si="113">U552</f>
        <v>0</v>
      </c>
      <c r="AW552" s="402" cm="1">
        <f t="array" ref="AW552">SUM(MID(0&amp;AV552,LARGE(INDEX(ISNUMBER(--MID(AV552,ROW($1:$8),1))*ROW($1:$8),),ROW($1:$8))+1,1)*10^ROW($1:$8)/10)</f>
        <v>0</v>
      </c>
      <c r="AX552" s="402" t="e">
        <f>VLOOKUP($AW552,'Item Master Data'!$A:$F,3,FALSE)</f>
        <v>#N/A</v>
      </c>
      <c r="AY552" s="402" t="e">
        <f>VLOOKUP($AW552,'Item Master Data'!$A:$F,6,FALSE)</f>
        <v>#N/A</v>
      </c>
      <c r="AZ552" s="402" t="e">
        <f t="shared" ref="AZ552:AZ561" si="114">X552/BA552</f>
        <v>#N/A</v>
      </c>
      <c r="BA552" s="402" t="e">
        <f>VLOOKUP(AW552,'Item Master Data'!$A:$G,7,FALSE)</f>
        <v>#N/A</v>
      </c>
      <c r="BB552" s="402"/>
      <c r="BC552" s="402" t="e">
        <f t="shared" ref="BC552:BC561" si="115">W552-AY552</f>
        <v>#N/A</v>
      </c>
    </row>
    <row r="553" spans="1:55">
      <c r="A553" s="278"/>
      <c r="B553" s="491"/>
      <c r="C553" s="279" t="s">
        <v>1186</v>
      </c>
      <c r="D553" s="366" t="s">
        <v>2804</v>
      </c>
      <c r="E553" s="280" t="s">
        <v>2915</v>
      </c>
      <c r="F553" s="405"/>
      <c r="G553" s="405">
        <v>2022</v>
      </c>
      <c r="H553" s="405">
        <v>6</v>
      </c>
      <c r="I553" s="405" t="s">
        <v>1241</v>
      </c>
      <c r="J553" s="406"/>
      <c r="K553" s="405" t="s">
        <v>2916</v>
      </c>
      <c r="L553" s="406" t="s">
        <v>1112</v>
      </c>
      <c r="M553" s="406">
        <v>44582</v>
      </c>
      <c r="N553" s="406">
        <v>44687</v>
      </c>
      <c r="O553" s="406"/>
      <c r="P553" s="406"/>
      <c r="Q553" s="406"/>
      <c r="R553" s="406"/>
      <c r="S553" s="405" t="s">
        <v>1098</v>
      </c>
      <c r="T553" s="405">
        <v>60</v>
      </c>
      <c r="U553" s="405"/>
      <c r="V553" s="405" t="s">
        <v>973</v>
      </c>
      <c r="W553" s="407">
        <v>400</v>
      </c>
      <c r="X553" s="371">
        <v>832</v>
      </c>
      <c r="Y553" s="408">
        <f>W553*X553</f>
        <v>332800</v>
      </c>
      <c r="Z553" s="409">
        <v>0.55000000000000004</v>
      </c>
      <c r="AA553" s="410">
        <f>Y553*Z553</f>
        <v>183040.00000000003</v>
      </c>
      <c r="AB553" s="411"/>
      <c r="AC553" s="412"/>
      <c r="AD553" s="421"/>
      <c r="AE553" s="413"/>
      <c r="AF553" s="424">
        <v>183040.00000000003</v>
      </c>
      <c r="AG553" s="405" t="s">
        <v>47</v>
      </c>
      <c r="AH553" s="405"/>
      <c r="AI553" s="405">
        <v>45</v>
      </c>
      <c r="AJ553" s="405" t="s">
        <v>1120</v>
      </c>
      <c r="AK553" s="405" t="s">
        <v>1082</v>
      </c>
      <c r="AL553" s="425">
        <v>8505</v>
      </c>
      <c r="AM553" s="405" t="s">
        <v>52</v>
      </c>
      <c r="AN553" s="405"/>
      <c r="AO553" s="405"/>
      <c r="AP553" s="413"/>
      <c r="AQ553" s="413" t="s">
        <v>37</v>
      </c>
      <c r="AR553" s="405"/>
      <c r="AS553" s="386"/>
      <c r="AT553" s="281"/>
      <c r="AU553" s="403"/>
      <c r="AV553" s="402">
        <f t="shared" si="113"/>
        <v>0</v>
      </c>
      <c r="AW553" s="402" cm="1">
        <f t="array" ref="AW553">SUM(MID(0&amp;AV553,LARGE(INDEX(ISNUMBER(--MID(AV553,ROW($1:$8),1))*ROW($1:$8),),ROW($1:$8))+1,1)*10^ROW($1:$8)/10)</f>
        <v>0</v>
      </c>
      <c r="AX553" s="402" t="e">
        <f>VLOOKUP($AW553,'Item Master Data'!$A:$F,3,FALSE)</f>
        <v>#N/A</v>
      </c>
      <c r="AY553" s="402" t="e">
        <f>VLOOKUP($AW553,'Item Master Data'!$A:$F,6,FALSE)</f>
        <v>#N/A</v>
      </c>
      <c r="AZ553" s="402" t="e">
        <f t="shared" si="114"/>
        <v>#N/A</v>
      </c>
      <c r="BA553" s="402" t="e">
        <f>VLOOKUP(AW553,'Item Master Data'!$A:$G,7,FALSE)</f>
        <v>#N/A</v>
      </c>
      <c r="BB553" s="402"/>
      <c r="BC553" s="402" t="e">
        <f t="shared" si="115"/>
        <v>#N/A</v>
      </c>
    </row>
    <row r="554" spans="1:55">
      <c r="A554" s="278"/>
      <c r="B554" s="491"/>
      <c r="C554" s="279" t="s">
        <v>1186</v>
      </c>
      <c r="D554" s="366" t="s">
        <v>2804</v>
      </c>
      <c r="E554" s="280" t="s">
        <v>2915</v>
      </c>
      <c r="F554" s="405"/>
      <c r="G554" s="405">
        <v>2022</v>
      </c>
      <c r="H554" s="405">
        <v>6</v>
      </c>
      <c r="I554" s="405" t="s">
        <v>1241</v>
      </c>
      <c r="J554" s="406"/>
      <c r="K554" s="405" t="s">
        <v>2916</v>
      </c>
      <c r="L554" s="406" t="s">
        <v>1112</v>
      </c>
      <c r="M554" s="406">
        <v>44582</v>
      </c>
      <c r="N554" s="406">
        <v>44687</v>
      </c>
      <c r="O554" s="406"/>
      <c r="P554" s="406"/>
      <c r="Q554" s="406"/>
      <c r="R554" s="406"/>
      <c r="S554" s="405" t="s">
        <v>1098</v>
      </c>
      <c r="T554" s="405">
        <v>60</v>
      </c>
      <c r="U554" s="405"/>
      <c r="V554" s="405" t="s">
        <v>973</v>
      </c>
      <c r="W554" s="407">
        <v>400</v>
      </c>
      <c r="X554" s="371">
        <v>832</v>
      </c>
      <c r="Y554" s="408">
        <f>W554*X554</f>
        <v>332800</v>
      </c>
      <c r="Z554" s="409">
        <v>0.55000000000000004</v>
      </c>
      <c r="AA554" s="410">
        <f>Y554*Z554</f>
        <v>183040.00000000003</v>
      </c>
      <c r="AB554" s="411"/>
      <c r="AC554" s="412"/>
      <c r="AD554" s="421"/>
      <c r="AE554" s="413"/>
      <c r="AF554" s="424">
        <v>183040.00000000003</v>
      </c>
      <c r="AG554" s="405" t="s">
        <v>47</v>
      </c>
      <c r="AH554" s="405"/>
      <c r="AI554" s="405">
        <v>45</v>
      </c>
      <c r="AJ554" s="405" t="s">
        <v>1120</v>
      </c>
      <c r="AK554" s="405" t="s">
        <v>1082</v>
      </c>
      <c r="AL554" s="425">
        <v>8505</v>
      </c>
      <c r="AM554" s="405" t="s">
        <v>52</v>
      </c>
      <c r="AN554" s="405"/>
      <c r="AO554" s="405"/>
      <c r="AP554" s="413"/>
      <c r="AQ554" s="413" t="s">
        <v>37</v>
      </c>
      <c r="AR554" s="405"/>
      <c r="AS554" s="386"/>
      <c r="AT554" s="281"/>
      <c r="AU554" s="403"/>
      <c r="AV554" s="402">
        <f t="shared" si="113"/>
        <v>0</v>
      </c>
      <c r="AW554" s="402" cm="1">
        <f t="array" ref="AW554">SUM(MID(0&amp;AV554,LARGE(INDEX(ISNUMBER(--MID(AV554,ROW($1:$8),1))*ROW($1:$8),),ROW($1:$8))+1,1)*10^ROW($1:$8)/10)</f>
        <v>0</v>
      </c>
      <c r="AX554" s="402" t="e">
        <f>VLOOKUP($AW554,'Item Master Data'!$A:$F,3,FALSE)</f>
        <v>#N/A</v>
      </c>
      <c r="AY554" s="402" t="e">
        <f>VLOOKUP($AW554,'Item Master Data'!$A:$F,6,FALSE)</f>
        <v>#N/A</v>
      </c>
      <c r="AZ554" s="402" t="e">
        <f t="shared" si="114"/>
        <v>#N/A</v>
      </c>
      <c r="BA554" s="402" t="e">
        <f>VLOOKUP(AW554,'Item Master Data'!$A:$G,7,FALSE)</f>
        <v>#N/A</v>
      </c>
      <c r="BB554" s="402"/>
      <c r="BC554" s="402" t="e">
        <f t="shared" si="115"/>
        <v>#N/A</v>
      </c>
    </row>
    <row r="555" spans="1:55">
      <c r="A555" s="278"/>
      <c r="B555" s="491"/>
      <c r="C555" s="279"/>
      <c r="D555" s="366" t="s">
        <v>2804</v>
      </c>
      <c r="E555" s="280"/>
      <c r="F555" s="405"/>
      <c r="G555" s="405">
        <v>2022</v>
      </c>
      <c r="H555" s="405">
        <v>6</v>
      </c>
      <c r="I555" s="405"/>
      <c r="J555" s="406"/>
      <c r="K555" s="405">
        <v>1069</v>
      </c>
      <c r="L555" s="406" t="s">
        <v>2806</v>
      </c>
      <c r="M555" s="406">
        <v>44551</v>
      </c>
      <c r="N555" s="406" t="s">
        <v>1460</v>
      </c>
      <c r="O555" s="406"/>
      <c r="P555" s="406"/>
      <c r="Q555" s="406"/>
      <c r="R555" s="406"/>
      <c r="S555" s="405" t="s">
        <v>1098</v>
      </c>
      <c r="T555" s="405">
        <v>60</v>
      </c>
      <c r="U555" s="405"/>
      <c r="V555" s="405" t="s">
        <v>973</v>
      </c>
      <c r="W555" s="407">
        <v>400</v>
      </c>
      <c r="X555" s="371">
        <v>5376</v>
      </c>
      <c r="Y555" s="408">
        <f>W555*X555</f>
        <v>2150400</v>
      </c>
      <c r="Z555" s="409">
        <v>0.48</v>
      </c>
      <c r="AA555" s="410">
        <f>Y555*Z555</f>
        <v>1032192</v>
      </c>
      <c r="AB555" s="411"/>
      <c r="AC555" s="412">
        <f>AB555*Y555</f>
        <v>0</v>
      </c>
      <c r="AD555" s="421"/>
      <c r="AE555" s="413"/>
      <c r="AF555" s="424">
        <f>AE555+AD555+AA555</f>
        <v>1032192</v>
      </c>
      <c r="AG555" s="405" t="s">
        <v>47</v>
      </c>
      <c r="AH555" s="405"/>
      <c r="AI555" s="405">
        <v>45</v>
      </c>
      <c r="AJ555" s="405" t="s">
        <v>1102</v>
      </c>
      <c r="AK555" s="405" t="s">
        <v>1102</v>
      </c>
      <c r="AL555" s="425" t="s">
        <v>2838</v>
      </c>
      <c r="AM555" s="405" t="s">
        <v>52</v>
      </c>
      <c r="AN555" s="405" t="s">
        <v>1071</v>
      </c>
      <c r="AO555" s="405"/>
      <c r="AP555" s="413"/>
      <c r="AQ555" s="413" t="s">
        <v>37</v>
      </c>
      <c r="AR555" s="405"/>
      <c r="AS555" s="386" t="s">
        <v>1073</v>
      </c>
      <c r="AT555" s="281" t="s">
        <v>1073</v>
      </c>
      <c r="AU555" s="403"/>
      <c r="AV555" s="402">
        <f t="shared" si="113"/>
        <v>0</v>
      </c>
      <c r="AW555" s="402" cm="1">
        <f t="array" ref="AW555">SUM(MID(0&amp;AV555,LARGE(INDEX(ISNUMBER(--MID(AV555,ROW($1:$8),1))*ROW($1:$8),),ROW($1:$8))+1,1)*10^ROW($1:$8)/10)</f>
        <v>0</v>
      </c>
      <c r="AX555" s="402" t="e">
        <f>VLOOKUP($AW555,'Item Master Data'!$A:$F,3,FALSE)</f>
        <v>#N/A</v>
      </c>
      <c r="AY555" s="402" t="e">
        <f>VLOOKUP($AW555,'Item Master Data'!$A:$F,6,FALSE)</f>
        <v>#N/A</v>
      </c>
      <c r="AZ555" s="402" t="e">
        <f t="shared" si="114"/>
        <v>#N/A</v>
      </c>
      <c r="BA555" s="402" t="e">
        <f>VLOOKUP(AW555,'Item Master Data'!$A:$G,7,FALSE)</f>
        <v>#N/A</v>
      </c>
      <c r="BB555" s="402"/>
      <c r="BC555" s="402" t="e">
        <f t="shared" si="115"/>
        <v>#N/A</v>
      </c>
    </row>
    <row r="556" spans="1:55">
      <c r="A556" s="278"/>
      <c r="B556" s="491"/>
      <c r="C556" s="279"/>
      <c r="D556" s="366" t="s">
        <v>2804</v>
      </c>
      <c r="E556" s="280"/>
      <c r="F556" s="405"/>
      <c r="G556" s="405">
        <v>2022</v>
      </c>
      <c r="H556" s="405">
        <v>6</v>
      </c>
      <c r="I556" s="405"/>
      <c r="J556" s="406"/>
      <c r="K556" s="405">
        <v>1069</v>
      </c>
      <c r="L556" s="406" t="s">
        <v>2806</v>
      </c>
      <c r="M556" s="406">
        <v>44551</v>
      </c>
      <c r="N556" s="406" t="s">
        <v>1460</v>
      </c>
      <c r="O556" s="406"/>
      <c r="P556" s="406" t="s">
        <v>2830</v>
      </c>
      <c r="Q556" s="406"/>
      <c r="R556" s="406"/>
      <c r="S556" s="405" t="s">
        <v>1098</v>
      </c>
      <c r="T556" s="405">
        <v>60</v>
      </c>
      <c r="U556" s="405"/>
      <c r="V556" s="405" t="s">
        <v>986</v>
      </c>
      <c r="W556" s="407">
        <v>360</v>
      </c>
      <c r="X556" s="371">
        <v>9984</v>
      </c>
      <c r="Y556" s="408">
        <f>W556*X556</f>
        <v>3594240</v>
      </c>
      <c r="Z556" s="409">
        <v>0.47</v>
      </c>
      <c r="AA556" s="410">
        <f>Y556*Z556</f>
        <v>1689292.7999999998</v>
      </c>
      <c r="AB556" s="411"/>
      <c r="AC556" s="412">
        <f>AB556*Y556</f>
        <v>0</v>
      </c>
      <c r="AD556" s="421"/>
      <c r="AE556" s="413"/>
      <c r="AF556" s="424">
        <f>AE556+AD556+AA556</f>
        <v>1689292.7999999998</v>
      </c>
      <c r="AG556" s="405" t="s">
        <v>47</v>
      </c>
      <c r="AH556" s="405"/>
      <c r="AI556" s="405">
        <v>45</v>
      </c>
      <c r="AJ556" s="405" t="s">
        <v>1102</v>
      </c>
      <c r="AK556" s="405" t="s">
        <v>1102</v>
      </c>
      <c r="AL556" s="425" t="s">
        <v>2838</v>
      </c>
      <c r="AM556" s="405" t="s">
        <v>52</v>
      </c>
      <c r="AN556" s="405" t="s">
        <v>1071</v>
      </c>
      <c r="AO556" s="405"/>
      <c r="AP556" s="413"/>
      <c r="AQ556" s="413" t="s">
        <v>37</v>
      </c>
      <c r="AR556" s="405"/>
      <c r="AS556" s="386" t="s">
        <v>1073</v>
      </c>
      <c r="AT556" s="281" t="s">
        <v>1073</v>
      </c>
      <c r="AU556" s="403"/>
      <c r="AV556" s="402">
        <f t="shared" si="113"/>
        <v>0</v>
      </c>
      <c r="AW556" s="402" cm="1">
        <f t="array" ref="AW556">SUM(MID(0&amp;AV556,LARGE(INDEX(ISNUMBER(--MID(AV556,ROW($1:$8),1))*ROW($1:$8),),ROW($1:$8))+1,1)*10^ROW($1:$8)/10)</f>
        <v>0</v>
      </c>
      <c r="AX556" s="402" t="e">
        <f>VLOOKUP($AW556,'Item Master Data'!$A:$F,3,FALSE)</f>
        <v>#N/A</v>
      </c>
      <c r="AY556" s="402" t="e">
        <f>VLOOKUP($AW556,'Item Master Data'!$A:$F,6,FALSE)</f>
        <v>#N/A</v>
      </c>
      <c r="AZ556" s="402" t="e">
        <f t="shared" si="114"/>
        <v>#N/A</v>
      </c>
      <c r="BA556" s="402" t="e">
        <f>VLOOKUP(AW556,'Item Master Data'!$A:$G,7,FALSE)</f>
        <v>#N/A</v>
      </c>
      <c r="BB556" s="402"/>
      <c r="BC556" s="402" t="e">
        <f t="shared" si="115"/>
        <v>#N/A</v>
      </c>
    </row>
    <row r="557" spans="1:55">
      <c r="A557" s="278"/>
      <c r="B557" s="279"/>
      <c r="C557" s="279"/>
      <c r="D557" s="366" t="s">
        <v>2804</v>
      </c>
      <c r="E557" s="280"/>
      <c r="F557" s="405"/>
      <c r="G557" s="405">
        <v>2022</v>
      </c>
      <c r="H557" s="405">
        <v>6</v>
      </c>
      <c r="I557" s="416" t="s">
        <v>4337</v>
      </c>
      <c r="J557" s="406"/>
      <c r="K557" s="405" t="s">
        <v>2917</v>
      </c>
      <c r="L557" s="405" t="s">
        <v>1195</v>
      </c>
      <c r="M557" s="406">
        <v>44531</v>
      </c>
      <c r="N557" s="406">
        <v>44704</v>
      </c>
      <c r="O557" s="406"/>
      <c r="P557" s="406"/>
      <c r="Q557" s="406"/>
      <c r="R557" s="406"/>
      <c r="S557" s="405" t="s">
        <v>1098</v>
      </c>
      <c r="T557" s="405">
        <v>60</v>
      </c>
      <c r="U557" s="405">
        <v>49201132</v>
      </c>
      <c r="V557" s="405" t="s">
        <v>986</v>
      </c>
      <c r="W557" s="407">
        <v>360</v>
      </c>
      <c r="X557" s="378">
        <v>896</v>
      </c>
      <c r="Y557" s="408">
        <f>W557*X557</f>
        <v>322560</v>
      </c>
      <c r="Z557" s="409">
        <v>0.49</v>
      </c>
      <c r="AA557" s="410">
        <f>Y557*Z557</f>
        <v>158054.39999999999</v>
      </c>
      <c r="AB557" s="411"/>
      <c r="AC557" s="412">
        <v>0</v>
      </c>
      <c r="AD557" s="421"/>
      <c r="AE557" s="413"/>
      <c r="AF557" s="424">
        <f>AE557+AD557+AA557</f>
        <v>158054.39999999999</v>
      </c>
      <c r="AG557" s="405" t="s">
        <v>1069</v>
      </c>
      <c r="AH557" s="405"/>
      <c r="AI557" s="405">
        <v>60</v>
      </c>
      <c r="AJ557" s="405" t="s">
        <v>1200</v>
      </c>
      <c r="AK557" s="405" t="s">
        <v>1176</v>
      </c>
      <c r="AL557" s="425" t="s">
        <v>1201</v>
      </c>
      <c r="AM557" s="405" t="s">
        <v>52</v>
      </c>
      <c r="AN557" s="405" t="s">
        <v>1082</v>
      </c>
      <c r="AO557" s="405"/>
      <c r="AP557" s="413" t="s">
        <v>38</v>
      </c>
      <c r="AQ557" s="413" t="s">
        <v>37</v>
      </c>
      <c r="AR557" s="405"/>
      <c r="AS557" s="386"/>
      <c r="AT557" s="281"/>
      <c r="AU557" s="403"/>
      <c r="AV557" s="402">
        <f t="shared" si="113"/>
        <v>49201132</v>
      </c>
      <c r="AW557" s="402" cm="1">
        <f t="array" ref="AW557">SUM(MID(0&amp;AV557,LARGE(INDEX(ISNUMBER(--MID(AV557,ROW($1:$8),1))*ROW($1:$8),),ROW($1:$8))+1,1)*10^ROW($1:$8)/10)</f>
        <v>49201132</v>
      </c>
      <c r="AX557" s="402" t="str">
        <f>VLOOKUP($AW557,'Item Master Data'!$A:$F,3,FALSE)</f>
        <v>Q.PEAK DUO BLK G10+</v>
      </c>
      <c r="AY557" s="402">
        <f>VLOOKUP($AW557,'Item Master Data'!$A:$F,6,FALSE)</f>
        <v>360</v>
      </c>
      <c r="AZ557" s="402">
        <f t="shared" si="114"/>
        <v>28</v>
      </c>
      <c r="BA557" s="402">
        <f>VLOOKUP(AW557,'Item Master Data'!$A:$G,7,FALSE)</f>
        <v>32</v>
      </c>
      <c r="BB557" s="402"/>
      <c r="BC557" s="402">
        <f t="shared" si="115"/>
        <v>0</v>
      </c>
    </row>
    <row r="558" spans="1:55">
      <c r="A558" s="278"/>
      <c r="B558" s="279"/>
      <c r="C558" s="279"/>
      <c r="D558" s="366" t="s">
        <v>2804</v>
      </c>
      <c r="E558" s="280" t="s">
        <v>2849</v>
      </c>
      <c r="F558" s="405"/>
      <c r="G558" s="405">
        <v>2022</v>
      </c>
      <c r="H558" s="405">
        <v>6</v>
      </c>
      <c r="I558" s="416" t="s">
        <v>2850</v>
      </c>
      <c r="J558" s="406"/>
      <c r="K558" s="405" t="s">
        <v>2918</v>
      </c>
      <c r="L558" s="405" t="s">
        <v>1195</v>
      </c>
      <c r="M558" s="406">
        <v>44518</v>
      </c>
      <c r="N558" s="406">
        <v>44655</v>
      </c>
      <c r="O558" s="406"/>
      <c r="P558" s="406"/>
      <c r="Q558" s="406"/>
      <c r="R558" s="406"/>
      <c r="S558" s="405" t="s">
        <v>1098</v>
      </c>
      <c r="T558" s="405">
        <v>60</v>
      </c>
      <c r="U558" s="405">
        <v>49401140</v>
      </c>
      <c r="V558" s="405" t="s">
        <v>985</v>
      </c>
      <c r="W558" s="407">
        <v>400</v>
      </c>
      <c r="X558" s="378">
        <v>896</v>
      </c>
      <c r="Y558" s="408">
        <f>W558*X558</f>
        <v>358400</v>
      </c>
      <c r="Z558" s="409">
        <v>0.52</v>
      </c>
      <c r="AA558" s="410">
        <f>Y558*Z558</f>
        <v>186368</v>
      </c>
      <c r="AB558" s="411"/>
      <c r="AC558" s="412">
        <f>AB558*Y558</f>
        <v>0</v>
      </c>
      <c r="AD558" s="421"/>
      <c r="AE558" s="413"/>
      <c r="AF558" s="424">
        <f>AE558+AD558+AA558</f>
        <v>186368</v>
      </c>
      <c r="AG558" s="405" t="s">
        <v>1069</v>
      </c>
      <c r="AH558" s="405"/>
      <c r="AI558" s="405">
        <v>60</v>
      </c>
      <c r="AJ558" s="405" t="s">
        <v>2811</v>
      </c>
      <c r="AK558" s="405" t="s">
        <v>1176</v>
      </c>
      <c r="AL558" s="425">
        <v>6492</v>
      </c>
      <c r="AM558" s="405" t="s">
        <v>52</v>
      </c>
      <c r="AN558" s="405" t="s">
        <v>1071</v>
      </c>
      <c r="AO558" s="405"/>
      <c r="AP558" s="413"/>
      <c r="AQ558" s="413" t="s">
        <v>37</v>
      </c>
      <c r="AR558" s="405" t="s">
        <v>2851</v>
      </c>
      <c r="AS558" s="386" t="s">
        <v>1073</v>
      </c>
      <c r="AT558" s="281" t="s">
        <v>1073</v>
      </c>
      <c r="AU558" s="403">
        <v>0.52</v>
      </c>
      <c r="AV558" s="402">
        <f t="shared" si="113"/>
        <v>49401140</v>
      </c>
      <c r="AW558" s="402" cm="1">
        <f t="array" ref="AW558">SUM(MID(0&amp;AV558,LARGE(INDEX(ISNUMBER(--MID(AV558,ROW($1:$8),1))*ROW($1:$8),),ROW($1:$8))+1,1)*10^ROW($1:$8)/10)</f>
        <v>49401140</v>
      </c>
      <c r="AX558" s="402" t="str">
        <f>VLOOKUP($AW558,'Item Master Data'!$A:$F,3,FALSE)</f>
        <v>Q.PEAK DUO BLK ML G10.a+</v>
      </c>
      <c r="AY558" s="402">
        <f>VLOOKUP($AW558,'Item Master Data'!$A:$F,6,FALSE)</f>
        <v>400</v>
      </c>
      <c r="AZ558" s="402">
        <f t="shared" si="114"/>
        <v>28</v>
      </c>
      <c r="BA558" s="402">
        <f>VLOOKUP(AW558,'Item Master Data'!$A:$G,7,FALSE)</f>
        <v>32</v>
      </c>
      <c r="BB558" s="402"/>
      <c r="BC558" s="402">
        <f t="shared" si="115"/>
        <v>0</v>
      </c>
    </row>
    <row r="559" spans="1:55">
      <c r="A559" s="278"/>
      <c r="B559" s="279"/>
      <c r="C559" s="279"/>
      <c r="D559" s="366" t="s">
        <v>2804</v>
      </c>
      <c r="E559" s="280"/>
      <c r="F559" s="405"/>
      <c r="G559" s="405">
        <v>2022</v>
      </c>
      <c r="H559" s="405">
        <v>6</v>
      </c>
      <c r="I559" s="416"/>
      <c r="J559" s="406"/>
      <c r="K559" s="405" t="s">
        <v>2919</v>
      </c>
      <c r="L559" s="405" t="s">
        <v>1250</v>
      </c>
      <c r="M559" s="406">
        <v>44522</v>
      </c>
      <c r="N559" s="406">
        <v>44613</v>
      </c>
      <c r="O559" s="406"/>
      <c r="P559" s="406"/>
      <c r="Q559" s="406"/>
      <c r="R559" s="406"/>
      <c r="S559" s="405" t="s">
        <v>1098</v>
      </c>
      <c r="T559" s="405">
        <v>60</v>
      </c>
      <c r="U559" s="405">
        <v>49201132</v>
      </c>
      <c r="V559" s="405" t="s">
        <v>986</v>
      </c>
      <c r="W559" s="407">
        <v>360</v>
      </c>
      <c r="X559" s="371">
        <v>832</v>
      </c>
      <c r="Y559" s="408">
        <f>W559*X559</f>
        <v>299520</v>
      </c>
      <c r="Z559" s="409">
        <v>0.5</v>
      </c>
      <c r="AA559" s="410">
        <f>Y559*Z559</f>
        <v>149760</v>
      </c>
      <c r="AB559" s="411"/>
      <c r="AC559" s="412">
        <v>0</v>
      </c>
      <c r="AD559" s="421"/>
      <c r="AE559" s="413"/>
      <c r="AF559" s="424">
        <f>AE559+AD559+AA559</f>
        <v>149760</v>
      </c>
      <c r="AG559" s="405" t="s">
        <v>1069</v>
      </c>
      <c r="AH559" s="405"/>
      <c r="AI559" s="405">
        <v>60</v>
      </c>
      <c r="AJ559" s="405" t="s">
        <v>1251</v>
      </c>
      <c r="AK559" s="405" t="s">
        <v>1252</v>
      </c>
      <c r="AL559" s="425" t="s">
        <v>1253</v>
      </c>
      <c r="AM559" s="405" t="s">
        <v>52</v>
      </c>
      <c r="AN559" s="405" t="s">
        <v>1071</v>
      </c>
      <c r="AO559" s="405"/>
      <c r="AP559" s="413"/>
      <c r="AQ559" s="413" t="s">
        <v>37</v>
      </c>
      <c r="AR559" s="405"/>
      <c r="AS559" s="386"/>
      <c r="AT559" s="281"/>
      <c r="AU559" s="403"/>
      <c r="AV559" s="402">
        <f t="shared" si="113"/>
        <v>49201132</v>
      </c>
      <c r="AW559" s="402" cm="1">
        <f t="array" ref="AW559">SUM(MID(0&amp;AV559,LARGE(INDEX(ISNUMBER(--MID(AV559,ROW($1:$8),1))*ROW($1:$8),),ROW($1:$8))+1,1)*10^ROW($1:$8)/10)</f>
        <v>49201132</v>
      </c>
      <c r="AX559" s="402" t="str">
        <f>VLOOKUP($AW559,'Item Master Data'!$A:$F,3,FALSE)</f>
        <v>Q.PEAK DUO BLK G10+</v>
      </c>
      <c r="AY559" s="402">
        <f>VLOOKUP($AW559,'Item Master Data'!$A:$F,6,FALSE)</f>
        <v>360</v>
      </c>
      <c r="AZ559" s="402">
        <f t="shared" si="114"/>
        <v>26</v>
      </c>
      <c r="BA559" s="402">
        <f>VLOOKUP(AW559,'Item Master Data'!$A:$G,7,FALSE)</f>
        <v>32</v>
      </c>
      <c r="BB559" s="402"/>
      <c r="BC559" s="402">
        <f t="shared" si="115"/>
        <v>0</v>
      </c>
    </row>
    <row r="560" spans="1:55">
      <c r="A560" s="278"/>
      <c r="B560" s="279"/>
      <c r="C560" s="279"/>
      <c r="D560" s="366" t="s">
        <v>2804</v>
      </c>
      <c r="E560" s="280"/>
      <c r="F560" s="405"/>
      <c r="G560" s="405">
        <v>2022</v>
      </c>
      <c r="H560" s="405">
        <v>6</v>
      </c>
      <c r="I560" s="416"/>
      <c r="J560" s="406"/>
      <c r="K560" s="405" t="s">
        <v>2920</v>
      </c>
      <c r="L560" s="405" t="s">
        <v>1263</v>
      </c>
      <c r="M560" s="406">
        <v>44477</v>
      </c>
      <c r="N560" s="406">
        <v>44655</v>
      </c>
      <c r="O560" s="406"/>
      <c r="P560" s="406"/>
      <c r="Q560" s="406"/>
      <c r="R560" s="406"/>
      <c r="S560" s="405" t="s">
        <v>1098</v>
      </c>
      <c r="T560" s="405">
        <v>60</v>
      </c>
      <c r="U560" s="405">
        <v>49201132</v>
      </c>
      <c r="V560" s="405" t="s">
        <v>986</v>
      </c>
      <c r="W560" s="407">
        <v>360</v>
      </c>
      <c r="X560" s="371">
        <f>2496-1664</f>
        <v>832</v>
      </c>
      <c r="Y560" s="408">
        <f>W560*X560</f>
        <v>299520</v>
      </c>
      <c r="Z560" s="409">
        <v>0.5</v>
      </c>
      <c r="AA560" s="410">
        <f>Y560*Z560</f>
        <v>149760</v>
      </c>
      <c r="AB560" s="411"/>
      <c r="AC560" s="412">
        <v>0</v>
      </c>
      <c r="AD560" s="421"/>
      <c r="AE560" s="413"/>
      <c r="AF560" s="424">
        <f>AE560+AD560+AA560</f>
        <v>149760</v>
      </c>
      <c r="AG560" s="405" t="s">
        <v>1069</v>
      </c>
      <c r="AH560" s="405"/>
      <c r="AI560" s="405">
        <v>60</v>
      </c>
      <c r="AJ560" s="405" t="s">
        <v>1177</v>
      </c>
      <c r="AK560" s="405" t="s">
        <v>1070</v>
      </c>
      <c r="AL560" s="425">
        <v>21046</v>
      </c>
      <c r="AM560" s="405" t="s">
        <v>52</v>
      </c>
      <c r="AN560" s="405" t="s">
        <v>1071</v>
      </c>
      <c r="AO560" s="405"/>
      <c r="AP560" s="413"/>
      <c r="AQ560" s="413"/>
      <c r="AR560" s="405"/>
      <c r="AS560" s="386"/>
      <c r="AT560" s="281" t="s">
        <v>1073</v>
      </c>
      <c r="AU560" s="403"/>
      <c r="AV560" s="402">
        <f t="shared" si="113"/>
        <v>49201132</v>
      </c>
      <c r="AW560" s="402" cm="1">
        <f t="array" ref="AW560">SUM(MID(0&amp;AV560,LARGE(INDEX(ISNUMBER(--MID(AV560,ROW($1:$8),1))*ROW($1:$8),),ROW($1:$8))+1,1)*10^ROW($1:$8)/10)</f>
        <v>49201132</v>
      </c>
      <c r="AX560" s="402" t="str">
        <f>VLOOKUP($AW560,'Item Master Data'!$A:$F,3,FALSE)</f>
        <v>Q.PEAK DUO BLK G10+</v>
      </c>
      <c r="AY560" s="402">
        <f>VLOOKUP($AW560,'Item Master Data'!$A:$F,6,FALSE)</f>
        <v>360</v>
      </c>
      <c r="AZ560" s="402">
        <f t="shared" si="114"/>
        <v>26</v>
      </c>
      <c r="BA560" s="402">
        <f>VLOOKUP(AW560,'Item Master Data'!$A:$G,7,FALSE)</f>
        <v>32</v>
      </c>
      <c r="BB560" s="402"/>
      <c r="BC560" s="402">
        <f t="shared" si="115"/>
        <v>0</v>
      </c>
    </row>
    <row r="561" spans="1:55">
      <c r="A561" s="278"/>
      <c r="B561" s="279"/>
      <c r="C561" s="279"/>
      <c r="D561" s="366" t="s">
        <v>2804</v>
      </c>
      <c r="E561" s="280"/>
      <c r="F561" s="405"/>
      <c r="G561" s="405">
        <v>2022</v>
      </c>
      <c r="H561" s="405">
        <v>6</v>
      </c>
      <c r="I561" s="416"/>
      <c r="J561" s="406"/>
      <c r="K561" s="405" t="s">
        <v>2921</v>
      </c>
      <c r="L561" s="405" t="s">
        <v>1263</v>
      </c>
      <c r="M561" s="406">
        <v>44544</v>
      </c>
      <c r="N561" s="406">
        <v>44683</v>
      </c>
      <c r="O561" s="406"/>
      <c r="P561" s="406"/>
      <c r="Q561" s="406"/>
      <c r="R561" s="406"/>
      <c r="S561" s="405" t="s">
        <v>1098</v>
      </c>
      <c r="T561" s="405">
        <v>60</v>
      </c>
      <c r="U561" s="405">
        <v>49201132</v>
      </c>
      <c r="V561" s="405" t="s">
        <v>986</v>
      </c>
      <c r="W561" s="407">
        <v>360</v>
      </c>
      <c r="X561" s="371">
        <v>3328</v>
      </c>
      <c r="Y561" s="408">
        <f>W561*X561</f>
        <v>1198080</v>
      </c>
      <c r="Z561" s="409">
        <v>0.5</v>
      </c>
      <c r="AA561" s="410">
        <f>Y561*Z561</f>
        <v>599040</v>
      </c>
      <c r="AB561" s="411"/>
      <c r="AC561" s="412">
        <v>0</v>
      </c>
      <c r="AD561" s="421"/>
      <c r="AE561" s="413"/>
      <c r="AF561" s="424">
        <f>AE561+AD561+AA561</f>
        <v>599040</v>
      </c>
      <c r="AG561" s="405" t="s">
        <v>1069</v>
      </c>
      <c r="AH561" s="405"/>
      <c r="AI561" s="405">
        <v>60</v>
      </c>
      <c r="AJ561" s="405" t="s">
        <v>1177</v>
      </c>
      <c r="AK561" s="405" t="s">
        <v>1070</v>
      </c>
      <c r="AL561" s="425">
        <v>21046</v>
      </c>
      <c r="AM561" s="405" t="s">
        <v>52</v>
      </c>
      <c r="AN561" s="405" t="s">
        <v>1071</v>
      </c>
      <c r="AO561" s="405"/>
      <c r="AP561" s="413"/>
      <c r="AQ561" s="413"/>
      <c r="AR561" s="405"/>
      <c r="AS561" s="386"/>
      <c r="AT561" s="281" t="s">
        <v>1073</v>
      </c>
      <c r="AU561" s="403"/>
      <c r="AV561" s="402">
        <f t="shared" si="113"/>
        <v>49201132</v>
      </c>
      <c r="AW561" s="402" cm="1">
        <f t="array" ref="AW561">SUM(MID(0&amp;AV561,LARGE(INDEX(ISNUMBER(--MID(AV561,ROW($1:$8),1))*ROW($1:$8),),ROW($1:$8))+1,1)*10^ROW($1:$8)/10)</f>
        <v>49201132</v>
      </c>
      <c r="AX561" s="402" t="str">
        <f>VLOOKUP($AW561,'Item Master Data'!$A:$F,3,FALSE)</f>
        <v>Q.PEAK DUO BLK G10+</v>
      </c>
      <c r="AY561" s="402">
        <f>VLOOKUP($AW561,'Item Master Data'!$A:$F,6,FALSE)</f>
        <v>360</v>
      </c>
      <c r="AZ561" s="402">
        <f t="shared" si="114"/>
        <v>104</v>
      </c>
      <c r="BA561" s="402">
        <f>VLOOKUP(AW561,'Item Master Data'!$A:$G,7,FALSE)</f>
        <v>32</v>
      </c>
      <c r="BB561" s="402"/>
      <c r="BC561" s="402">
        <f t="shared" si="115"/>
        <v>0</v>
      </c>
    </row>
    <row r="562" spans="1:55">
      <c r="A562" s="278"/>
      <c r="B562" s="279"/>
      <c r="C562" s="279"/>
      <c r="D562" s="366" t="s">
        <v>2804</v>
      </c>
      <c r="E562" s="280"/>
      <c r="F562" s="405"/>
      <c r="G562" s="405">
        <v>2022</v>
      </c>
      <c r="H562" s="405">
        <v>6</v>
      </c>
      <c r="I562" s="416"/>
      <c r="J562" s="406"/>
      <c r="K562" s="405" t="s">
        <v>2922</v>
      </c>
      <c r="L562" s="405" t="s">
        <v>1263</v>
      </c>
      <c r="M562" s="406">
        <v>44544</v>
      </c>
      <c r="N562" s="406">
        <v>44718</v>
      </c>
      <c r="O562" s="406"/>
      <c r="P562" s="406"/>
      <c r="Q562" s="406"/>
      <c r="R562" s="406"/>
      <c r="S562" s="405" t="s">
        <v>1098</v>
      </c>
      <c r="T562" s="405">
        <v>60</v>
      </c>
      <c r="U562" s="405">
        <v>49201132</v>
      </c>
      <c r="V562" s="405" t="s">
        <v>986</v>
      </c>
      <c r="W562" s="407">
        <v>360</v>
      </c>
      <c r="X562" s="371">
        <v>1664</v>
      </c>
      <c r="Y562" s="408">
        <f>W562*X562</f>
        <v>599040</v>
      </c>
      <c r="Z562" s="409">
        <v>0.5</v>
      </c>
      <c r="AA562" s="410">
        <f>Y562*Z562</f>
        <v>299520</v>
      </c>
      <c r="AB562" s="411"/>
      <c r="AC562" s="412">
        <v>0</v>
      </c>
      <c r="AD562" s="421"/>
      <c r="AE562" s="413"/>
      <c r="AF562" s="424">
        <f>AE562+AD562+AA562</f>
        <v>299520</v>
      </c>
      <c r="AG562" s="405" t="s">
        <v>1069</v>
      </c>
      <c r="AH562" s="405"/>
      <c r="AI562" s="405">
        <v>60</v>
      </c>
      <c r="AJ562" s="405" t="s">
        <v>1177</v>
      </c>
      <c r="AK562" s="405" t="s">
        <v>1070</v>
      </c>
      <c r="AL562" s="425">
        <v>21046</v>
      </c>
      <c r="AM562" s="405" t="s">
        <v>52</v>
      </c>
      <c r="AN562" s="405" t="s">
        <v>1071</v>
      </c>
      <c r="AO562" s="405"/>
      <c r="AP562" s="413"/>
      <c r="AQ562" s="413"/>
      <c r="AR562" s="405"/>
      <c r="AS562" s="386"/>
      <c r="AT562" s="281" t="s">
        <v>1073</v>
      </c>
      <c r="AU562" s="403"/>
      <c r="AV562" s="402"/>
      <c r="AW562" s="402"/>
      <c r="AX562" s="402"/>
      <c r="AY562" s="402"/>
      <c r="AZ562" s="402"/>
      <c r="BA562" s="402"/>
      <c r="BB562" s="402"/>
      <c r="BC562" s="402"/>
    </row>
    <row r="563" spans="1:55">
      <c r="A563" s="278" t="s">
        <v>4584</v>
      </c>
      <c r="B563" s="491"/>
      <c r="C563" s="279"/>
      <c r="D563" s="366" t="s">
        <v>2804</v>
      </c>
      <c r="E563" s="280" t="s">
        <v>4896</v>
      </c>
      <c r="F563" s="405"/>
      <c r="G563" s="405">
        <v>2022</v>
      </c>
      <c r="H563" s="373">
        <v>5</v>
      </c>
      <c r="I563" s="405"/>
      <c r="J563" s="406"/>
      <c r="K563" s="405" t="s">
        <v>2927</v>
      </c>
      <c r="L563" s="406" t="s">
        <v>1308</v>
      </c>
      <c r="M563" s="406">
        <v>44498</v>
      </c>
      <c r="N563" s="406">
        <v>44621</v>
      </c>
      <c r="O563" s="406"/>
      <c r="P563" s="406"/>
      <c r="Q563" s="406" t="s">
        <v>4598</v>
      </c>
      <c r="R563" s="406"/>
      <c r="S563" s="405" t="s">
        <v>1098</v>
      </c>
      <c r="T563" s="405">
        <v>60</v>
      </c>
      <c r="U563" s="405"/>
      <c r="V563" s="405" t="s">
        <v>986</v>
      </c>
      <c r="W563" s="407">
        <v>360</v>
      </c>
      <c r="X563" s="371">
        <v>832</v>
      </c>
      <c r="Y563" s="408">
        <f>W563*X563</f>
        <v>299520</v>
      </c>
      <c r="Z563" s="409">
        <v>0.53</v>
      </c>
      <c r="AA563" s="410">
        <f>Y563*Z563</f>
        <v>158745.60000000001</v>
      </c>
      <c r="AB563" s="411"/>
      <c r="AC563" s="412">
        <v>0</v>
      </c>
      <c r="AD563" s="421"/>
      <c r="AE563" s="413"/>
      <c r="AF563" s="424">
        <f>AE563+AD563+AA563</f>
        <v>158745.60000000001</v>
      </c>
      <c r="AG563" s="405" t="s">
        <v>1069</v>
      </c>
      <c r="AH563" s="405"/>
      <c r="AI563" s="405">
        <v>60</v>
      </c>
      <c r="AJ563" s="405" t="s">
        <v>1291</v>
      </c>
      <c r="AK563" s="405" t="s">
        <v>1292</v>
      </c>
      <c r="AL563" s="425">
        <v>18360</v>
      </c>
      <c r="AM563" s="405" t="s">
        <v>52</v>
      </c>
      <c r="AN563" s="405"/>
      <c r="AO563" s="405"/>
      <c r="AP563" s="413"/>
      <c r="AQ563" s="413" t="s">
        <v>37</v>
      </c>
      <c r="AR563" s="405"/>
      <c r="AS563" s="386"/>
      <c r="AT563" s="281"/>
      <c r="AU563" s="403"/>
      <c r="AV563" s="402">
        <f t="shared" ref="AV563:AV568" si="116">U563</f>
        <v>0</v>
      </c>
      <c r="AW563" s="402" cm="1">
        <f t="array" ref="AW563">SUM(MID(0&amp;AV563,LARGE(INDEX(ISNUMBER(--MID(AV563,ROW($1:$8),1))*ROW($1:$8),),ROW($1:$8))+1,1)*10^ROW($1:$8)/10)</f>
        <v>0</v>
      </c>
      <c r="AX563" s="402" t="e">
        <f>VLOOKUP($AW563,'Item Master Data'!$A:$F,3,FALSE)</f>
        <v>#N/A</v>
      </c>
      <c r="AY563" s="402" t="e">
        <f>VLOOKUP($AW563,'Item Master Data'!$A:$F,6,FALSE)</f>
        <v>#N/A</v>
      </c>
      <c r="AZ563" s="402" t="e">
        <f t="shared" ref="AZ563:AZ568" si="117">X563/BA563</f>
        <v>#N/A</v>
      </c>
      <c r="BA563" s="402" t="e">
        <f>VLOOKUP(AW563,'Item Master Data'!$A:$G,7,FALSE)</f>
        <v>#N/A</v>
      </c>
      <c r="BB563" s="402"/>
      <c r="BC563" s="402" t="e">
        <f t="shared" ref="BC563:BC568" si="118">W563-AY563</f>
        <v>#N/A</v>
      </c>
    </row>
    <row r="564" spans="1:55">
      <c r="A564" s="278" t="s">
        <v>4584</v>
      </c>
      <c r="B564" s="279"/>
      <c r="C564" s="279"/>
      <c r="D564" s="366" t="s">
        <v>2804</v>
      </c>
      <c r="E564" s="280"/>
      <c r="F564" s="405"/>
      <c r="G564" s="405">
        <v>2022</v>
      </c>
      <c r="H564" s="405">
        <v>5</v>
      </c>
      <c r="I564" s="416"/>
      <c r="J564" s="406"/>
      <c r="K564" s="405" t="s">
        <v>2925</v>
      </c>
      <c r="L564" s="405" t="s">
        <v>2813</v>
      </c>
      <c r="M564" s="406">
        <v>44529</v>
      </c>
      <c r="N564" s="406">
        <v>44652</v>
      </c>
      <c r="O564" s="406"/>
      <c r="P564" s="406"/>
      <c r="Q564" s="406"/>
      <c r="R564" s="406"/>
      <c r="S564" s="405" t="s">
        <v>1098</v>
      </c>
      <c r="T564" s="405">
        <v>60</v>
      </c>
      <c r="U564" s="405">
        <v>49201132</v>
      </c>
      <c r="V564" s="405" t="s">
        <v>986</v>
      </c>
      <c r="W564" s="407">
        <v>360</v>
      </c>
      <c r="X564" s="371">
        <v>2496</v>
      </c>
      <c r="Y564" s="408">
        <f>W564*X564</f>
        <v>898560</v>
      </c>
      <c r="Z564" s="409">
        <v>0.5</v>
      </c>
      <c r="AA564" s="410">
        <f>Y564*Z564</f>
        <v>449280</v>
      </c>
      <c r="AB564" s="411"/>
      <c r="AC564" s="412">
        <v>0</v>
      </c>
      <c r="AD564" s="421"/>
      <c r="AE564" s="413"/>
      <c r="AF564" s="424">
        <f>AE564+AD564+AA564</f>
        <v>449280</v>
      </c>
      <c r="AG564" s="405" t="s">
        <v>1069</v>
      </c>
      <c r="AH564" s="405"/>
      <c r="AI564" s="405">
        <v>60</v>
      </c>
      <c r="AJ564" s="405" t="s">
        <v>2814</v>
      </c>
      <c r="AK564" s="405" t="s">
        <v>1130</v>
      </c>
      <c r="AL564" s="425" t="s">
        <v>2815</v>
      </c>
      <c r="AM564" s="405" t="s">
        <v>52</v>
      </c>
      <c r="AN564" s="405" t="s">
        <v>1071</v>
      </c>
      <c r="AO564" s="405"/>
      <c r="AP564" s="413"/>
      <c r="AQ564" s="413" t="s">
        <v>37</v>
      </c>
      <c r="AR564" s="405"/>
      <c r="AS564" s="386" t="s">
        <v>1073</v>
      </c>
      <c r="AT564" s="281" t="s">
        <v>1073</v>
      </c>
      <c r="AU564" s="403"/>
      <c r="AV564" s="402">
        <f t="shared" si="116"/>
        <v>49201132</v>
      </c>
      <c r="AW564" s="402" cm="1">
        <f t="array" ref="AW564">SUM(MID(0&amp;AV564,LARGE(INDEX(ISNUMBER(--MID(AV564,ROW($1:$8),1))*ROW($1:$8),),ROW($1:$8))+1,1)*10^ROW($1:$8)/10)</f>
        <v>49201132</v>
      </c>
      <c r="AX564" s="402" t="str">
        <f>VLOOKUP($AW564,'Item Master Data'!$A:$F,3,FALSE)</f>
        <v>Q.PEAK DUO BLK G10+</v>
      </c>
      <c r="AY564" s="402">
        <f>VLOOKUP($AW564,'Item Master Data'!$A:$F,6,FALSE)</f>
        <v>360</v>
      </c>
      <c r="AZ564" s="402">
        <f t="shared" si="117"/>
        <v>78</v>
      </c>
      <c r="BA564" s="402">
        <f>VLOOKUP(AW564,'Item Master Data'!$A:$G,7,FALSE)</f>
        <v>32</v>
      </c>
      <c r="BB564" s="402"/>
      <c r="BC564" s="402">
        <f t="shared" si="118"/>
        <v>0</v>
      </c>
    </row>
    <row r="565" spans="1:55">
      <c r="A565" s="278"/>
      <c r="B565" s="279"/>
      <c r="C565" s="279"/>
      <c r="D565" s="366" t="s">
        <v>2804</v>
      </c>
      <c r="E565" s="280"/>
      <c r="F565" s="405"/>
      <c r="G565" s="405">
        <v>2022</v>
      </c>
      <c r="H565" s="405">
        <v>6</v>
      </c>
      <c r="I565" s="416"/>
      <c r="J565" s="406"/>
      <c r="K565" s="405" t="s">
        <v>2926</v>
      </c>
      <c r="L565" s="405" t="s">
        <v>2813</v>
      </c>
      <c r="M565" s="406">
        <v>44529</v>
      </c>
      <c r="N565" s="406">
        <v>44713</v>
      </c>
      <c r="O565" s="406"/>
      <c r="P565" s="406"/>
      <c r="Q565" s="406"/>
      <c r="R565" s="406"/>
      <c r="S565" s="405" t="s">
        <v>1098</v>
      </c>
      <c r="T565" s="405">
        <v>60</v>
      </c>
      <c r="U565" s="405">
        <v>49401140</v>
      </c>
      <c r="V565" s="405" t="s">
        <v>973</v>
      </c>
      <c r="W565" s="407">
        <v>400</v>
      </c>
      <c r="X565" s="371">
        <v>2304</v>
      </c>
      <c r="Y565" s="408">
        <f>W565*X565</f>
        <v>921600</v>
      </c>
      <c r="Z565" s="409">
        <v>0.52</v>
      </c>
      <c r="AA565" s="410">
        <f>Y565*Z565</f>
        <v>479232</v>
      </c>
      <c r="AB565" s="411"/>
      <c r="AC565" s="412">
        <v>0</v>
      </c>
      <c r="AD565" s="421"/>
      <c r="AE565" s="413"/>
      <c r="AF565" s="424">
        <f>AE565+AD565+AA565</f>
        <v>479232</v>
      </c>
      <c r="AG565" s="405" t="s">
        <v>1069</v>
      </c>
      <c r="AH565" s="405"/>
      <c r="AI565" s="405">
        <v>60</v>
      </c>
      <c r="AJ565" s="405" t="s">
        <v>2814</v>
      </c>
      <c r="AK565" s="405" t="s">
        <v>1130</v>
      </c>
      <c r="AL565" s="425" t="s">
        <v>2815</v>
      </c>
      <c r="AM565" s="405" t="s">
        <v>52</v>
      </c>
      <c r="AN565" s="405" t="s">
        <v>1071</v>
      </c>
      <c r="AO565" s="405"/>
      <c r="AP565" s="413"/>
      <c r="AQ565" s="413" t="s">
        <v>37</v>
      </c>
      <c r="AR565" s="405"/>
      <c r="AS565" s="386" t="s">
        <v>1073</v>
      </c>
      <c r="AT565" s="281" t="s">
        <v>1073</v>
      </c>
      <c r="AU565" s="403"/>
      <c r="AV565" s="402">
        <f t="shared" si="116"/>
        <v>49401140</v>
      </c>
      <c r="AW565" s="402" cm="1">
        <f t="array" ref="AW565">SUM(MID(0&amp;AV565,LARGE(INDEX(ISNUMBER(--MID(AV565,ROW($1:$8),1))*ROW($1:$8),),ROW($1:$8))+1,1)*10^ROW($1:$8)/10)</f>
        <v>49401140</v>
      </c>
      <c r="AX565" s="402" t="str">
        <f>VLOOKUP($AW565,'Item Master Data'!$A:$F,3,FALSE)</f>
        <v>Q.PEAK DUO BLK ML G10.a+</v>
      </c>
      <c r="AY565" s="402">
        <f>VLOOKUP($AW565,'Item Master Data'!$A:$F,6,FALSE)</f>
        <v>400</v>
      </c>
      <c r="AZ565" s="402">
        <f t="shared" si="117"/>
        <v>72</v>
      </c>
      <c r="BA565" s="402">
        <f>VLOOKUP(AW565,'Item Master Data'!$A:$G,7,FALSE)</f>
        <v>32</v>
      </c>
      <c r="BB565" s="402"/>
      <c r="BC565" s="402">
        <f t="shared" si="118"/>
        <v>0</v>
      </c>
    </row>
    <row r="566" spans="1:55">
      <c r="A566" s="278" t="s">
        <v>4585</v>
      </c>
      <c r="B566" s="279"/>
      <c r="C566" s="279"/>
      <c r="D566" s="366" t="s">
        <v>2804</v>
      </c>
      <c r="E566" s="280" t="s">
        <v>4958</v>
      </c>
      <c r="F566" s="405"/>
      <c r="G566" s="405">
        <v>2022</v>
      </c>
      <c r="H566" s="405">
        <v>6</v>
      </c>
      <c r="I566" s="416"/>
      <c r="J566" s="406"/>
      <c r="K566" s="509" t="s">
        <v>2954</v>
      </c>
      <c r="L566" s="509" t="s">
        <v>1308</v>
      </c>
      <c r="M566" s="406">
        <v>44498</v>
      </c>
      <c r="N566" s="406">
        <v>44652</v>
      </c>
      <c r="O566" s="406"/>
      <c r="P566" s="406"/>
      <c r="Q566" s="406"/>
      <c r="R566" s="406"/>
      <c r="S566" s="405" t="s">
        <v>1098</v>
      </c>
      <c r="T566" s="405">
        <v>60</v>
      </c>
      <c r="U566" s="405"/>
      <c r="V566" s="405" t="s">
        <v>986</v>
      </c>
      <c r="W566" s="407">
        <v>360</v>
      </c>
      <c r="X566" s="371">
        <v>1664</v>
      </c>
      <c r="Y566" s="408">
        <f>W566*X566</f>
        <v>599040</v>
      </c>
      <c r="Z566" s="409">
        <v>0.53</v>
      </c>
      <c r="AA566" s="410">
        <f>Y566*Z566</f>
        <v>317491.20000000001</v>
      </c>
      <c r="AB566" s="411"/>
      <c r="AC566" s="412">
        <v>0</v>
      </c>
      <c r="AD566" s="421"/>
      <c r="AE566" s="413"/>
      <c r="AF566" s="424">
        <f>AE566+AD566+AA566</f>
        <v>317491.20000000001</v>
      </c>
      <c r="AG566" s="405" t="s">
        <v>1069</v>
      </c>
      <c r="AH566" s="405"/>
      <c r="AI566" s="405">
        <v>60</v>
      </c>
      <c r="AJ566" s="405" t="s">
        <v>1291</v>
      </c>
      <c r="AK566" s="405" t="s">
        <v>1292</v>
      </c>
      <c r="AL566" s="425">
        <v>18360</v>
      </c>
      <c r="AM566" s="405" t="s">
        <v>52</v>
      </c>
      <c r="AN566" s="405"/>
      <c r="AO566" s="405"/>
      <c r="AP566" s="413"/>
      <c r="AQ566" s="413" t="s">
        <v>37</v>
      </c>
      <c r="AR566" s="405"/>
      <c r="AS566" s="386"/>
      <c r="AT566" s="281"/>
      <c r="AU566" s="403"/>
      <c r="AV566" s="402">
        <f t="shared" si="116"/>
        <v>0</v>
      </c>
      <c r="AW566" s="402" cm="1">
        <f t="array" ref="AW566">SUM(MID(0&amp;AV566,LARGE(INDEX(ISNUMBER(--MID(AV566,ROW($1:$8),1))*ROW($1:$8),),ROW($1:$8))+1,1)*10^ROW($1:$8)/10)</f>
        <v>0</v>
      </c>
      <c r="AX566" s="402" t="e">
        <f>VLOOKUP($AW566,'Item Master Data'!$A:$F,3,FALSE)</f>
        <v>#N/A</v>
      </c>
      <c r="AY566" s="402" t="e">
        <f>VLOOKUP($AW566,'Item Master Data'!$A:$F,6,FALSE)</f>
        <v>#N/A</v>
      </c>
      <c r="AZ566" s="402" t="e">
        <f t="shared" si="117"/>
        <v>#N/A</v>
      </c>
      <c r="BA566" s="402" t="e">
        <f>VLOOKUP(AW566,'Item Master Data'!$A:$G,7,FALSE)</f>
        <v>#N/A</v>
      </c>
      <c r="BB566" s="402"/>
      <c r="BC566" s="402" t="e">
        <f t="shared" si="118"/>
        <v>#N/A</v>
      </c>
    </row>
    <row r="567" spans="1:55">
      <c r="A567" s="278"/>
      <c r="B567" s="279"/>
      <c r="C567" s="279"/>
      <c r="D567" s="366" t="s">
        <v>2804</v>
      </c>
      <c r="E567" s="280" t="s">
        <v>4958</v>
      </c>
      <c r="F567" s="405"/>
      <c r="G567" s="405">
        <v>2022</v>
      </c>
      <c r="H567" s="405">
        <v>6</v>
      </c>
      <c r="I567" s="416"/>
      <c r="J567" s="406"/>
      <c r="K567" s="509" t="s">
        <v>4710</v>
      </c>
      <c r="L567" s="509" t="s">
        <v>1308</v>
      </c>
      <c r="M567" s="406">
        <v>44498</v>
      </c>
      <c r="N567" s="406">
        <v>44652</v>
      </c>
      <c r="O567" s="406"/>
      <c r="P567" s="406"/>
      <c r="Q567" s="406"/>
      <c r="R567" s="406"/>
      <c r="S567" s="405" t="s">
        <v>1098</v>
      </c>
      <c r="T567" s="405">
        <v>60</v>
      </c>
      <c r="U567" s="405"/>
      <c r="V567" s="405" t="s">
        <v>986</v>
      </c>
      <c r="W567" s="407">
        <v>360</v>
      </c>
      <c r="X567" s="371">
        <v>832</v>
      </c>
      <c r="Y567" s="408">
        <f>W567*X567</f>
        <v>299520</v>
      </c>
      <c r="Z567" s="409">
        <v>0.53</v>
      </c>
      <c r="AA567" s="410">
        <f>Y567*Z567</f>
        <v>158745.60000000001</v>
      </c>
      <c r="AB567" s="411"/>
      <c r="AC567" s="412">
        <v>0</v>
      </c>
      <c r="AD567" s="421"/>
      <c r="AE567" s="413"/>
      <c r="AF567" s="424">
        <f>AE567+AD567+AA567</f>
        <v>158745.60000000001</v>
      </c>
      <c r="AG567" s="405" t="s">
        <v>1069</v>
      </c>
      <c r="AH567" s="405"/>
      <c r="AI567" s="405">
        <v>60</v>
      </c>
      <c r="AJ567" s="405" t="s">
        <v>1291</v>
      </c>
      <c r="AK567" s="405" t="s">
        <v>1292</v>
      </c>
      <c r="AL567" s="425">
        <v>18360</v>
      </c>
      <c r="AM567" s="405" t="s">
        <v>52</v>
      </c>
      <c r="AN567" s="405"/>
      <c r="AO567" s="405"/>
      <c r="AP567" s="413"/>
      <c r="AQ567" s="413" t="s">
        <v>37</v>
      </c>
      <c r="AR567" s="405"/>
      <c r="AS567" s="386"/>
      <c r="AT567" s="281"/>
      <c r="AU567" s="403"/>
      <c r="AV567" s="402">
        <f t="shared" si="116"/>
        <v>0</v>
      </c>
      <c r="AW567" s="402" cm="1">
        <f t="array" ref="AW567">SUM(MID(0&amp;AV567,LARGE(INDEX(ISNUMBER(--MID(AV567,ROW($1:$8),1))*ROW($1:$8),),ROW($1:$8))+1,1)*10^ROW($1:$8)/10)</f>
        <v>0</v>
      </c>
      <c r="AX567" s="402" t="e">
        <f>VLOOKUP($AW567,'Item Master Data'!$A:$F,3,FALSE)</f>
        <v>#N/A</v>
      </c>
      <c r="AY567" s="402" t="e">
        <f>VLOOKUP($AW567,'Item Master Data'!$A:$F,6,FALSE)</f>
        <v>#N/A</v>
      </c>
      <c r="AZ567" s="402" t="e">
        <f t="shared" si="117"/>
        <v>#N/A</v>
      </c>
      <c r="BA567" s="402" t="e">
        <f>VLOOKUP(AW567,'Item Master Data'!$A:$G,7,FALSE)</f>
        <v>#N/A</v>
      </c>
      <c r="BB567" s="402"/>
      <c r="BC567" s="402" t="e">
        <f t="shared" si="118"/>
        <v>#N/A</v>
      </c>
    </row>
    <row r="568" spans="1:55">
      <c r="A568" s="278"/>
      <c r="B568" s="279"/>
      <c r="C568" s="279" t="s">
        <v>4585</v>
      </c>
      <c r="D568" s="366" t="s">
        <v>2804</v>
      </c>
      <c r="E568" s="280"/>
      <c r="F568" s="405" t="s">
        <v>1139</v>
      </c>
      <c r="G568" s="405">
        <v>2022</v>
      </c>
      <c r="H568" s="405">
        <v>6</v>
      </c>
      <c r="I568" s="416"/>
      <c r="J568" s="406"/>
      <c r="K568" s="405" t="s">
        <v>2928</v>
      </c>
      <c r="L568" s="453" t="s">
        <v>1310</v>
      </c>
      <c r="M568" s="406">
        <v>44532</v>
      </c>
      <c r="N568" s="406">
        <v>44713</v>
      </c>
      <c r="O568" s="406"/>
      <c r="P568" s="406"/>
      <c r="Q568" s="406"/>
      <c r="R568" s="406"/>
      <c r="S568" s="405" t="s">
        <v>1098</v>
      </c>
      <c r="T568" s="405">
        <v>60</v>
      </c>
      <c r="U568" s="405">
        <v>49201132</v>
      </c>
      <c r="V568" s="405" t="s">
        <v>986</v>
      </c>
      <c r="W568" s="407">
        <v>360</v>
      </c>
      <c r="X568" s="371">
        <v>832</v>
      </c>
      <c r="Y568" s="408">
        <f>W568*X568</f>
        <v>299520</v>
      </c>
      <c r="Z568" s="409">
        <v>0.53</v>
      </c>
      <c r="AA568" s="410">
        <f>Y568*Z568</f>
        <v>158745.60000000001</v>
      </c>
      <c r="AB568" s="411"/>
      <c r="AC568" s="412">
        <v>0</v>
      </c>
      <c r="AD568" s="421"/>
      <c r="AE568" s="413"/>
      <c r="AF568" s="424">
        <f>AE568+AD568+AA568</f>
        <v>158745.60000000001</v>
      </c>
      <c r="AG568" s="405" t="s">
        <v>1069</v>
      </c>
      <c r="AH568" s="405"/>
      <c r="AI568" s="405">
        <v>60</v>
      </c>
      <c r="AJ568" s="405" t="s">
        <v>1311</v>
      </c>
      <c r="AK568" s="405" t="s">
        <v>1312</v>
      </c>
      <c r="AL568" s="425">
        <v>5401</v>
      </c>
      <c r="AM568" s="405" t="s">
        <v>52</v>
      </c>
      <c r="AN568" s="405" t="s">
        <v>1071</v>
      </c>
      <c r="AO568" s="405"/>
      <c r="AP568" s="413"/>
      <c r="AQ568" s="413" t="s">
        <v>37</v>
      </c>
      <c r="AR568" s="405"/>
      <c r="AS568" s="386"/>
      <c r="AT568" s="281"/>
      <c r="AU568" s="403"/>
      <c r="AV568" s="402">
        <f t="shared" si="116"/>
        <v>49201132</v>
      </c>
      <c r="AW568" s="402" cm="1">
        <f t="array" ref="AW568">SUM(MID(0&amp;AV568,LARGE(INDEX(ISNUMBER(--MID(AV568,ROW($1:$8),1))*ROW($1:$8),),ROW($1:$8))+1,1)*10^ROW($1:$8)/10)</f>
        <v>49201132</v>
      </c>
      <c r="AX568" s="402" t="str">
        <f>VLOOKUP($AW568,'Item Master Data'!$A:$F,3,FALSE)</f>
        <v>Q.PEAK DUO BLK G10+</v>
      </c>
      <c r="AY568" s="402">
        <f>VLOOKUP($AW568,'Item Master Data'!$A:$F,6,FALSE)</f>
        <v>360</v>
      </c>
      <c r="AZ568" s="402">
        <f t="shared" si="117"/>
        <v>26</v>
      </c>
      <c r="BA568" s="402">
        <f>VLOOKUP(AW568,'Item Master Data'!$A:$G,7,FALSE)</f>
        <v>32</v>
      </c>
      <c r="BB568" s="402"/>
      <c r="BC568" s="402">
        <f t="shared" si="118"/>
        <v>0</v>
      </c>
    </row>
    <row r="569" spans="1:55">
      <c r="A569" s="278"/>
      <c r="B569" s="279"/>
      <c r="C569" s="279"/>
      <c r="D569" s="366" t="s">
        <v>2804</v>
      </c>
      <c r="E569" s="280" t="s">
        <v>2930</v>
      </c>
      <c r="F569" s="405" t="s">
        <v>1139</v>
      </c>
      <c r="G569" s="405">
        <v>2022</v>
      </c>
      <c r="H569" s="405">
        <v>6</v>
      </c>
      <c r="I569" s="416" t="s">
        <v>1393</v>
      </c>
      <c r="J569" s="406"/>
      <c r="K569" s="405" t="s">
        <v>2906</v>
      </c>
      <c r="L569" s="405" t="s">
        <v>2907</v>
      </c>
      <c r="M569" s="406">
        <v>44489</v>
      </c>
      <c r="N569" s="406">
        <v>44234</v>
      </c>
      <c r="O569" s="406"/>
      <c r="P569" s="406"/>
      <c r="Q569" s="406"/>
      <c r="R569" s="406"/>
      <c r="S569" s="405" t="s">
        <v>1098</v>
      </c>
      <c r="T569" s="405">
        <v>60</v>
      </c>
      <c r="U569" s="405">
        <v>49201132</v>
      </c>
      <c r="V569" s="405" t="s">
        <v>986</v>
      </c>
      <c r="W569" s="407">
        <v>360</v>
      </c>
      <c r="X569" s="371">
        <v>3520</v>
      </c>
      <c r="Y569" s="408">
        <f>W569*X569</f>
        <v>1267200</v>
      </c>
      <c r="Z569" s="409">
        <v>0.5</v>
      </c>
      <c r="AA569" s="410">
        <f>Y569*Z569</f>
        <v>633600</v>
      </c>
      <c r="AB569" s="411"/>
      <c r="AC569" s="412">
        <f>AB569*Y569</f>
        <v>0</v>
      </c>
      <c r="AD569" s="421"/>
      <c r="AE569" s="413"/>
      <c r="AF569" s="424">
        <f>AE569+AD569+AA569</f>
        <v>633600</v>
      </c>
      <c r="AG569" s="405" t="s">
        <v>47</v>
      </c>
      <c r="AH569" s="405">
        <v>100</v>
      </c>
      <c r="AI569" s="405">
        <v>0</v>
      </c>
      <c r="AJ569" s="405" t="s">
        <v>2822</v>
      </c>
      <c r="AK569" s="405" t="s">
        <v>1082</v>
      </c>
      <c r="AL569" s="425" t="s">
        <v>2908</v>
      </c>
      <c r="AM569" s="405" t="s">
        <v>52</v>
      </c>
      <c r="AN569" s="405" t="s">
        <v>1071</v>
      </c>
      <c r="AO569" s="405"/>
      <c r="AP569" s="413"/>
      <c r="AQ569" s="413"/>
      <c r="AR569" s="405"/>
      <c r="AS569" s="386"/>
      <c r="AT569" s="281"/>
      <c r="AU569" s="403"/>
      <c r="AV569" s="402"/>
      <c r="AW569" s="402"/>
      <c r="AX569" s="402"/>
      <c r="AY569" s="402"/>
      <c r="AZ569" s="402"/>
      <c r="BA569" s="402"/>
      <c r="BB569" s="402"/>
      <c r="BC569" s="402"/>
    </row>
    <row r="570" spans="1:55">
      <c r="A570" s="278"/>
      <c r="B570" s="279"/>
      <c r="C570" s="279"/>
      <c r="D570" s="366" t="s">
        <v>2804</v>
      </c>
      <c r="E570" s="280" t="s">
        <v>2931</v>
      </c>
      <c r="F570" s="405" t="s">
        <v>1139</v>
      </c>
      <c r="G570" s="405">
        <v>2022</v>
      </c>
      <c r="H570" s="405">
        <v>6</v>
      </c>
      <c r="I570" s="416" t="s">
        <v>1393</v>
      </c>
      <c r="J570" s="406"/>
      <c r="K570" s="405" t="s">
        <v>2932</v>
      </c>
      <c r="L570" s="405" t="s">
        <v>2907</v>
      </c>
      <c r="M570" s="406">
        <v>44489</v>
      </c>
      <c r="N570" s="406">
        <v>44262</v>
      </c>
      <c r="O570" s="406"/>
      <c r="P570" s="406"/>
      <c r="Q570" s="406"/>
      <c r="R570" s="406"/>
      <c r="S570" s="405" t="s">
        <v>1098</v>
      </c>
      <c r="T570" s="405">
        <v>60</v>
      </c>
      <c r="U570" s="405">
        <v>49201132</v>
      </c>
      <c r="V570" s="405" t="s">
        <v>986</v>
      </c>
      <c r="W570" s="407">
        <v>360</v>
      </c>
      <c r="X570" s="371">
        <v>832</v>
      </c>
      <c r="Y570" s="408">
        <f>W570*X570</f>
        <v>299520</v>
      </c>
      <c r="Z570" s="409">
        <v>0.5</v>
      </c>
      <c r="AA570" s="410">
        <f>Y570*Z570</f>
        <v>149760</v>
      </c>
      <c r="AB570" s="411"/>
      <c r="AC570" s="412">
        <f>AB570*Y570</f>
        <v>0</v>
      </c>
      <c r="AD570" s="421"/>
      <c r="AE570" s="413"/>
      <c r="AF570" s="424">
        <f>AE570+AD570+AA570</f>
        <v>149760</v>
      </c>
      <c r="AG570" s="405" t="s">
        <v>47</v>
      </c>
      <c r="AH570" s="405">
        <v>100</v>
      </c>
      <c r="AI570" s="405">
        <v>0</v>
      </c>
      <c r="AJ570" s="405" t="s">
        <v>2822</v>
      </c>
      <c r="AK570" s="405" t="s">
        <v>1082</v>
      </c>
      <c r="AL570" s="425" t="s">
        <v>2908</v>
      </c>
      <c r="AM570" s="405" t="s">
        <v>52</v>
      </c>
      <c r="AN570" s="405" t="s">
        <v>1071</v>
      </c>
      <c r="AO570" s="405"/>
      <c r="AP570" s="413"/>
      <c r="AQ570" s="413" t="s">
        <v>1083</v>
      </c>
      <c r="AR570" s="405"/>
      <c r="AS570" s="386" t="s">
        <v>1084</v>
      </c>
      <c r="AT570" s="281" t="s">
        <v>1073</v>
      </c>
      <c r="AU570" s="403"/>
      <c r="AV570" s="402">
        <f>U570</f>
        <v>49201132</v>
      </c>
      <c r="AW570" s="402" cm="1">
        <f t="array" ref="AW570">SUM(MID(0&amp;AV570,LARGE(INDEX(ISNUMBER(--MID(AV570,ROW($1:$8),1))*ROW($1:$8),),ROW($1:$8))+1,1)*10^ROW($1:$8)/10)</f>
        <v>49201132</v>
      </c>
      <c r="AX570" s="402" t="str">
        <f>VLOOKUP($AW570,'Item Master Data'!$A:$F,3,FALSE)</f>
        <v>Q.PEAK DUO BLK G10+</v>
      </c>
      <c r="AY570" s="402">
        <f>VLOOKUP($AW570,'Item Master Data'!$A:$F,6,FALSE)</f>
        <v>360</v>
      </c>
      <c r="AZ570" s="402">
        <f>X570/BA570</f>
        <v>26</v>
      </c>
      <c r="BA570" s="402">
        <f>VLOOKUP(AW570,'Item Master Data'!$A:$G,7,FALSE)</f>
        <v>32</v>
      </c>
      <c r="BB570" s="402"/>
      <c r="BC570" s="402">
        <f>W570-AY570</f>
        <v>0</v>
      </c>
    </row>
    <row r="571" spans="1:55">
      <c r="A571" s="278" t="s">
        <v>4584</v>
      </c>
      <c r="B571" s="491"/>
      <c r="C571" s="279">
        <v>44694</v>
      </c>
      <c r="D571" s="366" t="s">
        <v>2804</v>
      </c>
      <c r="E571" s="280" t="s">
        <v>4961</v>
      </c>
      <c r="F571" s="405"/>
      <c r="G571" s="405">
        <v>2022</v>
      </c>
      <c r="H571" s="405">
        <v>5</v>
      </c>
      <c r="I571" s="405"/>
      <c r="J571" s="406"/>
      <c r="K571" s="405" t="s">
        <v>2859</v>
      </c>
      <c r="L571" s="406" t="s">
        <v>1315</v>
      </c>
      <c r="M571" s="406">
        <v>44517</v>
      </c>
      <c r="N571" s="406">
        <v>44652</v>
      </c>
      <c r="O571" s="406"/>
      <c r="P571" s="406"/>
      <c r="Q571" s="406"/>
      <c r="R571" s="406"/>
      <c r="S571" s="405" t="s">
        <v>1098</v>
      </c>
      <c r="T571" s="405">
        <v>60</v>
      </c>
      <c r="U571" s="405"/>
      <c r="V571" s="405" t="s">
        <v>986</v>
      </c>
      <c r="W571" s="407">
        <v>360</v>
      </c>
      <c r="X571" s="371">
        <v>768</v>
      </c>
      <c r="Y571" s="408">
        <f>W571*X571</f>
        <v>276480</v>
      </c>
      <c r="Z571" s="409">
        <v>0.53</v>
      </c>
      <c r="AA571" s="410">
        <f>Y571*Z571</f>
        <v>146534.39999999999</v>
      </c>
      <c r="AB571" s="411"/>
      <c r="AC571" s="412">
        <f>AB571*Y571</f>
        <v>0</v>
      </c>
      <c r="AD571" s="421"/>
      <c r="AE571" s="413"/>
      <c r="AF571" s="424">
        <f>AE571+AD571+AA571</f>
        <v>146534.39999999999</v>
      </c>
      <c r="AG571" s="405" t="s">
        <v>1069</v>
      </c>
      <c r="AH571" s="405">
        <v>0</v>
      </c>
      <c r="AI571" s="405">
        <v>60</v>
      </c>
      <c r="AJ571" s="405" t="s">
        <v>1316</v>
      </c>
      <c r="AK571" s="405" t="s">
        <v>1317</v>
      </c>
      <c r="AL571" s="425" t="s">
        <v>2816</v>
      </c>
      <c r="AM571" s="405" t="s">
        <v>52</v>
      </c>
      <c r="AN571" s="405" t="s">
        <v>1101</v>
      </c>
      <c r="AO571" s="405"/>
      <c r="AP571" s="413"/>
      <c r="AQ571" s="413" t="s">
        <v>37</v>
      </c>
      <c r="AR571" s="405"/>
      <c r="AS571" s="386" t="s">
        <v>1084</v>
      </c>
      <c r="AT571" s="281" t="s">
        <v>1073</v>
      </c>
      <c r="AU571" s="403"/>
      <c r="AV571" s="402">
        <f>U571</f>
        <v>0</v>
      </c>
      <c r="AW571" s="402" cm="1">
        <f t="array" ref="AW571">SUM(MID(0&amp;AV571,LARGE(INDEX(ISNUMBER(--MID(AV571,ROW($1:$8),1))*ROW($1:$8),),ROW($1:$8))+1,1)*10^ROW($1:$8)/10)</f>
        <v>0</v>
      </c>
      <c r="AX571" s="402" t="e">
        <f>VLOOKUP($AW571,'Item Master Data'!$A:$F,3,FALSE)</f>
        <v>#N/A</v>
      </c>
      <c r="AY571" s="402" t="e">
        <f>VLOOKUP($AW571,'Item Master Data'!$A:$F,6,FALSE)</f>
        <v>#N/A</v>
      </c>
      <c r="AZ571" s="402" t="e">
        <f>X571/BA571</f>
        <v>#N/A</v>
      </c>
      <c r="BA571" s="402" t="e">
        <f>VLOOKUP(AW571,'Item Master Data'!$A:$G,7,FALSE)</f>
        <v>#N/A</v>
      </c>
      <c r="BB571" s="402"/>
      <c r="BC571" s="402" t="e">
        <f>W571-AY571</f>
        <v>#N/A</v>
      </c>
    </row>
    <row r="572" spans="1:55">
      <c r="A572" s="278" t="s">
        <v>4584</v>
      </c>
      <c r="B572" s="491"/>
      <c r="C572" s="279"/>
      <c r="D572" s="366" t="s">
        <v>2804</v>
      </c>
      <c r="E572" s="280" t="s">
        <v>4857</v>
      </c>
      <c r="F572" s="405"/>
      <c r="G572" s="405">
        <v>2022</v>
      </c>
      <c r="H572" s="405">
        <v>5</v>
      </c>
      <c r="I572" s="405"/>
      <c r="J572" s="406"/>
      <c r="K572" s="405" t="s">
        <v>4503</v>
      </c>
      <c r="L572" s="406" t="s">
        <v>2823</v>
      </c>
      <c r="M572" s="406">
        <v>44676</v>
      </c>
      <c r="N572" s="406">
        <v>44676</v>
      </c>
      <c r="O572" s="406"/>
      <c r="P572" s="406">
        <v>44692</v>
      </c>
      <c r="Q572" s="406"/>
      <c r="R572" s="406"/>
      <c r="S572" s="405" t="s">
        <v>1098</v>
      </c>
      <c r="T572" s="405">
        <v>60</v>
      </c>
      <c r="U572" s="405">
        <v>49405140</v>
      </c>
      <c r="V572" s="405" t="s">
        <v>973</v>
      </c>
      <c r="W572" s="407">
        <v>400</v>
      </c>
      <c r="X572" s="371">
        <v>3328</v>
      </c>
      <c r="Y572" s="408">
        <f>W572*X572</f>
        <v>1331200</v>
      </c>
      <c r="Z572" s="409">
        <v>0.48499999999999999</v>
      </c>
      <c r="AA572" s="410">
        <f>Y572*Z572</f>
        <v>645632</v>
      </c>
      <c r="AB572" s="411"/>
      <c r="AC572" s="412">
        <f>AB572*Y572</f>
        <v>0</v>
      </c>
      <c r="AD572" s="421"/>
      <c r="AE572" s="413"/>
      <c r="AF572" s="424">
        <f>AE572+AD572+AA572</f>
        <v>645632</v>
      </c>
      <c r="AG572" s="405" t="s">
        <v>1069</v>
      </c>
      <c r="AH572" s="405"/>
      <c r="AI572" s="405">
        <v>60</v>
      </c>
      <c r="AJ572" s="405" t="s">
        <v>1378</v>
      </c>
      <c r="AK572" s="405" t="s">
        <v>1176</v>
      </c>
      <c r="AL572" s="425">
        <v>6410</v>
      </c>
      <c r="AM572" s="405" t="s">
        <v>52</v>
      </c>
      <c r="AN572" s="405" t="s">
        <v>1101</v>
      </c>
      <c r="AO572" s="405"/>
      <c r="AP572" s="413"/>
      <c r="AQ572" s="413" t="s">
        <v>37</v>
      </c>
      <c r="AR572" s="405"/>
      <c r="AS572" s="386" t="s">
        <v>1073</v>
      </c>
      <c r="AT572" s="281" t="s">
        <v>1073</v>
      </c>
      <c r="AU572" s="403"/>
      <c r="AV572" s="402">
        <f>U572</f>
        <v>49405140</v>
      </c>
      <c r="AW572" s="402" cm="1">
        <f t="array" ref="AW572">SUM(MID(0&amp;AV572,LARGE(INDEX(ISNUMBER(--MID(AV572,ROW($1:$8),1))*ROW($1:$8),),ROW($1:$8))+1,1)*10^ROW($1:$8)/10)</f>
        <v>49405140</v>
      </c>
      <c r="AX572" s="402" t="str">
        <f>VLOOKUP($AW572,'Item Master Data'!$A:$F,3,FALSE)</f>
        <v>Q.PEAK DUO BLK ML G10+</v>
      </c>
      <c r="AY572" s="402">
        <f>VLOOKUP($AW572,'Item Master Data'!$A:$F,6,FALSE)</f>
        <v>400</v>
      </c>
      <c r="AZ572" s="402">
        <f>X572/BA572</f>
        <v>104</v>
      </c>
      <c r="BA572" s="402">
        <f>VLOOKUP(AW572,'Item Master Data'!$A:$G,7,FALSE)</f>
        <v>32</v>
      </c>
      <c r="BB572" s="402"/>
      <c r="BC572" s="402">
        <f>W572-AY572</f>
        <v>0</v>
      </c>
    </row>
    <row r="573" spans="1:55">
      <c r="A573" s="278" t="s">
        <v>4585</v>
      </c>
      <c r="B573" s="491"/>
      <c r="C573" s="279"/>
      <c r="D573" s="366" t="s">
        <v>2804</v>
      </c>
      <c r="E573" s="280" t="s">
        <v>4336</v>
      </c>
      <c r="F573" s="405"/>
      <c r="G573" s="405">
        <v>2022</v>
      </c>
      <c r="H573" s="405">
        <v>6</v>
      </c>
      <c r="I573" s="405"/>
      <c r="J573" s="406"/>
      <c r="K573" s="453" t="s">
        <v>2902</v>
      </c>
      <c r="L573" s="406" t="s">
        <v>1315</v>
      </c>
      <c r="M573" s="406">
        <v>44517</v>
      </c>
      <c r="N573" s="406">
        <v>44621</v>
      </c>
      <c r="O573" s="406"/>
      <c r="P573" s="406"/>
      <c r="Q573" s="406" t="s">
        <v>4598</v>
      </c>
      <c r="R573" s="406"/>
      <c r="S573" s="405" t="s">
        <v>1098</v>
      </c>
      <c r="T573" s="405">
        <v>60</v>
      </c>
      <c r="U573" s="405"/>
      <c r="V573" s="405" t="s">
        <v>986</v>
      </c>
      <c r="W573" s="407">
        <v>360</v>
      </c>
      <c r="X573" s="371">
        <v>1536</v>
      </c>
      <c r="Y573" s="408">
        <f>W573*X573</f>
        <v>552960</v>
      </c>
      <c r="Z573" s="409">
        <v>0.53</v>
      </c>
      <c r="AA573" s="410">
        <f>Y573*Z573</f>
        <v>293068.79999999999</v>
      </c>
      <c r="AB573" s="411"/>
      <c r="AC573" s="412">
        <f>AB573*Y573</f>
        <v>0</v>
      </c>
      <c r="AD573" s="421"/>
      <c r="AE573" s="413"/>
      <c r="AF573" s="424">
        <f>AE573+AD573+AA573</f>
        <v>293068.79999999999</v>
      </c>
      <c r="AG573" s="405" t="s">
        <v>1069</v>
      </c>
      <c r="AH573" s="405">
        <v>0</v>
      </c>
      <c r="AI573" s="405">
        <v>60</v>
      </c>
      <c r="AJ573" s="405" t="s">
        <v>1316</v>
      </c>
      <c r="AK573" s="405" t="s">
        <v>1317</v>
      </c>
      <c r="AL573" s="425" t="s">
        <v>2816</v>
      </c>
      <c r="AM573" s="405" t="s">
        <v>52</v>
      </c>
      <c r="AN573" s="405" t="s">
        <v>1071</v>
      </c>
      <c r="AO573" s="405"/>
      <c r="AP573" s="413"/>
      <c r="AQ573" s="413" t="s">
        <v>1083</v>
      </c>
      <c r="AR573" s="405"/>
      <c r="AS573" s="386" t="s">
        <v>1084</v>
      </c>
      <c r="AT573" s="281" t="s">
        <v>1073</v>
      </c>
      <c r="AU573" s="403"/>
      <c r="AV573" s="402">
        <f>U573</f>
        <v>0</v>
      </c>
      <c r="AW573" s="402" cm="1">
        <f t="array" ref="AW573">SUM(MID(0&amp;AV573,LARGE(INDEX(ISNUMBER(--MID(AV573,ROW($1:$8),1))*ROW($1:$8),),ROW($1:$8))+1,1)*10^ROW($1:$8)/10)</f>
        <v>0</v>
      </c>
      <c r="AX573" s="402" t="e">
        <f>VLOOKUP($AW573,'Item Master Data'!$A:$F,3,FALSE)</f>
        <v>#N/A</v>
      </c>
      <c r="AY573" s="402" t="e">
        <f>VLOOKUP($AW573,'Item Master Data'!$A:$F,6,FALSE)</f>
        <v>#N/A</v>
      </c>
      <c r="AZ573" s="402" t="e">
        <f>X573/BA573</f>
        <v>#N/A</v>
      </c>
      <c r="BA573" s="402" t="e">
        <f>VLOOKUP(AW573,'Item Master Data'!$A:$G,7,FALSE)</f>
        <v>#N/A</v>
      </c>
      <c r="BB573" s="402"/>
      <c r="BC573" s="402" t="e">
        <f>W573-AY573</f>
        <v>#N/A</v>
      </c>
    </row>
    <row r="574" spans="1:55">
      <c r="A574" s="278" t="s">
        <v>4585</v>
      </c>
      <c r="B574" s="491"/>
      <c r="C574" s="279"/>
      <c r="D574" s="366" t="s">
        <v>2804</v>
      </c>
      <c r="E574" s="280" t="s">
        <v>4336</v>
      </c>
      <c r="F574" s="405"/>
      <c r="G574" s="405">
        <v>2022</v>
      </c>
      <c r="H574" s="405">
        <v>6</v>
      </c>
      <c r="I574" s="405"/>
      <c r="J574" s="406"/>
      <c r="K574" s="405" t="s">
        <v>2929</v>
      </c>
      <c r="L574" s="406" t="s">
        <v>1315</v>
      </c>
      <c r="M574" s="406">
        <v>44517</v>
      </c>
      <c r="N574" s="406">
        <v>44621</v>
      </c>
      <c r="O574" s="406"/>
      <c r="P574" s="406"/>
      <c r="Q574" s="406" t="s">
        <v>4598</v>
      </c>
      <c r="R574" s="406"/>
      <c r="S574" s="405" t="s">
        <v>1098</v>
      </c>
      <c r="T574" s="405">
        <v>60</v>
      </c>
      <c r="U574" s="405"/>
      <c r="V574" s="405" t="s">
        <v>986</v>
      </c>
      <c r="W574" s="407">
        <v>360</v>
      </c>
      <c r="X574" s="371">
        <f>2304-1536</f>
        <v>768</v>
      </c>
      <c r="Y574" s="408">
        <f>W574*X574</f>
        <v>276480</v>
      </c>
      <c r="Z574" s="409">
        <v>0.53</v>
      </c>
      <c r="AA574" s="410">
        <f>Y574*Z574</f>
        <v>146534.39999999999</v>
      </c>
      <c r="AB574" s="411"/>
      <c r="AC574" s="412">
        <f>AB574*Y574</f>
        <v>0</v>
      </c>
      <c r="AD574" s="421"/>
      <c r="AE574" s="413"/>
      <c r="AF574" s="424">
        <f>AE574+AD574+AA574</f>
        <v>146534.39999999999</v>
      </c>
      <c r="AG574" s="405" t="s">
        <v>1069</v>
      </c>
      <c r="AH574" s="405">
        <v>0</v>
      </c>
      <c r="AI574" s="405">
        <v>60</v>
      </c>
      <c r="AJ574" s="405" t="s">
        <v>1316</v>
      </c>
      <c r="AK574" s="405" t="s">
        <v>1317</v>
      </c>
      <c r="AL574" s="425" t="s">
        <v>2816</v>
      </c>
      <c r="AM574" s="405" t="s">
        <v>52</v>
      </c>
      <c r="AN574" s="405" t="s">
        <v>1071</v>
      </c>
      <c r="AO574" s="405"/>
      <c r="AP574" s="413"/>
      <c r="AQ574" s="413" t="s">
        <v>1083</v>
      </c>
      <c r="AR574" s="405"/>
      <c r="AS574" s="386" t="s">
        <v>1084</v>
      </c>
      <c r="AT574" s="281" t="s">
        <v>1073</v>
      </c>
      <c r="AU574" s="403"/>
      <c r="AV574" s="402"/>
      <c r="AW574" s="402"/>
      <c r="AX574" s="402"/>
      <c r="AY574" s="402"/>
      <c r="AZ574" s="402"/>
      <c r="BA574" s="402"/>
      <c r="BB574" s="402"/>
      <c r="BC574" s="402"/>
    </row>
    <row r="575" spans="1:55">
      <c r="A575" s="278"/>
      <c r="B575" s="279"/>
      <c r="C575" s="279"/>
      <c r="D575" s="366" t="s">
        <v>2804</v>
      </c>
      <c r="E575" s="280" t="s">
        <v>4975</v>
      </c>
      <c r="F575" s="405"/>
      <c r="G575" s="405">
        <v>2022</v>
      </c>
      <c r="H575" s="405">
        <v>6</v>
      </c>
      <c r="I575" s="416"/>
      <c r="J575" s="406"/>
      <c r="K575" s="405" t="s">
        <v>4976</v>
      </c>
      <c r="L575" s="405" t="s">
        <v>2813</v>
      </c>
      <c r="M575" s="406">
        <v>44512</v>
      </c>
      <c r="N575" s="406">
        <v>44621</v>
      </c>
      <c r="O575" s="406">
        <v>44652</v>
      </c>
      <c r="P575" s="406"/>
      <c r="Q575" s="406"/>
      <c r="R575" s="406"/>
      <c r="S575" s="405" t="s">
        <v>1098</v>
      </c>
      <c r="T575" s="405">
        <v>60</v>
      </c>
      <c r="U575" s="405"/>
      <c r="V575" s="405" t="s">
        <v>973</v>
      </c>
      <c r="W575" s="407">
        <v>400</v>
      </c>
      <c r="X575" s="371">
        <v>768</v>
      </c>
      <c r="Y575" s="408">
        <f>W575*X575</f>
        <v>307200</v>
      </c>
      <c r="Z575" s="409">
        <v>0.51</v>
      </c>
      <c r="AA575" s="410">
        <f>Y575*Z575</f>
        <v>156672</v>
      </c>
      <c r="AB575" s="411"/>
      <c r="AC575" s="412">
        <v>0</v>
      </c>
      <c r="AD575" s="421"/>
      <c r="AE575" s="413"/>
      <c r="AF575" s="424">
        <f>AE575+AD575+AA575</f>
        <v>156672</v>
      </c>
      <c r="AG575" s="405" t="s">
        <v>1069</v>
      </c>
      <c r="AH575" s="405"/>
      <c r="AI575" s="405">
        <v>60</v>
      </c>
      <c r="AJ575" s="405" t="s">
        <v>2814</v>
      </c>
      <c r="AK575" s="405" t="s">
        <v>1130</v>
      </c>
      <c r="AL575" s="425" t="s">
        <v>2815</v>
      </c>
      <c r="AM575" s="405" t="s">
        <v>52</v>
      </c>
      <c r="AN575" s="405" t="s">
        <v>1071</v>
      </c>
      <c r="AO575" s="405"/>
      <c r="AP575" s="413"/>
      <c r="AQ575" s="413" t="s">
        <v>37</v>
      </c>
      <c r="AR575" s="405" t="s">
        <v>2858</v>
      </c>
      <c r="AS575" s="386" t="s">
        <v>1073</v>
      </c>
      <c r="AT575" s="281" t="s">
        <v>1073</v>
      </c>
      <c r="AU575" s="403">
        <v>0.51</v>
      </c>
      <c r="AV575" s="402">
        <f>U575</f>
        <v>0</v>
      </c>
      <c r="AW575" s="402" cm="1">
        <f t="array" ref="AW575">SUM(MID(0&amp;AV575,LARGE(INDEX(ISNUMBER(--MID(AV575,ROW($1:$8),1))*ROW($1:$8),),ROW($1:$8))+1,1)*10^ROW($1:$8)/10)</f>
        <v>0</v>
      </c>
      <c r="AX575" s="402" t="e">
        <f>VLOOKUP($AW575,'Item Master Data'!$A:$F,3,FALSE)</f>
        <v>#N/A</v>
      </c>
      <c r="AY575" s="402" t="e">
        <f>VLOOKUP($AW575,'Item Master Data'!$A:$F,6,FALSE)</f>
        <v>#N/A</v>
      </c>
      <c r="AZ575" s="402" t="e">
        <f>X575/BA575</f>
        <v>#N/A</v>
      </c>
      <c r="BA575" s="402" t="e">
        <f>VLOOKUP(AW575,'Item Master Data'!$A:$G,7,FALSE)</f>
        <v>#N/A</v>
      </c>
      <c r="BB575" s="402"/>
      <c r="BC575" s="402" t="e">
        <f>W575-AY575</f>
        <v>#N/A</v>
      </c>
    </row>
    <row r="576" spans="1:55">
      <c r="A576" s="278" t="s">
        <v>4585</v>
      </c>
      <c r="B576" s="279"/>
      <c r="C576" s="279"/>
      <c r="D576" s="366" t="s">
        <v>2804</v>
      </c>
      <c r="E576" s="280"/>
      <c r="F576" s="405"/>
      <c r="G576" s="405">
        <v>2022</v>
      </c>
      <c r="H576" s="405">
        <v>6</v>
      </c>
      <c r="I576" s="416"/>
      <c r="J576" s="406"/>
      <c r="K576" s="453" t="s">
        <v>4709</v>
      </c>
      <c r="L576" s="453" t="s">
        <v>2813</v>
      </c>
      <c r="M576" s="406">
        <v>44529</v>
      </c>
      <c r="N576" s="406">
        <v>44682</v>
      </c>
      <c r="O576" s="406"/>
      <c r="P576" s="406"/>
      <c r="Q576" s="406"/>
      <c r="R576" s="406"/>
      <c r="S576" s="405" t="s">
        <v>1098</v>
      </c>
      <c r="T576" s="405">
        <v>60</v>
      </c>
      <c r="U576" s="405"/>
      <c r="V576" s="405" t="s">
        <v>986</v>
      </c>
      <c r="W576" s="407">
        <v>360</v>
      </c>
      <c r="X576" s="371">
        <f>1664-832</f>
        <v>832</v>
      </c>
      <c r="Y576" s="408">
        <f>W576*X576</f>
        <v>299520</v>
      </c>
      <c r="Z576" s="409">
        <v>0.5</v>
      </c>
      <c r="AA576" s="410">
        <f>Y576*Z576</f>
        <v>149760</v>
      </c>
      <c r="AB576" s="411"/>
      <c r="AC576" s="412">
        <v>0</v>
      </c>
      <c r="AD576" s="421"/>
      <c r="AE576" s="413"/>
      <c r="AF576" s="424">
        <f>AE576+AD576+AA576</f>
        <v>149760</v>
      </c>
      <c r="AG576" s="405" t="s">
        <v>1069</v>
      </c>
      <c r="AH576" s="405"/>
      <c r="AI576" s="405">
        <v>60</v>
      </c>
      <c r="AJ576" s="405" t="s">
        <v>2814</v>
      </c>
      <c r="AK576" s="405" t="s">
        <v>1130</v>
      </c>
      <c r="AL576" s="425" t="s">
        <v>2815</v>
      </c>
      <c r="AM576" s="405" t="s">
        <v>52</v>
      </c>
      <c r="AN576" s="405" t="s">
        <v>1071</v>
      </c>
      <c r="AO576" s="405"/>
      <c r="AP576" s="413"/>
      <c r="AQ576" s="413" t="s">
        <v>37</v>
      </c>
      <c r="AR576" s="405"/>
      <c r="AS576" s="386" t="s">
        <v>1073</v>
      </c>
      <c r="AT576" s="281" t="s">
        <v>1073</v>
      </c>
      <c r="AU576" s="403"/>
      <c r="AV576" s="402"/>
      <c r="AW576" s="402"/>
      <c r="AX576" s="402"/>
      <c r="AY576" s="402"/>
      <c r="AZ576" s="402"/>
      <c r="BA576" s="402"/>
      <c r="BB576" s="402"/>
      <c r="BC576" s="402"/>
    </row>
    <row r="577" spans="1:55">
      <c r="A577" s="278"/>
      <c r="B577" s="279"/>
      <c r="C577" s="279"/>
      <c r="D577" s="366" t="s">
        <v>2804</v>
      </c>
      <c r="E577" s="280" t="s">
        <v>4336</v>
      </c>
      <c r="F577" s="405"/>
      <c r="G577" s="405">
        <v>2022</v>
      </c>
      <c r="H577" s="405">
        <v>6</v>
      </c>
      <c r="I577" s="416"/>
      <c r="J577" s="406"/>
      <c r="K577" s="405" t="s">
        <v>2929</v>
      </c>
      <c r="L577" s="405" t="s">
        <v>1315</v>
      </c>
      <c r="M577" s="406">
        <v>44517</v>
      </c>
      <c r="N577" s="406">
        <v>44621</v>
      </c>
      <c r="O577" s="406"/>
      <c r="P577" s="406"/>
      <c r="Q577" s="406"/>
      <c r="R577" s="406"/>
      <c r="S577" s="405" t="s">
        <v>1098</v>
      </c>
      <c r="T577" s="405">
        <v>60</v>
      </c>
      <c r="U577" s="405"/>
      <c r="V577" s="405" t="s">
        <v>986</v>
      </c>
      <c r="W577" s="407">
        <v>360</v>
      </c>
      <c r="X577" s="371">
        <v>768</v>
      </c>
      <c r="Y577" s="408">
        <f>W577*X577</f>
        <v>276480</v>
      </c>
      <c r="Z577" s="409">
        <v>0.53</v>
      </c>
      <c r="AA577" s="410">
        <f>Y577*Z577</f>
        <v>146534.39999999999</v>
      </c>
      <c r="AB577" s="411"/>
      <c r="AC577" s="412">
        <f>AB577*Y577</f>
        <v>0</v>
      </c>
      <c r="AD577" s="421"/>
      <c r="AE577" s="413"/>
      <c r="AF577" s="424">
        <f>AE577+AD577+AA577</f>
        <v>146534.39999999999</v>
      </c>
      <c r="AG577" s="405" t="s">
        <v>1069</v>
      </c>
      <c r="AH577" s="405">
        <v>0</v>
      </c>
      <c r="AI577" s="405">
        <v>60</v>
      </c>
      <c r="AJ577" s="405" t="s">
        <v>1316</v>
      </c>
      <c r="AK577" s="405" t="s">
        <v>1317</v>
      </c>
      <c r="AL577" s="425" t="s">
        <v>2816</v>
      </c>
      <c r="AM577" s="405" t="s">
        <v>52</v>
      </c>
      <c r="AN577" s="405" t="s">
        <v>1071</v>
      </c>
      <c r="AO577" s="405"/>
      <c r="AP577" s="413"/>
      <c r="AQ577" s="413" t="s">
        <v>1083</v>
      </c>
      <c r="AR577" s="405"/>
      <c r="AS577" s="386" t="s">
        <v>1084</v>
      </c>
      <c r="AT577" s="281" t="s">
        <v>1073</v>
      </c>
      <c r="AU577" s="403"/>
      <c r="AV577" s="402">
        <f>U577</f>
        <v>0</v>
      </c>
      <c r="AW577" s="402" cm="1">
        <f t="array" ref="AW577">SUM(MID(0&amp;AV577,LARGE(INDEX(ISNUMBER(--MID(AV577,ROW($1:$8),1))*ROW($1:$8),),ROW($1:$8))+1,1)*10^ROW($1:$8)/10)</f>
        <v>0</v>
      </c>
      <c r="AX577" s="402" t="e">
        <f>VLOOKUP($AW577,'Item Master Data'!$A:$F,3,FALSE)</f>
        <v>#N/A</v>
      </c>
      <c r="AY577" s="402" t="e">
        <f>VLOOKUP($AW577,'Item Master Data'!$A:$F,6,FALSE)</f>
        <v>#N/A</v>
      </c>
      <c r="AZ577" s="402" t="e">
        <f>X577/BA577</f>
        <v>#N/A</v>
      </c>
      <c r="BA577" s="402" t="e">
        <f>VLOOKUP(AW577,'Item Master Data'!$A:$G,7,FALSE)</f>
        <v>#N/A</v>
      </c>
      <c r="BB577" s="402"/>
      <c r="BC577" s="402" t="e">
        <f>W577-AY577</f>
        <v>#N/A</v>
      </c>
    </row>
    <row r="578" spans="1:55">
      <c r="A578" s="278"/>
      <c r="B578" s="279"/>
      <c r="C578" s="279"/>
      <c r="D578" s="366" t="s">
        <v>2804</v>
      </c>
      <c r="E578" s="485" t="s">
        <v>4537</v>
      </c>
      <c r="F578" s="405"/>
      <c r="G578" s="405">
        <v>2022</v>
      </c>
      <c r="H578" s="405">
        <v>7</v>
      </c>
      <c r="I578" s="373" t="s">
        <v>1241</v>
      </c>
      <c r="J578" s="406"/>
      <c r="K578" s="405">
        <v>2006867</v>
      </c>
      <c r="L578" s="405" t="s">
        <v>1097</v>
      </c>
      <c r="M578" s="406">
        <v>44666</v>
      </c>
      <c r="N578" s="406">
        <v>44666</v>
      </c>
      <c r="O578" s="406"/>
      <c r="P578" s="406"/>
      <c r="Q578" s="406"/>
      <c r="R578" s="406"/>
      <c r="S578" s="405" t="s">
        <v>1098</v>
      </c>
      <c r="T578" s="405">
        <v>60</v>
      </c>
      <c r="U578" s="405"/>
      <c r="V578" s="405" t="s">
        <v>973</v>
      </c>
      <c r="W578" s="405">
        <v>400</v>
      </c>
      <c r="X578" s="375">
        <v>768</v>
      </c>
      <c r="Y578" s="408">
        <f>W578*X578</f>
        <v>307200</v>
      </c>
      <c r="Z578" s="409">
        <v>0.57999999999999996</v>
      </c>
      <c r="AA578" s="410">
        <f>Y578*Z578</f>
        <v>178176</v>
      </c>
      <c r="AB578" s="362"/>
      <c r="AC578" s="412">
        <f>AB578*Y578</f>
        <v>0</v>
      </c>
      <c r="AD578" s="405"/>
      <c r="AE578" s="413"/>
      <c r="AF578" s="424">
        <f>AE578+AD578+AA578</f>
        <v>178176</v>
      </c>
      <c r="AG578" s="405" t="s">
        <v>47</v>
      </c>
      <c r="AH578" s="395">
        <v>10</v>
      </c>
      <c r="AI578" s="405">
        <v>30</v>
      </c>
      <c r="AJ578" s="405" t="s">
        <v>2805</v>
      </c>
      <c r="AK578" s="405" t="s">
        <v>50</v>
      </c>
      <c r="AL578" s="425">
        <v>92590</v>
      </c>
      <c r="AM578" s="405" t="s">
        <v>52</v>
      </c>
      <c r="AN578" s="405"/>
      <c r="AO578" s="405"/>
      <c r="AP578" s="405"/>
      <c r="AQ578" s="405" t="s">
        <v>1083</v>
      </c>
      <c r="AR578" s="405"/>
      <c r="AS578" s="363" t="s">
        <v>1072</v>
      </c>
      <c r="AT578" s="363" t="s">
        <v>1072</v>
      </c>
      <c r="AU578" s="363" t="s">
        <v>1072</v>
      </c>
      <c r="AV578" s="402"/>
      <c r="AW578" s="402"/>
      <c r="AX578" s="402"/>
      <c r="AY578" s="402"/>
      <c r="AZ578" s="402"/>
      <c r="BA578" s="402"/>
      <c r="BB578" s="402"/>
      <c r="BC578" s="402"/>
    </row>
    <row r="579" spans="1:55">
      <c r="A579" s="278"/>
      <c r="B579" s="279"/>
      <c r="C579" s="279"/>
      <c r="D579" s="366" t="s">
        <v>2804</v>
      </c>
      <c r="E579" s="283"/>
      <c r="F579" s="405"/>
      <c r="G579" s="405">
        <v>2022</v>
      </c>
      <c r="H579" s="405">
        <v>7</v>
      </c>
      <c r="I579" s="405"/>
      <c r="J579" s="406"/>
      <c r="K579" s="405">
        <v>1069</v>
      </c>
      <c r="L579" s="406" t="s">
        <v>2806</v>
      </c>
      <c r="M579" s="406">
        <v>44551</v>
      </c>
      <c r="N579" s="406" t="s">
        <v>1461</v>
      </c>
      <c r="O579" s="406"/>
      <c r="P579" s="406"/>
      <c r="Q579" s="406"/>
      <c r="R579" s="406"/>
      <c r="S579" s="405" t="s">
        <v>1098</v>
      </c>
      <c r="T579" s="405">
        <v>60</v>
      </c>
      <c r="U579" s="405"/>
      <c r="V579" s="405" t="s">
        <v>973</v>
      </c>
      <c r="W579" s="407">
        <v>400</v>
      </c>
      <c r="X579" s="371">
        <f>16556-5376-5376</f>
        <v>5804</v>
      </c>
      <c r="Y579" s="408">
        <f>W579*X579</f>
        <v>2321600</v>
      </c>
      <c r="Z579" s="409">
        <v>0.48</v>
      </c>
      <c r="AA579" s="410">
        <f>Y579*Z579</f>
        <v>1114368</v>
      </c>
      <c r="AB579" s="411"/>
      <c r="AC579" s="412">
        <f>AB579*Y579</f>
        <v>0</v>
      </c>
      <c r="AD579" s="421"/>
      <c r="AE579" s="413"/>
      <c r="AF579" s="424">
        <f>AE579+AD579+AA579</f>
        <v>1114368</v>
      </c>
      <c r="AG579" s="405" t="s">
        <v>47</v>
      </c>
      <c r="AH579" s="405"/>
      <c r="AI579" s="405">
        <v>45</v>
      </c>
      <c r="AJ579" s="405" t="s">
        <v>1102</v>
      </c>
      <c r="AK579" s="405" t="s">
        <v>1102</v>
      </c>
      <c r="AL579" s="425" t="s">
        <v>2838</v>
      </c>
      <c r="AM579" s="405" t="s">
        <v>52</v>
      </c>
      <c r="AN579" s="405" t="s">
        <v>1071</v>
      </c>
      <c r="AO579" s="405"/>
      <c r="AP579" s="413"/>
      <c r="AQ579" s="413" t="s">
        <v>37</v>
      </c>
      <c r="AR579" s="405"/>
      <c r="AS579" s="386" t="s">
        <v>1073</v>
      </c>
      <c r="AT579" s="386" t="s">
        <v>1073</v>
      </c>
      <c r="AU579" s="403"/>
      <c r="AV579" s="402">
        <f>U579</f>
        <v>0</v>
      </c>
      <c r="AW579" s="402" cm="1">
        <f t="array" ref="AW579">SUM(MID(0&amp;AV579,LARGE(INDEX(ISNUMBER(--MID(AV579,ROW($1:$8),1))*ROW($1:$8),),ROW($1:$8))+1,1)*10^ROW($1:$8)/10)</f>
        <v>0</v>
      </c>
      <c r="AX579" s="402" t="e">
        <f>VLOOKUP($AW579,'Item Master Data'!$A:$F,3,FALSE)</f>
        <v>#N/A</v>
      </c>
      <c r="AY579" s="402" t="e">
        <f>VLOOKUP($AW579,'Item Master Data'!$A:$F,6,FALSE)</f>
        <v>#N/A</v>
      </c>
      <c r="AZ579" s="402" t="e">
        <f>X579/BA579</f>
        <v>#N/A</v>
      </c>
      <c r="BA579" s="402" t="e">
        <f>VLOOKUP(AW579,'Item Master Data'!$A:$G,7,FALSE)</f>
        <v>#N/A</v>
      </c>
      <c r="BB579" s="402"/>
      <c r="BC579" s="402" t="e">
        <f>W579-AY579</f>
        <v>#N/A</v>
      </c>
    </row>
    <row r="580" spans="1:55">
      <c r="A580" s="278"/>
      <c r="B580" s="279"/>
      <c r="C580" s="279"/>
      <c r="D580" s="366" t="s">
        <v>2804</v>
      </c>
      <c r="E580" s="283"/>
      <c r="F580" s="405"/>
      <c r="G580" s="405">
        <v>2022</v>
      </c>
      <c r="H580" s="405">
        <v>7</v>
      </c>
      <c r="I580" s="405"/>
      <c r="J580" s="406"/>
      <c r="K580" s="405">
        <v>1069</v>
      </c>
      <c r="L580" s="406" t="s">
        <v>2806</v>
      </c>
      <c r="M580" s="406">
        <v>44551</v>
      </c>
      <c r="N580" s="406" t="s">
        <v>2933</v>
      </c>
      <c r="O580" s="406"/>
      <c r="P580" s="406"/>
      <c r="Q580" s="406"/>
      <c r="R580" s="406"/>
      <c r="S580" s="405" t="s">
        <v>1098</v>
      </c>
      <c r="T580" s="405">
        <v>60</v>
      </c>
      <c r="U580" s="405"/>
      <c r="V580" s="405" t="s">
        <v>986</v>
      </c>
      <c r="W580" s="407">
        <v>360</v>
      </c>
      <c r="X580" s="371">
        <f>13136-9984</f>
        <v>3152</v>
      </c>
      <c r="Y580" s="408">
        <f>W580*X580</f>
        <v>1134720</v>
      </c>
      <c r="Z580" s="409">
        <v>0.47</v>
      </c>
      <c r="AA580" s="410">
        <f>Y580*Z580</f>
        <v>533318.40000000002</v>
      </c>
      <c r="AB580" s="411"/>
      <c r="AC580" s="412">
        <f>AB580*Y580</f>
        <v>0</v>
      </c>
      <c r="AD580" s="421"/>
      <c r="AE580" s="413"/>
      <c r="AF580" s="424">
        <f>AE580+AD580+AA580</f>
        <v>533318.40000000002</v>
      </c>
      <c r="AG580" s="405" t="s">
        <v>47</v>
      </c>
      <c r="AH580" s="405"/>
      <c r="AI580" s="405">
        <v>45</v>
      </c>
      <c r="AJ580" s="405" t="s">
        <v>1102</v>
      </c>
      <c r="AK580" s="405" t="s">
        <v>1102</v>
      </c>
      <c r="AL580" s="425" t="s">
        <v>2838</v>
      </c>
      <c r="AM580" s="405" t="s">
        <v>52</v>
      </c>
      <c r="AN580" s="405" t="s">
        <v>1071</v>
      </c>
      <c r="AO580" s="405"/>
      <c r="AP580" s="413"/>
      <c r="AQ580" s="413" t="s">
        <v>37</v>
      </c>
      <c r="AR580" s="405"/>
      <c r="AS580" s="386" t="s">
        <v>1073</v>
      </c>
      <c r="AT580" s="386" t="s">
        <v>1073</v>
      </c>
      <c r="AU580" s="403"/>
      <c r="AV580" s="402">
        <f>U580</f>
        <v>0</v>
      </c>
      <c r="AW580" s="402" cm="1">
        <f t="array" ref="AW580">SUM(MID(0&amp;AV580,LARGE(INDEX(ISNUMBER(--MID(AV580,ROW($1:$8),1))*ROW($1:$8),),ROW($1:$8))+1,1)*10^ROW($1:$8)/10)</f>
        <v>0</v>
      </c>
      <c r="AX580" s="402" t="e">
        <f>VLOOKUP($AW580,'Item Master Data'!$A:$F,3,FALSE)</f>
        <v>#N/A</v>
      </c>
      <c r="AY580" s="402" t="e">
        <f>VLOOKUP($AW580,'Item Master Data'!$A:$F,6,FALSE)</f>
        <v>#N/A</v>
      </c>
      <c r="AZ580" s="402" t="e">
        <f>X580/BA580</f>
        <v>#N/A</v>
      </c>
      <c r="BA580" s="402" t="e">
        <f>VLOOKUP(AW580,'Item Master Data'!$A:$G,7,FALSE)</f>
        <v>#N/A</v>
      </c>
      <c r="BB580" s="402"/>
      <c r="BC580" s="402" t="e">
        <f>W580-AY580</f>
        <v>#N/A</v>
      </c>
    </row>
    <row r="581" spans="1:55">
      <c r="A581" s="278" t="s">
        <v>4584</v>
      </c>
      <c r="B581" s="491"/>
      <c r="C581" s="279"/>
      <c r="D581" s="366" t="s">
        <v>2804</v>
      </c>
      <c r="E581" s="280" t="s">
        <v>4857</v>
      </c>
      <c r="F581" s="405"/>
      <c r="G581" s="405">
        <v>2022</v>
      </c>
      <c r="H581" s="405">
        <v>5</v>
      </c>
      <c r="I581" s="405"/>
      <c r="J581" s="406"/>
      <c r="K581" s="405" t="s">
        <v>4504</v>
      </c>
      <c r="L581" s="406" t="s">
        <v>2823</v>
      </c>
      <c r="M581" s="406">
        <v>44676</v>
      </c>
      <c r="N581" s="406">
        <v>44676</v>
      </c>
      <c r="O581" s="406"/>
      <c r="P581" s="406">
        <v>44692</v>
      </c>
      <c r="Q581" s="406"/>
      <c r="R581" s="406"/>
      <c r="S581" s="405" t="s">
        <v>1098</v>
      </c>
      <c r="T581" s="405">
        <v>60</v>
      </c>
      <c r="U581" s="405">
        <v>49405140</v>
      </c>
      <c r="V581" s="405" t="s">
        <v>973</v>
      </c>
      <c r="W581" s="407">
        <v>400</v>
      </c>
      <c r="X581" s="371">
        <v>1664</v>
      </c>
      <c r="Y581" s="408">
        <f>W581*X581</f>
        <v>665600</v>
      </c>
      <c r="Z581" s="409">
        <v>0.48499999999999999</v>
      </c>
      <c r="AA581" s="410">
        <f>Y581*Z581</f>
        <v>322816</v>
      </c>
      <c r="AB581" s="411"/>
      <c r="AC581" s="412">
        <f>AB581*Y581</f>
        <v>0</v>
      </c>
      <c r="AD581" s="421"/>
      <c r="AE581" s="413"/>
      <c r="AF581" s="424">
        <f>AE581+AD581+AA581</f>
        <v>322816</v>
      </c>
      <c r="AG581" s="405" t="s">
        <v>1069</v>
      </c>
      <c r="AH581" s="405"/>
      <c r="AI581" s="405">
        <v>60</v>
      </c>
      <c r="AJ581" s="405" t="s">
        <v>2824</v>
      </c>
      <c r="AK581" s="405" t="s">
        <v>1092</v>
      </c>
      <c r="AL581" s="425">
        <v>2576</v>
      </c>
      <c r="AM581" s="405" t="s">
        <v>52</v>
      </c>
      <c r="AN581" s="405" t="s">
        <v>1101</v>
      </c>
      <c r="AO581" s="405"/>
      <c r="AP581" s="413"/>
      <c r="AQ581" s="413" t="s">
        <v>37</v>
      </c>
      <c r="AR581" s="405"/>
      <c r="AS581" s="386" t="s">
        <v>1073</v>
      </c>
      <c r="AT581" s="281" t="s">
        <v>1073</v>
      </c>
      <c r="AU581" s="403"/>
      <c r="AV581" s="402">
        <f>U581</f>
        <v>49405140</v>
      </c>
      <c r="AW581" s="402" cm="1">
        <f t="array" ref="AW581">SUM(MID(0&amp;AV581,LARGE(INDEX(ISNUMBER(--MID(AV581,ROW($1:$8),1))*ROW($1:$8),),ROW($1:$8))+1,1)*10^ROW($1:$8)/10)</f>
        <v>49405140</v>
      </c>
      <c r="AX581" s="402" t="str">
        <f>VLOOKUP($AW581,'Item Master Data'!$A:$F,3,FALSE)</f>
        <v>Q.PEAK DUO BLK ML G10+</v>
      </c>
      <c r="AY581" s="402">
        <f>VLOOKUP($AW581,'Item Master Data'!$A:$F,6,FALSE)</f>
        <v>400</v>
      </c>
      <c r="AZ581" s="402">
        <f>X581/BA581</f>
        <v>52</v>
      </c>
      <c r="BA581" s="402">
        <f>VLOOKUP(AW581,'Item Master Data'!$A:$G,7,FALSE)</f>
        <v>32</v>
      </c>
      <c r="BB581" s="402"/>
      <c r="BC581" s="402">
        <f>W581-AY581</f>
        <v>0</v>
      </c>
    </row>
    <row r="582" spans="1:55">
      <c r="A582" s="278" t="s">
        <v>4585</v>
      </c>
      <c r="B582" s="491"/>
      <c r="C582" s="279"/>
      <c r="D582" s="366" t="s">
        <v>2804</v>
      </c>
      <c r="E582" s="280" t="s">
        <v>4857</v>
      </c>
      <c r="F582" s="405"/>
      <c r="G582" s="405">
        <v>2022</v>
      </c>
      <c r="H582" s="405">
        <v>5</v>
      </c>
      <c r="I582" s="405"/>
      <c r="J582" s="406"/>
      <c r="K582" s="405" t="s">
        <v>4505</v>
      </c>
      <c r="L582" s="406" t="s">
        <v>2823</v>
      </c>
      <c r="M582" s="406">
        <v>44676</v>
      </c>
      <c r="N582" s="406">
        <v>44676</v>
      </c>
      <c r="O582" s="406"/>
      <c r="P582" s="406">
        <v>44692</v>
      </c>
      <c r="Q582" s="406"/>
      <c r="R582" s="406"/>
      <c r="S582" s="405" t="s">
        <v>1098</v>
      </c>
      <c r="T582" s="405">
        <v>60</v>
      </c>
      <c r="U582" s="405">
        <v>49405140</v>
      </c>
      <c r="V582" s="405" t="s">
        <v>973</v>
      </c>
      <c r="W582" s="407">
        <v>400</v>
      </c>
      <c r="X582" s="371">
        <v>832</v>
      </c>
      <c r="Y582" s="408">
        <f>W582*X582</f>
        <v>332800</v>
      </c>
      <c r="Z582" s="409">
        <v>0.48499999999999999</v>
      </c>
      <c r="AA582" s="410">
        <f>Y582*Z582</f>
        <v>161408</v>
      </c>
      <c r="AB582" s="411"/>
      <c r="AC582" s="412">
        <f>AB582*Y582</f>
        <v>0</v>
      </c>
      <c r="AD582" s="421"/>
      <c r="AE582" s="413"/>
      <c r="AF582" s="424">
        <f>AE582+AD582+AA582</f>
        <v>161408</v>
      </c>
      <c r="AG582" s="405" t="s">
        <v>1069</v>
      </c>
      <c r="AH582" s="405"/>
      <c r="AI582" s="405">
        <v>60</v>
      </c>
      <c r="AJ582" s="405" t="s">
        <v>2827</v>
      </c>
      <c r="AK582" s="405" t="s">
        <v>1130</v>
      </c>
      <c r="AL582" s="425">
        <v>11779</v>
      </c>
      <c r="AM582" s="405" t="s">
        <v>52</v>
      </c>
      <c r="AN582" s="405" t="s">
        <v>1101</v>
      </c>
      <c r="AO582" s="405"/>
      <c r="AP582" s="413"/>
      <c r="AQ582" s="413" t="s">
        <v>37</v>
      </c>
      <c r="AR582" s="405"/>
      <c r="AS582" s="386" t="s">
        <v>1073</v>
      </c>
      <c r="AT582" s="281" t="s">
        <v>1073</v>
      </c>
      <c r="AU582" s="403"/>
      <c r="AV582" s="402">
        <f>U582</f>
        <v>49405140</v>
      </c>
      <c r="AW582" s="402" cm="1">
        <f t="array" ref="AW582">SUM(MID(0&amp;AV582,LARGE(INDEX(ISNUMBER(--MID(AV582,ROW($1:$8),1))*ROW($1:$8),),ROW($1:$8))+1,1)*10^ROW($1:$8)/10)</f>
        <v>49405140</v>
      </c>
      <c r="AX582" s="402" t="str">
        <f>VLOOKUP($AW582,'Item Master Data'!$A:$F,3,FALSE)</f>
        <v>Q.PEAK DUO BLK ML G10+</v>
      </c>
      <c r="AY582" s="402">
        <f>VLOOKUP($AW582,'Item Master Data'!$A:$F,6,FALSE)</f>
        <v>400</v>
      </c>
      <c r="AZ582" s="402">
        <f>X582/BA582</f>
        <v>26</v>
      </c>
      <c r="BA582" s="402">
        <f>VLOOKUP(AW582,'Item Master Data'!$A:$G,7,FALSE)</f>
        <v>32</v>
      </c>
      <c r="BB582" s="402"/>
      <c r="BC582" s="402">
        <f>W582-AY582</f>
        <v>0</v>
      </c>
    </row>
    <row r="583" spans="1:55">
      <c r="A583" s="278" t="s">
        <v>4584</v>
      </c>
      <c r="B583" s="491"/>
      <c r="C583" s="279"/>
      <c r="D583" s="366" t="s">
        <v>2804</v>
      </c>
      <c r="E583" s="280" t="s">
        <v>4857</v>
      </c>
      <c r="F583" s="405"/>
      <c r="G583" s="405">
        <v>2022</v>
      </c>
      <c r="H583" s="405">
        <v>5</v>
      </c>
      <c r="I583" s="405"/>
      <c r="J583" s="406"/>
      <c r="K583" s="405" t="s">
        <v>4506</v>
      </c>
      <c r="L583" s="406" t="s">
        <v>2823</v>
      </c>
      <c r="M583" s="406">
        <v>44676</v>
      </c>
      <c r="N583" s="406">
        <v>44676</v>
      </c>
      <c r="O583" s="406"/>
      <c r="P583" s="406">
        <v>44692</v>
      </c>
      <c r="Q583" s="406"/>
      <c r="R583" s="406"/>
      <c r="S583" s="405" t="s">
        <v>1098</v>
      </c>
      <c r="T583" s="405">
        <v>60</v>
      </c>
      <c r="U583" s="405">
        <v>49405140</v>
      </c>
      <c r="V583" s="405" t="s">
        <v>973</v>
      </c>
      <c r="W583" s="407">
        <v>400</v>
      </c>
      <c r="X583" s="371">
        <v>3328</v>
      </c>
      <c r="Y583" s="408">
        <f>W583*X583</f>
        <v>1331200</v>
      </c>
      <c r="Z583" s="409">
        <v>0.48499999999999999</v>
      </c>
      <c r="AA583" s="410">
        <f>Y583*Z583</f>
        <v>645632</v>
      </c>
      <c r="AB583" s="411"/>
      <c r="AC583" s="412">
        <f>AB583*Y583</f>
        <v>0</v>
      </c>
      <c r="AD583" s="421"/>
      <c r="AE583" s="413"/>
      <c r="AF583" s="424">
        <f>AE583+AD583+AA583</f>
        <v>645632</v>
      </c>
      <c r="AG583" s="405" t="s">
        <v>1069</v>
      </c>
      <c r="AH583" s="405"/>
      <c r="AI583" s="405">
        <v>60</v>
      </c>
      <c r="AJ583" s="405" t="s">
        <v>2825</v>
      </c>
      <c r="AK583" s="405" t="s">
        <v>1082</v>
      </c>
      <c r="AL583" s="425">
        <v>7719</v>
      </c>
      <c r="AM583" s="405" t="s">
        <v>52</v>
      </c>
      <c r="AN583" s="405" t="s">
        <v>1101</v>
      </c>
      <c r="AO583" s="405"/>
      <c r="AP583" s="413"/>
      <c r="AQ583" s="413" t="s">
        <v>37</v>
      </c>
      <c r="AR583" s="405"/>
      <c r="AS583" s="386" t="s">
        <v>1073</v>
      </c>
      <c r="AT583" s="281" t="s">
        <v>1073</v>
      </c>
      <c r="AU583" s="403"/>
      <c r="AV583" s="402">
        <f>U583</f>
        <v>49405140</v>
      </c>
      <c r="AW583" s="402" cm="1">
        <f t="array" ref="AW583">SUM(MID(0&amp;AV583,LARGE(INDEX(ISNUMBER(--MID(AV583,ROW($1:$8),1))*ROW($1:$8),),ROW($1:$8))+1,1)*10^ROW($1:$8)/10)</f>
        <v>49405140</v>
      </c>
      <c r="AX583" s="402" t="str">
        <f>VLOOKUP($AW583,'Item Master Data'!$A:$F,3,FALSE)</f>
        <v>Q.PEAK DUO BLK ML G10+</v>
      </c>
      <c r="AY583" s="402">
        <f>VLOOKUP($AW583,'Item Master Data'!$A:$F,6,FALSE)</f>
        <v>400</v>
      </c>
      <c r="AZ583" s="402">
        <f>X583/BA583</f>
        <v>104</v>
      </c>
      <c r="BA583" s="402">
        <f>VLOOKUP(AW583,'Item Master Data'!$A:$G,7,FALSE)</f>
        <v>32</v>
      </c>
      <c r="BB583" s="402"/>
      <c r="BC583" s="402">
        <f>W583-AY583</f>
        <v>0</v>
      </c>
    </row>
    <row r="584" spans="1:55">
      <c r="A584" s="278" t="s">
        <v>4584</v>
      </c>
      <c r="B584" s="491"/>
      <c r="C584" s="279"/>
      <c r="D584" s="366" t="s">
        <v>2804</v>
      </c>
      <c r="E584" s="280" t="s">
        <v>4857</v>
      </c>
      <c r="F584" s="405"/>
      <c r="G584" s="405">
        <v>2022</v>
      </c>
      <c r="H584" s="405">
        <v>5</v>
      </c>
      <c r="I584" s="405"/>
      <c r="J584" s="406"/>
      <c r="K584" s="405" t="s">
        <v>4507</v>
      </c>
      <c r="L584" s="406" t="s">
        <v>2823</v>
      </c>
      <c r="M584" s="406">
        <v>44676</v>
      </c>
      <c r="N584" s="406">
        <v>44676</v>
      </c>
      <c r="O584" s="406"/>
      <c r="P584" s="406">
        <v>44692</v>
      </c>
      <c r="Q584" s="406"/>
      <c r="R584" s="406"/>
      <c r="S584" s="405" t="s">
        <v>1098</v>
      </c>
      <c r="T584" s="405">
        <v>60</v>
      </c>
      <c r="U584" s="405">
        <v>49405140</v>
      </c>
      <c r="V584" s="405" t="s">
        <v>973</v>
      </c>
      <c r="W584" s="407">
        <v>400</v>
      </c>
      <c r="X584" s="371">
        <v>1664</v>
      </c>
      <c r="Y584" s="408">
        <f>W584*X584</f>
        <v>665600</v>
      </c>
      <c r="Z584" s="409">
        <v>0.48499999999999999</v>
      </c>
      <c r="AA584" s="410">
        <f>Y584*Z584</f>
        <v>322816</v>
      </c>
      <c r="AB584" s="411"/>
      <c r="AC584" s="412">
        <f>AB584*Y584</f>
        <v>0</v>
      </c>
      <c r="AD584" s="421"/>
      <c r="AE584" s="413"/>
      <c r="AF584" s="424">
        <f>AE584+AD584+AA584</f>
        <v>322816</v>
      </c>
      <c r="AG584" s="405" t="s">
        <v>1069</v>
      </c>
      <c r="AH584" s="405"/>
      <c r="AI584" s="405">
        <v>60</v>
      </c>
      <c r="AJ584" s="405" t="s">
        <v>2826</v>
      </c>
      <c r="AK584" s="405" t="s">
        <v>1292</v>
      </c>
      <c r="AL584" s="425">
        <v>19605</v>
      </c>
      <c r="AM584" s="405" t="s">
        <v>52</v>
      </c>
      <c r="AN584" s="405" t="s">
        <v>1101</v>
      </c>
      <c r="AO584" s="405"/>
      <c r="AP584" s="413"/>
      <c r="AQ584" s="413" t="s">
        <v>37</v>
      </c>
      <c r="AR584" s="405"/>
      <c r="AS584" s="386" t="s">
        <v>1073</v>
      </c>
      <c r="AT584" s="281" t="s">
        <v>1073</v>
      </c>
      <c r="AU584" s="403"/>
      <c r="AV584" s="402"/>
      <c r="AW584" s="402"/>
      <c r="AX584" s="402"/>
      <c r="AY584" s="402"/>
      <c r="AZ584" s="402"/>
      <c r="BA584" s="402"/>
      <c r="BB584" s="402"/>
      <c r="BC584" s="402"/>
    </row>
    <row r="585" spans="1:55">
      <c r="A585" s="278"/>
      <c r="B585" s="279"/>
      <c r="C585" s="279"/>
      <c r="D585" s="366" t="s">
        <v>2804</v>
      </c>
      <c r="E585" s="280" t="s">
        <v>2934</v>
      </c>
      <c r="F585" s="405"/>
      <c r="G585" s="405">
        <v>2022</v>
      </c>
      <c r="H585" s="405">
        <v>7</v>
      </c>
      <c r="I585" s="416"/>
      <c r="J585" s="406"/>
      <c r="K585" s="405" t="s">
        <v>4977</v>
      </c>
      <c r="L585" s="405" t="s">
        <v>1174</v>
      </c>
      <c r="M585" s="406">
        <v>44596</v>
      </c>
      <c r="N585" s="406">
        <v>44746</v>
      </c>
      <c r="O585" s="406"/>
      <c r="P585" s="406"/>
      <c r="Q585" s="406"/>
      <c r="R585" s="406"/>
      <c r="S585" s="405" t="s">
        <v>1098</v>
      </c>
      <c r="T585" s="405">
        <v>60</v>
      </c>
      <c r="U585" s="405"/>
      <c r="V585" s="405" t="s">
        <v>973</v>
      </c>
      <c r="W585" s="407">
        <v>400</v>
      </c>
      <c r="X585" s="371">
        <f>8320-1536-2304</f>
        <v>4480</v>
      </c>
      <c r="Y585" s="408">
        <f>W585*X585</f>
        <v>1792000</v>
      </c>
      <c r="Z585" s="409">
        <v>0.52</v>
      </c>
      <c r="AA585" s="410">
        <f>Y585*Z585</f>
        <v>931840</v>
      </c>
      <c r="AB585" s="411"/>
      <c r="AC585" s="412">
        <f>AB585*Y585</f>
        <v>0</v>
      </c>
      <c r="AD585" s="421"/>
      <c r="AE585" s="413"/>
      <c r="AF585" s="424">
        <f>AE585+AD585+AA585</f>
        <v>931840</v>
      </c>
      <c r="AG585" s="405" t="s">
        <v>1069</v>
      </c>
      <c r="AH585" s="405"/>
      <c r="AI585" s="405">
        <v>60</v>
      </c>
      <c r="AJ585" s="405" t="s">
        <v>1185</v>
      </c>
      <c r="AK585" s="405" t="s">
        <v>1092</v>
      </c>
      <c r="AL585" s="425">
        <v>1501</v>
      </c>
      <c r="AM585" s="405" t="s">
        <v>52</v>
      </c>
      <c r="AN585" s="405"/>
      <c r="AO585" s="405"/>
      <c r="AP585" s="413"/>
      <c r="AQ585" s="413" t="s">
        <v>37</v>
      </c>
      <c r="AR585" s="405"/>
      <c r="AS585" s="386"/>
      <c r="AT585" s="281"/>
      <c r="AU585" s="403"/>
      <c r="AV585" s="402"/>
      <c r="AW585" s="402"/>
      <c r="AX585" s="402"/>
      <c r="AY585" s="402"/>
      <c r="AZ585" s="402"/>
      <c r="BA585" s="402"/>
      <c r="BB585" s="402"/>
      <c r="BC585" s="402"/>
    </row>
    <row r="586" spans="1:55">
      <c r="A586" s="278"/>
      <c r="B586" s="279"/>
      <c r="C586" s="279"/>
      <c r="D586" s="366" t="s">
        <v>2804</v>
      </c>
      <c r="E586" s="280"/>
      <c r="F586" s="405"/>
      <c r="G586" s="405">
        <v>2022</v>
      </c>
      <c r="H586" s="405">
        <v>7</v>
      </c>
      <c r="I586" s="416"/>
      <c r="J586" s="406"/>
      <c r="K586" s="405" t="s">
        <v>2935</v>
      </c>
      <c r="L586" s="405" t="s">
        <v>1195</v>
      </c>
      <c r="M586" s="406">
        <v>44531</v>
      </c>
      <c r="N586" s="406">
        <v>44739</v>
      </c>
      <c r="O586" s="406"/>
      <c r="P586" s="406"/>
      <c r="Q586" s="406"/>
      <c r="R586" s="406"/>
      <c r="S586" s="405" t="s">
        <v>1098</v>
      </c>
      <c r="T586" s="405">
        <v>60</v>
      </c>
      <c r="U586" s="405">
        <v>49201132</v>
      </c>
      <c r="V586" s="405" t="s">
        <v>986</v>
      </c>
      <c r="W586" s="407">
        <v>360</v>
      </c>
      <c r="X586" s="371">
        <v>896</v>
      </c>
      <c r="Y586" s="408">
        <f>W586*X586</f>
        <v>322560</v>
      </c>
      <c r="Z586" s="409">
        <v>0.49</v>
      </c>
      <c r="AA586" s="410">
        <f>Y586*Z586</f>
        <v>158054.39999999999</v>
      </c>
      <c r="AB586" s="411"/>
      <c r="AC586" s="412">
        <v>0</v>
      </c>
      <c r="AD586" s="421"/>
      <c r="AE586" s="413"/>
      <c r="AF586" s="424">
        <f>AE586+AD586+AA586</f>
        <v>158054.39999999999</v>
      </c>
      <c r="AG586" s="405" t="s">
        <v>1069</v>
      </c>
      <c r="AH586" s="405"/>
      <c r="AI586" s="405">
        <v>60</v>
      </c>
      <c r="AJ586" s="405" t="s">
        <v>1200</v>
      </c>
      <c r="AK586" s="405" t="s">
        <v>1176</v>
      </c>
      <c r="AL586" s="425" t="s">
        <v>1201</v>
      </c>
      <c r="AM586" s="405" t="s">
        <v>52</v>
      </c>
      <c r="AN586" s="405" t="s">
        <v>1082</v>
      </c>
      <c r="AO586" s="405"/>
      <c r="AP586" s="413" t="s">
        <v>38</v>
      </c>
      <c r="AQ586" s="413" t="s">
        <v>37</v>
      </c>
      <c r="AR586" s="405"/>
      <c r="AS586" s="386"/>
      <c r="AT586" s="281"/>
      <c r="AU586" s="403"/>
      <c r="AV586" s="402">
        <f t="shared" ref="AV586:AV600" si="119">U586</f>
        <v>49201132</v>
      </c>
      <c r="AW586" s="402" cm="1">
        <f t="array" ref="AW586">SUM(MID(0&amp;AV586,LARGE(INDEX(ISNUMBER(--MID(AV586,ROW($1:$8),1))*ROW($1:$8),),ROW($1:$8))+1,1)*10^ROW($1:$8)/10)</f>
        <v>49201132</v>
      </c>
      <c r="AX586" s="402" t="str">
        <f>VLOOKUP($AW586,'Item Master Data'!$A:$F,3,FALSE)</f>
        <v>Q.PEAK DUO BLK G10+</v>
      </c>
      <c r="AY586" s="402">
        <f>VLOOKUP($AW586,'Item Master Data'!$A:$F,6,FALSE)</f>
        <v>360</v>
      </c>
      <c r="AZ586" s="402">
        <f t="shared" ref="AZ586:AZ600" si="120">X586/BA586</f>
        <v>28</v>
      </c>
      <c r="BA586" s="402">
        <f>VLOOKUP(AW586,'Item Master Data'!$A:$G,7,FALSE)</f>
        <v>32</v>
      </c>
      <c r="BB586" s="402"/>
      <c r="BC586" s="402">
        <f t="shared" ref="BC586:BC600" si="121">W586-AY586</f>
        <v>0</v>
      </c>
    </row>
    <row r="587" spans="1:55">
      <c r="A587" s="278"/>
      <c r="B587" s="279"/>
      <c r="C587" s="279"/>
      <c r="D587" s="366" t="s">
        <v>2804</v>
      </c>
      <c r="E587" s="280" t="s">
        <v>2849</v>
      </c>
      <c r="F587" s="405"/>
      <c r="G587" s="405">
        <v>2022</v>
      </c>
      <c r="H587" s="405">
        <v>7</v>
      </c>
      <c r="I587" s="416"/>
      <c r="J587" s="406"/>
      <c r="K587" s="405" t="s">
        <v>2936</v>
      </c>
      <c r="L587" s="405" t="s">
        <v>1195</v>
      </c>
      <c r="M587" s="406">
        <v>44518</v>
      </c>
      <c r="N587" s="406">
        <v>44635</v>
      </c>
      <c r="O587" s="406">
        <v>44743</v>
      </c>
      <c r="P587" s="406"/>
      <c r="Q587" s="406"/>
      <c r="R587" s="406"/>
      <c r="S587" s="405" t="s">
        <v>1098</v>
      </c>
      <c r="T587" s="405">
        <v>60</v>
      </c>
      <c r="U587" s="405">
        <v>49401140</v>
      </c>
      <c r="V587" s="405" t="s">
        <v>985</v>
      </c>
      <c r="W587" s="407">
        <v>400</v>
      </c>
      <c r="X587" s="371">
        <v>896</v>
      </c>
      <c r="Y587" s="408">
        <f>W587*X587</f>
        <v>358400</v>
      </c>
      <c r="Z587" s="409">
        <v>0.52</v>
      </c>
      <c r="AA587" s="410">
        <f>Y587*Z587</f>
        <v>186368</v>
      </c>
      <c r="AB587" s="411"/>
      <c r="AC587" s="412">
        <f>AB587*Y587</f>
        <v>0</v>
      </c>
      <c r="AD587" s="421"/>
      <c r="AE587" s="413"/>
      <c r="AF587" s="424">
        <f>AE587+AD587+AA587</f>
        <v>186368</v>
      </c>
      <c r="AG587" s="405" t="s">
        <v>1069</v>
      </c>
      <c r="AH587" s="405"/>
      <c r="AI587" s="405">
        <v>60</v>
      </c>
      <c r="AJ587" s="405" t="s">
        <v>2811</v>
      </c>
      <c r="AK587" s="405" t="s">
        <v>1176</v>
      </c>
      <c r="AL587" s="425">
        <v>6492</v>
      </c>
      <c r="AM587" s="405" t="s">
        <v>52</v>
      </c>
      <c r="AN587" s="405" t="s">
        <v>1071</v>
      </c>
      <c r="AO587" s="405"/>
      <c r="AP587" s="413"/>
      <c r="AQ587" s="413" t="s">
        <v>37</v>
      </c>
      <c r="AR587" s="405" t="s">
        <v>1209</v>
      </c>
      <c r="AS587" s="386" t="s">
        <v>1073</v>
      </c>
      <c r="AT587" s="281" t="s">
        <v>1073</v>
      </c>
      <c r="AU587" s="403">
        <v>0.52</v>
      </c>
      <c r="AV587" s="402">
        <f t="shared" si="119"/>
        <v>49401140</v>
      </c>
      <c r="AW587" s="402" cm="1">
        <f t="array" ref="AW587">SUM(MID(0&amp;AV587,LARGE(INDEX(ISNUMBER(--MID(AV587,ROW($1:$8),1))*ROW($1:$8),),ROW($1:$8))+1,1)*10^ROW($1:$8)/10)</f>
        <v>49401140</v>
      </c>
      <c r="AX587" s="402" t="str">
        <f>VLOOKUP($AW587,'Item Master Data'!$A:$F,3,FALSE)</f>
        <v>Q.PEAK DUO BLK ML G10.a+</v>
      </c>
      <c r="AY587" s="402">
        <f>VLOOKUP($AW587,'Item Master Data'!$A:$F,6,FALSE)</f>
        <v>400</v>
      </c>
      <c r="AZ587" s="402">
        <f t="shared" si="120"/>
        <v>28</v>
      </c>
      <c r="BA587" s="402">
        <f>VLOOKUP(AW587,'Item Master Data'!$A:$G,7,FALSE)</f>
        <v>32</v>
      </c>
      <c r="BB587" s="402"/>
      <c r="BC587" s="402">
        <f t="shared" si="121"/>
        <v>0</v>
      </c>
    </row>
    <row r="588" spans="1:55">
      <c r="A588" s="278"/>
      <c r="B588" s="279"/>
      <c r="C588" s="279"/>
      <c r="D588" s="366" t="s">
        <v>2804</v>
      </c>
      <c r="E588" s="280" t="s">
        <v>2849</v>
      </c>
      <c r="F588" s="405"/>
      <c r="G588" s="405">
        <v>2022</v>
      </c>
      <c r="H588" s="405">
        <v>7</v>
      </c>
      <c r="I588" s="416"/>
      <c r="J588" s="406"/>
      <c r="K588" s="405" t="s">
        <v>2937</v>
      </c>
      <c r="L588" s="405" t="s">
        <v>1195</v>
      </c>
      <c r="M588" s="406">
        <v>44518</v>
      </c>
      <c r="N588" s="406">
        <v>44669</v>
      </c>
      <c r="O588" s="406"/>
      <c r="P588" s="406"/>
      <c r="Q588" s="406"/>
      <c r="R588" s="406"/>
      <c r="S588" s="405" t="s">
        <v>1098</v>
      </c>
      <c r="T588" s="405">
        <v>60</v>
      </c>
      <c r="U588" s="405">
        <v>49401140</v>
      </c>
      <c r="V588" s="405" t="s">
        <v>985</v>
      </c>
      <c r="W588" s="407">
        <v>400</v>
      </c>
      <c r="X588" s="371">
        <v>896</v>
      </c>
      <c r="Y588" s="408">
        <f>W588*X588</f>
        <v>358400</v>
      </c>
      <c r="Z588" s="409">
        <v>0.52</v>
      </c>
      <c r="AA588" s="410">
        <f>Y588*Z588</f>
        <v>186368</v>
      </c>
      <c r="AB588" s="411"/>
      <c r="AC588" s="412">
        <f>AB588*Y588</f>
        <v>0</v>
      </c>
      <c r="AD588" s="421"/>
      <c r="AE588" s="413"/>
      <c r="AF588" s="424">
        <f>AE588+AD588+AA588</f>
        <v>186368</v>
      </c>
      <c r="AG588" s="405" t="s">
        <v>1069</v>
      </c>
      <c r="AH588" s="405"/>
      <c r="AI588" s="405">
        <v>60</v>
      </c>
      <c r="AJ588" s="405" t="s">
        <v>2811</v>
      </c>
      <c r="AK588" s="405" t="s">
        <v>1176</v>
      </c>
      <c r="AL588" s="425">
        <v>6492</v>
      </c>
      <c r="AM588" s="405" t="s">
        <v>52</v>
      </c>
      <c r="AN588" s="405" t="s">
        <v>1071</v>
      </c>
      <c r="AO588" s="405"/>
      <c r="AP588" s="413"/>
      <c r="AQ588" s="413" t="s">
        <v>37</v>
      </c>
      <c r="AR588" s="405" t="s">
        <v>2851</v>
      </c>
      <c r="AS588" s="386" t="s">
        <v>1073</v>
      </c>
      <c r="AT588" s="386" t="s">
        <v>1073</v>
      </c>
      <c r="AU588" s="403">
        <v>0.52</v>
      </c>
      <c r="AV588" s="402">
        <f t="shared" si="119"/>
        <v>49401140</v>
      </c>
      <c r="AW588" s="402" cm="1">
        <f t="array" ref="AW588">SUM(MID(0&amp;AV588,LARGE(INDEX(ISNUMBER(--MID(AV588,ROW($1:$8),1))*ROW($1:$8),),ROW($1:$8))+1,1)*10^ROW($1:$8)/10)</f>
        <v>49401140</v>
      </c>
      <c r="AX588" s="402" t="str">
        <f>VLOOKUP($AW588,'Item Master Data'!$A:$F,3,FALSE)</f>
        <v>Q.PEAK DUO BLK ML G10.a+</v>
      </c>
      <c r="AY588" s="402">
        <f>VLOOKUP($AW588,'Item Master Data'!$A:$F,6,FALSE)</f>
        <v>400</v>
      </c>
      <c r="AZ588" s="402">
        <f t="shared" si="120"/>
        <v>28</v>
      </c>
      <c r="BA588" s="402">
        <f>VLOOKUP(AW588,'Item Master Data'!$A:$G,7,FALSE)</f>
        <v>32</v>
      </c>
      <c r="BB588" s="402"/>
      <c r="BC588" s="402">
        <f t="shared" si="121"/>
        <v>0</v>
      </c>
    </row>
    <row r="589" spans="1:55">
      <c r="A589" s="278"/>
      <c r="B589" s="279"/>
      <c r="C589" s="279"/>
      <c r="D589" s="366" t="s">
        <v>2804</v>
      </c>
      <c r="E589" s="280" t="s">
        <v>2849</v>
      </c>
      <c r="F589" s="405"/>
      <c r="G589" s="405">
        <v>2022</v>
      </c>
      <c r="H589" s="405">
        <v>7</v>
      </c>
      <c r="I589" s="416"/>
      <c r="J589" s="406"/>
      <c r="K589" s="405" t="s">
        <v>2938</v>
      </c>
      <c r="L589" s="405" t="s">
        <v>1195</v>
      </c>
      <c r="M589" s="406">
        <v>44518</v>
      </c>
      <c r="N589" s="406">
        <v>44676</v>
      </c>
      <c r="O589" s="406"/>
      <c r="P589" s="406"/>
      <c r="Q589" s="406"/>
      <c r="R589" s="406"/>
      <c r="S589" s="405" t="s">
        <v>1098</v>
      </c>
      <c r="T589" s="405">
        <v>60</v>
      </c>
      <c r="U589" s="405">
        <v>49401140</v>
      </c>
      <c r="V589" s="405" t="s">
        <v>985</v>
      </c>
      <c r="W589" s="407">
        <v>400</v>
      </c>
      <c r="X589" s="371">
        <v>896</v>
      </c>
      <c r="Y589" s="408">
        <f>W589*X589</f>
        <v>358400</v>
      </c>
      <c r="Z589" s="409">
        <v>0.52</v>
      </c>
      <c r="AA589" s="410">
        <f>Y589*Z589</f>
        <v>186368</v>
      </c>
      <c r="AB589" s="411"/>
      <c r="AC589" s="412">
        <f>AB589*Y589</f>
        <v>0</v>
      </c>
      <c r="AD589" s="421"/>
      <c r="AE589" s="413"/>
      <c r="AF589" s="424">
        <f>AE589+AD589+AA589</f>
        <v>186368</v>
      </c>
      <c r="AG589" s="405" t="s">
        <v>1069</v>
      </c>
      <c r="AH589" s="405"/>
      <c r="AI589" s="405">
        <v>60</v>
      </c>
      <c r="AJ589" s="405" t="s">
        <v>2811</v>
      </c>
      <c r="AK589" s="405" t="s">
        <v>1176</v>
      </c>
      <c r="AL589" s="425">
        <v>6492</v>
      </c>
      <c r="AM589" s="405" t="s">
        <v>52</v>
      </c>
      <c r="AN589" s="405" t="s">
        <v>1071</v>
      </c>
      <c r="AO589" s="405"/>
      <c r="AP589" s="413"/>
      <c r="AQ589" s="413" t="s">
        <v>37</v>
      </c>
      <c r="AR589" s="405" t="s">
        <v>2939</v>
      </c>
      <c r="AS589" s="386" t="s">
        <v>1073</v>
      </c>
      <c r="AT589" s="386" t="s">
        <v>1073</v>
      </c>
      <c r="AU589" s="403">
        <v>0.52</v>
      </c>
      <c r="AV589" s="402">
        <f t="shared" si="119"/>
        <v>49401140</v>
      </c>
      <c r="AW589" s="402" cm="1">
        <f t="array" ref="AW589">SUM(MID(0&amp;AV589,LARGE(INDEX(ISNUMBER(--MID(AV589,ROW($1:$8),1))*ROW($1:$8),),ROW($1:$8))+1,1)*10^ROW($1:$8)/10)</f>
        <v>49401140</v>
      </c>
      <c r="AX589" s="402" t="str">
        <f>VLOOKUP($AW589,'Item Master Data'!$A:$F,3,FALSE)</f>
        <v>Q.PEAK DUO BLK ML G10.a+</v>
      </c>
      <c r="AY589" s="402">
        <f>VLOOKUP($AW589,'Item Master Data'!$A:$F,6,FALSE)</f>
        <v>400</v>
      </c>
      <c r="AZ589" s="402">
        <f t="shared" si="120"/>
        <v>28</v>
      </c>
      <c r="BA589" s="402">
        <f>VLOOKUP(AW589,'Item Master Data'!$A:$G,7,FALSE)</f>
        <v>32</v>
      </c>
      <c r="BB589" s="402"/>
      <c r="BC589" s="402">
        <f t="shared" si="121"/>
        <v>0</v>
      </c>
    </row>
    <row r="590" spans="1:55">
      <c r="A590" s="278"/>
      <c r="B590" s="279"/>
      <c r="C590" s="279"/>
      <c r="D590" s="366" t="s">
        <v>2804</v>
      </c>
      <c r="E590" s="280" t="s">
        <v>2849</v>
      </c>
      <c r="F590" s="405"/>
      <c r="G590" s="405">
        <v>2022</v>
      </c>
      <c r="H590" s="405">
        <v>7</v>
      </c>
      <c r="I590" s="416"/>
      <c r="J590" s="406"/>
      <c r="K590" s="405" t="s">
        <v>2940</v>
      </c>
      <c r="L590" s="405" t="s">
        <v>1195</v>
      </c>
      <c r="M590" s="406">
        <v>44518</v>
      </c>
      <c r="N590" s="406">
        <v>44690</v>
      </c>
      <c r="O590" s="406">
        <v>44743</v>
      </c>
      <c r="P590" s="406"/>
      <c r="Q590" s="406"/>
      <c r="R590" s="406"/>
      <c r="S590" s="405" t="s">
        <v>1098</v>
      </c>
      <c r="T590" s="405">
        <v>60</v>
      </c>
      <c r="U590" s="405">
        <v>49401140</v>
      </c>
      <c r="V590" s="405" t="s">
        <v>985</v>
      </c>
      <c r="W590" s="407">
        <v>400</v>
      </c>
      <c r="X590" s="371">
        <v>896</v>
      </c>
      <c r="Y590" s="408">
        <f>W590*X590</f>
        <v>358400</v>
      </c>
      <c r="Z590" s="409">
        <v>0.52</v>
      </c>
      <c r="AA590" s="410">
        <f>Y590*Z590</f>
        <v>186368</v>
      </c>
      <c r="AB590" s="411"/>
      <c r="AC590" s="412">
        <f>AB590*Y590</f>
        <v>0</v>
      </c>
      <c r="AD590" s="421"/>
      <c r="AE590" s="413"/>
      <c r="AF590" s="424">
        <f>AE590+AD590+AA590</f>
        <v>186368</v>
      </c>
      <c r="AG590" s="405" t="s">
        <v>1069</v>
      </c>
      <c r="AH590" s="405"/>
      <c r="AI590" s="405">
        <v>60</v>
      </c>
      <c r="AJ590" s="405" t="s">
        <v>2811</v>
      </c>
      <c r="AK590" s="405" t="s">
        <v>1176</v>
      </c>
      <c r="AL590" s="425">
        <v>6492</v>
      </c>
      <c r="AM590" s="405" t="s">
        <v>52</v>
      </c>
      <c r="AN590" s="405" t="s">
        <v>1071</v>
      </c>
      <c r="AO590" s="405"/>
      <c r="AP590" s="413"/>
      <c r="AQ590" s="413" t="s">
        <v>37</v>
      </c>
      <c r="AR590" s="405" t="s">
        <v>1209</v>
      </c>
      <c r="AS590" s="386" t="s">
        <v>1073</v>
      </c>
      <c r="AT590" s="386" t="s">
        <v>1073</v>
      </c>
      <c r="AU590" s="403">
        <v>0.52</v>
      </c>
      <c r="AV590" s="402">
        <f t="shared" si="119"/>
        <v>49401140</v>
      </c>
      <c r="AW590" s="402" cm="1">
        <f t="array" ref="AW590">SUM(MID(0&amp;AV590,LARGE(INDEX(ISNUMBER(--MID(AV590,ROW($1:$8),1))*ROW($1:$8),),ROW($1:$8))+1,1)*10^ROW($1:$8)/10)</f>
        <v>49401140</v>
      </c>
      <c r="AX590" s="402" t="str">
        <f>VLOOKUP($AW590,'Item Master Data'!$A:$F,3,FALSE)</f>
        <v>Q.PEAK DUO BLK ML G10.a+</v>
      </c>
      <c r="AY590" s="402">
        <f>VLOOKUP($AW590,'Item Master Data'!$A:$F,6,FALSE)</f>
        <v>400</v>
      </c>
      <c r="AZ590" s="402">
        <f t="shared" si="120"/>
        <v>28</v>
      </c>
      <c r="BA590" s="402">
        <f>VLOOKUP(AW590,'Item Master Data'!$A:$G,7,FALSE)</f>
        <v>32</v>
      </c>
      <c r="BB590" s="402"/>
      <c r="BC590" s="402">
        <f t="shared" si="121"/>
        <v>0</v>
      </c>
    </row>
    <row r="591" spans="1:55">
      <c r="A591" s="278"/>
      <c r="B591" s="279"/>
      <c r="C591" s="279"/>
      <c r="D591" s="366" t="s">
        <v>2804</v>
      </c>
      <c r="E591" s="280" t="s">
        <v>2849</v>
      </c>
      <c r="F591" s="405"/>
      <c r="G591" s="405">
        <v>2022</v>
      </c>
      <c r="H591" s="405">
        <v>7</v>
      </c>
      <c r="I591" s="416"/>
      <c r="J591" s="406"/>
      <c r="K591" s="405" t="s">
        <v>2941</v>
      </c>
      <c r="L591" s="405" t="s">
        <v>1195</v>
      </c>
      <c r="M591" s="406">
        <v>44518</v>
      </c>
      <c r="N591" s="406">
        <v>44718</v>
      </c>
      <c r="O591" s="406"/>
      <c r="P591" s="406"/>
      <c r="Q591" s="406"/>
      <c r="R591" s="406"/>
      <c r="S591" s="405" t="s">
        <v>1098</v>
      </c>
      <c r="T591" s="405">
        <v>60</v>
      </c>
      <c r="U591" s="405">
        <v>49401140</v>
      </c>
      <c r="V591" s="405" t="s">
        <v>985</v>
      </c>
      <c r="W591" s="407">
        <v>400</v>
      </c>
      <c r="X591" s="371">
        <v>896</v>
      </c>
      <c r="Y591" s="408">
        <f>W591*X591</f>
        <v>358400</v>
      </c>
      <c r="Z591" s="409">
        <v>0.52</v>
      </c>
      <c r="AA591" s="410">
        <f>Y591*Z591</f>
        <v>186368</v>
      </c>
      <c r="AB591" s="411"/>
      <c r="AC591" s="412">
        <f>AB591*Y591</f>
        <v>0</v>
      </c>
      <c r="AD591" s="421"/>
      <c r="AE591" s="413"/>
      <c r="AF591" s="424">
        <f>AE591+AD591+AA591</f>
        <v>186368</v>
      </c>
      <c r="AG591" s="405" t="s">
        <v>1069</v>
      </c>
      <c r="AH591" s="405"/>
      <c r="AI591" s="405">
        <v>60</v>
      </c>
      <c r="AJ591" s="405" t="s">
        <v>2811</v>
      </c>
      <c r="AK591" s="405" t="s">
        <v>1176</v>
      </c>
      <c r="AL591" s="425">
        <v>6492</v>
      </c>
      <c r="AM591" s="405" t="s">
        <v>52</v>
      </c>
      <c r="AN591" s="405" t="s">
        <v>1071</v>
      </c>
      <c r="AO591" s="405"/>
      <c r="AP591" s="413"/>
      <c r="AQ591" s="413" t="s">
        <v>37</v>
      </c>
      <c r="AR591" s="405" t="s">
        <v>2851</v>
      </c>
      <c r="AS591" s="386" t="s">
        <v>1073</v>
      </c>
      <c r="AT591" s="386" t="s">
        <v>1073</v>
      </c>
      <c r="AU591" s="403">
        <v>0.52</v>
      </c>
      <c r="AV591" s="402">
        <f t="shared" si="119"/>
        <v>49401140</v>
      </c>
      <c r="AW591" s="402" cm="1">
        <f t="array" ref="AW591">SUM(MID(0&amp;AV591,LARGE(INDEX(ISNUMBER(--MID(AV591,ROW($1:$8),1))*ROW($1:$8),),ROW($1:$8))+1,1)*10^ROW($1:$8)/10)</f>
        <v>49401140</v>
      </c>
      <c r="AX591" s="402" t="str">
        <f>VLOOKUP($AW591,'Item Master Data'!$A:$F,3,FALSE)</f>
        <v>Q.PEAK DUO BLK ML G10.a+</v>
      </c>
      <c r="AY591" s="402">
        <f>VLOOKUP($AW591,'Item Master Data'!$A:$F,6,FALSE)</f>
        <v>400</v>
      </c>
      <c r="AZ591" s="402">
        <f t="shared" si="120"/>
        <v>28</v>
      </c>
      <c r="BA591" s="402">
        <f>VLOOKUP(AW591,'Item Master Data'!$A:$G,7,FALSE)</f>
        <v>32</v>
      </c>
      <c r="BB591" s="402"/>
      <c r="BC591" s="402">
        <f t="shared" si="121"/>
        <v>0</v>
      </c>
    </row>
    <row r="592" spans="1:55">
      <c r="A592" s="278"/>
      <c r="B592" s="279"/>
      <c r="C592" s="279"/>
      <c r="D592" s="366" t="s">
        <v>2804</v>
      </c>
      <c r="E592" s="280" t="s">
        <v>2849</v>
      </c>
      <c r="F592" s="405"/>
      <c r="G592" s="405">
        <v>2022</v>
      </c>
      <c r="H592" s="405">
        <v>7</v>
      </c>
      <c r="I592" s="416" t="s">
        <v>2854</v>
      </c>
      <c r="J592" s="406"/>
      <c r="K592" s="405" t="s">
        <v>2942</v>
      </c>
      <c r="L592" s="405" t="s">
        <v>1263</v>
      </c>
      <c r="M592" s="406">
        <v>44477</v>
      </c>
      <c r="N592" s="406">
        <v>44652</v>
      </c>
      <c r="O592" s="406"/>
      <c r="P592" s="406"/>
      <c r="Q592" s="406"/>
      <c r="R592" s="406"/>
      <c r="S592" s="405" t="s">
        <v>1098</v>
      </c>
      <c r="T592" s="405">
        <v>60</v>
      </c>
      <c r="U592" s="405">
        <v>49401140</v>
      </c>
      <c r="V592" s="405" t="s">
        <v>973</v>
      </c>
      <c r="W592" s="407">
        <v>400</v>
      </c>
      <c r="X592" s="371">
        <v>768</v>
      </c>
      <c r="Y592" s="408">
        <f>W592*X592</f>
        <v>307200</v>
      </c>
      <c r="Z592" s="409">
        <v>0.55000000000000004</v>
      </c>
      <c r="AA592" s="410">
        <f>Y592*Z592</f>
        <v>168960</v>
      </c>
      <c r="AB592" s="411"/>
      <c r="AC592" s="412">
        <v>0</v>
      </c>
      <c r="AD592" s="421"/>
      <c r="AE592" s="413"/>
      <c r="AF592" s="424">
        <f>AE592+AD592+AA592</f>
        <v>168960</v>
      </c>
      <c r="AG592" s="405" t="s">
        <v>1069</v>
      </c>
      <c r="AH592" s="405"/>
      <c r="AI592" s="405">
        <v>60</v>
      </c>
      <c r="AJ592" s="405" t="s">
        <v>1177</v>
      </c>
      <c r="AK592" s="405" t="s">
        <v>1070</v>
      </c>
      <c r="AL592" s="425">
        <v>21046</v>
      </c>
      <c r="AM592" s="405" t="s">
        <v>52</v>
      </c>
      <c r="AN592" s="405"/>
      <c r="AO592" s="405"/>
      <c r="AP592" s="413"/>
      <c r="AQ592" s="413"/>
      <c r="AR592" s="405"/>
      <c r="AS592" s="386"/>
      <c r="AT592" s="386" t="s">
        <v>1073</v>
      </c>
      <c r="AU592" s="403">
        <v>0.46500000000000002</v>
      </c>
      <c r="AV592" s="402">
        <f t="shared" si="119"/>
        <v>49401140</v>
      </c>
      <c r="AW592" s="402" cm="1">
        <f t="array" ref="AW592">SUM(MID(0&amp;AV592,LARGE(INDEX(ISNUMBER(--MID(AV592,ROW($1:$8),1))*ROW($1:$8),),ROW($1:$8))+1,1)*10^ROW($1:$8)/10)</f>
        <v>49401140</v>
      </c>
      <c r="AX592" s="402" t="str">
        <f>VLOOKUP($AW592,'Item Master Data'!$A:$F,3,FALSE)</f>
        <v>Q.PEAK DUO BLK ML G10.a+</v>
      </c>
      <c r="AY592" s="402">
        <f>VLOOKUP($AW592,'Item Master Data'!$A:$F,6,FALSE)</f>
        <v>400</v>
      </c>
      <c r="AZ592" s="402">
        <f t="shared" si="120"/>
        <v>24</v>
      </c>
      <c r="BA592" s="402">
        <f>VLOOKUP(AW592,'Item Master Data'!$A:$G,7,FALSE)</f>
        <v>32</v>
      </c>
      <c r="BB592" s="402"/>
      <c r="BC592" s="402">
        <f t="shared" si="121"/>
        <v>0</v>
      </c>
    </row>
    <row r="593" spans="1:55">
      <c r="A593" s="278"/>
      <c r="B593" s="279"/>
      <c r="C593" s="279"/>
      <c r="D593" s="366" t="s">
        <v>2804</v>
      </c>
      <c r="E593" s="280"/>
      <c r="F593" s="405"/>
      <c r="G593" s="405">
        <v>2022</v>
      </c>
      <c r="H593" s="405">
        <v>7</v>
      </c>
      <c r="I593" s="416"/>
      <c r="J593" s="406"/>
      <c r="K593" s="405" t="s">
        <v>2922</v>
      </c>
      <c r="L593" s="405" t="s">
        <v>1263</v>
      </c>
      <c r="M593" s="406">
        <v>44544</v>
      </c>
      <c r="N593" s="406">
        <v>44718</v>
      </c>
      <c r="O593" s="406"/>
      <c r="P593" s="406"/>
      <c r="Q593" s="406"/>
      <c r="R593" s="406"/>
      <c r="S593" s="405" t="s">
        <v>1098</v>
      </c>
      <c r="T593" s="405">
        <v>60</v>
      </c>
      <c r="U593" s="405">
        <v>49201132</v>
      </c>
      <c r="V593" s="405" t="s">
        <v>986</v>
      </c>
      <c r="W593" s="407">
        <v>360</v>
      </c>
      <c r="X593" s="371">
        <f>2496-1664</f>
        <v>832</v>
      </c>
      <c r="Y593" s="408">
        <f>W593*X593</f>
        <v>299520</v>
      </c>
      <c r="Z593" s="409">
        <v>0.5</v>
      </c>
      <c r="AA593" s="410">
        <f>Y593*Z593</f>
        <v>149760</v>
      </c>
      <c r="AB593" s="411"/>
      <c r="AC593" s="412">
        <v>0</v>
      </c>
      <c r="AD593" s="421"/>
      <c r="AE593" s="413"/>
      <c r="AF593" s="424">
        <f>AE593+AD593+AA593</f>
        <v>149760</v>
      </c>
      <c r="AG593" s="405" t="s">
        <v>1069</v>
      </c>
      <c r="AH593" s="405"/>
      <c r="AI593" s="405">
        <v>60</v>
      </c>
      <c r="AJ593" s="405" t="s">
        <v>1177</v>
      </c>
      <c r="AK593" s="405" t="s">
        <v>1070</v>
      </c>
      <c r="AL593" s="425">
        <v>21046</v>
      </c>
      <c r="AM593" s="405" t="s">
        <v>52</v>
      </c>
      <c r="AN593" s="405" t="s">
        <v>1071</v>
      </c>
      <c r="AO593" s="405"/>
      <c r="AP593" s="413"/>
      <c r="AQ593" s="413"/>
      <c r="AR593" s="405"/>
      <c r="AS593" s="386"/>
      <c r="AT593" s="386" t="s">
        <v>1073</v>
      </c>
      <c r="AU593" s="403"/>
      <c r="AV593" s="402">
        <f t="shared" si="119"/>
        <v>49201132</v>
      </c>
      <c r="AW593" s="402" cm="1">
        <f t="array" ref="AW593">SUM(MID(0&amp;AV593,LARGE(INDEX(ISNUMBER(--MID(AV593,ROW($1:$8),1))*ROW($1:$8),),ROW($1:$8))+1,1)*10^ROW($1:$8)/10)</f>
        <v>49201132</v>
      </c>
      <c r="AX593" s="402" t="str">
        <f>VLOOKUP($AW593,'Item Master Data'!$A:$F,3,FALSE)</f>
        <v>Q.PEAK DUO BLK G10+</v>
      </c>
      <c r="AY593" s="402">
        <f>VLOOKUP($AW593,'Item Master Data'!$A:$F,6,FALSE)</f>
        <v>360</v>
      </c>
      <c r="AZ593" s="402">
        <f t="shared" si="120"/>
        <v>26</v>
      </c>
      <c r="BA593" s="402">
        <f>VLOOKUP(AW593,'Item Master Data'!$A:$G,7,FALSE)</f>
        <v>32</v>
      </c>
      <c r="BB593" s="402"/>
      <c r="BC593" s="402">
        <f t="shared" si="121"/>
        <v>0</v>
      </c>
    </row>
    <row r="594" spans="1:55">
      <c r="A594" s="278"/>
      <c r="B594" s="279"/>
      <c r="C594" s="279"/>
      <c r="D594" s="366" t="s">
        <v>2804</v>
      </c>
      <c r="E594" s="280" t="s">
        <v>2849</v>
      </c>
      <c r="F594" s="405"/>
      <c r="G594" s="405">
        <v>2022</v>
      </c>
      <c r="H594" s="405">
        <v>7</v>
      </c>
      <c r="I594" s="416" t="s">
        <v>2854</v>
      </c>
      <c r="J594" s="406"/>
      <c r="K594" s="405" t="s">
        <v>2943</v>
      </c>
      <c r="L594" s="405" t="s">
        <v>1263</v>
      </c>
      <c r="M594" s="406">
        <v>44544</v>
      </c>
      <c r="N594" s="406">
        <v>44718</v>
      </c>
      <c r="O594" s="406"/>
      <c r="P594" s="406"/>
      <c r="Q594" s="406"/>
      <c r="R594" s="406"/>
      <c r="S594" s="405" t="s">
        <v>1098</v>
      </c>
      <c r="T594" s="405">
        <v>60</v>
      </c>
      <c r="U594" s="405">
        <v>49401140</v>
      </c>
      <c r="V594" s="405" t="s">
        <v>985</v>
      </c>
      <c r="W594" s="407">
        <v>400</v>
      </c>
      <c r="X594" s="371">
        <v>768</v>
      </c>
      <c r="Y594" s="408">
        <f>W594*X594</f>
        <v>307200</v>
      </c>
      <c r="Z594" s="409">
        <v>0.46500000000000002</v>
      </c>
      <c r="AA594" s="410">
        <f>Y594*Z594</f>
        <v>142848</v>
      </c>
      <c r="AB594" s="411"/>
      <c r="AC594" s="412">
        <v>0</v>
      </c>
      <c r="AD594" s="421"/>
      <c r="AE594" s="413"/>
      <c r="AF594" s="424">
        <f>AE594+AD594+AA594</f>
        <v>142848</v>
      </c>
      <c r="AG594" s="405" t="s">
        <v>1069</v>
      </c>
      <c r="AH594" s="405"/>
      <c r="AI594" s="405">
        <v>60</v>
      </c>
      <c r="AJ594" s="405" t="s">
        <v>1177</v>
      </c>
      <c r="AK594" s="405" t="s">
        <v>1070</v>
      </c>
      <c r="AL594" s="425">
        <v>21046</v>
      </c>
      <c r="AM594" s="405" t="s">
        <v>52</v>
      </c>
      <c r="AN594" s="405" t="s">
        <v>1071</v>
      </c>
      <c r="AO594" s="405"/>
      <c r="AP594" s="413"/>
      <c r="AQ594" s="413"/>
      <c r="AR594" s="405" t="s">
        <v>1209</v>
      </c>
      <c r="AS594" s="386"/>
      <c r="AT594" s="281" t="s">
        <v>1073</v>
      </c>
      <c r="AU594" s="403">
        <v>0.46500000000000002</v>
      </c>
      <c r="AV594" s="402">
        <f t="shared" si="119"/>
        <v>49401140</v>
      </c>
      <c r="AW594" s="402" cm="1">
        <f t="array" ref="AW594">SUM(MID(0&amp;AV594,LARGE(INDEX(ISNUMBER(--MID(AV594,ROW($1:$8),1))*ROW($1:$8),),ROW($1:$8))+1,1)*10^ROW($1:$8)/10)</f>
        <v>49401140</v>
      </c>
      <c r="AX594" s="402" t="str">
        <f>VLOOKUP($AW594,'Item Master Data'!$A:$F,3,FALSE)</f>
        <v>Q.PEAK DUO BLK ML G10.a+</v>
      </c>
      <c r="AY594" s="402">
        <f>VLOOKUP($AW594,'Item Master Data'!$A:$F,6,FALSE)</f>
        <v>400</v>
      </c>
      <c r="AZ594" s="402">
        <f t="shared" si="120"/>
        <v>24</v>
      </c>
      <c r="BA594" s="402">
        <f>VLOOKUP(AW594,'Item Master Data'!$A:$G,7,FALSE)</f>
        <v>32</v>
      </c>
      <c r="BB594" s="402"/>
      <c r="BC594" s="402">
        <f t="shared" si="121"/>
        <v>0</v>
      </c>
    </row>
    <row r="595" spans="1:55">
      <c r="A595" s="278"/>
      <c r="B595" s="279"/>
      <c r="C595" s="279"/>
      <c r="D595" s="366" t="s">
        <v>2804</v>
      </c>
      <c r="E595" s="280" t="s">
        <v>2944</v>
      </c>
      <c r="F595" s="405" t="s">
        <v>1139</v>
      </c>
      <c r="G595" s="405">
        <v>2022</v>
      </c>
      <c r="H595" s="405">
        <v>7</v>
      </c>
      <c r="I595" s="416" t="s">
        <v>2846</v>
      </c>
      <c r="J595" s="406"/>
      <c r="K595" s="405" t="s">
        <v>2945</v>
      </c>
      <c r="L595" s="448" t="s">
        <v>1288</v>
      </c>
      <c r="M595" s="449">
        <v>44474</v>
      </c>
      <c r="N595" s="449">
        <v>44571</v>
      </c>
      <c r="O595" s="449" t="s">
        <v>1236</v>
      </c>
      <c r="P595" s="449"/>
      <c r="Q595" s="449"/>
      <c r="R595" s="449"/>
      <c r="S595" s="448" t="s">
        <v>1098</v>
      </c>
      <c r="T595" s="448">
        <v>60</v>
      </c>
      <c r="U595" s="448">
        <v>49403140</v>
      </c>
      <c r="V595" s="448" t="s">
        <v>973</v>
      </c>
      <c r="W595" s="450">
        <v>400</v>
      </c>
      <c r="X595" s="378">
        <v>2496</v>
      </c>
      <c r="Y595" s="486">
        <f>W595*X595</f>
        <v>998400</v>
      </c>
      <c r="Z595" s="409">
        <v>0.55000000000000004</v>
      </c>
      <c r="AA595" s="410">
        <f>Y595*Z595</f>
        <v>549120</v>
      </c>
      <c r="AB595" s="411"/>
      <c r="AC595" s="412">
        <v>0</v>
      </c>
      <c r="AD595" s="421"/>
      <c r="AE595" s="413"/>
      <c r="AF595" s="424">
        <f>AE595+AD595+AA595</f>
        <v>549120</v>
      </c>
      <c r="AG595" s="405" t="s">
        <v>1069</v>
      </c>
      <c r="AH595" s="405"/>
      <c r="AI595" s="405">
        <v>60</v>
      </c>
      <c r="AJ595" s="405" t="s">
        <v>1289</v>
      </c>
      <c r="AK595" s="405" t="s">
        <v>1082</v>
      </c>
      <c r="AL595" s="425">
        <v>8110</v>
      </c>
      <c r="AM595" s="405" t="s">
        <v>52</v>
      </c>
      <c r="AN595" s="405" t="s">
        <v>1071</v>
      </c>
      <c r="AO595" s="405"/>
      <c r="AP595" s="413"/>
      <c r="AQ595" s="413" t="s">
        <v>37</v>
      </c>
      <c r="AR595" s="405"/>
      <c r="AS595" s="386"/>
      <c r="AT595" s="281"/>
      <c r="AU595" s="403"/>
      <c r="AV595" s="402">
        <f t="shared" si="119"/>
        <v>49403140</v>
      </c>
      <c r="AW595" s="402" cm="1">
        <f t="array" ref="AW595">SUM(MID(0&amp;AV595,LARGE(INDEX(ISNUMBER(--MID(AV595,ROW($1:$8),1))*ROW($1:$8),),ROW($1:$8))+1,1)*10^ROW($1:$8)/10)</f>
        <v>49403140</v>
      </c>
      <c r="AX595" s="402" t="str">
        <f>VLOOKUP($AW595,'Item Master Data'!$A:$F,3,FALSE)</f>
        <v>Q.PEAK DUO BLK ML G10+</v>
      </c>
      <c r="AY595" s="402">
        <f>VLOOKUP($AW595,'Item Master Data'!$A:$F,6,FALSE)</f>
        <v>400</v>
      </c>
      <c r="AZ595" s="402">
        <f t="shared" si="120"/>
        <v>78</v>
      </c>
      <c r="BA595" s="402">
        <f>VLOOKUP(AW595,'Item Master Data'!$A:$G,7,FALSE)</f>
        <v>32</v>
      </c>
      <c r="BB595" s="402"/>
      <c r="BC595" s="402">
        <f t="shared" si="121"/>
        <v>0</v>
      </c>
    </row>
    <row r="596" spans="1:55">
      <c r="A596" s="278"/>
      <c r="B596" s="279"/>
      <c r="C596" s="279"/>
      <c r="D596" s="366" t="s">
        <v>2804</v>
      </c>
      <c r="E596" s="280" t="s">
        <v>2893</v>
      </c>
      <c r="F596" s="416" t="s">
        <v>1139</v>
      </c>
      <c r="G596" s="405">
        <v>2022</v>
      </c>
      <c r="H596" s="405">
        <v>7</v>
      </c>
      <c r="I596" s="416"/>
      <c r="J596" s="406"/>
      <c r="K596" s="405" t="s">
        <v>2946</v>
      </c>
      <c r="L596" s="405" t="s">
        <v>1288</v>
      </c>
      <c r="M596" s="406">
        <v>44475</v>
      </c>
      <c r="N596" s="406">
        <v>44522</v>
      </c>
      <c r="O596" s="406" t="s">
        <v>1236</v>
      </c>
      <c r="P596" s="406"/>
      <c r="Q596" s="406"/>
      <c r="R596" s="406"/>
      <c r="S596" s="405" t="s">
        <v>1098</v>
      </c>
      <c r="T596" s="405">
        <v>60</v>
      </c>
      <c r="U596" s="405">
        <v>49403140</v>
      </c>
      <c r="V596" s="405" t="s">
        <v>973</v>
      </c>
      <c r="W596" s="407">
        <v>400</v>
      </c>
      <c r="X596" s="371">
        <v>768</v>
      </c>
      <c r="Y596" s="408">
        <f>W596*X596</f>
        <v>307200</v>
      </c>
      <c r="Z596" s="409">
        <v>0.55000000000000004</v>
      </c>
      <c r="AA596" s="410">
        <f>Y596*Z596</f>
        <v>168960</v>
      </c>
      <c r="AB596" s="411"/>
      <c r="AC596" s="412">
        <v>0</v>
      </c>
      <c r="AD596" s="421"/>
      <c r="AE596" s="413"/>
      <c r="AF596" s="424">
        <f>AE596+AD596+AA596</f>
        <v>168960</v>
      </c>
      <c r="AG596" s="405" t="s">
        <v>1069</v>
      </c>
      <c r="AH596" s="405"/>
      <c r="AI596" s="405">
        <v>60</v>
      </c>
      <c r="AJ596" s="405" t="s">
        <v>1289</v>
      </c>
      <c r="AK596" s="405" t="s">
        <v>1082</v>
      </c>
      <c r="AL596" s="425">
        <v>8110</v>
      </c>
      <c r="AM596" s="405" t="s">
        <v>52</v>
      </c>
      <c r="AN596" s="405"/>
      <c r="AO596" s="405"/>
      <c r="AP596" s="413"/>
      <c r="AQ596" s="413" t="s">
        <v>37</v>
      </c>
      <c r="AR596" s="405"/>
      <c r="AS596" s="386"/>
      <c r="AT596" s="281"/>
      <c r="AU596" s="403"/>
      <c r="AV596" s="402">
        <f t="shared" si="119"/>
        <v>49403140</v>
      </c>
      <c r="AW596" s="402" cm="1">
        <f t="array" ref="AW596">SUM(MID(0&amp;AV596,LARGE(INDEX(ISNUMBER(--MID(AV596,ROW($1:$8),1))*ROW($1:$8),),ROW($1:$8))+1,1)*10^ROW($1:$8)/10)</f>
        <v>49403140</v>
      </c>
      <c r="AX596" s="402" t="str">
        <f>VLOOKUP($AW596,'Item Master Data'!$A:$F,3,FALSE)</f>
        <v>Q.PEAK DUO BLK ML G10+</v>
      </c>
      <c r="AY596" s="402">
        <f>VLOOKUP($AW596,'Item Master Data'!$A:$F,6,FALSE)</f>
        <v>400</v>
      </c>
      <c r="AZ596" s="402">
        <f t="shared" si="120"/>
        <v>24</v>
      </c>
      <c r="BA596" s="402">
        <f>VLOOKUP(AW596,'Item Master Data'!$A:$G,7,FALSE)</f>
        <v>32</v>
      </c>
      <c r="BB596" s="402"/>
      <c r="BC596" s="402">
        <f t="shared" si="121"/>
        <v>0</v>
      </c>
    </row>
    <row r="597" spans="1:55">
      <c r="A597" s="278"/>
      <c r="B597" s="279"/>
      <c r="C597" s="279"/>
      <c r="D597" s="366" t="s">
        <v>2804</v>
      </c>
      <c r="E597" s="280" t="s">
        <v>2893</v>
      </c>
      <c r="F597" s="416" t="s">
        <v>1139</v>
      </c>
      <c r="G597" s="405">
        <v>2022</v>
      </c>
      <c r="H597" s="405">
        <v>7</v>
      </c>
      <c r="I597" s="416"/>
      <c r="J597" s="406"/>
      <c r="K597" s="405" t="s">
        <v>2947</v>
      </c>
      <c r="L597" s="405" t="s">
        <v>1288</v>
      </c>
      <c r="M597" s="406">
        <v>44475</v>
      </c>
      <c r="N597" s="406">
        <v>44522</v>
      </c>
      <c r="O597" s="406" t="s">
        <v>1236</v>
      </c>
      <c r="P597" s="406"/>
      <c r="Q597" s="406"/>
      <c r="R597" s="406"/>
      <c r="S597" s="405" t="s">
        <v>1098</v>
      </c>
      <c r="T597" s="405">
        <v>60</v>
      </c>
      <c r="U597" s="405">
        <v>49403140</v>
      </c>
      <c r="V597" s="405" t="s">
        <v>973</v>
      </c>
      <c r="W597" s="407">
        <v>400</v>
      </c>
      <c r="X597" s="371">
        <f>3840-832-768-768-768</f>
        <v>704</v>
      </c>
      <c r="Y597" s="408">
        <f>W597*X597</f>
        <v>281600</v>
      </c>
      <c r="Z597" s="409">
        <v>0.55000000000000004</v>
      </c>
      <c r="AA597" s="410">
        <f>Y597*Z597</f>
        <v>154880</v>
      </c>
      <c r="AB597" s="411"/>
      <c r="AC597" s="412">
        <v>0</v>
      </c>
      <c r="AD597" s="421"/>
      <c r="AE597" s="413"/>
      <c r="AF597" s="424">
        <f>AE597+AD597+AA597</f>
        <v>154880</v>
      </c>
      <c r="AG597" s="405" t="s">
        <v>1069</v>
      </c>
      <c r="AH597" s="405"/>
      <c r="AI597" s="405">
        <v>60</v>
      </c>
      <c r="AJ597" s="405" t="s">
        <v>1289</v>
      </c>
      <c r="AK597" s="405" t="s">
        <v>1082</v>
      </c>
      <c r="AL597" s="425">
        <v>8110</v>
      </c>
      <c r="AM597" s="405" t="s">
        <v>52</v>
      </c>
      <c r="AN597" s="405"/>
      <c r="AO597" s="405"/>
      <c r="AP597" s="413"/>
      <c r="AQ597" s="413" t="s">
        <v>37</v>
      </c>
      <c r="AR597" s="405"/>
      <c r="AS597" s="386"/>
      <c r="AT597" s="281"/>
      <c r="AU597" s="403"/>
      <c r="AV597" s="402">
        <f t="shared" si="119"/>
        <v>49403140</v>
      </c>
      <c r="AW597" s="402" cm="1">
        <f t="array" ref="AW597">SUM(MID(0&amp;AV597,LARGE(INDEX(ISNUMBER(--MID(AV597,ROW($1:$8),1))*ROW($1:$8),),ROW($1:$8))+1,1)*10^ROW($1:$8)/10)</f>
        <v>49403140</v>
      </c>
      <c r="AX597" s="402" t="str">
        <f>VLOOKUP($AW597,'Item Master Data'!$A:$F,3,FALSE)</f>
        <v>Q.PEAK DUO BLK ML G10+</v>
      </c>
      <c r="AY597" s="402">
        <f>VLOOKUP($AW597,'Item Master Data'!$A:$F,6,FALSE)</f>
        <v>400</v>
      </c>
      <c r="AZ597" s="402">
        <f t="shared" si="120"/>
        <v>22</v>
      </c>
      <c r="BA597" s="402">
        <f>VLOOKUP(AW597,'Item Master Data'!$A:$G,7,FALSE)</f>
        <v>32</v>
      </c>
      <c r="BB597" s="402"/>
      <c r="BC597" s="402">
        <f t="shared" si="121"/>
        <v>0</v>
      </c>
    </row>
    <row r="598" spans="1:55">
      <c r="A598" s="278"/>
      <c r="B598" s="279"/>
      <c r="C598" s="279"/>
      <c r="D598" s="366" t="s">
        <v>2804</v>
      </c>
      <c r="E598" s="280"/>
      <c r="F598" s="405" t="s">
        <v>1139</v>
      </c>
      <c r="G598" s="405">
        <v>2022</v>
      </c>
      <c r="H598" s="405">
        <v>7</v>
      </c>
      <c r="I598" s="416"/>
      <c r="J598" s="406"/>
      <c r="K598" s="405" t="s">
        <v>2948</v>
      </c>
      <c r="L598" s="405" t="s">
        <v>1288</v>
      </c>
      <c r="M598" s="406">
        <v>44504</v>
      </c>
      <c r="N598" s="406">
        <v>44652</v>
      </c>
      <c r="O598" s="406"/>
      <c r="P598" s="406"/>
      <c r="Q598" s="406"/>
      <c r="R598" s="406"/>
      <c r="S598" s="405" t="s">
        <v>1098</v>
      </c>
      <c r="T598" s="405">
        <v>60</v>
      </c>
      <c r="U598" s="405">
        <v>49201132</v>
      </c>
      <c r="V598" s="405" t="s">
        <v>986</v>
      </c>
      <c r="W598" s="407">
        <v>360</v>
      </c>
      <c r="X598" s="371">
        <v>832</v>
      </c>
      <c r="Y598" s="408">
        <f>W598*X598</f>
        <v>299520</v>
      </c>
      <c r="Z598" s="409">
        <v>0.5</v>
      </c>
      <c r="AA598" s="410">
        <f>Y598*Z598</f>
        <v>149760</v>
      </c>
      <c r="AB598" s="411"/>
      <c r="AC598" s="412">
        <v>0</v>
      </c>
      <c r="AD598" s="421"/>
      <c r="AE598" s="413"/>
      <c r="AF598" s="424">
        <f>AE598+AD598+AA598</f>
        <v>149760</v>
      </c>
      <c r="AG598" s="405" t="s">
        <v>1069</v>
      </c>
      <c r="AH598" s="405"/>
      <c r="AI598" s="405">
        <v>60</v>
      </c>
      <c r="AJ598" s="405" t="s">
        <v>1289</v>
      </c>
      <c r="AK598" s="405" t="s">
        <v>1082</v>
      </c>
      <c r="AL598" s="425">
        <v>8110</v>
      </c>
      <c r="AM598" s="405" t="s">
        <v>52</v>
      </c>
      <c r="AN598" s="405" t="s">
        <v>1071</v>
      </c>
      <c r="AO598" s="405"/>
      <c r="AP598" s="413"/>
      <c r="AQ598" s="413"/>
      <c r="AR598" s="405"/>
      <c r="AS598" s="386"/>
      <c r="AT598" s="281" t="s">
        <v>1073</v>
      </c>
      <c r="AU598" s="403"/>
      <c r="AV598" s="402">
        <f t="shared" si="119"/>
        <v>49201132</v>
      </c>
      <c r="AW598" s="402" cm="1">
        <f t="array" ref="AW598">SUM(MID(0&amp;AV598,LARGE(INDEX(ISNUMBER(--MID(AV598,ROW($1:$8),1))*ROW($1:$8),),ROW($1:$8))+1,1)*10^ROW($1:$8)/10)</f>
        <v>49201132</v>
      </c>
      <c r="AX598" s="402" t="str">
        <f>VLOOKUP($AW598,'Item Master Data'!$A:$F,3,FALSE)</f>
        <v>Q.PEAK DUO BLK G10+</v>
      </c>
      <c r="AY598" s="402">
        <f>VLOOKUP($AW598,'Item Master Data'!$A:$F,6,FALSE)</f>
        <v>360</v>
      </c>
      <c r="AZ598" s="402">
        <f t="shared" si="120"/>
        <v>26</v>
      </c>
      <c r="BA598" s="402">
        <f>VLOOKUP(AW598,'Item Master Data'!$A:$G,7,FALSE)</f>
        <v>32</v>
      </c>
      <c r="BB598" s="402"/>
      <c r="BC598" s="402">
        <f t="shared" si="121"/>
        <v>0</v>
      </c>
    </row>
    <row r="599" spans="1:55">
      <c r="A599" s="278"/>
      <c r="B599" s="279"/>
      <c r="C599" s="279"/>
      <c r="D599" s="366" t="s">
        <v>2804</v>
      </c>
      <c r="E599" s="280"/>
      <c r="F599" s="405" t="s">
        <v>1139</v>
      </c>
      <c r="G599" s="405">
        <v>2022</v>
      </c>
      <c r="H599" s="405">
        <v>7</v>
      </c>
      <c r="I599" s="416"/>
      <c r="J599" s="406"/>
      <c r="K599" s="405" t="s">
        <v>2949</v>
      </c>
      <c r="L599" s="405" t="s">
        <v>1288</v>
      </c>
      <c r="M599" s="406">
        <v>44504</v>
      </c>
      <c r="N599" s="406">
        <v>44682</v>
      </c>
      <c r="O599" s="406"/>
      <c r="P599" s="406"/>
      <c r="Q599" s="406"/>
      <c r="R599" s="406"/>
      <c r="S599" s="405" t="s">
        <v>1098</v>
      </c>
      <c r="T599" s="405">
        <v>60</v>
      </c>
      <c r="U599" s="405">
        <v>49201132</v>
      </c>
      <c r="V599" s="405" t="s">
        <v>986</v>
      </c>
      <c r="W599" s="407">
        <v>360</v>
      </c>
      <c r="X599" s="371">
        <v>4992</v>
      </c>
      <c r="Y599" s="408">
        <f>W599*X599</f>
        <v>1797120</v>
      </c>
      <c r="Z599" s="409">
        <v>0.5</v>
      </c>
      <c r="AA599" s="410">
        <f>Y599*Z599</f>
        <v>898560</v>
      </c>
      <c r="AB599" s="411"/>
      <c r="AC599" s="412">
        <v>0</v>
      </c>
      <c r="AD599" s="421"/>
      <c r="AE599" s="413"/>
      <c r="AF599" s="424">
        <f>AE599+AD599+AA599</f>
        <v>898560</v>
      </c>
      <c r="AG599" s="405" t="s">
        <v>1069</v>
      </c>
      <c r="AH599" s="405"/>
      <c r="AI599" s="405">
        <v>60</v>
      </c>
      <c r="AJ599" s="405" t="s">
        <v>1289</v>
      </c>
      <c r="AK599" s="405" t="s">
        <v>1082</v>
      </c>
      <c r="AL599" s="425">
        <v>8110</v>
      </c>
      <c r="AM599" s="405" t="s">
        <v>52</v>
      </c>
      <c r="AN599" s="405" t="s">
        <v>1071</v>
      </c>
      <c r="AO599" s="405"/>
      <c r="AP599" s="413"/>
      <c r="AQ599" s="413"/>
      <c r="AR599" s="405"/>
      <c r="AS599" s="281"/>
      <c r="AT599" s="386" t="s">
        <v>1073</v>
      </c>
      <c r="AU599" s="403"/>
      <c r="AV599" s="402">
        <f t="shared" si="119"/>
        <v>49201132</v>
      </c>
      <c r="AW599" s="402" cm="1">
        <f t="array" ref="AW599">SUM(MID(0&amp;AV599,LARGE(INDEX(ISNUMBER(--MID(AV599,ROW($1:$8),1))*ROW($1:$8),),ROW($1:$8))+1,1)*10^ROW($1:$8)/10)</f>
        <v>49201132</v>
      </c>
      <c r="AX599" s="402" t="str">
        <f>VLOOKUP($AW599,'Item Master Data'!$A:$F,3,FALSE)</f>
        <v>Q.PEAK DUO BLK G10+</v>
      </c>
      <c r="AY599" s="402">
        <f>VLOOKUP($AW599,'Item Master Data'!$A:$F,6,FALSE)</f>
        <v>360</v>
      </c>
      <c r="AZ599" s="402">
        <f t="shared" si="120"/>
        <v>156</v>
      </c>
      <c r="BA599" s="402">
        <f>VLOOKUP(AW599,'Item Master Data'!$A:$G,7,FALSE)</f>
        <v>32</v>
      </c>
      <c r="BB599" s="402"/>
      <c r="BC599" s="402">
        <f t="shared" si="121"/>
        <v>0</v>
      </c>
    </row>
    <row r="600" spans="1:55">
      <c r="A600" s="278"/>
      <c r="B600" s="279"/>
      <c r="C600" s="279"/>
      <c r="D600" s="366" t="s">
        <v>2804</v>
      </c>
      <c r="E600" s="280"/>
      <c r="F600" s="405"/>
      <c r="G600" s="405">
        <v>2022</v>
      </c>
      <c r="H600" s="405">
        <v>7</v>
      </c>
      <c r="I600" s="416"/>
      <c r="J600" s="406"/>
      <c r="K600" s="405" t="s">
        <v>2950</v>
      </c>
      <c r="L600" s="405" t="s">
        <v>2813</v>
      </c>
      <c r="M600" s="406">
        <v>44529</v>
      </c>
      <c r="N600" s="406">
        <v>44652</v>
      </c>
      <c r="O600" s="406">
        <v>44713</v>
      </c>
      <c r="P600" s="406"/>
      <c r="Q600" s="406"/>
      <c r="R600" s="406"/>
      <c r="S600" s="405" t="s">
        <v>1098</v>
      </c>
      <c r="T600" s="405">
        <v>60</v>
      </c>
      <c r="U600" s="405">
        <v>49401140</v>
      </c>
      <c r="V600" s="405" t="s">
        <v>973</v>
      </c>
      <c r="W600" s="407">
        <v>400</v>
      </c>
      <c r="X600" s="371">
        <v>3072</v>
      </c>
      <c r="Y600" s="408">
        <f t="shared" ref="Y600:Y626" si="122">W600*X600</f>
        <v>1228800</v>
      </c>
      <c r="Z600" s="409">
        <v>0.52</v>
      </c>
      <c r="AA600" s="410">
        <f t="shared" ref="AA600:AA626" si="123">Y600*Z600</f>
        <v>638976</v>
      </c>
      <c r="AB600" s="411"/>
      <c r="AC600" s="412">
        <v>0</v>
      </c>
      <c r="AD600" s="421"/>
      <c r="AE600" s="413"/>
      <c r="AF600" s="424">
        <f t="shared" ref="AF600:AF626" si="124">AE600+AD600+AA600</f>
        <v>638976</v>
      </c>
      <c r="AG600" s="405" t="s">
        <v>1069</v>
      </c>
      <c r="AH600" s="405"/>
      <c r="AI600" s="405">
        <v>60</v>
      </c>
      <c r="AJ600" s="405" t="s">
        <v>2814</v>
      </c>
      <c r="AK600" s="405" t="s">
        <v>1130</v>
      </c>
      <c r="AL600" s="425" t="s">
        <v>2815</v>
      </c>
      <c r="AM600" s="405" t="s">
        <v>52</v>
      </c>
      <c r="AN600" s="405" t="s">
        <v>1071</v>
      </c>
      <c r="AO600" s="405"/>
      <c r="AP600" s="413"/>
      <c r="AQ600" s="413" t="s">
        <v>37</v>
      </c>
      <c r="AR600" s="405"/>
      <c r="AS600" s="281" t="s">
        <v>1073</v>
      </c>
      <c r="AT600" s="386" t="s">
        <v>1073</v>
      </c>
      <c r="AU600" s="403"/>
      <c r="AV600" s="402">
        <f t="shared" si="119"/>
        <v>49401140</v>
      </c>
      <c r="AW600" s="402" cm="1">
        <f t="array" ref="AW600">SUM(MID(0&amp;AV600,LARGE(INDEX(ISNUMBER(--MID(AV600,ROW($1:$8),1))*ROW($1:$8),),ROW($1:$8))+1,1)*10^ROW($1:$8)/10)</f>
        <v>49401140</v>
      </c>
      <c r="AX600" s="402" t="str">
        <f>VLOOKUP($AW600,'Item Master Data'!$A:$F,3,FALSE)</f>
        <v>Q.PEAK DUO BLK ML G10.a+</v>
      </c>
      <c r="AY600" s="402">
        <f>VLOOKUP($AW600,'Item Master Data'!$A:$F,6,FALSE)</f>
        <v>400</v>
      </c>
      <c r="AZ600" s="402">
        <f t="shared" si="120"/>
        <v>96</v>
      </c>
      <c r="BA600" s="402">
        <f>VLOOKUP(AW600,'Item Master Data'!$A:$G,7,FALSE)</f>
        <v>32</v>
      </c>
      <c r="BB600" s="402"/>
      <c r="BC600" s="402">
        <f t="shared" si="121"/>
        <v>0</v>
      </c>
    </row>
    <row r="601" spans="1:55">
      <c r="A601" s="278"/>
      <c r="B601" s="279"/>
      <c r="C601" s="279"/>
      <c r="D601" s="366" t="s">
        <v>2804</v>
      </c>
      <c r="E601" s="280"/>
      <c r="F601" s="405"/>
      <c r="G601" s="405">
        <v>2022</v>
      </c>
      <c r="H601" s="405">
        <v>7</v>
      </c>
      <c r="I601" s="416"/>
      <c r="J601" s="406"/>
      <c r="K601" s="405" t="s">
        <v>2951</v>
      </c>
      <c r="L601" s="405" t="s">
        <v>2813</v>
      </c>
      <c r="M601" s="406">
        <v>44529</v>
      </c>
      <c r="N601" s="406">
        <v>44682</v>
      </c>
      <c r="O601" s="406"/>
      <c r="P601" s="406"/>
      <c r="Q601" s="406"/>
      <c r="R601" s="406"/>
      <c r="S601" s="405" t="s">
        <v>1098</v>
      </c>
      <c r="T601" s="405">
        <v>60</v>
      </c>
      <c r="U601" s="405">
        <v>49401140</v>
      </c>
      <c r="V601" s="405" t="s">
        <v>973</v>
      </c>
      <c r="W601" s="407">
        <v>400</v>
      </c>
      <c r="X601" s="371">
        <f>2304-1536</f>
        <v>768</v>
      </c>
      <c r="Y601" s="408">
        <f t="shared" si="122"/>
        <v>307200</v>
      </c>
      <c r="Z601" s="409">
        <v>0.52</v>
      </c>
      <c r="AA601" s="410">
        <f t="shared" si="123"/>
        <v>159744</v>
      </c>
      <c r="AB601" s="411"/>
      <c r="AC601" s="412">
        <v>0</v>
      </c>
      <c r="AD601" s="421"/>
      <c r="AE601" s="413"/>
      <c r="AF601" s="424">
        <f t="shared" si="124"/>
        <v>159744</v>
      </c>
      <c r="AG601" s="405" t="s">
        <v>1069</v>
      </c>
      <c r="AH601" s="405"/>
      <c r="AI601" s="405">
        <v>60</v>
      </c>
      <c r="AJ601" s="405" t="s">
        <v>2814</v>
      </c>
      <c r="AK601" s="405" t="s">
        <v>1130</v>
      </c>
      <c r="AL601" s="425" t="s">
        <v>2815</v>
      </c>
      <c r="AM601" s="405" t="s">
        <v>52</v>
      </c>
      <c r="AN601" s="405" t="s">
        <v>1071</v>
      </c>
      <c r="AO601" s="405"/>
      <c r="AP601" s="413"/>
      <c r="AQ601" s="413" t="s">
        <v>37</v>
      </c>
      <c r="AR601" s="405"/>
      <c r="AS601" s="281" t="s">
        <v>1073</v>
      </c>
      <c r="AT601" s="386" t="s">
        <v>1073</v>
      </c>
      <c r="AU601" s="403"/>
      <c r="AV601" s="402"/>
      <c r="AW601" s="402"/>
      <c r="AX601" s="402"/>
      <c r="AY601" s="402"/>
      <c r="AZ601" s="402"/>
      <c r="BA601" s="402"/>
      <c r="BB601" s="402"/>
      <c r="BC601" s="402"/>
    </row>
    <row r="602" spans="1:55">
      <c r="A602" s="278"/>
      <c r="B602" s="279"/>
      <c r="C602" s="279"/>
      <c r="D602" s="366" t="s">
        <v>2804</v>
      </c>
      <c r="E602" s="280"/>
      <c r="F602" s="405"/>
      <c r="G602" s="405">
        <v>2022</v>
      </c>
      <c r="H602" s="405">
        <v>7</v>
      </c>
      <c r="I602" s="416"/>
      <c r="J602" s="406"/>
      <c r="K602" s="405" t="s">
        <v>2952</v>
      </c>
      <c r="L602" s="405" t="s">
        <v>2813</v>
      </c>
      <c r="M602" s="406">
        <v>44529</v>
      </c>
      <c r="N602" s="406">
        <v>44713</v>
      </c>
      <c r="O602" s="406"/>
      <c r="P602" s="406"/>
      <c r="Q602" s="406"/>
      <c r="R602" s="406"/>
      <c r="S602" s="405" t="s">
        <v>1098</v>
      </c>
      <c r="T602" s="405">
        <v>60</v>
      </c>
      <c r="U602" s="405">
        <v>49201132</v>
      </c>
      <c r="V602" s="405" t="s">
        <v>986</v>
      </c>
      <c r="W602" s="407">
        <v>360</v>
      </c>
      <c r="X602" s="371">
        <v>2496</v>
      </c>
      <c r="Y602" s="408">
        <f t="shared" si="122"/>
        <v>898560</v>
      </c>
      <c r="Z602" s="409">
        <v>0.5</v>
      </c>
      <c r="AA602" s="410">
        <f t="shared" si="123"/>
        <v>449280</v>
      </c>
      <c r="AB602" s="411"/>
      <c r="AC602" s="412">
        <v>0</v>
      </c>
      <c r="AD602" s="421"/>
      <c r="AE602" s="413"/>
      <c r="AF602" s="424">
        <f t="shared" si="124"/>
        <v>449280</v>
      </c>
      <c r="AG602" s="405" t="s">
        <v>1069</v>
      </c>
      <c r="AH602" s="405"/>
      <c r="AI602" s="405">
        <v>60</v>
      </c>
      <c r="AJ602" s="405" t="s">
        <v>2814</v>
      </c>
      <c r="AK602" s="405" t="s">
        <v>1130</v>
      </c>
      <c r="AL602" s="425" t="s">
        <v>2815</v>
      </c>
      <c r="AM602" s="405" t="s">
        <v>52</v>
      </c>
      <c r="AN602" s="405" t="s">
        <v>1071</v>
      </c>
      <c r="AO602" s="405"/>
      <c r="AP602" s="413"/>
      <c r="AQ602" s="413" t="s">
        <v>37</v>
      </c>
      <c r="AR602" s="405"/>
      <c r="AS602" s="281" t="s">
        <v>1073</v>
      </c>
      <c r="AT602" s="386" t="s">
        <v>1073</v>
      </c>
      <c r="AU602" s="403"/>
      <c r="AV602" s="402"/>
      <c r="AW602" s="402"/>
      <c r="AX602" s="402"/>
      <c r="AY602" s="402"/>
      <c r="AZ602" s="402"/>
      <c r="BA602" s="402"/>
      <c r="BB602" s="402"/>
      <c r="BC602" s="402"/>
    </row>
    <row r="603" spans="1:55">
      <c r="A603" s="278"/>
      <c r="B603" s="279"/>
      <c r="C603" s="279"/>
      <c r="D603" s="366" t="s">
        <v>2804</v>
      </c>
      <c r="E603" s="280" t="s">
        <v>1239</v>
      </c>
      <c r="F603" s="405"/>
      <c r="G603" s="405">
        <v>2022</v>
      </c>
      <c r="H603" s="405">
        <v>7</v>
      </c>
      <c r="I603" s="416"/>
      <c r="J603" s="406"/>
      <c r="K603" s="405" t="s">
        <v>2953</v>
      </c>
      <c r="L603" s="405" t="s">
        <v>2813</v>
      </c>
      <c r="M603" s="406">
        <v>44613</v>
      </c>
      <c r="N603" s="406">
        <v>44743</v>
      </c>
      <c r="O603" s="406"/>
      <c r="P603" s="406"/>
      <c r="Q603" s="406"/>
      <c r="R603" s="406"/>
      <c r="S603" s="405" t="s">
        <v>1098</v>
      </c>
      <c r="T603" s="405">
        <v>60</v>
      </c>
      <c r="U603" s="405"/>
      <c r="V603" s="405" t="s">
        <v>973</v>
      </c>
      <c r="W603" s="407">
        <v>400</v>
      </c>
      <c r="X603" s="371">
        <v>3840</v>
      </c>
      <c r="Y603" s="408">
        <f t="shared" si="122"/>
        <v>1536000</v>
      </c>
      <c r="Z603" s="409">
        <v>0.55000000000000004</v>
      </c>
      <c r="AA603" s="410">
        <f t="shared" si="123"/>
        <v>844800.00000000012</v>
      </c>
      <c r="AB603" s="411"/>
      <c r="AC603" s="412"/>
      <c r="AD603" s="421"/>
      <c r="AE603" s="413"/>
      <c r="AF603" s="424">
        <f t="shared" si="124"/>
        <v>844800.00000000012</v>
      </c>
      <c r="AG603" s="405" t="s">
        <v>1069</v>
      </c>
      <c r="AH603" s="405"/>
      <c r="AI603" s="405">
        <v>60</v>
      </c>
      <c r="AJ603" s="405" t="s">
        <v>2827</v>
      </c>
      <c r="AK603" s="405" t="s">
        <v>1130</v>
      </c>
      <c r="AL603" s="425">
        <v>11779</v>
      </c>
      <c r="AM603" s="405" t="s">
        <v>52</v>
      </c>
      <c r="AN603" s="405"/>
      <c r="AO603" s="405"/>
      <c r="AP603" s="413"/>
      <c r="AQ603" s="413" t="s">
        <v>37</v>
      </c>
      <c r="AR603" s="405"/>
      <c r="AS603" s="281"/>
      <c r="AT603" s="386"/>
      <c r="AU603" s="403"/>
      <c r="AV603" s="402">
        <f t="shared" ref="AV603:AV609" si="125">U603</f>
        <v>0</v>
      </c>
      <c r="AW603" s="402" cm="1">
        <f t="array" ref="AW603">SUM(MID(0&amp;AV603,LARGE(INDEX(ISNUMBER(--MID(AV603,ROW($1:$8),1))*ROW($1:$8),),ROW($1:$8))+1,1)*10^ROW($1:$8)/10)</f>
        <v>0</v>
      </c>
      <c r="AX603" s="402" t="e">
        <f>VLOOKUP($AW603,'Item Master Data'!$A:$F,3,FALSE)</f>
        <v>#N/A</v>
      </c>
      <c r="AY603" s="402" t="e">
        <f>VLOOKUP($AW603,'Item Master Data'!$A:$F,6,FALSE)</f>
        <v>#N/A</v>
      </c>
      <c r="AZ603" s="402" t="e">
        <f t="shared" ref="AZ603:AZ609" si="126">X603/BA603</f>
        <v>#N/A</v>
      </c>
      <c r="BA603" s="402" t="e">
        <f>VLOOKUP(AW603,'Item Master Data'!$A:$G,7,FALSE)</f>
        <v>#N/A</v>
      </c>
      <c r="BB603" s="402"/>
      <c r="BC603" s="402" t="e">
        <f t="shared" ref="BC603:BC609" si="127">W603-AY603</f>
        <v>#N/A</v>
      </c>
    </row>
    <row r="604" spans="1:55">
      <c r="A604" s="278"/>
      <c r="B604" s="279"/>
      <c r="C604" s="279"/>
      <c r="D604" s="366" t="s">
        <v>2804</v>
      </c>
      <c r="E604" s="280"/>
      <c r="F604" s="405"/>
      <c r="G604" s="405">
        <v>2022</v>
      </c>
      <c r="H604" s="405">
        <v>7</v>
      </c>
      <c r="I604" s="416"/>
      <c r="J604" s="406"/>
      <c r="K604" s="405" t="s">
        <v>4710</v>
      </c>
      <c r="L604" s="405" t="s">
        <v>1308</v>
      </c>
      <c r="M604" s="406">
        <v>44498</v>
      </c>
      <c r="N604" s="406">
        <v>44713</v>
      </c>
      <c r="O604" s="406"/>
      <c r="P604" s="406"/>
      <c r="Q604" s="406"/>
      <c r="R604" s="406"/>
      <c r="S604" s="405" t="s">
        <v>1098</v>
      </c>
      <c r="T604" s="405">
        <v>60</v>
      </c>
      <c r="U604" s="405"/>
      <c r="V604" s="405" t="s">
        <v>986</v>
      </c>
      <c r="W604" s="407">
        <v>360</v>
      </c>
      <c r="X604" s="371">
        <v>832</v>
      </c>
      <c r="Y604" s="408">
        <f t="shared" si="122"/>
        <v>299520</v>
      </c>
      <c r="Z604" s="409">
        <v>0.53</v>
      </c>
      <c r="AA604" s="410">
        <f t="shared" si="123"/>
        <v>158745.60000000001</v>
      </c>
      <c r="AB604" s="411"/>
      <c r="AC604" s="412">
        <v>0</v>
      </c>
      <c r="AD604" s="421"/>
      <c r="AE604" s="413"/>
      <c r="AF604" s="424">
        <f t="shared" si="124"/>
        <v>158745.60000000001</v>
      </c>
      <c r="AG604" s="405" t="s">
        <v>1069</v>
      </c>
      <c r="AH604" s="405"/>
      <c r="AI604" s="405">
        <v>60</v>
      </c>
      <c r="AJ604" s="405" t="s">
        <v>1291</v>
      </c>
      <c r="AK604" s="405" t="s">
        <v>1292</v>
      </c>
      <c r="AL604" s="425">
        <v>18360</v>
      </c>
      <c r="AM604" s="405" t="s">
        <v>52</v>
      </c>
      <c r="AN604" s="405"/>
      <c r="AO604" s="405"/>
      <c r="AP604" s="413"/>
      <c r="AQ604" s="413" t="s">
        <v>37</v>
      </c>
      <c r="AR604" s="405"/>
      <c r="AS604" s="281"/>
      <c r="AT604" s="386"/>
      <c r="AU604" s="403"/>
      <c r="AV604" s="402">
        <f t="shared" si="125"/>
        <v>0</v>
      </c>
      <c r="AW604" s="402" cm="1">
        <f t="array" ref="AW604">SUM(MID(0&amp;AV604,LARGE(INDEX(ISNUMBER(--MID(AV604,ROW($1:$8),1))*ROW($1:$8),),ROW($1:$8))+1,1)*10^ROW($1:$8)/10)</f>
        <v>0</v>
      </c>
      <c r="AX604" s="402" t="e">
        <f>VLOOKUP($AW604,'Item Master Data'!$A:$F,3,FALSE)</f>
        <v>#N/A</v>
      </c>
      <c r="AY604" s="402" t="e">
        <f>VLOOKUP($AW604,'Item Master Data'!$A:$F,6,FALSE)</f>
        <v>#N/A</v>
      </c>
      <c r="AZ604" s="402" t="e">
        <f t="shared" si="126"/>
        <v>#N/A</v>
      </c>
      <c r="BA604" s="402" t="e">
        <f>VLOOKUP(AW604,'Item Master Data'!$A:$G,7,FALSE)</f>
        <v>#N/A</v>
      </c>
      <c r="BB604" s="402"/>
      <c r="BC604" s="402" t="e">
        <f t="shared" si="127"/>
        <v>#N/A</v>
      </c>
    </row>
    <row r="605" spans="1:55">
      <c r="A605" s="278"/>
      <c r="B605" s="279"/>
      <c r="C605" s="279"/>
      <c r="D605" s="366" t="s">
        <v>2804</v>
      </c>
      <c r="E605" s="280"/>
      <c r="F605" s="405"/>
      <c r="G605" s="405">
        <v>2022</v>
      </c>
      <c r="H605" s="405">
        <v>7</v>
      </c>
      <c r="I605" s="416"/>
      <c r="J605" s="406"/>
      <c r="K605" s="405" t="s">
        <v>2955</v>
      </c>
      <c r="L605" s="405" t="s">
        <v>1308</v>
      </c>
      <c r="M605" s="406">
        <v>44498</v>
      </c>
      <c r="N605" s="406">
        <v>44743</v>
      </c>
      <c r="O605" s="406"/>
      <c r="P605" s="406"/>
      <c r="Q605" s="406"/>
      <c r="R605" s="406"/>
      <c r="S605" s="405" t="s">
        <v>1098</v>
      </c>
      <c r="T605" s="405">
        <v>60</v>
      </c>
      <c r="U605" s="405"/>
      <c r="V605" s="405" t="s">
        <v>986</v>
      </c>
      <c r="W605" s="407">
        <v>360</v>
      </c>
      <c r="X605" s="371">
        <v>1664</v>
      </c>
      <c r="Y605" s="408">
        <f t="shared" si="122"/>
        <v>599040</v>
      </c>
      <c r="Z605" s="409">
        <v>0.53</v>
      </c>
      <c r="AA605" s="410">
        <f t="shared" si="123"/>
        <v>317491.20000000001</v>
      </c>
      <c r="AB605" s="411"/>
      <c r="AC605" s="412">
        <v>0</v>
      </c>
      <c r="AD605" s="421"/>
      <c r="AE605" s="413"/>
      <c r="AF605" s="424">
        <f t="shared" si="124"/>
        <v>317491.20000000001</v>
      </c>
      <c r="AG605" s="405" t="s">
        <v>1069</v>
      </c>
      <c r="AH605" s="405"/>
      <c r="AI605" s="405">
        <v>60</v>
      </c>
      <c r="AJ605" s="405" t="s">
        <v>1291</v>
      </c>
      <c r="AK605" s="405" t="s">
        <v>1292</v>
      </c>
      <c r="AL605" s="425">
        <v>18360</v>
      </c>
      <c r="AM605" s="405" t="s">
        <v>52</v>
      </c>
      <c r="AN605" s="405"/>
      <c r="AO605" s="405"/>
      <c r="AP605" s="413"/>
      <c r="AQ605" s="413" t="s">
        <v>37</v>
      </c>
      <c r="AR605" s="405"/>
      <c r="AS605" s="281"/>
      <c r="AT605" s="386"/>
      <c r="AU605" s="403"/>
      <c r="AV605" s="402">
        <f t="shared" si="125"/>
        <v>0</v>
      </c>
      <c r="AW605" s="402" cm="1">
        <f t="array" ref="AW605">SUM(MID(0&amp;AV605,LARGE(INDEX(ISNUMBER(--MID(AV605,ROW($1:$8),1))*ROW($1:$8),),ROW($1:$8))+1,1)*10^ROW($1:$8)/10)</f>
        <v>0</v>
      </c>
      <c r="AX605" s="402" t="e">
        <f>VLOOKUP($AW605,'Item Master Data'!$A:$F,3,FALSE)</f>
        <v>#N/A</v>
      </c>
      <c r="AY605" s="402" t="e">
        <f>VLOOKUP($AW605,'Item Master Data'!$A:$F,6,FALSE)</f>
        <v>#N/A</v>
      </c>
      <c r="AZ605" s="402" t="e">
        <f t="shared" si="126"/>
        <v>#N/A</v>
      </c>
      <c r="BA605" s="402" t="e">
        <f>VLOOKUP(AW605,'Item Master Data'!$A:$G,7,FALSE)</f>
        <v>#N/A</v>
      </c>
      <c r="BB605" s="402"/>
      <c r="BC605" s="402" t="e">
        <f t="shared" si="127"/>
        <v>#N/A</v>
      </c>
    </row>
    <row r="606" spans="1:55">
      <c r="A606" s="278"/>
      <c r="B606" s="279">
        <v>44915</v>
      </c>
      <c r="C606" s="279">
        <v>44575</v>
      </c>
      <c r="D606" s="366" t="s">
        <v>2804</v>
      </c>
      <c r="E606" s="280" t="s">
        <v>2956</v>
      </c>
      <c r="F606" s="405"/>
      <c r="G606" s="405">
        <v>2022</v>
      </c>
      <c r="H606" s="405">
        <v>7</v>
      </c>
      <c r="I606" s="416"/>
      <c r="J606" s="406"/>
      <c r="K606" s="405" t="s">
        <v>2957</v>
      </c>
      <c r="L606" s="405" t="s">
        <v>1315</v>
      </c>
      <c r="M606" s="406">
        <v>44550</v>
      </c>
      <c r="N606" s="406">
        <v>44713</v>
      </c>
      <c r="O606" s="406">
        <v>44743</v>
      </c>
      <c r="P606" s="406"/>
      <c r="Q606" s="406"/>
      <c r="R606" s="406"/>
      <c r="S606" s="405" t="s">
        <v>1098</v>
      </c>
      <c r="T606" s="405">
        <v>60</v>
      </c>
      <c r="U606" s="405"/>
      <c r="V606" s="405" t="s">
        <v>985</v>
      </c>
      <c r="W606" s="407">
        <v>400</v>
      </c>
      <c r="X606" s="371">
        <v>2304</v>
      </c>
      <c r="Y606" s="408">
        <f t="shared" si="122"/>
        <v>921600</v>
      </c>
      <c r="Z606" s="409">
        <v>0.47499999999999998</v>
      </c>
      <c r="AA606" s="410">
        <f t="shared" si="123"/>
        <v>437760</v>
      </c>
      <c r="AB606" s="411"/>
      <c r="AC606" s="412">
        <f t="shared" ref="AC606:AC612" si="128">AB606*Y606</f>
        <v>0</v>
      </c>
      <c r="AD606" s="421"/>
      <c r="AE606" s="413"/>
      <c r="AF606" s="424">
        <f t="shared" si="124"/>
        <v>437760</v>
      </c>
      <c r="AG606" s="405" t="s">
        <v>1069</v>
      </c>
      <c r="AH606" s="405">
        <v>0</v>
      </c>
      <c r="AI606" s="405">
        <v>60</v>
      </c>
      <c r="AJ606" s="405" t="s">
        <v>1316</v>
      </c>
      <c r="AK606" s="405" t="s">
        <v>1317</v>
      </c>
      <c r="AL606" s="425" t="s">
        <v>2816</v>
      </c>
      <c r="AM606" s="405" t="s">
        <v>52</v>
      </c>
      <c r="AN606" s="405" t="s">
        <v>1071</v>
      </c>
      <c r="AO606" s="405"/>
      <c r="AP606" s="413"/>
      <c r="AQ606" s="413" t="s">
        <v>1083</v>
      </c>
      <c r="AR606" s="405"/>
      <c r="AS606" s="281" t="s">
        <v>1084</v>
      </c>
      <c r="AT606" s="386" t="s">
        <v>1073</v>
      </c>
      <c r="AU606" s="403"/>
      <c r="AV606" s="402">
        <f t="shared" si="125"/>
        <v>0</v>
      </c>
      <c r="AW606" s="402" cm="1">
        <f t="array" ref="AW606">SUM(MID(0&amp;AV606,LARGE(INDEX(ISNUMBER(--MID(AV606,ROW($1:$8),1))*ROW($1:$8),),ROW($1:$8))+1,1)*10^ROW($1:$8)/10)</f>
        <v>0</v>
      </c>
      <c r="AX606" s="402" t="e">
        <f>VLOOKUP($AW606,'Item Master Data'!$A:$F,3,FALSE)</f>
        <v>#N/A</v>
      </c>
      <c r="AY606" s="402" t="e">
        <f>VLOOKUP($AW606,'Item Master Data'!$A:$F,6,FALSE)</f>
        <v>#N/A</v>
      </c>
      <c r="AZ606" s="402" t="e">
        <f t="shared" si="126"/>
        <v>#N/A</v>
      </c>
      <c r="BA606" s="402" t="e">
        <f>VLOOKUP(AW606,'Item Master Data'!$A:$G,7,FALSE)</f>
        <v>#N/A</v>
      </c>
      <c r="BB606" s="402"/>
      <c r="BC606" s="402" t="e">
        <f t="shared" si="127"/>
        <v>#N/A</v>
      </c>
    </row>
    <row r="607" spans="1:55">
      <c r="A607" s="278"/>
      <c r="B607" s="279"/>
      <c r="C607" s="279"/>
      <c r="D607" s="366" t="s">
        <v>2804</v>
      </c>
      <c r="E607" s="280" t="s">
        <v>2849</v>
      </c>
      <c r="F607" s="405"/>
      <c r="G607" s="405">
        <v>2022</v>
      </c>
      <c r="H607" s="405">
        <v>7</v>
      </c>
      <c r="I607" s="416"/>
      <c r="J607" s="406"/>
      <c r="K607" s="405" t="s">
        <v>2958</v>
      </c>
      <c r="L607" s="405" t="s">
        <v>1315</v>
      </c>
      <c r="M607" s="406">
        <v>44519</v>
      </c>
      <c r="N607" s="406">
        <v>44652</v>
      </c>
      <c r="O607" s="406">
        <v>44713</v>
      </c>
      <c r="P607" s="406"/>
      <c r="Q607" s="406"/>
      <c r="R607" s="406"/>
      <c r="S607" s="405" t="s">
        <v>1098</v>
      </c>
      <c r="T607" s="405">
        <v>60</v>
      </c>
      <c r="U607" s="405">
        <v>49401140</v>
      </c>
      <c r="V607" s="405" t="s">
        <v>985</v>
      </c>
      <c r="W607" s="407">
        <v>400</v>
      </c>
      <c r="X607" s="371">
        <v>1536</v>
      </c>
      <c r="Y607" s="408">
        <f t="shared" si="122"/>
        <v>614400</v>
      </c>
      <c r="Z607" s="409">
        <v>0.47499999999999998</v>
      </c>
      <c r="AA607" s="410">
        <f t="shared" si="123"/>
        <v>291840</v>
      </c>
      <c r="AB607" s="411"/>
      <c r="AC607" s="412">
        <f t="shared" si="128"/>
        <v>0</v>
      </c>
      <c r="AD607" s="421"/>
      <c r="AE607" s="413"/>
      <c r="AF607" s="424">
        <f t="shared" si="124"/>
        <v>291840</v>
      </c>
      <c r="AG607" s="405" t="s">
        <v>1069</v>
      </c>
      <c r="AH607" s="405">
        <v>0</v>
      </c>
      <c r="AI607" s="405">
        <v>60</v>
      </c>
      <c r="AJ607" s="405" t="s">
        <v>1316</v>
      </c>
      <c r="AK607" s="405" t="s">
        <v>1317</v>
      </c>
      <c r="AL607" s="425" t="s">
        <v>2816</v>
      </c>
      <c r="AM607" s="405" t="s">
        <v>52</v>
      </c>
      <c r="AN607" s="405" t="s">
        <v>1071</v>
      </c>
      <c r="AO607" s="405"/>
      <c r="AP607" s="413"/>
      <c r="AQ607" s="413" t="s">
        <v>1083</v>
      </c>
      <c r="AR607" s="405" t="s">
        <v>1209</v>
      </c>
      <c r="AS607" s="281" t="s">
        <v>1084</v>
      </c>
      <c r="AT607" s="386" t="s">
        <v>1073</v>
      </c>
      <c r="AU607" s="525">
        <v>0.47499999999999998</v>
      </c>
      <c r="AV607" s="402">
        <f t="shared" si="125"/>
        <v>49401140</v>
      </c>
      <c r="AW607" s="402" cm="1">
        <f t="array" ref="AW607">SUM(MID(0&amp;AV607,LARGE(INDEX(ISNUMBER(--MID(AV607,ROW($1:$8),1))*ROW($1:$8),),ROW($1:$8))+1,1)*10^ROW($1:$8)/10)</f>
        <v>49401140</v>
      </c>
      <c r="AX607" s="402" t="str">
        <f>VLOOKUP($AW607,'Item Master Data'!$A:$F,3,FALSE)</f>
        <v>Q.PEAK DUO BLK ML G10.a+</v>
      </c>
      <c r="AY607" s="402">
        <f>VLOOKUP($AW607,'Item Master Data'!$A:$F,6,FALSE)</f>
        <v>400</v>
      </c>
      <c r="AZ607" s="402">
        <f t="shared" si="126"/>
        <v>48</v>
      </c>
      <c r="BA607" s="402">
        <f>VLOOKUP(AW607,'Item Master Data'!$A:$G,7,FALSE)</f>
        <v>32</v>
      </c>
      <c r="BB607" s="402"/>
      <c r="BC607" s="402">
        <f t="shared" si="127"/>
        <v>0</v>
      </c>
    </row>
    <row r="608" spans="1:55">
      <c r="A608" s="278"/>
      <c r="B608" s="279"/>
      <c r="C608" s="279"/>
      <c r="D608" s="366" t="s">
        <v>2804</v>
      </c>
      <c r="E608" s="280" t="s">
        <v>2931</v>
      </c>
      <c r="F608" s="405" t="s">
        <v>1139</v>
      </c>
      <c r="G608" s="405">
        <v>2022</v>
      </c>
      <c r="H608" s="405">
        <v>7</v>
      </c>
      <c r="I608" s="416" t="s">
        <v>1393</v>
      </c>
      <c r="J608" s="406"/>
      <c r="K608" s="405" t="s">
        <v>2932</v>
      </c>
      <c r="L608" s="405" t="s">
        <v>2907</v>
      </c>
      <c r="M608" s="406">
        <v>44489</v>
      </c>
      <c r="N608" s="406">
        <v>44262</v>
      </c>
      <c r="O608" s="406"/>
      <c r="P608" s="406"/>
      <c r="Q608" s="406"/>
      <c r="R608" s="406"/>
      <c r="S608" s="405" t="s">
        <v>1098</v>
      </c>
      <c r="T608" s="405">
        <v>60</v>
      </c>
      <c r="U608" s="405">
        <v>49201132</v>
      </c>
      <c r="V608" s="405" t="s">
        <v>986</v>
      </c>
      <c r="W608" s="407">
        <v>360</v>
      </c>
      <c r="X608" s="371">
        <f>8448-832</f>
        <v>7616</v>
      </c>
      <c r="Y608" s="408">
        <f t="shared" si="122"/>
        <v>2741760</v>
      </c>
      <c r="Z608" s="409">
        <v>0.5</v>
      </c>
      <c r="AA608" s="410">
        <f t="shared" si="123"/>
        <v>1370880</v>
      </c>
      <c r="AB608" s="411"/>
      <c r="AC608" s="412">
        <f t="shared" si="128"/>
        <v>0</v>
      </c>
      <c r="AD608" s="421"/>
      <c r="AE608" s="413"/>
      <c r="AF608" s="424">
        <f t="shared" si="124"/>
        <v>1370880</v>
      </c>
      <c r="AG608" s="405" t="s">
        <v>47</v>
      </c>
      <c r="AH608" s="405">
        <v>100</v>
      </c>
      <c r="AI608" s="405">
        <v>0</v>
      </c>
      <c r="AJ608" s="405" t="s">
        <v>2822</v>
      </c>
      <c r="AK608" s="405" t="s">
        <v>1082</v>
      </c>
      <c r="AL608" s="425" t="s">
        <v>2908</v>
      </c>
      <c r="AM608" s="405" t="s">
        <v>52</v>
      </c>
      <c r="AN608" s="405" t="s">
        <v>1071</v>
      </c>
      <c r="AO608" s="405"/>
      <c r="AP608" s="413"/>
      <c r="AQ608" s="413" t="s">
        <v>1083</v>
      </c>
      <c r="AR608" s="405"/>
      <c r="AS608" s="386" t="s">
        <v>1084</v>
      </c>
      <c r="AT608" s="386" t="s">
        <v>1073</v>
      </c>
      <c r="AU608" s="525"/>
      <c r="AV608" s="402">
        <f t="shared" si="125"/>
        <v>49201132</v>
      </c>
      <c r="AW608" s="402" cm="1">
        <f t="array" ref="AW608">SUM(MID(0&amp;AV608,LARGE(INDEX(ISNUMBER(--MID(AV608,ROW($1:$8),1))*ROW($1:$8),),ROW($1:$8))+1,1)*10^ROW($1:$8)/10)</f>
        <v>49201132</v>
      </c>
      <c r="AX608" s="402" t="str">
        <f>VLOOKUP($AW608,'Item Master Data'!$A:$F,3,FALSE)</f>
        <v>Q.PEAK DUO BLK G10+</v>
      </c>
      <c r="AY608" s="402">
        <f>VLOOKUP($AW608,'Item Master Data'!$A:$F,6,FALSE)</f>
        <v>360</v>
      </c>
      <c r="AZ608" s="402">
        <f t="shared" si="126"/>
        <v>238</v>
      </c>
      <c r="BA608" s="402">
        <f>VLOOKUP(AW608,'Item Master Data'!$A:$G,7,FALSE)</f>
        <v>32</v>
      </c>
      <c r="BB608" s="402"/>
      <c r="BC608" s="402">
        <f t="shared" si="127"/>
        <v>0</v>
      </c>
    </row>
    <row r="609" spans="1:55">
      <c r="A609" s="278"/>
      <c r="B609" s="279"/>
      <c r="C609" s="279"/>
      <c r="D609" s="366" t="s">
        <v>2804</v>
      </c>
      <c r="E609" s="280"/>
      <c r="F609" s="405"/>
      <c r="G609" s="405">
        <v>2022</v>
      </c>
      <c r="H609" s="405">
        <v>7</v>
      </c>
      <c r="I609" s="416" t="s">
        <v>1393</v>
      </c>
      <c r="J609" s="406"/>
      <c r="K609" s="405" t="s">
        <v>2959</v>
      </c>
      <c r="L609" s="405" t="s">
        <v>2907</v>
      </c>
      <c r="M609" s="406">
        <v>44539</v>
      </c>
      <c r="N609" s="406">
        <v>44538</v>
      </c>
      <c r="O609" s="406"/>
      <c r="P609" s="406"/>
      <c r="Q609" s="406"/>
      <c r="R609" s="406"/>
      <c r="S609" s="405" t="s">
        <v>1098</v>
      </c>
      <c r="T609" s="405">
        <v>60</v>
      </c>
      <c r="U609" s="405">
        <v>49201132</v>
      </c>
      <c r="V609" s="405" t="s">
        <v>986</v>
      </c>
      <c r="W609" s="407">
        <v>360</v>
      </c>
      <c r="X609" s="371">
        <v>8065</v>
      </c>
      <c r="Y609" s="408">
        <f t="shared" si="122"/>
        <v>2903400</v>
      </c>
      <c r="Z609" s="409">
        <v>0.5</v>
      </c>
      <c r="AA609" s="410">
        <f t="shared" si="123"/>
        <v>1451700</v>
      </c>
      <c r="AB609" s="411"/>
      <c r="AC609" s="412">
        <f t="shared" si="128"/>
        <v>0</v>
      </c>
      <c r="AD609" s="421"/>
      <c r="AE609" s="413"/>
      <c r="AF609" s="424">
        <f t="shared" si="124"/>
        <v>1451700</v>
      </c>
      <c r="AG609" s="405" t="s">
        <v>47</v>
      </c>
      <c r="AH609" s="405">
        <v>100</v>
      </c>
      <c r="AI609" s="405">
        <v>0</v>
      </c>
      <c r="AJ609" s="405" t="s">
        <v>2822</v>
      </c>
      <c r="AK609" s="405" t="s">
        <v>1082</v>
      </c>
      <c r="AL609" s="425" t="s">
        <v>2908</v>
      </c>
      <c r="AM609" s="405" t="s">
        <v>52</v>
      </c>
      <c r="AN609" s="405" t="s">
        <v>1071</v>
      </c>
      <c r="AO609" s="405"/>
      <c r="AP609" s="413"/>
      <c r="AQ609" s="413" t="s">
        <v>1083</v>
      </c>
      <c r="AR609" s="405"/>
      <c r="AS609" s="281" t="s">
        <v>1084</v>
      </c>
      <c r="AT609" s="386" t="s">
        <v>1073</v>
      </c>
      <c r="AU609" s="525"/>
      <c r="AV609" s="402">
        <f t="shared" si="125"/>
        <v>49201132</v>
      </c>
      <c r="AW609" s="402" cm="1">
        <f t="array" ref="AW609">SUM(MID(0&amp;AV609,LARGE(INDEX(ISNUMBER(--MID(AV609,ROW($1:$8),1))*ROW($1:$8),),ROW($1:$8))+1,1)*10^ROW($1:$8)/10)</f>
        <v>49201132</v>
      </c>
      <c r="AX609" s="402" t="str">
        <f>VLOOKUP($AW609,'Item Master Data'!$A:$F,3,FALSE)</f>
        <v>Q.PEAK DUO BLK G10+</v>
      </c>
      <c r="AY609" s="402">
        <f>VLOOKUP($AW609,'Item Master Data'!$A:$F,6,FALSE)</f>
        <v>360</v>
      </c>
      <c r="AZ609" s="402">
        <f t="shared" si="126"/>
        <v>252.03125</v>
      </c>
      <c r="BA609" s="402">
        <f>VLOOKUP(AW609,'Item Master Data'!$A:$G,7,FALSE)</f>
        <v>32</v>
      </c>
      <c r="BB609" s="402"/>
      <c r="BC609" s="402">
        <f t="shared" si="127"/>
        <v>0</v>
      </c>
    </row>
    <row r="610" spans="1:55">
      <c r="A610" s="278"/>
      <c r="B610" s="279"/>
      <c r="C610" s="279"/>
      <c r="D610" s="366" t="s">
        <v>2804</v>
      </c>
      <c r="E610" s="280"/>
      <c r="F610" s="405"/>
      <c r="G610" s="405">
        <v>2022</v>
      </c>
      <c r="H610" s="405">
        <v>7</v>
      </c>
      <c r="I610" s="416">
        <v>2005055</v>
      </c>
      <c r="J610" s="406"/>
      <c r="K610" s="405" t="s">
        <v>2960</v>
      </c>
      <c r="L610" s="405" t="s">
        <v>2907</v>
      </c>
      <c r="M610" s="406">
        <v>44540</v>
      </c>
      <c r="N610" s="406">
        <v>44652</v>
      </c>
      <c r="O610" s="406"/>
      <c r="P610" s="406"/>
      <c r="Q610" s="406"/>
      <c r="R610" s="406"/>
      <c r="S610" s="405" t="s">
        <v>1098</v>
      </c>
      <c r="T610" s="405">
        <v>60</v>
      </c>
      <c r="U610" s="405">
        <v>49201132</v>
      </c>
      <c r="V610" s="405" t="s">
        <v>986</v>
      </c>
      <c r="W610" s="407">
        <v>360</v>
      </c>
      <c r="X610" s="371">
        <v>12544</v>
      </c>
      <c r="Y610" s="408">
        <f t="shared" si="122"/>
        <v>4515840</v>
      </c>
      <c r="Z610" s="409">
        <v>0.49</v>
      </c>
      <c r="AA610" s="410">
        <f t="shared" si="123"/>
        <v>2212761.6000000001</v>
      </c>
      <c r="AB610" s="411"/>
      <c r="AC610" s="412">
        <f t="shared" si="128"/>
        <v>0</v>
      </c>
      <c r="AD610" s="421"/>
      <c r="AE610" s="413"/>
      <c r="AF610" s="424">
        <f t="shared" si="124"/>
        <v>2212761.6000000001</v>
      </c>
      <c r="AG610" s="405" t="s">
        <v>47</v>
      </c>
      <c r="AH610" s="405">
        <v>100</v>
      </c>
      <c r="AI610" s="405">
        <v>0</v>
      </c>
      <c r="AJ610" s="405" t="s">
        <v>2822</v>
      </c>
      <c r="AK610" s="405" t="s">
        <v>1082</v>
      </c>
      <c r="AL610" s="425" t="s">
        <v>2908</v>
      </c>
      <c r="AM610" s="405" t="s">
        <v>52</v>
      </c>
      <c r="AN610" s="405" t="s">
        <v>1071</v>
      </c>
      <c r="AO610" s="405"/>
      <c r="AP610" s="413"/>
      <c r="AQ610" s="413" t="s">
        <v>1083</v>
      </c>
      <c r="AR610" s="405"/>
      <c r="AS610" s="281" t="s">
        <v>1084</v>
      </c>
      <c r="AT610" s="386" t="s">
        <v>1073</v>
      </c>
      <c r="AU610" s="525"/>
      <c r="AV610" s="402"/>
      <c r="AW610" s="402"/>
      <c r="AX610" s="402"/>
      <c r="AY610" s="402"/>
      <c r="AZ610" s="402"/>
      <c r="BA610" s="402"/>
      <c r="BB610" s="402"/>
      <c r="BC610" s="402"/>
    </row>
    <row r="611" spans="1:55">
      <c r="A611" s="278"/>
      <c r="B611" s="279"/>
      <c r="C611" s="279"/>
      <c r="D611" s="366" t="s">
        <v>2804</v>
      </c>
      <c r="E611" s="280"/>
      <c r="F611" s="405"/>
      <c r="G611" s="405">
        <v>2022</v>
      </c>
      <c r="H611" s="405">
        <v>7</v>
      </c>
      <c r="I611" s="416">
        <v>2005057</v>
      </c>
      <c r="J611" s="406"/>
      <c r="K611" s="405" t="s">
        <v>2961</v>
      </c>
      <c r="L611" s="405" t="s">
        <v>2907</v>
      </c>
      <c r="M611" s="406">
        <v>44540</v>
      </c>
      <c r="N611" s="406">
        <v>44682</v>
      </c>
      <c r="O611" s="406"/>
      <c r="P611" s="406"/>
      <c r="Q611" s="406"/>
      <c r="R611" s="406"/>
      <c r="S611" s="405" t="s">
        <v>1098</v>
      </c>
      <c r="T611" s="405">
        <v>60</v>
      </c>
      <c r="U611" s="405">
        <v>49201132</v>
      </c>
      <c r="V611" s="405" t="s">
        <v>986</v>
      </c>
      <c r="W611" s="407">
        <v>360</v>
      </c>
      <c r="X611" s="371">
        <v>12544</v>
      </c>
      <c r="Y611" s="408">
        <f t="shared" si="122"/>
        <v>4515840</v>
      </c>
      <c r="Z611" s="409">
        <v>0.49</v>
      </c>
      <c r="AA611" s="410">
        <f t="shared" si="123"/>
        <v>2212761.6000000001</v>
      </c>
      <c r="AB611" s="411"/>
      <c r="AC611" s="412">
        <f t="shared" si="128"/>
        <v>0</v>
      </c>
      <c r="AD611" s="421"/>
      <c r="AE611" s="413"/>
      <c r="AF611" s="424">
        <f t="shared" si="124"/>
        <v>2212761.6000000001</v>
      </c>
      <c r="AG611" s="405" t="s">
        <v>47</v>
      </c>
      <c r="AH611" s="405">
        <v>100</v>
      </c>
      <c r="AI611" s="405">
        <v>0</v>
      </c>
      <c r="AJ611" s="405" t="s">
        <v>2822</v>
      </c>
      <c r="AK611" s="405" t="s">
        <v>1082</v>
      </c>
      <c r="AL611" s="425" t="s">
        <v>2908</v>
      </c>
      <c r="AM611" s="405" t="s">
        <v>52</v>
      </c>
      <c r="AN611" s="405" t="s">
        <v>1071</v>
      </c>
      <c r="AO611" s="405"/>
      <c r="AP611" s="413"/>
      <c r="AQ611" s="413" t="s">
        <v>1083</v>
      </c>
      <c r="AR611" s="405"/>
      <c r="AS611" s="281" t="s">
        <v>1084</v>
      </c>
      <c r="AT611" s="386" t="s">
        <v>1073</v>
      </c>
      <c r="AU611" s="403"/>
      <c r="AV611" s="402">
        <f t="shared" ref="AV611:AV619" si="129">U611</f>
        <v>49201132</v>
      </c>
      <c r="AW611" s="402" cm="1">
        <f t="array" ref="AW611">SUM(MID(0&amp;AV611,LARGE(INDEX(ISNUMBER(--MID(AV611,ROW($1:$8),1))*ROW($1:$8),),ROW($1:$8))+1,1)*10^ROW($1:$8)/10)</f>
        <v>49201132</v>
      </c>
      <c r="AX611" s="402" t="str">
        <f>VLOOKUP($AW611,'Item Master Data'!$A:$F,3,FALSE)</f>
        <v>Q.PEAK DUO BLK G10+</v>
      </c>
      <c r="AY611" s="402">
        <f>VLOOKUP($AW611,'Item Master Data'!$A:$F,6,FALSE)</f>
        <v>360</v>
      </c>
      <c r="AZ611" s="402">
        <f t="shared" ref="AZ611:AZ619" si="130">X611/BA611</f>
        <v>392</v>
      </c>
      <c r="BA611" s="402">
        <f>VLOOKUP(AW611,'Item Master Data'!$A:$G,7,FALSE)</f>
        <v>32</v>
      </c>
      <c r="BB611" s="402"/>
      <c r="BC611" s="402">
        <f t="shared" ref="BC611:BC619" si="131">W611-AY611</f>
        <v>0</v>
      </c>
    </row>
    <row r="612" spans="1:55">
      <c r="A612" s="278"/>
      <c r="B612" s="279"/>
      <c r="C612" s="279"/>
      <c r="D612" s="366" t="s">
        <v>2804</v>
      </c>
      <c r="E612" s="280" t="s">
        <v>2934</v>
      </c>
      <c r="F612" s="405"/>
      <c r="G612" s="405">
        <v>2022</v>
      </c>
      <c r="H612" s="405">
        <v>8</v>
      </c>
      <c r="I612" s="416"/>
      <c r="J612" s="406"/>
      <c r="K612" s="405" t="s">
        <v>2962</v>
      </c>
      <c r="L612" s="405" t="s">
        <v>1174</v>
      </c>
      <c r="M612" s="406">
        <v>44596</v>
      </c>
      <c r="N612" s="406">
        <v>44774</v>
      </c>
      <c r="O612" s="406"/>
      <c r="P612" s="406"/>
      <c r="Q612" s="406"/>
      <c r="R612" s="406"/>
      <c r="S612" s="405" t="s">
        <v>1098</v>
      </c>
      <c r="T612" s="405">
        <v>60</v>
      </c>
      <c r="U612" s="405"/>
      <c r="V612" s="405" t="s">
        <v>973</v>
      </c>
      <c r="W612" s="407">
        <v>400</v>
      </c>
      <c r="X612" s="371">
        <v>8320</v>
      </c>
      <c r="Y612" s="408">
        <f t="shared" si="122"/>
        <v>3328000</v>
      </c>
      <c r="Z612" s="409">
        <v>0.52</v>
      </c>
      <c r="AA612" s="410">
        <f t="shared" si="123"/>
        <v>1730560</v>
      </c>
      <c r="AB612" s="411"/>
      <c r="AC612" s="412">
        <f t="shared" si="128"/>
        <v>0</v>
      </c>
      <c r="AD612" s="421"/>
      <c r="AE612" s="413"/>
      <c r="AF612" s="424">
        <f t="shared" si="124"/>
        <v>1730560</v>
      </c>
      <c r="AG612" s="405" t="s">
        <v>1069</v>
      </c>
      <c r="AH612" s="405"/>
      <c r="AI612" s="405">
        <v>60</v>
      </c>
      <c r="AJ612" s="405" t="s">
        <v>1185</v>
      </c>
      <c r="AK612" s="405" t="s">
        <v>1092</v>
      </c>
      <c r="AL612" s="425">
        <v>1501</v>
      </c>
      <c r="AM612" s="405" t="s">
        <v>52</v>
      </c>
      <c r="AN612" s="405"/>
      <c r="AO612" s="405"/>
      <c r="AP612" s="413"/>
      <c r="AQ612" s="413" t="s">
        <v>37</v>
      </c>
      <c r="AR612" s="405"/>
      <c r="AS612" s="281"/>
      <c r="AT612" s="386"/>
      <c r="AU612" s="403"/>
      <c r="AV612" s="402">
        <f t="shared" si="129"/>
        <v>0</v>
      </c>
      <c r="AW612" s="402" cm="1">
        <f t="array" ref="AW612">SUM(MID(0&amp;AV612,LARGE(INDEX(ISNUMBER(--MID(AV612,ROW($1:$8),1))*ROW($1:$8),),ROW($1:$8))+1,1)*10^ROW($1:$8)/10)</f>
        <v>0</v>
      </c>
      <c r="AX612" s="402" t="e">
        <f>VLOOKUP($AW612,'Item Master Data'!$A:$F,3,FALSE)</f>
        <v>#N/A</v>
      </c>
      <c r="AY612" s="402" t="e">
        <f>VLOOKUP($AW612,'Item Master Data'!$A:$F,6,FALSE)</f>
        <v>#N/A</v>
      </c>
      <c r="AZ612" s="402" t="e">
        <f t="shared" si="130"/>
        <v>#N/A</v>
      </c>
      <c r="BA612" s="402" t="e">
        <f>VLOOKUP(AW612,'Item Master Data'!$A:$G,7,FALSE)</f>
        <v>#N/A</v>
      </c>
      <c r="BB612" s="402"/>
      <c r="BC612" s="402" t="e">
        <f t="shared" si="131"/>
        <v>#N/A</v>
      </c>
    </row>
    <row r="613" spans="1:55">
      <c r="A613" s="278"/>
      <c r="B613" s="279"/>
      <c r="C613" s="279"/>
      <c r="D613" s="366" t="s">
        <v>2804</v>
      </c>
      <c r="E613" s="280" t="s">
        <v>1239</v>
      </c>
      <c r="F613" s="405"/>
      <c r="G613" s="405">
        <v>2022</v>
      </c>
      <c r="H613" s="405">
        <v>8</v>
      </c>
      <c r="I613" s="416"/>
      <c r="J613" s="406"/>
      <c r="K613" s="405" t="s">
        <v>2963</v>
      </c>
      <c r="L613" s="405" t="s">
        <v>2813</v>
      </c>
      <c r="M613" s="406">
        <v>44613</v>
      </c>
      <c r="N613" s="406">
        <v>44774</v>
      </c>
      <c r="O613" s="406"/>
      <c r="P613" s="406"/>
      <c r="Q613" s="406"/>
      <c r="R613" s="406"/>
      <c r="S613" s="405" t="s">
        <v>1098</v>
      </c>
      <c r="T613" s="405">
        <v>60</v>
      </c>
      <c r="U613" s="405"/>
      <c r="V613" s="405" t="s">
        <v>973</v>
      </c>
      <c r="W613" s="407">
        <v>400</v>
      </c>
      <c r="X613" s="371">
        <v>3840</v>
      </c>
      <c r="Y613" s="408">
        <f t="shared" si="122"/>
        <v>1536000</v>
      </c>
      <c r="Z613" s="409">
        <v>0.55000000000000004</v>
      </c>
      <c r="AA613" s="410">
        <f t="shared" si="123"/>
        <v>844800.00000000012</v>
      </c>
      <c r="AB613" s="411"/>
      <c r="AC613" s="412"/>
      <c r="AD613" s="421"/>
      <c r="AE613" s="413"/>
      <c r="AF613" s="424">
        <f t="shared" si="124"/>
        <v>844800.00000000012</v>
      </c>
      <c r="AG613" s="405" t="s">
        <v>1069</v>
      </c>
      <c r="AH613" s="405"/>
      <c r="AI613" s="405">
        <v>60</v>
      </c>
      <c r="AJ613" s="405" t="s">
        <v>2827</v>
      </c>
      <c r="AK613" s="405" t="s">
        <v>1130</v>
      </c>
      <c r="AL613" s="425">
        <v>11779</v>
      </c>
      <c r="AM613" s="405" t="s">
        <v>52</v>
      </c>
      <c r="AN613" s="405"/>
      <c r="AO613" s="405"/>
      <c r="AP613" s="413"/>
      <c r="AQ613" s="413" t="s">
        <v>37</v>
      </c>
      <c r="AR613" s="405"/>
      <c r="AS613" s="281"/>
      <c r="AT613" s="386"/>
      <c r="AU613" s="403"/>
      <c r="AV613" s="402">
        <f t="shared" si="129"/>
        <v>0</v>
      </c>
      <c r="AW613" s="402" cm="1">
        <f t="array" ref="AW613">SUM(MID(0&amp;AV613,LARGE(INDEX(ISNUMBER(--MID(AV613,ROW($1:$8),1))*ROW($1:$8),),ROW($1:$8))+1,1)*10^ROW($1:$8)/10)</f>
        <v>0</v>
      </c>
      <c r="AX613" s="402" t="e">
        <f>VLOOKUP($AW613,'Item Master Data'!$A:$F,3,FALSE)</f>
        <v>#N/A</v>
      </c>
      <c r="AY613" s="402" t="e">
        <f>VLOOKUP($AW613,'Item Master Data'!$A:$F,6,FALSE)</f>
        <v>#N/A</v>
      </c>
      <c r="AZ613" s="402" t="e">
        <f t="shared" si="130"/>
        <v>#N/A</v>
      </c>
      <c r="BA613" s="402" t="e">
        <f>VLOOKUP(AW613,'Item Master Data'!$A:$G,7,FALSE)</f>
        <v>#N/A</v>
      </c>
      <c r="BB613" s="402"/>
      <c r="BC613" s="402" t="e">
        <f t="shared" si="131"/>
        <v>#N/A</v>
      </c>
    </row>
    <row r="614" spans="1:55">
      <c r="A614" s="278"/>
      <c r="B614" s="279"/>
      <c r="C614" s="279"/>
      <c r="D614" s="366" t="s">
        <v>2804</v>
      </c>
      <c r="E614" s="280"/>
      <c r="F614" s="405"/>
      <c r="G614" s="405">
        <v>2022</v>
      </c>
      <c r="H614" s="405">
        <v>8</v>
      </c>
      <c r="I614" s="416"/>
      <c r="J614" s="406"/>
      <c r="K614" s="405" t="s">
        <v>2964</v>
      </c>
      <c r="L614" s="405" t="s">
        <v>2907</v>
      </c>
      <c r="M614" s="406">
        <v>44540</v>
      </c>
      <c r="N614" s="406">
        <v>44713</v>
      </c>
      <c r="O614" s="406"/>
      <c r="P614" s="406"/>
      <c r="Q614" s="406"/>
      <c r="R614" s="406"/>
      <c r="S614" s="405" t="s">
        <v>1098</v>
      </c>
      <c r="T614" s="405">
        <v>60</v>
      </c>
      <c r="U614" s="405">
        <v>49201132</v>
      </c>
      <c r="V614" s="405" t="s">
        <v>986</v>
      </c>
      <c r="W614" s="407">
        <v>360</v>
      </c>
      <c r="X614" s="371">
        <v>12544</v>
      </c>
      <c r="Y614" s="408">
        <f t="shared" si="122"/>
        <v>4515840</v>
      </c>
      <c r="Z614" s="409">
        <v>0.49</v>
      </c>
      <c r="AA614" s="410">
        <f t="shared" si="123"/>
        <v>2212761.6000000001</v>
      </c>
      <c r="AB614" s="411"/>
      <c r="AC614" s="412">
        <f>AB614*Y614</f>
        <v>0</v>
      </c>
      <c r="AD614" s="421"/>
      <c r="AE614" s="413"/>
      <c r="AF614" s="424">
        <f t="shared" si="124"/>
        <v>2212761.6000000001</v>
      </c>
      <c r="AG614" s="405" t="s">
        <v>47</v>
      </c>
      <c r="AH614" s="405">
        <v>100</v>
      </c>
      <c r="AI614" s="405">
        <v>0</v>
      </c>
      <c r="AJ614" s="405" t="s">
        <v>2822</v>
      </c>
      <c r="AK614" s="405" t="s">
        <v>1082</v>
      </c>
      <c r="AL614" s="425" t="s">
        <v>2908</v>
      </c>
      <c r="AM614" s="405" t="s">
        <v>52</v>
      </c>
      <c r="AN614" s="405" t="s">
        <v>1071</v>
      </c>
      <c r="AO614" s="405"/>
      <c r="AP614" s="413"/>
      <c r="AQ614" s="413" t="s">
        <v>1083</v>
      </c>
      <c r="AR614" s="405"/>
      <c r="AS614" s="281" t="s">
        <v>1084</v>
      </c>
      <c r="AT614" s="386" t="s">
        <v>1073</v>
      </c>
      <c r="AU614" s="403"/>
      <c r="AV614" s="402">
        <f t="shared" si="129"/>
        <v>49201132</v>
      </c>
      <c r="AW614" s="402" cm="1">
        <f t="array" ref="AW614">SUM(MID(0&amp;AV614,LARGE(INDEX(ISNUMBER(--MID(AV614,ROW($1:$8),1))*ROW($1:$8),),ROW($1:$8))+1,1)*10^ROW($1:$8)/10)</f>
        <v>49201132</v>
      </c>
      <c r="AX614" s="402" t="str">
        <f>VLOOKUP($AW614,'Item Master Data'!$A:$F,3,FALSE)</f>
        <v>Q.PEAK DUO BLK G10+</v>
      </c>
      <c r="AY614" s="402">
        <f>VLOOKUP($AW614,'Item Master Data'!$A:$F,6,FALSE)</f>
        <v>360</v>
      </c>
      <c r="AZ614" s="402">
        <f t="shared" si="130"/>
        <v>392</v>
      </c>
      <c r="BA614" s="402">
        <f>VLOOKUP(AW614,'Item Master Data'!$A:$G,7,FALSE)</f>
        <v>32</v>
      </c>
      <c r="BB614" s="402"/>
      <c r="BC614" s="402">
        <f t="shared" si="131"/>
        <v>0</v>
      </c>
    </row>
    <row r="615" spans="1:55">
      <c r="A615" s="278"/>
      <c r="B615" s="279"/>
      <c r="C615" s="279"/>
      <c r="D615" s="366" t="s">
        <v>2804</v>
      </c>
      <c r="E615" s="280" t="s">
        <v>2934</v>
      </c>
      <c r="F615" s="405"/>
      <c r="G615" s="405">
        <v>2022</v>
      </c>
      <c r="H615" s="405">
        <v>9</v>
      </c>
      <c r="I615" s="416"/>
      <c r="J615" s="406"/>
      <c r="K615" s="405" t="s">
        <v>2965</v>
      </c>
      <c r="L615" s="405" t="s">
        <v>1174</v>
      </c>
      <c r="M615" s="406">
        <v>44596</v>
      </c>
      <c r="N615" s="406">
        <v>44809</v>
      </c>
      <c r="O615" s="406"/>
      <c r="P615" s="406"/>
      <c r="Q615" s="406"/>
      <c r="R615" s="406"/>
      <c r="S615" s="405" t="s">
        <v>1098</v>
      </c>
      <c r="T615" s="405">
        <v>60</v>
      </c>
      <c r="U615" s="405"/>
      <c r="V615" s="405" t="s">
        <v>973</v>
      </c>
      <c r="W615" s="407">
        <v>400</v>
      </c>
      <c r="X615" s="371">
        <v>9984</v>
      </c>
      <c r="Y615" s="408">
        <f t="shared" si="122"/>
        <v>3993600</v>
      </c>
      <c r="Z615" s="409">
        <v>0.52</v>
      </c>
      <c r="AA615" s="410">
        <f t="shared" si="123"/>
        <v>2076672</v>
      </c>
      <c r="AB615" s="411"/>
      <c r="AC615" s="412">
        <f>AB615*Y615</f>
        <v>0</v>
      </c>
      <c r="AD615" s="421"/>
      <c r="AE615" s="413"/>
      <c r="AF615" s="424">
        <f t="shared" si="124"/>
        <v>2076672</v>
      </c>
      <c r="AG615" s="405" t="s">
        <v>1069</v>
      </c>
      <c r="AH615" s="405"/>
      <c r="AI615" s="405">
        <v>60</v>
      </c>
      <c r="AJ615" s="405" t="s">
        <v>1185</v>
      </c>
      <c r="AK615" s="405" t="s">
        <v>1092</v>
      </c>
      <c r="AL615" s="425">
        <v>1501</v>
      </c>
      <c r="AM615" s="405" t="s">
        <v>52</v>
      </c>
      <c r="AN615" s="405"/>
      <c r="AO615" s="405"/>
      <c r="AP615" s="413"/>
      <c r="AQ615" s="413" t="s">
        <v>37</v>
      </c>
      <c r="AR615" s="405"/>
      <c r="AS615" s="281"/>
      <c r="AT615" s="386"/>
      <c r="AU615" s="403"/>
      <c r="AV615" s="402">
        <f t="shared" si="129"/>
        <v>0</v>
      </c>
      <c r="AW615" s="402" cm="1">
        <f t="array" ref="AW615">SUM(MID(0&amp;AV615,LARGE(INDEX(ISNUMBER(--MID(AV615,ROW($1:$8),1))*ROW($1:$8),),ROW($1:$8))+1,1)*10^ROW($1:$8)/10)</f>
        <v>0</v>
      </c>
      <c r="AX615" s="402" t="e">
        <f>VLOOKUP($AW615,'Item Master Data'!$A:$F,3,FALSE)</f>
        <v>#N/A</v>
      </c>
      <c r="AY615" s="402" t="e">
        <f>VLOOKUP($AW615,'Item Master Data'!$A:$F,6,FALSE)</f>
        <v>#N/A</v>
      </c>
      <c r="AZ615" s="402" t="e">
        <f t="shared" si="130"/>
        <v>#N/A</v>
      </c>
      <c r="BA615" s="402" t="e">
        <f>VLOOKUP(AW615,'Item Master Data'!$A:$G,7,FALSE)</f>
        <v>#N/A</v>
      </c>
      <c r="BB615" s="402"/>
      <c r="BC615" s="402" t="e">
        <f t="shared" si="131"/>
        <v>#N/A</v>
      </c>
    </row>
    <row r="616" spans="1:55">
      <c r="A616" s="278"/>
      <c r="B616" s="279">
        <v>44614</v>
      </c>
      <c r="C616" s="279">
        <v>44614</v>
      </c>
      <c r="D616" s="366" t="s">
        <v>2804</v>
      </c>
      <c r="E616" s="280" t="s">
        <v>1239</v>
      </c>
      <c r="F616" s="405"/>
      <c r="G616" s="405">
        <v>2022</v>
      </c>
      <c r="H616" s="405">
        <v>9</v>
      </c>
      <c r="I616" s="416"/>
      <c r="J616" s="406"/>
      <c r="K616" s="405" t="s">
        <v>2966</v>
      </c>
      <c r="L616" s="405" t="s">
        <v>1195</v>
      </c>
      <c r="M616" s="406">
        <v>44608</v>
      </c>
      <c r="N616" s="406">
        <v>44809</v>
      </c>
      <c r="O616" s="406"/>
      <c r="P616" s="406"/>
      <c r="Q616" s="406"/>
      <c r="R616" s="406"/>
      <c r="S616" s="405" t="s">
        <v>1098</v>
      </c>
      <c r="T616" s="405">
        <v>60</v>
      </c>
      <c r="U616" s="405"/>
      <c r="V616" s="405" t="s">
        <v>973</v>
      </c>
      <c r="W616" s="407">
        <v>400</v>
      </c>
      <c r="X616" s="371">
        <v>3584</v>
      </c>
      <c r="Y616" s="408">
        <f t="shared" si="122"/>
        <v>1433600</v>
      </c>
      <c r="Z616" s="409">
        <v>0.55000000000000004</v>
      </c>
      <c r="AA616" s="410">
        <f t="shared" si="123"/>
        <v>788480.00000000012</v>
      </c>
      <c r="AB616" s="411"/>
      <c r="AC616" s="412">
        <f>AB616*Y616</f>
        <v>0</v>
      </c>
      <c r="AD616" s="421"/>
      <c r="AE616" s="413"/>
      <c r="AF616" s="424">
        <f t="shared" si="124"/>
        <v>788480.00000000012</v>
      </c>
      <c r="AG616" s="405" t="s">
        <v>1069</v>
      </c>
      <c r="AH616" s="405"/>
      <c r="AI616" s="405">
        <v>60</v>
      </c>
      <c r="AJ616" s="405" t="s">
        <v>1197</v>
      </c>
      <c r="AK616" s="405" t="s">
        <v>1176</v>
      </c>
      <c r="AL616" s="425">
        <v>6492</v>
      </c>
      <c r="AM616" s="405" t="s">
        <v>52</v>
      </c>
      <c r="AN616" s="405"/>
      <c r="AO616" s="405"/>
      <c r="AP616" s="413"/>
      <c r="AQ616" s="413" t="s">
        <v>37</v>
      </c>
      <c r="AR616" s="405"/>
      <c r="AS616" s="281"/>
      <c r="AT616" s="386"/>
      <c r="AU616" s="403"/>
      <c r="AV616" s="402">
        <f t="shared" si="129"/>
        <v>0</v>
      </c>
      <c r="AW616" s="402" cm="1">
        <f t="array" ref="AW616">SUM(MID(0&amp;AV616,LARGE(INDEX(ISNUMBER(--MID(AV616,ROW($1:$8),1))*ROW($1:$8),),ROW($1:$8))+1,1)*10^ROW($1:$8)/10)</f>
        <v>0</v>
      </c>
      <c r="AX616" s="402" t="e">
        <f>VLOOKUP($AW616,'Item Master Data'!$A:$F,3,FALSE)</f>
        <v>#N/A</v>
      </c>
      <c r="AY616" s="402" t="e">
        <f>VLOOKUP($AW616,'Item Master Data'!$A:$F,6,FALSE)</f>
        <v>#N/A</v>
      </c>
      <c r="AZ616" s="402" t="e">
        <f t="shared" si="130"/>
        <v>#N/A</v>
      </c>
      <c r="BA616" s="402" t="e">
        <f>VLOOKUP(AW616,'Item Master Data'!$A:$G,7,FALSE)</f>
        <v>#N/A</v>
      </c>
      <c r="BB616" s="402"/>
      <c r="BC616" s="402" t="e">
        <f t="shared" si="131"/>
        <v>#N/A</v>
      </c>
    </row>
    <row r="617" spans="1:55">
      <c r="A617" s="278"/>
      <c r="B617" s="279"/>
      <c r="C617" s="279"/>
      <c r="D617" s="366" t="s">
        <v>2804</v>
      </c>
      <c r="E617" s="280" t="s">
        <v>1239</v>
      </c>
      <c r="F617" s="405"/>
      <c r="G617" s="405">
        <v>2022</v>
      </c>
      <c r="H617" s="405">
        <v>9</v>
      </c>
      <c r="I617" s="416"/>
      <c r="J617" s="406"/>
      <c r="K617" s="405" t="s">
        <v>2967</v>
      </c>
      <c r="L617" s="405" t="s">
        <v>2813</v>
      </c>
      <c r="M617" s="406">
        <v>44613</v>
      </c>
      <c r="N617" s="406">
        <v>44805</v>
      </c>
      <c r="O617" s="406"/>
      <c r="P617" s="406"/>
      <c r="Q617" s="406"/>
      <c r="R617" s="406"/>
      <c r="S617" s="405" t="s">
        <v>1098</v>
      </c>
      <c r="T617" s="405">
        <v>60</v>
      </c>
      <c r="U617" s="405"/>
      <c r="V617" s="405" t="s">
        <v>973</v>
      </c>
      <c r="W617" s="407">
        <v>400</v>
      </c>
      <c r="X617" s="371">
        <v>3840</v>
      </c>
      <c r="Y617" s="408">
        <f t="shared" si="122"/>
        <v>1536000</v>
      </c>
      <c r="Z617" s="409">
        <v>0.55000000000000004</v>
      </c>
      <c r="AA617" s="410">
        <f t="shared" si="123"/>
        <v>844800.00000000012</v>
      </c>
      <c r="AB617" s="411"/>
      <c r="AC617" s="412"/>
      <c r="AD617" s="421"/>
      <c r="AE617" s="413"/>
      <c r="AF617" s="424">
        <f t="shared" si="124"/>
        <v>844800.00000000012</v>
      </c>
      <c r="AG617" s="405" t="s">
        <v>1069</v>
      </c>
      <c r="AH617" s="405"/>
      <c r="AI617" s="405">
        <v>60</v>
      </c>
      <c r="AJ617" s="405" t="s">
        <v>2827</v>
      </c>
      <c r="AK617" s="405" t="s">
        <v>1130</v>
      </c>
      <c r="AL617" s="425">
        <v>11779</v>
      </c>
      <c r="AM617" s="405" t="s">
        <v>52</v>
      </c>
      <c r="AN617" s="405"/>
      <c r="AO617" s="405"/>
      <c r="AP617" s="413"/>
      <c r="AQ617" s="413" t="s">
        <v>37</v>
      </c>
      <c r="AR617" s="405"/>
      <c r="AS617" s="281"/>
      <c r="AT617" s="386"/>
      <c r="AU617" s="403"/>
      <c r="AV617" s="402">
        <f t="shared" si="129"/>
        <v>0</v>
      </c>
      <c r="AW617" s="402" cm="1">
        <f t="array" ref="AW617">SUM(MID(0&amp;AV617,LARGE(INDEX(ISNUMBER(--MID(AV617,ROW($1:$8),1))*ROW($1:$8),),ROW($1:$8))+1,1)*10^ROW($1:$8)/10)</f>
        <v>0</v>
      </c>
      <c r="AX617" s="402" t="e">
        <f>VLOOKUP($AW617,'Item Master Data'!$A:$F,3,FALSE)</f>
        <v>#N/A</v>
      </c>
      <c r="AY617" s="402" t="e">
        <f>VLOOKUP($AW617,'Item Master Data'!$A:$F,6,FALSE)</f>
        <v>#N/A</v>
      </c>
      <c r="AZ617" s="402" t="e">
        <f t="shared" si="130"/>
        <v>#N/A</v>
      </c>
      <c r="BA617" s="402" t="e">
        <f>VLOOKUP(AW617,'Item Master Data'!$A:$G,7,FALSE)</f>
        <v>#N/A</v>
      </c>
      <c r="BB617" s="402"/>
      <c r="BC617" s="402" t="e">
        <f t="shared" si="131"/>
        <v>#N/A</v>
      </c>
    </row>
    <row r="618" spans="1:55">
      <c r="A618" s="278"/>
      <c r="B618" s="279"/>
      <c r="C618" s="279"/>
      <c r="D618" s="366" t="s">
        <v>2804</v>
      </c>
      <c r="E618" s="280"/>
      <c r="F618" s="405" t="s">
        <v>1139</v>
      </c>
      <c r="G618" s="405">
        <v>2022</v>
      </c>
      <c r="H618" s="405">
        <v>9</v>
      </c>
      <c r="I618" s="416"/>
      <c r="J618" s="406"/>
      <c r="K618" s="405" t="s">
        <v>2968</v>
      </c>
      <c r="L618" s="405" t="s">
        <v>1310</v>
      </c>
      <c r="M618" s="406">
        <v>44532</v>
      </c>
      <c r="N618" s="406">
        <v>44805</v>
      </c>
      <c r="O618" s="406"/>
      <c r="P618" s="406"/>
      <c r="Q618" s="406"/>
      <c r="R618" s="406"/>
      <c r="S618" s="405" t="s">
        <v>1098</v>
      </c>
      <c r="T618" s="405">
        <v>60</v>
      </c>
      <c r="U618" s="405">
        <v>49201132</v>
      </c>
      <c r="V618" s="405" t="s">
        <v>986</v>
      </c>
      <c r="W618" s="407">
        <v>360</v>
      </c>
      <c r="X618" s="371">
        <v>832</v>
      </c>
      <c r="Y618" s="408">
        <f t="shared" si="122"/>
        <v>299520</v>
      </c>
      <c r="Z618" s="409">
        <v>0.53</v>
      </c>
      <c r="AA618" s="410">
        <f t="shared" si="123"/>
        <v>158745.60000000001</v>
      </c>
      <c r="AB618" s="411"/>
      <c r="AC618" s="412">
        <v>0</v>
      </c>
      <c r="AD618" s="421"/>
      <c r="AE618" s="413"/>
      <c r="AF618" s="424">
        <f t="shared" si="124"/>
        <v>158745.60000000001</v>
      </c>
      <c r="AG618" s="405" t="s">
        <v>1069</v>
      </c>
      <c r="AH618" s="405"/>
      <c r="AI618" s="405">
        <v>60</v>
      </c>
      <c r="AJ618" s="405" t="s">
        <v>1311</v>
      </c>
      <c r="AK618" s="405" t="s">
        <v>1312</v>
      </c>
      <c r="AL618" s="425">
        <v>5401</v>
      </c>
      <c r="AM618" s="405" t="s">
        <v>52</v>
      </c>
      <c r="AN618" s="405" t="s">
        <v>1071</v>
      </c>
      <c r="AO618" s="405"/>
      <c r="AP618" s="413"/>
      <c r="AQ618" s="413" t="s">
        <v>37</v>
      </c>
      <c r="AR618" s="405"/>
      <c r="AS618" s="281"/>
      <c r="AT618" s="386"/>
      <c r="AU618" s="403"/>
      <c r="AV618" s="402">
        <f t="shared" si="129"/>
        <v>49201132</v>
      </c>
      <c r="AW618" s="402" cm="1">
        <f t="array" ref="AW618">SUM(MID(0&amp;AV618,LARGE(INDEX(ISNUMBER(--MID(AV618,ROW($1:$8),1))*ROW($1:$8),),ROW($1:$8))+1,1)*10^ROW($1:$8)/10)</f>
        <v>49201132</v>
      </c>
      <c r="AX618" s="402" t="str">
        <f>VLOOKUP($AW618,'Item Master Data'!$A:$F,3,FALSE)</f>
        <v>Q.PEAK DUO BLK G10+</v>
      </c>
      <c r="AY618" s="402">
        <f>VLOOKUP($AW618,'Item Master Data'!$A:$F,6,FALSE)</f>
        <v>360</v>
      </c>
      <c r="AZ618" s="402">
        <f t="shared" si="130"/>
        <v>26</v>
      </c>
      <c r="BA618" s="402">
        <f>VLOOKUP(AW618,'Item Master Data'!$A:$G,7,FALSE)</f>
        <v>32</v>
      </c>
      <c r="BB618" s="402"/>
      <c r="BC618" s="402">
        <f t="shared" si="131"/>
        <v>0</v>
      </c>
    </row>
    <row r="619" spans="1:55">
      <c r="A619" s="278"/>
      <c r="B619" s="279"/>
      <c r="C619" s="279"/>
      <c r="D619" s="366" t="s">
        <v>2804</v>
      </c>
      <c r="E619" s="280" t="s">
        <v>2934</v>
      </c>
      <c r="F619" s="405"/>
      <c r="G619" s="405">
        <v>2022</v>
      </c>
      <c r="H619" s="405">
        <v>10</v>
      </c>
      <c r="I619" s="416"/>
      <c r="J619" s="406"/>
      <c r="K619" s="405" t="s">
        <v>2969</v>
      </c>
      <c r="L619" s="405" t="s">
        <v>1174</v>
      </c>
      <c r="M619" s="406">
        <v>44596</v>
      </c>
      <c r="N619" s="406">
        <v>44837</v>
      </c>
      <c r="O619" s="406"/>
      <c r="P619" s="406"/>
      <c r="Q619" s="406"/>
      <c r="R619" s="406"/>
      <c r="S619" s="405" t="s">
        <v>1098</v>
      </c>
      <c r="T619" s="405">
        <v>60</v>
      </c>
      <c r="U619" s="405"/>
      <c r="V619" s="405" t="s">
        <v>973</v>
      </c>
      <c r="W619" s="407">
        <v>400</v>
      </c>
      <c r="X619" s="371">
        <v>10816</v>
      </c>
      <c r="Y619" s="408">
        <f t="shared" si="122"/>
        <v>4326400</v>
      </c>
      <c r="Z619" s="409">
        <v>0.52</v>
      </c>
      <c r="AA619" s="410">
        <f t="shared" si="123"/>
        <v>2249728</v>
      </c>
      <c r="AB619" s="411"/>
      <c r="AC619" s="412">
        <f t="shared" ref="AC619:AC626" si="132">AB619*Y619</f>
        <v>0</v>
      </c>
      <c r="AD619" s="421"/>
      <c r="AE619" s="413"/>
      <c r="AF619" s="424">
        <f t="shared" si="124"/>
        <v>2249728</v>
      </c>
      <c r="AG619" s="405" t="s">
        <v>1069</v>
      </c>
      <c r="AH619" s="405"/>
      <c r="AI619" s="405">
        <v>60</v>
      </c>
      <c r="AJ619" s="405" t="s">
        <v>1185</v>
      </c>
      <c r="AK619" s="405" t="s">
        <v>1092</v>
      </c>
      <c r="AL619" s="425">
        <v>1501</v>
      </c>
      <c r="AM619" s="405" t="s">
        <v>52</v>
      </c>
      <c r="AN619" s="405"/>
      <c r="AO619" s="405"/>
      <c r="AP619" s="413"/>
      <c r="AQ619" s="413" t="s">
        <v>37</v>
      </c>
      <c r="AR619" s="405"/>
      <c r="AS619" s="281"/>
      <c r="AT619" s="386"/>
      <c r="AU619" s="403"/>
      <c r="AV619" s="402">
        <f t="shared" si="129"/>
        <v>0</v>
      </c>
      <c r="AW619" s="402" cm="1">
        <f t="array" ref="AW619">SUM(MID(0&amp;AV619,LARGE(INDEX(ISNUMBER(--MID(AV619,ROW($1:$8),1))*ROW($1:$8),),ROW($1:$8))+1,1)*10^ROW($1:$8)/10)</f>
        <v>0</v>
      </c>
      <c r="AX619" s="402" t="e">
        <f>VLOOKUP($AW619,'Item Master Data'!$A:$F,3,FALSE)</f>
        <v>#N/A</v>
      </c>
      <c r="AY619" s="402" t="e">
        <f>VLOOKUP($AW619,'Item Master Data'!$A:$F,6,FALSE)</f>
        <v>#N/A</v>
      </c>
      <c r="AZ619" s="402" t="e">
        <f t="shared" si="130"/>
        <v>#N/A</v>
      </c>
      <c r="BA619" s="402" t="e">
        <f>VLOOKUP(AW619,'Item Master Data'!$A:$G,7,FALSE)</f>
        <v>#N/A</v>
      </c>
      <c r="BB619" s="402"/>
      <c r="BC619" s="402" t="e">
        <f t="shared" si="131"/>
        <v>#N/A</v>
      </c>
    </row>
    <row r="620" spans="1:55">
      <c r="A620" s="278"/>
      <c r="B620" s="279">
        <v>44614</v>
      </c>
      <c r="C620" s="279">
        <v>44614</v>
      </c>
      <c r="D620" s="366" t="s">
        <v>2804</v>
      </c>
      <c r="E620" s="280" t="s">
        <v>1239</v>
      </c>
      <c r="F620" s="405"/>
      <c r="G620" s="405">
        <v>2022</v>
      </c>
      <c r="H620" s="405">
        <v>10</v>
      </c>
      <c r="I620" s="416"/>
      <c r="J620" s="406"/>
      <c r="K620" s="405" t="s">
        <v>2970</v>
      </c>
      <c r="L620" s="405" t="s">
        <v>1195</v>
      </c>
      <c r="M620" s="406">
        <v>44608</v>
      </c>
      <c r="N620" s="406">
        <v>44837</v>
      </c>
      <c r="O620" s="406"/>
      <c r="P620" s="406"/>
      <c r="Q620" s="406"/>
      <c r="R620" s="406"/>
      <c r="S620" s="405" t="s">
        <v>1098</v>
      </c>
      <c r="T620" s="405">
        <v>60</v>
      </c>
      <c r="U620" s="405"/>
      <c r="V620" s="405" t="s">
        <v>973</v>
      </c>
      <c r="W620" s="407">
        <v>400</v>
      </c>
      <c r="X620" s="371">
        <v>3584</v>
      </c>
      <c r="Y620" s="408">
        <f t="shared" si="122"/>
        <v>1433600</v>
      </c>
      <c r="Z620" s="409">
        <v>0.55000000000000004</v>
      </c>
      <c r="AA620" s="410">
        <f t="shared" si="123"/>
        <v>788480.00000000012</v>
      </c>
      <c r="AB620" s="411"/>
      <c r="AC620" s="412">
        <f t="shared" si="132"/>
        <v>0</v>
      </c>
      <c r="AD620" s="421"/>
      <c r="AE620" s="413"/>
      <c r="AF620" s="424">
        <f t="shared" si="124"/>
        <v>788480.00000000012</v>
      </c>
      <c r="AG620" s="405" t="s">
        <v>1069</v>
      </c>
      <c r="AH620" s="405"/>
      <c r="AI620" s="405">
        <v>60</v>
      </c>
      <c r="AJ620" s="405" t="s">
        <v>1197</v>
      </c>
      <c r="AK620" s="405" t="s">
        <v>1176</v>
      </c>
      <c r="AL620" s="425">
        <v>6492</v>
      </c>
      <c r="AM620" s="405" t="s">
        <v>52</v>
      </c>
      <c r="AN620" s="405"/>
      <c r="AO620" s="405"/>
      <c r="AP620" s="413"/>
      <c r="AQ620" s="413" t="s">
        <v>37</v>
      </c>
      <c r="AR620" s="405"/>
      <c r="AS620" s="281"/>
      <c r="AT620" s="386"/>
      <c r="AU620" s="403"/>
      <c r="AV620" s="402"/>
      <c r="AW620" s="402"/>
      <c r="AX620" s="402"/>
      <c r="AY620" s="402"/>
      <c r="AZ620" s="402"/>
      <c r="BA620" s="402"/>
      <c r="BB620" s="402"/>
      <c r="BC620" s="402"/>
    </row>
    <row r="621" spans="1:55">
      <c r="A621" s="278"/>
      <c r="B621" s="279">
        <v>44614</v>
      </c>
      <c r="C621" s="279">
        <v>44614</v>
      </c>
      <c r="D621" s="366" t="s">
        <v>2804</v>
      </c>
      <c r="E621" s="280" t="s">
        <v>1239</v>
      </c>
      <c r="F621" s="405"/>
      <c r="G621" s="405">
        <v>2022</v>
      </c>
      <c r="H621" s="405">
        <v>10</v>
      </c>
      <c r="I621" s="416"/>
      <c r="J621" s="406"/>
      <c r="K621" s="405" t="s">
        <v>2971</v>
      </c>
      <c r="L621" s="405" t="s">
        <v>1310</v>
      </c>
      <c r="M621" s="406">
        <v>44610</v>
      </c>
      <c r="N621" s="406">
        <v>44835</v>
      </c>
      <c r="O621" s="406"/>
      <c r="P621" s="406"/>
      <c r="Q621" s="406"/>
      <c r="R621" s="406"/>
      <c r="S621" s="405" t="s">
        <v>1098</v>
      </c>
      <c r="T621" s="405">
        <v>60</v>
      </c>
      <c r="U621" s="405"/>
      <c r="V621" s="405" t="s">
        <v>986</v>
      </c>
      <c r="W621" s="407">
        <v>360</v>
      </c>
      <c r="X621" s="371">
        <v>832</v>
      </c>
      <c r="Y621" s="408">
        <f t="shared" si="122"/>
        <v>299520</v>
      </c>
      <c r="Z621" s="409">
        <v>0.53</v>
      </c>
      <c r="AA621" s="410">
        <f t="shared" si="123"/>
        <v>158745.60000000001</v>
      </c>
      <c r="AB621" s="411"/>
      <c r="AC621" s="412">
        <f t="shared" si="132"/>
        <v>0</v>
      </c>
      <c r="AD621" s="421"/>
      <c r="AE621" s="413"/>
      <c r="AF621" s="424">
        <f t="shared" si="124"/>
        <v>158745.60000000001</v>
      </c>
      <c r="AG621" s="405" t="s">
        <v>1069</v>
      </c>
      <c r="AH621" s="405">
        <v>0</v>
      </c>
      <c r="AI621" s="405">
        <v>60</v>
      </c>
      <c r="AJ621" s="405" t="s">
        <v>1311</v>
      </c>
      <c r="AK621" s="405" t="s">
        <v>1312</v>
      </c>
      <c r="AL621" s="425">
        <v>5401</v>
      </c>
      <c r="AM621" s="405" t="s">
        <v>52</v>
      </c>
      <c r="AN621" s="405" t="s">
        <v>1071</v>
      </c>
      <c r="AO621" s="405"/>
      <c r="AP621" s="413"/>
      <c r="AQ621" s="413" t="s">
        <v>37</v>
      </c>
      <c r="AR621" s="405"/>
      <c r="AS621" s="281"/>
      <c r="AT621" s="386"/>
      <c r="AU621" s="403"/>
      <c r="AV621" s="402">
        <f>U621</f>
        <v>0</v>
      </c>
      <c r="AW621" s="402" cm="1">
        <f t="array" ref="AW621">SUM(MID(0&amp;AV621,LARGE(INDEX(ISNUMBER(--MID(AV621,ROW($1:$8),1))*ROW($1:$8),),ROW($1:$8))+1,1)*10^ROW($1:$8)/10)</f>
        <v>0</v>
      </c>
      <c r="AX621" s="402" t="e">
        <f>VLOOKUP($AW621,'Item Master Data'!$A:$F,3,FALSE)</f>
        <v>#N/A</v>
      </c>
      <c r="AY621" s="402" t="e">
        <f>VLOOKUP($AW621,'Item Master Data'!$A:$F,6,FALSE)</f>
        <v>#N/A</v>
      </c>
      <c r="AZ621" s="402" t="e">
        <f>X621/BA621</f>
        <v>#N/A</v>
      </c>
      <c r="BA621" s="402" t="e">
        <f>VLOOKUP(AW621,'Item Master Data'!$A:$G,7,FALSE)</f>
        <v>#N/A</v>
      </c>
      <c r="BB621" s="402"/>
      <c r="BC621" s="402" t="e">
        <f>W621-AY621</f>
        <v>#N/A</v>
      </c>
    </row>
    <row r="622" spans="1:55">
      <c r="A622" s="278"/>
      <c r="B622" s="279"/>
      <c r="C622" s="279"/>
      <c r="D622" s="366" t="s">
        <v>2804</v>
      </c>
      <c r="E622" s="280" t="s">
        <v>2934</v>
      </c>
      <c r="F622" s="405"/>
      <c r="G622" s="405">
        <v>2022</v>
      </c>
      <c r="H622" s="405">
        <v>11</v>
      </c>
      <c r="I622" s="416"/>
      <c r="J622" s="406"/>
      <c r="K622" s="405" t="s">
        <v>2972</v>
      </c>
      <c r="L622" s="405" t="s">
        <v>1174</v>
      </c>
      <c r="M622" s="406">
        <v>44596</v>
      </c>
      <c r="N622" s="406">
        <v>44866</v>
      </c>
      <c r="O622" s="406"/>
      <c r="P622" s="406"/>
      <c r="Q622" s="406"/>
      <c r="R622" s="406"/>
      <c r="S622" s="405" t="s">
        <v>1098</v>
      </c>
      <c r="T622" s="405">
        <v>60</v>
      </c>
      <c r="U622" s="405"/>
      <c r="V622" s="405" t="s">
        <v>973</v>
      </c>
      <c r="W622" s="407">
        <v>400</v>
      </c>
      <c r="X622" s="371">
        <v>11648</v>
      </c>
      <c r="Y622" s="408">
        <f t="shared" si="122"/>
        <v>4659200</v>
      </c>
      <c r="Z622" s="409">
        <v>0.52</v>
      </c>
      <c r="AA622" s="410">
        <f t="shared" si="123"/>
        <v>2422784</v>
      </c>
      <c r="AB622" s="411"/>
      <c r="AC622" s="412">
        <f t="shared" si="132"/>
        <v>0</v>
      </c>
      <c r="AD622" s="421"/>
      <c r="AE622" s="413"/>
      <c r="AF622" s="424">
        <f t="shared" si="124"/>
        <v>2422784</v>
      </c>
      <c r="AG622" s="405" t="s">
        <v>1069</v>
      </c>
      <c r="AH622" s="405"/>
      <c r="AI622" s="405">
        <v>60</v>
      </c>
      <c r="AJ622" s="405" t="s">
        <v>1185</v>
      </c>
      <c r="AK622" s="405" t="s">
        <v>1092</v>
      </c>
      <c r="AL622" s="425">
        <v>1501</v>
      </c>
      <c r="AM622" s="405" t="s">
        <v>52</v>
      </c>
      <c r="AN622" s="405"/>
      <c r="AO622" s="405"/>
      <c r="AP622" s="413"/>
      <c r="AQ622" s="413" t="s">
        <v>37</v>
      </c>
      <c r="AR622" s="405"/>
      <c r="AS622" s="281"/>
      <c r="AT622" s="386"/>
      <c r="AU622" s="403"/>
      <c r="AV622" s="402">
        <f>U622</f>
        <v>0</v>
      </c>
      <c r="AW622" s="402" cm="1">
        <f t="array" ref="AW622">SUM(MID(0&amp;AV622,LARGE(INDEX(ISNUMBER(--MID(AV622,ROW($1:$8),1))*ROW($1:$8),),ROW($1:$8))+1,1)*10^ROW($1:$8)/10)</f>
        <v>0</v>
      </c>
      <c r="AX622" s="402" t="e">
        <f>VLOOKUP($AW622,'Item Master Data'!$A:$F,3,FALSE)</f>
        <v>#N/A</v>
      </c>
      <c r="AY622" s="402" t="e">
        <f>VLOOKUP($AW622,'Item Master Data'!$A:$F,6,FALSE)</f>
        <v>#N/A</v>
      </c>
      <c r="AZ622" s="402" t="e">
        <f>X622/BA622</f>
        <v>#N/A</v>
      </c>
      <c r="BA622" s="402" t="e">
        <f>VLOOKUP(AW622,'Item Master Data'!$A:$G,7,FALSE)</f>
        <v>#N/A</v>
      </c>
      <c r="BB622" s="402"/>
      <c r="BC622" s="402" t="e">
        <f>W622-AY622</f>
        <v>#N/A</v>
      </c>
    </row>
    <row r="623" spans="1:55">
      <c r="A623" s="278"/>
      <c r="B623" s="279">
        <v>44614</v>
      </c>
      <c r="C623" s="279">
        <v>44614</v>
      </c>
      <c r="D623" s="366" t="s">
        <v>2804</v>
      </c>
      <c r="E623" s="280" t="s">
        <v>1239</v>
      </c>
      <c r="F623" s="405"/>
      <c r="G623" s="405">
        <v>2022</v>
      </c>
      <c r="H623" s="405">
        <v>11</v>
      </c>
      <c r="I623" s="416"/>
      <c r="J623" s="406"/>
      <c r="K623" s="405" t="s">
        <v>2973</v>
      </c>
      <c r="L623" s="405" t="s">
        <v>1195</v>
      </c>
      <c r="M623" s="406">
        <v>44608</v>
      </c>
      <c r="N623" s="406">
        <v>44872</v>
      </c>
      <c r="O623" s="406"/>
      <c r="P623" s="406"/>
      <c r="Q623" s="406"/>
      <c r="R623" s="406"/>
      <c r="S623" s="405" t="s">
        <v>1098</v>
      </c>
      <c r="T623" s="405">
        <v>60</v>
      </c>
      <c r="U623" s="405"/>
      <c r="V623" s="405" t="s">
        <v>973</v>
      </c>
      <c r="W623" s="407">
        <v>400</v>
      </c>
      <c r="X623" s="371">
        <v>3584</v>
      </c>
      <c r="Y623" s="408">
        <f t="shared" si="122"/>
        <v>1433600</v>
      </c>
      <c r="Z623" s="409">
        <v>0.55000000000000004</v>
      </c>
      <c r="AA623" s="410">
        <f t="shared" si="123"/>
        <v>788480.00000000012</v>
      </c>
      <c r="AB623" s="411"/>
      <c r="AC623" s="412">
        <f t="shared" si="132"/>
        <v>0</v>
      </c>
      <c r="AD623" s="421"/>
      <c r="AE623" s="413"/>
      <c r="AF623" s="424">
        <f t="shared" si="124"/>
        <v>788480.00000000012</v>
      </c>
      <c r="AG623" s="405" t="s">
        <v>1069</v>
      </c>
      <c r="AH623" s="405"/>
      <c r="AI623" s="405">
        <v>60</v>
      </c>
      <c r="AJ623" s="405" t="s">
        <v>1197</v>
      </c>
      <c r="AK623" s="405" t="s">
        <v>1176</v>
      </c>
      <c r="AL623" s="425">
        <v>6492</v>
      </c>
      <c r="AM623" s="405" t="s">
        <v>52</v>
      </c>
      <c r="AN623" s="405"/>
      <c r="AO623" s="405"/>
      <c r="AP623" s="413"/>
      <c r="AQ623" s="413" t="s">
        <v>37</v>
      </c>
      <c r="AR623" s="405"/>
      <c r="AS623" s="281"/>
      <c r="AT623" s="386"/>
      <c r="AU623" s="403"/>
      <c r="AV623" s="402"/>
      <c r="AW623" s="402"/>
      <c r="AX623" s="402"/>
      <c r="AY623" s="402"/>
      <c r="AZ623" s="402"/>
      <c r="BA623" s="402"/>
      <c r="BB623" s="402"/>
      <c r="BC623" s="402"/>
    </row>
    <row r="624" spans="1:55">
      <c r="A624" s="278"/>
      <c r="B624" s="279">
        <v>44614</v>
      </c>
      <c r="C624" s="279">
        <v>44614</v>
      </c>
      <c r="D624" s="366" t="s">
        <v>2804</v>
      </c>
      <c r="E624" s="280" t="s">
        <v>1239</v>
      </c>
      <c r="F624" s="405"/>
      <c r="G624" s="405">
        <v>2022</v>
      </c>
      <c r="H624" s="405">
        <v>11</v>
      </c>
      <c r="I624" s="416"/>
      <c r="J624" s="406"/>
      <c r="K624" s="405" t="s">
        <v>2974</v>
      </c>
      <c r="L624" s="405" t="s">
        <v>1310</v>
      </c>
      <c r="M624" s="406">
        <v>44610</v>
      </c>
      <c r="N624" s="406">
        <v>44866</v>
      </c>
      <c r="O624" s="406"/>
      <c r="P624" s="406"/>
      <c r="Q624" s="406"/>
      <c r="R624" s="406"/>
      <c r="S624" s="405" t="s">
        <v>1098</v>
      </c>
      <c r="T624" s="405">
        <v>60</v>
      </c>
      <c r="U624" s="405"/>
      <c r="V624" s="405" t="s">
        <v>986</v>
      </c>
      <c r="W624" s="407">
        <v>360</v>
      </c>
      <c r="X624" s="371">
        <v>832</v>
      </c>
      <c r="Y624" s="408">
        <f t="shared" si="122"/>
        <v>299520</v>
      </c>
      <c r="Z624" s="409">
        <v>0.53</v>
      </c>
      <c r="AA624" s="410">
        <f t="shared" si="123"/>
        <v>158745.60000000001</v>
      </c>
      <c r="AB624" s="411"/>
      <c r="AC624" s="412">
        <f t="shared" si="132"/>
        <v>0</v>
      </c>
      <c r="AD624" s="421"/>
      <c r="AE624" s="413"/>
      <c r="AF624" s="424">
        <f t="shared" si="124"/>
        <v>158745.60000000001</v>
      </c>
      <c r="AG624" s="405" t="s">
        <v>1069</v>
      </c>
      <c r="AH624" s="405">
        <v>0</v>
      </c>
      <c r="AI624" s="405">
        <v>60</v>
      </c>
      <c r="AJ624" s="405" t="s">
        <v>1311</v>
      </c>
      <c r="AK624" s="405" t="s">
        <v>1312</v>
      </c>
      <c r="AL624" s="425">
        <v>5401</v>
      </c>
      <c r="AM624" s="405" t="s">
        <v>52</v>
      </c>
      <c r="AN624" s="405" t="s">
        <v>1071</v>
      </c>
      <c r="AO624" s="405"/>
      <c r="AP624" s="413"/>
      <c r="AQ624" s="413" t="s">
        <v>37</v>
      </c>
      <c r="AR624" s="405"/>
      <c r="AS624" s="281"/>
      <c r="AT624" s="386"/>
      <c r="AU624" s="403"/>
      <c r="AV624" s="402">
        <f t="shared" ref="AV624:AV629" si="133">U624</f>
        <v>0</v>
      </c>
      <c r="AW624" s="402" cm="1">
        <f t="array" ref="AW624">SUM(MID(0&amp;AV624,LARGE(INDEX(ISNUMBER(--MID(AV624,ROW($1:$8),1))*ROW($1:$8),),ROW($1:$8))+1,1)*10^ROW($1:$8)/10)</f>
        <v>0</v>
      </c>
      <c r="AX624" s="402" t="e">
        <f>VLOOKUP($AW624,'Item Master Data'!$A:$F,3,FALSE)</f>
        <v>#N/A</v>
      </c>
      <c r="AY624" s="402" t="e">
        <f>VLOOKUP($AW624,'Item Master Data'!$A:$F,6,FALSE)</f>
        <v>#N/A</v>
      </c>
      <c r="AZ624" s="402" t="e">
        <f t="shared" ref="AZ624:AZ629" si="134">X624/BA624</f>
        <v>#N/A</v>
      </c>
      <c r="BA624" s="402" t="e">
        <f>VLOOKUP(AW624,'Item Master Data'!$A:$G,7,FALSE)</f>
        <v>#N/A</v>
      </c>
      <c r="BB624" s="402"/>
      <c r="BC624" s="402" t="e">
        <f t="shared" ref="BC624:BC629" si="135">W624-AY624</f>
        <v>#N/A</v>
      </c>
    </row>
    <row r="625" spans="1:55">
      <c r="A625" s="278"/>
      <c r="B625" s="279"/>
      <c r="C625" s="279"/>
      <c r="D625" s="366" t="s">
        <v>2804</v>
      </c>
      <c r="E625" s="280" t="s">
        <v>2975</v>
      </c>
      <c r="F625" s="405"/>
      <c r="G625" s="405">
        <v>2022</v>
      </c>
      <c r="H625" s="405">
        <v>12</v>
      </c>
      <c r="I625" s="416"/>
      <c r="J625" s="406"/>
      <c r="K625" s="405" t="s">
        <v>2976</v>
      </c>
      <c r="L625" s="405" t="s">
        <v>1174</v>
      </c>
      <c r="M625" s="406">
        <v>44596</v>
      </c>
      <c r="N625" s="406">
        <v>44896</v>
      </c>
      <c r="O625" s="406"/>
      <c r="P625" s="406"/>
      <c r="Q625" s="406"/>
      <c r="R625" s="406"/>
      <c r="S625" s="405" t="s">
        <v>1098</v>
      </c>
      <c r="T625" s="405">
        <v>60</v>
      </c>
      <c r="U625" s="405">
        <v>49403140</v>
      </c>
      <c r="V625" s="405" t="s">
        <v>973</v>
      </c>
      <c r="W625" s="407">
        <v>400</v>
      </c>
      <c r="X625" s="371">
        <v>12480</v>
      </c>
      <c r="Y625" s="408">
        <f t="shared" si="122"/>
        <v>4992000</v>
      </c>
      <c r="Z625" s="409">
        <v>0.52</v>
      </c>
      <c r="AA625" s="410">
        <f t="shared" si="123"/>
        <v>2595840</v>
      </c>
      <c r="AB625" s="411"/>
      <c r="AC625" s="412">
        <f t="shared" si="132"/>
        <v>0</v>
      </c>
      <c r="AD625" s="421"/>
      <c r="AE625" s="413"/>
      <c r="AF625" s="424">
        <f t="shared" si="124"/>
        <v>2595840</v>
      </c>
      <c r="AG625" s="405" t="s">
        <v>1069</v>
      </c>
      <c r="AH625" s="405"/>
      <c r="AI625" s="405">
        <v>60</v>
      </c>
      <c r="AJ625" s="405" t="s">
        <v>1185</v>
      </c>
      <c r="AK625" s="405" t="s">
        <v>1092</v>
      </c>
      <c r="AL625" s="425">
        <v>1501</v>
      </c>
      <c r="AM625" s="405" t="s">
        <v>52</v>
      </c>
      <c r="AN625" s="405" t="s">
        <v>1071</v>
      </c>
      <c r="AO625" s="405"/>
      <c r="AP625" s="413"/>
      <c r="AQ625" s="413" t="s">
        <v>37</v>
      </c>
      <c r="AR625" s="405"/>
      <c r="AS625" s="281"/>
      <c r="AT625" s="386"/>
      <c r="AU625" s="403"/>
      <c r="AV625" s="402">
        <f t="shared" si="133"/>
        <v>49403140</v>
      </c>
      <c r="AW625" s="402" cm="1">
        <f t="array" ref="AW625">SUM(MID(0&amp;AV625,LARGE(INDEX(ISNUMBER(--MID(AV625,ROW($1:$8),1))*ROW($1:$8),),ROW($1:$8))+1,1)*10^ROW($1:$8)/10)</f>
        <v>49403140</v>
      </c>
      <c r="AX625" s="402" t="str">
        <f>VLOOKUP($AW625,'Item Master Data'!$A:$F,3,FALSE)</f>
        <v>Q.PEAK DUO BLK ML G10+</v>
      </c>
      <c r="AY625" s="402">
        <f>VLOOKUP($AW625,'Item Master Data'!$A:$F,6,FALSE)</f>
        <v>400</v>
      </c>
      <c r="AZ625" s="402">
        <f t="shared" si="134"/>
        <v>390</v>
      </c>
      <c r="BA625" s="402">
        <f>VLOOKUP(AW625,'Item Master Data'!$A:$G,7,FALSE)</f>
        <v>32</v>
      </c>
      <c r="BB625" s="402"/>
      <c r="BC625" s="402">
        <f t="shared" si="135"/>
        <v>0</v>
      </c>
    </row>
    <row r="626" spans="1:55">
      <c r="A626" s="278"/>
      <c r="B626" s="279">
        <v>44614</v>
      </c>
      <c r="C626" s="279">
        <v>44614</v>
      </c>
      <c r="D626" s="366" t="s">
        <v>2804</v>
      </c>
      <c r="E626" s="280" t="s">
        <v>1239</v>
      </c>
      <c r="F626" s="405"/>
      <c r="G626" s="405">
        <v>2022</v>
      </c>
      <c r="H626" s="405">
        <v>12</v>
      </c>
      <c r="I626" s="416"/>
      <c r="J626" s="406"/>
      <c r="K626" s="405" t="s">
        <v>2977</v>
      </c>
      <c r="L626" s="405" t="s">
        <v>1195</v>
      </c>
      <c r="M626" s="406">
        <v>44608</v>
      </c>
      <c r="N626" s="406">
        <v>44900</v>
      </c>
      <c r="O626" s="406"/>
      <c r="P626" s="406"/>
      <c r="Q626" s="406"/>
      <c r="R626" s="406"/>
      <c r="S626" s="405" t="s">
        <v>1098</v>
      </c>
      <c r="T626" s="405">
        <v>60</v>
      </c>
      <c r="U626" s="405"/>
      <c r="V626" s="405" t="s">
        <v>973</v>
      </c>
      <c r="W626" s="407">
        <v>400</v>
      </c>
      <c r="X626" s="371">
        <v>3584</v>
      </c>
      <c r="Y626" s="408">
        <f t="shared" si="122"/>
        <v>1433600</v>
      </c>
      <c r="Z626" s="409">
        <v>0.55000000000000004</v>
      </c>
      <c r="AA626" s="410">
        <f t="shared" si="123"/>
        <v>788480.00000000012</v>
      </c>
      <c r="AB626" s="411"/>
      <c r="AC626" s="412">
        <f t="shared" si="132"/>
        <v>0</v>
      </c>
      <c r="AD626" s="421"/>
      <c r="AE626" s="413"/>
      <c r="AF626" s="424">
        <f t="shared" si="124"/>
        <v>788480.00000000012</v>
      </c>
      <c r="AG626" s="405" t="s">
        <v>1069</v>
      </c>
      <c r="AH626" s="405"/>
      <c r="AI626" s="405">
        <v>60</v>
      </c>
      <c r="AJ626" s="405" t="s">
        <v>1197</v>
      </c>
      <c r="AK626" s="405" t="s">
        <v>1176</v>
      </c>
      <c r="AL626" s="425">
        <v>6492</v>
      </c>
      <c r="AM626" s="405" t="s">
        <v>52</v>
      </c>
      <c r="AN626" s="405"/>
      <c r="AO626" s="405"/>
      <c r="AP626" s="413"/>
      <c r="AQ626" s="413" t="s">
        <v>37</v>
      </c>
      <c r="AR626" s="405"/>
      <c r="AS626" s="386"/>
      <c r="AT626" s="281"/>
      <c r="AU626" s="403"/>
      <c r="AV626" s="402">
        <f t="shared" si="133"/>
        <v>0</v>
      </c>
      <c r="AW626" s="402" cm="1">
        <f t="array" ref="AW626">SUM(MID(0&amp;AV626,LARGE(INDEX(ISNUMBER(--MID(AV626,ROW($1:$8),1))*ROW($1:$8),),ROW($1:$8))+1,1)*10^ROW($1:$8)/10)</f>
        <v>0</v>
      </c>
      <c r="AX626" s="402" t="e">
        <f>VLOOKUP($AW626,'Item Master Data'!$A:$F,3,FALSE)</f>
        <v>#N/A</v>
      </c>
      <c r="AY626" s="402" t="e">
        <f>VLOOKUP($AW626,'Item Master Data'!$A:$F,6,FALSE)</f>
        <v>#N/A</v>
      </c>
      <c r="AZ626" s="402" t="e">
        <f t="shared" si="134"/>
        <v>#N/A</v>
      </c>
      <c r="BA626" s="402" t="e">
        <f>VLOOKUP(AW626,'Item Master Data'!$A:$G,7,FALSE)</f>
        <v>#N/A</v>
      </c>
      <c r="BB626" s="402"/>
      <c r="BC626" s="402" t="e">
        <f t="shared" si="135"/>
        <v>#N/A</v>
      </c>
    </row>
    <row r="627" spans="1:55">
      <c r="A627" s="403" t="s">
        <v>4584</v>
      </c>
      <c r="B627" s="399">
        <v>44650</v>
      </c>
      <c r="C627" s="399">
        <v>44650</v>
      </c>
      <c r="D627" s="405" t="s">
        <v>2330</v>
      </c>
      <c r="E627" s="393" t="s">
        <v>2337</v>
      </c>
      <c r="F627" s="405" t="s">
        <v>1139</v>
      </c>
      <c r="G627" s="405">
        <v>2022</v>
      </c>
      <c r="H627" s="405">
        <v>5</v>
      </c>
      <c r="I627" s="405"/>
      <c r="J627" s="456"/>
      <c r="K627" s="414" t="s">
        <v>2339</v>
      </c>
      <c r="L627" s="405" t="s">
        <v>2334</v>
      </c>
      <c r="M627" s="406">
        <v>44498</v>
      </c>
      <c r="N627" s="406">
        <v>44594</v>
      </c>
      <c r="O627" s="406">
        <v>44652</v>
      </c>
      <c r="P627" s="406">
        <v>44686</v>
      </c>
      <c r="Q627" s="406">
        <v>44694</v>
      </c>
      <c r="R627" s="406">
        <v>44699</v>
      </c>
      <c r="S627" s="405" t="s">
        <v>2332</v>
      </c>
      <c r="T627" s="405">
        <v>60</v>
      </c>
      <c r="U627" s="405" t="s">
        <v>1559</v>
      </c>
      <c r="V627" s="405" t="s">
        <v>973</v>
      </c>
      <c r="W627" s="405">
        <v>400</v>
      </c>
      <c r="X627" s="407">
        <v>3072</v>
      </c>
      <c r="Y627" s="422">
        <f>X627*W627</f>
        <v>1228800</v>
      </c>
      <c r="Z627" s="409">
        <v>0.55000000000000004</v>
      </c>
      <c r="AA627" s="423">
        <f t="shared" ref="AA627:AA690" si="136">Z627*Y627</f>
        <v>675840</v>
      </c>
      <c r="AB627" s="423"/>
      <c r="AC627" s="394">
        <v>0</v>
      </c>
      <c r="AD627" s="421"/>
      <c r="AE627" s="413"/>
      <c r="AF627" s="462">
        <f t="shared" ref="AF627:AF687" si="137">AA627+AE627</f>
        <v>675840</v>
      </c>
      <c r="AG627" s="405" t="s">
        <v>1069</v>
      </c>
      <c r="AH627" s="405"/>
      <c r="AI627" s="405">
        <v>60</v>
      </c>
      <c r="AJ627" s="406" t="s">
        <v>2335</v>
      </c>
      <c r="AK627" s="414" t="s">
        <v>1953</v>
      </c>
      <c r="AL627" s="414" t="s">
        <v>2336</v>
      </c>
      <c r="AM627" s="405" t="s">
        <v>52</v>
      </c>
      <c r="AN627" s="405" t="s">
        <v>50</v>
      </c>
      <c r="AO627" s="405"/>
      <c r="AP627" s="413" t="s">
        <v>38</v>
      </c>
      <c r="AQ627" s="413" t="s">
        <v>37</v>
      </c>
      <c r="AR627" s="389" t="s">
        <v>1209</v>
      </c>
      <c r="AS627" s="386" t="s">
        <v>1073</v>
      </c>
      <c r="AT627" s="386" t="s">
        <v>1073</v>
      </c>
      <c r="AU627" s="409">
        <v>0.47499999999999998</v>
      </c>
      <c r="AV627" s="402" t="str">
        <f t="shared" si="133"/>
        <v>30390156H</v>
      </c>
      <c r="AW627" s="402" cm="1">
        <f t="array" ref="AW627">SUM(MID(0&amp;AV627,LARGE(INDEX(ISNUMBER(--MID(AV627,ROW($1:$8),1))*ROW($1:$8),),ROW($1:$8))+1,1)*10^ROW($1:$8)/10)</f>
        <v>30390156</v>
      </c>
      <c r="AX627" s="402" t="str">
        <f>VLOOKUP($AW627,'Item Master Data'!$A:$F,3,FALSE)</f>
        <v>Q.PEAK DUO BLK ML G10+</v>
      </c>
      <c r="AY627" s="402">
        <f>VLOOKUP($AW627,'Item Master Data'!$A:$F,6,FALSE)</f>
        <v>400</v>
      </c>
      <c r="AZ627" s="402">
        <f t="shared" si="134"/>
        <v>96</v>
      </c>
      <c r="BA627" s="402">
        <f>VLOOKUP(AW627,'Item Master Data'!$A:$G,7,FALSE)</f>
        <v>32</v>
      </c>
      <c r="BB627" s="402"/>
      <c r="BC627" s="402">
        <f t="shared" si="135"/>
        <v>0</v>
      </c>
    </row>
    <row r="628" spans="1:55">
      <c r="A628" s="403" t="s">
        <v>4585</v>
      </c>
      <c r="B628" s="399">
        <v>44650</v>
      </c>
      <c r="C628" s="399">
        <v>44650</v>
      </c>
      <c r="D628" s="405" t="s">
        <v>2330</v>
      </c>
      <c r="E628" s="393" t="s">
        <v>4871</v>
      </c>
      <c r="F628" s="405" t="s">
        <v>1139</v>
      </c>
      <c r="G628" s="405">
        <v>2022</v>
      </c>
      <c r="H628" s="405">
        <v>5</v>
      </c>
      <c r="I628" s="405"/>
      <c r="J628" s="456"/>
      <c r="K628" s="414" t="s">
        <v>2340</v>
      </c>
      <c r="L628" s="405" t="s">
        <v>2334</v>
      </c>
      <c r="M628" s="406">
        <v>44498</v>
      </c>
      <c r="N628" s="406">
        <v>44594</v>
      </c>
      <c r="O628" s="406">
        <v>44652</v>
      </c>
      <c r="P628" s="406"/>
      <c r="Q628" s="406"/>
      <c r="R628" s="406"/>
      <c r="S628" s="405" t="s">
        <v>2332</v>
      </c>
      <c r="T628" s="405">
        <v>60</v>
      </c>
      <c r="U628" s="405" t="s">
        <v>1559</v>
      </c>
      <c r="V628" s="405" t="s">
        <v>973</v>
      </c>
      <c r="W628" s="405">
        <v>400</v>
      </c>
      <c r="X628" s="407">
        <v>3136</v>
      </c>
      <c r="Y628" s="422">
        <f>X628*W628</f>
        <v>1254400</v>
      </c>
      <c r="Z628" s="409">
        <v>0.64</v>
      </c>
      <c r="AA628" s="423">
        <f t="shared" si="136"/>
        <v>802816</v>
      </c>
      <c r="AB628" s="423"/>
      <c r="AC628" s="394">
        <v>0</v>
      </c>
      <c r="AD628" s="421"/>
      <c r="AE628" s="413"/>
      <c r="AF628" s="462">
        <f t="shared" si="137"/>
        <v>802816</v>
      </c>
      <c r="AG628" s="405" t="s">
        <v>1069</v>
      </c>
      <c r="AH628" s="405"/>
      <c r="AI628" s="405">
        <v>60</v>
      </c>
      <c r="AJ628" s="406" t="s">
        <v>2335</v>
      </c>
      <c r="AK628" s="414" t="s">
        <v>1953</v>
      </c>
      <c r="AL628" s="414" t="s">
        <v>2336</v>
      </c>
      <c r="AM628" s="405" t="s">
        <v>52</v>
      </c>
      <c r="AN628" s="405" t="s">
        <v>50</v>
      </c>
      <c r="AO628" s="405"/>
      <c r="AP628" s="413" t="s">
        <v>38</v>
      </c>
      <c r="AQ628" s="413" t="s">
        <v>37</v>
      </c>
      <c r="AR628" s="389" t="s">
        <v>1209</v>
      </c>
      <c r="AS628" s="386" t="s">
        <v>1073</v>
      </c>
      <c r="AT628" s="386" t="s">
        <v>1073</v>
      </c>
      <c r="AU628" s="409">
        <v>0.47499999999999998</v>
      </c>
      <c r="AV628" s="402" t="str">
        <f t="shared" si="133"/>
        <v>30390156H</v>
      </c>
      <c r="AW628" s="402" cm="1">
        <f t="array" ref="AW628">SUM(MID(0&amp;AV628,LARGE(INDEX(ISNUMBER(--MID(AV628,ROW($1:$8),1))*ROW($1:$8),),ROW($1:$8))+1,1)*10^ROW($1:$8)/10)</f>
        <v>30390156</v>
      </c>
      <c r="AX628" s="402" t="str">
        <f>VLOOKUP($AW628,'Item Master Data'!$A:$F,3,FALSE)</f>
        <v>Q.PEAK DUO BLK ML G10+</v>
      </c>
      <c r="AY628" s="402">
        <f>VLOOKUP($AW628,'Item Master Data'!$A:$F,6,FALSE)</f>
        <v>400</v>
      </c>
      <c r="AZ628" s="402">
        <f t="shared" si="134"/>
        <v>98</v>
      </c>
      <c r="BA628" s="402">
        <f>VLOOKUP(AW628,'Item Master Data'!$A:$G,7,FALSE)</f>
        <v>32</v>
      </c>
      <c r="BB628" s="402"/>
      <c r="BC628" s="402">
        <f t="shared" si="135"/>
        <v>0</v>
      </c>
    </row>
    <row r="629" spans="1:55">
      <c r="A629" s="403"/>
      <c r="B629" s="399"/>
      <c r="C629" s="399"/>
      <c r="D629" s="405" t="s">
        <v>2330</v>
      </c>
      <c r="E629" s="393" t="s">
        <v>4840</v>
      </c>
      <c r="F629" s="401" t="s">
        <v>1139</v>
      </c>
      <c r="G629" s="405">
        <v>2022</v>
      </c>
      <c r="H629" s="405">
        <v>5</v>
      </c>
      <c r="I629" s="405"/>
      <c r="J629" s="406"/>
      <c r="K629" s="405" t="s">
        <v>4068</v>
      </c>
      <c r="L629" s="405" t="s">
        <v>2334</v>
      </c>
      <c r="M629" s="406">
        <v>44665</v>
      </c>
      <c r="N629" s="406">
        <v>44669</v>
      </c>
      <c r="O629" s="406"/>
      <c r="P629" s="406">
        <v>44694</v>
      </c>
      <c r="Q629" s="406"/>
      <c r="R629" s="406"/>
      <c r="S629" s="405" t="s">
        <v>2332</v>
      </c>
      <c r="T629" s="405">
        <v>72</v>
      </c>
      <c r="U629" s="405">
        <v>49303156</v>
      </c>
      <c r="V629" s="405" t="s">
        <v>1068</v>
      </c>
      <c r="W629" s="405">
        <v>480</v>
      </c>
      <c r="X629" s="382">
        <v>1711</v>
      </c>
      <c r="Y629" s="422">
        <f>W629*X629</f>
        <v>821280</v>
      </c>
      <c r="Z629" s="409">
        <v>0.55500000000000005</v>
      </c>
      <c r="AA629" s="423">
        <f t="shared" si="136"/>
        <v>455810.4</v>
      </c>
      <c r="AB629" s="423"/>
      <c r="AC629" s="394">
        <v>0</v>
      </c>
      <c r="AD629" s="421"/>
      <c r="AE629" s="387"/>
      <c r="AF629" s="462">
        <f t="shared" si="137"/>
        <v>455810.4</v>
      </c>
      <c r="AG629" s="405" t="s">
        <v>1069</v>
      </c>
      <c r="AH629" s="388"/>
      <c r="AI629" s="405">
        <v>60</v>
      </c>
      <c r="AJ629" s="415" t="s">
        <v>1881</v>
      </c>
      <c r="AK629" s="405" t="s">
        <v>1081</v>
      </c>
      <c r="AL629" s="414" t="s">
        <v>4872</v>
      </c>
      <c r="AM629" s="405" t="s">
        <v>52</v>
      </c>
      <c r="AN629" s="405" t="s">
        <v>1101</v>
      </c>
      <c r="AO629" s="405"/>
      <c r="AP629" s="417"/>
      <c r="AQ629" s="389" t="s">
        <v>37</v>
      </c>
      <c r="AR629" s="389" t="s">
        <v>1209</v>
      </c>
      <c r="AS629" s="404" t="s">
        <v>1073</v>
      </c>
      <c r="AT629" s="404" t="s">
        <v>1073</v>
      </c>
      <c r="AU629" s="409">
        <v>0.47499999999999998</v>
      </c>
      <c r="AV629" s="402">
        <f t="shared" si="133"/>
        <v>49303156</v>
      </c>
      <c r="AW629" s="402" cm="1">
        <f t="array" ref="AW629">SUM(MID(0&amp;AV629,LARGE(INDEX(ISNUMBER(--MID(AV629,ROW($1:$8),1))*ROW($1:$8),),ROW($1:$8))+1,1)*10^ROW($1:$8)/10)</f>
        <v>49303156</v>
      </c>
      <c r="AX629" s="402" t="str">
        <f>VLOOKUP($AW629,'Item Master Data'!$A:$F,3,FALSE)</f>
        <v>Q.PEAK DUO XL G10 BFG</v>
      </c>
      <c r="AY629" s="402">
        <f>VLOOKUP($AW629,'Item Master Data'!$A:$F,6,FALSE)</f>
        <v>480</v>
      </c>
      <c r="AZ629" s="402">
        <f t="shared" si="134"/>
        <v>59</v>
      </c>
      <c r="BA629" s="402">
        <f>VLOOKUP(AW629,'Item Master Data'!$A:$G,7,FALSE)</f>
        <v>29</v>
      </c>
      <c r="BB629" s="402"/>
      <c r="BC629" s="402">
        <f t="shared" si="135"/>
        <v>0</v>
      </c>
    </row>
    <row r="630" spans="1:55">
      <c r="A630" s="403"/>
      <c r="B630" s="399">
        <v>44628</v>
      </c>
      <c r="C630" s="399">
        <v>44628</v>
      </c>
      <c r="D630" s="405" t="s">
        <v>2330</v>
      </c>
      <c r="E630" s="405" t="s">
        <v>4873</v>
      </c>
      <c r="F630" s="405" t="s">
        <v>1139</v>
      </c>
      <c r="G630" s="405">
        <v>2022</v>
      </c>
      <c r="H630" s="405">
        <v>5</v>
      </c>
      <c r="I630" s="405"/>
      <c r="J630" s="406"/>
      <c r="K630" s="405" t="s">
        <v>2345</v>
      </c>
      <c r="L630" s="405" t="s">
        <v>2342</v>
      </c>
      <c r="M630" s="406">
        <v>44622</v>
      </c>
      <c r="N630" s="406">
        <v>44622</v>
      </c>
      <c r="O630" s="406"/>
      <c r="P630" s="406" t="s">
        <v>4086</v>
      </c>
      <c r="Q630" s="406"/>
      <c r="R630" s="406"/>
      <c r="S630" s="405" t="s">
        <v>2332</v>
      </c>
      <c r="T630" s="405">
        <v>72</v>
      </c>
      <c r="U630" s="405" t="s">
        <v>1882</v>
      </c>
      <c r="V630" s="405" t="s">
        <v>1100</v>
      </c>
      <c r="W630" s="405">
        <v>475</v>
      </c>
      <c r="X630" s="382">
        <v>1711</v>
      </c>
      <c r="Y630" s="408">
        <f t="shared" ref="Y630:Y640" si="138">X630*W630</f>
        <v>812725</v>
      </c>
      <c r="Z630" s="409">
        <v>0.48501052631000002</v>
      </c>
      <c r="AA630" s="410">
        <f t="shared" si="136"/>
        <v>394180.17999529478</v>
      </c>
      <c r="AB630" s="410"/>
      <c r="AC630" s="394">
        <v>0</v>
      </c>
      <c r="AD630" s="421"/>
      <c r="AE630" s="387"/>
      <c r="AF630" s="462">
        <f t="shared" si="137"/>
        <v>394180.17999529478</v>
      </c>
      <c r="AG630" s="405" t="s">
        <v>1069</v>
      </c>
      <c r="AH630" s="388"/>
      <c r="AI630" s="405">
        <v>60</v>
      </c>
      <c r="AJ630" s="415" t="s">
        <v>1080</v>
      </c>
      <c r="AK630" s="405" t="s">
        <v>1081</v>
      </c>
      <c r="AL630" s="414" t="s">
        <v>2343</v>
      </c>
      <c r="AM630" s="405" t="s">
        <v>52</v>
      </c>
      <c r="AN630" s="405" t="s">
        <v>1082</v>
      </c>
      <c r="AO630" s="405"/>
      <c r="AP630" s="417" t="s">
        <v>38</v>
      </c>
      <c r="AQ630" s="389" t="s">
        <v>37</v>
      </c>
      <c r="AR630" s="389" t="s">
        <v>1209</v>
      </c>
      <c r="AS630" s="404" t="s">
        <v>1073</v>
      </c>
      <c r="AT630" s="404" t="s">
        <v>1073</v>
      </c>
      <c r="AU630" s="403"/>
      <c r="AV630" s="402"/>
      <c r="AW630" s="402"/>
      <c r="AX630" s="402"/>
      <c r="AY630" s="402"/>
      <c r="AZ630" s="402"/>
      <c r="BA630" s="402"/>
      <c r="BB630" s="402"/>
      <c r="BC630" s="402"/>
    </row>
    <row r="631" spans="1:55">
      <c r="A631" s="403"/>
      <c r="B631" s="399">
        <v>44628</v>
      </c>
      <c r="C631" s="399">
        <v>44628</v>
      </c>
      <c r="D631" s="405" t="s">
        <v>2330</v>
      </c>
      <c r="E631" s="405" t="s">
        <v>4873</v>
      </c>
      <c r="F631" s="405" t="s">
        <v>1139</v>
      </c>
      <c r="G631" s="405">
        <v>2022</v>
      </c>
      <c r="H631" s="405">
        <v>5</v>
      </c>
      <c r="I631" s="405"/>
      <c r="J631" s="406"/>
      <c r="K631" s="405" t="s">
        <v>2345</v>
      </c>
      <c r="L631" s="405" t="s">
        <v>2342</v>
      </c>
      <c r="M631" s="406">
        <v>44622</v>
      </c>
      <c r="N631" s="406">
        <v>44622</v>
      </c>
      <c r="O631" s="406"/>
      <c r="P631" s="406" t="s">
        <v>4086</v>
      </c>
      <c r="Q631" s="406"/>
      <c r="R631" s="406"/>
      <c r="S631" s="405" t="s">
        <v>2332</v>
      </c>
      <c r="T631" s="405">
        <v>72</v>
      </c>
      <c r="U631" s="405" t="s">
        <v>4978</v>
      </c>
      <c r="V631" s="405" t="s">
        <v>1100</v>
      </c>
      <c r="W631" s="405">
        <v>475</v>
      </c>
      <c r="X631" s="382">
        <v>203</v>
      </c>
      <c r="Y631" s="408">
        <f t="shared" si="138"/>
        <v>96425</v>
      </c>
      <c r="Z631" s="409">
        <v>0.48501052631000002</v>
      </c>
      <c r="AA631" s="410">
        <f t="shared" si="136"/>
        <v>46767.139999441752</v>
      </c>
      <c r="AB631" s="410"/>
      <c r="AC631" s="394">
        <v>0</v>
      </c>
      <c r="AD631" s="421"/>
      <c r="AE631" s="387"/>
      <c r="AF631" s="462">
        <f t="shared" si="137"/>
        <v>46767.139999441752</v>
      </c>
      <c r="AG631" s="405" t="s">
        <v>1069</v>
      </c>
      <c r="AH631" s="388"/>
      <c r="AI631" s="405">
        <v>60</v>
      </c>
      <c r="AJ631" s="415" t="s">
        <v>1080</v>
      </c>
      <c r="AK631" s="405" t="s">
        <v>1081</v>
      </c>
      <c r="AL631" s="414" t="s">
        <v>2343</v>
      </c>
      <c r="AM631" s="405" t="s">
        <v>52</v>
      </c>
      <c r="AN631" s="405" t="s">
        <v>1082</v>
      </c>
      <c r="AO631" s="405"/>
      <c r="AP631" s="417" t="s">
        <v>38</v>
      </c>
      <c r="AQ631" s="389" t="s">
        <v>37</v>
      </c>
      <c r="AR631" s="389" t="s">
        <v>1209</v>
      </c>
      <c r="AS631" s="404" t="s">
        <v>1073</v>
      </c>
      <c r="AT631" s="404" t="s">
        <v>1073</v>
      </c>
      <c r="AU631" s="403"/>
      <c r="AV631" s="402"/>
      <c r="AW631" s="402"/>
      <c r="AX631" s="402"/>
      <c r="AY631" s="402"/>
      <c r="AZ631" s="402"/>
      <c r="BA631" s="402"/>
      <c r="BB631" s="402"/>
      <c r="BC631" s="402"/>
    </row>
    <row r="632" spans="1:55">
      <c r="A632" s="403" t="s">
        <v>4585</v>
      </c>
      <c r="B632" s="399">
        <v>44578</v>
      </c>
      <c r="C632" s="399">
        <v>44579</v>
      </c>
      <c r="D632" s="405" t="s">
        <v>2330</v>
      </c>
      <c r="E632" s="393" t="s">
        <v>4874</v>
      </c>
      <c r="F632" s="405" t="s">
        <v>1139</v>
      </c>
      <c r="G632" s="405">
        <v>2022</v>
      </c>
      <c r="H632" s="405">
        <v>5</v>
      </c>
      <c r="I632" s="405"/>
      <c r="J632" s="456"/>
      <c r="K632" s="414" t="s">
        <v>2346</v>
      </c>
      <c r="L632" s="405" t="s">
        <v>2342</v>
      </c>
      <c r="M632" s="406">
        <v>44456</v>
      </c>
      <c r="N632" s="406">
        <v>44536</v>
      </c>
      <c r="O632" s="406">
        <v>44682</v>
      </c>
      <c r="P632" s="406" t="s">
        <v>4597</v>
      </c>
      <c r="Q632" s="406" t="s">
        <v>4598</v>
      </c>
      <c r="R632" s="406"/>
      <c r="S632" s="405" t="s">
        <v>2332</v>
      </c>
      <c r="T632" s="405">
        <v>60</v>
      </c>
      <c r="U632" s="405" t="s">
        <v>1237</v>
      </c>
      <c r="V632" s="405" t="s">
        <v>973</v>
      </c>
      <c r="W632" s="405">
        <v>400</v>
      </c>
      <c r="X632" s="407">
        <v>768</v>
      </c>
      <c r="Y632" s="422">
        <f t="shared" si="138"/>
        <v>307200</v>
      </c>
      <c r="Z632" s="409">
        <v>0.64</v>
      </c>
      <c r="AA632" s="423">
        <f t="shared" si="136"/>
        <v>196608</v>
      </c>
      <c r="AB632" s="423"/>
      <c r="AC632" s="394">
        <v>0</v>
      </c>
      <c r="AD632" s="421"/>
      <c r="AE632" s="413"/>
      <c r="AF632" s="462">
        <f t="shared" si="137"/>
        <v>196608</v>
      </c>
      <c r="AG632" s="405" t="s">
        <v>1069</v>
      </c>
      <c r="AH632" s="405"/>
      <c r="AI632" s="405">
        <v>60</v>
      </c>
      <c r="AJ632" s="406" t="s">
        <v>1127</v>
      </c>
      <c r="AK632" s="414" t="s">
        <v>1081</v>
      </c>
      <c r="AL632" s="414">
        <v>33064</v>
      </c>
      <c r="AM632" s="405" t="s">
        <v>52</v>
      </c>
      <c r="AN632" s="405" t="s">
        <v>50</v>
      </c>
      <c r="AO632" s="405"/>
      <c r="AP632" s="413" t="s">
        <v>38</v>
      </c>
      <c r="AQ632" s="413" t="s">
        <v>37</v>
      </c>
      <c r="AR632" s="389" t="s">
        <v>1209</v>
      </c>
      <c r="AS632" s="386" t="s">
        <v>1073</v>
      </c>
      <c r="AT632" s="386" t="s">
        <v>1073</v>
      </c>
      <c r="AU632" s="409">
        <v>0.47499999999999998</v>
      </c>
      <c r="AV632" s="402" t="str">
        <f>U632</f>
        <v>30390456H</v>
      </c>
      <c r="AW632" s="402" cm="1">
        <f t="array" ref="AW632">SUM(MID(0&amp;AV632,LARGE(INDEX(ISNUMBER(--MID(AV632,ROW($1:$8),1))*ROW($1:$8),),ROW($1:$8))+1,1)*10^ROW($1:$8)/10)</f>
        <v>30390456</v>
      </c>
      <c r="AX632" s="402" t="str">
        <f>VLOOKUP($AW632,'Item Master Data'!$A:$F,3,FALSE)</f>
        <v>Q.PEAK DUO BLK ML G10+</v>
      </c>
      <c r="AY632" s="402">
        <f>VLOOKUP($AW632,'Item Master Data'!$A:$F,6,FALSE)</f>
        <v>400</v>
      </c>
      <c r="AZ632" s="402">
        <f>X632/BA632</f>
        <v>24</v>
      </c>
      <c r="BA632" s="402">
        <f>VLOOKUP(AW632,'Item Master Data'!$A:$G,7,FALSE)</f>
        <v>32</v>
      </c>
      <c r="BB632" s="402"/>
      <c r="BC632" s="402">
        <f>W632-AY632</f>
        <v>0</v>
      </c>
    </row>
    <row r="633" spans="1:55">
      <c r="A633" s="403" t="s">
        <v>4584</v>
      </c>
      <c r="B633" s="399">
        <v>44635</v>
      </c>
      <c r="C633" s="399">
        <v>44636</v>
      </c>
      <c r="D633" s="405" t="s">
        <v>2330</v>
      </c>
      <c r="E633" s="393" t="s">
        <v>4837</v>
      </c>
      <c r="F633" s="405" t="s">
        <v>1139</v>
      </c>
      <c r="G633" s="405">
        <v>2022</v>
      </c>
      <c r="H633" s="405">
        <v>5</v>
      </c>
      <c r="I633" s="405"/>
      <c r="J633" s="456"/>
      <c r="K633" s="414" t="s">
        <v>2358</v>
      </c>
      <c r="L633" s="405" t="s">
        <v>2348</v>
      </c>
      <c r="M633" s="406">
        <v>44497</v>
      </c>
      <c r="N633" s="406">
        <v>44652</v>
      </c>
      <c r="O633" s="406"/>
      <c r="P633" s="406">
        <v>44662</v>
      </c>
      <c r="Q633" s="406">
        <v>44693</v>
      </c>
      <c r="R633" s="406">
        <v>44694</v>
      </c>
      <c r="S633" s="405" t="s">
        <v>2332</v>
      </c>
      <c r="T633" s="405">
        <v>60</v>
      </c>
      <c r="U633" s="405">
        <v>49203132</v>
      </c>
      <c r="V633" s="405" t="s">
        <v>986</v>
      </c>
      <c r="W633" s="405">
        <v>360</v>
      </c>
      <c r="X633" s="407">
        <v>2496</v>
      </c>
      <c r="Y633" s="422">
        <f t="shared" si="138"/>
        <v>898560</v>
      </c>
      <c r="Z633" s="409">
        <v>0.53</v>
      </c>
      <c r="AA633" s="423">
        <f t="shared" si="136"/>
        <v>476236.80000000005</v>
      </c>
      <c r="AB633" s="423"/>
      <c r="AC633" s="394">
        <v>0</v>
      </c>
      <c r="AD633" s="421"/>
      <c r="AE633" s="413"/>
      <c r="AF633" s="462">
        <f t="shared" si="137"/>
        <v>476236.80000000005</v>
      </c>
      <c r="AG633" s="405" t="s">
        <v>1069</v>
      </c>
      <c r="AH633" s="405"/>
      <c r="AI633" s="405">
        <v>60</v>
      </c>
      <c r="AJ633" s="406" t="s">
        <v>1881</v>
      </c>
      <c r="AK633" s="414" t="s">
        <v>1081</v>
      </c>
      <c r="AL633" s="414">
        <v>32809</v>
      </c>
      <c r="AM633" s="405" t="s">
        <v>52</v>
      </c>
      <c r="AN633" s="405" t="s">
        <v>1101</v>
      </c>
      <c r="AO633" s="405"/>
      <c r="AP633" s="413"/>
      <c r="AQ633" s="413" t="s">
        <v>37</v>
      </c>
      <c r="AR633" s="389" t="s">
        <v>2352</v>
      </c>
      <c r="AS633" s="386" t="s">
        <v>1073</v>
      </c>
      <c r="AT633" s="386" t="s">
        <v>1073</v>
      </c>
      <c r="AU633" s="409">
        <v>0.5</v>
      </c>
      <c r="AV633" s="402">
        <f>U633</f>
        <v>49203132</v>
      </c>
      <c r="AW633" s="402" cm="1">
        <f t="array" ref="AW633">SUM(MID(0&amp;AV633,LARGE(INDEX(ISNUMBER(--MID(AV633,ROW($1:$8),1))*ROW($1:$8),),ROW($1:$8))+1,1)*10^ROW($1:$8)/10)</f>
        <v>49203132</v>
      </c>
      <c r="AX633" s="402" t="str">
        <f>VLOOKUP($AW633,'Item Master Data'!$A:$F,3,FALSE)</f>
        <v>Q.PEAK DUO BLK G10+</v>
      </c>
      <c r="AY633" s="402">
        <f>VLOOKUP($AW633,'Item Master Data'!$A:$F,6,FALSE)</f>
        <v>360</v>
      </c>
      <c r="AZ633" s="402">
        <f>X633/BA633</f>
        <v>78</v>
      </c>
      <c r="BA633" s="402">
        <f>VLOOKUP(AW633,'Item Master Data'!$A:$G,7,FALSE)</f>
        <v>32</v>
      </c>
      <c r="BB633" s="402"/>
      <c r="BC633" s="402">
        <f>W633-AY633</f>
        <v>0</v>
      </c>
    </row>
    <row r="634" spans="1:55">
      <c r="A634" s="403" t="s">
        <v>4584</v>
      </c>
      <c r="B634" s="399">
        <v>44635</v>
      </c>
      <c r="C634" s="399">
        <v>44636</v>
      </c>
      <c r="D634" s="405" t="s">
        <v>2330</v>
      </c>
      <c r="E634" s="393" t="s">
        <v>4875</v>
      </c>
      <c r="F634" s="405" t="s">
        <v>1139</v>
      </c>
      <c r="G634" s="405">
        <v>2022</v>
      </c>
      <c r="H634" s="405">
        <v>5</v>
      </c>
      <c r="I634" s="405"/>
      <c r="J634" s="456"/>
      <c r="K634" s="414" t="s">
        <v>2353</v>
      </c>
      <c r="L634" s="405" t="s">
        <v>2348</v>
      </c>
      <c r="M634" s="406">
        <v>44497</v>
      </c>
      <c r="N634" s="406">
        <v>44652</v>
      </c>
      <c r="O634" s="406"/>
      <c r="P634" s="406">
        <v>44687</v>
      </c>
      <c r="Q634" s="406"/>
      <c r="R634" s="406"/>
      <c r="S634" s="405" t="s">
        <v>2332</v>
      </c>
      <c r="T634" s="405">
        <v>60</v>
      </c>
      <c r="U634" s="405">
        <v>49203132</v>
      </c>
      <c r="V634" s="405" t="s">
        <v>986</v>
      </c>
      <c r="W634" s="405">
        <v>360</v>
      </c>
      <c r="X634" s="407">
        <v>832</v>
      </c>
      <c r="Y634" s="422">
        <f t="shared" si="138"/>
        <v>299520</v>
      </c>
      <c r="Z634" s="409">
        <v>0.53</v>
      </c>
      <c r="AA634" s="423">
        <f t="shared" si="136"/>
        <v>158745.60000000001</v>
      </c>
      <c r="AB634" s="423"/>
      <c r="AC634" s="394">
        <v>0</v>
      </c>
      <c r="AD634" s="421"/>
      <c r="AE634" s="413"/>
      <c r="AF634" s="462">
        <f t="shared" si="137"/>
        <v>158745.60000000001</v>
      </c>
      <c r="AG634" s="405" t="s">
        <v>1069</v>
      </c>
      <c r="AH634" s="405"/>
      <c r="AI634" s="405">
        <v>60</v>
      </c>
      <c r="AJ634" s="406" t="s">
        <v>1881</v>
      </c>
      <c r="AK634" s="414" t="s">
        <v>1081</v>
      </c>
      <c r="AL634" s="414">
        <v>32809</v>
      </c>
      <c r="AM634" s="405" t="s">
        <v>52</v>
      </c>
      <c r="AN634" s="405" t="s">
        <v>1101</v>
      </c>
      <c r="AO634" s="405"/>
      <c r="AP634" s="413"/>
      <c r="AQ634" s="413" t="s">
        <v>37</v>
      </c>
      <c r="AR634" s="389" t="s">
        <v>2352</v>
      </c>
      <c r="AS634" s="386" t="s">
        <v>1073</v>
      </c>
      <c r="AT634" s="386" t="s">
        <v>1073</v>
      </c>
      <c r="AU634" s="409">
        <v>0.5</v>
      </c>
      <c r="AV634" s="402"/>
      <c r="AW634" s="402"/>
      <c r="AX634" s="402"/>
      <c r="AY634" s="402"/>
      <c r="AZ634" s="402"/>
      <c r="BA634" s="402"/>
      <c r="BB634" s="402"/>
      <c r="BC634" s="402"/>
    </row>
    <row r="635" spans="1:55">
      <c r="A635" s="403" t="s">
        <v>4585</v>
      </c>
      <c r="B635" s="399">
        <v>44635</v>
      </c>
      <c r="C635" s="399">
        <v>44636</v>
      </c>
      <c r="D635" s="405" t="s">
        <v>2330</v>
      </c>
      <c r="E635" s="393" t="s">
        <v>4876</v>
      </c>
      <c r="F635" s="405" t="s">
        <v>1139</v>
      </c>
      <c r="G635" s="405">
        <v>2022</v>
      </c>
      <c r="H635" s="405">
        <v>5</v>
      </c>
      <c r="I635" s="405"/>
      <c r="J635" s="456"/>
      <c r="K635" s="414" t="s">
        <v>4711</v>
      </c>
      <c r="L635" s="405" t="s">
        <v>2348</v>
      </c>
      <c r="M635" s="406">
        <v>44497</v>
      </c>
      <c r="N635" s="406">
        <v>44652</v>
      </c>
      <c r="O635" s="406"/>
      <c r="P635" s="406"/>
      <c r="Q635" s="406" t="s">
        <v>4598</v>
      </c>
      <c r="R635" s="406"/>
      <c r="S635" s="405" t="s">
        <v>2332</v>
      </c>
      <c r="T635" s="405">
        <v>60</v>
      </c>
      <c r="U635" s="405">
        <v>49203132</v>
      </c>
      <c r="V635" s="405" t="s">
        <v>986</v>
      </c>
      <c r="W635" s="405">
        <v>360</v>
      </c>
      <c r="X635" s="407">
        <v>832</v>
      </c>
      <c r="Y635" s="422">
        <f t="shared" si="138"/>
        <v>299520</v>
      </c>
      <c r="Z635" s="409">
        <v>0.62</v>
      </c>
      <c r="AA635" s="423">
        <f t="shared" si="136"/>
        <v>185702.39999999999</v>
      </c>
      <c r="AB635" s="423"/>
      <c r="AC635" s="394">
        <v>0</v>
      </c>
      <c r="AD635" s="421"/>
      <c r="AE635" s="413"/>
      <c r="AF635" s="462">
        <f t="shared" si="137"/>
        <v>185702.39999999999</v>
      </c>
      <c r="AG635" s="405" t="s">
        <v>1069</v>
      </c>
      <c r="AH635" s="405"/>
      <c r="AI635" s="405">
        <v>60</v>
      </c>
      <c r="AJ635" s="406" t="s">
        <v>1881</v>
      </c>
      <c r="AK635" s="414" t="s">
        <v>1081</v>
      </c>
      <c r="AL635" s="414">
        <v>32809</v>
      </c>
      <c r="AM635" s="405" t="s">
        <v>52</v>
      </c>
      <c r="AN635" s="405" t="s">
        <v>1101</v>
      </c>
      <c r="AO635" s="405"/>
      <c r="AP635" s="413"/>
      <c r="AQ635" s="413" t="s">
        <v>37</v>
      </c>
      <c r="AR635" s="389" t="s">
        <v>2352</v>
      </c>
      <c r="AS635" s="386" t="s">
        <v>1073</v>
      </c>
      <c r="AT635" s="386" t="s">
        <v>1073</v>
      </c>
      <c r="AU635" s="409">
        <v>0.5</v>
      </c>
      <c r="AV635" s="402"/>
      <c r="AW635" s="402"/>
      <c r="AX635" s="402"/>
      <c r="AY635" s="402"/>
      <c r="AZ635" s="402"/>
      <c r="BA635" s="402"/>
      <c r="BB635" s="402"/>
      <c r="BC635" s="402"/>
    </row>
    <row r="636" spans="1:55">
      <c r="A636" s="403" t="s">
        <v>4584</v>
      </c>
      <c r="B636" s="399">
        <v>44629</v>
      </c>
      <c r="C636" s="399">
        <v>44629</v>
      </c>
      <c r="D636" s="405" t="s">
        <v>2330</v>
      </c>
      <c r="E636" s="393" t="s">
        <v>4405</v>
      </c>
      <c r="F636" s="405" t="s">
        <v>1139</v>
      </c>
      <c r="G636" s="405">
        <v>2022</v>
      </c>
      <c r="H636" s="405">
        <v>5</v>
      </c>
      <c r="I636" s="405">
        <v>128513</v>
      </c>
      <c r="J636" s="418">
        <v>44683</v>
      </c>
      <c r="K636" s="414" t="s">
        <v>2363</v>
      </c>
      <c r="L636" s="405" t="s">
        <v>2348</v>
      </c>
      <c r="M636" s="406">
        <v>44501</v>
      </c>
      <c r="N636" s="406">
        <v>44563</v>
      </c>
      <c r="O636" s="406"/>
      <c r="P636" s="406">
        <v>44678</v>
      </c>
      <c r="Q636" s="406">
        <v>44683</v>
      </c>
      <c r="R636" s="406">
        <v>44685</v>
      </c>
      <c r="S636" s="405" t="s">
        <v>2332</v>
      </c>
      <c r="T636" s="405">
        <v>60</v>
      </c>
      <c r="U636" s="405" t="s">
        <v>1237</v>
      </c>
      <c r="V636" s="405" t="s">
        <v>973</v>
      </c>
      <c r="W636" s="405">
        <v>400</v>
      </c>
      <c r="X636" s="407">
        <v>4160</v>
      </c>
      <c r="Y636" s="422">
        <f t="shared" si="138"/>
        <v>1664000</v>
      </c>
      <c r="Z636" s="409">
        <v>0.55000000000000004</v>
      </c>
      <c r="AA636" s="423">
        <f t="shared" si="136"/>
        <v>915200.00000000012</v>
      </c>
      <c r="AB636" s="423"/>
      <c r="AC636" s="394">
        <v>0</v>
      </c>
      <c r="AD636" s="421"/>
      <c r="AE636" s="413"/>
      <c r="AF636" s="462">
        <f t="shared" si="137"/>
        <v>915200.00000000012</v>
      </c>
      <c r="AG636" s="405" t="s">
        <v>1069</v>
      </c>
      <c r="AH636" s="405"/>
      <c r="AI636" s="405">
        <v>60</v>
      </c>
      <c r="AJ636" s="406" t="s">
        <v>1881</v>
      </c>
      <c r="AK636" s="414" t="s">
        <v>1081</v>
      </c>
      <c r="AL636" s="414" t="s">
        <v>2349</v>
      </c>
      <c r="AM636" s="405" t="s">
        <v>52</v>
      </c>
      <c r="AN636" s="405" t="s">
        <v>1082</v>
      </c>
      <c r="AO636" s="405"/>
      <c r="AP636" s="413" t="s">
        <v>4346</v>
      </c>
      <c r="AQ636" s="413" t="s">
        <v>37</v>
      </c>
      <c r="AR636" s="389" t="s">
        <v>1209</v>
      </c>
      <c r="AS636" s="386" t="s">
        <v>1084</v>
      </c>
      <c r="AT636" s="386" t="s">
        <v>1073</v>
      </c>
      <c r="AU636" s="409">
        <v>0.47499999999999998</v>
      </c>
      <c r="AV636" s="402" t="str">
        <f>U636</f>
        <v>30390456H</v>
      </c>
      <c r="AW636" s="402" cm="1">
        <f t="array" ref="AW636">SUM(MID(0&amp;AV636,LARGE(INDEX(ISNUMBER(--MID(AV636,ROW($1:$8),1))*ROW($1:$8),),ROW($1:$8))+1,1)*10^ROW($1:$8)/10)</f>
        <v>30390456</v>
      </c>
      <c r="AX636" s="402" t="str">
        <f>VLOOKUP($AW636,'Item Master Data'!$A:$F,3,FALSE)</f>
        <v>Q.PEAK DUO BLK ML G10+</v>
      </c>
      <c r="AY636" s="402">
        <f>VLOOKUP($AW636,'Item Master Data'!$A:$F,6,FALSE)</f>
        <v>400</v>
      </c>
      <c r="AZ636" s="402">
        <f>X636/BA636</f>
        <v>130</v>
      </c>
      <c r="BA636" s="402">
        <f>VLOOKUP(AW636,'Item Master Data'!$A:$G,7,FALSE)</f>
        <v>32</v>
      </c>
      <c r="BB636" s="402"/>
      <c r="BC636" s="402">
        <f>W636-AY636</f>
        <v>0</v>
      </c>
    </row>
    <row r="637" spans="1:55">
      <c r="A637" s="403" t="s">
        <v>4584</v>
      </c>
      <c r="B637" s="399">
        <v>44629</v>
      </c>
      <c r="C637" s="399">
        <v>44629</v>
      </c>
      <c r="D637" s="405" t="s">
        <v>2330</v>
      </c>
      <c r="E637" s="393" t="s">
        <v>4406</v>
      </c>
      <c r="F637" s="405" t="s">
        <v>1139</v>
      </c>
      <c r="G637" s="405">
        <v>2022</v>
      </c>
      <c r="H637" s="405">
        <v>5</v>
      </c>
      <c r="I637" s="405" t="s">
        <v>4712</v>
      </c>
      <c r="J637" s="418">
        <v>44683</v>
      </c>
      <c r="K637" s="414" t="s">
        <v>2363</v>
      </c>
      <c r="L637" s="405" t="s">
        <v>2348</v>
      </c>
      <c r="M637" s="406">
        <v>44501</v>
      </c>
      <c r="N637" s="406">
        <v>44563</v>
      </c>
      <c r="O637" s="406"/>
      <c r="P637" s="406">
        <v>44678</v>
      </c>
      <c r="Q637" s="406">
        <v>44683</v>
      </c>
      <c r="R637" s="406">
        <v>44685</v>
      </c>
      <c r="S637" s="405" t="s">
        <v>2332</v>
      </c>
      <c r="T637" s="405">
        <v>60</v>
      </c>
      <c r="U637" s="405" t="s">
        <v>1237</v>
      </c>
      <c r="V637" s="405" t="s">
        <v>973</v>
      </c>
      <c r="W637" s="405">
        <v>400</v>
      </c>
      <c r="X637" s="407">
        <v>3328</v>
      </c>
      <c r="Y637" s="422">
        <f t="shared" si="138"/>
        <v>1331200</v>
      </c>
      <c r="Z637" s="409">
        <v>0.55000000000000004</v>
      </c>
      <c r="AA637" s="423">
        <f t="shared" si="136"/>
        <v>732160.00000000012</v>
      </c>
      <c r="AB637" s="423"/>
      <c r="AC637" s="394">
        <v>0</v>
      </c>
      <c r="AD637" s="421"/>
      <c r="AE637" s="413"/>
      <c r="AF637" s="462">
        <f t="shared" si="137"/>
        <v>732160.00000000012</v>
      </c>
      <c r="AG637" s="405" t="s">
        <v>1069</v>
      </c>
      <c r="AH637" s="405"/>
      <c r="AI637" s="405">
        <v>60</v>
      </c>
      <c r="AJ637" s="406" t="s">
        <v>1881</v>
      </c>
      <c r="AK637" s="414" t="s">
        <v>1081</v>
      </c>
      <c r="AL637" s="414" t="s">
        <v>2349</v>
      </c>
      <c r="AM637" s="405" t="s">
        <v>52</v>
      </c>
      <c r="AN637" s="405" t="s">
        <v>1082</v>
      </c>
      <c r="AO637" s="405"/>
      <c r="AP637" s="413" t="s">
        <v>4346</v>
      </c>
      <c r="AQ637" s="413" t="s">
        <v>37</v>
      </c>
      <c r="AR637" s="389" t="s">
        <v>1209</v>
      </c>
      <c r="AS637" s="386" t="s">
        <v>1084</v>
      </c>
      <c r="AT637" s="386" t="s">
        <v>1073</v>
      </c>
      <c r="AU637" s="409">
        <v>0.47499999999999998</v>
      </c>
      <c r="AV637" s="402"/>
      <c r="AW637" s="402"/>
      <c r="AX637" s="402"/>
      <c r="AY637" s="402"/>
      <c r="AZ637" s="402"/>
      <c r="BA637" s="402"/>
      <c r="BB637" s="402"/>
      <c r="BC637" s="402"/>
    </row>
    <row r="638" spans="1:55">
      <c r="A638" s="403" t="s">
        <v>4584</v>
      </c>
      <c r="B638" s="399">
        <v>44662</v>
      </c>
      <c r="C638" s="399">
        <v>44662</v>
      </c>
      <c r="D638" s="405" t="s">
        <v>2330</v>
      </c>
      <c r="E638" s="393"/>
      <c r="F638" s="405" t="s">
        <v>1139</v>
      </c>
      <c r="G638" s="405">
        <v>2022</v>
      </c>
      <c r="H638" s="405">
        <v>5</v>
      </c>
      <c r="I638" s="405" t="s">
        <v>4712</v>
      </c>
      <c r="J638" s="406">
        <v>44691</v>
      </c>
      <c r="K638" s="414" t="s">
        <v>2364</v>
      </c>
      <c r="L638" s="405" t="s">
        <v>2348</v>
      </c>
      <c r="M638" s="406">
        <v>44518</v>
      </c>
      <c r="N638" s="406">
        <v>44593</v>
      </c>
      <c r="O638" s="406"/>
      <c r="P638" s="406">
        <v>44684</v>
      </c>
      <c r="Q638" s="406">
        <v>44691</v>
      </c>
      <c r="R638" s="406">
        <v>44693</v>
      </c>
      <c r="S638" s="405" t="s">
        <v>2332</v>
      </c>
      <c r="T638" s="405">
        <v>60</v>
      </c>
      <c r="U638" s="405" t="s">
        <v>1237</v>
      </c>
      <c r="V638" s="405" t="s">
        <v>973</v>
      </c>
      <c r="W638" s="405">
        <v>400</v>
      </c>
      <c r="X638" s="407">
        <v>4992</v>
      </c>
      <c r="Y638" s="422">
        <f t="shared" si="138"/>
        <v>1996800</v>
      </c>
      <c r="Z638" s="409">
        <v>0.55000000000000004</v>
      </c>
      <c r="AA638" s="423">
        <f t="shared" si="136"/>
        <v>1098240</v>
      </c>
      <c r="AB638" s="423"/>
      <c r="AC638" s="394">
        <v>0</v>
      </c>
      <c r="AD638" s="421"/>
      <c r="AE638" s="413"/>
      <c r="AF638" s="462">
        <f t="shared" si="137"/>
        <v>1098240</v>
      </c>
      <c r="AG638" s="405" t="s">
        <v>1069</v>
      </c>
      <c r="AH638" s="405"/>
      <c r="AI638" s="405">
        <v>60</v>
      </c>
      <c r="AJ638" s="406" t="s">
        <v>1881</v>
      </c>
      <c r="AK638" s="414" t="s">
        <v>1081</v>
      </c>
      <c r="AL638" s="414" t="s">
        <v>2349</v>
      </c>
      <c r="AM638" s="405" t="s">
        <v>52</v>
      </c>
      <c r="AN638" s="405" t="s">
        <v>1082</v>
      </c>
      <c r="AO638" s="405"/>
      <c r="AP638" s="413" t="s">
        <v>4346</v>
      </c>
      <c r="AQ638" s="413" t="s">
        <v>37</v>
      </c>
      <c r="AR638" s="389" t="s">
        <v>1499</v>
      </c>
      <c r="AS638" s="386" t="s">
        <v>1084</v>
      </c>
      <c r="AT638" s="386" t="s">
        <v>1073</v>
      </c>
      <c r="AU638" s="409">
        <v>0.45500000000000002</v>
      </c>
      <c r="AV638" s="402" t="str">
        <f t="shared" ref="AV638:AV644" si="139">U638</f>
        <v>30390456H</v>
      </c>
      <c r="AW638" s="402" cm="1">
        <f t="array" ref="AW638">SUM(MID(0&amp;AV638,LARGE(INDEX(ISNUMBER(--MID(AV638,ROW($1:$8),1))*ROW($1:$8),),ROW($1:$8))+1,1)*10^ROW($1:$8)/10)</f>
        <v>30390456</v>
      </c>
      <c r="AX638" s="402" t="str">
        <f>VLOOKUP($AW638,'Item Master Data'!$A:$F,3,FALSE)</f>
        <v>Q.PEAK DUO BLK ML G10+</v>
      </c>
      <c r="AY638" s="402">
        <f>VLOOKUP($AW638,'Item Master Data'!$A:$F,6,FALSE)</f>
        <v>400</v>
      </c>
      <c r="AZ638" s="402">
        <f t="shared" ref="AZ638:AZ644" si="140">X638/BA638</f>
        <v>156</v>
      </c>
      <c r="BA638" s="402">
        <f>VLOOKUP(AW638,'Item Master Data'!$A:$G,7,FALSE)</f>
        <v>32</v>
      </c>
      <c r="BB638" s="402"/>
      <c r="BC638" s="402">
        <f t="shared" ref="BC638:BC644" si="141">W638-AY638</f>
        <v>0</v>
      </c>
    </row>
    <row r="639" spans="1:55">
      <c r="A639" s="403" t="s">
        <v>4585</v>
      </c>
      <c r="B639" s="399">
        <v>44629</v>
      </c>
      <c r="C639" s="399">
        <v>44629</v>
      </c>
      <c r="D639" s="405" t="s">
        <v>2330</v>
      </c>
      <c r="E639" s="393" t="s">
        <v>4877</v>
      </c>
      <c r="F639" s="405" t="s">
        <v>1139</v>
      </c>
      <c r="G639" s="405">
        <v>2022</v>
      </c>
      <c r="H639" s="405">
        <v>5</v>
      </c>
      <c r="I639" s="405"/>
      <c r="J639" s="456"/>
      <c r="K639" s="414" t="s">
        <v>2354</v>
      </c>
      <c r="L639" s="405" t="s">
        <v>2348</v>
      </c>
      <c r="M639" s="406">
        <v>44519</v>
      </c>
      <c r="N639" s="406">
        <v>44563</v>
      </c>
      <c r="O639" s="406"/>
      <c r="P639" s="406"/>
      <c r="Q639" s="406" t="s">
        <v>4598</v>
      </c>
      <c r="R639" s="406"/>
      <c r="S639" s="405" t="s">
        <v>2332</v>
      </c>
      <c r="T639" s="405">
        <v>60</v>
      </c>
      <c r="U639" s="405">
        <v>49405140</v>
      </c>
      <c r="V639" s="405" t="s">
        <v>973</v>
      </c>
      <c r="W639" s="405">
        <v>400</v>
      </c>
      <c r="X639" s="407">
        <v>4992</v>
      </c>
      <c r="Y639" s="422">
        <f t="shared" si="138"/>
        <v>1996800</v>
      </c>
      <c r="Z639" s="409">
        <v>0.64</v>
      </c>
      <c r="AA639" s="423">
        <f t="shared" si="136"/>
        <v>1277952</v>
      </c>
      <c r="AB639" s="423"/>
      <c r="AC639" s="394">
        <v>0</v>
      </c>
      <c r="AD639" s="421"/>
      <c r="AE639" s="413"/>
      <c r="AF639" s="462">
        <f t="shared" si="137"/>
        <v>1277952</v>
      </c>
      <c r="AG639" s="405" t="s">
        <v>1069</v>
      </c>
      <c r="AH639" s="405"/>
      <c r="AI639" s="405">
        <v>60</v>
      </c>
      <c r="AJ639" s="406" t="s">
        <v>1881</v>
      </c>
      <c r="AK639" s="414" t="s">
        <v>1081</v>
      </c>
      <c r="AL639" s="414" t="s">
        <v>2349</v>
      </c>
      <c r="AM639" s="405" t="s">
        <v>52</v>
      </c>
      <c r="AN639" s="405" t="s">
        <v>1101</v>
      </c>
      <c r="AO639" s="405"/>
      <c r="AP639" s="413"/>
      <c r="AQ639" s="413" t="s">
        <v>37</v>
      </c>
      <c r="AR639" s="389" t="s">
        <v>1209</v>
      </c>
      <c r="AS639" s="386" t="s">
        <v>1084</v>
      </c>
      <c r="AT639" s="386" t="s">
        <v>1073</v>
      </c>
      <c r="AU639" s="409">
        <v>0.47499999999999998</v>
      </c>
      <c r="AV639" s="402">
        <f t="shared" si="139"/>
        <v>49405140</v>
      </c>
      <c r="AW639" s="402" cm="1">
        <f t="array" ref="AW639">SUM(MID(0&amp;AV639,LARGE(INDEX(ISNUMBER(--MID(AV639,ROW($1:$8),1))*ROW($1:$8),),ROW($1:$8))+1,1)*10^ROW($1:$8)/10)</f>
        <v>49405140</v>
      </c>
      <c r="AX639" s="402" t="str">
        <f>VLOOKUP($AW639,'Item Master Data'!$A:$F,3,FALSE)</f>
        <v>Q.PEAK DUO BLK ML G10+</v>
      </c>
      <c r="AY639" s="402">
        <f>VLOOKUP($AW639,'Item Master Data'!$A:$F,6,FALSE)</f>
        <v>400</v>
      </c>
      <c r="AZ639" s="402">
        <f t="shared" si="140"/>
        <v>156</v>
      </c>
      <c r="BA639" s="402">
        <f>VLOOKUP(AW639,'Item Master Data'!$A:$G,7,FALSE)</f>
        <v>32</v>
      </c>
      <c r="BB639" s="402"/>
      <c r="BC639" s="402">
        <f t="shared" si="141"/>
        <v>0</v>
      </c>
    </row>
    <row r="640" spans="1:55">
      <c r="A640" s="403" t="s">
        <v>4585</v>
      </c>
      <c r="B640" s="399">
        <v>44629</v>
      </c>
      <c r="C640" s="399">
        <v>44629</v>
      </c>
      <c r="D640" s="405" t="s">
        <v>2330</v>
      </c>
      <c r="E640" s="393" t="s">
        <v>4877</v>
      </c>
      <c r="F640" s="405" t="s">
        <v>1139</v>
      </c>
      <c r="G640" s="405">
        <v>2022</v>
      </c>
      <c r="H640" s="405">
        <v>5</v>
      </c>
      <c r="I640" s="405"/>
      <c r="J640" s="456"/>
      <c r="K640" s="414" t="s">
        <v>2355</v>
      </c>
      <c r="L640" s="405" t="s">
        <v>2348</v>
      </c>
      <c r="M640" s="406">
        <v>44519</v>
      </c>
      <c r="N640" s="406">
        <v>44652</v>
      </c>
      <c r="O640" s="406"/>
      <c r="P640" s="406"/>
      <c r="Q640" s="406" t="s">
        <v>4598</v>
      </c>
      <c r="R640" s="406"/>
      <c r="S640" s="405" t="s">
        <v>2332</v>
      </c>
      <c r="T640" s="405">
        <v>60</v>
      </c>
      <c r="U640" s="405">
        <v>49405140</v>
      </c>
      <c r="V640" s="405" t="s">
        <v>973</v>
      </c>
      <c r="W640" s="405">
        <v>400</v>
      </c>
      <c r="X640" s="407">
        <v>832</v>
      </c>
      <c r="Y640" s="422">
        <f t="shared" si="138"/>
        <v>332800</v>
      </c>
      <c r="Z640" s="409">
        <v>0.64</v>
      </c>
      <c r="AA640" s="423">
        <f t="shared" si="136"/>
        <v>212992</v>
      </c>
      <c r="AB640" s="423"/>
      <c r="AC640" s="394">
        <v>0</v>
      </c>
      <c r="AD640" s="421"/>
      <c r="AE640" s="413"/>
      <c r="AF640" s="462">
        <f t="shared" si="137"/>
        <v>212992</v>
      </c>
      <c r="AG640" s="405" t="s">
        <v>1069</v>
      </c>
      <c r="AH640" s="405"/>
      <c r="AI640" s="405">
        <v>60</v>
      </c>
      <c r="AJ640" s="406" t="s">
        <v>1881</v>
      </c>
      <c r="AK640" s="414" t="s">
        <v>1081</v>
      </c>
      <c r="AL640" s="414" t="s">
        <v>2349</v>
      </c>
      <c r="AM640" s="405" t="s">
        <v>52</v>
      </c>
      <c r="AN640" s="405" t="s">
        <v>1101</v>
      </c>
      <c r="AO640" s="405"/>
      <c r="AP640" s="413"/>
      <c r="AQ640" s="413" t="s">
        <v>37</v>
      </c>
      <c r="AR640" s="389" t="s">
        <v>1209</v>
      </c>
      <c r="AS640" s="386" t="s">
        <v>1084</v>
      </c>
      <c r="AT640" s="386" t="s">
        <v>1073</v>
      </c>
      <c r="AU640" s="409">
        <v>0.47499999999999998</v>
      </c>
      <c r="AV640" s="402">
        <f t="shared" si="139"/>
        <v>49405140</v>
      </c>
      <c r="AW640" s="402" cm="1">
        <f t="array" ref="AW640">SUM(MID(0&amp;AV640,LARGE(INDEX(ISNUMBER(--MID(AV640,ROW($1:$8),1))*ROW($1:$8),),ROW($1:$8))+1,1)*10^ROW($1:$8)/10)</f>
        <v>49405140</v>
      </c>
      <c r="AX640" s="402" t="str">
        <f>VLOOKUP($AW640,'Item Master Data'!$A:$F,3,FALSE)</f>
        <v>Q.PEAK DUO BLK ML G10+</v>
      </c>
      <c r="AY640" s="402">
        <f>VLOOKUP($AW640,'Item Master Data'!$A:$F,6,FALSE)</f>
        <v>400</v>
      </c>
      <c r="AZ640" s="402">
        <f t="shared" si="140"/>
        <v>26</v>
      </c>
      <c r="BA640" s="402">
        <f>VLOOKUP(AW640,'Item Master Data'!$A:$G,7,FALSE)</f>
        <v>32</v>
      </c>
      <c r="BB640" s="402"/>
      <c r="BC640" s="402">
        <f t="shared" si="141"/>
        <v>0</v>
      </c>
    </row>
    <row r="641" spans="1:55">
      <c r="A641" s="403" t="s">
        <v>4584</v>
      </c>
      <c r="B641" s="397" t="s">
        <v>1186</v>
      </c>
      <c r="C641" s="397">
        <v>44666</v>
      </c>
      <c r="D641" s="405" t="s">
        <v>2330</v>
      </c>
      <c r="E641" s="393" t="s">
        <v>4979</v>
      </c>
      <c r="F641" s="401" t="s">
        <v>1139</v>
      </c>
      <c r="G641" s="405">
        <v>2022</v>
      </c>
      <c r="H641" s="405">
        <v>5</v>
      </c>
      <c r="I641" s="405" t="s">
        <v>4712</v>
      </c>
      <c r="J641" s="456">
        <v>44687</v>
      </c>
      <c r="K641" s="405" t="s">
        <v>2365</v>
      </c>
      <c r="L641" s="405" t="s">
        <v>2348</v>
      </c>
      <c r="M641" s="406">
        <v>44550</v>
      </c>
      <c r="N641" s="406">
        <v>44577</v>
      </c>
      <c r="O641" s="406"/>
      <c r="P641" s="406">
        <v>44671</v>
      </c>
      <c r="Q641" s="406">
        <v>44687</v>
      </c>
      <c r="R641" s="406">
        <v>44690</v>
      </c>
      <c r="S641" s="405" t="s">
        <v>2332</v>
      </c>
      <c r="T641" s="405">
        <v>60</v>
      </c>
      <c r="U641" s="405">
        <v>49204132</v>
      </c>
      <c r="V641" s="405" t="s">
        <v>1192</v>
      </c>
      <c r="W641" s="405">
        <v>360</v>
      </c>
      <c r="X641" s="382">
        <v>676</v>
      </c>
      <c r="Y641" s="422">
        <f>W641*X641</f>
        <v>243360</v>
      </c>
      <c r="Z641" s="409">
        <v>0.8</v>
      </c>
      <c r="AA641" s="423">
        <f t="shared" si="136"/>
        <v>194688</v>
      </c>
      <c r="AB641" s="423"/>
      <c r="AC641" s="394">
        <v>0</v>
      </c>
      <c r="AD641" s="421"/>
      <c r="AE641" s="387"/>
      <c r="AF641" s="462">
        <f t="shared" si="137"/>
        <v>194688</v>
      </c>
      <c r="AG641" s="405" t="s">
        <v>1069</v>
      </c>
      <c r="AH641" s="388"/>
      <c r="AI641" s="405">
        <v>60</v>
      </c>
      <c r="AJ641" s="415" t="s">
        <v>1881</v>
      </c>
      <c r="AK641" s="405" t="s">
        <v>1081</v>
      </c>
      <c r="AL641" s="414" t="s">
        <v>2349</v>
      </c>
      <c r="AM641" s="405" t="s">
        <v>52</v>
      </c>
      <c r="AN641" s="405" t="s">
        <v>1101</v>
      </c>
      <c r="AO641" s="405"/>
      <c r="AP641" s="417"/>
      <c r="AQ641" s="389" t="s">
        <v>37</v>
      </c>
      <c r="AR641" s="389"/>
      <c r="AS641" s="404" t="s">
        <v>1084</v>
      </c>
      <c r="AT641" s="404" t="s">
        <v>1073</v>
      </c>
      <c r="AU641" s="409">
        <v>0.73</v>
      </c>
      <c r="AV641" s="402">
        <f t="shared" si="139"/>
        <v>49204132</v>
      </c>
      <c r="AW641" s="402" cm="1">
        <f t="array" ref="AW641">SUM(MID(0&amp;AV641,LARGE(INDEX(ISNUMBER(--MID(AV641,ROW($1:$8),1))*ROW($1:$8),),ROW($1:$8))+1,1)*10^ROW($1:$8)/10)</f>
        <v>49204132</v>
      </c>
      <c r="AX641" s="402" t="str">
        <f>VLOOKUP($AW641,'Item Master Data'!$A:$F,3,FALSE)</f>
        <v>Q.PEAK DUO BLK G10+/AC</v>
      </c>
      <c r="AY641" s="402">
        <f>VLOOKUP($AW641,'Item Master Data'!$A:$F,6,FALSE)</f>
        <v>360</v>
      </c>
      <c r="AZ641" s="402">
        <f t="shared" si="140"/>
        <v>26</v>
      </c>
      <c r="BA641" s="402">
        <f>VLOOKUP(AW641,'Item Master Data'!$A:$G,7,FALSE)</f>
        <v>26</v>
      </c>
      <c r="BB641" s="402"/>
      <c r="BC641" s="402">
        <f t="shared" si="141"/>
        <v>0</v>
      </c>
    </row>
    <row r="642" spans="1:55">
      <c r="A642" s="403" t="s">
        <v>4584</v>
      </c>
      <c r="B642" s="397">
        <v>44665</v>
      </c>
      <c r="C642" s="397">
        <v>44666</v>
      </c>
      <c r="D642" s="405" t="s">
        <v>2330</v>
      </c>
      <c r="E642" s="393" t="s">
        <v>4980</v>
      </c>
      <c r="F642" s="401" t="s">
        <v>1139</v>
      </c>
      <c r="G642" s="405">
        <v>2022</v>
      </c>
      <c r="H642" s="405">
        <v>5</v>
      </c>
      <c r="I642" s="405"/>
      <c r="J642" s="406"/>
      <c r="K642" s="405" t="s">
        <v>4069</v>
      </c>
      <c r="L642" s="405" t="s">
        <v>2348</v>
      </c>
      <c r="M642" s="406">
        <v>44550</v>
      </c>
      <c r="N642" s="406">
        <v>44577</v>
      </c>
      <c r="O642" s="406"/>
      <c r="P642" s="406">
        <v>44687</v>
      </c>
      <c r="Q642" s="406"/>
      <c r="R642" s="406"/>
      <c r="S642" s="405" t="s">
        <v>2332</v>
      </c>
      <c r="T642" s="405">
        <v>60</v>
      </c>
      <c r="U642" s="405">
        <v>49204132</v>
      </c>
      <c r="V642" s="405" t="s">
        <v>1192</v>
      </c>
      <c r="W642" s="405">
        <v>360</v>
      </c>
      <c r="X642" s="382">
        <v>1664</v>
      </c>
      <c r="Y642" s="422">
        <f>W642*X642</f>
        <v>599040</v>
      </c>
      <c r="Z642" s="409">
        <v>0.8</v>
      </c>
      <c r="AA642" s="423">
        <f t="shared" si="136"/>
        <v>479232</v>
      </c>
      <c r="AB642" s="423"/>
      <c r="AC642" s="394">
        <v>0</v>
      </c>
      <c r="AD642" s="421"/>
      <c r="AE642" s="387"/>
      <c r="AF642" s="462">
        <f t="shared" si="137"/>
        <v>479232</v>
      </c>
      <c r="AG642" s="405" t="s">
        <v>1069</v>
      </c>
      <c r="AH642" s="388"/>
      <c r="AI642" s="405">
        <v>60</v>
      </c>
      <c r="AJ642" s="415" t="s">
        <v>1881</v>
      </c>
      <c r="AK642" s="405" t="s">
        <v>1081</v>
      </c>
      <c r="AL642" s="414" t="s">
        <v>2349</v>
      </c>
      <c r="AM642" s="405" t="s">
        <v>52</v>
      </c>
      <c r="AN642" s="405" t="s">
        <v>1101</v>
      </c>
      <c r="AO642" s="405"/>
      <c r="AP642" s="417"/>
      <c r="AQ642" s="389" t="s">
        <v>37</v>
      </c>
      <c r="AR642" s="389" t="s">
        <v>2352</v>
      </c>
      <c r="AS642" s="404" t="s">
        <v>1084</v>
      </c>
      <c r="AT642" s="404" t="s">
        <v>1073</v>
      </c>
      <c r="AU642" s="409">
        <v>0.73</v>
      </c>
      <c r="AV642" s="402">
        <f t="shared" si="139"/>
        <v>49204132</v>
      </c>
      <c r="AW642" s="402" cm="1">
        <f t="array" ref="AW642">SUM(MID(0&amp;AV642,LARGE(INDEX(ISNUMBER(--MID(AV642,ROW($1:$8),1))*ROW($1:$8),),ROW($1:$8))+1,1)*10^ROW($1:$8)/10)</f>
        <v>49204132</v>
      </c>
      <c r="AX642" s="402" t="str">
        <f>VLOOKUP($AW642,'Item Master Data'!$A:$F,3,FALSE)</f>
        <v>Q.PEAK DUO BLK G10+/AC</v>
      </c>
      <c r="AY642" s="402">
        <f>VLOOKUP($AW642,'Item Master Data'!$A:$F,6,FALSE)</f>
        <v>360</v>
      </c>
      <c r="AZ642" s="402">
        <f t="shared" si="140"/>
        <v>64</v>
      </c>
      <c r="BA642" s="402">
        <f>VLOOKUP(AW642,'Item Master Data'!$A:$G,7,FALSE)</f>
        <v>26</v>
      </c>
      <c r="BB642" s="402"/>
      <c r="BC642" s="402">
        <f t="shared" si="141"/>
        <v>0</v>
      </c>
    </row>
    <row r="643" spans="1:55">
      <c r="A643" s="403" t="s">
        <v>4585</v>
      </c>
      <c r="B643" s="397">
        <v>44665</v>
      </c>
      <c r="C643" s="397">
        <v>44666</v>
      </c>
      <c r="D643" s="405" t="s">
        <v>2330</v>
      </c>
      <c r="E643" s="393" t="s">
        <v>4878</v>
      </c>
      <c r="F643" s="401" t="s">
        <v>1139</v>
      </c>
      <c r="G643" s="405">
        <v>2022</v>
      </c>
      <c r="H643" s="405">
        <v>5</v>
      </c>
      <c r="I643" s="405"/>
      <c r="J643" s="406"/>
      <c r="K643" s="405" t="s">
        <v>4599</v>
      </c>
      <c r="L643" s="405" t="s">
        <v>2348</v>
      </c>
      <c r="M643" s="406">
        <v>44550</v>
      </c>
      <c r="N643" s="406">
        <v>44577</v>
      </c>
      <c r="O643" s="406"/>
      <c r="P643" s="406"/>
      <c r="Q643" s="406" t="s">
        <v>4598</v>
      </c>
      <c r="R643" s="406"/>
      <c r="S643" s="405" t="s">
        <v>2332</v>
      </c>
      <c r="T643" s="405">
        <v>60</v>
      </c>
      <c r="U643" s="405">
        <v>49204132</v>
      </c>
      <c r="V643" s="405" t="s">
        <v>1192</v>
      </c>
      <c r="W643" s="405">
        <v>360</v>
      </c>
      <c r="X643" s="382">
        <v>832</v>
      </c>
      <c r="Y643" s="422">
        <f>W643*X643</f>
        <v>299520</v>
      </c>
      <c r="Z643" s="409">
        <v>0.9</v>
      </c>
      <c r="AA643" s="423">
        <f t="shared" si="136"/>
        <v>269568</v>
      </c>
      <c r="AB643" s="423"/>
      <c r="AC643" s="394">
        <v>0</v>
      </c>
      <c r="AD643" s="421"/>
      <c r="AE643" s="387"/>
      <c r="AF643" s="462">
        <f t="shared" si="137"/>
        <v>269568</v>
      </c>
      <c r="AG643" s="405" t="s">
        <v>1069</v>
      </c>
      <c r="AH643" s="388"/>
      <c r="AI643" s="405">
        <v>60</v>
      </c>
      <c r="AJ643" s="415" t="s">
        <v>1881</v>
      </c>
      <c r="AK643" s="405" t="s">
        <v>1081</v>
      </c>
      <c r="AL643" s="414" t="s">
        <v>2349</v>
      </c>
      <c r="AM643" s="405" t="s">
        <v>52</v>
      </c>
      <c r="AN643" s="405" t="s">
        <v>1101</v>
      </c>
      <c r="AO643" s="405"/>
      <c r="AP643" s="417"/>
      <c r="AQ643" s="389" t="s">
        <v>37</v>
      </c>
      <c r="AR643" s="389" t="s">
        <v>2352</v>
      </c>
      <c r="AS643" s="404" t="s">
        <v>1084</v>
      </c>
      <c r="AT643" s="404" t="s">
        <v>1073</v>
      </c>
      <c r="AU643" s="409">
        <v>0.73</v>
      </c>
      <c r="AV643" s="402">
        <f t="shared" si="139"/>
        <v>49204132</v>
      </c>
      <c r="AW643" s="402" cm="1">
        <f t="array" ref="AW643">SUM(MID(0&amp;AV643,LARGE(INDEX(ISNUMBER(--MID(AV643,ROW($1:$8),1))*ROW($1:$8),),ROW($1:$8))+1,1)*10^ROW($1:$8)/10)</f>
        <v>49204132</v>
      </c>
      <c r="AX643" s="402" t="str">
        <f>VLOOKUP($AW643,'Item Master Data'!$A:$F,3,FALSE)</f>
        <v>Q.PEAK DUO BLK G10+/AC</v>
      </c>
      <c r="AY643" s="402">
        <f>VLOOKUP($AW643,'Item Master Data'!$A:$F,6,FALSE)</f>
        <v>360</v>
      </c>
      <c r="AZ643" s="402">
        <f t="shared" si="140"/>
        <v>32</v>
      </c>
      <c r="BA643" s="402">
        <f>VLOOKUP(AW643,'Item Master Data'!$A:$G,7,FALSE)</f>
        <v>26</v>
      </c>
      <c r="BB643" s="402"/>
      <c r="BC643" s="402">
        <f t="shared" si="141"/>
        <v>0</v>
      </c>
    </row>
    <row r="644" spans="1:55">
      <c r="A644" s="403" t="s">
        <v>4584</v>
      </c>
      <c r="B644" s="399">
        <v>44685</v>
      </c>
      <c r="C644" s="399">
        <v>44685</v>
      </c>
      <c r="D644" s="405" t="s">
        <v>2330</v>
      </c>
      <c r="E644" s="393"/>
      <c r="F644" s="405" t="s">
        <v>1139</v>
      </c>
      <c r="G644" s="405">
        <v>2022</v>
      </c>
      <c r="H644" s="405">
        <v>5</v>
      </c>
      <c r="I644" s="405"/>
      <c r="J644" s="456"/>
      <c r="K644" s="414" t="s">
        <v>4602</v>
      </c>
      <c r="L644" s="405" t="s">
        <v>2360</v>
      </c>
      <c r="M644" s="406">
        <v>44523</v>
      </c>
      <c r="N644" s="406">
        <v>44593</v>
      </c>
      <c r="O644" s="406"/>
      <c r="P644" s="406">
        <v>44686</v>
      </c>
      <c r="Q644" s="406">
        <v>44693</v>
      </c>
      <c r="R644" s="406">
        <v>44694</v>
      </c>
      <c r="S644" s="405" t="s">
        <v>2332</v>
      </c>
      <c r="T644" s="405">
        <v>60</v>
      </c>
      <c r="U644" s="405">
        <v>49405140</v>
      </c>
      <c r="V644" s="405" t="s">
        <v>973</v>
      </c>
      <c r="W644" s="405">
        <v>400</v>
      </c>
      <c r="X644" s="407">
        <v>1664</v>
      </c>
      <c r="Y644" s="422">
        <f>X644*W644</f>
        <v>665600</v>
      </c>
      <c r="Z644" s="409">
        <v>0.55000000000000004</v>
      </c>
      <c r="AA644" s="423">
        <f t="shared" si="136"/>
        <v>366080.00000000006</v>
      </c>
      <c r="AB644" s="423"/>
      <c r="AC644" s="394">
        <v>0</v>
      </c>
      <c r="AD644" s="421"/>
      <c r="AE644" s="413"/>
      <c r="AF644" s="462">
        <f t="shared" si="137"/>
        <v>366080.00000000006</v>
      </c>
      <c r="AG644" s="405" t="s">
        <v>1069</v>
      </c>
      <c r="AH644" s="405"/>
      <c r="AI644" s="405">
        <v>60</v>
      </c>
      <c r="AJ644" s="406" t="s">
        <v>2361</v>
      </c>
      <c r="AK644" s="414" t="s">
        <v>1148</v>
      </c>
      <c r="AL644" s="414" t="s">
        <v>2362</v>
      </c>
      <c r="AM644" s="405" t="s">
        <v>52</v>
      </c>
      <c r="AN644" s="405" t="s">
        <v>1101</v>
      </c>
      <c r="AO644" s="405"/>
      <c r="AP644" s="413"/>
      <c r="AQ644" s="413" t="s">
        <v>37</v>
      </c>
      <c r="AR644" s="389" t="s">
        <v>1209</v>
      </c>
      <c r="AS644" s="386" t="s">
        <v>1073</v>
      </c>
      <c r="AT644" s="386" t="s">
        <v>1073</v>
      </c>
      <c r="AU644" s="409">
        <v>0.47499999999999998</v>
      </c>
      <c r="AV644" s="402">
        <f t="shared" si="139"/>
        <v>49405140</v>
      </c>
      <c r="AW644" s="402" cm="1">
        <f t="array" ref="AW644">SUM(MID(0&amp;AV644,LARGE(INDEX(ISNUMBER(--MID(AV644,ROW($1:$8),1))*ROW($1:$8),),ROW($1:$8))+1,1)*10^ROW($1:$8)/10)</f>
        <v>49405140</v>
      </c>
      <c r="AX644" s="402" t="str">
        <f>VLOOKUP($AW644,'Item Master Data'!$A:$F,3,FALSE)</f>
        <v>Q.PEAK DUO BLK ML G10+</v>
      </c>
      <c r="AY644" s="402">
        <f>VLOOKUP($AW644,'Item Master Data'!$A:$F,6,FALSE)</f>
        <v>400</v>
      </c>
      <c r="AZ644" s="402">
        <f t="shared" si="140"/>
        <v>52</v>
      </c>
      <c r="BA644" s="402">
        <f>VLOOKUP(AW644,'Item Master Data'!$A:$G,7,FALSE)</f>
        <v>32</v>
      </c>
      <c r="BB644" s="402"/>
      <c r="BC644" s="402">
        <f t="shared" si="141"/>
        <v>0</v>
      </c>
    </row>
    <row r="645" spans="1:55">
      <c r="A645" s="403" t="s">
        <v>4585</v>
      </c>
      <c r="B645" s="397">
        <v>44665</v>
      </c>
      <c r="C645" s="397">
        <v>44666</v>
      </c>
      <c r="D645" s="405" t="s">
        <v>2330</v>
      </c>
      <c r="E645" s="393" t="s">
        <v>2367</v>
      </c>
      <c r="F645" s="401" t="s">
        <v>1139</v>
      </c>
      <c r="G645" s="405">
        <v>2022</v>
      </c>
      <c r="H645" s="405">
        <v>5</v>
      </c>
      <c r="I645" s="405"/>
      <c r="J645" s="406"/>
      <c r="K645" s="405" t="s">
        <v>4600</v>
      </c>
      <c r="L645" s="405" t="s">
        <v>2348</v>
      </c>
      <c r="M645" s="406">
        <v>44550</v>
      </c>
      <c r="N645" s="406">
        <v>44577</v>
      </c>
      <c r="O645" s="406"/>
      <c r="P645" s="406"/>
      <c r="Q645" s="406" t="s">
        <v>4598</v>
      </c>
      <c r="R645" s="406"/>
      <c r="S645" s="405" t="s">
        <v>2332</v>
      </c>
      <c r="T645" s="405">
        <v>60</v>
      </c>
      <c r="U645" s="405">
        <v>49204132</v>
      </c>
      <c r="V645" s="405" t="s">
        <v>1192</v>
      </c>
      <c r="W645" s="405">
        <v>360</v>
      </c>
      <c r="X645" s="382">
        <f>1664-832</f>
        <v>832</v>
      </c>
      <c r="Y645" s="422">
        <f>W645*X645</f>
        <v>299520</v>
      </c>
      <c r="Z645" s="409">
        <v>0.8</v>
      </c>
      <c r="AA645" s="423">
        <f t="shared" si="136"/>
        <v>239616</v>
      </c>
      <c r="AB645" s="423"/>
      <c r="AC645" s="394">
        <v>0</v>
      </c>
      <c r="AD645" s="421"/>
      <c r="AE645" s="387"/>
      <c r="AF645" s="462">
        <f t="shared" si="137"/>
        <v>239616</v>
      </c>
      <c r="AG645" s="405" t="s">
        <v>1069</v>
      </c>
      <c r="AH645" s="388"/>
      <c r="AI645" s="405">
        <v>60</v>
      </c>
      <c r="AJ645" s="415" t="s">
        <v>1881</v>
      </c>
      <c r="AK645" s="405" t="s">
        <v>1081</v>
      </c>
      <c r="AL645" s="414" t="s">
        <v>2349</v>
      </c>
      <c r="AM645" s="405" t="s">
        <v>52</v>
      </c>
      <c r="AN645" s="405" t="s">
        <v>1071</v>
      </c>
      <c r="AO645" s="405"/>
      <c r="AP645" s="417"/>
      <c r="AQ645" s="389" t="s">
        <v>37</v>
      </c>
      <c r="AR645" s="389" t="s">
        <v>2352</v>
      </c>
      <c r="AS645" s="404" t="s">
        <v>1084</v>
      </c>
      <c r="AT645" s="404" t="s">
        <v>1073</v>
      </c>
      <c r="AU645" s="409">
        <v>0.73</v>
      </c>
      <c r="AV645" s="402"/>
      <c r="AW645" s="402"/>
      <c r="AX645" s="402"/>
      <c r="AY645" s="402"/>
      <c r="AZ645" s="402"/>
      <c r="BA645" s="402"/>
      <c r="BB645" s="402"/>
      <c r="BC645" s="402"/>
    </row>
    <row r="646" spans="1:55">
      <c r="A646" s="403" t="s">
        <v>4585</v>
      </c>
      <c r="B646" s="399">
        <v>44685</v>
      </c>
      <c r="C646" s="399">
        <v>44685</v>
      </c>
      <c r="D646" s="405" t="s">
        <v>2330</v>
      </c>
      <c r="E646" s="393" t="s">
        <v>4879</v>
      </c>
      <c r="F646" s="405" t="s">
        <v>1139</v>
      </c>
      <c r="G646" s="405">
        <v>2022</v>
      </c>
      <c r="H646" s="405">
        <v>5</v>
      </c>
      <c r="I646" s="405"/>
      <c r="J646" s="456"/>
      <c r="K646" s="414" t="s">
        <v>4602</v>
      </c>
      <c r="L646" s="405" t="s">
        <v>2360</v>
      </c>
      <c r="M646" s="406">
        <v>44523</v>
      </c>
      <c r="N646" s="406">
        <v>44593</v>
      </c>
      <c r="O646" s="406"/>
      <c r="P646" s="406">
        <v>44686</v>
      </c>
      <c r="Q646" s="406">
        <v>44697</v>
      </c>
      <c r="R646" s="406">
        <v>44700</v>
      </c>
      <c r="S646" s="405" t="s">
        <v>2332</v>
      </c>
      <c r="T646" s="405">
        <v>60</v>
      </c>
      <c r="U646" s="405">
        <v>49405140</v>
      </c>
      <c r="V646" s="405" t="s">
        <v>973</v>
      </c>
      <c r="W646" s="405">
        <v>400</v>
      </c>
      <c r="X646" s="407">
        <v>832</v>
      </c>
      <c r="Y646" s="422">
        <f t="shared" ref="Y646:Y654" si="142">X646*W646</f>
        <v>332800</v>
      </c>
      <c r="Z646" s="409">
        <v>0.64</v>
      </c>
      <c r="AA646" s="423">
        <f t="shared" si="136"/>
        <v>212992</v>
      </c>
      <c r="AB646" s="423"/>
      <c r="AC646" s="394">
        <v>0</v>
      </c>
      <c r="AD646" s="421"/>
      <c r="AE646" s="413"/>
      <c r="AF646" s="462">
        <f t="shared" si="137"/>
        <v>212992</v>
      </c>
      <c r="AG646" s="405" t="s">
        <v>1069</v>
      </c>
      <c r="AH646" s="405"/>
      <c r="AI646" s="405">
        <v>60</v>
      </c>
      <c r="AJ646" s="406" t="s">
        <v>2361</v>
      </c>
      <c r="AK646" s="414" t="s">
        <v>1148</v>
      </c>
      <c r="AL646" s="414" t="s">
        <v>2362</v>
      </c>
      <c r="AM646" s="405" t="s">
        <v>52</v>
      </c>
      <c r="AN646" s="405" t="s">
        <v>1101</v>
      </c>
      <c r="AO646" s="405"/>
      <c r="AP646" s="413"/>
      <c r="AQ646" s="413" t="s">
        <v>37</v>
      </c>
      <c r="AR646" s="389" t="s">
        <v>1209</v>
      </c>
      <c r="AS646" s="386" t="s">
        <v>1073</v>
      </c>
      <c r="AT646" s="386" t="s">
        <v>1073</v>
      </c>
      <c r="AU646" s="409">
        <v>0.47499999999999998</v>
      </c>
      <c r="AV646" s="402">
        <f t="shared" ref="AV646:AV651" si="143">U646</f>
        <v>49405140</v>
      </c>
      <c r="AW646" s="402" cm="1">
        <f t="array" ref="AW646">SUM(MID(0&amp;AV646,LARGE(INDEX(ISNUMBER(--MID(AV646,ROW($1:$8),1))*ROW($1:$8),),ROW($1:$8))+1,1)*10^ROW($1:$8)/10)</f>
        <v>49405140</v>
      </c>
      <c r="AX646" s="402" t="str">
        <f>VLOOKUP($AW646,'Item Master Data'!$A:$F,3,FALSE)</f>
        <v>Q.PEAK DUO BLK ML G10+</v>
      </c>
      <c r="AY646" s="402">
        <f>VLOOKUP($AW646,'Item Master Data'!$A:$F,6,FALSE)</f>
        <v>400</v>
      </c>
      <c r="AZ646" s="402">
        <f t="shared" ref="AZ646:AZ651" si="144">X646/BA646</f>
        <v>26</v>
      </c>
      <c r="BA646" s="402">
        <f>VLOOKUP(AW646,'Item Master Data'!$A:$G,7,FALSE)</f>
        <v>32</v>
      </c>
      <c r="BB646" s="402"/>
      <c r="BC646" s="402">
        <f t="shared" ref="BC646:BC651" si="145">W646-AY646</f>
        <v>0</v>
      </c>
    </row>
    <row r="647" spans="1:55">
      <c r="A647" s="403" t="s">
        <v>4584</v>
      </c>
      <c r="B647" s="399">
        <v>44636</v>
      </c>
      <c r="C647" s="399">
        <v>44636</v>
      </c>
      <c r="D647" s="405" t="s">
        <v>2330</v>
      </c>
      <c r="E647" s="393" t="s">
        <v>2344</v>
      </c>
      <c r="F647" s="405" t="s">
        <v>1139</v>
      </c>
      <c r="G647" s="405">
        <v>2022</v>
      </c>
      <c r="H647" s="405">
        <v>5</v>
      </c>
      <c r="I647" s="405"/>
      <c r="J647" s="456">
        <v>44687</v>
      </c>
      <c r="K647" s="414" t="s">
        <v>2396</v>
      </c>
      <c r="L647" s="405" t="s">
        <v>2013</v>
      </c>
      <c r="M647" s="406">
        <v>44483</v>
      </c>
      <c r="N647" s="406">
        <v>44593</v>
      </c>
      <c r="O647" s="406" t="s">
        <v>1236</v>
      </c>
      <c r="P647" s="406">
        <v>44679</v>
      </c>
      <c r="Q647" s="406">
        <v>44687</v>
      </c>
      <c r="R647" s="406">
        <v>44691</v>
      </c>
      <c r="S647" s="405" t="s">
        <v>2332</v>
      </c>
      <c r="T647" s="405">
        <v>60</v>
      </c>
      <c r="U647" s="405">
        <v>49405140</v>
      </c>
      <c r="V647" s="405" t="s">
        <v>973</v>
      </c>
      <c r="W647" s="405">
        <v>400</v>
      </c>
      <c r="X647" s="407">
        <v>64</v>
      </c>
      <c r="Y647" s="422">
        <f t="shared" si="142"/>
        <v>25600</v>
      </c>
      <c r="Z647" s="409">
        <v>0.55000000000000004</v>
      </c>
      <c r="AA647" s="423">
        <f t="shared" si="136"/>
        <v>14080.000000000002</v>
      </c>
      <c r="AB647" s="423"/>
      <c r="AC647" s="394">
        <v>0</v>
      </c>
      <c r="AD647" s="421"/>
      <c r="AE647" s="413"/>
      <c r="AF647" s="462">
        <f t="shared" si="137"/>
        <v>14080.000000000002</v>
      </c>
      <c r="AG647" s="405" t="s">
        <v>1069</v>
      </c>
      <c r="AH647" s="405"/>
      <c r="AI647" s="405">
        <v>60</v>
      </c>
      <c r="AJ647" s="406" t="s">
        <v>2014</v>
      </c>
      <c r="AK647" s="414" t="s">
        <v>1081</v>
      </c>
      <c r="AL647" s="414" t="s">
        <v>2362</v>
      </c>
      <c r="AM647" s="405" t="s">
        <v>52</v>
      </c>
      <c r="AN647" s="405" t="s">
        <v>1101</v>
      </c>
      <c r="AO647" s="405"/>
      <c r="AP647" s="413"/>
      <c r="AQ647" s="413" t="s">
        <v>37</v>
      </c>
      <c r="AR647" s="389"/>
      <c r="AS647" s="386"/>
      <c r="AT647" s="386"/>
      <c r="AU647" s="409"/>
      <c r="AV647" s="402">
        <f t="shared" si="143"/>
        <v>49405140</v>
      </c>
      <c r="AW647" s="402" cm="1">
        <f t="array" ref="AW647">SUM(MID(0&amp;AV647,LARGE(INDEX(ISNUMBER(--MID(AV647,ROW($1:$8),1))*ROW($1:$8),),ROW($1:$8))+1,1)*10^ROW($1:$8)/10)</f>
        <v>49405140</v>
      </c>
      <c r="AX647" s="402" t="str">
        <f>VLOOKUP($AW647,'Item Master Data'!$A:$F,3,FALSE)</f>
        <v>Q.PEAK DUO BLK ML G10+</v>
      </c>
      <c r="AY647" s="402">
        <f>VLOOKUP($AW647,'Item Master Data'!$A:$F,6,FALSE)</f>
        <v>400</v>
      </c>
      <c r="AZ647" s="402">
        <f t="shared" si="144"/>
        <v>2</v>
      </c>
      <c r="BA647" s="402">
        <f>VLOOKUP(AW647,'Item Master Data'!$A:$G,7,FALSE)</f>
        <v>32</v>
      </c>
      <c r="BB647" s="402"/>
      <c r="BC647" s="402">
        <f t="shared" si="145"/>
        <v>0</v>
      </c>
    </row>
    <row r="648" spans="1:55">
      <c r="A648" s="403" t="s">
        <v>4584</v>
      </c>
      <c r="B648" s="399">
        <v>44630</v>
      </c>
      <c r="C648" s="399">
        <v>44630</v>
      </c>
      <c r="D648" s="405" t="s">
        <v>2330</v>
      </c>
      <c r="E648" s="393" t="s">
        <v>4838</v>
      </c>
      <c r="F648" s="405" t="s">
        <v>1139</v>
      </c>
      <c r="G648" s="405">
        <v>2022</v>
      </c>
      <c r="H648" s="405">
        <v>5</v>
      </c>
      <c r="I648" s="405"/>
      <c r="J648" s="456"/>
      <c r="K648" s="414" t="s">
        <v>2394</v>
      </c>
      <c r="L648" s="405" t="s">
        <v>2013</v>
      </c>
      <c r="M648" s="406">
        <v>44483</v>
      </c>
      <c r="N648" s="406">
        <v>44621</v>
      </c>
      <c r="O648" s="406"/>
      <c r="P648" s="406">
        <v>44662</v>
      </c>
      <c r="Q648" s="406">
        <v>44698</v>
      </c>
      <c r="R648" s="406">
        <v>44699</v>
      </c>
      <c r="S648" s="405" t="s">
        <v>2332</v>
      </c>
      <c r="T648" s="405">
        <v>60</v>
      </c>
      <c r="U648" s="405">
        <v>49203132</v>
      </c>
      <c r="V648" s="405" t="s">
        <v>986</v>
      </c>
      <c r="W648" s="405">
        <v>360</v>
      </c>
      <c r="X648" s="407">
        <v>2912</v>
      </c>
      <c r="Y648" s="422">
        <f t="shared" si="142"/>
        <v>1048320</v>
      </c>
      <c r="Z648" s="409">
        <v>0.53</v>
      </c>
      <c r="AA648" s="423">
        <f t="shared" si="136"/>
        <v>555609.59999999998</v>
      </c>
      <c r="AB648" s="423"/>
      <c r="AC648" s="394">
        <v>0</v>
      </c>
      <c r="AD648" s="421"/>
      <c r="AE648" s="413"/>
      <c r="AF648" s="462">
        <f t="shared" si="137"/>
        <v>555609.59999999998</v>
      </c>
      <c r="AG648" s="405" t="s">
        <v>1069</v>
      </c>
      <c r="AH648" s="405"/>
      <c r="AI648" s="405">
        <v>60</v>
      </c>
      <c r="AJ648" s="406" t="s">
        <v>2014</v>
      </c>
      <c r="AK648" s="414" t="s">
        <v>1081</v>
      </c>
      <c r="AL648" s="414" t="s">
        <v>2015</v>
      </c>
      <c r="AM648" s="405" t="s">
        <v>52</v>
      </c>
      <c r="AN648" s="405" t="s">
        <v>1101</v>
      </c>
      <c r="AO648" s="405"/>
      <c r="AP648" s="413"/>
      <c r="AQ648" s="413" t="s">
        <v>37</v>
      </c>
      <c r="AR648" s="389"/>
      <c r="AS648" s="386"/>
      <c r="AT648" s="386"/>
      <c r="AU648" s="409"/>
      <c r="AV648" s="402">
        <f t="shared" si="143"/>
        <v>49203132</v>
      </c>
      <c r="AW648" s="402" cm="1">
        <f t="array" ref="AW648">SUM(MID(0&amp;AV648,LARGE(INDEX(ISNUMBER(--MID(AV648,ROW($1:$8),1))*ROW($1:$8),),ROW($1:$8))+1,1)*10^ROW($1:$8)/10)</f>
        <v>49203132</v>
      </c>
      <c r="AX648" s="402" t="str">
        <f>VLOOKUP($AW648,'Item Master Data'!$A:$F,3,FALSE)</f>
        <v>Q.PEAK DUO BLK G10+</v>
      </c>
      <c r="AY648" s="402">
        <f>VLOOKUP($AW648,'Item Master Data'!$A:$F,6,FALSE)</f>
        <v>360</v>
      </c>
      <c r="AZ648" s="402">
        <f t="shared" si="144"/>
        <v>91</v>
      </c>
      <c r="BA648" s="402">
        <f>VLOOKUP(AW648,'Item Master Data'!$A:$G,7,FALSE)</f>
        <v>32</v>
      </c>
      <c r="BB648" s="402"/>
      <c r="BC648" s="402">
        <f t="shared" si="145"/>
        <v>0</v>
      </c>
    </row>
    <row r="649" spans="1:55">
      <c r="A649" s="403" t="s">
        <v>4584</v>
      </c>
      <c r="B649" s="399">
        <v>44630</v>
      </c>
      <c r="C649" s="399">
        <v>44630</v>
      </c>
      <c r="D649" s="405" t="s">
        <v>2330</v>
      </c>
      <c r="E649" s="393" t="s">
        <v>4880</v>
      </c>
      <c r="F649" s="405" t="s">
        <v>1139</v>
      </c>
      <c r="G649" s="405">
        <v>2022</v>
      </c>
      <c r="H649" s="405">
        <v>5</v>
      </c>
      <c r="I649" s="405"/>
      <c r="J649" s="456"/>
      <c r="K649" s="414" t="s">
        <v>2397</v>
      </c>
      <c r="L649" s="405" t="s">
        <v>2013</v>
      </c>
      <c r="M649" s="406">
        <v>44483</v>
      </c>
      <c r="N649" s="406">
        <v>44621</v>
      </c>
      <c r="O649" s="406"/>
      <c r="P649" s="406">
        <v>44690</v>
      </c>
      <c r="Q649" s="406"/>
      <c r="R649" s="406"/>
      <c r="S649" s="405" t="s">
        <v>2332</v>
      </c>
      <c r="T649" s="405">
        <v>60</v>
      </c>
      <c r="U649" s="405">
        <v>49203132</v>
      </c>
      <c r="V649" s="405" t="s">
        <v>986</v>
      </c>
      <c r="W649" s="405">
        <v>360</v>
      </c>
      <c r="X649" s="407">
        <v>1536</v>
      </c>
      <c r="Y649" s="422">
        <f t="shared" si="142"/>
        <v>552960</v>
      </c>
      <c r="Z649" s="409">
        <v>0.53</v>
      </c>
      <c r="AA649" s="423">
        <f t="shared" si="136"/>
        <v>293068.79999999999</v>
      </c>
      <c r="AB649" s="423"/>
      <c r="AC649" s="394">
        <v>0</v>
      </c>
      <c r="AD649" s="421"/>
      <c r="AE649" s="413"/>
      <c r="AF649" s="462">
        <f t="shared" si="137"/>
        <v>293068.79999999999</v>
      </c>
      <c r="AG649" s="405" t="s">
        <v>1069</v>
      </c>
      <c r="AH649" s="405"/>
      <c r="AI649" s="405">
        <v>60</v>
      </c>
      <c r="AJ649" s="406" t="s">
        <v>2014</v>
      </c>
      <c r="AK649" s="414" t="s">
        <v>1081</v>
      </c>
      <c r="AL649" s="414" t="s">
        <v>2015</v>
      </c>
      <c r="AM649" s="405" t="s">
        <v>52</v>
      </c>
      <c r="AN649" s="405" t="s">
        <v>1101</v>
      </c>
      <c r="AO649" s="405"/>
      <c r="AP649" s="413"/>
      <c r="AQ649" s="413" t="s">
        <v>37</v>
      </c>
      <c r="AR649" s="389"/>
      <c r="AS649" s="386"/>
      <c r="AT649" s="386"/>
      <c r="AU649" s="409"/>
      <c r="AV649" s="402">
        <f t="shared" si="143"/>
        <v>49203132</v>
      </c>
      <c r="AW649" s="402" cm="1">
        <f t="array" ref="AW649">SUM(MID(0&amp;AV649,LARGE(INDEX(ISNUMBER(--MID(AV649,ROW($1:$8),1))*ROW($1:$8),),ROW($1:$8))+1,1)*10^ROW($1:$8)/10)</f>
        <v>49203132</v>
      </c>
      <c r="AX649" s="402" t="str">
        <f>VLOOKUP($AW649,'Item Master Data'!$A:$F,3,FALSE)</f>
        <v>Q.PEAK DUO BLK G10+</v>
      </c>
      <c r="AY649" s="402">
        <f>VLOOKUP($AW649,'Item Master Data'!$A:$F,6,FALSE)</f>
        <v>360</v>
      </c>
      <c r="AZ649" s="402">
        <f t="shared" si="144"/>
        <v>48</v>
      </c>
      <c r="BA649" s="402">
        <f>VLOOKUP(AW649,'Item Master Data'!$A:$G,7,FALSE)</f>
        <v>32</v>
      </c>
      <c r="BB649" s="402"/>
      <c r="BC649" s="402">
        <f t="shared" si="145"/>
        <v>0</v>
      </c>
    </row>
    <row r="650" spans="1:55">
      <c r="A650" s="403" t="s">
        <v>4585</v>
      </c>
      <c r="B650" s="399">
        <v>44543</v>
      </c>
      <c r="C650" s="399">
        <v>44543</v>
      </c>
      <c r="D650" s="405" t="s">
        <v>2330</v>
      </c>
      <c r="E650" s="393" t="s">
        <v>4879</v>
      </c>
      <c r="F650" s="405" t="s">
        <v>1139</v>
      </c>
      <c r="G650" s="405">
        <v>2022</v>
      </c>
      <c r="H650" s="405">
        <v>5</v>
      </c>
      <c r="I650" s="405"/>
      <c r="J650" s="456"/>
      <c r="K650" s="414" t="s">
        <v>4259</v>
      </c>
      <c r="L650" s="405" t="s">
        <v>2360</v>
      </c>
      <c r="M650" s="406">
        <v>44523</v>
      </c>
      <c r="N650" s="406">
        <v>44621</v>
      </c>
      <c r="O650" s="406"/>
      <c r="P650" s="406"/>
      <c r="Q650" s="406" t="s">
        <v>4588</v>
      </c>
      <c r="R650" s="406"/>
      <c r="S650" s="405" t="s">
        <v>2332</v>
      </c>
      <c r="T650" s="405">
        <v>60</v>
      </c>
      <c r="U650" s="405">
        <v>49405140</v>
      </c>
      <c r="V650" s="405" t="s">
        <v>973</v>
      </c>
      <c r="W650" s="405">
        <v>400</v>
      </c>
      <c r="X650" s="407">
        <v>704</v>
      </c>
      <c r="Y650" s="422">
        <f t="shared" si="142"/>
        <v>281600</v>
      </c>
      <c r="Z650" s="409">
        <v>0.64</v>
      </c>
      <c r="AA650" s="423">
        <f t="shared" si="136"/>
        <v>180224</v>
      </c>
      <c r="AB650" s="423"/>
      <c r="AC650" s="394">
        <v>0</v>
      </c>
      <c r="AD650" s="421"/>
      <c r="AE650" s="413"/>
      <c r="AF650" s="462">
        <f t="shared" si="137"/>
        <v>180224</v>
      </c>
      <c r="AG650" s="405" t="s">
        <v>1069</v>
      </c>
      <c r="AH650" s="405"/>
      <c r="AI650" s="405">
        <v>60</v>
      </c>
      <c r="AJ650" s="406" t="s">
        <v>2361</v>
      </c>
      <c r="AK650" s="414" t="s">
        <v>1148</v>
      </c>
      <c r="AL650" s="414" t="s">
        <v>2362</v>
      </c>
      <c r="AM650" s="405" t="s">
        <v>52</v>
      </c>
      <c r="AN650" s="405" t="s">
        <v>1101</v>
      </c>
      <c r="AO650" s="405"/>
      <c r="AP650" s="413"/>
      <c r="AQ650" s="413" t="s">
        <v>37</v>
      </c>
      <c r="AR650" s="389" t="s">
        <v>1243</v>
      </c>
      <c r="AS650" s="386" t="s">
        <v>1073</v>
      </c>
      <c r="AT650" s="386" t="s">
        <v>1073</v>
      </c>
      <c r="AU650" s="409">
        <v>0.49</v>
      </c>
      <c r="AV650" s="402">
        <f t="shared" si="143"/>
        <v>49405140</v>
      </c>
      <c r="AW650" s="402" cm="1">
        <f t="array" ref="AW650">SUM(MID(0&amp;AV650,LARGE(INDEX(ISNUMBER(--MID(AV650,ROW($1:$8),1))*ROW($1:$8),),ROW($1:$8))+1,1)*10^ROW($1:$8)/10)</f>
        <v>49405140</v>
      </c>
      <c r="AX650" s="402" t="str">
        <f>VLOOKUP($AW650,'Item Master Data'!$A:$F,3,FALSE)</f>
        <v>Q.PEAK DUO BLK ML G10+</v>
      </c>
      <c r="AY650" s="402">
        <f>VLOOKUP($AW650,'Item Master Data'!$A:$F,6,FALSE)</f>
        <v>400</v>
      </c>
      <c r="AZ650" s="402">
        <f t="shared" si="144"/>
        <v>22</v>
      </c>
      <c r="BA650" s="402">
        <f>VLOOKUP(AW650,'Item Master Data'!$A:$G,7,FALSE)</f>
        <v>32</v>
      </c>
      <c r="BB650" s="402"/>
      <c r="BC650" s="402">
        <f t="shared" si="145"/>
        <v>0</v>
      </c>
    </row>
    <row r="651" spans="1:55">
      <c r="A651" s="403" t="s">
        <v>4584</v>
      </c>
      <c r="B651" s="399">
        <v>44665</v>
      </c>
      <c r="C651" s="399">
        <v>44665</v>
      </c>
      <c r="D651" s="405" t="s">
        <v>2330</v>
      </c>
      <c r="E651" s="393"/>
      <c r="F651" s="405" t="s">
        <v>1139</v>
      </c>
      <c r="G651" s="405">
        <v>2022</v>
      </c>
      <c r="H651" s="405">
        <v>5</v>
      </c>
      <c r="I651" s="405">
        <v>128511</v>
      </c>
      <c r="J651" s="418">
        <v>44684</v>
      </c>
      <c r="K651" s="414" t="s">
        <v>2398</v>
      </c>
      <c r="L651" s="405" t="s">
        <v>2013</v>
      </c>
      <c r="M651" s="406">
        <v>44487</v>
      </c>
      <c r="N651" s="406">
        <v>44621</v>
      </c>
      <c r="O651" s="406"/>
      <c r="P651" s="406">
        <v>44684</v>
      </c>
      <c r="Q651" s="406">
        <v>44684</v>
      </c>
      <c r="R651" s="406">
        <v>44686</v>
      </c>
      <c r="S651" s="405" t="s">
        <v>2332</v>
      </c>
      <c r="T651" s="405">
        <v>60</v>
      </c>
      <c r="U651" s="405" t="s">
        <v>1237</v>
      </c>
      <c r="V651" s="405" t="s">
        <v>973</v>
      </c>
      <c r="W651" s="405">
        <v>400</v>
      </c>
      <c r="X651" s="407">
        <v>768</v>
      </c>
      <c r="Y651" s="422">
        <f t="shared" si="142"/>
        <v>307200</v>
      </c>
      <c r="Z651" s="409">
        <v>0.55000000000000004</v>
      </c>
      <c r="AA651" s="423">
        <f t="shared" si="136"/>
        <v>168960</v>
      </c>
      <c r="AB651" s="423"/>
      <c r="AC651" s="394">
        <v>0</v>
      </c>
      <c r="AD651" s="421"/>
      <c r="AE651" s="413"/>
      <c r="AF651" s="462">
        <f t="shared" si="137"/>
        <v>168960</v>
      </c>
      <c r="AG651" s="405" t="s">
        <v>1069</v>
      </c>
      <c r="AH651" s="405"/>
      <c r="AI651" s="405">
        <v>60</v>
      </c>
      <c r="AJ651" s="406" t="s">
        <v>1956</v>
      </c>
      <c r="AK651" s="414" t="s">
        <v>1081</v>
      </c>
      <c r="AL651" s="414" t="s">
        <v>2392</v>
      </c>
      <c r="AM651" s="405" t="s">
        <v>52</v>
      </c>
      <c r="AN651" s="405" t="s">
        <v>1082</v>
      </c>
      <c r="AO651" s="405"/>
      <c r="AP651" s="413" t="s">
        <v>4346</v>
      </c>
      <c r="AQ651" s="413" t="s">
        <v>37</v>
      </c>
      <c r="AR651" s="389" t="s">
        <v>1686</v>
      </c>
      <c r="AS651" s="386"/>
      <c r="AT651" s="386"/>
      <c r="AU651" s="409">
        <v>0.49</v>
      </c>
      <c r="AV651" s="402" t="str">
        <f t="shared" si="143"/>
        <v>30390456H</v>
      </c>
      <c r="AW651" s="402" cm="1">
        <f t="array" ref="AW651">SUM(MID(0&amp;AV651,LARGE(INDEX(ISNUMBER(--MID(AV651,ROW($1:$8),1))*ROW($1:$8),),ROW($1:$8))+1,1)*10^ROW($1:$8)/10)</f>
        <v>30390456</v>
      </c>
      <c r="AX651" s="402" t="str">
        <f>VLOOKUP($AW651,'Item Master Data'!$A:$F,3,FALSE)</f>
        <v>Q.PEAK DUO BLK ML G10+</v>
      </c>
      <c r="AY651" s="402">
        <f>VLOOKUP($AW651,'Item Master Data'!$A:$F,6,FALSE)</f>
        <v>400</v>
      </c>
      <c r="AZ651" s="402">
        <f t="shared" si="144"/>
        <v>24</v>
      </c>
      <c r="BA651" s="402">
        <f>VLOOKUP(AW651,'Item Master Data'!$A:$G,7,FALSE)</f>
        <v>32</v>
      </c>
      <c r="BB651" s="402"/>
      <c r="BC651" s="402">
        <f t="shared" si="145"/>
        <v>0</v>
      </c>
    </row>
    <row r="652" spans="1:55">
      <c r="A652" s="403" t="s">
        <v>4584</v>
      </c>
      <c r="B652" s="399">
        <v>44690</v>
      </c>
      <c r="C652" s="399">
        <v>44690</v>
      </c>
      <c r="D652" s="405" t="s">
        <v>2330</v>
      </c>
      <c r="E652" s="393" t="s">
        <v>4882</v>
      </c>
      <c r="F652" s="405" t="s">
        <v>1139</v>
      </c>
      <c r="G652" s="405">
        <v>2022</v>
      </c>
      <c r="H652" s="405">
        <v>5</v>
      </c>
      <c r="I652" s="405"/>
      <c r="J652" s="456"/>
      <c r="K652" s="414" t="s">
        <v>2400</v>
      </c>
      <c r="L652" s="405" t="s">
        <v>2013</v>
      </c>
      <c r="M652" s="406">
        <v>44495</v>
      </c>
      <c r="N652" s="406">
        <v>44593</v>
      </c>
      <c r="O652" s="406"/>
      <c r="P652" s="406">
        <v>44690</v>
      </c>
      <c r="Q652" s="406"/>
      <c r="R652" s="406"/>
      <c r="S652" s="405" t="s">
        <v>2332</v>
      </c>
      <c r="T652" s="405">
        <v>60</v>
      </c>
      <c r="U652" s="405">
        <v>49405140</v>
      </c>
      <c r="V652" s="405" t="s">
        <v>973</v>
      </c>
      <c r="W652" s="405">
        <v>400</v>
      </c>
      <c r="X652" s="407">
        <v>1536</v>
      </c>
      <c r="Y652" s="422">
        <f t="shared" si="142"/>
        <v>614400</v>
      </c>
      <c r="Z652" s="409">
        <v>0.55000000000000004</v>
      </c>
      <c r="AA652" s="423">
        <f t="shared" si="136"/>
        <v>337920</v>
      </c>
      <c r="AB652" s="423"/>
      <c r="AC652" s="394">
        <v>0</v>
      </c>
      <c r="AD652" s="421"/>
      <c r="AE652" s="413"/>
      <c r="AF652" s="462">
        <f t="shared" si="137"/>
        <v>337920</v>
      </c>
      <c r="AG652" s="405" t="s">
        <v>1069</v>
      </c>
      <c r="AH652" s="405"/>
      <c r="AI652" s="405">
        <v>60</v>
      </c>
      <c r="AJ652" s="406" t="s">
        <v>2014</v>
      </c>
      <c r="AK652" s="414" t="s">
        <v>1081</v>
      </c>
      <c r="AL652" s="414" t="s">
        <v>2015</v>
      </c>
      <c r="AM652" s="405" t="s">
        <v>52</v>
      </c>
      <c r="AN652" s="405" t="s">
        <v>1101</v>
      </c>
      <c r="AO652" s="405"/>
      <c r="AP652" s="413"/>
      <c r="AQ652" s="413" t="s">
        <v>37</v>
      </c>
      <c r="AR652" s="389" t="s">
        <v>1499</v>
      </c>
      <c r="AS652" s="386" t="s">
        <v>1073</v>
      </c>
      <c r="AT652" s="386" t="s">
        <v>1073</v>
      </c>
      <c r="AU652" s="409">
        <v>0.45500000000000002</v>
      </c>
      <c r="AV652" s="402"/>
      <c r="AW652" s="402"/>
      <c r="AX652" s="402"/>
      <c r="AY652" s="402"/>
      <c r="AZ652" s="402"/>
      <c r="BA652" s="402"/>
      <c r="BB652" s="402"/>
      <c r="BC652" s="402"/>
    </row>
    <row r="653" spans="1:55">
      <c r="A653" s="403" t="s">
        <v>4585</v>
      </c>
      <c r="B653" s="399">
        <v>44630</v>
      </c>
      <c r="C653" s="399">
        <v>44630</v>
      </c>
      <c r="D653" s="405" t="s">
        <v>2330</v>
      </c>
      <c r="E653" s="393" t="s">
        <v>4881</v>
      </c>
      <c r="F653" s="405" t="s">
        <v>1139</v>
      </c>
      <c r="G653" s="405">
        <v>2022</v>
      </c>
      <c r="H653" s="405">
        <v>5</v>
      </c>
      <c r="I653" s="405"/>
      <c r="J653" s="456"/>
      <c r="K653" s="414" t="s">
        <v>4713</v>
      </c>
      <c r="L653" s="405" t="s">
        <v>2013</v>
      </c>
      <c r="M653" s="406">
        <v>44483</v>
      </c>
      <c r="N653" s="406">
        <v>44621</v>
      </c>
      <c r="O653" s="406"/>
      <c r="P653" s="406"/>
      <c r="Q653" s="406" t="s">
        <v>4598</v>
      </c>
      <c r="R653" s="406"/>
      <c r="S653" s="405" t="s">
        <v>2332</v>
      </c>
      <c r="T653" s="405">
        <v>60</v>
      </c>
      <c r="U653" s="405">
        <v>49203132</v>
      </c>
      <c r="V653" s="405" t="s">
        <v>986</v>
      </c>
      <c r="W653" s="405">
        <v>360</v>
      </c>
      <c r="X653" s="407">
        <f>3840-1536</f>
        <v>2304</v>
      </c>
      <c r="Y653" s="422">
        <f t="shared" si="142"/>
        <v>829440</v>
      </c>
      <c r="Z653" s="409">
        <v>0.62</v>
      </c>
      <c r="AA653" s="423">
        <f t="shared" si="136"/>
        <v>514252.79999999999</v>
      </c>
      <c r="AB653" s="423"/>
      <c r="AC653" s="394">
        <v>0</v>
      </c>
      <c r="AD653" s="421"/>
      <c r="AE653" s="413"/>
      <c r="AF653" s="462">
        <f t="shared" si="137"/>
        <v>514252.79999999999</v>
      </c>
      <c r="AG653" s="405" t="s">
        <v>1069</v>
      </c>
      <c r="AH653" s="405"/>
      <c r="AI653" s="405">
        <v>60</v>
      </c>
      <c r="AJ653" s="406" t="s">
        <v>2014</v>
      </c>
      <c r="AK653" s="414" t="s">
        <v>1081</v>
      </c>
      <c r="AL653" s="414" t="s">
        <v>2015</v>
      </c>
      <c r="AM653" s="405" t="s">
        <v>52</v>
      </c>
      <c r="AN653" s="405" t="s">
        <v>1101</v>
      </c>
      <c r="AO653" s="405"/>
      <c r="AP653" s="413"/>
      <c r="AQ653" s="413" t="s">
        <v>37</v>
      </c>
      <c r="AR653" s="389"/>
      <c r="AS653" s="386"/>
      <c r="AT653" s="386"/>
      <c r="AU653" s="409"/>
      <c r="AV653" s="402">
        <f t="shared" ref="AV653:AV661" si="146">U653</f>
        <v>49203132</v>
      </c>
      <c r="AW653" s="402" cm="1">
        <f t="array" ref="AW653">SUM(MID(0&amp;AV653,LARGE(INDEX(ISNUMBER(--MID(AV653,ROW($1:$8),1))*ROW($1:$8),),ROW($1:$8))+1,1)*10^ROW($1:$8)/10)</f>
        <v>49203132</v>
      </c>
      <c r="AX653" s="402" t="str">
        <f>VLOOKUP($AW653,'Item Master Data'!$A:$F,3,FALSE)</f>
        <v>Q.PEAK DUO BLK G10+</v>
      </c>
      <c r="AY653" s="402">
        <f>VLOOKUP($AW653,'Item Master Data'!$A:$F,6,FALSE)</f>
        <v>360</v>
      </c>
      <c r="AZ653" s="402">
        <f t="shared" ref="AZ653:AZ661" si="147">X653/BA653</f>
        <v>72</v>
      </c>
      <c r="BA653" s="402">
        <f>VLOOKUP(AW653,'Item Master Data'!$A:$G,7,FALSE)</f>
        <v>32</v>
      </c>
      <c r="BB653" s="402"/>
      <c r="BC653" s="402">
        <f t="shared" ref="BC653:BC661" si="148">W653-AY653</f>
        <v>0</v>
      </c>
    </row>
    <row r="654" spans="1:55">
      <c r="A654" s="403" t="s">
        <v>4584</v>
      </c>
      <c r="B654" s="399">
        <v>44690</v>
      </c>
      <c r="C654" s="399">
        <v>44690</v>
      </c>
      <c r="D654" s="405" t="s">
        <v>2330</v>
      </c>
      <c r="E654" s="393" t="s">
        <v>4880</v>
      </c>
      <c r="F654" s="405" t="s">
        <v>1139</v>
      </c>
      <c r="G654" s="405">
        <v>2022</v>
      </c>
      <c r="H654" s="405">
        <v>5</v>
      </c>
      <c r="I654" s="405"/>
      <c r="J654" s="456"/>
      <c r="K654" s="414" t="s">
        <v>2402</v>
      </c>
      <c r="L654" s="405" t="s">
        <v>2013</v>
      </c>
      <c r="M654" s="406">
        <v>44495</v>
      </c>
      <c r="N654" s="406">
        <v>44621</v>
      </c>
      <c r="O654" s="406"/>
      <c r="P654" s="406">
        <v>44690</v>
      </c>
      <c r="Q654" s="406"/>
      <c r="R654" s="406"/>
      <c r="S654" s="405" t="s">
        <v>2332</v>
      </c>
      <c r="T654" s="405">
        <v>60</v>
      </c>
      <c r="U654" s="405">
        <v>49405140</v>
      </c>
      <c r="V654" s="405" t="s">
        <v>973</v>
      </c>
      <c r="W654" s="405">
        <v>400</v>
      </c>
      <c r="X654" s="407">
        <v>4928</v>
      </c>
      <c r="Y654" s="422">
        <f t="shared" si="142"/>
        <v>1971200</v>
      </c>
      <c r="Z654" s="409">
        <v>0.55000000000000004</v>
      </c>
      <c r="AA654" s="423">
        <f t="shared" si="136"/>
        <v>1084160</v>
      </c>
      <c r="AB654" s="423"/>
      <c r="AC654" s="394">
        <v>0</v>
      </c>
      <c r="AD654" s="421"/>
      <c r="AE654" s="413"/>
      <c r="AF654" s="462">
        <f t="shared" si="137"/>
        <v>1084160</v>
      </c>
      <c r="AG654" s="405" t="s">
        <v>1069</v>
      </c>
      <c r="AH654" s="405"/>
      <c r="AI654" s="405">
        <v>60</v>
      </c>
      <c r="AJ654" s="406" t="s">
        <v>2014</v>
      </c>
      <c r="AK654" s="414" t="s">
        <v>1081</v>
      </c>
      <c r="AL654" s="414" t="s">
        <v>2015</v>
      </c>
      <c r="AM654" s="405" t="s">
        <v>52</v>
      </c>
      <c r="AN654" s="405" t="s">
        <v>1101</v>
      </c>
      <c r="AO654" s="405"/>
      <c r="AP654" s="413"/>
      <c r="AQ654" s="413" t="s">
        <v>37</v>
      </c>
      <c r="AR654" s="389" t="s">
        <v>1499</v>
      </c>
      <c r="AS654" s="386" t="s">
        <v>1073</v>
      </c>
      <c r="AT654" s="386" t="s">
        <v>1073</v>
      </c>
      <c r="AU654" s="409">
        <v>0.45500000000000002</v>
      </c>
      <c r="AV654" s="402">
        <f t="shared" si="146"/>
        <v>49405140</v>
      </c>
      <c r="AW654" s="402" cm="1">
        <f t="array" ref="AW654">SUM(MID(0&amp;AV654,LARGE(INDEX(ISNUMBER(--MID(AV654,ROW($1:$8),1))*ROW($1:$8),),ROW($1:$8))+1,1)*10^ROW($1:$8)/10)</f>
        <v>49405140</v>
      </c>
      <c r="AX654" s="402" t="str">
        <f>VLOOKUP($AW654,'Item Master Data'!$A:$F,3,FALSE)</f>
        <v>Q.PEAK DUO BLK ML G10+</v>
      </c>
      <c r="AY654" s="402">
        <f>VLOOKUP($AW654,'Item Master Data'!$A:$F,6,FALSE)</f>
        <v>400</v>
      </c>
      <c r="AZ654" s="402">
        <f t="shared" si="147"/>
        <v>154</v>
      </c>
      <c r="BA654" s="402">
        <f>VLOOKUP(AW654,'Item Master Data'!$A:$G,7,FALSE)</f>
        <v>32</v>
      </c>
      <c r="BB654" s="402"/>
      <c r="BC654" s="402">
        <f t="shared" si="148"/>
        <v>0</v>
      </c>
    </row>
    <row r="655" spans="1:55">
      <c r="A655" s="403" t="s">
        <v>4584</v>
      </c>
      <c r="B655" s="397"/>
      <c r="C655" s="397"/>
      <c r="D655" s="405" t="s">
        <v>2330</v>
      </c>
      <c r="E655" s="393"/>
      <c r="F655" s="405" t="s">
        <v>1139</v>
      </c>
      <c r="G655" s="405">
        <v>2022</v>
      </c>
      <c r="H655" s="405">
        <v>5</v>
      </c>
      <c r="I655" s="405">
        <v>128556</v>
      </c>
      <c r="J655" s="418">
        <v>44684</v>
      </c>
      <c r="K655" s="405" t="s">
        <v>2437</v>
      </c>
      <c r="L655" s="405" t="s">
        <v>2013</v>
      </c>
      <c r="M655" s="406">
        <v>44566</v>
      </c>
      <c r="N655" s="406">
        <v>44656</v>
      </c>
      <c r="O655" s="406"/>
      <c r="P655" s="406">
        <v>44662</v>
      </c>
      <c r="Q655" s="406">
        <v>44684</v>
      </c>
      <c r="R655" s="406">
        <v>44685</v>
      </c>
      <c r="S655" s="405" t="s">
        <v>2332</v>
      </c>
      <c r="T655" s="405">
        <v>60</v>
      </c>
      <c r="U655" s="405">
        <v>49204132</v>
      </c>
      <c r="V655" s="405" t="s">
        <v>1192</v>
      </c>
      <c r="W655" s="405">
        <v>360</v>
      </c>
      <c r="X655" s="407">
        <v>728</v>
      </c>
      <c r="Y655" s="422">
        <f>W655*X655</f>
        <v>262080</v>
      </c>
      <c r="Z655" s="409">
        <v>0.73</v>
      </c>
      <c r="AA655" s="423">
        <f t="shared" si="136"/>
        <v>191318.39999999999</v>
      </c>
      <c r="AB655" s="423"/>
      <c r="AC655" s="394">
        <v>0</v>
      </c>
      <c r="AD655" s="421"/>
      <c r="AE655" s="413"/>
      <c r="AF655" s="462">
        <f t="shared" si="137"/>
        <v>191318.39999999999</v>
      </c>
      <c r="AG655" s="405" t="s">
        <v>1069</v>
      </c>
      <c r="AH655" s="405"/>
      <c r="AI655" s="405">
        <v>60</v>
      </c>
      <c r="AJ655" s="415" t="s">
        <v>1981</v>
      </c>
      <c r="AK655" s="405" t="s">
        <v>1081</v>
      </c>
      <c r="AL655" s="414" t="s">
        <v>2333</v>
      </c>
      <c r="AM655" s="405" t="s">
        <v>52</v>
      </c>
      <c r="AN655" s="405" t="s">
        <v>1101</v>
      </c>
      <c r="AO655" s="405"/>
      <c r="AP655" s="413"/>
      <c r="AQ655" s="413" t="s">
        <v>37</v>
      </c>
      <c r="AR655" s="413" t="s">
        <v>2395</v>
      </c>
      <c r="AS655" s="386" t="s">
        <v>1073</v>
      </c>
      <c r="AT655" s="386" t="s">
        <v>1073</v>
      </c>
      <c r="AU655" s="409">
        <v>0.73</v>
      </c>
      <c r="AV655" s="402">
        <f t="shared" si="146"/>
        <v>49204132</v>
      </c>
      <c r="AW655" s="402" cm="1">
        <f t="array" ref="AW655">SUM(MID(0&amp;AV655,LARGE(INDEX(ISNUMBER(--MID(AV655,ROW($1:$8),1))*ROW($1:$8),),ROW($1:$8))+1,1)*10^ROW($1:$8)/10)</f>
        <v>49204132</v>
      </c>
      <c r="AX655" s="402" t="str">
        <f>VLOOKUP($AW655,'Item Master Data'!$A:$F,3,FALSE)</f>
        <v>Q.PEAK DUO BLK G10+/AC</v>
      </c>
      <c r="AY655" s="402">
        <f>VLOOKUP($AW655,'Item Master Data'!$A:$F,6,FALSE)</f>
        <v>360</v>
      </c>
      <c r="AZ655" s="402">
        <f t="shared" si="147"/>
        <v>28</v>
      </c>
      <c r="BA655" s="402">
        <f>VLOOKUP(AW655,'Item Master Data'!$A:$G,7,FALSE)</f>
        <v>26</v>
      </c>
      <c r="BB655" s="402"/>
      <c r="BC655" s="402">
        <f t="shared" si="148"/>
        <v>0</v>
      </c>
    </row>
    <row r="656" spans="1:55">
      <c r="A656" s="403" t="s">
        <v>4585</v>
      </c>
      <c r="B656" s="399"/>
      <c r="C656" s="399"/>
      <c r="D656" s="405" t="s">
        <v>2330</v>
      </c>
      <c r="E656" s="393" t="s">
        <v>4883</v>
      </c>
      <c r="F656" s="405" t="s">
        <v>1139</v>
      </c>
      <c r="G656" s="405">
        <v>2022</v>
      </c>
      <c r="H656" s="405">
        <v>5</v>
      </c>
      <c r="I656" s="405"/>
      <c r="J656" s="456"/>
      <c r="K656" s="414" t="s">
        <v>2401</v>
      </c>
      <c r="L656" s="405" t="s">
        <v>2013</v>
      </c>
      <c r="M656" s="406">
        <v>44495</v>
      </c>
      <c r="N656" s="406">
        <v>44593</v>
      </c>
      <c r="O656" s="406"/>
      <c r="P656" s="406"/>
      <c r="Q656" s="406" t="s">
        <v>4598</v>
      </c>
      <c r="R656" s="406"/>
      <c r="S656" s="405" t="s">
        <v>2332</v>
      </c>
      <c r="T656" s="405">
        <v>60</v>
      </c>
      <c r="U656" s="405">
        <v>49405140</v>
      </c>
      <c r="V656" s="405" t="s">
        <v>973</v>
      </c>
      <c r="W656" s="405">
        <v>400</v>
      </c>
      <c r="X656" s="407">
        <f>7680-768</f>
        <v>6912</v>
      </c>
      <c r="Y656" s="422">
        <f>X656*W656</f>
        <v>2764800</v>
      </c>
      <c r="Z656" s="409">
        <v>0.64</v>
      </c>
      <c r="AA656" s="423">
        <f t="shared" si="136"/>
        <v>1769472</v>
      </c>
      <c r="AB656" s="423"/>
      <c r="AC656" s="394">
        <v>0</v>
      </c>
      <c r="AD656" s="421"/>
      <c r="AE656" s="413"/>
      <c r="AF656" s="462">
        <f t="shared" si="137"/>
        <v>1769472</v>
      </c>
      <c r="AG656" s="405" t="s">
        <v>1069</v>
      </c>
      <c r="AH656" s="405"/>
      <c r="AI656" s="405">
        <v>60</v>
      </c>
      <c r="AJ656" s="406" t="s">
        <v>2014</v>
      </c>
      <c r="AK656" s="414" t="s">
        <v>1081</v>
      </c>
      <c r="AL656" s="414" t="s">
        <v>2015</v>
      </c>
      <c r="AM656" s="405" t="s">
        <v>52</v>
      </c>
      <c r="AN656" s="405" t="s">
        <v>1101</v>
      </c>
      <c r="AO656" s="405"/>
      <c r="AP656" s="413"/>
      <c r="AQ656" s="413" t="s">
        <v>37</v>
      </c>
      <c r="AR656" s="389" t="s">
        <v>1499</v>
      </c>
      <c r="AS656" s="386" t="s">
        <v>1073</v>
      </c>
      <c r="AT656" s="386" t="s">
        <v>1073</v>
      </c>
      <c r="AU656" s="409">
        <v>0.45500000000000002</v>
      </c>
      <c r="AV656" s="402">
        <f t="shared" si="146"/>
        <v>49405140</v>
      </c>
      <c r="AW656" s="402" cm="1">
        <f t="array" ref="AW656">SUM(MID(0&amp;AV656,LARGE(INDEX(ISNUMBER(--MID(AV656,ROW($1:$8),1))*ROW($1:$8),),ROW($1:$8))+1,1)*10^ROW($1:$8)/10)</f>
        <v>49405140</v>
      </c>
      <c r="AX656" s="402" t="str">
        <f>VLOOKUP($AW656,'Item Master Data'!$A:$F,3,FALSE)</f>
        <v>Q.PEAK DUO BLK ML G10+</v>
      </c>
      <c r="AY656" s="402">
        <f>VLOOKUP($AW656,'Item Master Data'!$A:$F,6,FALSE)</f>
        <v>400</v>
      </c>
      <c r="AZ656" s="402">
        <f t="shared" si="147"/>
        <v>216</v>
      </c>
      <c r="BA656" s="402">
        <f>VLOOKUP(AW656,'Item Master Data'!$A:$G,7,FALSE)</f>
        <v>32</v>
      </c>
      <c r="BB656" s="402"/>
      <c r="BC656" s="402">
        <f t="shared" si="148"/>
        <v>0</v>
      </c>
    </row>
    <row r="657" spans="1:55">
      <c r="A657" s="403" t="s">
        <v>4585</v>
      </c>
      <c r="B657" s="397"/>
      <c r="C657" s="397"/>
      <c r="D657" s="405" t="s">
        <v>2330</v>
      </c>
      <c r="E657" s="393" t="s">
        <v>4884</v>
      </c>
      <c r="F657" s="405" t="s">
        <v>1139</v>
      </c>
      <c r="G657" s="405">
        <v>2022</v>
      </c>
      <c r="H657" s="405">
        <v>5</v>
      </c>
      <c r="I657" s="405"/>
      <c r="J657" s="456"/>
      <c r="K657" s="405" t="s">
        <v>2405</v>
      </c>
      <c r="L657" s="405" t="s">
        <v>2013</v>
      </c>
      <c r="M657" s="406">
        <v>44566</v>
      </c>
      <c r="N657" s="406">
        <v>44691</v>
      </c>
      <c r="O657" s="406"/>
      <c r="P657" s="406"/>
      <c r="Q657" s="406" t="s">
        <v>4598</v>
      </c>
      <c r="R657" s="406"/>
      <c r="S657" s="405" t="s">
        <v>2332</v>
      </c>
      <c r="T657" s="405">
        <v>60</v>
      </c>
      <c r="U657" s="405">
        <v>49202132</v>
      </c>
      <c r="V657" s="405" t="s">
        <v>1192</v>
      </c>
      <c r="W657" s="405">
        <v>360</v>
      </c>
      <c r="X657" s="407">
        <v>2496</v>
      </c>
      <c r="Y657" s="422">
        <f>W657*X657</f>
        <v>898560</v>
      </c>
      <c r="Z657" s="409">
        <v>0.9</v>
      </c>
      <c r="AA657" s="423">
        <f t="shared" si="136"/>
        <v>808704</v>
      </c>
      <c r="AB657" s="423"/>
      <c r="AC657" s="394">
        <v>0</v>
      </c>
      <c r="AD657" s="421"/>
      <c r="AE657" s="413"/>
      <c r="AF657" s="462">
        <f t="shared" si="137"/>
        <v>808704</v>
      </c>
      <c r="AG657" s="405" t="s">
        <v>1069</v>
      </c>
      <c r="AH657" s="405"/>
      <c r="AI657" s="405">
        <v>60</v>
      </c>
      <c r="AJ657" s="415" t="s">
        <v>2014</v>
      </c>
      <c r="AK657" s="405" t="s">
        <v>1081</v>
      </c>
      <c r="AL657" s="414" t="s">
        <v>2015</v>
      </c>
      <c r="AM657" s="405" t="s">
        <v>52</v>
      </c>
      <c r="AN657" s="405" t="s">
        <v>1101</v>
      </c>
      <c r="AO657" s="405"/>
      <c r="AP657" s="413"/>
      <c r="AQ657" s="413" t="s">
        <v>37</v>
      </c>
      <c r="AR657" s="413" t="s">
        <v>2395</v>
      </c>
      <c r="AS657" s="386" t="s">
        <v>1073</v>
      </c>
      <c r="AT657" s="386" t="s">
        <v>1073</v>
      </c>
      <c r="AU657" s="409">
        <v>0.73</v>
      </c>
      <c r="AV657" s="402">
        <f t="shared" si="146"/>
        <v>49202132</v>
      </c>
      <c r="AW657" s="402" cm="1">
        <f t="array" ref="AW657">SUM(MID(0&amp;AV657,LARGE(INDEX(ISNUMBER(--MID(AV657,ROW($1:$8),1))*ROW($1:$8),),ROW($1:$8))+1,1)*10^ROW($1:$8)/10)</f>
        <v>49202132</v>
      </c>
      <c r="AX657" s="402" t="str">
        <f>VLOOKUP($AW657,'Item Master Data'!$A:$F,3,FALSE)</f>
        <v>Q.PEAK DUO BLK G10+/AC</v>
      </c>
      <c r="AY657" s="402">
        <f>VLOOKUP($AW657,'Item Master Data'!$A:$F,6,FALSE)</f>
        <v>360</v>
      </c>
      <c r="AZ657" s="402">
        <f t="shared" si="147"/>
        <v>96</v>
      </c>
      <c r="BA657" s="402">
        <f>VLOOKUP(AW657,'Item Master Data'!$A:$G,7,FALSE)</f>
        <v>26</v>
      </c>
      <c r="BB657" s="402"/>
      <c r="BC657" s="402">
        <f t="shared" si="148"/>
        <v>0</v>
      </c>
    </row>
    <row r="658" spans="1:55">
      <c r="A658" s="403"/>
      <c r="B658" s="397"/>
      <c r="C658" s="397">
        <v>44671</v>
      </c>
      <c r="D658" s="405" t="s">
        <v>2330</v>
      </c>
      <c r="E658" s="405" t="s">
        <v>4885</v>
      </c>
      <c r="F658" s="405" t="s">
        <v>1139</v>
      </c>
      <c r="G658" s="405">
        <v>2022</v>
      </c>
      <c r="H658" s="405">
        <v>5</v>
      </c>
      <c r="I658" s="405"/>
      <c r="J658" s="406"/>
      <c r="K658" s="405" t="s">
        <v>4842</v>
      </c>
      <c r="L658" s="405" t="s">
        <v>2381</v>
      </c>
      <c r="M658" s="406">
        <v>44671</v>
      </c>
      <c r="N658" s="406">
        <v>44717</v>
      </c>
      <c r="O658" s="406"/>
      <c r="P658" s="406">
        <v>44693</v>
      </c>
      <c r="Q658" s="406"/>
      <c r="R658" s="406"/>
      <c r="S658" s="405" t="s">
        <v>2332</v>
      </c>
      <c r="T658" s="405">
        <v>72</v>
      </c>
      <c r="U658" s="405">
        <v>49303156</v>
      </c>
      <c r="V658" s="405" t="s">
        <v>4215</v>
      </c>
      <c r="W658" s="405">
        <v>480</v>
      </c>
      <c r="X658" s="382">
        <v>1160</v>
      </c>
      <c r="Y658" s="422">
        <f>X658*W658</f>
        <v>556800</v>
      </c>
      <c r="Z658" s="409">
        <v>0.56000000000000005</v>
      </c>
      <c r="AA658" s="423">
        <f t="shared" si="136"/>
        <v>311808.00000000006</v>
      </c>
      <c r="AB658" s="423"/>
      <c r="AC658" s="394">
        <v>0</v>
      </c>
      <c r="AD658" s="421"/>
      <c r="AE658" s="387"/>
      <c r="AF658" s="462">
        <f t="shared" si="137"/>
        <v>311808.00000000006</v>
      </c>
      <c r="AG658" s="405" t="s">
        <v>47</v>
      </c>
      <c r="AH658" s="388"/>
      <c r="AI658" s="405">
        <v>60</v>
      </c>
      <c r="AJ658" s="415" t="s">
        <v>1080</v>
      </c>
      <c r="AK658" s="405" t="s">
        <v>1081</v>
      </c>
      <c r="AL658" s="414" t="s">
        <v>2382</v>
      </c>
      <c r="AM658" s="405" t="s">
        <v>52</v>
      </c>
      <c r="AN658" s="405" t="s">
        <v>1101</v>
      </c>
      <c r="AO658" s="405"/>
      <c r="AP658" s="413"/>
      <c r="AQ658" s="389" t="s">
        <v>37</v>
      </c>
      <c r="AR658" s="389" t="s">
        <v>2352</v>
      </c>
      <c r="AS658" s="404" t="s">
        <v>1084</v>
      </c>
      <c r="AT658" s="404" t="s">
        <v>1073</v>
      </c>
      <c r="AU658" s="409">
        <v>0.5</v>
      </c>
      <c r="AV658" s="402">
        <f t="shared" si="146"/>
        <v>49303156</v>
      </c>
      <c r="AW658" s="402" cm="1">
        <f t="array" ref="AW658">SUM(MID(0&amp;AV658,LARGE(INDEX(ISNUMBER(--MID(AV658,ROW($1:$8),1))*ROW($1:$8),),ROW($1:$8))+1,1)*10^ROW($1:$8)/10)</f>
        <v>49303156</v>
      </c>
      <c r="AX658" s="402" t="str">
        <f>VLOOKUP($AW658,'Item Master Data'!$A:$F,3,FALSE)</f>
        <v>Q.PEAK DUO XL G10 BFG</v>
      </c>
      <c r="AY658" s="402">
        <f>VLOOKUP($AW658,'Item Master Data'!$A:$F,6,FALSE)</f>
        <v>480</v>
      </c>
      <c r="AZ658" s="402">
        <f t="shared" si="147"/>
        <v>40</v>
      </c>
      <c r="BA658" s="402">
        <f>VLOOKUP(AW658,'Item Master Data'!$A:$G,7,FALSE)</f>
        <v>29</v>
      </c>
      <c r="BB658" s="402"/>
      <c r="BC658" s="402">
        <f t="shared" si="148"/>
        <v>0</v>
      </c>
    </row>
    <row r="659" spans="1:55">
      <c r="A659" s="403"/>
      <c r="B659" s="399">
        <v>44662</v>
      </c>
      <c r="C659" s="399">
        <v>44663</v>
      </c>
      <c r="D659" s="405" t="s">
        <v>2330</v>
      </c>
      <c r="E659" s="393" t="s">
        <v>4546</v>
      </c>
      <c r="F659" s="405" t="s">
        <v>1139</v>
      </c>
      <c r="G659" s="405">
        <v>2022</v>
      </c>
      <c r="H659" s="405">
        <v>5</v>
      </c>
      <c r="I659" s="405" t="s">
        <v>2393</v>
      </c>
      <c r="J659" s="456">
        <v>44683</v>
      </c>
      <c r="K659" s="414" t="s">
        <v>2422</v>
      </c>
      <c r="L659" s="405" t="s">
        <v>2408</v>
      </c>
      <c r="M659" s="406">
        <v>44524</v>
      </c>
      <c r="N659" s="406">
        <v>44620</v>
      </c>
      <c r="O659" s="406">
        <v>44679</v>
      </c>
      <c r="P659" s="406">
        <v>44663</v>
      </c>
      <c r="Q659" s="406">
        <v>44680</v>
      </c>
      <c r="R659" s="406">
        <v>44683</v>
      </c>
      <c r="S659" s="405" t="s">
        <v>2332</v>
      </c>
      <c r="T659" s="405">
        <v>60</v>
      </c>
      <c r="U659" s="405">
        <v>49405140</v>
      </c>
      <c r="V659" s="405" t="s">
        <v>973</v>
      </c>
      <c r="W659" s="405">
        <v>400</v>
      </c>
      <c r="X659" s="407">
        <v>768</v>
      </c>
      <c r="Y659" s="422">
        <f>X659*W659</f>
        <v>307200</v>
      </c>
      <c r="Z659" s="409">
        <v>0.46500000000000002</v>
      </c>
      <c r="AA659" s="423">
        <f t="shared" si="136"/>
        <v>142848</v>
      </c>
      <c r="AB659" s="423"/>
      <c r="AC659" s="394">
        <v>0</v>
      </c>
      <c r="AD659" s="421"/>
      <c r="AE659" s="413"/>
      <c r="AF659" s="462">
        <f t="shared" si="137"/>
        <v>142848</v>
      </c>
      <c r="AG659" s="405" t="s">
        <v>47</v>
      </c>
      <c r="AH659" s="405"/>
      <c r="AI659" s="405">
        <v>60</v>
      </c>
      <c r="AJ659" s="406" t="s">
        <v>2413</v>
      </c>
      <c r="AK659" s="414" t="s">
        <v>1071</v>
      </c>
      <c r="AL659" s="414" t="s">
        <v>2414</v>
      </c>
      <c r="AM659" s="405" t="s">
        <v>52</v>
      </c>
      <c r="AN659" s="405" t="s">
        <v>1101</v>
      </c>
      <c r="AO659" s="405"/>
      <c r="AP659" s="413"/>
      <c r="AQ659" s="413" t="s">
        <v>37</v>
      </c>
      <c r="AR659" s="389"/>
      <c r="AS659" s="386" t="s">
        <v>1073</v>
      </c>
      <c r="AT659" s="386" t="s">
        <v>1073</v>
      </c>
      <c r="AU659" s="409"/>
      <c r="AV659" s="402">
        <f t="shared" si="146"/>
        <v>49405140</v>
      </c>
      <c r="AW659" s="402" cm="1">
        <f t="array" ref="AW659">SUM(MID(0&amp;AV659,LARGE(INDEX(ISNUMBER(--MID(AV659,ROW($1:$8),1))*ROW($1:$8),),ROW($1:$8))+1,1)*10^ROW($1:$8)/10)</f>
        <v>49405140</v>
      </c>
      <c r="AX659" s="402" t="str">
        <f>VLOOKUP($AW659,'Item Master Data'!$A:$F,3,FALSE)</f>
        <v>Q.PEAK DUO BLK ML G10+</v>
      </c>
      <c r="AY659" s="402">
        <f>VLOOKUP($AW659,'Item Master Data'!$A:$F,6,FALSE)</f>
        <v>400</v>
      </c>
      <c r="AZ659" s="402">
        <f t="shared" si="147"/>
        <v>24</v>
      </c>
      <c r="BA659" s="402">
        <f>VLOOKUP(AW659,'Item Master Data'!$A:$G,7,FALSE)</f>
        <v>32</v>
      </c>
      <c r="BB659" s="402"/>
      <c r="BC659" s="402">
        <f t="shared" si="148"/>
        <v>0</v>
      </c>
    </row>
    <row r="660" spans="1:55">
      <c r="A660" s="403" t="s">
        <v>4584</v>
      </c>
      <c r="B660" s="399">
        <v>44669</v>
      </c>
      <c r="C660" s="399">
        <v>44669</v>
      </c>
      <c r="D660" s="405" t="s">
        <v>2330</v>
      </c>
      <c r="E660" s="393" t="s">
        <v>4882</v>
      </c>
      <c r="F660" s="405" t="s">
        <v>1139</v>
      </c>
      <c r="G660" s="405">
        <v>2022</v>
      </c>
      <c r="H660" s="405">
        <v>5</v>
      </c>
      <c r="I660" s="405"/>
      <c r="J660" s="456"/>
      <c r="K660" s="414" t="s">
        <v>4716</v>
      </c>
      <c r="L660" s="405" t="s">
        <v>2438</v>
      </c>
      <c r="M660" s="406">
        <v>44505</v>
      </c>
      <c r="N660" s="406">
        <v>44594</v>
      </c>
      <c r="O660" s="406">
        <v>44621</v>
      </c>
      <c r="P660" s="406">
        <v>44691</v>
      </c>
      <c r="Q660" s="406"/>
      <c r="R660" s="406"/>
      <c r="S660" s="405" t="s">
        <v>2332</v>
      </c>
      <c r="T660" s="405">
        <v>60</v>
      </c>
      <c r="U660" s="405">
        <v>49202132</v>
      </c>
      <c r="V660" s="405" t="s">
        <v>1192</v>
      </c>
      <c r="W660" s="405">
        <v>360</v>
      </c>
      <c r="X660" s="407">
        <v>728</v>
      </c>
      <c r="Y660" s="422">
        <f>X660*W660</f>
        <v>262080</v>
      </c>
      <c r="Z660" s="409">
        <v>0.83</v>
      </c>
      <c r="AA660" s="423">
        <f t="shared" si="136"/>
        <v>217526.39999999999</v>
      </c>
      <c r="AB660" s="423"/>
      <c r="AC660" s="394">
        <v>0</v>
      </c>
      <c r="AD660" s="421"/>
      <c r="AE660" s="413"/>
      <c r="AF660" s="462">
        <f t="shared" si="137"/>
        <v>217526.39999999999</v>
      </c>
      <c r="AG660" s="405" t="s">
        <v>1069</v>
      </c>
      <c r="AH660" s="405"/>
      <c r="AI660" s="405">
        <v>60</v>
      </c>
      <c r="AJ660" s="406" t="s">
        <v>2439</v>
      </c>
      <c r="AK660" s="414" t="s">
        <v>1081</v>
      </c>
      <c r="AL660" s="414" t="s">
        <v>2440</v>
      </c>
      <c r="AM660" s="405" t="s">
        <v>52</v>
      </c>
      <c r="AN660" s="405" t="s">
        <v>1101</v>
      </c>
      <c r="AO660" s="405"/>
      <c r="AP660" s="413"/>
      <c r="AQ660" s="413" t="s">
        <v>37</v>
      </c>
      <c r="AR660" s="389"/>
      <c r="AS660" s="386" t="s">
        <v>1073</v>
      </c>
      <c r="AT660" s="386" t="s">
        <v>1073</v>
      </c>
      <c r="AU660" s="409"/>
      <c r="AV660" s="402">
        <f t="shared" si="146"/>
        <v>49202132</v>
      </c>
      <c r="AW660" s="402" cm="1">
        <f t="array" ref="AW660">SUM(MID(0&amp;AV660,LARGE(INDEX(ISNUMBER(--MID(AV660,ROW($1:$8),1))*ROW($1:$8),),ROW($1:$8))+1,1)*10^ROW($1:$8)/10)</f>
        <v>49202132</v>
      </c>
      <c r="AX660" s="402" t="str">
        <f>VLOOKUP($AW660,'Item Master Data'!$A:$F,3,FALSE)</f>
        <v>Q.PEAK DUO BLK G10+/AC</v>
      </c>
      <c r="AY660" s="402">
        <f>VLOOKUP($AW660,'Item Master Data'!$A:$F,6,FALSE)</f>
        <v>360</v>
      </c>
      <c r="AZ660" s="402">
        <f t="shared" si="147"/>
        <v>28</v>
      </c>
      <c r="BA660" s="402">
        <f>VLOOKUP(AW660,'Item Master Data'!$A:$G,7,FALSE)</f>
        <v>26</v>
      </c>
      <c r="BB660" s="402"/>
      <c r="BC660" s="402">
        <f t="shared" si="148"/>
        <v>0</v>
      </c>
    </row>
    <row r="661" spans="1:55">
      <c r="A661" s="403" t="s">
        <v>4584</v>
      </c>
      <c r="B661" s="397">
        <v>44669</v>
      </c>
      <c r="C661" s="397">
        <v>44669</v>
      </c>
      <c r="D661" s="405" t="s">
        <v>2330</v>
      </c>
      <c r="E661" s="393"/>
      <c r="F661" s="405" t="s">
        <v>1139</v>
      </c>
      <c r="G661" s="405">
        <v>2022</v>
      </c>
      <c r="H661" s="405">
        <v>5</v>
      </c>
      <c r="I661" s="405"/>
      <c r="J661" s="418">
        <v>44683</v>
      </c>
      <c r="K661" s="405" t="s">
        <v>2449</v>
      </c>
      <c r="L661" s="405" t="s">
        <v>2443</v>
      </c>
      <c r="M661" s="406">
        <v>44620</v>
      </c>
      <c r="N661" s="406">
        <v>44652</v>
      </c>
      <c r="O661" s="406"/>
      <c r="P661" s="406">
        <v>44673</v>
      </c>
      <c r="Q661" s="406">
        <v>44680</v>
      </c>
      <c r="R661" s="406">
        <v>44683</v>
      </c>
      <c r="S661" s="405" t="s">
        <v>2332</v>
      </c>
      <c r="T661" s="405">
        <v>60</v>
      </c>
      <c r="U661" s="405">
        <v>49204132</v>
      </c>
      <c r="V661" s="405" t="s">
        <v>1192</v>
      </c>
      <c r="W661" s="405">
        <v>360</v>
      </c>
      <c r="X661" s="407">
        <v>728</v>
      </c>
      <c r="Y661" s="422">
        <f t="shared" ref="Y661:Y672" si="149">W661*X661</f>
        <v>262080</v>
      </c>
      <c r="Z661" s="409">
        <v>0.79</v>
      </c>
      <c r="AA661" s="423">
        <f t="shared" si="136"/>
        <v>207043.20000000001</v>
      </c>
      <c r="AB661" s="423"/>
      <c r="AC661" s="394">
        <v>0</v>
      </c>
      <c r="AD661" s="421"/>
      <c r="AE661" s="413"/>
      <c r="AF661" s="462">
        <f t="shared" si="137"/>
        <v>207043.20000000001</v>
      </c>
      <c r="AG661" s="405" t="s">
        <v>47</v>
      </c>
      <c r="AH661" s="405"/>
      <c r="AI661" s="405">
        <v>30</v>
      </c>
      <c r="AJ661" s="415" t="s">
        <v>2447</v>
      </c>
      <c r="AK661" s="405" t="s">
        <v>1071</v>
      </c>
      <c r="AL661" s="414" t="s">
        <v>2448</v>
      </c>
      <c r="AM661" s="405" t="s">
        <v>52</v>
      </c>
      <c r="AN661" s="405" t="s">
        <v>1101</v>
      </c>
      <c r="AO661" s="405"/>
      <c r="AP661" s="413"/>
      <c r="AQ661" s="413" t="s">
        <v>37</v>
      </c>
      <c r="AR661" s="413"/>
      <c r="AS661" s="386" t="s">
        <v>1073</v>
      </c>
      <c r="AT661" s="386" t="s">
        <v>1073</v>
      </c>
      <c r="AU661" s="409">
        <v>0.73</v>
      </c>
      <c r="AV661" s="402">
        <f t="shared" si="146"/>
        <v>49204132</v>
      </c>
      <c r="AW661" s="402" cm="1">
        <f t="array" ref="AW661">SUM(MID(0&amp;AV661,LARGE(INDEX(ISNUMBER(--MID(AV661,ROW($1:$8),1))*ROW($1:$8),),ROW($1:$8))+1,1)*10^ROW($1:$8)/10)</f>
        <v>49204132</v>
      </c>
      <c r="AX661" s="402" t="str">
        <f>VLOOKUP($AW661,'Item Master Data'!$A:$F,3,FALSE)</f>
        <v>Q.PEAK DUO BLK G10+/AC</v>
      </c>
      <c r="AY661" s="402">
        <f>VLOOKUP($AW661,'Item Master Data'!$A:$F,6,FALSE)</f>
        <v>360</v>
      </c>
      <c r="AZ661" s="402">
        <f t="shared" si="147"/>
        <v>28</v>
      </c>
      <c r="BA661" s="402">
        <f>VLOOKUP(AW661,'Item Master Data'!$A:$G,7,FALSE)</f>
        <v>26</v>
      </c>
      <c r="BB661" s="402"/>
      <c r="BC661" s="402">
        <f t="shared" si="148"/>
        <v>0</v>
      </c>
    </row>
    <row r="662" spans="1:55">
      <c r="A662" s="403" t="s">
        <v>4584</v>
      </c>
      <c r="B662" s="397"/>
      <c r="C662" s="397"/>
      <c r="D662" s="405" t="s">
        <v>2330</v>
      </c>
      <c r="E662" s="393"/>
      <c r="F662" s="405" t="s">
        <v>1139</v>
      </c>
      <c r="G662" s="405">
        <v>2022</v>
      </c>
      <c r="H662" s="405">
        <v>5</v>
      </c>
      <c r="I662" s="405"/>
      <c r="J662" s="418">
        <v>44687</v>
      </c>
      <c r="K662" s="405" t="s">
        <v>3575</v>
      </c>
      <c r="L662" s="405" t="s">
        <v>2443</v>
      </c>
      <c r="M662" s="406">
        <v>44620</v>
      </c>
      <c r="N662" s="406">
        <v>44652</v>
      </c>
      <c r="O662" s="406"/>
      <c r="P662" s="406">
        <v>44673</v>
      </c>
      <c r="Q662" s="406">
        <v>44686</v>
      </c>
      <c r="R662" s="406">
        <v>44687</v>
      </c>
      <c r="S662" s="405" t="s">
        <v>2332</v>
      </c>
      <c r="T662" s="405">
        <v>60</v>
      </c>
      <c r="U662" s="405">
        <v>49204132</v>
      </c>
      <c r="V662" s="405" t="s">
        <v>1192</v>
      </c>
      <c r="W662" s="405">
        <v>360</v>
      </c>
      <c r="X662" s="407">
        <v>728</v>
      </c>
      <c r="Y662" s="408">
        <f t="shared" si="149"/>
        <v>262080</v>
      </c>
      <c r="Z662" s="409">
        <v>0.79</v>
      </c>
      <c r="AA662" s="410">
        <f t="shared" si="136"/>
        <v>207043.20000000001</v>
      </c>
      <c r="AB662" s="410"/>
      <c r="AC662" s="394">
        <v>0</v>
      </c>
      <c r="AD662" s="421"/>
      <c r="AE662" s="413"/>
      <c r="AF662" s="462">
        <f t="shared" si="137"/>
        <v>207043.20000000001</v>
      </c>
      <c r="AG662" s="405" t="s">
        <v>47</v>
      </c>
      <c r="AH662" s="405"/>
      <c r="AI662" s="405">
        <v>30</v>
      </c>
      <c r="AJ662" s="415" t="s">
        <v>2460</v>
      </c>
      <c r="AK662" s="405" t="s">
        <v>1110</v>
      </c>
      <c r="AL662" s="414" t="s">
        <v>2461</v>
      </c>
      <c r="AM662" s="405" t="s">
        <v>52</v>
      </c>
      <c r="AN662" s="405" t="s">
        <v>1101</v>
      </c>
      <c r="AO662" s="405"/>
      <c r="AP662" s="413"/>
      <c r="AQ662" s="413" t="s">
        <v>37</v>
      </c>
      <c r="AR662" s="413"/>
      <c r="AS662" s="403" t="s">
        <v>1073</v>
      </c>
      <c r="AT662" s="386" t="s">
        <v>1073</v>
      </c>
      <c r="AU662" s="386" t="s">
        <v>1073</v>
      </c>
      <c r="AV662" s="402"/>
      <c r="AW662" s="402"/>
      <c r="AX662" s="402"/>
      <c r="AY662" s="402"/>
      <c r="AZ662" s="402"/>
      <c r="BA662" s="402"/>
      <c r="BB662" s="402"/>
      <c r="BC662" s="402"/>
    </row>
    <row r="663" spans="1:55">
      <c r="A663" s="403" t="s">
        <v>4584</v>
      </c>
      <c r="B663" s="397">
        <v>44669</v>
      </c>
      <c r="C663" s="397">
        <v>44669</v>
      </c>
      <c r="D663" s="405" t="s">
        <v>2330</v>
      </c>
      <c r="E663" s="393" t="s">
        <v>4296</v>
      </c>
      <c r="F663" s="405" t="s">
        <v>1139</v>
      </c>
      <c r="G663" s="405">
        <v>2022</v>
      </c>
      <c r="H663" s="405">
        <v>5</v>
      </c>
      <c r="I663" s="405"/>
      <c r="J663" s="456">
        <v>44687</v>
      </c>
      <c r="K663" s="405" t="s">
        <v>3574</v>
      </c>
      <c r="L663" s="405" t="s">
        <v>2443</v>
      </c>
      <c r="M663" s="406">
        <v>44620</v>
      </c>
      <c r="N663" s="406">
        <v>44652</v>
      </c>
      <c r="O663" s="406"/>
      <c r="P663" s="406">
        <v>44673</v>
      </c>
      <c r="Q663" s="406">
        <v>44687</v>
      </c>
      <c r="R663" s="406">
        <v>44687</v>
      </c>
      <c r="S663" s="405" t="s">
        <v>2332</v>
      </c>
      <c r="T663" s="405">
        <v>60</v>
      </c>
      <c r="U663" s="405">
        <v>49204132</v>
      </c>
      <c r="V663" s="405" t="s">
        <v>1192</v>
      </c>
      <c r="W663" s="405">
        <v>360</v>
      </c>
      <c r="X663" s="407">
        <v>728</v>
      </c>
      <c r="Y663" s="422">
        <f t="shared" si="149"/>
        <v>262080</v>
      </c>
      <c r="Z663" s="409">
        <v>0.79</v>
      </c>
      <c r="AA663" s="423">
        <f t="shared" si="136"/>
        <v>207043.20000000001</v>
      </c>
      <c r="AB663" s="423"/>
      <c r="AC663" s="394">
        <v>0</v>
      </c>
      <c r="AD663" s="421"/>
      <c r="AE663" s="413"/>
      <c r="AF663" s="462">
        <f t="shared" si="137"/>
        <v>207043.20000000001</v>
      </c>
      <c r="AG663" s="405" t="s">
        <v>47</v>
      </c>
      <c r="AH663" s="405"/>
      <c r="AI663" s="405">
        <v>30</v>
      </c>
      <c r="AJ663" s="415" t="s">
        <v>2338</v>
      </c>
      <c r="AK663" s="405" t="s">
        <v>1071</v>
      </c>
      <c r="AL663" s="414" t="s">
        <v>2444</v>
      </c>
      <c r="AM663" s="405" t="s">
        <v>52</v>
      </c>
      <c r="AN663" s="405" t="s">
        <v>1101</v>
      </c>
      <c r="AO663" s="405"/>
      <c r="AP663" s="413"/>
      <c r="AQ663" s="413" t="s">
        <v>37</v>
      </c>
      <c r="AR663" s="413"/>
      <c r="AS663" s="386" t="s">
        <v>1073</v>
      </c>
      <c r="AT663" s="386" t="s">
        <v>1073</v>
      </c>
      <c r="AU663" s="409">
        <v>0.73</v>
      </c>
      <c r="AV663" s="402">
        <f t="shared" ref="AV663:AV668" si="150">U663</f>
        <v>49204132</v>
      </c>
      <c r="AW663" s="402" cm="1">
        <f t="array" ref="AW663">SUM(MID(0&amp;AV663,LARGE(INDEX(ISNUMBER(--MID(AV663,ROW($1:$8),1))*ROW($1:$8),),ROW($1:$8))+1,1)*10^ROW($1:$8)/10)</f>
        <v>49204132</v>
      </c>
      <c r="AX663" s="402" t="str">
        <f>VLOOKUP($AW663,'Item Master Data'!$A:$F,3,FALSE)</f>
        <v>Q.PEAK DUO BLK G10+/AC</v>
      </c>
      <c r="AY663" s="402">
        <f>VLOOKUP($AW663,'Item Master Data'!$A:$F,6,FALSE)</f>
        <v>360</v>
      </c>
      <c r="AZ663" s="402">
        <f t="shared" ref="AZ663:AZ668" si="151">X663/BA663</f>
        <v>28</v>
      </c>
      <c r="BA663" s="402">
        <f>VLOOKUP(AW663,'Item Master Data'!$A:$G,7,FALSE)</f>
        <v>26</v>
      </c>
      <c r="BB663" s="402"/>
      <c r="BC663" s="402">
        <f t="shared" ref="BC663:BC668" si="152">W663-AY663</f>
        <v>0</v>
      </c>
    </row>
    <row r="664" spans="1:55">
      <c r="A664" s="403" t="s">
        <v>4584</v>
      </c>
      <c r="B664" s="397"/>
      <c r="C664" s="397"/>
      <c r="D664" s="405" t="s">
        <v>2330</v>
      </c>
      <c r="E664" s="393"/>
      <c r="F664" s="405" t="s">
        <v>1139</v>
      </c>
      <c r="G664" s="405">
        <v>2022</v>
      </c>
      <c r="H664" s="405">
        <v>5</v>
      </c>
      <c r="I664" s="405"/>
      <c r="J664" s="456">
        <v>44687</v>
      </c>
      <c r="K664" s="405" t="s">
        <v>3573</v>
      </c>
      <c r="L664" s="405" t="s">
        <v>2443</v>
      </c>
      <c r="M664" s="406">
        <v>44620</v>
      </c>
      <c r="N664" s="406">
        <v>44652</v>
      </c>
      <c r="O664" s="406"/>
      <c r="P664" s="406">
        <v>44673</v>
      </c>
      <c r="Q664" s="406">
        <v>44687</v>
      </c>
      <c r="R664" s="406">
        <v>44687</v>
      </c>
      <c r="S664" s="405" t="s">
        <v>2332</v>
      </c>
      <c r="T664" s="405">
        <v>60</v>
      </c>
      <c r="U664" s="405">
        <v>49204132</v>
      </c>
      <c r="V664" s="405" t="s">
        <v>1192</v>
      </c>
      <c r="W664" s="405">
        <v>360</v>
      </c>
      <c r="X664" s="407">
        <v>728</v>
      </c>
      <c r="Y664" s="408">
        <f t="shared" si="149"/>
        <v>262080</v>
      </c>
      <c r="Z664" s="409">
        <v>0.79</v>
      </c>
      <c r="AA664" s="410">
        <f t="shared" si="136"/>
        <v>207043.20000000001</v>
      </c>
      <c r="AB664" s="410"/>
      <c r="AC664" s="394">
        <v>0</v>
      </c>
      <c r="AD664" s="421"/>
      <c r="AE664" s="413"/>
      <c r="AF664" s="462">
        <f t="shared" si="137"/>
        <v>207043.20000000001</v>
      </c>
      <c r="AG664" s="405" t="s">
        <v>47</v>
      </c>
      <c r="AH664" s="405"/>
      <c r="AI664" s="405">
        <v>30</v>
      </c>
      <c r="AJ664" s="415" t="s">
        <v>2460</v>
      </c>
      <c r="AK664" s="405" t="s">
        <v>1110</v>
      </c>
      <c r="AL664" s="414" t="s">
        <v>2461</v>
      </c>
      <c r="AM664" s="405" t="s">
        <v>52</v>
      </c>
      <c r="AN664" s="405" t="s">
        <v>1101</v>
      </c>
      <c r="AO664" s="405"/>
      <c r="AP664" s="413"/>
      <c r="AQ664" s="413" t="s">
        <v>37</v>
      </c>
      <c r="AR664" s="413"/>
      <c r="AS664" s="403" t="s">
        <v>1073</v>
      </c>
      <c r="AT664" s="386" t="s">
        <v>1073</v>
      </c>
      <c r="AU664" s="386" t="s">
        <v>1073</v>
      </c>
      <c r="AV664" s="402">
        <f t="shared" si="150"/>
        <v>49204132</v>
      </c>
      <c r="AW664" s="402" cm="1">
        <f t="array" ref="AW664">SUM(MID(0&amp;AV664,LARGE(INDEX(ISNUMBER(--MID(AV664,ROW($1:$8),1))*ROW($1:$8),),ROW($1:$8))+1,1)*10^ROW($1:$8)/10)</f>
        <v>49204132</v>
      </c>
      <c r="AX664" s="402" t="str">
        <f>VLOOKUP($AW664,'Item Master Data'!$A:$F,3,FALSE)</f>
        <v>Q.PEAK DUO BLK G10+/AC</v>
      </c>
      <c r="AY664" s="402">
        <f>VLOOKUP($AW664,'Item Master Data'!$A:$F,6,FALSE)</f>
        <v>360</v>
      </c>
      <c r="AZ664" s="402">
        <f t="shared" si="151"/>
        <v>28</v>
      </c>
      <c r="BA664" s="402">
        <f>VLOOKUP(AW664,'Item Master Data'!$A:$G,7,FALSE)</f>
        <v>26</v>
      </c>
      <c r="BB664" s="402"/>
      <c r="BC664" s="402">
        <f t="shared" si="152"/>
        <v>0</v>
      </c>
    </row>
    <row r="665" spans="1:55">
      <c r="A665" s="403" t="s">
        <v>4585</v>
      </c>
      <c r="B665" s="397">
        <v>44697</v>
      </c>
      <c r="C665" s="397"/>
      <c r="D665" s="405" t="s">
        <v>2330</v>
      </c>
      <c r="E665" s="393"/>
      <c r="F665" s="405" t="s">
        <v>1139</v>
      </c>
      <c r="G665" s="405">
        <v>2022</v>
      </c>
      <c r="H665" s="405">
        <v>5</v>
      </c>
      <c r="I665" s="405"/>
      <c r="J665" s="456"/>
      <c r="K665" s="405" t="s">
        <v>4661</v>
      </c>
      <c r="L665" s="405" t="s">
        <v>2443</v>
      </c>
      <c r="M665" s="406">
        <v>44682</v>
      </c>
      <c r="N665" s="406">
        <v>44652</v>
      </c>
      <c r="O665" s="406"/>
      <c r="P665" s="406" t="s">
        <v>4086</v>
      </c>
      <c r="Q665" s="406"/>
      <c r="R665" s="406"/>
      <c r="S665" s="405" t="s">
        <v>2332</v>
      </c>
      <c r="T665" s="405">
        <v>60</v>
      </c>
      <c r="U665" s="405">
        <v>49204132</v>
      </c>
      <c r="V665" s="405" t="s">
        <v>1192</v>
      </c>
      <c r="W665" s="405">
        <v>360</v>
      </c>
      <c r="X665" s="407">
        <v>728</v>
      </c>
      <c r="Y665" s="422">
        <f t="shared" si="149"/>
        <v>262080</v>
      </c>
      <c r="Z665" s="409">
        <v>0.79</v>
      </c>
      <c r="AA665" s="423">
        <f t="shared" si="136"/>
        <v>207043.20000000001</v>
      </c>
      <c r="AB665" s="423"/>
      <c r="AC665" s="394">
        <v>0</v>
      </c>
      <c r="AD665" s="421"/>
      <c r="AE665" s="413"/>
      <c r="AF665" s="462">
        <f t="shared" si="137"/>
        <v>207043.20000000001</v>
      </c>
      <c r="AG665" s="405" t="s">
        <v>47</v>
      </c>
      <c r="AH665" s="405"/>
      <c r="AI665" s="405">
        <v>30</v>
      </c>
      <c r="AJ665" s="415" t="s">
        <v>2445</v>
      </c>
      <c r="AK665" s="405" t="s">
        <v>1071</v>
      </c>
      <c r="AL665" s="414" t="s">
        <v>2446</v>
      </c>
      <c r="AM665" s="405" t="s">
        <v>52</v>
      </c>
      <c r="AN665" s="405" t="s">
        <v>1101</v>
      </c>
      <c r="AO665" s="405"/>
      <c r="AP665" s="413"/>
      <c r="AQ665" s="413" t="s">
        <v>37</v>
      </c>
      <c r="AR665" s="413"/>
      <c r="AS665" s="403" t="s">
        <v>1073</v>
      </c>
      <c r="AT665" s="386" t="s">
        <v>1073</v>
      </c>
      <c r="AU665" s="386" t="s">
        <v>1073</v>
      </c>
      <c r="AV665" s="402">
        <f t="shared" si="150"/>
        <v>49204132</v>
      </c>
      <c r="AW665" s="402" cm="1">
        <f t="array" ref="AW665">SUM(MID(0&amp;AV665,LARGE(INDEX(ISNUMBER(--MID(AV665,ROW($1:$8),1))*ROW($1:$8),),ROW($1:$8))+1,1)*10^ROW($1:$8)/10)</f>
        <v>49204132</v>
      </c>
      <c r="AX665" s="402" t="str">
        <f>VLOOKUP($AW665,'Item Master Data'!$A:$F,3,FALSE)</f>
        <v>Q.PEAK DUO BLK G10+/AC</v>
      </c>
      <c r="AY665" s="402">
        <f>VLOOKUP($AW665,'Item Master Data'!$A:$F,6,FALSE)</f>
        <v>360</v>
      </c>
      <c r="AZ665" s="402">
        <f t="shared" si="151"/>
        <v>28</v>
      </c>
      <c r="BA665" s="402">
        <f>VLOOKUP(AW665,'Item Master Data'!$A:$G,7,FALSE)</f>
        <v>26</v>
      </c>
      <c r="BB665" s="402"/>
      <c r="BC665" s="402">
        <f t="shared" si="152"/>
        <v>0</v>
      </c>
    </row>
    <row r="666" spans="1:55">
      <c r="A666" s="403" t="s">
        <v>4585</v>
      </c>
      <c r="B666" s="397">
        <v>44697</v>
      </c>
      <c r="C666" s="397"/>
      <c r="D666" s="405" t="s">
        <v>2330</v>
      </c>
      <c r="E666" s="393"/>
      <c r="F666" s="405" t="s">
        <v>1139</v>
      </c>
      <c r="G666" s="405">
        <v>2022</v>
      </c>
      <c r="H666" s="405">
        <v>5</v>
      </c>
      <c r="I666" s="405"/>
      <c r="J666" s="456"/>
      <c r="K666" s="405" t="s">
        <v>4660</v>
      </c>
      <c r="L666" s="405" t="s">
        <v>2443</v>
      </c>
      <c r="M666" s="406">
        <v>44682</v>
      </c>
      <c r="N666" s="406">
        <v>44652</v>
      </c>
      <c r="O666" s="406"/>
      <c r="P666" s="406" t="s">
        <v>4086</v>
      </c>
      <c r="Q666" s="406"/>
      <c r="R666" s="406"/>
      <c r="S666" s="405" t="s">
        <v>2332</v>
      </c>
      <c r="T666" s="405">
        <v>60</v>
      </c>
      <c r="U666" s="405">
        <v>49204132</v>
      </c>
      <c r="V666" s="405" t="s">
        <v>1192</v>
      </c>
      <c r="W666" s="405">
        <v>360</v>
      </c>
      <c r="X666" s="407">
        <v>728</v>
      </c>
      <c r="Y666" s="422">
        <f t="shared" si="149"/>
        <v>262080</v>
      </c>
      <c r="Z666" s="409">
        <v>0.79</v>
      </c>
      <c r="AA666" s="423">
        <f t="shared" si="136"/>
        <v>207043.20000000001</v>
      </c>
      <c r="AB666" s="423"/>
      <c r="AC666" s="394">
        <v>0</v>
      </c>
      <c r="AD666" s="421"/>
      <c r="AE666" s="413"/>
      <c r="AF666" s="462">
        <f t="shared" si="137"/>
        <v>207043.20000000001</v>
      </c>
      <c r="AG666" s="405" t="s">
        <v>47</v>
      </c>
      <c r="AH666" s="405"/>
      <c r="AI666" s="405">
        <v>30</v>
      </c>
      <c r="AJ666" s="415" t="s">
        <v>2338</v>
      </c>
      <c r="AK666" s="405" t="s">
        <v>1071</v>
      </c>
      <c r="AL666" s="414" t="s">
        <v>2444</v>
      </c>
      <c r="AM666" s="405" t="s">
        <v>52</v>
      </c>
      <c r="AN666" s="405" t="s">
        <v>1101</v>
      </c>
      <c r="AO666" s="405"/>
      <c r="AP666" s="413"/>
      <c r="AQ666" s="413" t="s">
        <v>37</v>
      </c>
      <c r="AR666" s="413"/>
      <c r="AS666" s="403" t="s">
        <v>1073</v>
      </c>
      <c r="AT666" s="386" t="s">
        <v>1073</v>
      </c>
      <c r="AU666" s="386" t="s">
        <v>1073</v>
      </c>
      <c r="AV666" s="402">
        <f t="shared" si="150"/>
        <v>49204132</v>
      </c>
      <c r="AW666" s="402" cm="1">
        <f t="array" ref="AW666">SUM(MID(0&amp;AV666,LARGE(INDEX(ISNUMBER(--MID(AV666,ROW($1:$8),1))*ROW($1:$8),),ROW($1:$8))+1,1)*10^ROW($1:$8)/10)</f>
        <v>49204132</v>
      </c>
      <c r="AX666" s="402" t="str">
        <f>VLOOKUP($AW666,'Item Master Data'!$A:$F,3,FALSE)</f>
        <v>Q.PEAK DUO BLK G10+/AC</v>
      </c>
      <c r="AY666" s="402">
        <f>VLOOKUP($AW666,'Item Master Data'!$A:$F,6,FALSE)</f>
        <v>360</v>
      </c>
      <c r="AZ666" s="402">
        <f t="shared" si="151"/>
        <v>28</v>
      </c>
      <c r="BA666" s="402">
        <f>VLOOKUP(AW666,'Item Master Data'!$A:$G,7,FALSE)</f>
        <v>26</v>
      </c>
      <c r="BB666" s="402"/>
      <c r="BC666" s="402">
        <f t="shared" si="152"/>
        <v>0</v>
      </c>
    </row>
    <row r="667" spans="1:55">
      <c r="A667" s="403"/>
      <c r="B667" s="397"/>
      <c r="C667" s="397"/>
      <c r="D667" s="405" t="s">
        <v>2330</v>
      </c>
      <c r="E667" s="393"/>
      <c r="F667" s="405" t="s">
        <v>1139</v>
      </c>
      <c r="G667" s="405">
        <v>2022</v>
      </c>
      <c r="H667" s="405">
        <v>5</v>
      </c>
      <c r="I667" s="405"/>
      <c r="J667" s="456"/>
      <c r="K667" s="405" t="s">
        <v>4671</v>
      </c>
      <c r="L667" s="405" t="s">
        <v>2443</v>
      </c>
      <c r="M667" s="406">
        <v>44682</v>
      </c>
      <c r="N667" s="406">
        <v>44652</v>
      </c>
      <c r="O667" s="406"/>
      <c r="P667" s="406" t="s">
        <v>4981</v>
      </c>
      <c r="Q667" s="406"/>
      <c r="R667" s="406"/>
      <c r="S667" s="405" t="s">
        <v>2332</v>
      </c>
      <c r="T667" s="405">
        <v>60</v>
      </c>
      <c r="U667" s="405">
        <v>49203132</v>
      </c>
      <c r="V667" s="405" t="s">
        <v>4669</v>
      </c>
      <c r="W667" s="405">
        <v>360</v>
      </c>
      <c r="X667" s="407">
        <v>832</v>
      </c>
      <c r="Y667" s="408">
        <f>W667*X667</f>
        <v>299520</v>
      </c>
      <c r="Z667" s="409">
        <v>0.52</v>
      </c>
      <c r="AA667" s="410">
        <f>Z667*Y667</f>
        <v>155750.39999999999</v>
      </c>
      <c r="AB667" s="410"/>
      <c r="AC667" s="394">
        <v>0</v>
      </c>
      <c r="AD667" s="421"/>
      <c r="AE667" s="413"/>
      <c r="AF667" s="462">
        <f>AA667+AE667</f>
        <v>155750.39999999999</v>
      </c>
      <c r="AG667" s="405" t="s">
        <v>47</v>
      </c>
      <c r="AH667" s="405"/>
      <c r="AI667" s="405">
        <v>30</v>
      </c>
      <c r="AJ667" s="415" t="s">
        <v>2452</v>
      </c>
      <c r="AK667" s="405" t="s">
        <v>2453</v>
      </c>
      <c r="AL667" s="414" t="s">
        <v>4672</v>
      </c>
      <c r="AM667" s="405" t="s">
        <v>52</v>
      </c>
      <c r="AN667" s="405" t="s">
        <v>1071</v>
      </c>
      <c r="AO667" s="405"/>
      <c r="AP667" s="413"/>
      <c r="AQ667" s="413" t="s">
        <v>37</v>
      </c>
      <c r="AR667" s="413"/>
      <c r="AS667" s="403" t="s">
        <v>1073</v>
      </c>
      <c r="AT667" s="386" t="s">
        <v>1073</v>
      </c>
      <c r="AU667" s="386" t="s">
        <v>1073</v>
      </c>
      <c r="AV667" s="402">
        <f t="shared" si="150"/>
        <v>49203132</v>
      </c>
      <c r="AW667" s="402" cm="1">
        <f t="array" ref="AW667">SUM(MID(0&amp;AV667,LARGE(INDEX(ISNUMBER(--MID(AV667,ROW($1:$8),1))*ROW($1:$8),),ROW($1:$8))+1,1)*10^ROW($1:$8)/10)</f>
        <v>49203132</v>
      </c>
      <c r="AX667" s="402" t="str">
        <f>VLOOKUP($AW667,'Item Master Data'!$A:$F,3,FALSE)</f>
        <v>Q.PEAK DUO BLK G10+</v>
      </c>
      <c r="AY667" s="402">
        <f>VLOOKUP($AW667,'Item Master Data'!$A:$F,6,FALSE)</f>
        <v>360</v>
      </c>
      <c r="AZ667" s="402">
        <f t="shared" si="151"/>
        <v>26</v>
      </c>
      <c r="BA667" s="402">
        <f>VLOOKUP(AW667,'Item Master Data'!$A:$G,7,FALSE)</f>
        <v>32</v>
      </c>
      <c r="BB667" s="402"/>
      <c r="BC667" s="402">
        <f t="shared" si="152"/>
        <v>0</v>
      </c>
    </row>
    <row r="668" spans="1:55">
      <c r="A668" s="403"/>
      <c r="B668" s="397"/>
      <c r="C668" s="397"/>
      <c r="D668" s="405" t="s">
        <v>2330</v>
      </c>
      <c r="E668" s="393"/>
      <c r="F668" s="405" t="s">
        <v>1139</v>
      </c>
      <c r="G668" s="405">
        <v>2022</v>
      </c>
      <c r="H668" s="405">
        <v>5</v>
      </c>
      <c r="I668" s="405"/>
      <c r="J668" s="456"/>
      <c r="K668" s="405" t="s">
        <v>4670</v>
      </c>
      <c r="L668" s="405" t="s">
        <v>2443</v>
      </c>
      <c r="M668" s="406">
        <v>44682</v>
      </c>
      <c r="N668" s="406">
        <v>44652</v>
      </c>
      <c r="O668" s="406"/>
      <c r="P668" s="406" t="s">
        <v>4981</v>
      </c>
      <c r="Q668" s="406"/>
      <c r="R668" s="406"/>
      <c r="S668" s="405" t="s">
        <v>2332</v>
      </c>
      <c r="T668" s="405">
        <v>60</v>
      </c>
      <c r="U668" s="405">
        <v>49203132</v>
      </c>
      <c r="V668" s="405" t="s">
        <v>4669</v>
      </c>
      <c r="W668" s="405">
        <v>360</v>
      </c>
      <c r="X668" s="407">
        <v>832</v>
      </c>
      <c r="Y668" s="408">
        <f>W668*X668</f>
        <v>299520</v>
      </c>
      <c r="Z668" s="409">
        <v>0.52</v>
      </c>
      <c r="AA668" s="410">
        <f>Z668*Y668</f>
        <v>155750.39999999999</v>
      </c>
      <c r="AB668" s="410"/>
      <c r="AC668" s="394">
        <v>0</v>
      </c>
      <c r="AD668" s="421"/>
      <c r="AE668" s="413"/>
      <c r="AF668" s="462">
        <f>AA668+AE668</f>
        <v>155750.39999999999</v>
      </c>
      <c r="AG668" s="405" t="s">
        <v>47</v>
      </c>
      <c r="AH668" s="405"/>
      <c r="AI668" s="405">
        <v>30</v>
      </c>
      <c r="AJ668" s="415" t="s">
        <v>2458</v>
      </c>
      <c r="AK668" s="405" t="s">
        <v>1110</v>
      </c>
      <c r="AL668" s="414" t="s">
        <v>2459</v>
      </c>
      <c r="AM668" s="405" t="s">
        <v>52</v>
      </c>
      <c r="AN668" s="405" t="s">
        <v>1071</v>
      </c>
      <c r="AO668" s="405"/>
      <c r="AP668" s="413"/>
      <c r="AQ668" s="413" t="s">
        <v>37</v>
      </c>
      <c r="AR668" s="413"/>
      <c r="AS668" s="403" t="s">
        <v>1073</v>
      </c>
      <c r="AT668" s="386" t="s">
        <v>1073</v>
      </c>
      <c r="AU668" s="386" t="s">
        <v>1073</v>
      </c>
      <c r="AV668" s="402">
        <f t="shared" si="150"/>
        <v>49203132</v>
      </c>
      <c r="AW668" s="402" cm="1">
        <f t="array" ref="AW668">SUM(MID(0&amp;AV668,LARGE(INDEX(ISNUMBER(--MID(AV668,ROW($1:$8),1))*ROW($1:$8),),ROW($1:$8))+1,1)*10^ROW($1:$8)/10)</f>
        <v>49203132</v>
      </c>
      <c r="AX668" s="402" t="str">
        <f>VLOOKUP($AW668,'Item Master Data'!$A:$F,3,FALSE)</f>
        <v>Q.PEAK DUO BLK G10+</v>
      </c>
      <c r="AY668" s="402">
        <f>VLOOKUP($AW668,'Item Master Data'!$A:$F,6,FALSE)</f>
        <v>360</v>
      </c>
      <c r="AZ668" s="402">
        <f t="shared" si="151"/>
        <v>26</v>
      </c>
      <c r="BA668" s="402">
        <f>VLOOKUP(AW668,'Item Master Data'!$A:$G,7,FALSE)</f>
        <v>32</v>
      </c>
      <c r="BB668" s="402"/>
      <c r="BC668" s="402">
        <f t="shared" si="152"/>
        <v>0</v>
      </c>
    </row>
    <row r="669" spans="1:55">
      <c r="A669" s="403"/>
      <c r="B669" s="397"/>
      <c r="C669" s="397"/>
      <c r="D669" s="405" t="s">
        <v>2330</v>
      </c>
      <c r="E669" s="393"/>
      <c r="F669" s="405" t="s">
        <v>1139</v>
      </c>
      <c r="G669" s="405">
        <v>2022</v>
      </c>
      <c r="H669" s="405">
        <v>5</v>
      </c>
      <c r="I669" s="405"/>
      <c r="J669" s="456"/>
      <c r="K669" s="405" t="s">
        <v>4673</v>
      </c>
      <c r="L669" s="405" t="s">
        <v>2443</v>
      </c>
      <c r="M669" s="406">
        <v>44682</v>
      </c>
      <c r="N669" s="406">
        <v>44652</v>
      </c>
      <c r="O669" s="406"/>
      <c r="P669" s="406" t="s">
        <v>4981</v>
      </c>
      <c r="Q669" s="406"/>
      <c r="R669" s="406"/>
      <c r="S669" s="405" t="s">
        <v>2332</v>
      </c>
      <c r="T669" s="405">
        <v>60</v>
      </c>
      <c r="U669" s="405">
        <v>49203132</v>
      </c>
      <c r="V669" s="405" t="s">
        <v>4669</v>
      </c>
      <c r="W669" s="405">
        <v>360</v>
      </c>
      <c r="X669" s="407">
        <v>832</v>
      </c>
      <c r="Y669" s="408">
        <f>W669*X669</f>
        <v>299520</v>
      </c>
      <c r="Z669" s="409">
        <v>0.52</v>
      </c>
      <c r="AA669" s="410">
        <f>Z669*Y669</f>
        <v>155750.39999999999</v>
      </c>
      <c r="AB669" s="410"/>
      <c r="AC669" s="394">
        <v>0</v>
      </c>
      <c r="AD669" s="421"/>
      <c r="AE669" s="413"/>
      <c r="AF669" s="462">
        <f>AA669+AE669</f>
        <v>155750.39999999999</v>
      </c>
      <c r="AG669" s="405" t="s">
        <v>47</v>
      </c>
      <c r="AH669" s="405"/>
      <c r="AI669" s="405">
        <v>30</v>
      </c>
      <c r="AJ669" s="415" t="s">
        <v>2624</v>
      </c>
      <c r="AK669" s="405" t="s">
        <v>2625</v>
      </c>
      <c r="AL669" s="414" t="s">
        <v>4674</v>
      </c>
      <c r="AM669" s="405" t="s">
        <v>52</v>
      </c>
      <c r="AN669" s="405" t="s">
        <v>1071</v>
      </c>
      <c r="AO669" s="405"/>
      <c r="AP669" s="413"/>
      <c r="AQ669" s="413" t="s">
        <v>37</v>
      </c>
      <c r="AR669" s="413"/>
      <c r="AS669" s="403" t="s">
        <v>1073</v>
      </c>
      <c r="AT669" s="386" t="s">
        <v>1073</v>
      </c>
      <c r="AU669" s="386" t="s">
        <v>1073</v>
      </c>
      <c r="AV669" s="402"/>
      <c r="AW669" s="402"/>
      <c r="AX669" s="402"/>
      <c r="AY669" s="402"/>
      <c r="AZ669" s="402"/>
      <c r="BA669" s="402"/>
      <c r="BB669" s="402"/>
      <c r="BC669" s="402"/>
    </row>
    <row r="670" spans="1:55">
      <c r="A670" s="403"/>
      <c r="B670" s="397"/>
      <c r="C670" s="397"/>
      <c r="D670" s="405" t="s">
        <v>2330</v>
      </c>
      <c r="E670" s="393"/>
      <c r="F670" s="405" t="s">
        <v>1139</v>
      </c>
      <c r="G670" s="405">
        <v>2022</v>
      </c>
      <c r="H670" s="405">
        <v>6</v>
      </c>
      <c r="I670" s="405"/>
      <c r="J670" s="456"/>
      <c r="K670" s="405" t="s">
        <v>4675</v>
      </c>
      <c r="L670" s="405" t="s">
        <v>2443</v>
      </c>
      <c r="M670" s="406">
        <v>44682</v>
      </c>
      <c r="N670" s="406">
        <v>44652</v>
      </c>
      <c r="O670" s="406"/>
      <c r="P670" s="406"/>
      <c r="Q670" s="406"/>
      <c r="R670" s="406"/>
      <c r="S670" s="405" t="s">
        <v>2332</v>
      </c>
      <c r="T670" s="405">
        <v>60</v>
      </c>
      <c r="U670" s="405">
        <v>49203132</v>
      </c>
      <c r="V670" s="405" t="s">
        <v>4669</v>
      </c>
      <c r="W670" s="405">
        <v>360</v>
      </c>
      <c r="X670" s="407">
        <v>832</v>
      </c>
      <c r="Y670" s="408">
        <f>W670*X670</f>
        <v>299520</v>
      </c>
      <c r="Z670" s="409">
        <v>0.52</v>
      </c>
      <c r="AA670" s="410">
        <f>Z670*Y670</f>
        <v>155750.39999999999</v>
      </c>
      <c r="AB670" s="410"/>
      <c r="AC670" s="394">
        <v>0</v>
      </c>
      <c r="AD670" s="421"/>
      <c r="AE670" s="413"/>
      <c r="AF670" s="462">
        <f>AA670+AE670</f>
        <v>155750.39999999999</v>
      </c>
      <c r="AG670" s="405" t="s">
        <v>47</v>
      </c>
      <c r="AH670" s="405"/>
      <c r="AI670" s="405">
        <v>30</v>
      </c>
      <c r="AJ670" s="415" t="s">
        <v>4676</v>
      </c>
      <c r="AK670" s="405" t="s">
        <v>4677</v>
      </c>
      <c r="AL670" s="414" t="s">
        <v>4678</v>
      </c>
      <c r="AM670" s="405" t="s">
        <v>52</v>
      </c>
      <c r="AN670" s="405" t="s">
        <v>1071</v>
      </c>
      <c r="AO670" s="405"/>
      <c r="AP670" s="413"/>
      <c r="AQ670" s="413" t="s">
        <v>37</v>
      </c>
      <c r="AR670" s="413"/>
      <c r="AS670" s="403" t="s">
        <v>1073</v>
      </c>
      <c r="AT670" s="386" t="s">
        <v>1073</v>
      </c>
      <c r="AU670" s="386" t="s">
        <v>1073</v>
      </c>
      <c r="AV670" s="402"/>
      <c r="AW670" s="402"/>
      <c r="AX670" s="402"/>
      <c r="AY670" s="402"/>
      <c r="AZ670" s="402"/>
      <c r="BA670" s="402"/>
      <c r="BB670" s="402"/>
      <c r="BC670" s="402"/>
    </row>
    <row r="671" spans="1:55">
      <c r="A671" s="403"/>
      <c r="B671" s="397"/>
      <c r="C671" s="397"/>
      <c r="D671" s="405" t="s">
        <v>2330</v>
      </c>
      <c r="E671" s="393"/>
      <c r="F671" s="405" t="s">
        <v>1139</v>
      </c>
      <c r="G671" s="405">
        <v>2022</v>
      </c>
      <c r="H671" s="405">
        <v>6</v>
      </c>
      <c r="I671" s="405"/>
      <c r="J671" s="456"/>
      <c r="K671" s="405" t="s">
        <v>4668</v>
      </c>
      <c r="L671" s="405" t="s">
        <v>2443</v>
      </c>
      <c r="M671" s="406">
        <v>44682</v>
      </c>
      <c r="N671" s="406">
        <v>44652</v>
      </c>
      <c r="O671" s="406"/>
      <c r="P671" s="406"/>
      <c r="Q671" s="406"/>
      <c r="R671" s="406"/>
      <c r="S671" s="405" t="s">
        <v>2332</v>
      </c>
      <c r="T671" s="405">
        <v>60</v>
      </c>
      <c r="U671" s="405">
        <v>49203132</v>
      </c>
      <c r="V671" s="405" t="s">
        <v>4669</v>
      </c>
      <c r="W671" s="405">
        <v>360</v>
      </c>
      <c r="X671" s="407">
        <v>832</v>
      </c>
      <c r="Y671" s="408">
        <f>W671*X671</f>
        <v>299520</v>
      </c>
      <c r="Z671" s="409">
        <v>0.52</v>
      </c>
      <c r="AA671" s="410">
        <f>Z671*Y671</f>
        <v>155750.39999999999</v>
      </c>
      <c r="AB671" s="410"/>
      <c r="AC671" s="394">
        <v>0</v>
      </c>
      <c r="AD671" s="421"/>
      <c r="AE671" s="413"/>
      <c r="AF671" s="462">
        <f>AA671+AE671</f>
        <v>155750.39999999999</v>
      </c>
      <c r="AG671" s="405" t="s">
        <v>47</v>
      </c>
      <c r="AH671" s="405"/>
      <c r="AI671" s="405">
        <v>30</v>
      </c>
      <c r="AJ671" s="415" t="s">
        <v>2361</v>
      </c>
      <c r="AK671" s="405" t="s">
        <v>1148</v>
      </c>
      <c r="AL671" s="414" t="s">
        <v>2362</v>
      </c>
      <c r="AM671" s="405" t="s">
        <v>52</v>
      </c>
      <c r="AN671" s="405" t="s">
        <v>1071</v>
      </c>
      <c r="AO671" s="405"/>
      <c r="AP671" s="413"/>
      <c r="AQ671" s="413" t="s">
        <v>37</v>
      </c>
      <c r="AR671" s="413"/>
      <c r="AS671" s="403" t="s">
        <v>1073</v>
      </c>
      <c r="AT671" s="386" t="s">
        <v>1073</v>
      </c>
      <c r="AU671" s="386" t="s">
        <v>1073</v>
      </c>
      <c r="AV671" s="402"/>
      <c r="AW671" s="402"/>
      <c r="AX671" s="402"/>
      <c r="AY671" s="402"/>
      <c r="AZ671" s="402"/>
      <c r="BA671" s="402"/>
      <c r="BB671" s="402"/>
      <c r="BC671" s="402"/>
    </row>
    <row r="672" spans="1:55">
      <c r="A672" s="403" t="s">
        <v>4585</v>
      </c>
      <c r="B672" s="397">
        <v>44697</v>
      </c>
      <c r="C672" s="397"/>
      <c r="D672" s="405" t="s">
        <v>2330</v>
      </c>
      <c r="E672" s="393"/>
      <c r="F672" s="405" t="s">
        <v>1139</v>
      </c>
      <c r="G672" s="405">
        <v>2022</v>
      </c>
      <c r="H672" s="405">
        <v>5</v>
      </c>
      <c r="I672" s="405"/>
      <c r="J672" s="456"/>
      <c r="K672" s="405" t="s">
        <v>4658</v>
      </c>
      <c r="L672" s="405" t="s">
        <v>2443</v>
      </c>
      <c r="M672" s="406">
        <v>44682</v>
      </c>
      <c r="N672" s="406">
        <v>44652</v>
      </c>
      <c r="O672" s="406"/>
      <c r="P672" s="406" t="s">
        <v>4086</v>
      </c>
      <c r="Q672" s="406"/>
      <c r="R672" s="406"/>
      <c r="S672" s="405" t="s">
        <v>2332</v>
      </c>
      <c r="T672" s="405">
        <v>60</v>
      </c>
      <c r="U672" s="405">
        <v>49204132</v>
      </c>
      <c r="V672" s="405" t="s">
        <v>1192</v>
      </c>
      <c r="W672" s="405">
        <v>360</v>
      </c>
      <c r="X672" s="407">
        <v>728</v>
      </c>
      <c r="Y672" s="422">
        <f t="shared" si="149"/>
        <v>262080</v>
      </c>
      <c r="Z672" s="409">
        <v>0.79</v>
      </c>
      <c r="AA672" s="423">
        <f t="shared" si="136"/>
        <v>207043.20000000001</v>
      </c>
      <c r="AB672" s="423"/>
      <c r="AC672" s="394">
        <v>0</v>
      </c>
      <c r="AD672" s="421"/>
      <c r="AE672" s="413"/>
      <c r="AF672" s="462">
        <f t="shared" si="137"/>
        <v>207043.20000000001</v>
      </c>
      <c r="AG672" s="405" t="s">
        <v>47</v>
      </c>
      <c r="AH672" s="405"/>
      <c r="AI672" s="405">
        <v>30</v>
      </c>
      <c r="AJ672" s="415" t="s">
        <v>2447</v>
      </c>
      <c r="AK672" s="405" t="s">
        <v>1071</v>
      </c>
      <c r="AL672" s="414" t="s">
        <v>4659</v>
      </c>
      <c r="AM672" s="405" t="s">
        <v>52</v>
      </c>
      <c r="AN672" s="405" t="s">
        <v>1101</v>
      </c>
      <c r="AO672" s="405"/>
      <c r="AP672" s="413"/>
      <c r="AQ672" s="413" t="s">
        <v>37</v>
      </c>
      <c r="AR672" s="413"/>
      <c r="AS672" s="403" t="s">
        <v>1073</v>
      </c>
      <c r="AT672" s="386" t="s">
        <v>1073</v>
      </c>
      <c r="AU672" s="386" t="s">
        <v>1073</v>
      </c>
      <c r="AV672" s="402">
        <f t="shared" ref="AV672:AV679" si="153">U672</f>
        <v>49204132</v>
      </c>
      <c r="AW672" s="402" cm="1">
        <f t="array" ref="AW672">SUM(MID(0&amp;AV672,LARGE(INDEX(ISNUMBER(--MID(AV672,ROW($1:$8),1))*ROW($1:$8),),ROW($1:$8))+1,1)*10^ROW($1:$8)/10)</f>
        <v>49204132</v>
      </c>
      <c r="AX672" s="402" t="str">
        <f>VLOOKUP($AW672,'Item Master Data'!$A:$F,3,FALSE)</f>
        <v>Q.PEAK DUO BLK G10+/AC</v>
      </c>
      <c r="AY672" s="402">
        <f>VLOOKUP($AW672,'Item Master Data'!$A:$F,6,FALSE)</f>
        <v>360</v>
      </c>
      <c r="AZ672" s="402">
        <f t="shared" ref="AZ672:AZ679" si="154">X672/BA672</f>
        <v>28</v>
      </c>
      <c r="BA672" s="402">
        <f>VLOOKUP(AW672,'Item Master Data'!$A:$G,7,FALSE)</f>
        <v>26</v>
      </c>
      <c r="BB672" s="402"/>
      <c r="BC672" s="402">
        <f t="shared" ref="BC672:BC679" si="155">W672-AY672</f>
        <v>0</v>
      </c>
    </row>
    <row r="673" spans="1:55">
      <c r="A673" s="403"/>
      <c r="B673" s="399">
        <v>44610</v>
      </c>
      <c r="C673" s="399">
        <v>44631</v>
      </c>
      <c r="D673" s="405" t="s">
        <v>2330</v>
      </c>
      <c r="E673" s="393"/>
      <c r="F673" s="405" t="s">
        <v>1139</v>
      </c>
      <c r="G673" s="405">
        <v>2022</v>
      </c>
      <c r="H673" s="405">
        <v>5</v>
      </c>
      <c r="I673" s="405">
        <v>128512</v>
      </c>
      <c r="J673" s="418">
        <v>44686</v>
      </c>
      <c r="K673" s="414" t="s">
        <v>2465</v>
      </c>
      <c r="L673" s="405" t="s">
        <v>2464</v>
      </c>
      <c r="M673" s="406">
        <v>44543</v>
      </c>
      <c r="N673" s="406">
        <v>44652</v>
      </c>
      <c r="O673" s="406" t="s">
        <v>1932</v>
      </c>
      <c r="P673" s="406">
        <v>44678</v>
      </c>
      <c r="Q673" s="406">
        <v>44684</v>
      </c>
      <c r="R673" s="406">
        <v>44686</v>
      </c>
      <c r="S673" s="405" t="s">
        <v>2332</v>
      </c>
      <c r="T673" s="405">
        <v>60</v>
      </c>
      <c r="U673" s="405" t="s">
        <v>1237</v>
      </c>
      <c r="V673" s="405" t="s">
        <v>973</v>
      </c>
      <c r="W673" s="405">
        <v>400</v>
      </c>
      <c r="X673" s="407">
        <v>1536</v>
      </c>
      <c r="Y673" s="422">
        <f>X673*W673</f>
        <v>614400</v>
      </c>
      <c r="Z673" s="409">
        <v>0.5</v>
      </c>
      <c r="AA673" s="423">
        <f t="shared" si="136"/>
        <v>307200</v>
      </c>
      <c r="AB673" s="423"/>
      <c r="AC673" s="394">
        <v>0</v>
      </c>
      <c r="AD673" s="421"/>
      <c r="AE673" s="413"/>
      <c r="AF673" s="462">
        <f t="shared" si="137"/>
        <v>307200</v>
      </c>
      <c r="AG673" s="405" t="s">
        <v>47</v>
      </c>
      <c r="AH673" s="405"/>
      <c r="AI673" s="405">
        <v>30</v>
      </c>
      <c r="AJ673" s="406" t="s">
        <v>1080</v>
      </c>
      <c r="AK673" s="414" t="s">
        <v>1081</v>
      </c>
      <c r="AL673" s="414" t="s">
        <v>2343</v>
      </c>
      <c r="AM673" s="405" t="s">
        <v>52</v>
      </c>
      <c r="AN673" s="405" t="s">
        <v>1082</v>
      </c>
      <c r="AO673" s="405"/>
      <c r="AP673" s="413" t="s">
        <v>38</v>
      </c>
      <c r="AQ673" s="413" t="s">
        <v>37</v>
      </c>
      <c r="AR673" s="389"/>
      <c r="AS673" s="386" t="s">
        <v>1084</v>
      </c>
      <c r="AT673" s="386" t="s">
        <v>1073</v>
      </c>
      <c r="AU673" s="409"/>
      <c r="AV673" s="402" t="str">
        <f t="shared" si="153"/>
        <v>30390456H</v>
      </c>
      <c r="AW673" s="402" cm="1">
        <f t="array" ref="AW673">SUM(MID(0&amp;AV673,LARGE(INDEX(ISNUMBER(--MID(AV673,ROW($1:$8),1))*ROW($1:$8),),ROW($1:$8))+1,1)*10^ROW($1:$8)/10)</f>
        <v>30390456</v>
      </c>
      <c r="AX673" s="402" t="str">
        <f>VLOOKUP($AW673,'Item Master Data'!$A:$F,3,FALSE)</f>
        <v>Q.PEAK DUO BLK ML G10+</v>
      </c>
      <c r="AY673" s="402">
        <f>VLOOKUP($AW673,'Item Master Data'!$A:$F,6,FALSE)</f>
        <v>400</v>
      </c>
      <c r="AZ673" s="402">
        <f t="shared" si="154"/>
        <v>48</v>
      </c>
      <c r="BA673" s="402">
        <f>VLOOKUP(AW673,'Item Master Data'!$A:$G,7,FALSE)</f>
        <v>32</v>
      </c>
      <c r="BB673" s="402"/>
      <c r="BC673" s="402">
        <f t="shared" si="155"/>
        <v>0</v>
      </c>
    </row>
    <row r="674" spans="1:55">
      <c r="A674" s="403"/>
      <c r="B674" s="399">
        <v>44610</v>
      </c>
      <c r="C674" s="399">
        <v>44631</v>
      </c>
      <c r="D674" s="405" t="s">
        <v>2330</v>
      </c>
      <c r="E674" s="393" t="s">
        <v>4717</v>
      </c>
      <c r="F674" s="405" t="s">
        <v>1139</v>
      </c>
      <c r="G674" s="405">
        <v>2022</v>
      </c>
      <c r="H674" s="405">
        <v>5</v>
      </c>
      <c r="I674" s="405"/>
      <c r="J674" s="418"/>
      <c r="K674" s="414" t="s">
        <v>4654</v>
      </c>
      <c r="L674" s="405" t="s">
        <v>2464</v>
      </c>
      <c r="M674" s="406">
        <v>44543</v>
      </c>
      <c r="N674" s="406">
        <v>44652</v>
      </c>
      <c r="O674" s="406" t="s">
        <v>1932</v>
      </c>
      <c r="P674" s="406">
        <v>44687</v>
      </c>
      <c r="Q674" s="406">
        <v>44692</v>
      </c>
      <c r="R674" s="406">
        <v>44697</v>
      </c>
      <c r="S674" s="405" t="s">
        <v>2332</v>
      </c>
      <c r="T674" s="405">
        <v>60</v>
      </c>
      <c r="U674" s="405" t="s">
        <v>1559</v>
      </c>
      <c r="V674" s="405" t="s">
        <v>973</v>
      </c>
      <c r="W674" s="405">
        <v>400</v>
      </c>
      <c r="X674" s="407">
        <v>3072</v>
      </c>
      <c r="Y674" s="422">
        <f>X674*W674</f>
        <v>1228800</v>
      </c>
      <c r="Z674" s="409">
        <v>0.5</v>
      </c>
      <c r="AA674" s="423">
        <f t="shared" si="136"/>
        <v>614400</v>
      </c>
      <c r="AB674" s="423"/>
      <c r="AC674" s="394">
        <v>0</v>
      </c>
      <c r="AD674" s="421"/>
      <c r="AE674" s="413"/>
      <c r="AF674" s="462">
        <f t="shared" si="137"/>
        <v>614400</v>
      </c>
      <c r="AG674" s="405" t="s">
        <v>47</v>
      </c>
      <c r="AH674" s="405"/>
      <c r="AI674" s="405">
        <v>30</v>
      </c>
      <c r="AJ674" s="406" t="s">
        <v>1080</v>
      </c>
      <c r="AK674" s="414" t="s">
        <v>1081</v>
      </c>
      <c r="AL674" s="414" t="s">
        <v>2343</v>
      </c>
      <c r="AM674" s="405" t="s">
        <v>52</v>
      </c>
      <c r="AN674" s="405" t="s">
        <v>50</v>
      </c>
      <c r="AO674" s="405"/>
      <c r="AP674" s="413" t="s">
        <v>38</v>
      </c>
      <c r="AQ674" s="413" t="s">
        <v>37</v>
      </c>
      <c r="AR674" s="389"/>
      <c r="AS674" s="386" t="s">
        <v>1084</v>
      </c>
      <c r="AT674" s="386" t="s">
        <v>1073</v>
      </c>
      <c r="AU674" s="409"/>
      <c r="AV674" s="402" t="str">
        <f t="shared" si="153"/>
        <v>30390156H</v>
      </c>
      <c r="AW674" s="402" cm="1">
        <f t="array" ref="AW674">SUM(MID(0&amp;AV674,LARGE(INDEX(ISNUMBER(--MID(AV674,ROW($1:$8),1))*ROW($1:$8),),ROW($1:$8))+1,1)*10^ROW($1:$8)/10)</f>
        <v>30390156</v>
      </c>
      <c r="AX674" s="402" t="str">
        <f>VLOOKUP($AW674,'Item Master Data'!$A:$F,3,FALSE)</f>
        <v>Q.PEAK DUO BLK ML G10+</v>
      </c>
      <c r="AY674" s="402">
        <f>VLOOKUP($AW674,'Item Master Data'!$A:$F,6,FALSE)</f>
        <v>400</v>
      </c>
      <c r="AZ674" s="402">
        <f t="shared" si="154"/>
        <v>96</v>
      </c>
      <c r="BA674" s="402">
        <f>VLOOKUP(AW674,'Item Master Data'!$A:$G,7,FALSE)</f>
        <v>32</v>
      </c>
      <c r="BB674" s="402"/>
      <c r="BC674" s="402">
        <f t="shared" si="155"/>
        <v>0</v>
      </c>
    </row>
    <row r="675" spans="1:55">
      <c r="A675" s="403"/>
      <c r="B675" s="399">
        <v>44610</v>
      </c>
      <c r="C675" s="399">
        <v>44631</v>
      </c>
      <c r="D675" s="405" t="s">
        <v>2330</v>
      </c>
      <c r="E675" s="393"/>
      <c r="F675" s="405" t="s">
        <v>1139</v>
      </c>
      <c r="G675" s="405">
        <v>2022</v>
      </c>
      <c r="H675" s="405">
        <v>5</v>
      </c>
      <c r="I675" s="405"/>
      <c r="J675" s="418"/>
      <c r="K675" s="414" t="s">
        <v>4718</v>
      </c>
      <c r="L675" s="405" t="s">
        <v>2464</v>
      </c>
      <c r="M675" s="406">
        <v>44543</v>
      </c>
      <c r="N675" s="406">
        <v>44652</v>
      </c>
      <c r="O675" s="406" t="s">
        <v>1932</v>
      </c>
      <c r="P675" s="406">
        <v>44692</v>
      </c>
      <c r="Q675" s="406"/>
      <c r="R675" s="406"/>
      <c r="S675" s="405" t="s">
        <v>2332</v>
      </c>
      <c r="T675" s="405">
        <v>60</v>
      </c>
      <c r="U675" s="405" t="s">
        <v>1559</v>
      </c>
      <c r="V675" s="405" t="s">
        <v>973</v>
      </c>
      <c r="W675" s="405">
        <v>400</v>
      </c>
      <c r="X675" s="407">
        <v>1664</v>
      </c>
      <c r="Y675" s="422">
        <f>X675*W675</f>
        <v>665600</v>
      </c>
      <c r="Z675" s="409">
        <v>0.5</v>
      </c>
      <c r="AA675" s="423">
        <f t="shared" si="136"/>
        <v>332800</v>
      </c>
      <c r="AB675" s="423"/>
      <c r="AC675" s="394">
        <v>0</v>
      </c>
      <c r="AD675" s="421"/>
      <c r="AE675" s="413"/>
      <c r="AF675" s="462">
        <f t="shared" si="137"/>
        <v>332800</v>
      </c>
      <c r="AG675" s="405" t="s">
        <v>47</v>
      </c>
      <c r="AH675" s="405"/>
      <c r="AI675" s="405">
        <v>30</v>
      </c>
      <c r="AJ675" s="406" t="s">
        <v>1080</v>
      </c>
      <c r="AK675" s="414" t="s">
        <v>1081</v>
      </c>
      <c r="AL675" s="414" t="s">
        <v>2343</v>
      </c>
      <c r="AM675" s="405" t="s">
        <v>52</v>
      </c>
      <c r="AN675" s="405" t="s">
        <v>50</v>
      </c>
      <c r="AO675" s="405"/>
      <c r="AP675" s="413" t="s">
        <v>38</v>
      </c>
      <c r="AQ675" s="413" t="s">
        <v>37</v>
      </c>
      <c r="AR675" s="389"/>
      <c r="AS675" s="386" t="s">
        <v>1084</v>
      </c>
      <c r="AT675" s="386" t="s">
        <v>1073</v>
      </c>
      <c r="AU675" s="409"/>
      <c r="AV675" s="402" t="str">
        <f t="shared" si="153"/>
        <v>30390156H</v>
      </c>
      <c r="AW675" s="402" cm="1">
        <f t="array" ref="AW675">SUM(MID(0&amp;AV675,LARGE(INDEX(ISNUMBER(--MID(AV675,ROW($1:$8),1))*ROW($1:$8),),ROW($1:$8))+1,1)*10^ROW($1:$8)/10)</f>
        <v>30390156</v>
      </c>
      <c r="AX675" s="402" t="str">
        <f>VLOOKUP($AW675,'Item Master Data'!$A:$F,3,FALSE)</f>
        <v>Q.PEAK DUO BLK ML G10+</v>
      </c>
      <c r="AY675" s="402">
        <f>VLOOKUP($AW675,'Item Master Data'!$A:$F,6,FALSE)</f>
        <v>400</v>
      </c>
      <c r="AZ675" s="402">
        <f t="shared" si="154"/>
        <v>52</v>
      </c>
      <c r="BA675" s="402">
        <f>VLOOKUP(AW675,'Item Master Data'!$A:$G,7,FALSE)</f>
        <v>32</v>
      </c>
      <c r="BB675" s="402"/>
      <c r="BC675" s="402">
        <f t="shared" si="155"/>
        <v>0</v>
      </c>
    </row>
    <row r="676" spans="1:55">
      <c r="A676" s="403" t="s">
        <v>4586</v>
      </c>
      <c r="B676" s="399">
        <v>44610</v>
      </c>
      <c r="C676" s="399">
        <v>44631</v>
      </c>
      <c r="D676" s="405" t="s">
        <v>2330</v>
      </c>
      <c r="E676" s="393" t="s">
        <v>4982</v>
      </c>
      <c r="F676" s="405" t="s">
        <v>1139</v>
      </c>
      <c r="G676" s="405">
        <v>2022</v>
      </c>
      <c r="H676" s="405">
        <v>5</v>
      </c>
      <c r="I676" s="405"/>
      <c r="J676" s="418"/>
      <c r="K676" s="414" t="s">
        <v>4655</v>
      </c>
      <c r="L676" s="405" t="s">
        <v>2464</v>
      </c>
      <c r="M676" s="406">
        <v>44543</v>
      </c>
      <c r="N676" s="406">
        <v>44682</v>
      </c>
      <c r="O676" s="406" t="s">
        <v>1932</v>
      </c>
      <c r="P676" s="406">
        <v>44693</v>
      </c>
      <c r="Q676" s="406"/>
      <c r="R676" s="406"/>
      <c r="S676" s="405" t="s">
        <v>2332</v>
      </c>
      <c r="T676" s="405">
        <v>60</v>
      </c>
      <c r="U676" s="405" t="s">
        <v>1559</v>
      </c>
      <c r="V676" s="405" t="s">
        <v>973</v>
      </c>
      <c r="W676" s="405">
        <v>400</v>
      </c>
      <c r="X676" s="407">
        <v>9216</v>
      </c>
      <c r="Y676" s="422">
        <f>X676*W676</f>
        <v>3686400</v>
      </c>
      <c r="Z676" s="409">
        <v>0.5</v>
      </c>
      <c r="AA676" s="423">
        <f t="shared" si="136"/>
        <v>1843200</v>
      </c>
      <c r="AB676" s="423"/>
      <c r="AC676" s="394">
        <v>0</v>
      </c>
      <c r="AD676" s="421"/>
      <c r="AE676" s="413"/>
      <c r="AF676" s="462">
        <f t="shared" si="137"/>
        <v>1843200</v>
      </c>
      <c r="AG676" s="405" t="s">
        <v>47</v>
      </c>
      <c r="AH676" s="405"/>
      <c r="AI676" s="405">
        <v>30</v>
      </c>
      <c r="AJ676" s="406" t="s">
        <v>1080</v>
      </c>
      <c r="AK676" s="414" t="s">
        <v>1081</v>
      </c>
      <c r="AL676" s="414" t="s">
        <v>2343</v>
      </c>
      <c r="AM676" s="405" t="s">
        <v>52</v>
      </c>
      <c r="AN676" s="405" t="s">
        <v>1446</v>
      </c>
      <c r="AO676" s="405"/>
      <c r="AP676" s="413" t="s">
        <v>38</v>
      </c>
      <c r="AQ676" s="413" t="s">
        <v>37</v>
      </c>
      <c r="AR676" s="389"/>
      <c r="AS676" s="386" t="s">
        <v>1084</v>
      </c>
      <c r="AT676" s="386" t="s">
        <v>1073</v>
      </c>
      <c r="AU676" s="409"/>
      <c r="AV676" s="402" t="str">
        <f t="shared" si="153"/>
        <v>30390156H</v>
      </c>
      <c r="AW676" s="402" cm="1">
        <f t="array" ref="AW676">SUM(MID(0&amp;AV676,LARGE(INDEX(ISNUMBER(--MID(AV676,ROW($1:$8),1))*ROW($1:$8),),ROW($1:$8))+1,1)*10^ROW($1:$8)/10)</f>
        <v>30390156</v>
      </c>
      <c r="AX676" s="402" t="str">
        <f>VLOOKUP($AW676,'Item Master Data'!$A:$F,3,FALSE)</f>
        <v>Q.PEAK DUO BLK ML G10+</v>
      </c>
      <c r="AY676" s="402">
        <f>VLOOKUP($AW676,'Item Master Data'!$A:$F,6,FALSE)</f>
        <v>400</v>
      </c>
      <c r="AZ676" s="402">
        <f t="shared" si="154"/>
        <v>288</v>
      </c>
      <c r="BA676" s="402">
        <f>VLOOKUP(AW676,'Item Master Data'!$A:$G,7,FALSE)</f>
        <v>32</v>
      </c>
      <c r="BB676" s="402"/>
      <c r="BC676" s="402">
        <f t="shared" si="155"/>
        <v>0</v>
      </c>
    </row>
    <row r="677" spans="1:55">
      <c r="A677" s="403"/>
      <c r="B677" s="399"/>
      <c r="C677" s="399"/>
      <c r="D677" s="405" t="s">
        <v>2330</v>
      </c>
      <c r="E677" s="393" t="s">
        <v>4061</v>
      </c>
      <c r="F677" s="405" t="s">
        <v>1139</v>
      </c>
      <c r="G677" s="405">
        <v>2022</v>
      </c>
      <c r="H677" s="405">
        <v>6</v>
      </c>
      <c r="I677" s="405"/>
      <c r="J677" s="406"/>
      <c r="K677" s="414" t="s">
        <v>4062</v>
      </c>
      <c r="L677" s="405" t="s">
        <v>2331</v>
      </c>
      <c r="M677" s="406">
        <v>44665</v>
      </c>
      <c r="N677" s="406">
        <v>44693</v>
      </c>
      <c r="O677" s="406"/>
      <c r="P677" s="406"/>
      <c r="Q677" s="406"/>
      <c r="R677" s="406"/>
      <c r="S677" s="405" t="s">
        <v>2332</v>
      </c>
      <c r="T677" s="405">
        <v>72</v>
      </c>
      <c r="U677" s="405" t="s">
        <v>1102</v>
      </c>
      <c r="V677" s="405" t="s">
        <v>1068</v>
      </c>
      <c r="W677" s="405">
        <v>480</v>
      </c>
      <c r="X677" s="407">
        <v>1160</v>
      </c>
      <c r="Y677" s="422">
        <f>X677*W677</f>
        <v>556800</v>
      </c>
      <c r="Z677" s="409">
        <v>0.55000000000000004</v>
      </c>
      <c r="AA677" s="423">
        <f t="shared" si="136"/>
        <v>306240</v>
      </c>
      <c r="AB677" s="423"/>
      <c r="AC677" s="394">
        <v>0</v>
      </c>
      <c r="AD677" s="421"/>
      <c r="AE677" s="413"/>
      <c r="AF677" s="462">
        <f t="shared" si="137"/>
        <v>306240</v>
      </c>
      <c r="AG677" s="405" t="s">
        <v>1069</v>
      </c>
      <c r="AH677" s="405">
        <v>10</v>
      </c>
      <c r="AI677" s="405">
        <v>60</v>
      </c>
      <c r="AJ677" s="406" t="s">
        <v>1981</v>
      </c>
      <c r="AK677" s="414" t="s">
        <v>1081</v>
      </c>
      <c r="AL677" s="414" t="s">
        <v>2333</v>
      </c>
      <c r="AM677" s="405" t="s">
        <v>52</v>
      </c>
      <c r="AN677" s="405" t="s">
        <v>1998</v>
      </c>
      <c r="AO677" s="405"/>
      <c r="AP677" s="413"/>
      <c r="AQ677" s="413" t="s">
        <v>37</v>
      </c>
      <c r="AR677" s="389"/>
      <c r="AS677" s="386" t="s">
        <v>1073</v>
      </c>
      <c r="AT677" s="386" t="s">
        <v>1073</v>
      </c>
      <c r="AU677" s="409"/>
      <c r="AV677" s="402" t="str">
        <f t="shared" si="153"/>
        <v>TBD</v>
      </c>
      <c r="AW677" s="402" cm="1">
        <f t="array" ref="AW677">SUM(MID(0&amp;AV677,LARGE(INDEX(ISNUMBER(--MID(AV677,ROW($1:$8),1))*ROW($1:$8),),ROW($1:$8))+1,1)*10^ROW($1:$8)/10)</f>
        <v>0</v>
      </c>
      <c r="AX677" s="402" t="e">
        <f>VLOOKUP($AW677,'Item Master Data'!$A:$F,3,FALSE)</f>
        <v>#N/A</v>
      </c>
      <c r="AY677" s="402" t="e">
        <f>VLOOKUP($AW677,'Item Master Data'!$A:$F,6,FALSE)</f>
        <v>#N/A</v>
      </c>
      <c r="AZ677" s="402" t="e">
        <f t="shared" si="154"/>
        <v>#N/A</v>
      </c>
      <c r="BA677" s="402" t="e">
        <f>VLOOKUP(AW677,'Item Master Data'!$A:$G,7,FALSE)</f>
        <v>#N/A</v>
      </c>
      <c r="BB677" s="402"/>
      <c r="BC677" s="402" t="e">
        <f t="shared" si="155"/>
        <v>#N/A</v>
      </c>
    </row>
    <row r="678" spans="1:55">
      <c r="A678" s="403"/>
      <c r="B678" s="399">
        <v>44650</v>
      </c>
      <c r="C678" s="399">
        <v>44650</v>
      </c>
      <c r="D678" s="405" t="s">
        <v>2330</v>
      </c>
      <c r="E678" s="393" t="s">
        <v>4871</v>
      </c>
      <c r="F678" s="401" t="s">
        <v>1139</v>
      </c>
      <c r="G678" s="405">
        <v>2022</v>
      </c>
      <c r="H678" s="405">
        <v>6</v>
      </c>
      <c r="I678" s="405"/>
      <c r="J678" s="406"/>
      <c r="K678" s="405" t="s">
        <v>2341</v>
      </c>
      <c r="L678" s="405" t="s">
        <v>2334</v>
      </c>
      <c r="M678" s="406">
        <v>44498</v>
      </c>
      <c r="N678" s="406">
        <v>44622</v>
      </c>
      <c r="O678" s="406"/>
      <c r="P678" s="406"/>
      <c r="Q678" s="406"/>
      <c r="R678" s="406"/>
      <c r="S678" s="405" t="s">
        <v>2332</v>
      </c>
      <c r="T678" s="405">
        <v>60</v>
      </c>
      <c r="U678" s="405" t="s">
        <v>1559</v>
      </c>
      <c r="V678" s="405" t="s">
        <v>973</v>
      </c>
      <c r="W678" s="405">
        <v>400</v>
      </c>
      <c r="X678" s="382">
        <v>576</v>
      </c>
      <c r="Y678" s="422">
        <f>W678*X678</f>
        <v>230400</v>
      </c>
      <c r="Z678" s="409">
        <v>0.64</v>
      </c>
      <c r="AA678" s="423">
        <f t="shared" si="136"/>
        <v>147456</v>
      </c>
      <c r="AB678" s="423"/>
      <c r="AC678" s="394">
        <v>0</v>
      </c>
      <c r="AD678" s="421"/>
      <c r="AE678" s="387"/>
      <c r="AF678" s="462">
        <f t="shared" si="137"/>
        <v>147456</v>
      </c>
      <c r="AG678" s="405" t="s">
        <v>1069</v>
      </c>
      <c r="AH678" s="388"/>
      <c r="AI678" s="405">
        <v>60</v>
      </c>
      <c r="AJ678" s="415" t="s">
        <v>2335</v>
      </c>
      <c r="AK678" s="405" t="s">
        <v>1953</v>
      </c>
      <c r="AL678" s="414" t="s">
        <v>2336</v>
      </c>
      <c r="AM678" s="405" t="s">
        <v>52</v>
      </c>
      <c r="AN678" s="405" t="s">
        <v>50</v>
      </c>
      <c r="AO678" s="405"/>
      <c r="AP678" s="413" t="s">
        <v>38</v>
      </c>
      <c r="AQ678" s="389" t="s">
        <v>37</v>
      </c>
      <c r="AR678" s="389" t="s">
        <v>1209</v>
      </c>
      <c r="AS678" s="404" t="s">
        <v>1073</v>
      </c>
      <c r="AT678" s="404" t="s">
        <v>1073</v>
      </c>
      <c r="AU678" s="409">
        <v>0.47499999999999998</v>
      </c>
      <c r="AV678" s="402" t="str">
        <f t="shared" si="153"/>
        <v>30390156H</v>
      </c>
      <c r="AW678" s="402" cm="1">
        <f t="array" ref="AW678">SUM(MID(0&amp;AV678,LARGE(INDEX(ISNUMBER(--MID(AV678,ROW($1:$8),1))*ROW($1:$8),),ROW($1:$8))+1,1)*10^ROW($1:$8)/10)</f>
        <v>30390156</v>
      </c>
      <c r="AX678" s="402" t="str">
        <f>VLOOKUP($AW678,'Item Master Data'!$A:$F,3,FALSE)</f>
        <v>Q.PEAK DUO BLK ML G10+</v>
      </c>
      <c r="AY678" s="402">
        <f>VLOOKUP($AW678,'Item Master Data'!$A:$F,6,FALSE)</f>
        <v>400</v>
      </c>
      <c r="AZ678" s="402">
        <f t="shared" si="154"/>
        <v>18</v>
      </c>
      <c r="BA678" s="402">
        <f>VLOOKUP(AW678,'Item Master Data'!$A:$G,7,FALSE)</f>
        <v>32</v>
      </c>
      <c r="BB678" s="402"/>
      <c r="BC678" s="402">
        <f t="shared" si="155"/>
        <v>0</v>
      </c>
    </row>
    <row r="679" spans="1:55">
      <c r="A679" s="403"/>
      <c r="B679" s="399"/>
      <c r="C679" s="399">
        <v>44669</v>
      </c>
      <c r="D679" s="405" t="s">
        <v>2330</v>
      </c>
      <c r="E679" s="393" t="s">
        <v>4063</v>
      </c>
      <c r="F679" s="401" t="s">
        <v>1139</v>
      </c>
      <c r="G679" s="405">
        <v>2022</v>
      </c>
      <c r="H679" s="405">
        <v>6</v>
      </c>
      <c r="I679" s="405"/>
      <c r="J679" s="406"/>
      <c r="K679" s="405" t="s">
        <v>4064</v>
      </c>
      <c r="L679" s="405" t="s">
        <v>2334</v>
      </c>
      <c r="M679" s="406">
        <v>44669</v>
      </c>
      <c r="N679" s="406">
        <v>44669</v>
      </c>
      <c r="O679" s="406"/>
      <c r="P679" s="406"/>
      <c r="Q679" s="406"/>
      <c r="R679" s="406"/>
      <c r="S679" s="405" t="s">
        <v>2332</v>
      </c>
      <c r="T679" s="405">
        <v>72</v>
      </c>
      <c r="U679" s="405" t="s">
        <v>1102</v>
      </c>
      <c r="V679" s="405" t="s">
        <v>1002</v>
      </c>
      <c r="W679" s="405">
        <v>480</v>
      </c>
      <c r="X679" s="382">
        <v>638</v>
      </c>
      <c r="Y679" s="422">
        <f>W679*X679</f>
        <v>306240</v>
      </c>
      <c r="Z679" s="409">
        <v>0.55000000000000004</v>
      </c>
      <c r="AA679" s="423">
        <f t="shared" si="136"/>
        <v>168432</v>
      </c>
      <c r="AB679" s="423"/>
      <c r="AC679" s="394">
        <v>0</v>
      </c>
      <c r="AD679" s="421"/>
      <c r="AE679" s="387"/>
      <c r="AF679" s="462">
        <f t="shared" si="137"/>
        <v>168432</v>
      </c>
      <c r="AG679" s="405" t="s">
        <v>1069</v>
      </c>
      <c r="AH679" s="388"/>
      <c r="AI679" s="405">
        <v>60</v>
      </c>
      <c r="AJ679" s="415" t="s">
        <v>2335</v>
      </c>
      <c r="AK679" s="405" t="s">
        <v>1953</v>
      </c>
      <c r="AL679" s="414" t="s">
        <v>2336</v>
      </c>
      <c r="AM679" s="405" t="s">
        <v>52</v>
      </c>
      <c r="AN679" s="405" t="s">
        <v>1071</v>
      </c>
      <c r="AO679" s="405"/>
      <c r="AP679" s="417"/>
      <c r="AQ679" s="389" t="s">
        <v>37</v>
      </c>
      <c r="AR679" s="389" t="s">
        <v>1209</v>
      </c>
      <c r="AS679" s="404" t="s">
        <v>1073</v>
      </c>
      <c r="AT679" s="404" t="s">
        <v>1073</v>
      </c>
      <c r="AU679" s="409">
        <v>0.47499999999999998</v>
      </c>
      <c r="AV679" s="402" t="str">
        <f t="shared" si="153"/>
        <v>TBD</v>
      </c>
      <c r="AW679" s="402" cm="1">
        <f t="array" ref="AW679">SUM(MID(0&amp;AV679,LARGE(INDEX(ISNUMBER(--MID(AV679,ROW($1:$8),1))*ROW($1:$8),),ROW($1:$8))+1,1)*10^ROW($1:$8)/10)</f>
        <v>0</v>
      </c>
      <c r="AX679" s="402" t="e">
        <f>VLOOKUP($AW679,'Item Master Data'!$A:$F,3,FALSE)</f>
        <v>#N/A</v>
      </c>
      <c r="AY679" s="402" t="e">
        <f>VLOOKUP($AW679,'Item Master Data'!$A:$F,6,FALSE)</f>
        <v>#N/A</v>
      </c>
      <c r="AZ679" s="402" t="e">
        <f t="shared" si="154"/>
        <v>#N/A</v>
      </c>
      <c r="BA679" s="402" t="e">
        <f>VLOOKUP(AW679,'Item Master Data'!$A:$G,7,FALSE)</f>
        <v>#N/A</v>
      </c>
      <c r="BB679" s="402"/>
      <c r="BC679" s="402" t="e">
        <f t="shared" si="155"/>
        <v>#N/A</v>
      </c>
    </row>
    <row r="680" spans="1:55">
      <c r="A680" s="403"/>
      <c r="B680" s="399"/>
      <c r="C680" s="399"/>
      <c r="D680" s="405" t="s">
        <v>2330</v>
      </c>
      <c r="E680" s="393" t="s">
        <v>4065</v>
      </c>
      <c r="F680" s="401" t="s">
        <v>1139</v>
      </c>
      <c r="G680" s="405">
        <v>2022</v>
      </c>
      <c r="H680" s="405">
        <v>6</v>
      </c>
      <c r="I680" s="405"/>
      <c r="J680" s="406"/>
      <c r="K680" s="405" t="s">
        <v>4066</v>
      </c>
      <c r="L680" s="405" t="s">
        <v>2334</v>
      </c>
      <c r="M680" s="406">
        <v>44665</v>
      </c>
      <c r="N680" s="406">
        <v>44669</v>
      </c>
      <c r="O680" s="406"/>
      <c r="P680" s="406"/>
      <c r="Q680" s="406"/>
      <c r="R680" s="406"/>
      <c r="S680" s="405" t="s">
        <v>2332</v>
      </c>
      <c r="T680" s="405">
        <v>72</v>
      </c>
      <c r="U680" s="405" t="s">
        <v>1102</v>
      </c>
      <c r="V680" s="405" t="s">
        <v>1068</v>
      </c>
      <c r="W680" s="405">
        <v>480</v>
      </c>
      <c r="X680" s="382">
        <v>2340</v>
      </c>
      <c r="Y680" s="422">
        <f>W680*X680</f>
        <v>1123200</v>
      </c>
      <c r="Z680" s="409">
        <v>0.55500000000000005</v>
      </c>
      <c r="AA680" s="423">
        <f t="shared" si="136"/>
        <v>623376</v>
      </c>
      <c r="AB680" s="423"/>
      <c r="AC680" s="394">
        <v>0</v>
      </c>
      <c r="AD680" s="421"/>
      <c r="AE680" s="387"/>
      <c r="AF680" s="462">
        <f t="shared" si="137"/>
        <v>623376</v>
      </c>
      <c r="AG680" s="405" t="s">
        <v>1069</v>
      </c>
      <c r="AH680" s="388"/>
      <c r="AI680" s="405">
        <v>60</v>
      </c>
      <c r="AJ680" s="415" t="s">
        <v>2335</v>
      </c>
      <c r="AK680" s="405" t="s">
        <v>1953</v>
      </c>
      <c r="AL680" s="414" t="s">
        <v>2336</v>
      </c>
      <c r="AM680" s="405" t="s">
        <v>52</v>
      </c>
      <c r="AN680" s="405" t="s">
        <v>1071</v>
      </c>
      <c r="AO680" s="405"/>
      <c r="AP680" s="417"/>
      <c r="AQ680" s="389" t="s">
        <v>37</v>
      </c>
      <c r="AR680" s="389" t="s">
        <v>1209</v>
      </c>
      <c r="AS680" s="404" t="s">
        <v>1073</v>
      </c>
      <c r="AT680" s="404" t="s">
        <v>1073</v>
      </c>
      <c r="AU680" s="409">
        <v>0.47499999999999998</v>
      </c>
      <c r="AV680" s="402"/>
      <c r="AW680" s="402"/>
      <c r="AX680" s="402"/>
      <c r="AY680" s="402"/>
      <c r="AZ680" s="402"/>
      <c r="BA680" s="402"/>
      <c r="BB680" s="402"/>
      <c r="BC680" s="402"/>
    </row>
    <row r="681" spans="1:55">
      <c r="A681" s="403"/>
      <c r="B681" s="399"/>
      <c r="C681" s="399"/>
      <c r="D681" s="405" t="s">
        <v>2330</v>
      </c>
      <c r="E681" s="393" t="s">
        <v>4065</v>
      </c>
      <c r="F681" s="401" t="s">
        <v>1139</v>
      </c>
      <c r="G681" s="405">
        <v>2022</v>
      </c>
      <c r="H681" s="405">
        <v>6</v>
      </c>
      <c r="I681" s="405"/>
      <c r="J681" s="406"/>
      <c r="K681" s="405" t="s">
        <v>4067</v>
      </c>
      <c r="L681" s="405" t="s">
        <v>2334</v>
      </c>
      <c r="M681" s="406">
        <v>44665</v>
      </c>
      <c r="N681" s="406">
        <v>44669</v>
      </c>
      <c r="O681" s="406"/>
      <c r="P681" s="406"/>
      <c r="Q681" s="406"/>
      <c r="R681" s="406"/>
      <c r="S681" s="405" t="s">
        <v>2332</v>
      </c>
      <c r="T681" s="405">
        <v>72</v>
      </c>
      <c r="U681" s="405" t="s">
        <v>1102</v>
      </c>
      <c r="V681" s="405" t="s">
        <v>1068</v>
      </c>
      <c r="W681" s="405">
        <v>480</v>
      </c>
      <c r="X681" s="382">
        <v>2220</v>
      </c>
      <c r="Y681" s="422">
        <f>W681*X681</f>
        <v>1065600</v>
      </c>
      <c r="Z681" s="409">
        <v>0.55500000000000005</v>
      </c>
      <c r="AA681" s="423">
        <f t="shared" si="136"/>
        <v>591408</v>
      </c>
      <c r="AB681" s="423"/>
      <c r="AC681" s="394">
        <v>0</v>
      </c>
      <c r="AD681" s="421"/>
      <c r="AE681" s="387"/>
      <c r="AF681" s="462">
        <f t="shared" si="137"/>
        <v>591408</v>
      </c>
      <c r="AG681" s="405" t="s">
        <v>1069</v>
      </c>
      <c r="AH681" s="388"/>
      <c r="AI681" s="405">
        <v>60</v>
      </c>
      <c r="AJ681" s="415" t="s">
        <v>2335</v>
      </c>
      <c r="AK681" s="405" t="s">
        <v>1953</v>
      </c>
      <c r="AL681" s="414" t="s">
        <v>2336</v>
      </c>
      <c r="AM681" s="405" t="s">
        <v>52</v>
      </c>
      <c r="AN681" s="405" t="s">
        <v>1071</v>
      </c>
      <c r="AO681" s="405"/>
      <c r="AP681" s="417"/>
      <c r="AQ681" s="389" t="s">
        <v>37</v>
      </c>
      <c r="AR681" s="389" t="s">
        <v>1209</v>
      </c>
      <c r="AS681" s="404" t="s">
        <v>1073</v>
      </c>
      <c r="AT681" s="404" t="s">
        <v>1073</v>
      </c>
      <c r="AU681" s="409">
        <v>0.47499999999999998</v>
      </c>
      <c r="AV681" s="402" t="str">
        <f t="shared" ref="AV681:AV687" si="156">U681</f>
        <v>TBD</v>
      </c>
      <c r="AW681" s="402" cm="1">
        <f t="array" ref="AW681">SUM(MID(0&amp;AV681,LARGE(INDEX(ISNUMBER(--MID(AV681,ROW($1:$8),1))*ROW($1:$8),),ROW($1:$8))+1,1)*10^ROW($1:$8)/10)</f>
        <v>0</v>
      </c>
      <c r="AX681" s="402" t="e">
        <f>VLOOKUP($AW681,'Item Master Data'!$A:$F,3,FALSE)</f>
        <v>#N/A</v>
      </c>
      <c r="AY681" s="402" t="e">
        <f>VLOOKUP($AW681,'Item Master Data'!$A:$F,6,FALSE)</f>
        <v>#N/A</v>
      </c>
      <c r="AZ681" s="402" t="e">
        <f t="shared" ref="AZ681:AZ687" si="157">X681/BA681</f>
        <v>#N/A</v>
      </c>
      <c r="BA681" s="402" t="e">
        <f>VLOOKUP(AW681,'Item Master Data'!$A:$G,7,FALSE)</f>
        <v>#N/A</v>
      </c>
      <c r="BB681" s="402"/>
      <c r="BC681" s="402" t="e">
        <f t="shared" ref="BC681:BC687" si="158">W681-AY681</f>
        <v>#N/A</v>
      </c>
    </row>
    <row r="682" spans="1:55">
      <c r="A682" s="403"/>
      <c r="B682" s="399">
        <v>44578</v>
      </c>
      <c r="C682" s="399">
        <v>44579</v>
      </c>
      <c r="D682" s="405" t="s">
        <v>2330</v>
      </c>
      <c r="E682" s="393" t="s">
        <v>4886</v>
      </c>
      <c r="F682" s="405" t="s">
        <v>1139</v>
      </c>
      <c r="G682" s="405">
        <v>2022</v>
      </c>
      <c r="H682" s="405">
        <v>6</v>
      </c>
      <c r="I682" s="405"/>
      <c r="J682" s="456"/>
      <c r="K682" s="414" t="s">
        <v>4571</v>
      </c>
      <c r="L682" s="405" t="s">
        <v>2342</v>
      </c>
      <c r="M682" s="406">
        <v>44456</v>
      </c>
      <c r="N682" s="406">
        <v>44536</v>
      </c>
      <c r="O682" s="406">
        <v>44682</v>
      </c>
      <c r="P682" s="406"/>
      <c r="Q682" s="406"/>
      <c r="R682" s="406"/>
      <c r="S682" s="405" t="s">
        <v>2332</v>
      </c>
      <c r="T682" s="405">
        <v>60</v>
      </c>
      <c r="U682" s="405">
        <v>49405140</v>
      </c>
      <c r="V682" s="405" t="s">
        <v>973</v>
      </c>
      <c r="W682" s="405">
        <v>400</v>
      </c>
      <c r="X682" s="407">
        <v>768</v>
      </c>
      <c r="Y682" s="422">
        <f>X682*W682</f>
        <v>307200</v>
      </c>
      <c r="Z682" s="409">
        <v>0.64</v>
      </c>
      <c r="AA682" s="423">
        <f t="shared" si="136"/>
        <v>196608</v>
      </c>
      <c r="AB682" s="423"/>
      <c r="AC682" s="394">
        <v>0</v>
      </c>
      <c r="AD682" s="421"/>
      <c r="AE682" s="413"/>
      <c r="AF682" s="462">
        <f t="shared" si="137"/>
        <v>196608</v>
      </c>
      <c r="AG682" s="405" t="s">
        <v>1069</v>
      </c>
      <c r="AH682" s="405"/>
      <c r="AI682" s="405">
        <v>60</v>
      </c>
      <c r="AJ682" s="406" t="s">
        <v>1127</v>
      </c>
      <c r="AK682" s="414" t="s">
        <v>1081</v>
      </c>
      <c r="AL682" s="414">
        <v>33064</v>
      </c>
      <c r="AM682" s="405" t="s">
        <v>52</v>
      </c>
      <c r="AN682" s="405" t="s">
        <v>1071</v>
      </c>
      <c r="AO682" s="405"/>
      <c r="AP682" s="413"/>
      <c r="AQ682" s="413" t="s">
        <v>37</v>
      </c>
      <c r="AR682" s="389" t="s">
        <v>1209</v>
      </c>
      <c r="AS682" s="386" t="s">
        <v>1073</v>
      </c>
      <c r="AT682" s="386" t="s">
        <v>1073</v>
      </c>
      <c r="AU682" s="409">
        <v>0.47499999999999998</v>
      </c>
      <c r="AV682" s="402">
        <f t="shared" si="156"/>
        <v>49405140</v>
      </c>
      <c r="AW682" s="402" cm="1">
        <f t="array" ref="AW682">SUM(MID(0&amp;AV682,LARGE(INDEX(ISNUMBER(--MID(AV682,ROW($1:$8),1))*ROW($1:$8),),ROW($1:$8))+1,1)*10^ROW($1:$8)/10)</f>
        <v>49405140</v>
      </c>
      <c r="AX682" s="402" t="str">
        <f>VLOOKUP($AW682,'Item Master Data'!$A:$F,3,FALSE)</f>
        <v>Q.PEAK DUO BLK ML G10+</v>
      </c>
      <c r="AY682" s="402">
        <f>VLOOKUP($AW682,'Item Master Data'!$A:$F,6,FALSE)</f>
        <v>400</v>
      </c>
      <c r="AZ682" s="402">
        <f t="shared" si="157"/>
        <v>24</v>
      </c>
      <c r="BA682" s="402">
        <f>VLOOKUP(AW682,'Item Master Data'!$A:$G,7,FALSE)</f>
        <v>32</v>
      </c>
      <c r="BB682" s="402"/>
      <c r="BC682" s="402">
        <f t="shared" si="158"/>
        <v>0</v>
      </c>
    </row>
    <row r="683" spans="1:55">
      <c r="A683" s="403"/>
      <c r="B683" s="399">
        <v>44635</v>
      </c>
      <c r="C683" s="399">
        <v>44636</v>
      </c>
      <c r="D683" s="405" t="s">
        <v>2330</v>
      </c>
      <c r="E683" s="393" t="s">
        <v>2344</v>
      </c>
      <c r="F683" s="405" t="s">
        <v>1139</v>
      </c>
      <c r="G683" s="405">
        <v>2022</v>
      </c>
      <c r="H683" s="405">
        <v>6</v>
      </c>
      <c r="I683" s="405"/>
      <c r="J683" s="456"/>
      <c r="K683" s="414" t="s">
        <v>4711</v>
      </c>
      <c r="L683" s="405" t="s">
        <v>2348</v>
      </c>
      <c r="M683" s="406">
        <v>44497</v>
      </c>
      <c r="N683" s="406">
        <v>44652</v>
      </c>
      <c r="O683" s="406"/>
      <c r="P683" s="406"/>
      <c r="Q683" s="406"/>
      <c r="R683" s="406"/>
      <c r="S683" s="405" t="s">
        <v>2332</v>
      </c>
      <c r="T683" s="405">
        <v>60</v>
      </c>
      <c r="U683" s="405">
        <v>49203132</v>
      </c>
      <c r="V683" s="405" t="s">
        <v>986</v>
      </c>
      <c r="W683" s="405">
        <v>360</v>
      </c>
      <c r="X683" s="407">
        <v>1664</v>
      </c>
      <c r="Y683" s="422">
        <f>X683*W683</f>
        <v>599040</v>
      </c>
      <c r="Z683" s="409">
        <v>0.53</v>
      </c>
      <c r="AA683" s="423">
        <f t="shared" si="136"/>
        <v>317491.20000000001</v>
      </c>
      <c r="AB683" s="423"/>
      <c r="AC683" s="394">
        <v>0</v>
      </c>
      <c r="AD683" s="421"/>
      <c r="AE683" s="413"/>
      <c r="AF683" s="462">
        <f t="shared" si="137"/>
        <v>317491.20000000001</v>
      </c>
      <c r="AG683" s="405" t="s">
        <v>1069</v>
      </c>
      <c r="AH683" s="405"/>
      <c r="AI683" s="405">
        <v>60</v>
      </c>
      <c r="AJ683" s="406" t="s">
        <v>1881</v>
      </c>
      <c r="AK683" s="414" t="s">
        <v>1081</v>
      </c>
      <c r="AL683" s="414">
        <v>32809</v>
      </c>
      <c r="AM683" s="405" t="s">
        <v>52</v>
      </c>
      <c r="AN683" s="405" t="s">
        <v>1071</v>
      </c>
      <c r="AO683" s="405"/>
      <c r="AP683" s="413"/>
      <c r="AQ683" s="413" t="s">
        <v>37</v>
      </c>
      <c r="AR683" s="389" t="s">
        <v>2352</v>
      </c>
      <c r="AS683" s="386" t="s">
        <v>1073</v>
      </c>
      <c r="AT683" s="386" t="s">
        <v>1073</v>
      </c>
      <c r="AU683" s="409">
        <v>0.5</v>
      </c>
      <c r="AV683" s="402">
        <f t="shared" si="156"/>
        <v>49203132</v>
      </c>
      <c r="AW683" s="402" cm="1">
        <f t="array" ref="AW683">SUM(MID(0&amp;AV683,LARGE(INDEX(ISNUMBER(--MID(AV683,ROW($1:$8),1))*ROW($1:$8),),ROW($1:$8))+1,1)*10^ROW($1:$8)/10)</f>
        <v>49203132</v>
      </c>
      <c r="AX683" s="402" t="str">
        <f>VLOOKUP($AW683,'Item Master Data'!$A:$F,3,FALSE)</f>
        <v>Q.PEAK DUO BLK G10+</v>
      </c>
      <c r="AY683" s="402">
        <f>VLOOKUP($AW683,'Item Master Data'!$A:$F,6,FALSE)</f>
        <v>360</v>
      </c>
      <c r="AZ683" s="402">
        <f t="shared" si="157"/>
        <v>52</v>
      </c>
      <c r="BA683" s="402">
        <f>VLOOKUP(AW683,'Item Master Data'!$A:$G,7,FALSE)</f>
        <v>32</v>
      </c>
      <c r="BB683" s="402"/>
      <c r="BC683" s="402">
        <f t="shared" si="158"/>
        <v>0</v>
      </c>
    </row>
    <row r="684" spans="1:55">
      <c r="A684" s="403"/>
      <c r="B684" s="399">
        <v>44629</v>
      </c>
      <c r="C684" s="399">
        <v>44629</v>
      </c>
      <c r="D684" s="405" t="s">
        <v>2330</v>
      </c>
      <c r="E684" s="393"/>
      <c r="F684" s="405" t="s">
        <v>1139</v>
      </c>
      <c r="G684" s="405">
        <v>2022</v>
      </c>
      <c r="H684" s="405">
        <v>6</v>
      </c>
      <c r="I684" s="405"/>
      <c r="J684" s="456"/>
      <c r="K684" s="414" t="s">
        <v>2356</v>
      </c>
      <c r="L684" s="405" t="s">
        <v>2348</v>
      </c>
      <c r="M684" s="406">
        <v>44519</v>
      </c>
      <c r="N684" s="406">
        <v>44652</v>
      </c>
      <c r="O684" s="406"/>
      <c r="P684" s="406"/>
      <c r="Q684" s="406"/>
      <c r="R684" s="406"/>
      <c r="S684" s="405" t="s">
        <v>2332</v>
      </c>
      <c r="T684" s="405">
        <v>60</v>
      </c>
      <c r="U684" s="405">
        <v>49405140</v>
      </c>
      <c r="V684" s="405" t="s">
        <v>973</v>
      </c>
      <c r="W684" s="405">
        <v>400</v>
      </c>
      <c r="X684" s="407">
        <f>6912-832</f>
        <v>6080</v>
      </c>
      <c r="Y684" s="422">
        <f>X684*W684</f>
        <v>2432000</v>
      </c>
      <c r="Z684" s="409">
        <v>0.55000000000000004</v>
      </c>
      <c r="AA684" s="423">
        <f t="shared" si="136"/>
        <v>1337600</v>
      </c>
      <c r="AB684" s="423"/>
      <c r="AC684" s="394">
        <v>0</v>
      </c>
      <c r="AD684" s="421"/>
      <c r="AE684" s="413"/>
      <c r="AF684" s="462">
        <f t="shared" si="137"/>
        <v>1337600</v>
      </c>
      <c r="AG684" s="405" t="s">
        <v>1069</v>
      </c>
      <c r="AH684" s="405"/>
      <c r="AI684" s="405">
        <v>60</v>
      </c>
      <c r="AJ684" s="406" t="s">
        <v>1881</v>
      </c>
      <c r="AK684" s="414" t="s">
        <v>1081</v>
      </c>
      <c r="AL684" s="414" t="s">
        <v>2349</v>
      </c>
      <c r="AM684" s="405" t="s">
        <v>52</v>
      </c>
      <c r="AN684" s="405" t="s">
        <v>1071</v>
      </c>
      <c r="AO684" s="405"/>
      <c r="AP684" s="413"/>
      <c r="AQ684" s="413" t="s">
        <v>37</v>
      </c>
      <c r="AR684" s="389" t="s">
        <v>1209</v>
      </c>
      <c r="AS684" s="386" t="s">
        <v>1084</v>
      </c>
      <c r="AT684" s="386" t="s">
        <v>1073</v>
      </c>
      <c r="AU684" s="409">
        <v>0.47499999999999998</v>
      </c>
      <c r="AV684" s="402">
        <f t="shared" si="156"/>
        <v>49405140</v>
      </c>
      <c r="AW684" s="402" cm="1">
        <f t="array" ref="AW684">SUM(MID(0&amp;AV684,LARGE(INDEX(ISNUMBER(--MID(AV684,ROW($1:$8),1))*ROW($1:$8),),ROW($1:$8))+1,1)*10^ROW($1:$8)/10)</f>
        <v>49405140</v>
      </c>
      <c r="AX684" s="402" t="str">
        <f>VLOOKUP($AW684,'Item Master Data'!$A:$F,3,FALSE)</f>
        <v>Q.PEAK DUO BLK ML G10+</v>
      </c>
      <c r="AY684" s="402">
        <f>VLOOKUP($AW684,'Item Master Data'!$A:$F,6,FALSE)</f>
        <v>400</v>
      </c>
      <c r="AZ684" s="402">
        <f t="shared" si="157"/>
        <v>190</v>
      </c>
      <c r="BA684" s="402">
        <f>VLOOKUP(AW684,'Item Master Data'!$A:$G,7,FALSE)</f>
        <v>32</v>
      </c>
      <c r="BB684" s="402"/>
      <c r="BC684" s="402">
        <f t="shared" si="158"/>
        <v>0</v>
      </c>
    </row>
    <row r="685" spans="1:55">
      <c r="A685" s="403"/>
      <c r="B685" s="399">
        <v>44629</v>
      </c>
      <c r="C685" s="399">
        <v>44629</v>
      </c>
      <c r="D685" s="405" t="s">
        <v>2330</v>
      </c>
      <c r="E685" s="393"/>
      <c r="F685" s="405" t="s">
        <v>1139</v>
      </c>
      <c r="G685" s="405">
        <v>2022</v>
      </c>
      <c r="H685" s="405">
        <v>6</v>
      </c>
      <c r="I685" s="405"/>
      <c r="J685" s="456"/>
      <c r="K685" s="414" t="s">
        <v>2366</v>
      </c>
      <c r="L685" s="405" t="s">
        <v>2348</v>
      </c>
      <c r="M685" s="406">
        <v>44519</v>
      </c>
      <c r="N685" s="406">
        <v>44652</v>
      </c>
      <c r="O685" s="406"/>
      <c r="P685" s="406"/>
      <c r="Q685" s="406"/>
      <c r="R685" s="406"/>
      <c r="S685" s="405" t="s">
        <v>2332</v>
      </c>
      <c r="T685" s="405">
        <v>60</v>
      </c>
      <c r="U685" s="405">
        <v>49405140</v>
      </c>
      <c r="V685" s="405" t="s">
        <v>973</v>
      </c>
      <c r="W685" s="405">
        <v>400</v>
      </c>
      <c r="X685" s="407">
        <v>5504</v>
      </c>
      <c r="Y685" s="422">
        <f>X685*W685</f>
        <v>2201600</v>
      </c>
      <c r="Z685" s="409">
        <v>0.55000000000000004</v>
      </c>
      <c r="AA685" s="423">
        <f t="shared" si="136"/>
        <v>1210880</v>
      </c>
      <c r="AB685" s="423"/>
      <c r="AC685" s="394">
        <v>0</v>
      </c>
      <c r="AD685" s="421"/>
      <c r="AE685" s="413"/>
      <c r="AF685" s="462">
        <f t="shared" si="137"/>
        <v>1210880</v>
      </c>
      <c r="AG685" s="405" t="s">
        <v>1069</v>
      </c>
      <c r="AH685" s="405"/>
      <c r="AI685" s="405">
        <v>60</v>
      </c>
      <c r="AJ685" s="406" t="s">
        <v>1881</v>
      </c>
      <c r="AK685" s="414" t="s">
        <v>1081</v>
      </c>
      <c r="AL685" s="414" t="s">
        <v>2349</v>
      </c>
      <c r="AM685" s="405" t="s">
        <v>52</v>
      </c>
      <c r="AN685" s="405" t="s">
        <v>1071</v>
      </c>
      <c r="AO685" s="405"/>
      <c r="AP685" s="413"/>
      <c r="AQ685" s="413" t="s">
        <v>37</v>
      </c>
      <c r="AR685" s="389" t="s">
        <v>1209</v>
      </c>
      <c r="AS685" s="386" t="s">
        <v>1084</v>
      </c>
      <c r="AT685" s="386" t="s">
        <v>1073</v>
      </c>
      <c r="AU685" s="409">
        <v>0.47499999999999998</v>
      </c>
      <c r="AV685" s="402">
        <f t="shared" si="156"/>
        <v>49405140</v>
      </c>
      <c r="AW685" s="402" cm="1">
        <f t="array" ref="AW685">SUM(MID(0&amp;AV685,LARGE(INDEX(ISNUMBER(--MID(AV685,ROW($1:$8),1))*ROW($1:$8),),ROW($1:$8))+1,1)*10^ROW($1:$8)/10)</f>
        <v>49405140</v>
      </c>
      <c r="AX685" s="402" t="str">
        <f>VLOOKUP($AW685,'Item Master Data'!$A:$F,3,FALSE)</f>
        <v>Q.PEAK DUO BLK ML G10+</v>
      </c>
      <c r="AY685" s="402">
        <f>VLOOKUP($AW685,'Item Master Data'!$A:$F,6,FALSE)</f>
        <v>400</v>
      </c>
      <c r="AZ685" s="402">
        <f t="shared" si="157"/>
        <v>172</v>
      </c>
      <c r="BA685" s="402">
        <f>VLOOKUP(AW685,'Item Master Data'!$A:$G,7,FALSE)</f>
        <v>32</v>
      </c>
      <c r="BB685" s="402"/>
      <c r="BC685" s="402">
        <f t="shared" si="158"/>
        <v>0</v>
      </c>
    </row>
    <row r="686" spans="1:55">
      <c r="A686" s="403" t="s">
        <v>4585</v>
      </c>
      <c r="B686" s="397"/>
      <c r="C686" s="397"/>
      <c r="D686" s="405" t="s">
        <v>2330</v>
      </c>
      <c r="E686" s="393" t="s">
        <v>4884</v>
      </c>
      <c r="F686" s="405" t="s">
        <v>1139</v>
      </c>
      <c r="G686" s="405">
        <v>2022</v>
      </c>
      <c r="H686" s="405">
        <v>5</v>
      </c>
      <c r="I686" s="405"/>
      <c r="J686" s="456"/>
      <c r="K686" s="405" t="s">
        <v>2405</v>
      </c>
      <c r="L686" s="405" t="s">
        <v>2013</v>
      </c>
      <c r="M686" s="406">
        <v>44566</v>
      </c>
      <c r="N686" s="406">
        <v>44691</v>
      </c>
      <c r="O686" s="406"/>
      <c r="P686" s="406"/>
      <c r="Q686" s="406" t="s">
        <v>4598</v>
      </c>
      <c r="R686" s="406"/>
      <c r="S686" s="405" t="s">
        <v>2332</v>
      </c>
      <c r="T686" s="405">
        <v>60</v>
      </c>
      <c r="U686" s="405">
        <v>49202132</v>
      </c>
      <c r="V686" s="405" t="s">
        <v>1192</v>
      </c>
      <c r="W686" s="405">
        <v>360</v>
      </c>
      <c r="X686" s="407">
        <f>4992-2496</f>
        <v>2496</v>
      </c>
      <c r="Y686" s="422">
        <f>W686*X686</f>
        <v>898560</v>
      </c>
      <c r="Z686" s="409">
        <v>0.9</v>
      </c>
      <c r="AA686" s="423">
        <f t="shared" si="136"/>
        <v>808704</v>
      </c>
      <c r="AB686" s="423"/>
      <c r="AC686" s="394">
        <v>0</v>
      </c>
      <c r="AD686" s="421"/>
      <c r="AE686" s="413"/>
      <c r="AF686" s="462">
        <f t="shared" si="137"/>
        <v>808704</v>
      </c>
      <c r="AG686" s="405" t="s">
        <v>1069</v>
      </c>
      <c r="AH686" s="405"/>
      <c r="AI686" s="405">
        <v>60</v>
      </c>
      <c r="AJ686" s="415" t="s">
        <v>2014</v>
      </c>
      <c r="AK686" s="405" t="s">
        <v>1081</v>
      </c>
      <c r="AL686" s="414" t="s">
        <v>2015</v>
      </c>
      <c r="AM686" s="405" t="s">
        <v>52</v>
      </c>
      <c r="AN686" s="405" t="s">
        <v>1101</v>
      </c>
      <c r="AO686" s="405"/>
      <c r="AP686" s="413"/>
      <c r="AQ686" s="413" t="s">
        <v>37</v>
      </c>
      <c r="AR686" s="413" t="s">
        <v>2395</v>
      </c>
      <c r="AS686" s="386" t="s">
        <v>1073</v>
      </c>
      <c r="AT686" s="386" t="s">
        <v>1073</v>
      </c>
      <c r="AU686" s="409">
        <v>0.73</v>
      </c>
      <c r="AV686" s="402">
        <f t="shared" si="156"/>
        <v>49202132</v>
      </c>
      <c r="AW686" s="402" cm="1">
        <f t="array" ref="AW686">SUM(MID(0&amp;AV686,LARGE(INDEX(ISNUMBER(--MID(AV686,ROW($1:$8),1))*ROW($1:$8),),ROW($1:$8))+1,1)*10^ROW($1:$8)/10)</f>
        <v>49202132</v>
      </c>
      <c r="AX686" s="402" t="str">
        <f>VLOOKUP($AW686,'Item Master Data'!$A:$F,3,FALSE)</f>
        <v>Q.PEAK DUO BLK G10+/AC</v>
      </c>
      <c r="AY686" s="402">
        <f>VLOOKUP($AW686,'Item Master Data'!$A:$F,6,FALSE)</f>
        <v>360</v>
      </c>
      <c r="AZ686" s="402">
        <f t="shared" si="157"/>
        <v>96</v>
      </c>
      <c r="BA686" s="402">
        <f>VLOOKUP(AW686,'Item Master Data'!$A:$G,7,FALSE)</f>
        <v>26</v>
      </c>
      <c r="BB686" s="402"/>
      <c r="BC686" s="402">
        <f t="shared" si="158"/>
        <v>0</v>
      </c>
    </row>
    <row r="687" spans="1:55">
      <c r="A687" s="403"/>
      <c r="B687" s="397">
        <v>44665</v>
      </c>
      <c r="C687" s="397">
        <v>44666</v>
      </c>
      <c r="D687" s="405" t="s">
        <v>2330</v>
      </c>
      <c r="E687" s="393" t="s">
        <v>2367</v>
      </c>
      <c r="F687" s="401" t="s">
        <v>1139</v>
      </c>
      <c r="G687" s="405">
        <v>2022</v>
      </c>
      <c r="H687" s="405">
        <v>6</v>
      </c>
      <c r="I687" s="405"/>
      <c r="J687" s="406"/>
      <c r="K687" s="405" t="s">
        <v>4983</v>
      </c>
      <c r="L687" s="405" t="s">
        <v>2348</v>
      </c>
      <c r="M687" s="406">
        <v>44550</v>
      </c>
      <c r="N687" s="406">
        <v>44577</v>
      </c>
      <c r="O687" s="406"/>
      <c r="P687" s="406"/>
      <c r="Q687" s="406"/>
      <c r="R687" s="406"/>
      <c r="S687" s="405" t="s">
        <v>2332</v>
      </c>
      <c r="T687" s="405">
        <v>60</v>
      </c>
      <c r="U687" s="405">
        <v>49204132</v>
      </c>
      <c r="V687" s="405" t="s">
        <v>1192</v>
      </c>
      <c r="W687" s="405">
        <v>360</v>
      </c>
      <c r="X687" s="382">
        <v>832</v>
      </c>
      <c r="Y687" s="422">
        <f>W687*X687</f>
        <v>299520</v>
      </c>
      <c r="Z687" s="409">
        <v>0.8</v>
      </c>
      <c r="AA687" s="423">
        <f t="shared" si="136"/>
        <v>239616</v>
      </c>
      <c r="AB687" s="423"/>
      <c r="AC687" s="394">
        <v>0</v>
      </c>
      <c r="AD687" s="421"/>
      <c r="AE687" s="387"/>
      <c r="AF687" s="462">
        <f t="shared" si="137"/>
        <v>239616</v>
      </c>
      <c r="AG687" s="405" t="s">
        <v>1069</v>
      </c>
      <c r="AH687" s="388"/>
      <c r="AI687" s="405">
        <v>60</v>
      </c>
      <c r="AJ687" s="415" t="s">
        <v>1881</v>
      </c>
      <c r="AK687" s="405" t="s">
        <v>1081</v>
      </c>
      <c r="AL687" s="414" t="s">
        <v>2349</v>
      </c>
      <c r="AM687" s="405" t="s">
        <v>52</v>
      </c>
      <c r="AN687" s="405" t="s">
        <v>1071</v>
      </c>
      <c r="AO687" s="405"/>
      <c r="AP687" s="417"/>
      <c r="AQ687" s="389" t="s">
        <v>37</v>
      </c>
      <c r="AR687" s="389" t="s">
        <v>2352</v>
      </c>
      <c r="AS687" s="404" t="s">
        <v>1084</v>
      </c>
      <c r="AT687" s="404" t="s">
        <v>1073</v>
      </c>
      <c r="AU687" s="409">
        <v>0.73</v>
      </c>
      <c r="AV687" s="402">
        <f t="shared" si="156"/>
        <v>49204132</v>
      </c>
      <c r="AW687" s="402" cm="1">
        <f t="array" ref="AW687">SUM(MID(0&amp;AV687,LARGE(INDEX(ISNUMBER(--MID(AV687,ROW($1:$8),1))*ROW($1:$8),),ROW($1:$8))+1,1)*10^ROW($1:$8)/10)</f>
        <v>49204132</v>
      </c>
      <c r="AX687" s="402" t="str">
        <f>VLOOKUP($AW687,'Item Master Data'!$A:$F,3,FALSE)</f>
        <v>Q.PEAK DUO BLK G10+/AC</v>
      </c>
      <c r="AY687" s="402">
        <f>VLOOKUP($AW687,'Item Master Data'!$A:$F,6,FALSE)</f>
        <v>360</v>
      </c>
      <c r="AZ687" s="402">
        <f t="shared" si="157"/>
        <v>32</v>
      </c>
      <c r="BA687" s="402">
        <f>VLOOKUP(AW687,'Item Master Data'!$A:$G,7,FALSE)</f>
        <v>26</v>
      </c>
      <c r="BB687" s="402"/>
      <c r="BC687" s="402">
        <f t="shared" si="158"/>
        <v>0</v>
      </c>
    </row>
    <row r="688" spans="1:55">
      <c r="A688" s="403"/>
      <c r="B688" s="397">
        <v>44657</v>
      </c>
      <c r="C688" s="397">
        <v>44657</v>
      </c>
      <c r="D688" s="405" t="s">
        <v>2330</v>
      </c>
      <c r="E688" s="393" t="s">
        <v>2367</v>
      </c>
      <c r="F688" s="401" t="s">
        <v>1139</v>
      </c>
      <c r="G688" s="405">
        <v>2022</v>
      </c>
      <c r="H688" s="405">
        <v>6</v>
      </c>
      <c r="I688" s="405"/>
      <c r="J688" s="406"/>
      <c r="K688" s="405" t="s">
        <v>2370</v>
      </c>
      <c r="L688" s="405" t="s">
        <v>2348</v>
      </c>
      <c r="M688" s="406">
        <v>44655</v>
      </c>
      <c r="N688" s="406">
        <v>44743</v>
      </c>
      <c r="O688" s="406"/>
      <c r="P688" s="406"/>
      <c r="Q688" s="406"/>
      <c r="R688" s="406"/>
      <c r="S688" s="405" t="s">
        <v>2332</v>
      </c>
      <c r="T688" s="405">
        <v>60</v>
      </c>
      <c r="U688" s="405">
        <v>49203132</v>
      </c>
      <c r="V688" s="405" t="s">
        <v>986</v>
      </c>
      <c r="W688" s="405">
        <v>360</v>
      </c>
      <c r="X688" s="382">
        <v>2496</v>
      </c>
      <c r="Y688" s="422">
        <f t="shared" ref="Y688:Y698" si="159">X688*W688</f>
        <v>898560</v>
      </c>
      <c r="Z688" s="409">
        <v>0.53</v>
      </c>
      <c r="AA688" s="423">
        <f t="shared" si="136"/>
        <v>476236.80000000005</v>
      </c>
      <c r="AB688" s="423"/>
      <c r="AC688" s="394">
        <v>0</v>
      </c>
      <c r="AD688" s="421"/>
      <c r="AE688" s="387"/>
      <c r="AF688" s="462">
        <v>952473.60000000009</v>
      </c>
      <c r="AG688" s="405" t="s">
        <v>1069</v>
      </c>
      <c r="AH688" s="388"/>
      <c r="AI688" s="405">
        <v>60</v>
      </c>
      <c r="AJ688" s="415" t="s">
        <v>1881</v>
      </c>
      <c r="AK688" s="405" t="s">
        <v>1081</v>
      </c>
      <c r="AL688" s="414" t="s">
        <v>2349</v>
      </c>
      <c r="AM688" s="405" t="s">
        <v>52</v>
      </c>
      <c r="AN688" s="405" t="s">
        <v>1071</v>
      </c>
      <c r="AO688" s="405"/>
      <c r="AP688" s="417"/>
      <c r="AQ688" s="389" t="s">
        <v>37</v>
      </c>
      <c r="AR688" s="389" t="s">
        <v>2352</v>
      </c>
      <c r="AS688" s="404" t="s">
        <v>1084</v>
      </c>
      <c r="AT688" s="404" t="s">
        <v>1073</v>
      </c>
      <c r="AU688" s="409">
        <v>0.73</v>
      </c>
      <c r="AV688" s="402"/>
      <c r="AW688" s="402"/>
      <c r="AX688" s="402"/>
      <c r="AY688" s="402"/>
      <c r="AZ688" s="402"/>
      <c r="BA688" s="402"/>
      <c r="BB688" s="402"/>
      <c r="BC688" s="402"/>
    </row>
    <row r="689" spans="1:55">
      <c r="A689" s="403"/>
      <c r="B689" s="399">
        <v>44664</v>
      </c>
      <c r="C689" s="399">
        <v>44664</v>
      </c>
      <c r="D689" s="405" t="s">
        <v>2330</v>
      </c>
      <c r="E689" s="393"/>
      <c r="F689" s="405" t="s">
        <v>1139</v>
      </c>
      <c r="G689" s="405">
        <v>2022</v>
      </c>
      <c r="H689" s="405">
        <v>6</v>
      </c>
      <c r="I689" s="405"/>
      <c r="J689" s="456"/>
      <c r="K689" s="414" t="s">
        <v>2357</v>
      </c>
      <c r="L689" s="405" t="s">
        <v>2348</v>
      </c>
      <c r="M689" s="406">
        <v>44657</v>
      </c>
      <c r="N689" s="406">
        <v>44682</v>
      </c>
      <c r="O689" s="406"/>
      <c r="P689" s="406"/>
      <c r="Q689" s="406"/>
      <c r="R689" s="406"/>
      <c r="S689" s="405" t="s">
        <v>2332</v>
      </c>
      <c r="T689" s="405">
        <v>72</v>
      </c>
      <c r="U689" s="405" t="s">
        <v>1102</v>
      </c>
      <c r="V689" s="405" t="s">
        <v>1068</v>
      </c>
      <c r="W689" s="405">
        <v>480</v>
      </c>
      <c r="X689" s="407">
        <v>580</v>
      </c>
      <c r="Y689" s="422">
        <f t="shared" si="159"/>
        <v>278400</v>
      </c>
      <c r="Z689" s="409">
        <v>0.505</v>
      </c>
      <c r="AA689" s="423">
        <f t="shared" si="136"/>
        <v>140592</v>
      </c>
      <c r="AB689" s="423"/>
      <c r="AC689" s="394">
        <v>0</v>
      </c>
      <c r="AD689" s="421"/>
      <c r="AE689" s="413"/>
      <c r="AF689" s="462">
        <f t="shared" ref="AF689:AF726" si="160">AA689+AE689</f>
        <v>140592</v>
      </c>
      <c r="AG689" s="405" t="s">
        <v>1069</v>
      </c>
      <c r="AH689" s="405"/>
      <c r="AI689" s="405">
        <v>60</v>
      </c>
      <c r="AJ689" s="406" t="s">
        <v>1881</v>
      </c>
      <c r="AK689" s="414" t="s">
        <v>1081</v>
      </c>
      <c r="AL689" s="414">
        <v>32809</v>
      </c>
      <c r="AM689" s="405" t="s">
        <v>52</v>
      </c>
      <c r="AN689" s="405" t="s">
        <v>1071</v>
      </c>
      <c r="AO689" s="405"/>
      <c r="AP689" s="413"/>
      <c r="AQ689" s="413" t="s">
        <v>37</v>
      </c>
      <c r="AR689" s="389" t="s">
        <v>2352</v>
      </c>
      <c r="AS689" s="386" t="s">
        <v>1073</v>
      </c>
      <c r="AT689" s="386" t="s">
        <v>1073</v>
      </c>
      <c r="AU689" s="409">
        <v>0.5</v>
      </c>
      <c r="AV689" s="402" t="str">
        <f>U689</f>
        <v>TBD</v>
      </c>
      <c r="AW689" s="402" cm="1">
        <f t="array" ref="AW689">SUM(MID(0&amp;AV689,LARGE(INDEX(ISNUMBER(--MID(AV689,ROW($1:$8),1))*ROW($1:$8),),ROW($1:$8))+1,1)*10^ROW($1:$8)/10)</f>
        <v>0</v>
      </c>
      <c r="AX689" s="402" t="e">
        <f>VLOOKUP($AW689,'Item Master Data'!$A:$F,3,FALSE)</f>
        <v>#N/A</v>
      </c>
      <c r="AY689" s="402" t="e">
        <f>VLOOKUP($AW689,'Item Master Data'!$A:$F,6,FALSE)</f>
        <v>#N/A</v>
      </c>
      <c r="AZ689" s="402" t="e">
        <f>X689/BA689</f>
        <v>#N/A</v>
      </c>
      <c r="BA689" s="402" t="e">
        <f>VLOOKUP(AW689,'Item Master Data'!$A:$G,7,FALSE)</f>
        <v>#N/A</v>
      </c>
      <c r="BB689" s="402"/>
      <c r="BC689" s="402" t="e">
        <f>W689-AY689</f>
        <v>#N/A</v>
      </c>
    </row>
    <row r="690" spans="1:55">
      <c r="A690" s="403"/>
      <c r="B690" s="399">
        <v>44664</v>
      </c>
      <c r="C690" s="399">
        <v>44664</v>
      </c>
      <c r="D690" s="405" t="s">
        <v>2330</v>
      </c>
      <c r="E690" s="393"/>
      <c r="F690" s="405" t="s">
        <v>1139</v>
      </c>
      <c r="G690" s="405">
        <v>2022</v>
      </c>
      <c r="H690" s="405">
        <v>6</v>
      </c>
      <c r="I690" s="405"/>
      <c r="J690" s="456"/>
      <c r="K690" s="414" t="s">
        <v>2359</v>
      </c>
      <c r="L690" s="405" t="s">
        <v>2348</v>
      </c>
      <c r="M690" s="406">
        <v>44657</v>
      </c>
      <c r="N690" s="406">
        <v>44682</v>
      </c>
      <c r="O690" s="406"/>
      <c r="P690" s="406"/>
      <c r="Q690" s="406"/>
      <c r="R690" s="406"/>
      <c r="S690" s="405" t="s">
        <v>2332</v>
      </c>
      <c r="T690" s="405">
        <v>72</v>
      </c>
      <c r="U690" s="405" t="s">
        <v>1102</v>
      </c>
      <c r="V690" s="405" t="s">
        <v>1068</v>
      </c>
      <c r="W690" s="405">
        <v>480</v>
      </c>
      <c r="X690" s="407">
        <v>2320</v>
      </c>
      <c r="Y690" s="422">
        <f t="shared" si="159"/>
        <v>1113600</v>
      </c>
      <c r="Z690" s="409">
        <v>0.505</v>
      </c>
      <c r="AA690" s="423">
        <f t="shared" si="136"/>
        <v>562368</v>
      </c>
      <c r="AB690" s="423"/>
      <c r="AC690" s="394">
        <v>0</v>
      </c>
      <c r="AD690" s="421"/>
      <c r="AE690" s="413"/>
      <c r="AF690" s="462">
        <f t="shared" si="160"/>
        <v>562368</v>
      </c>
      <c r="AG690" s="405" t="s">
        <v>1069</v>
      </c>
      <c r="AH690" s="405"/>
      <c r="AI690" s="405">
        <v>60</v>
      </c>
      <c r="AJ690" s="406" t="s">
        <v>1881</v>
      </c>
      <c r="AK690" s="414" t="s">
        <v>1081</v>
      </c>
      <c r="AL690" s="414">
        <v>32809</v>
      </c>
      <c r="AM690" s="405" t="s">
        <v>52</v>
      </c>
      <c r="AN690" s="405" t="s">
        <v>1071</v>
      </c>
      <c r="AO690" s="405"/>
      <c r="AP690" s="413"/>
      <c r="AQ690" s="413" t="s">
        <v>37</v>
      </c>
      <c r="AR690" s="389" t="s">
        <v>2352</v>
      </c>
      <c r="AS690" s="386" t="s">
        <v>1073</v>
      </c>
      <c r="AT690" s="386" t="s">
        <v>1073</v>
      </c>
      <c r="AU690" s="409">
        <v>0.5</v>
      </c>
      <c r="AV690" s="402" t="str">
        <f>U690</f>
        <v>TBD</v>
      </c>
      <c r="AW690" s="402" cm="1">
        <f t="array" ref="AW690">SUM(MID(0&amp;AV690,LARGE(INDEX(ISNUMBER(--MID(AV690,ROW($1:$8),1))*ROW($1:$8),),ROW($1:$8))+1,1)*10^ROW($1:$8)/10)</f>
        <v>0</v>
      </c>
      <c r="AX690" s="402" t="e">
        <f>VLOOKUP($AW690,'Item Master Data'!$A:$F,3,FALSE)</f>
        <v>#N/A</v>
      </c>
      <c r="AY690" s="402" t="e">
        <f>VLOOKUP($AW690,'Item Master Data'!$A:$F,6,FALSE)</f>
        <v>#N/A</v>
      </c>
      <c r="AZ690" s="402" t="e">
        <f>X690/BA690</f>
        <v>#N/A</v>
      </c>
      <c r="BA690" s="402" t="e">
        <f>VLOOKUP(AW690,'Item Master Data'!$A:$G,7,FALSE)</f>
        <v>#N/A</v>
      </c>
      <c r="BB690" s="402"/>
      <c r="BC690" s="402" t="e">
        <f>W690-AY690</f>
        <v>#N/A</v>
      </c>
    </row>
    <row r="691" spans="1:55">
      <c r="A691" s="403"/>
      <c r="B691" s="399">
        <v>44664</v>
      </c>
      <c r="C691" s="399">
        <v>44664</v>
      </c>
      <c r="D691" s="405" t="s">
        <v>2330</v>
      </c>
      <c r="E691" s="393"/>
      <c r="F691" s="405" t="s">
        <v>1139</v>
      </c>
      <c r="G691" s="405">
        <v>2022</v>
      </c>
      <c r="H691" s="405">
        <v>6</v>
      </c>
      <c r="I691" s="405"/>
      <c r="J691" s="456"/>
      <c r="K691" s="414" t="s">
        <v>4572</v>
      </c>
      <c r="L691" s="405" t="s">
        <v>2348</v>
      </c>
      <c r="M691" s="406">
        <v>44657</v>
      </c>
      <c r="N691" s="406">
        <v>44713</v>
      </c>
      <c r="O691" s="406"/>
      <c r="P691" s="406"/>
      <c r="Q691" s="406"/>
      <c r="R691" s="406"/>
      <c r="S691" s="405" t="s">
        <v>2332</v>
      </c>
      <c r="T691" s="405">
        <v>72</v>
      </c>
      <c r="U691" s="405" t="s">
        <v>1102</v>
      </c>
      <c r="V691" s="405" t="s">
        <v>1068</v>
      </c>
      <c r="W691" s="405">
        <v>480</v>
      </c>
      <c r="X691" s="407">
        <v>2320</v>
      </c>
      <c r="Y691" s="422">
        <f t="shared" si="159"/>
        <v>1113600</v>
      </c>
      <c r="Z691" s="409">
        <v>0.505</v>
      </c>
      <c r="AA691" s="423">
        <f t="shared" ref="AA691:AA754" si="161">Z691*Y691</f>
        <v>562368</v>
      </c>
      <c r="AB691" s="423"/>
      <c r="AC691" s="394">
        <v>0</v>
      </c>
      <c r="AD691" s="421"/>
      <c r="AE691" s="413"/>
      <c r="AF691" s="462">
        <f t="shared" si="160"/>
        <v>562368</v>
      </c>
      <c r="AG691" s="405" t="s">
        <v>1069</v>
      </c>
      <c r="AH691" s="405"/>
      <c r="AI691" s="405">
        <v>60</v>
      </c>
      <c r="AJ691" s="406" t="s">
        <v>1881</v>
      </c>
      <c r="AK691" s="414" t="s">
        <v>1081</v>
      </c>
      <c r="AL691" s="414">
        <v>32809</v>
      </c>
      <c r="AM691" s="405" t="s">
        <v>52</v>
      </c>
      <c r="AN691" s="405" t="s">
        <v>1071</v>
      </c>
      <c r="AO691" s="405"/>
      <c r="AP691" s="413"/>
      <c r="AQ691" s="413" t="s">
        <v>37</v>
      </c>
      <c r="AR691" s="389" t="s">
        <v>2352</v>
      </c>
      <c r="AS691" s="386" t="s">
        <v>1073</v>
      </c>
      <c r="AT691" s="386" t="s">
        <v>1073</v>
      </c>
      <c r="AU691" s="409">
        <v>0.5</v>
      </c>
      <c r="AV691" s="402" t="str">
        <f>U691</f>
        <v>TBD</v>
      </c>
      <c r="AW691" s="402" cm="1">
        <f t="array" ref="AW691">SUM(MID(0&amp;AV691,LARGE(INDEX(ISNUMBER(--MID(AV691,ROW($1:$8),1))*ROW($1:$8),),ROW($1:$8))+1,1)*10^ROW($1:$8)/10)</f>
        <v>0</v>
      </c>
      <c r="AX691" s="402" t="e">
        <f>VLOOKUP($AW691,'Item Master Data'!$A:$F,3,FALSE)</f>
        <v>#N/A</v>
      </c>
      <c r="AY691" s="402" t="e">
        <f>VLOOKUP($AW691,'Item Master Data'!$A:$F,6,FALSE)</f>
        <v>#N/A</v>
      </c>
      <c r="AZ691" s="402" t="e">
        <f>X691/BA691</f>
        <v>#N/A</v>
      </c>
      <c r="BA691" s="402" t="e">
        <f>VLOOKUP(AW691,'Item Master Data'!$A:$G,7,FALSE)</f>
        <v>#N/A</v>
      </c>
      <c r="BB691" s="402"/>
      <c r="BC691" s="402" t="e">
        <f>W691-AY691</f>
        <v>#N/A</v>
      </c>
    </row>
    <row r="692" spans="1:55">
      <c r="A692" s="403"/>
      <c r="B692" s="399">
        <v>44579</v>
      </c>
      <c r="C692" s="399">
        <v>44579</v>
      </c>
      <c r="D692" s="405" t="s">
        <v>2330</v>
      </c>
      <c r="E692" s="393"/>
      <c r="F692" s="405"/>
      <c r="G692" s="405">
        <v>2022</v>
      </c>
      <c r="H692" s="405">
        <v>6</v>
      </c>
      <c r="I692" s="405"/>
      <c r="J692" s="456"/>
      <c r="K692" s="414" t="s">
        <v>4574</v>
      </c>
      <c r="L692" s="405" t="s">
        <v>2360</v>
      </c>
      <c r="M692" s="406">
        <v>44855</v>
      </c>
      <c r="N692" s="406">
        <v>44713</v>
      </c>
      <c r="O692" s="406"/>
      <c r="P692" s="406"/>
      <c r="Q692" s="406"/>
      <c r="R692" s="406"/>
      <c r="S692" s="405" t="s">
        <v>2332</v>
      </c>
      <c r="T692" s="405">
        <v>72</v>
      </c>
      <c r="U692" s="405" t="s">
        <v>1193</v>
      </c>
      <c r="V692" s="405" t="s">
        <v>1068</v>
      </c>
      <c r="W692" s="405">
        <v>480</v>
      </c>
      <c r="X692" s="407">
        <v>1276</v>
      </c>
      <c r="Y692" s="422">
        <f t="shared" si="159"/>
        <v>612480</v>
      </c>
      <c r="Z692" s="409">
        <v>0.47499999999999998</v>
      </c>
      <c r="AA692" s="423">
        <f t="shared" si="161"/>
        <v>290928</v>
      </c>
      <c r="AB692" s="423"/>
      <c r="AC692" s="394">
        <v>0</v>
      </c>
      <c r="AD692" s="421"/>
      <c r="AE692" s="413"/>
      <c r="AF692" s="462">
        <f t="shared" si="160"/>
        <v>290928</v>
      </c>
      <c r="AG692" s="405" t="s">
        <v>1069</v>
      </c>
      <c r="AH692" s="405"/>
      <c r="AI692" s="405">
        <v>60</v>
      </c>
      <c r="AJ692" s="406" t="s">
        <v>2361</v>
      </c>
      <c r="AK692" s="414" t="s">
        <v>1148</v>
      </c>
      <c r="AL692" s="414" t="s">
        <v>2362</v>
      </c>
      <c r="AM692" s="405" t="s">
        <v>52</v>
      </c>
      <c r="AN692" s="405" t="s">
        <v>1440</v>
      </c>
      <c r="AO692" s="405"/>
      <c r="AP692" s="413" t="s">
        <v>38</v>
      </c>
      <c r="AQ692" s="413" t="s">
        <v>37</v>
      </c>
      <c r="AR692" s="389"/>
      <c r="AS692" s="386" t="s">
        <v>1073</v>
      </c>
      <c r="AT692" s="386" t="s">
        <v>1073</v>
      </c>
      <c r="AU692" s="409"/>
      <c r="AV692" s="402" t="str">
        <f>U692</f>
        <v>30397872C</v>
      </c>
      <c r="AW692" s="402" cm="1">
        <f t="array" ref="AW692">SUM(MID(0&amp;AV692,LARGE(INDEX(ISNUMBER(--MID(AV692,ROW($1:$8),1))*ROW($1:$8),),ROW($1:$8))+1,1)*10^ROW($1:$8)/10)</f>
        <v>30397872</v>
      </c>
      <c r="AX692" s="402" t="str">
        <f>VLOOKUP($AW692,'Item Master Data'!$A:$F,3,FALSE)</f>
        <v>Q.PEAK DUO XL G10 BFG</v>
      </c>
      <c r="AY692" s="402">
        <f>VLOOKUP($AW692,'Item Master Data'!$A:$F,6,FALSE)</f>
        <v>480</v>
      </c>
      <c r="AZ692" s="402">
        <f>X692/BA692</f>
        <v>44</v>
      </c>
      <c r="BA692" s="402">
        <f>VLOOKUP(AW692,'Item Master Data'!$A:$G,7,FALSE)</f>
        <v>29</v>
      </c>
      <c r="BB692" s="402"/>
      <c r="BC692" s="402">
        <f>W692-AY692</f>
        <v>0</v>
      </c>
    </row>
    <row r="693" spans="1:55">
      <c r="A693" s="403"/>
      <c r="B693" s="399">
        <v>44579</v>
      </c>
      <c r="C693" s="399">
        <v>44579</v>
      </c>
      <c r="D693" s="405" t="s">
        <v>2330</v>
      </c>
      <c r="E693" s="393"/>
      <c r="F693" s="405"/>
      <c r="G693" s="405">
        <v>2022</v>
      </c>
      <c r="H693" s="405">
        <v>6</v>
      </c>
      <c r="I693" s="405"/>
      <c r="J693" s="456"/>
      <c r="K693" s="414" t="s">
        <v>4574</v>
      </c>
      <c r="L693" s="405" t="s">
        <v>2360</v>
      </c>
      <c r="M693" s="406">
        <v>44855</v>
      </c>
      <c r="N693" s="406">
        <v>44713</v>
      </c>
      <c r="O693" s="406"/>
      <c r="P693" s="406"/>
      <c r="Q693" s="406"/>
      <c r="R693" s="406"/>
      <c r="S693" s="405" t="s">
        <v>2332</v>
      </c>
      <c r="T693" s="405">
        <v>72</v>
      </c>
      <c r="U693" s="405" t="s">
        <v>1102</v>
      </c>
      <c r="V693" s="405" t="s">
        <v>4070</v>
      </c>
      <c r="W693" s="405">
        <v>430</v>
      </c>
      <c r="X693" s="407">
        <v>638</v>
      </c>
      <c r="Y693" s="422">
        <f t="shared" si="159"/>
        <v>274340</v>
      </c>
      <c r="Z693" s="409">
        <v>0.44500000000000001</v>
      </c>
      <c r="AA693" s="423">
        <f t="shared" si="161"/>
        <v>122081.3</v>
      </c>
      <c r="AB693" s="423"/>
      <c r="AC693" s="394">
        <v>0</v>
      </c>
      <c r="AD693" s="421"/>
      <c r="AE693" s="413"/>
      <c r="AF693" s="462">
        <f t="shared" si="160"/>
        <v>122081.3</v>
      </c>
      <c r="AG693" s="405" t="s">
        <v>1069</v>
      </c>
      <c r="AH693" s="405"/>
      <c r="AI693" s="405">
        <v>60</v>
      </c>
      <c r="AJ693" s="406" t="s">
        <v>2361</v>
      </c>
      <c r="AK693" s="414" t="s">
        <v>1148</v>
      </c>
      <c r="AL693" s="414" t="s">
        <v>2362</v>
      </c>
      <c r="AM693" s="405" t="s">
        <v>52</v>
      </c>
      <c r="AN693" s="405" t="s">
        <v>1440</v>
      </c>
      <c r="AO693" s="405"/>
      <c r="AP693" s="413" t="s">
        <v>38</v>
      </c>
      <c r="AQ693" s="413" t="s">
        <v>37</v>
      </c>
      <c r="AR693" s="389"/>
      <c r="AS693" s="386" t="s">
        <v>1073</v>
      </c>
      <c r="AT693" s="386" t="s">
        <v>1073</v>
      </c>
      <c r="AU693" s="409"/>
      <c r="AV693" s="402" t="str">
        <f>U693</f>
        <v>TBD</v>
      </c>
      <c r="AW693" s="402" cm="1">
        <f t="array" ref="AW693">SUM(MID(0&amp;AV693,LARGE(INDEX(ISNUMBER(--MID(AV693,ROW($1:$8),1))*ROW($1:$8),),ROW($1:$8))+1,1)*10^ROW($1:$8)/10)</f>
        <v>0</v>
      </c>
      <c r="AX693" s="402" t="e">
        <f>VLOOKUP($AW693,'Item Master Data'!$A:$F,3,FALSE)</f>
        <v>#N/A</v>
      </c>
      <c r="AY693" s="402" t="e">
        <f>VLOOKUP($AW693,'Item Master Data'!$A:$F,6,FALSE)</f>
        <v>#N/A</v>
      </c>
      <c r="AZ693" s="402" t="e">
        <f>X693/BA693</f>
        <v>#N/A</v>
      </c>
      <c r="BA693" s="402" t="e">
        <f>VLOOKUP(AW693,'Item Master Data'!$A:$G,7,FALSE)</f>
        <v>#N/A</v>
      </c>
      <c r="BB693" s="402"/>
      <c r="BC693" s="402" t="e">
        <f>W693-AY693</f>
        <v>#N/A</v>
      </c>
    </row>
    <row r="694" spans="1:55">
      <c r="A694" s="403"/>
      <c r="B694" s="399">
        <v>44543</v>
      </c>
      <c r="C694" s="399">
        <v>44543</v>
      </c>
      <c r="D694" s="405" t="s">
        <v>2330</v>
      </c>
      <c r="E694" s="393" t="s">
        <v>2385</v>
      </c>
      <c r="F694" s="405" t="s">
        <v>1139</v>
      </c>
      <c r="G694" s="405">
        <v>2022</v>
      </c>
      <c r="H694" s="405">
        <v>6</v>
      </c>
      <c r="I694" s="405"/>
      <c r="J694" s="456"/>
      <c r="K694" s="414" t="s">
        <v>4260</v>
      </c>
      <c r="L694" s="405" t="s">
        <v>2360</v>
      </c>
      <c r="M694" s="406">
        <v>44523</v>
      </c>
      <c r="N694" s="406">
        <v>44621</v>
      </c>
      <c r="O694" s="406"/>
      <c r="P694" s="406"/>
      <c r="Q694" s="406"/>
      <c r="R694" s="406"/>
      <c r="S694" s="405" t="s">
        <v>2332</v>
      </c>
      <c r="T694" s="405">
        <v>60</v>
      </c>
      <c r="U694" s="405">
        <v>49405140</v>
      </c>
      <c r="V694" s="405" t="s">
        <v>973</v>
      </c>
      <c r="W694" s="405">
        <v>400</v>
      </c>
      <c r="X694" s="407">
        <v>832</v>
      </c>
      <c r="Y694" s="422">
        <f t="shared" si="159"/>
        <v>332800</v>
      </c>
      <c r="Z694" s="409">
        <v>0.55000000000000004</v>
      </c>
      <c r="AA694" s="423">
        <f t="shared" si="161"/>
        <v>183040.00000000003</v>
      </c>
      <c r="AB694" s="423"/>
      <c r="AC694" s="394">
        <v>0</v>
      </c>
      <c r="AD694" s="421"/>
      <c r="AE694" s="413"/>
      <c r="AF694" s="462">
        <f t="shared" si="160"/>
        <v>183040.00000000003</v>
      </c>
      <c r="AG694" s="405" t="s">
        <v>1069</v>
      </c>
      <c r="AH694" s="405"/>
      <c r="AI694" s="405">
        <v>60</v>
      </c>
      <c r="AJ694" s="406" t="s">
        <v>2361</v>
      </c>
      <c r="AK694" s="414" t="s">
        <v>1148</v>
      </c>
      <c r="AL694" s="414" t="s">
        <v>2362</v>
      </c>
      <c r="AM694" s="405" t="s">
        <v>52</v>
      </c>
      <c r="AN694" s="405" t="s">
        <v>1071</v>
      </c>
      <c r="AO694" s="405"/>
      <c r="AP694" s="413"/>
      <c r="AQ694" s="413" t="s">
        <v>37</v>
      </c>
      <c r="AR694" s="389" t="s">
        <v>1243</v>
      </c>
      <c r="AS694" s="386" t="s">
        <v>1073</v>
      </c>
      <c r="AT694" s="386" t="s">
        <v>1073</v>
      </c>
      <c r="AU694" s="409">
        <v>0.49</v>
      </c>
      <c r="AV694" s="402"/>
      <c r="AW694" s="402"/>
      <c r="AX694" s="402"/>
      <c r="AY694" s="402"/>
      <c r="AZ694" s="402"/>
      <c r="BA694" s="402"/>
      <c r="BB694" s="402"/>
      <c r="BC694" s="402"/>
    </row>
    <row r="695" spans="1:55">
      <c r="A695" s="403"/>
      <c r="B695" s="399">
        <v>44579</v>
      </c>
      <c r="C695" s="399">
        <v>44579</v>
      </c>
      <c r="D695" s="405" t="s">
        <v>2330</v>
      </c>
      <c r="E695" s="393" t="s">
        <v>2387</v>
      </c>
      <c r="F695" s="405" t="s">
        <v>1139</v>
      </c>
      <c r="G695" s="405">
        <v>2022</v>
      </c>
      <c r="H695" s="405">
        <v>6</v>
      </c>
      <c r="I695" s="405"/>
      <c r="J695" s="456"/>
      <c r="K695" s="414" t="s">
        <v>2388</v>
      </c>
      <c r="L695" s="405" t="s">
        <v>2360</v>
      </c>
      <c r="M695" s="406">
        <v>44579</v>
      </c>
      <c r="N695" s="406">
        <v>44805</v>
      </c>
      <c r="O695" s="406"/>
      <c r="P695" s="406"/>
      <c r="Q695" s="406"/>
      <c r="R695" s="406"/>
      <c r="S695" s="405" t="s">
        <v>2332</v>
      </c>
      <c r="T695" s="405">
        <v>72</v>
      </c>
      <c r="U695" s="405" t="s">
        <v>1193</v>
      </c>
      <c r="V695" s="405" t="s">
        <v>1068</v>
      </c>
      <c r="W695" s="405">
        <v>480</v>
      </c>
      <c r="X695" s="407">
        <v>1914</v>
      </c>
      <c r="Y695" s="422">
        <f t="shared" si="159"/>
        <v>918720</v>
      </c>
      <c r="Z695" s="409">
        <v>0.48</v>
      </c>
      <c r="AA695" s="423">
        <f t="shared" si="161"/>
        <v>440985.59999999998</v>
      </c>
      <c r="AB695" s="423"/>
      <c r="AC695" s="394">
        <v>0</v>
      </c>
      <c r="AD695" s="421"/>
      <c r="AE695" s="413"/>
      <c r="AF695" s="462">
        <f t="shared" si="160"/>
        <v>440985.59999999998</v>
      </c>
      <c r="AG695" s="405" t="s">
        <v>1069</v>
      </c>
      <c r="AH695" s="405"/>
      <c r="AI695" s="405">
        <v>60</v>
      </c>
      <c r="AJ695" s="406" t="s">
        <v>2361</v>
      </c>
      <c r="AK695" s="414" t="s">
        <v>1148</v>
      </c>
      <c r="AL695" s="414" t="s">
        <v>2362</v>
      </c>
      <c r="AM695" s="405" t="s">
        <v>52</v>
      </c>
      <c r="AN695" s="405" t="s">
        <v>1440</v>
      </c>
      <c r="AO695" s="405"/>
      <c r="AP695" s="413" t="s">
        <v>38</v>
      </c>
      <c r="AQ695" s="413" t="s">
        <v>37</v>
      </c>
      <c r="AR695" s="389"/>
      <c r="AS695" s="386" t="s">
        <v>1073</v>
      </c>
      <c r="AT695" s="386" t="s">
        <v>1073</v>
      </c>
      <c r="AU695" s="409"/>
      <c r="AV695" s="402" t="str">
        <f>U695</f>
        <v>30397872C</v>
      </c>
      <c r="AW695" s="402" cm="1">
        <f t="array" ref="AW695">SUM(MID(0&amp;AV695,LARGE(INDEX(ISNUMBER(--MID(AV695,ROW($1:$8),1))*ROW($1:$8),),ROW($1:$8))+1,1)*10^ROW($1:$8)/10)</f>
        <v>30397872</v>
      </c>
      <c r="AX695" s="402" t="str">
        <f>VLOOKUP($AW695,'Item Master Data'!$A:$F,3,FALSE)</f>
        <v>Q.PEAK DUO XL G10 BFG</v>
      </c>
      <c r="AY695" s="402">
        <f>VLOOKUP($AW695,'Item Master Data'!$A:$F,6,FALSE)</f>
        <v>480</v>
      </c>
      <c r="AZ695" s="402">
        <f>X695/BA695</f>
        <v>66</v>
      </c>
      <c r="BA695" s="402">
        <f>VLOOKUP(AW695,'Item Master Data'!$A:$G,7,FALSE)</f>
        <v>29</v>
      </c>
      <c r="BB695" s="402"/>
      <c r="BC695" s="402">
        <f>W695-AY695</f>
        <v>0</v>
      </c>
    </row>
    <row r="696" spans="1:55">
      <c r="A696" s="403"/>
      <c r="B696" s="399">
        <v>44579</v>
      </c>
      <c r="C696" s="399">
        <v>44579</v>
      </c>
      <c r="D696" s="405" t="s">
        <v>2330</v>
      </c>
      <c r="E696" s="393" t="s">
        <v>2387</v>
      </c>
      <c r="F696" s="405" t="s">
        <v>1139</v>
      </c>
      <c r="G696" s="405">
        <v>2022</v>
      </c>
      <c r="H696" s="405">
        <v>6</v>
      </c>
      <c r="I696" s="405"/>
      <c r="J696" s="456"/>
      <c r="K696" s="414" t="s">
        <v>4573</v>
      </c>
      <c r="L696" s="405" t="s">
        <v>2360</v>
      </c>
      <c r="M696" s="406">
        <v>44579</v>
      </c>
      <c r="N696" s="406">
        <v>44837</v>
      </c>
      <c r="O696" s="406"/>
      <c r="P696" s="406"/>
      <c r="Q696" s="406"/>
      <c r="R696" s="406"/>
      <c r="S696" s="405" t="s">
        <v>2332</v>
      </c>
      <c r="T696" s="405">
        <v>72</v>
      </c>
      <c r="U696" s="405" t="s">
        <v>1193</v>
      </c>
      <c r="V696" s="405" t="s">
        <v>1068</v>
      </c>
      <c r="W696" s="405">
        <v>480</v>
      </c>
      <c r="X696" s="407">
        <v>1914</v>
      </c>
      <c r="Y696" s="422">
        <f t="shared" si="159"/>
        <v>918720</v>
      </c>
      <c r="Z696" s="409">
        <v>0.48</v>
      </c>
      <c r="AA696" s="423">
        <f t="shared" si="161"/>
        <v>440985.59999999998</v>
      </c>
      <c r="AB696" s="423"/>
      <c r="AC696" s="394">
        <v>0</v>
      </c>
      <c r="AD696" s="421"/>
      <c r="AE696" s="413"/>
      <c r="AF696" s="462">
        <f t="shared" si="160"/>
        <v>440985.59999999998</v>
      </c>
      <c r="AG696" s="405" t="s">
        <v>1069</v>
      </c>
      <c r="AH696" s="405"/>
      <c r="AI696" s="405">
        <v>60</v>
      </c>
      <c r="AJ696" s="406" t="s">
        <v>2361</v>
      </c>
      <c r="AK696" s="414" t="s">
        <v>1148</v>
      </c>
      <c r="AL696" s="414" t="s">
        <v>2362</v>
      </c>
      <c r="AM696" s="405" t="s">
        <v>52</v>
      </c>
      <c r="AN696" s="405" t="s">
        <v>1440</v>
      </c>
      <c r="AO696" s="405"/>
      <c r="AP696" s="413" t="s">
        <v>38</v>
      </c>
      <c r="AQ696" s="413" t="s">
        <v>37</v>
      </c>
      <c r="AR696" s="389"/>
      <c r="AS696" s="386" t="s">
        <v>1073</v>
      </c>
      <c r="AT696" s="386" t="s">
        <v>1073</v>
      </c>
      <c r="AU696" s="409"/>
      <c r="AV696" s="402" t="str">
        <f>U696</f>
        <v>30397872C</v>
      </c>
      <c r="AW696" s="402" cm="1">
        <f t="array" ref="AW696">SUM(MID(0&amp;AV696,LARGE(INDEX(ISNUMBER(--MID(AV696,ROW($1:$8),1))*ROW($1:$8),),ROW($1:$8))+1,1)*10^ROW($1:$8)/10)</f>
        <v>30397872</v>
      </c>
      <c r="AX696" s="402" t="str">
        <f>VLOOKUP($AW696,'Item Master Data'!$A:$F,3,FALSE)</f>
        <v>Q.PEAK DUO XL G10 BFG</v>
      </c>
      <c r="AY696" s="402">
        <f>VLOOKUP($AW696,'Item Master Data'!$A:$F,6,FALSE)</f>
        <v>480</v>
      </c>
      <c r="AZ696" s="402">
        <f>X696/BA696</f>
        <v>66</v>
      </c>
      <c r="BA696" s="402">
        <f>VLOOKUP(AW696,'Item Master Data'!$A:$G,7,FALSE)</f>
        <v>29</v>
      </c>
      <c r="BB696" s="402"/>
      <c r="BC696" s="402">
        <f>W696-AY696</f>
        <v>0</v>
      </c>
    </row>
    <row r="697" spans="1:55">
      <c r="A697" s="403"/>
      <c r="B697" s="399">
        <v>44630</v>
      </c>
      <c r="C697" s="399">
        <v>44630</v>
      </c>
      <c r="D697" s="405" t="s">
        <v>2330</v>
      </c>
      <c r="E697" s="393"/>
      <c r="F697" s="405" t="s">
        <v>1139</v>
      </c>
      <c r="G697" s="405">
        <v>2022</v>
      </c>
      <c r="H697" s="405">
        <v>6</v>
      </c>
      <c r="I697" s="405"/>
      <c r="J697" s="456"/>
      <c r="K697" s="414" t="s">
        <v>4719</v>
      </c>
      <c r="L697" s="405" t="s">
        <v>2013</v>
      </c>
      <c r="M697" s="406">
        <v>44483</v>
      </c>
      <c r="N697" s="406">
        <v>44621</v>
      </c>
      <c r="O697" s="406"/>
      <c r="P697" s="406"/>
      <c r="Q697" s="406"/>
      <c r="R697" s="406"/>
      <c r="S697" s="405" t="s">
        <v>2332</v>
      </c>
      <c r="T697" s="405">
        <v>60</v>
      </c>
      <c r="U697" s="405">
        <v>49203132</v>
      </c>
      <c r="V697" s="405" t="s">
        <v>986</v>
      </c>
      <c r="W697" s="405">
        <v>360</v>
      </c>
      <c r="X697" s="407">
        <v>4064</v>
      </c>
      <c r="Y697" s="422">
        <f t="shared" si="159"/>
        <v>1463040</v>
      </c>
      <c r="Z697" s="409">
        <v>0.53</v>
      </c>
      <c r="AA697" s="423">
        <f t="shared" si="161"/>
        <v>775411.20000000007</v>
      </c>
      <c r="AB697" s="423"/>
      <c r="AC697" s="394">
        <v>0</v>
      </c>
      <c r="AD697" s="421"/>
      <c r="AE697" s="413"/>
      <c r="AF697" s="462">
        <f t="shared" si="160"/>
        <v>775411.20000000007</v>
      </c>
      <c r="AG697" s="405" t="s">
        <v>1069</v>
      </c>
      <c r="AH697" s="405"/>
      <c r="AI697" s="405">
        <v>60</v>
      </c>
      <c r="AJ697" s="406" t="s">
        <v>2014</v>
      </c>
      <c r="AK697" s="414" t="s">
        <v>1081</v>
      </c>
      <c r="AL697" s="414" t="s">
        <v>2015</v>
      </c>
      <c r="AM697" s="405" t="s">
        <v>52</v>
      </c>
      <c r="AN697" s="405" t="s">
        <v>1071</v>
      </c>
      <c r="AO697" s="405"/>
      <c r="AP697" s="413"/>
      <c r="AQ697" s="413" t="s">
        <v>37</v>
      </c>
      <c r="AR697" s="389"/>
      <c r="AS697" s="386"/>
      <c r="AT697" s="386"/>
      <c r="AU697" s="409"/>
      <c r="AV697" s="402">
        <f>U697</f>
        <v>49203132</v>
      </c>
      <c r="AW697" s="402" cm="1">
        <f t="array" ref="AW697">SUM(MID(0&amp;AV697,LARGE(INDEX(ISNUMBER(--MID(AV697,ROW($1:$8),1))*ROW($1:$8),),ROW($1:$8))+1,1)*10^ROW($1:$8)/10)</f>
        <v>49203132</v>
      </c>
      <c r="AX697" s="402" t="str">
        <f>VLOOKUP($AW697,'Item Master Data'!$A:$F,3,FALSE)</f>
        <v>Q.PEAK DUO BLK G10+</v>
      </c>
      <c r="AY697" s="402">
        <f>VLOOKUP($AW697,'Item Master Data'!$A:$F,6,FALSE)</f>
        <v>360</v>
      </c>
      <c r="AZ697" s="402">
        <f>X697/BA697</f>
        <v>127</v>
      </c>
      <c r="BA697" s="402">
        <f>VLOOKUP(AW697,'Item Master Data'!$A:$G,7,FALSE)</f>
        <v>32</v>
      </c>
      <c r="BB697" s="402"/>
      <c r="BC697" s="402">
        <f>W697-AY697</f>
        <v>0</v>
      </c>
    </row>
    <row r="698" spans="1:55">
      <c r="A698" s="403"/>
      <c r="B698" s="399">
        <v>44578</v>
      </c>
      <c r="C698" s="399" t="s">
        <v>1186</v>
      </c>
      <c r="D698" s="405" t="s">
        <v>2330</v>
      </c>
      <c r="E698" s="393" t="s">
        <v>4714</v>
      </c>
      <c r="F698" s="405" t="s">
        <v>2399</v>
      </c>
      <c r="G698" s="405">
        <v>2022</v>
      </c>
      <c r="H698" s="405">
        <v>6</v>
      </c>
      <c r="I698" s="405"/>
      <c r="J698" s="456"/>
      <c r="K698" s="414" t="s">
        <v>2403</v>
      </c>
      <c r="L698" s="405" t="s">
        <v>2013</v>
      </c>
      <c r="M698" s="406">
        <v>44495</v>
      </c>
      <c r="N698" s="406">
        <v>44621</v>
      </c>
      <c r="O698" s="406"/>
      <c r="P698" s="406"/>
      <c r="Q698" s="406"/>
      <c r="R698" s="406"/>
      <c r="S698" s="405" t="s">
        <v>2332</v>
      </c>
      <c r="T698" s="405">
        <v>60</v>
      </c>
      <c r="U698" s="405">
        <v>49405140</v>
      </c>
      <c r="V698" s="405" t="s">
        <v>973</v>
      </c>
      <c r="W698" s="405">
        <v>400</v>
      </c>
      <c r="X698" s="407">
        <v>4288</v>
      </c>
      <c r="Y698" s="422">
        <f t="shared" si="159"/>
        <v>1715200</v>
      </c>
      <c r="Z698" s="409">
        <v>0.55000000000000004</v>
      </c>
      <c r="AA698" s="423">
        <f t="shared" si="161"/>
        <v>943360.00000000012</v>
      </c>
      <c r="AB698" s="423"/>
      <c r="AC698" s="394">
        <v>0</v>
      </c>
      <c r="AD698" s="421"/>
      <c r="AE698" s="413"/>
      <c r="AF698" s="462">
        <f t="shared" si="160"/>
        <v>943360.00000000012</v>
      </c>
      <c r="AG698" s="405" t="s">
        <v>1069</v>
      </c>
      <c r="AH698" s="405"/>
      <c r="AI698" s="405">
        <v>60</v>
      </c>
      <c r="AJ698" s="406" t="s">
        <v>2014</v>
      </c>
      <c r="AK698" s="414" t="s">
        <v>1081</v>
      </c>
      <c r="AL698" s="414" t="s">
        <v>2015</v>
      </c>
      <c r="AM698" s="405" t="s">
        <v>52</v>
      </c>
      <c r="AN698" s="405" t="s">
        <v>1101</v>
      </c>
      <c r="AO698" s="405"/>
      <c r="AP698" s="413"/>
      <c r="AQ698" s="413" t="s">
        <v>37</v>
      </c>
      <c r="AR698" s="389" t="s">
        <v>1499</v>
      </c>
      <c r="AS698" s="386" t="s">
        <v>1073</v>
      </c>
      <c r="AT698" s="386" t="s">
        <v>1073</v>
      </c>
      <c r="AU698" s="409">
        <v>0.45500000000000002</v>
      </c>
      <c r="AV698" s="402">
        <f>U698</f>
        <v>49405140</v>
      </c>
      <c r="AW698" s="402" cm="1">
        <f t="array" ref="AW698">SUM(MID(0&amp;AV698,LARGE(INDEX(ISNUMBER(--MID(AV698,ROW($1:$8),1))*ROW($1:$8),),ROW($1:$8))+1,1)*10^ROW($1:$8)/10)</f>
        <v>49405140</v>
      </c>
      <c r="AX698" s="402" t="str">
        <f>VLOOKUP($AW698,'Item Master Data'!$A:$F,3,FALSE)</f>
        <v>Q.PEAK DUO BLK ML G10+</v>
      </c>
      <c r="AY698" s="402">
        <f>VLOOKUP($AW698,'Item Master Data'!$A:$F,6,FALSE)</f>
        <v>400</v>
      </c>
      <c r="AZ698" s="402">
        <f>X698/BA698</f>
        <v>134</v>
      </c>
      <c r="BA698" s="402">
        <f>VLOOKUP(AW698,'Item Master Data'!$A:$G,7,FALSE)</f>
        <v>32</v>
      </c>
      <c r="BB698" s="402"/>
      <c r="BC698" s="402">
        <f>W698-AY698</f>
        <v>0</v>
      </c>
    </row>
    <row r="699" spans="1:55">
      <c r="A699" s="403"/>
      <c r="B699" s="397">
        <v>44662</v>
      </c>
      <c r="C699" s="397">
        <v>44662</v>
      </c>
      <c r="D699" s="405" t="s">
        <v>2330</v>
      </c>
      <c r="E699" s="393"/>
      <c r="F699" s="405" t="s">
        <v>1139</v>
      </c>
      <c r="G699" s="405">
        <v>2022</v>
      </c>
      <c r="H699" s="405">
        <v>6</v>
      </c>
      <c r="I699" s="405"/>
      <c r="J699" s="456"/>
      <c r="K699" s="405" t="s">
        <v>4575</v>
      </c>
      <c r="L699" s="405" t="s">
        <v>2013</v>
      </c>
      <c r="M699" s="406">
        <v>44655</v>
      </c>
      <c r="N699" s="406">
        <v>44713</v>
      </c>
      <c r="O699" s="406"/>
      <c r="P699" s="406"/>
      <c r="Q699" s="406"/>
      <c r="R699" s="406"/>
      <c r="S699" s="405" t="s">
        <v>2332</v>
      </c>
      <c r="T699" s="405">
        <v>72</v>
      </c>
      <c r="U699" s="405" t="s">
        <v>1102</v>
      </c>
      <c r="V699" s="405" t="s">
        <v>4576</v>
      </c>
      <c r="W699" s="405">
        <v>480</v>
      </c>
      <c r="X699" s="407">
        <v>1914</v>
      </c>
      <c r="Y699" s="422">
        <f>W699*X699</f>
        <v>918720</v>
      </c>
      <c r="Z699" s="409">
        <v>0.49</v>
      </c>
      <c r="AA699" s="423">
        <f t="shared" si="161"/>
        <v>450172.8</v>
      </c>
      <c r="AB699" s="423"/>
      <c r="AC699" s="394">
        <v>0</v>
      </c>
      <c r="AD699" s="421"/>
      <c r="AE699" s="413"/>
      <c r="AF699" s="462">
        <f t="shared" si="160"/>
        <v>450172.8</v>
      </c>
      <c r="AG699" s="405" t="s">
        <v>1069</v>
      </c>
      <c r="AH699" s="405"/>
      <c r="AI699" s="405">
        <v>60</v>
      </c>
      <c r="AJ699" s="415" t="s">
        <v>2014</v>
      </c>
      <c r="AK699" s="405" t="s">
        <v>1081</v>
      </c>
      <c r="AL699" s="414" t="s">
        <v>2015</v>
      </c>
      <c r="AM699" s="405" t="s">
        <v>52</v>
      </c>
      <c r="AN699" s="405" t="s">
        <v>1071</v>
      </c>
      <c r="AO699" s="405"/>
      <c r="AP699" s="413"/>
      <c r="AQ699" s="413" t="s">
        <v>37</v>
      </c>
      <c r="AR699" s="413" t="s">
        <v>2395</v>
      </c>
      <c r="AS699" s="386" t="s">
        <v>1073</v>
      </c>
      <c r="AT699" s="386" t="s">
        <v>1073</v>
      </c>
      <c r="AU699" s="409">
        <v>0.73</v>
      </c>
      <c r="AV699" s="402" t="str">
        <f>U699</f>
        <v>TBD</v>
      </c>
      <c r="AW699" s="402" cm="1">
        <f t="array" ref="AW699">SUM(MID(0&amp;AV699,LARGE(INDEX(ISNUMBER(--MID(AV699,ROW($1:$8),1))*ROW($1:$8),),ROW($1:$8))+1,1)*10^ROW($1:$8)/10)</f>
        <v>0</v>
      </c>
      <c r="AX699" s="402" t="e">
        <f>VLOOKUP($AW699,'Item Master Data'!$A:$F,3,FALSE)</f>
        <v>#N/A</v>
      </c>
      <c r="AY699" s="402" t="e">
        <f>VLOOKUP($AW699,'Item Master Data'!$A:$F,6,FALSE)</f>
        <v>#N/A</v>
      </c>
      <c r="AZ699" s="402" t="e">
        <f>X699/BA699</f>
        <v>#N/A</v>
      </c>
      <c r="BA699" s="402" t="e">
        <f>VLOOKUP(AW699,'Item Master Data'!$A:$G,7,FALSE)</f>
        <v>#N/A</v>
      </c>
      <c r="BB699" s="402"/>
      <c r="BC699" s="402" t="e">
        <f>W699-AY699</f>
        <v>#N/A</v>
      </c>
    </row>
    <row r="700" spans="1:55">
      <c r="A700" s="403"/>
      <c r="B700" s="397"/>
      <c r="C700" s="397">
        <v>44671</v>
      </c>
      <c r="D700" s="405" t="s">
        <v>2330</v>
      </c>
      <c r="E700" s="405" t="s">
        <v>4841</v>
      </c>
      <c r="F700" s="405" t="s">
        <v>1139</v>
      </c>
      <c r="G700" s="405">
        <v>2022</v>
      </c>
      <c r="H700" s="405">
        <v>6</v>
      </c>
      <c r="I700" s="405"/>
      <c r="J700" s="406"/>
      <c r="K700" s="405" t="s">
        <v>4843</v>
      </c>
      <c r="L700" s="405" t="s">
        <v>2381</v>
      </c>
      <c r="M700" s="406">
        <v>44671</v>
      </c>
      <c r="N700" s="406">
        <v>44717</v>
      </c>
      <c r="O700" s="406"/>
      <c r="P700" s="406"/>
      <c r="Q700" s="406"/>
      <c r="R700" s="406"/>
      <c r="S700" s="405" t="s">
        <v>2332</v>
      </c>
      <c r="T700" s="405">
        <v>72</v>
      </c>
      <c r="U700" s="405">
        <v>49303156</v>
      </c>
      <c r="V700" s="405" t="s">
        <v>4215</v>
      </c>
      <c r="W700" s="405">
        <v>480</v>
      </c>
      <c r="X700" s="382">
        <v>3944</v>
      </c>
      <c r="Y700" s="422">
        <f t="shared" ref="Y700:Y710" si="162">X700*W700</f>
        <v>1893120</v>
      </c>
      <c r="Z700" s="409">
        <v>0.56000000000000005</v>
      </c>
      <c r="AA700" s="423">
        <f t="shared" si="161"/>
        <v>1060147.2000000002</v>
      </c>
      <c r="AB700" s="423"/>
      <c r="AC700" s="394">
        <v>0</v>
      </c>
      <c r="AD700" s="421"/>
      <c r="AE700" s="387"/>
      <c r="AF700" s="462">
        <f t="shared" si="160"/>
        <v>1060147.2000000002</v>
      </c>
      <c r="AG700" s="405" t="s">
        <v>47</v>
      </c>
      <c r="AH700" s="388"/>
      <c r="AI700" s="405">
        <v>60</v>
      </c>
      <c r="AJ700" s="415" t="s">
        <v>1080</v>
      </c>
      <c r="AK700" s="405" t="s">
        <v>1081</v>
      </c>
      <c r="AL700" s="414" t="s">
        <v>2382</v>
      </c>
      <c r="AM700" s="405" t="s">
        <v>52</v>
      </c>
      <c r="AN700" s="405" t="s">
        <v>1101</v>
      </c>
      <c r="AO700" s="405"/>
      <c r="AP700" s="413"/>
      <c r="AQ700" s="389" t="s">
        <v>37</v>
      </c>
      <c r="AR700" s="389" t="s">
        <v>2352</v>
      </c>
      <c r="AS700" s="404" t="s">
        <v>1084</v>
      </c>
      <c r="AT700" s="404" t="s">
        <v>1073</v>
      </c>
      <c r="AU700" s="409">
        <v>0.5</v>
      </c>
      <c r="AV700" s="402"/>
      <c r="AW700" s="402"/>
      <c r="AX700" s="402"/>
      <c r="AY700" s="402"/>
      <c r="AZ700" s="402"/>
      <c r="BA700" s="402"/>
      <c r="BB700" s="402"/>
      <c r="BC700" s="402"/>
    </row>
    <row r="701" spans="1:55">
      <c r="A701" s="403"/>
      <c r="B701" s="399">
        <v>44662</v>
      </c>
      <c r="C701" s="399">
        <v>44663</v>
      </c>
      <c r="D701" s="405" t="s">
        <v>2330</v>
      </c>
      <c r="E701" s="393" t="s">
        <v>4347</v>
      </c>
      <c r="F701" s="405" t="s">
        <v>1139</v>
      </c>
      <c r="G701" s="405">
        <v>2022</v>
      </c>
      <c r="H701" s="405">
        <v>6</v>
      </c>
      <c r="I701" s="405"/>
      <c r="J701" s="456"/>
      <c r="K701" s="414" t="s">
        <v>2411</v>
      </c>
      <c r="L701" s="405" t="s">
        <v>2408</v>
      </c>
      <c r="M701" s="406">
        <v>44435</v>
      </c>
      <c r="N701" s="406">
        <v>44561</v>
      </c>
      <c r="O701" s="406">
        <v>44671</v>
      </c>
      <c r="P701" s="406">
        <v>44663</v>
      </c>
      <c r="Q701" s="406"/>
      <c r="R701" s="406"/>
      <c r="S701" s="405" t="s">
        <v>2332</v>
      </c>
      <c r="T701" s="405">
        <v>60</v>
      </c>
      <c r="U701" s="405">
        <v>49405140</v>
      </c>
      <c r="V701" s="405" t="s">
        <v>973</v>
      </c>
      <c r="W701" s="405">
        <v>400</v>
      </c>
      <c r="X701" s="407">
        <v>768</v>
      </c>
      <c r="Y701" s="422">
        <f t="shared" si="162"/>
        <v>307200</v>
      </c>
      <c r="Z701" s="409">
        <v>0.46500000000000002</v>
      </c>
      <c r="AA701" s="423">
        <f t="shared" si="161"/>
        <v>142848</v>
      </c>
      <c r="AB701" s="423"/>
      <c r="AC701" s="394">
        <v>0</v>
      </c>
      <c r="AD701" s="421"/>
      <c r="AE701" s="413"/>
      <c r="AF701" s="462">
        <f t="shared" si="160"/>
        <v>142848</v>
      </c>
      <c r="AG701" s="405" t="s">
        <v>47</v>
      </c>
      <c r="AH701" s="405"/>
      <c r="AI701" s="405">
        <v>60</v>
      </c>
      <c r="AJ701" s="406" t="s">
        <v>2410</v>
      </c>
      <c r="AK701" s="414" t="s">
        <v>1317</v>
      </c>
      <c r="AL701" s="414">
        <v>23836</v>
      </c>
      <c r="AM701" s="405" t="s">
        <v>52</v>
      </c>
      <c r="AN701" s="405" t="s">
        <v>1101</v>
      </c>
      <c r="AO701" s="405"/>
      <c r="AP701" s="413"/>
      <c r="AQ701" s="413" t="s">
        <v>37</v>
      </c>
      <c r="AR701" s="389"/>
      <c r="AS701" s="386" t="s">
        <v>1073</v>
      </c>
      <c r="AT701" s="386" t="s">
        <v>1073</v>
      </c>
      <c r="AU701" s="409"/>
      <c r="AV701" s="402"/>
      <c r="AW701" s="402"/>
      <c r="AX701" s="402"/>
      <c r="AY701" s="402"/>
      <c r="AZ701" s="402"/>
      <c r="BA701" s="402"/>
      <c r="BB701" s="402"/>
      <c r="BC701" s="402"/>
    </row>
    <row r="702" spans="1:55">
      <c r="A702" s="403"/>
      <c r="B702" s="399">
        <v>44662</v>
      </c>
      <c r="C702" s="399">
        <v>44663</v>
      </c>
      <c r="D702" s="405" t="s">
        <v>2330</v>
      </c>
      <c r="E702" s="393" t="s">
        <v>4435</v>
      </c>
      <c r="F702" s="405" t="s">
        <v>1139</v>
      </c>
      <c r="G702" s="405">
        <v>2022</v>
      </c>
      <c r="H702" s="405">
        <v>6</v>
      </c>
      <c r="I702" s="405"/>
      <c r="J702" s="456"/>
      <c r="K702" s="414" t="s">
        <v>2415</v>
      </c>
      <c r="L702" s="405" t="s">
        <v>2408</v>
      </c>
      <c r="M702" s="406">
        <v>44524</v>
      </c>
      <c r="N702" s="406">
        <v>44592</v>
      </c>
      <c r="O702" s="406">
        <v>44663</v>
      </c>
      <c r="P702" s="406">
        <v>44663</v>
      </c>
      <c r="Q702" s="406"/>
      <c r="R702" s="406"/>
      <c r="S702" s="405" t="s">
        <v>2332</v>
      </c>
      <c r="T702" s="405">
        <v>60</v>
      </c>
      <c r="U702" s="405">
        <v>49405140</v>
      </c>
      <c r="V702" s="405" t="s">
        <v>973</v>
      </c>
      <c r="W702" s="405">
        <v>400</v>
      </c>
      <c r="X702" s="407">
        <v>768</v>
      </c>
      <c r="Y702" s="422">
        <f t="shared" si="162"/>
        <v>307200</v>
      </c>
      <c r="Z702" s="409">
        <v>0.46500000000000002</v>
      </c>
      <c r="AA702" s="423">
        <f t="shared" si="161"/>
        <v>142848</v>
      </c>
      <c r="AB702" s="423"/>
      <c r="AC702" s="394">
        <v>0</v>
      </c>
      <c r="AD702" s="421"/>
      <c r="AE702" s="413"/>
      <c r="AF702" s="462">
        <f t="shared" si="160"/>
        <v>142848</v>
      </c>
      <c r="AG702" s="405" t="s">
        <v>47</v>
      </c>
      <c r="AH702" s="405"/>
      <c r="AI702" s="405">
        <v>60</v>
      </c>
      <c r="AJ702" s="406" t="s">
        <v>2416</v>
      </c>
      <c r="AK702" s="414" t="s">
        <v>1148</v>
      </c>
      <c r="AL702" s="414" t="s">
        <v>2417</v>
      </c>
      <c r="AM702" s="405" t="s">
        <v>52</v>
      </c>
      <c r="AN702" s="405" t="s">
        <v>1101</v>
      </c>
      <c r="AO702" s="405"/>
      <c r="AP702" s="413"/>
      <c r="AQ702" s="413" t="s">
        <v>37</v>
      </c>
      <c r="AR702" s="389"/>
      <c r="AS702" s="386" t="s">
        <v>1073</v>
      </c>
      <c r="AT702" s="386" t="s">
        <v>1073</v>
      </c>
      <c r="AU702" s="409"/>
      <c r="AV702" s="402"/>
      <c r="AW702" s="402"/>
      <c r="AX702" s="402"/>
      <c r="AY702" s="402"/>
      <c r="AZ702" s="402"/>
      <c r="BA702" s="402"/>
      <c r="BB702" s="402"/>
      <c r="BC702" s="402"/>
    </row>
    <row r="703" spans="1:55">
      <c r="A703" s="403"/>
      <c r="B703" s="399">
        <v>44662</v>
      </c>
      <c r="C703" s="399">
        <v>44663</v>
      </c>
      <c r="D703" s="405" t="s">
        <v>2330</v>
      </c>
      <c r="E703" s="393" t="s">
        <v>4436</v>
      </c>
      <c r="F703" s="405" t="s">
        <v>1139</v>
      </c>
      <c r="G703" s="405">
        <v>2022</v>
      </c>
      <c r="H703" s="405">
        <v>6</v>
      </c>
      <c r="I703" s="405"/>
      <c r="J703" s="456"/>
      <c r="K703" s="414" t="s">
        <v>2423</v>
      </c>
      <c r="L703" s="405" t="s">
        <v>2408</v>
      </c>
      <c r="M703" s="406">
        <v>44524</v>
      </c>
      <c r="N703" s="406">
        <v>44620</v>
      </c>
      <c r="O703" s="406">
        <v>44671</v>
      </c>
      <c r="P703" s="406">
        <v>44663</v>
      </c>
      <c r="Q703" s="406"/>
      <c r="R703" s="406"/>
      <c r="S703" s="405" t="s">
        <v>2332</v>
      </c>
      <c r="T703" s="405">
        <v>60</v>
      </c>
      <c r="U703" s="405">
        <v>49405140</v>
      </c>
      <c r="V703" s="405" t="s">
        <v>973</v>
      </c>
      <c r="W703" s="405">
        <v>400</v>
      </c>
      <c r="X703" s="407">
        <v>768</v>
      </c>
      <c r="Y703" s="422">
        <f t="shared" si="162"/>
        <v>307200</v>
      </c>
      <c r="Z703" s="409">
        <v>0.46500000000000002</v>
      </c>
      <c r="AA703" s="423">
        <f t="shared" si="161"/>
        <v>142848</v>
      </c>
      <c r="AB703" s="423"/>
      <c r="AC703" s="394">
        <v>0</v>
      </c>
      <c r="AD703" s="421"/>
      <c r="AE703" s="413"/>
      <c r="AF703" s="462">
        <f t="shared" si="160"/>
        <v>142848</v>
      </c>
      <c r="AG703" s="405" t="s">
        <v>47</v>
      </c>
      <c r="AH703" s="405"/>
      <c r="AI703" s="405">
        <v>60</v>
      </c>
      <c r="AJ703" s="406" t="s">
        <v>2409</v>
      </c>
      <c r="AK703" s="414" t="s">
        <v>1148</v>
      </c>
      <c r="AL703" s="414" t="s">
        <v>2424</v>
      </c>
      <c r="AM703" s="405" t="s">
        <v>52</v>
      </c>
      <c r="AN703" s="405" t="s">
        <v>1101</v>
      </c>
      <c r="AO703" s="405"/>
      <c r="AP703" s="413"/>
      <c r="AQ703" s="413" t="s">
        <v>37</v>
      </c>
      <c r="AR703" s="389"/>
      <c r="AS703" s="386" t="s">
        <v>1073</v>
      </c>
      <c r="AT703" s="386" t="s">
        <v>1073</v>
      </c>
      <c r="AU703" s="409"/>
      <c r="AV703" s="402">
        <f t="shared" ref="AV703:AV712" si="163">U703</f>
        <v>49405140</v>
      </c>
      <c r="AW703" s="402" cm="1">
        <f t="array" ref="AW703">SUM(MID(0&amp;AV703,LARGE(INDEX(ISNUMBER(--MID(AV703,ROW($1:$8),1))*ROW($1:$8),),ROW($1:$8))+1,1)*10^ROW($1:$8)/10)</f>
        <v>49405140</v>
      </c>
      <c r="AX703" s="402" t="str">
        <f>VLOOKUP($AW703,'Item Master Data'!$A:$F,3,FALSE)</f>
        <v>Q.PEAK DUO BLK ML G10+</v>
      </c>
      <c r="AY703" s="402">
        <f>VLOOKUP($AW703,'Item Master Data'!$A:$F,6,FALSE)</f>
        <v>400</v>
      </c>
      <c r="AZ703" s="402">
        <f t="shared" ref="AZ703:AZ712" si="164">X703/BA703</f>
        <v>24</v>
      </c>
      <c r="BA703" s="402">
        <f>VLOOKUP(AW703,'Item Master Data'!$A:$G,7,FALSE)</f>
        <v>32</v>
      </c>
      <c r="BB703" s="402"/>
      <c r="BC703" s="402">
        <f t="shared" ref="BC703:BC712" si="165">W703-AY703</f>
        <v>0</v>
      </c>
    </row>
    <row r="704" spans="1:55">
      <c r="A704" s="403"/>
      <c r="B704" s="399">
        <v>44662</v>
      </c>
      <c r="C704" s="399">
        <v>44663</v>
      </c>
      <c r="D704" s="405" t="s">
        <v>2330</v>
      </c>
      <c r="E704" s="393" t="s">
        <v>4347</v>
      </c>
      <c r="F704" s="405" t="s">
        <v>1139</v>
      </c>
      <c r="G704" s="405">
        <v>2022</v>
      </c>
      <c r="H704" s="405">
        <v>6</v>
      </c>
      <c r="I704" s="405"/>
      <c r="J704" s="456"/>
      <c r="K704" s="414" t="s">
        <v>2427</v>
      </c>
      <c r="L704" s="405" t="s">
        <v>2408</v>
      </c>
      <c r="M704" s="406">
        <v>44524</v>
      </c>
      <c r="N704" s="406">
        <v>44620</v>
      </c>
      <c r="O704" s="406">
        <v>44663</v>
      </c>
      <c r="P704" s="406">
        <v>44663</v>
      </c>
      <c r="Q704" s="406"/>
      <c r="R704" s="406"/>
      <c r="S704" s="405" t="s">
        <v>2332</v>
      </c>
      <c r="T704" s="405">
        <v>60</v>
      </c>
      <c r="U704" s="405">
        <v>49405140</v>
      </c>
      <c r="V704" s="405" t="s">
        <v>973</v>
      </c>
      <c r="W704" s="405">
        <v>400</v>
      </c>
      <c r="X704" s="407">
        <v>768</v>
      </c>
      <c r="Y704" s="422">
        <f t="shared" si="162"/>
        <v>307200</v>
      </c>
      <c r="Z704" s="409">
        <v>0.46500000000000002</v>
      </c>
      <c r="AA704" s="423">
        <f t="shared" si="161"/>
        <v>142848</v>
      </c>
      <c r="AB704" s="423"/>
      <c r="AC704" s="394">
        <v>0</v>
      </c>
      <c r="AD704" s="421"/>
      <c r="AE704" s="413"/>
      <c r="AF704" s="462">
        <f t="shared" si="160"/>
        <v>142848</v>
      </c>
      <c r="AG704" s="405" t="s">
        <v>47</v>
      </c>
      <c r="AH704" s="405"/>
      <c r="AI704" s="405">
        <v>60</v>
      </c>
      <c r="AJ704" s="406" t="s">
        <v>2412</v>
      </c>
      <c r="AK704" s="414" t="s">
        <v>1317</v>
      </c>
      <c r="AL704" s="414" t="s">
        <v>2428</v>
      </c>
      <c r="AM704" s="405" t="s">
        <v>52</v>
      </c>
      <c r="AN704" s="405" t="s">
        <v>1101</v>
      </c>
      <c r="AO704" s="405"/>
      <c r="AP704" s="413"/>
      <c r="AQ704" s="413" t="s">
        <v>37</v>
      </c>
      <c r="AR704" s="389"/>
      <c r="AS704" s="386" t="s">
        <v>1073</v>
      </c>
      <c r="AT704" s="386" t="s">
        <v>1073</v>
      </c>
      <c r="AU704" s="409"/>
      <c r="AV704" s="402">
        <f t="shared" si="163"/>
        <v>49405140</v>
      </c>
      <c r="AW704" s="402" cm="1">
        <f t="array" ref="AW704">SUM(MID(0&amp;AV704,LARGE(INDEX(ISNUMBER(--MID(AV704,ROW($1:$8),1))*ROW($1:$8),),ROW($1:$8))+1,1)*10^ROW($1:$8)/10)</f>
        <v>49405140</v>
      </c>
      <c r="AX704" s="402" t="str">
        <f>VLOOKUP($AW704,'Item Master Data'!$A:$F,3,FALSE)</f>
        <v>Q.PEAK DUO BLK ML G10+</v>
      </c>
      <c r="AY704" s="402">
        <f>VLOOKUP($AW704,'Item Master Data'!$A:$F,6,FALSE)</f>
        <v>400</v>
      </c>
      <c r="AZ704" s="402">
        <f t="shared" si="164"/>
        <v>24</v>
      </c>
      <c r="BA704" s="402">
        <f>VLOOKUP(AW704,'Item Master Data'!$A:$G,7,FALSE)</f>
        <v>32</v>
      </c>
      <c r="BB704" s="402"/>
      <c r="BC704" s="402">
        <f t="shared" si="165"/>
        <v>0</v>
      </c>
    </row>
    <row r="705" spans="1:55">
      <c r="A705" s="403"/>
      <c r="B705" s="399">
        <v>44662</v>
      </c>
      <c r="C705" s="399">
        <v>44663</v>
      </c>
      <c r="D705" s="405" t="s">
        <v>2330</v>
      </c>
      <c r="E705" s="393" t="s">
        <v>4436</v>
      </c>
      <c r="F705" s="405" t="s">
        <v>1139</v>
      </c>
      <c r="G705" s="405">
        <v>2022</v>
      </c>
      <c r="H705" s="405">
        <v>6</v>
      </c>
      <c r="I705" s="405"/>
      <c r="J705" s="456"/>
      <c r="K705" s="414" t="s">
        <v>2429</v>
      </c>
      <c r="L705" s="405" t="s">
        <v>2408</v>
      </c>
      <c r="M705" s="406">
        <v>44524</v>
      </c>
      <c r="N705" s="406">
        <v>44620</v>
      </c>
      <c r="O705" s="406">
        <v>44671</v>
      </c>
      <c r="P705" s="406">
        <v>44663</v>
      </c>
      <c r="Q705" s="406"/>
      <c r="R705" s="406"/>
      <c r="S705" s="405" t="s">
        <v>2332</v>
      </c>
      <c r="T705" s="405">
        <v>60</v>
      </c>
      <c r="U705" s="405">
        <v>49405140</v>
      </c>
      <c r="V705" s="405" t="s">
        <v>973</v>
      </c>
      <c r="W705" s="405">
        <v>400</v>
      </c>
      <c r="X705" s="407">
        <v>768</v>
      </c>
      <c r="Y705" s="422">
        <f t="shared" si="162"/>
        <v>307200</v>
      </c>
      <c r="Z705" s="409">
        <v>0.46500000000000002</v>
      </c>
      <c r="AA705" s="423">
        <f t="shared" si="161"/>
        <v>142848</v>
      </c>
      <c r="AB705" s="423"/>
      <c r="AC705" s="394">
        <v>0</v>
      </c>
      <c r="AD705" s="421"/>
      <c r="AE705" s="413"/>
      <c r="AF705" s="462">
        <f t="shared" si="160"/>
        <v>142848</v>
      </c>
      <c r="AG705" s="405" t="s">
        <v>47</v>
      </c>
      <c r="AH705" s="405"/>
      <c r="AI705" s="405">
        <v>60</v>
      </c>
      <c r="AJ705" s="406" t="s">
        <v>2420</v>
      </c>
      <c r="AK705" s="414" t="s">
        <v>1452</v>
      </c>
      <c r="AL705" s="414" t="s">
        <v>2421</v>
      </c>
      <c r="AM705" s="405" t="s">
        <v>52</v>
      </c>
      <c r="AN705" s="405" t="s">
        <v>1101</v>
      </c>
      <c r="AO705" s="405"/>
      <c r="AP705" s="413"/>
      <c r="AQ705" s="413" t="s">
        <v>37</v>
      </c>
      <c r="AR705" s="389"/>
      <c r="AS705" s="386" t="s">
        <v>1073</v>
      </c>
      <c r="AT705" s="386" t="s">
        <v>1073</v>
      </c>
      <c r="AU705" s="409"/>
      <c r="AV705" s="402">
        <f t="shared" si="163"/>
        <v>49405140</v>
      </c>
      <c r="AW705" s="402" cm="1">
        <f t="array" ref="AW705">SUM(MID(0&amp;AV705,LARGE(INDEX(ISNUMBER(--MID(AV705,ROW($1:$8),1))*ROW($1:$8),),ROW($1:$8))+1,1)*10^ROW($1:$8)/10)</f>
        <v>49405140</v>
      </c>
      <c r="AX705" s="402" t="str">
        <f>VLOOKUP($AW705,'Item Master Data'!$A:$F,3,FALSE)</f>
        <v>Q.PEAK DUO BLK ML G10+</v>
      </c>
      <c r="AY705" s="402">
        <f>VLOOKUP($AW705,'Item Master Data'!$A:$F,6,FALSE)</f>
        <v>400</v>
      </c>
      <c r="AZ705" s="402">
        <f t="shared" si="164"/>
        <v>24</v>
      </c>
      <c r="BA705" s="402">
        <f>VLOOKUP(AW705,'Item Master Data'!$A:$G,7,FALSE)</f>
        <v>32</v>
      </c>
      <c r="BB705" s="402"/>
      <c r="BC705" s="402">
        <f t="shared" si="165"/>
        <v>0</v>
      </c>
    </row>
    <row r="706" spans="1:55">
      <c r="A706" s="403"/>
      <c r="B706" s="399"/>
      <c r="C706" s="399"/>
      <c r="D706" s="405" t="s">
        <v>2330</v>
      </c>
      <c r="E706" s="393" t="s">
        <v>2425</v>
      </c>
      <c r="F706" s="405" t="s">
        <v>1139</v>
      </c>
      <c r="G706" s="405">
        <v>2022</v>
      </c>
      <c r="H706" s="405">
        <v>6</v>
      </c>
      <c r="I706" s="405"/>
      <c r="J706" s="456"/>
      <c r="K706" s="414" t="s">
        <v>2432</v>
      </c>
      <c r="L706" s="405" t="s">
        <v>2408</v>
      </c>
      <c r="M706" s="406">
        <v>44524</v>
      </c>
      <c r="N706" s="406">
        <v>44651</v>
      </c>
      <c r="O706" s="406"/>
      <c r="P706" s="406"/>
      <c r="Q706" s="406"/>
      <c r="R706" s="406"/>
      <c r="S706" s="405" t="s">
        <v>2332</v>
      </c>
      <c r="T706" s="405">
        <v>60</v>
      </c>
      <c r="U706" s="405">
        <v>49405140</v>
      </c>
      <c r="V706" s="405" t="s">
        <v>973</v>
      </c>
      <c r="W706" s="405">
        <v>400</v>
      </c>
      <c r="X706" s="407">
        <v>768</v>
      </c>
      <c r="Y706" s="422">
        <f t="shared" si="162"/>
        <v>307200</v>
      </c>
      <c r="Z706" s="409">
        <v>0.48</v>
      </c>
      <c r="AA706" s="423">
        <f t="shared" si="161"/>
        <v>147456</v>
      </c>
      <c r="AB706" s="423"/>
      <c r="AC706" s="394">
        <v>0</v>
      </c>
      <c r="AD706" s="421"/>
      <c r="AE706" s="413"/>
      <c r="AF706" s="462">
        <f t="shared" si="160"/>
        <v>147456</v>
      </c>
      <c r="AG706" s="405" t="s">
        <v>47</v>
      </c>
      <c r="AH706" s="405"/>
      <c r="AI706" s="405">
        <v>60</v>
      </c>
      <c r="AJ706" s="406" t="s">
        <v>2418</v>
      </c>
      <c r="AK706" s="414" t="s">
        <v>1452</v>
      </c>
      <c r="AL706" s="414" t="s">
        <v>2419</v>
      </c>
      <c r="AM706" s="405" t="s">
        <v>52</v>
      </c>
      <c r="AN706" s="405" t="s">
        <v>1071</v>
      </c>
      <c r="AO706" s="405"/>
      <c r="AP706" s="413"/>
      <c r="AQ706" s="413" t="s">
        <v>37</v>
      </c>
      <c r="AR706" s="389"/>
      <c r="AS706" s="386" t="s">
        <v>1073</v>
      </c>
      <c r="AT706" s="386" t="s">
        <v>1073</v>
      </c>
      <c r="AU706" s="409"/>
      <c r="AV706" s="402">
        <f t="shared" si="163"/>
        <v>49405140</v>
      </c>
      <c r="AW706" s="402" cm="1">
        <f t="array" ref="AW706">SUM(MID(0&amp;AV706,LARGE(INDEX(ISNUMBER(--MID(AV706,ROW($1:$8),1))*ROW($1:$8),),ROW($1:$8))+1,1)*10^ROW($1:$8)/10)</f>
        <v>49405140</v>
      </c>
      <c r="AX706" s="402" t="str">
        <f>VLOOKUP($AW706,'Item Master Data'!$A:$F,3,FALSE)</f>
        <v>Q.PEAK DUO BLK ML G10+</v>
      </c>
      <c r="AY706" s="402">
        <f>VLOOKUP($AW706,'Item Master Data'!$A:$F,6,FALSE)</f>
        <v>400</v>
      </c>
      <c r="AZ706" s="402">
        <f t="shared" si="164"/>
        <v>24</v>
      </c>
      <c r="BA706" s="402">
        <f>VLOOKUP(AW706,'Item Master Data'!$A:$G,7,FALSE)</f>
        <v>32</v>
      </c>
      <c r="BB706" s="402"/>
      <c r="BC706" s="402">
        <f t="shared" si="165"/>
        <v>0</v>
      </c>
    </row>
    <row r="707" spans="1:55">
      <c r="A707" s="403"/>
      <c r="B707" s="399"/>
      <c r="C707" s="399"/>
      <c r="D707" s="405" t="s">
        <v>2330</v>
      </c>
      <c r="E707" s="393" t="s">
        <v>2425</v>
      </c>
      <c r="F707" s="405" t="s">
        <v>1139</v>
      </c>
      <c r="G707" s="405">
        <v>2022</v>
      </c>
      <c r="H707" s="405">
        <v>6</v>
      </c>
      <c r="I707" s="405"/>
      <c r="J707" s="456"/>
      <c r="K707" s="414" t="s">
        <v>2433</v>
      </c>
      <c r="L707" s="405" t="s">
        <v>2408</v>
      </c>
      <c r="M707" s="406">
        <v>44524</v>
      </c>
      <c r="N707" s="406">
        <v>44651</v>
      </c>
      <c r="O707" s="406"/>
      <c r="P707" s="406"/>
      <c r="Q707" s="406"/>
      <c r="R707" s="406"/>
      <c r="S707" s="405" t="s">
        <v>2332</v>
      </c>
      <c r="T707" s="405">
        <v>60</v>
      </c>
      <c r="U707" s="405">
        <v>49405140</v>
      </c>
      <c r="V707" s="405" t="s">
        <v>973</v>
      </c>
      <c r="W707" s="405">
        <v>400</v>
      </c>
      <c r="X707" s="407">
        <v>768</v>
      </c>
      <c r="Y707" s="422">
        <f t="shared" si="162"/>
        <v>307200</v>
      </c>
      <c r="Z707" s="409">
        <v>0.48</v>
      </c>
      <c r="AA707" s="423">
        <f t="shared" si="161"/>
        <v>147456</v>
      </c>
      <c r="AB707" s="423"/>
      <c r="AC707" s="394">
        <v>0</v>
      </c>
      <c r="AD707" s="421"/>
      <c r="AE707" s="413"/>
      <c r="AF707" s="462">
        <f t="shared" si="160"/>
        <v>147456</v>
      </c>
      <c r="AG707" s="405" t="s">
        <v>47</v>
      </c>
      <c r="AH707" s="405"/>
      <c r="AI707" s="405">
        <v>60</v>
      </c>
      <c r="AJ707" s="406" t="s">
        <v>2420</v>
      </c>
      <c r="AK707" s="414" t="s">
        <v>1452</v>
      </c>
      <c r="AL707" s="414" t="s">
        <v>2421</v>
      </c>
      <c r="AM707" s="405" t="s">
        <v>52</v>
      </c>
      <c r="AN707" s="405" t="s">
        <v>1071</v>
      </c>
      <c r="AO707" s="405"/>
      <c r="AP707" s="413"/>
      <c r="AQ707" s="413" t="s">
        <v>37</v>
      </c>
      <c r="AR707" s="389"/>
      <c r="AS707" s="386" t="s">
        <v>1073</v>
      </c>
      <c r="AT707" s="386" t="s">
        <v>1073</v>
      </c>
      <c r="AU707" s="409"/>
      <c r="AV707" s="402">
        <f t="shared" si="163"/>
        <v>49405140</v>
      </c>
      <c r="AW707" s="402" cm="1">
        <f t="array" ref="AW707">SUM(MID(0&amp;AV707,LARGE(INDEX(ISNUMBER(--MID(AV707,ROW($1:$8),1))*ROW($1:$8),),ROW($1:$8))+1,1)*10^ROW($1:$8)/10)</f>
        <v>49405140</v>
      </c>
      <c r="AX707" s="402" t="str">
        <f>VLOOKUP($AW707,'Item Master Data'!$A:$F,3,FALSE)</f>
        <v>Q.PEAK DUO BLK ML G10+</v>
      </c>
      <c r="AY707" s="402">
        <f>VLOOKUP($AW707,'Item Master Data'!$A:$F,6,FALSE)</f>
        <v>400</v>
      </c>
      <c r="AZ707" s="402">
        <f t="shared" si="164"/>
        <v>24</v>
      </c>
      <c r="BA707" s="402">
        <f>VLOOKUP(AW707,'Item Master Data'!$A:$G,7,FALSE)</f>
        <v>32</v>
      </c>
      <c r="BB707" s="402"/>
      <c r="BC707" s="402">
        <f t="shared" si="165"/>
        <v>0</v>
      </c>
    </row>
    <row r="708" spans="1:55">
      <c r="A708" s="403"/>
      <c r="B708" s="399"/>
      <c r="C708" s="399"/>
      <c r="D708" s="405" t="s">
        <v>2330</v>
      </c>
      <c r="E708" s="393" t="s">
        <v>2425</v>
      </c>
      <c r="F708" s="405" t="s">
        <v>1139</v>
      </c>
      <c r="G708" s="405">
        <v>2022</v>
      </c>
      <c r="H708" s="405">
        <v>6</v>
      </c>
      <c r="I708" s="405"/>
      <c r="J708" s="456"/>
      <c r="K708" s="414" t="s">
        <v>2434</v>
      </c>
      <c r="L708" s="405" t="s">
        <v>2408</v>
      </c>
      <c r="M708" s="406">
        <v>44524</v>
      </c>
      <c r="N708" s="406">
        <v>44651</v>
      </c>
      <c r="O708" s="406"/>
      <c r="P708" s="406"/>
      <c r="Q708" s="406"/>
      <c r="R708" s="406"/>
      <c r="S708" s="405" t="s">
        <v>2332</v>
      </c>
      <c r="T708" s="405">
        <v>60</v>
      </c>
      <c r="U708" s="405">
        <v>49405140</v>
      </c>
      <c r="V708" s="405" t="s">
        <v>973</v>
      </c>
      <c r="W708" s="405">
        <v>400</v>
      </c>
      <c r="X708" s="407">
        <v>768</v>
      </c>
      <c r="Y708" s="422">
        <f t="shared" si="162"/>
        <v>307200</v>
      </c>
      <c r="Z708" s="409">
        <v>0.48</v>
      </c>
      <c r="AA708" s="423">
        <f t="shared" si="161"/>
        <v>147456</v>
      </c>
      <c r="AB708" s="423"/>
      <c r="AC708" s="394">
        <v>0</v>
      </c>
      <c r="AD708" s="421"/>
      <c r="AE708" s="413"/>
      <c r="AF708" s="462">
        <f t="shared" si="160"/>
        <v>147456</v>
      </c>
      <c r="AG708" s="405" t="s">
        <v>47</v>
      </c>
      <c r="AH708" s="405"/>
      <c r="AI708" s="405">
        <v>60</v>
      </c>
      <c r="AJ708" s="406" t="s">
        <v>2412</v>
      </c>
      <c r="AK708" s="414" t="s">
        <v>1317</v>
      </c>
      <c r="AL708" s="414" t="s">
        <v>2428</v>
      </c>
      <c r="AM708" s="405" t="s">
        <v>52</v>
      </c>
      <c r="AN708" s="405" t="s">
        <v>1071</v>
      </c>
      <c r="AO708" s="405"/>
      <c r="AP708" s="413"/>
      <c r="AQ708" s="413" t="s">
        <v>37</v>
      </c>
      <c r="AR708" s="389"/>
      <c r="AS708" s="386" t="s">
        <v>1073</v>
      </c>
      <c r="AT708" s="386" t="s">
        <v>1073</v>
      </c>
      <c r="AU708" s="409"/>
      <c r="AV708" s="402">
        <f t="shared" si="163"/>
        <v>49405140</v>
      </c>
      <c r="AW708" s="402" cm="1">
        <f t="array" ref="AW708">SUM(MID(0&amp;AV708,LARGE(INDEX(ISNUMBER(--MID(AV708,ROW($1:$8),1))*ROW($1:$8),),ROW($1:$8))+1,1)*10^ROW($1:$8)/10)</f>
        <v>49405140</v>
      </c>
      <c r="AX708" s="402" t="str">
        <f>VLOOKUP($AW708,'Item Master Data'!$A:$F,3,FALSE)</f>
        <v>Q.PEAK DUO BLK ML G10+</v>
      </c>
      <c r="AY708" s="402">
        <f>VLOOKUP($AW708,'Item Master Data'!$A:$F,6,FALSE)</f>
        <v>400</v>
      </c>
      <c r="AZ708" s="402">
        <f t="shared" si="164"/>
        <v>24</v>
      </c>
      <c r="BA708" s="402">
        <f>VLOOKUP(AW708,'Item Master Data'!$A:$G,7,FALSE)</f>
        <v>32</v>
      </c>
      <c r="BB708" s="402"/>
      <c r="BC708" s="402">
        <f t="shared" si="165"/>
        <v>0</v>
      </c>
    </row>
    <row r="709" spans="1:55">
      <c r="A709" s="403"/>
      <c r="B709" s="399"/>
      <c r="C709" s="399"/>
      <c r="D709" s="405" t="s">
        <v>2330</v>
      </c>
      <c r="E709" s="393" t="s">
        <v>2425</v>
      </c>
      <c r="F709" s="405" t="s">
        <v>1139</v>
      </c>
      <c r="G709" s="405">
        <v>2022</v>
      </c>
      <c r="H709" s="405">
        <v>6</v>
      </c>
      <c r="I709" s="405"/>
      <c r="J709" s="456"/>
      <c r="K709" s="414" t="s">
        <v>2435</v>
      </c>
      <c r="L709" s="405" t="s">
        <v>2408</v>
      </c>
      <c r="M709" s="406">
        <v>44524</v>
      </c>
      <c r="N709" s="406">
        <v>44651</v>
      </c>
      <c r="O709" s="406"/>
      <c r="P709" s="406"/>
      <c r="Q709" s="406"/>
      <c r="R709" s="406"/>
      <c r="S709" s="405" t="s">
        <v>2332</v>
      </c>
      <c r="T709" s="405">
        <v>60</v>
      </c>
      <c r="U709" s="405">
        <v>49405140</v>
      </c>
      <c r="V709" s="405" t="s">
        <v>973</v>
      </c>
      <c r="W709" s="405">
        <v>400</v>
      </c>
      <c r="X709" s="407">
        <v>768</v>
      </c>
      <c r="Y709" s="422">
        <f t="shared" si="162"/>
        <v>307200</v>
      </c>
      <c r="Z709" s="409">
        <v>0.48</v>
      </c>
      <c r="AA709" s="423">
        <f t="shared" si="161"/>
        <v>147456</v>
      </c>
      <c r="AB709" s="423"/>
      <c r="AC709" s="394">
        <v>0</v>
      </c>
      <c r="AD709" s="421"/>
      <c r="AE709" s="413"/>
      <c r="AF709" s="462">
        <f t="shared" si="160"/>
        <v>147456</v>
      </c>
      <c r="AG709" s="405" t="s">
        <v>47</v>
      </c>
      <c r="AH709" s="405"/>
      <c r="AI709" s="405">
        <v>60</v>
      </c>
      <c r="AJ709" s="406" t="s">
        <v>2412</v>
      </c>
      <c r="AK709" s="414" t="s">
        <v>1317</v>
      </c>
      <c r="AL709" s="414" t="s">
        <v>2428</v>
      </c>
      <c r="AM709" s="405" t="s">
        <v>52</v>
      </c>
      <c r="AN709" s="405" t="s">
        <v>1071</v>
      </c>
      <c r="AO709" s="405"/>
      <c r="AP709" s="413"/>
      <c r="AQ709" s="413" t="s">
        <v>37</v>
      </c>
      <c r="AR709" s="389"/>
      <c r="AS709" s="386" t="s">
        <v>1073</v>
      </c>
      <c r="AT709" s="386" t="s">
        <v>1073</v>
      </c>
      <c r="AU709" s="409"/>
      <c r="AV709" s="402">
        <f t="shared" si="163"/>
        <v>49405140</v>
      </c>
      <c r="AW709" s="402" cm="1">
        <f t="array" ref="AW709">SUM(MID(0&amp;AV709,LARGE(INDEX(ISNUMBER(--MID(AV709,ROW($1:$8),1))*ROW($1:$8),),ROW($1:$8))+1,1)*10^ROW($1:$8)/10)</f>
        <v>49405140</v>
      </c>
      <c r="AX709" s="402" t="str">
        <f>VLOOKUP($AW709,'Item Master Data'!$A:$F,3,FALSE)</f>
        <v>Q.PEAK DUO BLK ML G10+</v>
      </c>
      <c r="AY709" s="402">
        <f>VLOOKUP($AW709,'Item Master Data'!$A:$F,6,FALSE)</f>
        <v>400</v>
      </c>
      <c r="AZ709" s="402">
        <f t="shared" si="164"/>
        <v>24</v>
      </c>
      <c r="BA709" s="402">
        <f>VLOOKUP(AW709,'Item Master Data'!$A:$G,7,FALSE)</f>
        <v>32</v>
      </c>
      <c r="BB709" s="402"/>
      <c r="BC709" s="402">
        <f t="shared" si="165"/>
        <v>0</v>
      </c>
    </row>
    <row r="710" spans="1:55">
      <c r="A710" s="403"/>
      <c r="B710" s="399"/>
      <c r="C710" s="399"/>
      <c r="D710" s="405" t="s">
        <v>2330</v>
      </c>
      <c r="E710" s="393" t="s">
        <v>2425</v>
      </c>
      <c r="F710" s="405" t="s">
        <v>1139</v>
      </c>
      <c r="G710" s="405">
        <v>2022</v>
      </c>
      <c r="H710" s="405">
        <v>6</v>
      </c>
      <c r="I710" s="405"/>
      <c r="J710" s="456"/>
      <c r="K710" s="414" t="s">
        <v>2436</v>
      </c>
      <c r="L710" s="405" t="s">
        <v>2408</v>
      </c>
      <c r="M710" s="406">
        <v>44524</v>
      </c>
      <c r="N710" s="406">
        <v>44651</v>
      </c>
      <c r="O710" s="406"/>
      <c r="P710" s="406"/>
      <c r="Q710" s="406"/>
      <c r="R710" s="406"/>
      <c r="S710" s="405" t="s">
        <v>2332</v>
      </c>
      <c r="T710" s="405">
        <v>60</v>
      </c>
      <c r="U710" s="405">
        <v>49405140</v>
      </c>
      <c r="V710" s="405" t="s">
        <v>973</v>
      </c>
      <c r="W710" s="405">
        <v>400</v>
      </c>
      <c r="X710" s="407">
        <v>768</v>
      </c>
      <c r="Y710" s="422">
        <f t="shared" si="162"/>
        <v>307200</v>
      </c>
      <c r="Z710" s="409">
        <v>0.48</v>
      </c>
      <c r="AA710" s="423">
        <f t="shared" si="161"/>
        <v>147456</v>
      </c>
      <c r="AB710" s="423"/>
      <c r="AC710" s="394">
        <v>0</v>
      </c>
      <c r="AD710" s="421"/>
      <c r="AE710" s="413"/>
      <c r="AF710" s="462">
        <f t="shared" si="160"/>
        <v>147456</v>
      </c>
      <c r="AG710" s="405" t="s">
        <v>47</v>
      </c>
      <c r="AH710" s="405"/>
      <c r="AI710" s="405">
        <v>60</v>
      </c>
      <c r="AJ710" s="406" t="s">
        <v>2409</v>
      </c>
      <c r="AK710" s="414" t="s">
        <v>1148</v>
      </c>
      <c r="AL710" s="414" t="s">
        <v>2424</v>
      </c>
      <c r="AM710" s="405" t="s">
        <v>52</v>
      </c>
      <c r="AN710" s="405" t="s">
        <v>1071</v>
      </c>
      <c r="AO710" s="405"/>
      <c r="AP710" s="413"/>
      <c r="AQ710" s="413" t="s">
        <v>37</v>
      </c>
      <c r="AR710" s="389"/>
      <c r="AS710" s="386" t="s">
        <v>1073</v>
      </c>
      <c r="AT710" s="386" t="s">
        <v>1073</v>
      </c>
      <c r="AU710" s="409"/>
      <c r="AV710" s="402">
        <f t="shared" si="163"/>
        <v>49405140</v>
      </c>
      <c r="AW710" s="402" cm="1">
        <f t="array" ref="AW710">SUM(MID(0&amp;AV710,LARGE(INDEX(ISNUMBER(--MID(AV710,ROW($1:$8),1))*ROW($1:$8),),ROW($1:$8))+1,1)*10^ROW($1:$8)/10)</f>
        <v>49405140</v>
      </c>
      <c r="AX710" s="402" t="str">
        <f>VLOOKUP($AW710,'Item Master Data'!$A:$F,3,FALSE)</f>
        <v>Q.PEAK DUO BLK ML G10+</v>
      </c>
      <c r="AY710" s="402">
        <f>VLOOKUP($AW710,'Item Master Data'!$A:$F,6,FALSE)</f>
        <v>400</v>
      </c>
      <c r="AZ710" s="402">
        <f t="shared" si="164"/>
        <v>24</v>
      </c>
      <c r="BA710" s="402">
        <f>VLOOKUP(AW710,'Item Master Data'!$A:$G,7,FALSE)</f>
        <v>32</v>
      </c>
      <c r="BB710" s="402"/>
      <c r="BC710" s="402">
        <f t="shared" si="165"/>
        <v>0</v>
      </c>
    </row>
    <row r="711" spans="1:55">
      <c r="A711" s="403"/>
      <c r="B711" s="397"/>
      <c r="C711" s="397"/>
      <c r="D711" s="405" t="s">
        <v>2330</v>
      </c>
      <c r="E711" s="393"/>
      <c r="F711" s="405" t="s">
        <v>1139</v>
      </c>
      <c r="G711" s="405">
        <v>2022</v>
      </c>
      <c r="H711" s="405">
        <v>6</v>
      </c>
      <c r="I711" s="405"/>
      <c r="J711" s="456"/>
      <c r="K711" s="405" t="s">
        <v>4667</v>
      </c>
      <c r="L711" s="405" t="s">
        <v>2443</v>
      </c>
      <c r="M711" s="406">
        <v>44682</v>
      </c>
      <c r="N711" s="406">
        <v>44652</v>
      </c>
      <c r="O711" s="406"/>
      <c r="P711" s="406"/>
      <c r="Q711" s="406"/>
      <c r="R711" s="406"/>
      <c r="S711" s="405" t="s">
        <v>2332</v>
      </c>
      <c r="T711" s="405">
        <v>60</v>
      </c>
      <c r="U711" s="405">
        <v>49204132</v>
      </c>
      <c r="V711" s="405" t="s">
        <v>1192</v>
      </c>
      <c r="W711" s="405">
        <v>360</v>
      </c>
      <c r="X711" s="407">
        <v>728</v>
      </c>
      <c r="Y711" s="422">
        <f>W711*X711</f>
        <v>262080</v>
      </c>
      <c r="Z711" s="409">
        <v>0.79</v>
      </c>
      <c r="AA711" s="423">
        <f t="shared" si="161"/>
        <v>207043.20000000001</v>
      </c>
      <c r="AB711" s="423"/>
      <c r="AC711" s="394">
        <v>0</v>
      </c>
      <c r="AD711" s="421"/>
      <c r="AE711" s="413"/>
      <c r="AF711" s="462">
        <f t="shared" si="160"/>
        <v>207043.20000000001</v>
      </c>
      <c r="AG711" s="405" t="s">
        <v>47</v>
      </c>
      <c r="AH711" s="405"/>
      <c r="AI711" s="405">
        <v>30</v>
      </c>
      <c r="AJ711" s="415" t="s">
        <v>2450</v>
      </c>
      <c r="AK711" s="405" t="s">
        <v>1317</v>
      </c>
      <c r="AL711" s="414" t="s">
        <v>2451</v>
      </c>
      <c r="AM711" s="405" t="s">
        <v>52</v>
      </c>
      <c r="AN711" s="405" t="s">
        <v>1071</v>
      </c>
      <c r="AO711" s="405"/>
      <c r="AP711" s="413"/>
      <c r="AQ711" s="413" t="s">
        <v>37</v>
      </c>
      <c r="AR711" s="413"/>
      <c r="AS711" s="403" t="s">
        <v>1073</v>
      </c>
      <c r="AT711" s="386" t="s">
        <v>1073</v>
      </c>
      <c r="AU711" s="386" t="s">
        <v>1073</v>
      </c>
      <c r="AV711" s="402">
        <f t="shared" si="163"/>
        <v>49204132</v>
      </c>
      <c r="AW711" s="402" cm="1">
        <f t="array" ref="AW711">SUM(MID(0&amp;AV711,LARGE(INDEX(ISNUMBER(--MID(AV711,ROW($1:$8),1))*ROW($1:$8),),ROW($1:$8))+1,1)*10^ROW($1:$8)/10)</f>
        <v>49204132</v>
      </c>
      <c r="AX711" s="402" t="str">
        <f>VLOOKUP($AW711,'Item Master Data'!$A:$F,3,FALSE)</f>
        <v>Q.PEAK DUO BLK G10+/AC</v>
      </c>
      <c r="AY711" s="402">
        <f>VLOOKUP($AW711,'Item Master Data'!$A:$F,6,FALSE)</f>
        <v>360</v>
      </c>
      <c r="AZ711" s="402">
        <f t="shared" si="164"/>
        <v>28</v>
      </c>
      <c r="BA711" s="402">
        <f>VLOOKUP(AW711,'Item Master Data'!$A:$G,7,FALSE)</f>
        <v>26</v>
      </c>
      <c r="BB711" s="402"/>
      <c r="BC711" s="402">
        <f t="shared" si="165"/>
        <v>0</v>
      </c>
    </row>
    <row r="712" spans="1:55">
      <c r="A712" s="403"/>
      <c r="B712" s="397"/>
      <c r="C712" s="397"/>
      <c r="D712" s="405" t="s">
        <v>2330</v>
      </c>
      <c r="E712" s="393"/>
      <c r="F712" s="405" t="s">
        <v>1139</v>
      </c>
      <c r="G712" s="405">
        <v>2022</v>
      </c>
      <c r="H712" s="405">
        <v>6</v>
      </c>
      <c r="I712" s="405"/>
      <c r="J712" s="456"/>
      <c r="K712" s="405" t="s">
        <v>4666</v>
      </c>
      <c r="L712" s="405" t="s">
        <v>2443</v>
      </c>
      <c r="M712" s="406">
        <v>44682</v>
      </c>
      <c r="N712" s="406">
        <v>44652</v>
      </c>
      <c r="O712" s="406"/>
      <c r="P712" s="406"/>
      <c r="Q712" s="406"/>
      <c r="R712" s="406"/>
      <c r="S712" s="405" t="s">
        <v>2332</v>
      </c>
      <c r="T712" s="405">
        <v>60</v>
      </c>
      <c r="U712" s="405">
        <v>49204132</v>
      </c>
      <c r="V712" s="405" t="s">
        <v>1192</v>
      </c>
      <c r="W712" s="405">
        <v>360</v>
      </c>
      <c r="X712" s="407">
        <v>728</v>
      </c>
      <c r="Y712" s="422">
        <f>W712*X712</f>
        <v>262080</v>
      </c>
      <c r="Z712" s="409">
        <v>0.79</v>
      </c>
      <c r="AA712" s="423">
        <f t="shared" si="161"/>
        <v>207043.20000000001</v>
      </c>
      <c r="AB712" s="423"/>
      <c r="AC712" s="394">
        <v>0</v>
      </c>
      <c r="AD712" s="421"/>
      <c r="AE712" s="413"/>
      <c r="AF712" s="462">
        <f t="shared" si="160"/>
        <v>207043.20000000001</v>
      </c>
      <c r="AG712" s="405" t="s">
        <v>47</v>
      </c>
      <c r="AH712" s="405"/>
      <c r="AI712" s="405">
        <v>30</v>
      </c>
      <c r="AJ712" s="415" t="s">
        <v>2445</v>
      </c>
      <c r="AK712" s="405" t="s">
        <v>1071</v>
      </c>
      <c r="AL712" s="414" t="s">
        <v>2446</v>
      </c>
      <c r="AM712" s="405" t="s">
        <v>52</v>
      </c>
      <c r="AN712" s="405" t="s">
        <v>1071</v>
      </c>
      <c r="AO712" s="405"/>
      <c r="AP712" s="413"/>
      <c r="AQ712" s="413" t="s">
        <v>37</v>
      </c>
      <c r="AR712" s="413"/>
      <c r="AS712" s="403" t="s">
        <v>1073</v>
      </c>
      <c r="AT712" s="386" t="s">
        <v>1073</v>
      </c>
      <c r="AU712" s="386" t="s">
        <v>1073</v>
      </c>
      <c r="AV712" s="402">
        <f t="shared" si="163"/>
        <v>49204132</v>
      </c>
      <c r="AW712" s="402" cm="1">
        <f t="array" ref="AW712">SUM(MID(0&amp;AV712,LARGE(INDEX(ISNUMBER(--MID(AV712,ROW($1:$8),1))*ROW($1:$8),),ROW($1:$8))+1,1)*10^ROW($1:$8)/10)</f>
        <v>49204132</v>
      </c>
      <c r="AX712" s="402" t="str">
        <f>VLOOKUP($AW712,'Item Master Data'!$A:$F,3,FALSE)</f>
        <v>Q.PEAK DUO BLK G10+/AC</v>
      </c>
      <c r="AY712" s="402">
        <f>VLOOKUP($AW712,'Item Master Data'!$A:$F,6,FALSE)</f>
        <v>360</v>
      </c>
      <c r="AZ712" s="402">
        <f t="shared" si="164"/>
        <v>28</v>
      </c>
      <c r="BA712" s="402">
        <f>VLOOKUP(AW712,'Item Master Data'!$A:$G,7,FALSE)</f>
        <v>26</v>
      </c>
      <c r="BB712" s="402"/>
      <c r="BC712" s="402">
        <f t="shared" si="165"/>
        <v>0</v>
      </c>
    </row>
    <row r="713" spans="1:55">
      <c r="A713" s="403"/>
      <c r="B713" s="397"/>
      <c r="C713" s="397"/>
      <c r="D713" s="405" t="s">
        <v>2330</v>
      </c>
      <c r="E713" s="393"/>
      <c r="F713" s="405" t="s">
        <v>1139</v>
      </c>
      <c r="G713" s="405">
        <v>2022</v>
      </c>
      <c r="H713" s="405">
        <v>6</v>
      </c>
      <c r="I713" s="405"/>
      <c r="J713" s="456"/>
      <c r="K713" s="405" t="s">
        <v>4665</v>
      </c>
      <c r="L713" s="405" t="s">
        <v>2443</v>
      </c>
      <c r="M713" s="406">
        <v>44682</v>
      </c>
      <c r="N713" s="406">
        <v>44652</v>
      </c>
      <c r="O713" s="406"/>
      <c r="P713" s="406"/>
      <c r="Q713" s="406"/>
      <c r="R713" s="406"/>
      <c r="S713" s="405" t="s">
        <v>2332</v>
      </c>
      <c r="T713" s="405">
        <v>60</v>
      </c>
      <c r="U713" s="405">
        <v>49204132</v>
      </c>
      <c r="V713" s="405" t="s">
        <v>1192</v>
      </c>
      <c r="W713" s="405">
        <v>360</v>
      </c>
      <c r="X713" s="407">
        <v>728</v>
      </c>
      <c r="Y713" s="422">
        <f>W713*X713</f>
        <v>262080</v>
      </c>
      <c r="Z713" s="409">
        <v>0.79</v>
      </c>
      <c r="AA713" s="423">
        <f t="shared" si="161"/>
        <v>207043.20000000001</v>
      </c>
      <c r="AB713" s="423"/>
      <c r="AC713" s="394">
        <v>0</v>
      </c>
      <c r="AD713" s="421"/>
      <c r="AE713" s="413"/>
      <c r="AF713" s="462">
        <f t="shared" si="160"/>
        <v>207043.20000000001</v>
      </c>
      <c r="AG713" s="405" t="s">
        <v>47</v>
      </c>
      <c r="AH713" s="405"/>
      <c r="AI713" s="405">
        <v>30</v>
      </c>
      <c r="AJ713" s="415" t="s">
        <v>2338</v>
      </c>
      <c r="AK713" s="405" t="s">
        <v>1071</v>
      </c>
      <c r="AL713" s="414" t="s">
        <v>2444</v>
      </c>
      <c r="AM713" s="405" t="s">
        <v>52</v>
      </c>
      <c r="AN713" s="405" t="s">
        <v>1071</v>
      </c>
      <c r="AO713" s="405"/>
      <c r="AP713" s="413"/>
      <c r="AQ713" s="413" t="s">
        <v>37</v>
      </c>
      <c r="AR713" s="413"/>
      <c r="AS713" s="403" t="s">
        <v>1073</v>
      </c>
      <c r="AT713" s="386" t="s">
        <v>1073</v>
      </c>
      <c r="AU713" s="386" t="s">
        <v>1073</v>
      </c>
      <c r="AV713" s="402"/>
      <c r="AW713" s="402"/>
      <c r="AX713" s="402"/>
      <c r="AY713" s="402"/>
      <c r="AZ713" s="402"/>
      <c r="BA713" s="402"/>
      <c r="BB713" s="402"/>
      <c r="BC713" s="402"/>
    </row>
    <row r="714" spans="1:55">
      <c r="A714" s="403"/>
      <c r="B714" s="397"/>
      <c r="C714" s="397"/>
      <c r="D714" s="405" t="s">
        <v>2330</v>
      </c>
      <c r="E714" s="393"/>
      <c r="F714" s="405" t="s">
        <v>1139</v>
      </c>
      <c r="G714" s="405">
        <v>2022</v>
      </c>
      <c r="H714" s="405">
        <v>6</v>
      </c>
      <c r="I714" s="405"/>
      <c r="J714" s="456"/>
      <c r="K714" s="405" t="s">
        <v>4662</v>
      </c>
      <c r="L714" s="405" t="s">
        <v>2443</v>
      </c>
      <c r="M714" s="406">
        <v>44682</v>
      </c>
      <c r="N714" s="406">
        <v>44652</v>
      </c>
      <c r="O714" s="406"/>
      <c r="P714" s="406"/>
      <c r="Q714" s="406"/>
      <c r="R714" s="406"/>
      <c r="S714" s="405" t="s">
        <v>2332</v>
      </c>
      <c r="T714" s="405">
        <v>60</v>
      </c>
      <c r="U714" s="405">
        <v>49204132</v>
      </c>
      <c r="V714" s="405" t="s">
        <v>1192</v>
      </c>
      <c r="W714" s="405">
        <v>360</v>
      </c>
      <c r="X714" s="407">
        <v>728</v>
      </c>
      <c r="Y714" s="422">
        <f>W714*X714</f>
        <v>262080</v>
      </c>
      <c r="Z714" s="409">
        <v>0.79</v>
      </c>
      <c r="AA714" s="423">
        <f t="shared" si="161"/>
        <v>207043.20000000001</v>
      </c>
      <c r="AB714" s="423"/>
      <c r="AC714" s="394">
        <v>0</v>
      </c>
      <c r="AD714" s="421"/>
      <c r="AE714" s="413"/>
      <c r="AF714" s="462">
        <f t="shared" si="160"/>
        <v>207043.20000000001</v>
      </c>
      <c r="AG714" s="405" t="s">
        <v>47</v>
      </c>
      <c r="AH714" s="405"/>
      <c r="AI714" s="405">
        <v>30</v>
      </c>
      <c r="AJ714" s="415" t="s">
        <v>4663</v>
      </c>
      <c r="AK714" s="405" t="s">
        <v>1071</v>
      </c>
      <c r="AL714" s="414" t="s">
        <v>4664</v>
      </c>
      <c r="AM714" s="405" t="s">
        <v>52</v>
      </c>
      <c r="AN714" s="405" t="s">
        <v>1071</v>
      </c>
      <c r="AO714" s="405"/>
      <c r="AP714" s="413"/>
      <c r="AQ714" s="413" t="s">
        <v>37</v>
      </c>
      <c r="AR714" s="413"/>
      <c r="AS714" s="403" t="s">
        <v>1073</v>
      </c>
      <c r="AT714" s="386" t="s">
        <v>1073</v>
      </c>
      <c r="AU714" s="386" t="s">
        <v>1073</v>
      </c>
      <c r="AV714" s="402">
        <f>U714</f>
        <v>49204132</v>
      </c>
      <c r="AW714" s="402" cm="1">
        <f t="array" ref="AW714">SUM(MID(0&amp;AV714,LARGE(INDEX(ISNUMBER(--MID(AV714,ROW($1:$8),1))*ROW($1:$8),),ROW($1:$8))+1,1)*10^ROW($1:$8)/10)</f>
        <v>49204132</v>
      </c>
      <c r="AX714" s="402" t="str">
        <f>VLOOKUP($AW714,'Item Master Data'!$A:$F,3,FALSE)</f>
        <v>Q.PEAK DUO BLK G10+/AC</v>
      </c>
      <c r="AY714" s="402">
        <f>VLOOKUP($AW714,'Item Master Data'!$A:$F,6,FALSE)</f>
        <v>360</v>
      </c>
      <c r="AZ714" s="402">
        <f>X714/BA714</f>
        <v>28</v>
      </c>
      <c r="BA714" s="402">
        <f>VLOOKUP(AW714,'Item Master Data'!$A:$G,7,FALSE)</f>
        <v>26</v>
      </c>
      <c r="BB714" s="402"/>
      <c r="BC714" s="402">
        <f>W714-AY714</f>
        <v>0</v>
      </c>
    </row>
    <row r="715" spans="1:55">
      <c r="A715" s="403"/>
      <c r="B715" s="397"/>
      <c r="C715" s="397"/>
      <c r="D715" s="405" t="s">
        <v>2330</v>
      </c>
      <c r="E715" s="393"/>
      <c r="F715" s="405" t="s">
        <v>1139</v>
      </c>
      <c r="G715" s="405">
        <v>2022</v>
      </c>
      <c r="H715" s="405">
        <v>6</v>
      </c>
      <c r="I715" s="405"/>
      <c r="J715" s="456"/>
      <c r="K715" s="405" t="s">
        <v>4657</v>
      </c>
      <c r="L715" s="405" t="s">
        <v>2443</v>
      </c>
      <c r="M715" s="406">
        <v>44682</v>
      </c>
      <c r="N715" s="406">
        <v>44652</v>
      </c>
      <c r="O715" s="406"/>
      <c r="P715" s="406"/>
      <c r="Q715" s="406"/>
      <c r="R715" s="406"/>
      <c r="S715" s="405" t="s">
        <v>2332</v>
      </c>
      <c r="T715" s="405">
        <v>60</v>
      </c>
      <c r="U715" s="405">
        <v>49204132</v>
      </c>
      <c r="V715" s="405" t="s">
        <v>1192</v>
      </c>
      <c r="W715" s="405">
        <v>360</v>
      </c>
      <c r="X715" s="407">
        <v>728</v>
      </c>
      <c r="Y715" s="422">
        <f>W715*X715</f>
        <v>262080</v>
      </c>
      <c r="Z715" s="409">
        <v>0.79</v>
      </c>
      <c r="AA715" s="423">
        <f t="shared" si="161"/>
        <v>207043.20000000001</v>
      </c>
      <c r="AB715" s="423"/>
      <c r="AC715" s="394">
        <v>0</v>
      </c>
      <c r="AD715" s="421"/>
      <c r="AE715" s="413"/>
      <c r="AF715" s="462">
        <f t="shared" si="160"/>
        <v>207043.20000000001</v>
      </c>
      <c r="AG715" s="405" t="s">
        <v>47</v>
      </c>
      <c r="AH715" s="405"/>
      <c r="AI715" s="405">
        <v>30</v>
      </c>
      <c r="AJ715" s="415" t="s">
        <v>2445</v>
      </c>
      <c r="AK715" s="405" t="s">
        <v>1071</v>
      </c>
      <c r="AL715" s="414" t="s">
        <v>2446</v>
      </c>
      <c r="AM715" s="405" t="s">
        <v>52</v>
      </c>
      <c r="AN715" s="405" t="s">
        <v>1071</v>
      </c>
      <c r="AO715" s="405"/>
      <c r="AP715" s="413"/>
      <c r="AQ715" s="413" t="s">
        <v>37</v>
      </c>
      <c r="AR715" s="413"/>
      <c r="AS715" s="403" t="s">
        <v>1073</v>
      </c>
      <c r="AT715" s="386" t="s">
        <v>1073</v>
      </c>
      <c r="AU715" s="386" t="s">
        <v>1073</v>
      </c>
      <c r="AV715" s="402">
        <f>U715</f>
        <v>49204132</v>
      </c>
      <c r="AW715" s="402" cm="1">
        <f t="array" ref="AW715">SUM(MID(0&amp;AV715,LARGE(INDEX(ISNUMBER(--MID(AV715,ROW($1:$8),1))*ROW($1:$8),),ROW($1:$8))+1,1)*10^ROW($1:$8)/10)</f>
        <v>49204132</v>
      </c>
      <c r="AX715" s="402" t="str">
        <f>VLOOKUP($AW715,'Item Master Data'!$A:$F,3,FALSE)</f>
        <v>Q.PEAK DUO BLK G10+/AC</v>
      </c>
      <c r="AY715" s="402">
        <f>VLOOKUP($AW715,'Item Master Data'!$A:$F,6,FALSE)</f>
        <v>360</v>
      </c>
      <c r="AZ715" s="402">
        <f>X715/BA715</f>
        <v>28</v>
      </c>
      <c r="BA715" s="402">
        <f>VLOOKUP(AW715,'Item Master Data'!$A:$G,7,FALSE)</f>
        <v>26</v>
      </c>
      <c r="BB715" s="402"/>
      <c r="BC715" s="402">
        <f>W715-AY715</f>
        <v>0</v>
      </c>
    </row>
    <row r="716" spans="1:55">
      <c r="A716" s="403"/>
      <c r="B716" s="399"/>
      <c r="C716" s="399">
        <v>44684</v>
      </c>
      <c r="D716" s="405" t="s">
        <v>2330</v>
      </c>
      <c r="E716" s="393" t="s">
        <v>2367</v>
      </c>
      <c r="F716" s="405"/>
      <c r="G716" s="405">
        <v>2022</v>
      </c>
      <c r="H716" s="405">
        <v>6</v>
      </c>
      <c r="I716" s="405"/>
      <c r="J716" s="418"/>
      <c r="K716" s="414">
        <v>819774</v>
      </c>
      <c r="L716" s="405" t="s">
        <v>2380</v>
      </c>
      <c r="M716" s="406">
        <v>44607</v>
      </c>
      <c r="N716" s="406">
        <v>44683</v>
      </c>
      <c r="O716" s="406"/>
      <c r="P716" s="406"/>
      <c r="Q716" s="406"/>
      <c r="R716" s="406"/>
      <c r="S716" s="405" t="s">
        <v>2332</v>
      </c>
      <c r="T716" s="405">
        <v>72</v>
      </c>
      <c r="U716" s="405">
        <v>49303156</v>
      </c>
      <c r="V716" s="405" t="s">
        <v>1068</v>
      </c>
      <c r="W716" s="405">
        <v>480</v>
      </c>
      <c r="X716" s="407">
        <v>580</v>
      </c>
      <c r="Y716" s="422">
        <f t="shared" ref="Y716:Y723" si="166">X716*W716</f>
        <v>278400</v>
      </c>
      <c r="Z716" s="409">
        <v>0.49</v>
      </c>
      <c r="AA716" s="423">
        <f t="shared" si="161"/>
        <v>136416</v>
      </c>
      <c r="AB716" s="423"/>
      <c r="AC716" s="394">
        <v>0</v>
      </c>
      <c r="AD716" s="421"/>
      <c r="AE716" s="413"/>
      <c r="AF716" s="462">
        <f t="shared" si="160"/>
        <v>136416</v>
      </c>
      <c r="AG716" s="405" t="s">
        <v>1069</v>
      </c>
      <c r="AH716" s="405"/>
      <c r="AI716" s="405">
        <v>60</v>
      </c>
      <c r="AJ716" s="406" t="s">
        <v>1881</v>
      </c>
      <c r="AK716" s="414" t="s">
        <v>1081</v>
      </c>
      <c r="AL716" s="414" t="s">
        <v>2349</v>
      </c>
      <c r="AM716" s="405" t="s">
        <v>52</v>
      </c>
      <c r="AN716" s="405" t="s">
        <v>1101</v>
      </c>
      <c r="AO716" s="405"/>
      <c r="AP716" s="413"/>
      <c r="AQ716" s="413" t="s">
        <v>37</v>
      </c>
      <c r="AR716" s="389"/>
      <c r="AS716" s="386" t="s">
        <v>1084</v>
      </c>
      <c r="AT716" s="386" t="s">
        <v>1073</v>
      </c>
      <c r="AU716" s="409">
        <v>0.5</v>
      </c>
      <c r="AV716" s="402"/>
      <c r="AW716" s="402"/>
      <c r="AX716" s="402"/>
      <c r="AY716" s="402"/>
      <c r="AZ716" s="402"/>
      <c r="BA716" s="402"/>
      <c r="BB716" s="402"/>
      <c r="BC716" s="402"/>
    </row>
    <row r="717" spans="1:55">
      <c r="A717" s="403"/>
      <c r="B717" s="399"/>
      <c r="C717" s="399" t="s">
        <v>1186</v>
      </c>
      <c r="D717" s="405" t="s">
        <v>2330</v>
      </c>
      <c r="E717" s="393" t="s">
        <v>4720</v>
      </c>
      <c r="F717" s="405" t="s">
        <v>1139</v>
      </c>
      <c r="G717" s="405">
        <v>2022</v>
      </c>
      <c r="H717" s="405">
        <v>6</v>
      </c>
      <c r="I717" s="405"/>
      <c r="J717" s="418"/>
      <c r="K717" s="414" t="s">
        <v>2379</v>
      </c>
      <c r="L717" s="405" t="s">
        <v>2380</v>
      </c>
      <c r="M717" s="406">
        <v>44602</v>
      </c>
      <c r="N717" s="406">
        <v>44655</v>
      </c>
      <c r="O717" s="406"/>
      <c r="P717" s="406">
        <v>44666</v>
      </c>
      <c r="Q717" s="406"/>
      <c r="R717" s="406"/>
      <c r="S717" s="405" t="s">
        <v>2332</v>
      </c>
      <c r="T717" s="405">
        <v>72</v>
      </c>
      <c r="U717" s="405" t="s">
        <v>1102</v>
      </c>
      <c r="V717" s="405" t="s">
        <v>1100</v>
      </c>
      <c r="W717" s="405">
        <v>475</v>
      </c>
      <c r="X717" s="407">
        <v>580</v>
      </c>
      <c r="Y717" s="422">
        <f t="shared" si="166"/>
        <v>275500</v>
      </c>
      <c r="Z717" s="409">
        <v>0.48505263157</v>
      </c>
      <c r="AA717" s="423">
        <f t="shared" si="161"/>
        <v>133631.99999753499</v>
      </c>
      <c r="AB717" s="423"/>
      <c r="AC717" s="394">
        <v>0</v>
      </c>
      <c r="AD717" s="421"/>
      <c r="AE717" s="413"/>
      <c r="AF717" s="462">
        <f t="shared" si="160"/>
        <v>133631.99999753499</v>
      </c>
      <c r="AG717" s="405" t="s">
        <v>47</v>
      </c>
      <c r="AH717" s="405"/>
      <c r="AI717" s="405">
        <v>60</v>
      </c>
      <c r="AJ717" s="406" t="s">
        <v>1080</v>
      </c>
      <c r="AK717" s="414" t="s">
        <v>1081</v>
      </c>
      <c r="AL717" s="414" t="s">
        <v>2343</v>
      </c>
      <c r="AM717" s="405" t="s">
        <v>52</v>
      </c>
      <c r="AN717" s="405" t="s">
        <v>1101</v>
      </c>
      <c r="AO717" s="405"/>
      <c r="AP717" s="413"/>
      <c r="AQ717" s="413" t="s">
        <v>37</v>
      </c>
      <c r="AR717" s="389"/>
      <c r="AS717" s="386" t="s">
        <v>1073</v>
      </c>
      <c r="AT717" s="386" t="s">
        <v>1073</v>
      </c>
      <c r="AU717" s="409"/>
      <c r="AV717" s="402" t="str">
        <f>U717</f>
        <v>TBD</v>
      </c>
      <c r="AW717" s="402" cm="1">
        <f t="array" ref="AW717">SUM(MID(0&amp;AV717,LARGE(INDEX(ISNUMBER(--MID(AV717,ROW($1:$8),1))*ROW($1:$8),),ROW($1:$8))+1,1)*10^ROW($1:$8)/10)</f>
        <v>0</v>
      </c>
      <c r="AX717" s="402" t="e">
        <f>VLOOKUP($AW717,'Item Master Data'!$A:$F,3,FALSE)</f>
        <v>#N/A</v>
      </c>
      <c r="AY717" s="402" t="e">
        <f>VLOOKUP($AW717,'Item Master Data'!$A:$F,6,FALSE)</f>
        <v>#N/A</v>
      </c>
      <c r="AZ717" s="402" t="e">
        <f>X717/BA717</f>
        <v>#N/A</v>
      </c>
      <c r="BA717" s="402" t="e">
        <f>VLOOKUP(AW717,'Item Master Data'!$A:$G,7,FALSE)</f>
        <v>#N/A</v>
      </c>
      <c r="BB717" s="402"/>
      <c r="BC717" s="402" t="e">
        <f>W717-AY717</f>
        <v>#N/A</v>
      </c>
    </row>
    <row r="718" spans="1:55">
      <c r="A718" s="403"/>
      <c r="B718" s="399">
        <v>44610</v>
      </c>
      <c r="C718" s="399">
        <v>44631</v>
      </c>
      <c r="D718" s="405" t="s">
        <v>2330</v>
      </c>
      <c r="E718" s="393"/>
      <c r="F718" s="405" t="s">
        <v>1139</v>
      </c>
      <c r="G718" s="405">
        <v>2022</v>
      </c>
      <c r="H718" s="405">
        <v>6</v>
      </c>
      <c r="I718" s="405"/>
      <c r="J718" s="418"/>
      <c r="K718" s="414" t="s">
        <v>4887</v>
      </c>
      <c r="L718" s="405" t="s">
        <v>2464</v>
      </c>
      <c r="M718" s="406">
        <v>44543</v>
      </c>
      <c r="N718" s="406">
        <v>44682</v>
      </c>
      <c r="O718" s="406" t="s">
        <v>1932</v>
      </c>
      <c r="P718" s="406"/>
      <c r="Q718" s="406"/>
      <c r="R718" s="406"/>
      <c r="S718" s="405" t="s">
        <v>2332</v>
      </c>
      <c r="T718" s="405">
        <v>60</v>
      </c>
      <c r="U718" s="405" t="s">
        <v>1559</v>
      </c>
      <c r="V718" s="405" t="s">
        <v>973</v>
      </c>
      <c r="W718" s="405">
        <v>400</v>
      </c>
      <c r="X718" s="407">
        <v>1216</v>
      </c>
      <c r="Y718" s="422">
        <f t="shared" si="166"/>
        <v>486400</v>
      </c>
      <c r="Z718" s="409">
        <v>0.5</v>
      </c>
      <c r="AA718" s="423">
        <f t="shared" si="161"/>
        <v>243200</v>
      </c>
      <c r="AB718" s="423"/>
      <c r="AC718" s="394">
        <v>0</v>
      </c>
      <c r="AD718" s="421"/>
      <c r="AE718" s="413"/>
      <c r="AF718" s="462">
        <f t="shared" si="160"/>
        <v>243200</v>
      </c>
      <c r="AG718" s="405" t="s">
        <v>47</v>
      </c>
      <c r="AH718" s="405"/>
      <c r="AI718" s="405">
        <v>30</v>
      </c>
      <c r="AJ718" s="406" t="s">
        <v>1080</v>
      </c>
      <c r="AK718" s="414" t="s">
        <v>1081</v>
      </c>
      <c r="AL718" s="414" t="s">
        <v>2343</v>
      </c>
      <c r="AM718" s="405" t="s">
        <v>52</v>
      </c>
      <c r="AN718" s="405" t="s">
        <v>1071</v>
      </c>
      <c r="AO718" s="405"/>
      <c r="AP718" s="413"/>
      <c r="AQ718" s="413" t="s">
        <v>37</v>
      </c>
      <c r="AR718" s="389"/>
      <c r="AS718" s="386" t="s">
        <v>1084</v>
      </c>
      <c r="AT718" s="386" t="s">
        <v>1073</v>
      </c>
      <c r="AU718" s="409"/>
      <c r="AV718" s="402" t="str">
        <f>U718</f>
        <v>30390156H</v>
      </c>
      <c r="AW718" s="402" cm="1">
        <f t="array" ref="AW718">SUM(MID(0&amp;AV718,LARGE(INDEX(ISNUMBER(--MID(AV718,ROW($1:$8),1))*ROW($1:$8),),ROW($1:$8))+1,1)*10^ROW($1:$8)/10)</f>
        <v>30390156</v>
      </c>
      <c r="AX718" s="402" t="str">
        <f>VLOOKUP($AW718,'Item Master Data'!$A:$F,3,FALSE)</f>
        <v>Q.PEAK DUO BLK ML G10+</v>
      </c>
      <c r="AY718" s="402">
        <f>VLOOKUP($AW718,'Item Master Data'!$A:$F,6,FALSE)</f>
        <v>400</v>
      </c>
      <c r="AZ718" s="402">
        <f>X718/BA718</f>
        <v>38</v>
      </c>
      <c r="BA718" s="402">
        <f>VLOOKUP(AW718,'Item Master Data'!$A:$G,7,FALSE)</f>
        <v>32</v>
      </c>
      <c r="BB718" s="402"/>
      <c r="BC718" s="402">
        <f>W718-AY718</f>
        <v>0</v>
      </c>
    </row>
    <row r="719" spans="1:55">
      <c r="A719" s="403"/>
      <c r="B719" s="399">
        <v>44610</v>
      </c>
      <c r="C719" s="399">
        <v>44631</v>
      </c>
      <c r="D719" s="405" t="s">
        <v>2330</v>
      </c>
      <c r="E719" s="393"/>
      <c r="F719" s="405" t="s">
        <v>1139</v>
      </c>
      <c r="G719" s="405">
        <v>2022</v>
      </c>
      <c r="H719" s="405">
        <v>6</v>
      </c>
      <c r="I719" s="405"/>
      <c r="J719" s="456"/>
      <c r="K719" s="414" t="s">
        <v>2466</v>
      </c>
      <c r="L719" s="405" t="s">
        <v>2464</v>
      </c>
      <c r="M719" s="406">
        <v>44543</v>
      </c>
      <c r="N719" s="406">
        <v>44713</v>
      </c>
      <c r="O719" s="406" t="s">
        <v>1932</v>
      </c>
      <c r="P719" s="406"/>
      <c r="Q719" s="406"/>
      <c r="R719" s="406"/>
      <c r="S719" s="405" t="s">
        <v>2332</v>
      </c>
      <c r="T719" s="405">
        <v>60</v>
      </c>
      <c r="U719" s="405" t="s">
        <v>1559</v>
      </c>
      <c r="V719" s="405" t="s">
        <v>973</v>
      </c>
      <c r="W719" s="405">
        <v>400</v>
      </c>
      <c r="X719" s="407">
        <v>10432</v>
      </c>
      <c r="Y719" s="422">
        <f t="shared" si="166"/>
        <v>4172800</v>
      </c>
      <c r="Z719" s="409">
        <v>0.5</v>
      </c>
      <c r="AA719" s="423">
        <f t="shared" si="161"/>
        <v>2086400</v>
      </c>
      <c r="AB719" s="423"/>
      <c r="AC719" s="394">
        <v>0</v>
      </c>
      <c r="AD719" s="421"/>
      <c r="AE719" s="413"/>
      <c r="AF719" s="462">
        <f t="shared" si="160"/>
        <v>2086400</v>
      </c>
      <c r="AG719" s="405" t="s">
        <v>47</v>
      </c>
      <c r="AH719" s="405"/>
      <c r="AI719" s="405">
        <v>30</v>
      </c>
      <c r="AJ719" s="406" t="s">
        <v>1080</v>
      </c>
      <c r="AK719" s="414" t="s">
        <v>1081</v>
      </c>
      <c r="AL719" s="414" t="s">
        <v>2343</v>
      </c>
      <c r="AM719" s="405" t="s">
        <v>52</v>
      </c>
      <c r="AN719" s="405" t="s">
        <v>1071</v>
      </c>
      <c r="AO719" s="405"/>
      <c r="AP719" s="413"/>
      <c r="AQ719" s="413" t="s">
        <v>37</v>
      </c>
      <c r="AR719" s="389"/>
      <c r="AS719" s="386" t="s">
        <v>1084</v>
      </c>
      <c r="AT719" s="386" t="s">
        <v>1073</v>
      </c>
      <c r="AU719" s="409"/>
      <c r="AV719" s="402" t="str">
        <f>U719</f>
        <v>30390156H</v>
      </c>
      <c r="AW719" s="402" cm="1">
        <f t="array" ref="AW719">SUM(MID(0&amp;AV719,LARGE(INDEX(ISNUMBER(--MID(AV719,ROW($1:$8),1))*ROW($1:$8),),ROW($1:$8))+1,1)*10^ROW($1:$8)/10)</f>
        <v>30390156</v>
      </c>
      <c r="AX719" s="402" t="str">
        <f>VLOOKUP($AW719,'Item Master Data'!$A:$F,3,FALSE)</f>
        <v>Q.PEAK DUO BLK ML G10+</v>
      </c>
      <c r="AY719" s="402">
        <f>VLOOKUP($AW719,'Item Master Data'!$A:$F,6,FALSE)</f>
        <v>400</v>
      </c>
      <c r="AZ719" s="402">
        <f>X719/BA719</f>
        <v>326</v>
      </c>
      <c r="BA719" s="402">
        <f>VLOOKUP(AW719,'Item Master Data'!$A:$G,7,FALSE)</f>
        <v>32</v>
      </c>
      <c r="BB719" s="402"/>
      <c r="BC719" s="402">
        <f>W719-AY719</f>
        <v>0</v>
      </c>
    </row>
    <row r="720" spans="1:55">
      <c r="A720" s="403"/>
      <c r="B720" s="397">
        <v>44607</v>
      </c>
      <c r="C720" s="397">
        <v>44631</v>
      </c>
      <c r="D720" s="405" t="s">
        <v>2330</v>
      </c>
      <c r="E720" s="405" t="s">
        <v>2367</v>
      </c>
      <c r="F720" s="405" t="s">
        <v>1139</v>
      </c>
      <c r="G720" s="405">
        <v>2022</v>
      </c>
      <c r="H720" s="405">
        <v>6</v>
      </c>
      <c r="I720" s="405"/>
      <c r="J720" s="406"/>
      <c r="K720" s="405" t="s">
        <v>2467</v>
      </c>
      <c r="L720" s="405" t="s">
        <v>2464</v>
      </c>
      <c r="M720" s="406">
        <v>44607</v>
      </c>
      <c r="N720" s="406">
        <v>44713</v>
      </c>
      <c r="O720" s="406" t="s">
        <v>1932</v>
      </c>
      <c r="P720" s="406"/>
      <c r="Q720" s="406"/>
      <c r="R720" s="406"/>
      <c r="S720" s="405" t="s">
        <v>2332</v>
      </c>
      <c r="T720" s="405">
        <v>60</v>
      </c>
      <c r="U720" s="405" t="s">
        <v>1559</v>
      </c>
      <c r="V720" s="405" t="s">
        <v>973</v>
      </c>
      <c r="W720" s="405">
        <v>400</v>
      </c>
      <c r="X720" s="382">
        <v>832</v>
      </c>
      <c r="Y720" s="422">
        <f t="shared" si="166"/>
        <v>332800</v>
      </c>
      <c r="Z720" s="409">
        <v>0.5</v>
      </c>
      <c r="AA720" s="423">
        <f t="shared" si="161"/>
        <v>166400</v>
      </c>
      <c r="AB720" s="423"/>
      <c r="AC720" s="394">
        <v>0</v>
      </c>
      <c r="AD720" s="421"/>
      <c r="AE720" s="387"/>
      <c r="AF720" s="462">
        <f t="shared" si="160"/>
        <v>166400</v>
      </c>
      <c r="AG720" s="405" t="s">
        <v>47</v>
      </c>
      <c r="AH720" s="388"/>
      <c r="AI720" s="405">
        <v>30</v>
      </c>
      <c r="AJ720" s="415" t="s">
        <v>1080</v>
      </c>
      <c r="AK720" s="405" t="s">
        <v>1081</v>
      </c>
      <c r="AL720" s="414" t="s">
        <v>2343</v>
      </c>
      <c r="AM720" s="405" t="s">
        <v>52</v>
      </c>
      <c r="AN720" s="405" t="s">
        <v>1071</v>
      </c>
      <c r="AO720" s="405"/>
      <c r="AP720" s="417"/>
      <c r="AQ720" s="389" t="s">
        <v>37</v>
      </c>
      <c r="AR720" s="389" t="s">
        <v>2352</v>
      </c>
      <c r="AS720" s="404" t="s">
        <v>1084</v>
      </c>
      <c r="AT720" s="404" t="s">
        <v>1073</v>
      </c>
      <c r="AU720" s="409">
        <v>0.5</v>
      </c>
      <c r="AV720" s="402"/>
      <c r="AW720" s="402"/>
      <c r="AX720" s="402"/>
      <c r="AY720" s="402"/>
      <c r="AZ720" s="402"/>
      <c r="BA720" s="402"/>
      <c r="BB720" s="402"/>
      <c r="BC720" s="402"/>
    </row>
    <row r="721" spans="1:55">
      <c r="A721" s="403"/>
      <c r="B721" s="399">
        <v>44578</v>
      </c>
      <c r="C721" s="399">
        <v>44579</v>
      </c>
      <c r="D721" s="405" t="s">
        <v>2330</v>
      </c>
      <c r="E721" s="393"/>
      <c r="F721" s="405" t="s">
        <v>1139</v>
      </c>
      <c r="G721" s="405">
        <v>2022</v>
      </c>
      <c r="H721" s="405">
        <v>7</v>
      </c>
      <c r="I721" s="405"/>
      <c r="J721" s="456"/>
      <c r="K721" s="414" t="s">
        <v>4570</v>
      </c>
      <c r="L721" s="405" t="s">
        <v>2342</v>
      </c>
      <c r="M721" s="406">
        <v>44456</v>
      </c>
      <c r="N721" s="406">
        <v>44536</v>
      </c>
      <c r="O721" s="406">
        <v>44682</v>
      </c>
      <c r="P721" s="406"/>
      <c r="Q721" s="406"/>
      <c r="R721" s="406"/>
      <c r="S721" s="405" t="s">
        <v>2332</v>
      </c>
      <c r="T721" s="405">
        <v>60</v>
      </c>
      <c r="U721" s="405">
        <v>49403140</v>
      </c>
      <c r="V721" s="405" t="s">
        <v>973</v>
      </c>
      <c r="W721" s="405">
        <v>400</v>
      </c>
      <c r="X721" s="407">
        <v>768</v>
      </c>
      <c r="Y721" s="422">
        <f t="shared" si="166"/>
        <v>307200</v>
      </c>
      <c r="Z721" s="409">
        <v>0.64</v>
      </c>
      <c r="AA721" s="423">
        <f t="shared" si="161"/>
        <v>196608</v>
      </c>
      <c r="AB721" s="423"/>
      <c r="AC721" s="394">
        <v>0</v>
      </c>
      <c r="AD721" s="421"/>
      <c r="AE721" s="413"/>
      <c r="AF721" s="462">
        <f t="shared" si="160"/>
        <v>196608</v>
      </c>
      <c r="AG721" s="405" t="s">
        <v>1069</v>
      </c>
      <c r="AH721" s="405"/>
      <c r="AI721" s="405">
        <v>60</v>
      </c>
      <c r="AJ721" s="406" t="s">
        <v>1127</v>
      </c>
      <c r="AK721" s="414" t="s">
        <v>1081</v>
      </c>
      <c r="AL721" s="414">
        <v>33064</v>
      </c>
      <c r="AM721" s="405" t="s">
        <v>52</v>
      </c>
      <c r="AN721" s="405" t="s">
        <v>1071</v>
      </c>
      <c r="AO721" s="405"/>
      <c r="AP721" s="413"/>
      <c r="AQ721" s="413" t="s">
        <v>37</v>
      </c>
      <c r="AR721" s="389" t="s">
        <v>1209</v>
      </c>
      <c r="AS721" s="386" t="s">
        <v>1073</v>
      </c>
      <c r="AT721" s="386" t="s">
        <v>1073</v>
      </c>
      <c r="AU721" s="409">
        <v>0.47499999999999998</v>
      </c>
      <c r="AV721" s="402">
        <f>U721</f>
        <v>49403140</v>
      </c>
      <c r="AW721" s="402" cm="1">
        <f t="array" ref="AW721">SUM(MID(0&amp;AV721,LARGE(INDEX(ISNUMBER(--MID(AV721,ROW($1:$8),1))*ROW($1:$8),),ROW($1:$8))+1,1)*10^ROW($1:$8)/10)</f>
        <v>49403140</v>
      </c>
      <c r="AX721" s="402" t="str">
        <f>VLOOKUP($AW721,'Item Master Data'!$A:$F,3,FALSE)</f>
        <v>Q.PEAK DUO BLK ML G10+</v>
      </c>
      <c r="AY721" s="402">
        <f>VLOOKUP($AW721,'Item Master Data'!$A:$F,6,FALSE)</f>
        <v>400</v>
      </c>
      <c r="AZ721" s="402">
        <f>X721/BA721</f>
        <v>24</v>
      </c>
      <c r="BA721" s="402">
        <f>VLOOKUP(AW721,'Item Master Data'!$A:$G,7,FALSE)</f>
        <v>32</v>
      </c>
      <c r="BB721" s="402"/>
      <c r="BC721" s="402">
        <f>W721-AY721</f>
        <v>0</v>
      </c>
    </row>
    <row r="722" spans="1:55">
      <c r="A722" s="403"/>
      <c r="B722" s="399">
        <v>44578</v>
      </c>
      <c r="C722" s="399">
        <v>44579</v>
      </c>
      <c r="D722" s="405" t="s">
        <v>2330</v>
      </c>
      <c r="E722" s="393"/>
      <c r="F722" s="405" t="s">
        <v>1139</v>
      </c>
      <c r="G722" s="405">
        <v>2022</v>
      </c>
      <c r="H722" s="405">
        <v>7</v>
      </c>
      <c r="I722" s="405"/>
      <c r="J722" s="456"/>
      <c r="K722" s="414" t="s">
        <v>2347</v>
      </c>
      <c r="L722" s="405" t="s">
        <v>2342</v>
      </c>
      <c r="M722" s="406">
        <v>44456</v>
      </c>
      <c r="N722" s="406">
        <v>44536</v>
      </c>
      <c r="O722" s="406">
        <v>44682</v>
      </c>
      <c r="P722" s="406"/>
      <c r="Q722" s="406"/>
      <c r="R722" s="406"/>
      <c r="S722" s="405" t="s">
        <v>2332</v>
      </c>
      <c r="T722" s="405">
        <v>60</v>
      </c>
      <c r="U722" s="405">
        <v>49403140</v>
      </c>
      <c r="V722" s="405" t="s">
        <v>973</v>
      </c>
      <c r="W722" s="405">
        <v>400</v>
      </c>
      <c r="X722" s="407">
        <v>1536</v>
      </c>
      <c r="Y722" s="422">
        <f t="shared" si="166"/>
        <v>614400</v>
      </c>
      <c r="Z722" s="409">
        <v>0.64</v>
      </c>
      <c r="AA722" s="423">
        <f t="shared" si="161"/>
        <v>393216</v>
      </c>
      <c r="AB722" s="423"/>
      <c r="AC722" s="394">
        <v>0</v>
      </c>
      <c r="AD722" s="421"/>
      <c r="AE722" s="413"/>
      <c r="AF722" s="462">
        <f t="shared" si="160"/>
        <v>393216</v>
      </c>
      <c r="AG722" s="405" t="s">
        <v>1069</v>
      </c>
      <c r="AH722" s="405"/>
      <c r="AI722" s="405">
        <v>60</v>
      </c>
      <c r="AJ722" s="406" t="s">
        <v>1127</v>
      </c>
      <c r="AK722" s="414" t="s">
        <v>1081</v>
      </c>
      <c r="AL722" s="414">
        <v>33064</v>
      </c>
      <c r="AM722" s="405" t="s">
        <v>52</v>
      </c>
      <c r="AN722" s="405" t="s">
        <v>1071</v>
      </c>
      <c r="AO722" s="405"/>
      <c r="AP722" s="413"/>
      <c r="AQ722" s="413" t="s">
        <v>37</v>
      </c>
      <c r="AR722" s="389" t="s">
        <v>1209</v>
      </c>
      <c r="AS722" s="386" t="s">
        <v>1073</v>
      </c>
      <c r="AT722" s="386" t="s">
        <v>1073</v>
      </c>
      <c r="AU722" s="409">
        <v>0.47499999999999998</v>
      </c>
      <c r="AV722" s="402">
        <f>U722</f>
        <v>49403140</v>
      </c>
      <c r="AW722" s="402" cm="1">
        <f t="array" ref="AW722">SUM(MID(0&amp;AV722,LARGE(INDEX(ISNUMBER(--MID(AV722,ROW($1:$8),1))*ROW($1:$8),),ROW($1:$8))+1,1)*10^ROW($1:$8)/10)</f>
        <v>49403140</v>
      </c>
      <c r="AX722" s="402" t="str">
        <f>VLOOKUP($AW722,'Item Master Data'!$A:$F,3,FALSE)</f>
        <v>Q.PEAK DUO BLK ML G10+</v>
      </c>
      <c r="AY722" s="402">
        <f>VLOOKUP($AW722,'Item Master Data'!$A:$F,6,FALSE)</f>
        <v>400</v>
      </c>
      <c r="AZ722" s="402">
        <f>X722/BA722</f>
        <v>48</v>
      </c>
      <c r="BA722" s="402">
        <f>VLOOKUP(AW722,'Item Master Data'!$A:$G,7,FALSE)</f>
        <v>32</v>
      </c>
      <c r="BB722" s="402"/>
      <c r="BC722" s="402">
        <f>W722-AY722</f>
        <v>0</v>
      </c>
    </row>
    <row r="723" spans="1:55">
      <c r="A723" s="403"/>
      <c r="B723" s="399">
        <v>44629</v>
      </c>
      <c r="C723" s="399">
        <v>44629</v>
      </c>
      <c r="D723" s="405" t="s">
        <v>2330</v>
      </c>
      <c r="E723" s="393"/>
      <c r="F723" s="405" t="s">
        <v>1139</v>
      </c>
      <c r="G723" s="405">
        <v>2022</v>
      </c>
      <c r="H723" s="405">
        <v>7</v>
      </c>
      <c r="I723" s="405"/>
      <c r="J723" s="456"/>
      <c r="K723" s="414" t="s">
        <v>2366</v>
      </c>
      <c r="L723" s="405" t="s">
        <v>2348</v>
      </c>
      <c r="M723" s="406">
        <v>44519</v>
      </c>
      <c r="N723" s="406">
        <v>44713</v>
      </c>
      <c r="O723" s="406"/>
      <c r="P723" s="406"/>
      <c r="Q723" s="406"/>
      <c r="R723" s="406"/>
      <c r="S723" s="405" t="s">
        <v>2332</v>
      </c>
      <c r="T723" s="405">
        <v>60</v>
      </c>
      <c r="U723" s="405">
        <v>49403140</v>
      </c>
      <c r="V723" s="405" t="s">
        <v>973</v>
      </c>
      <c r="W723" s="405">
        <v>400</v>
      </c>
      <c r="X723" s="407">
        <v>8320</v>
      </c>
      <c r="Y723" s="422">
        <f t="shared" si="166"/>
        <v>3328000</v>
      </c>
      <c r="Z723" s="409">
        <v>0.55000000000000004</v>
      </c>
      <c r="AA723" s="423">
        <f t="shared" si="161"/>
        <v>1830400.0000000002</v>
      </c>
      <c r="AB723" s="423"/>
      <c r="AC723" s="394">
        <v>0</v>
      </c>
      <c r="AD723" s="421"/>
      <c r="AE723" s="413"/>
      <c r="AF723" s="462">
        <f t="shared" si="160"/>
        <v>1830400.0000000002</v>
      </c>
      <c r="AG723" s="405" t="s">
        <v>1069</v>
      </c>
      <c r="AH723" s="405"/>
      <c r="AI723" s="405">
        <v>60</v>
      </c>
      <c r="AJ723" s="406" t="s">
        <v>1881</v>
      </c>
      <c r="AK723" s="414" t="s">
        <v>1081</v>
      </c>
      <c r="AL723" s="414" t="s">
        <v>2349</v>
      </c>
      <c r="AM723" s="405" t="s">
        <v>52</v>
      </c>
      <c r="AN723" s="405" t="s">
        <v>1071</v>
      </c>
      <c r="AO723" s="405"/>
      <c r="AP723" s="413"/>
      <c r="AQ723" s="413" t="s">
        <v>37</v>
      </c>
      <c r="AR723" s="389" t="s">
        <v>1209</v>
      </c>
      <c r="AS723" s="386" t="s">
        <v>1084</v>
      </c>
      <c r="AT723" s="386" t="s">
        <v>1073</v>
      </c>
      <c r="AU723" s="409">
        <v>0.47499999999999998</v>
      </c>
      <c r="AV723" s="402">
        <f>U723</f>
        <v>49403140</v>
      </c>
      <c r="AW723" s="402" cm="1">
        <f t="array" ref="AW723">SUM(MID(0&amp;AV723,LARGE(INDEX(ISNUMBER(--MID(AV723,ROW($1:$8),1))*ROW($1:$8),),ROW($1:$8))+1,1)*10^ROW($1:$8)/10)</f>
        <v>49403140</v>
      </c>
      <c r="AX723" s="402" t="str">
        <f>VLOOKUP($AW723,'Item Master Data'!$A:$F,3,FALSE)</f>
        <v>Q.PEAK DUO BLK ML G10+</v>
      </c>
      <c r="AY723" s="402">
        <f>VLOOKUP($AW723,'Item Master Data'!$A:$F,6,FALSE)</f>
        <v>400</v>
      </c>
      <c r="AZ723" s="402">
        <f>X723/BA723</f>
        <v>260</v>
      </c>
      <c r="BA723" s="402">
        <f>VLOOKUP(AW723,'Item Master Data'!$A:$G,7,FALSE)</f>
        <v>32</v>
      </c>
      <c r="BB723" s="402"/>
      <c r="BC723" s="402">
        <f>W723-AY723</f>
        <v>0</v>
      </c>
    </row>
    <row r="724" spans="1:55">
      <c r="A724" s="403"/>
      <c r="B724" s="397">
        <v>44665</v>
      </c>
      <c r="C724" s="397">
        <v>44666</v>
      </c>
      <c r="D724" s="405" t="s">
        <v>2330</v>
      </c>
      <c r="E724" s="393" t="s">
        <v>2367</v>
      </c>
      <c r="F724" s="401" t="s">
        <v>1139</v>
      </c>
      <c r="G724" s="405">
        <v>2022</v>
      </c>
      <c r="H724" s="405">
        <v>7</v>
      </c>
      <c r="I724" s="405"/>
      <c r="J724" s="456"/>
      <c r="K724" s="405" t="s">
        <v>4601</v>
      </c>
      <c r="L724" s="405" t="s">
        <v>2348</v>
      </c>
      <c r="M724" s="406">
        <v>44550</v>
      </c>
      <c r="N724" s="406">
        <v>44682</v>
      </c>
      <c r="O724" s="406"/>
      <c r="P724" s="406"/>
      <c r="Q724" s="406"/>
      <c r="R724" s="406"/>
      <c r="S724" s="405" t="s">
        <v>2332</v>
      </c>
      <c r="T724" s="405">
        <v>60</v>
      </c>
      <c r="U724" s="405">
        <v>49204132</v>
      </c>
      <c r="V724" s="405" t="s">
        <v>1192</v>
      </c>
      <c r="W724" s="405">
        <v>360</v>
      </c>
      <c r="X724" s="407">
        <v>2496</v>
      </c>
      <c r="Y724" s="408">
        <f>W724*X724</f>
        <v>898560</v>
      </c>
      <c r="Z724" s="409">
        <v>0.8</v>
      </c>
      <c r="AA724" s="410">
        <f t="shared" si="161"/>
        <v>718848</v>
      </c>
      <c r="AB724" s="410"/>
      <c r="AC724" s="394">
        <v>0</v>
      </c>
      <c r="AD724" s="421"/>
      <c r="AE724" s="413"/>
      <c r="AF724" s="462">
        <f t="shared" si="160"/>
        <v>718848</v>
      </c>
      <c r="AG724" s="405" t="s">
        <v>1069</v>
      </c>
      <c r="AH724" s="405"/>
      <c r="AI724" s="405">
        <v>60</v>
      </c>
      <c r="AJ724" s="415" t="s">
        <v>1881</v>
      </c>
      <c r="AK724" s="405" t="s">
        <v>1081</v>
      </c>
      <c r="AL724" s="414" t="s">
        <v>2349</v>
      </c>
      <c r="AM724" s="405" t="s">
        <v>52</v>
      </c>
      <c r="AN724" s="405" t="s">
        <v>1071</v>
      </c>
      <c r="AO724" s="405"/>
      <c r="AP724" s="413"/>
      <c r="AQ724" s="413" t="s">
        <v>37</v>
      </c>
      <c r="AR724" s="413" t="s">
        <v>2352</v>
      </c>
      <c r="AS724" s="386" t="s">
        <v>1084</v>
      </c>
      <c r="AT724" s="386" t="s">
        <v>1073</v>
      </c>
      <c r="AU724" s="409">
        <v>0.73</v>
      </c>
      <c r="AV724" s="402">
        <f>U724</f>
        <v>49204132</v>
      </c>
      <c r="AW724" s="402" cm="1">
        <f t="array" ref="AW724">SUM(MID(0&amp;AV724,LARGE(INDEX(ISNUMBER(--MID(AV724,ROW($1:$8),1))*ROW($1:$8),),ROW($1:$8))+1,1)*10^ROW($1:$8)/10)</f>
        <v>49204132</v>
      </c>
      <c r="AX724" s="402" t="str">
        <f>VLOOKUP($AW724,'Item Master Data'!$A:$F,3,FALSE)</f>
        <v>Q.PEAK DUO BLK G10+/AC</v>
      </c>
      <c r="AY724" s="402">
        <f>VLOOKUP($AW724,'Item Master Data'!$A:$F,6,FALSE)</f>
        <v>360</v>
      </c>
      <c r="AZ724" s="402">
        <f>X724/BA724</f>
        <v>96</v>
      </c>
      <c r="BA724" s="402">
        <f>VLOOKUP(AW724,'Item Master Data'!$A:$G,7,FALSE)</f>
        <v>26</v>
      </c>
      <c r="BB724" s="402"/>
      <c r="BC724" s="402">
        <f>W724-AY724</f>
        <v>0</v>
      </c>
    </row>
    <row r="725" spans="1:55">
      <c r="A725" s="403"/>
      <c r="B725" s="397">
        <v>44665</v>
      </c>
      <c r="C725" s="397">
        <v>44666</v>
      </c>
      <c r="D725" s="405" t="s">
        <v>2330</v>
      </c>
      <c r="E725" s="393" t="s">
        <v>2367</v>
      </c>
      <c r="F725" s="401" t="s">
        <v>1139</v>
      </c>
      <c r="G725" s="405">
        <v>2022</v>
      </c>
      <c r="H725" s="405">
        <v>7</v>
      </c>
      <c r="I725" s="405"/>
      <c r="J725" s="456"/>
      <c r="K725" s="405" t="s">
        <v>3572</v>
      </c>
      <c r="L725" s="405" t="s">
        <v>2348</v>
      </c>
      <c r="M725" s="406">
        <v>44550</v>
      </c>
      <c r="N725" s="406">
        <v>44682</v>
      </c>
      <c r="O725" s="406"/>
      <c r="P725" s="406"/>
      <c r="Q725" s="406"/>
      <c r="R725" s="406"/>
      <c r="S725" s="405" t="s">
        <v>2332</v>
      </c>
      <c r="T725" s="405">
        <v>60</v>
      </c>
      <c r="U725" s="405">
        <v>49204132</v>
      </c>
      <c r="V725" s="405" t="s">
        <v>1192</v>
      </c>
      <c r="W725" s="405">
        <v>360</v>
      </c>
      <c r="X725" s="407">
        <v>2496</v>
      </c>
      <c r="Y725" s="408">
        <f>W725*X725</f>
        <v>898560</v>
      </c>
      <c r="Z725" s="409">
        <v>0.8</v>
      </c>
      <c r="AA725" s="410">
        <f t="shared" si="161"/>
        <v>718848</v>
      </c>
      <c r="AB725" s="410"/>
      <c r="AC725" s="394">
        <v>0</v>
      </c>
      <c r="AD725" s="421"/>
      <c r="AE725" s="413"/>
      <c r="AF725" s="462">
        <f t="shared" si="160"/>
        <v>718848</v>
      </c>
      <c r="AG725" s="405" t="s">
        <v>1069</v>
      </c>
      <c r="AH725" s="405"/>
      <c r="AI725" s="405">
        <v>60</v>
      </c>
      <c r="AJ725" s="415" t="s">
        <v>1881</v>
      </c>
      <c r="AK725" s="405" t="s">
        <v>1081</v>
      </c>
      <c r="AL725" s="414" t="s">
        <v>2349</v>
      </c>
      <c r="AM725" s="405" t="s">
        <v>52</v>
      </c>
      <c r="AN725" s="405" t="s">
        <v>1071</v>
      </c>
      <c r="AO725" s="405"/>
      <c r="AP725" s="413"/>
      <c r="AQ725" s="413" t="s">
        <v>37</v>
      </c>
      <c r="AR725" s="413" t="s">
        <v>2352</v>
      </c>
      <c r="AS725" s="386" t="s">
        <v>1084</v>
      </c>
      <c r="AT725" s="386" t="s">
        <v>1073</v>
      </c>
      <c r="AU725" s="409">
        <v>0.73</v>
      </c>
      <c r="AV725" s="402"/>
      <c r="AW725" s="402"/>
      <c r="AX725" s="402"/>
      <c r="AY725" s="402"/>
      <c r="AZ725" s="402"/>
      <c r="BA725" s="402"/>
      <c r="BB725" s="402"/>
      <c r="BC725" s="402"/>
    </row>
    <row r="726" spans="1:55">
      <c r="A726" s="403"/>
      <c r="B726" s="397">
        <v>44649</v>
      </c>
      <c r="C726" s="397">
        <v>44649</v>
      </c>
      <c r="D726" s="405" t="s">
        <v>2330</v>
      </c>
      <c r="E726" s="393" t="s">
        <v>2367</v>
      </c>
      <c r="F726" s="401" t="s">
        <v>1139</v>
      </c>
      <c r="G726" s="405">
        <v>2022</v>
      </c>
      <c r="H726" s="405">
        <v>7</v>
      </c>
      <c r="I726" s="405"/>
      <c r="J726" s="406"/>
      <c r="K726" s="405" t="s">
        <v>2368</v>
      </c>
      <c r="L726" s="405" t="s">
        <v>2348</v>
      </c>
      <c r="M726" s="406">
        <v>44637</v>
      </c>
      <c r="N726" s="406">
        <v>44743</v>
      </c>
      <c r="O726" s="406"/>
      <c r="P726" s="406"/>
      <c r="Q726" s="406"/>
      <c r="R726" s="406"/>
      <c r="S726" s="405" t="s">
        <v>2332</v>
      </c>
      <c r="T726" s="405">
        <v>60</v>
      </c>
      <c r="U726" s="405">
        <v>49405140</v>
      </c>
      <c r="V726" s="405" t="s">
        <v>973</v>
      </c>
      <c r="W726" s="405">
        <v>400</v>
      </c>
      <c r="X726" s="382">
        <v>3328</v>
      </c>
      <c r="Y726" s="422">
        <f>W726*X726</f>
        <v>1331200</v>
      </c>
      <c r="Z726" s="409">
        <v>0.55000000000000004</v>
      </c>
      <c r="AA726" s="423">
        <f t="shared" si="161"/>
        <v>732160.00000000012</v>
      </c>
      <c r="AB726" s="423"/>
      <c r="AC726" s="394">
        <v>0</v>
      </c>
      <c r="AD726" s="421"/>
      <c r="AE726" s="387"/>
      <c r="AF726" s="462">
        <f t="shared" si="160"/>
        <v>732160.00000000012</v>
      </c>
      <c r="AG726" s="405" t="s">
        <v>1069</v>
      </c>
      <c r="AH726" s="388"/>
      <c r="AI726" s="405">
        <v>60</v>
      </c>
      <c r="AJ726" s="415" t="s">
        <v>1881</v>
      </c>
      <c r="AK726" s="405" t="s">
        <v>1081</v>
      </c>
      <c r="AL726" s="414" t="s">
        <v>2349</v>
      </c>
      <c r="AM726" s="405" t="s">
        <v>52</v>
      </c>
      <c r="AN726" s="405" t="s">
        <v>1071</v>
      </c>
      <c r="AO726" s="405"/>
      <c r="AP726" s="417"/>
      <c r="AQ726" s="389" t="s">
        <v>37</v>
      </c>
      <c r="AR726" s="389" t="s">
        <v>2352</v>
      </c>
      <c r="AS726" s="404" t="s">
        <v>1084</v>
      </c>
      <c r="AT726" s="404" t="s">
        <v>1073</v>
      </c>
      <c r="AU726" s="409">
        <v>0.73</v>
      </c>
      <c r="AV726" s="402"/>
      <c r="AW726" s="402"/>
      <c r="AX726" s="402"/>
      <c r="AY726" s="402"/>
      <c r="AZ726" s="402"/>
      <c r="BA726" s="402"/>
      <c r="BB726" s="402"/>
      <c r="BC726" s="402"/>
    </row>
    <row r="727" spans="1:55">
      <c r="A727" s="403"/>
      <c r="B727" s="397">
        <v>44657</v>
      </c>
      <c r="C727" s="397">
        <v>44657</v>
      </c>
      <c r="D727" s="405" t="s">
        <v>2330</v>
      </c>
      <c r="E727" s="393" t="s">
        <v>2367</v>
      </c>
      <c r="F727" s="401" t="s">
        <v>1139</v>
      </c>
      <c r="G727" s="405">
        <v>2022</v>
      </c>
      <c r="H727" s="405">
        <v>7</v>
      </c>
      <c r="I727" s="405"/>
      <c r="J727" s="406"/>
      <c r="K727" s="405" t="s">
        <v>2370</v>
      </c>
      <c r="L727" s="405" t="s">
        <v>2348</v>
      </c>
      <c r="M727" s="406">
        <v>44655</v>
      </c>
      <c r="N727" s="406">
        <v>44743</v>
      </c>
      <c r="O727" s="406"/>
      <c r="P727" s="406"/>
      <c r="Q727" s="406"/>
      <c r="R727" s="406"/>
      <c r="S727" s="405" t="s">
        <v>2332</v>
      </c>
      <c r="T727" s="405">
        <v>60</v>
      </c>
      <c r="U727" s="405">
        <v>49203132</v>
      </c>
      <c r="V727" s="405" t="s">
        <v>986</v>
      </c>
      <c r="W727" s="405">
        <v>360</v>
      </c>
      <c r="X727" s="382">
        <v>2496</v>
      </c>
      <c r="Y727" s="422">
        <f t="shared" ref="Y727:Y737" si="167">X727*W727</f>
        <v>898560</v>
      </c>
      <c r="Z727" s="409">
        <v>0.53</v>
      </c>
      <c r="AA727" s="423">
        <f t="shared" si="161"/>
        <v>476236.80000000005</v>
      </c>
      <c r="AB727" s="423"/>
      <c r="AC727" s="394">
        <v>0</v>
      </c>
      <c r="AD727" s="421"/>
      <c r="AE727" s="387"/>
      <c r="AF727" s="462">
        <v>952473.60000000009</v>
      </c>
      <c r="AG727" s="405" t="s">
        <v>1069</v>
      </c>
      <c r="AH727" s="388"/>
      <c r="AI727" s="405">
        <v>60</v>
      </c>
      <c r="AJ727" s="415" t="s">
        <v>1881</v>
      </c>
      <c r="AK727" s="405" t="s">
        <v>1081</v>
      </c>
      <c r="AL727" s="414" t="s">
        <v>2349</v>
      </c>
      <c r="AM727" s="405" t="s">
        <v>52</v>
      </c>
      <c r="AN727" s="405" t="s">
        <v>1071</v>
      </c>
      <c r="AO727" s="405"/>
      <c r="AP727" s="417"/>
      <c r="AQ727" s="389" t="s">
        <v>37</v>
      </c>
      <c r="AR727" s="389" t="s">
        <v>2352</v>
      </c>
      <c r="AS727" s="404" t="s">
        <v>1084</v>
      </c>
      <c r="AT727" s="404" t="s">
        <v>1073</v>
      </c>
      <c r="AU727" s="409">
        <v>0.73</v>
      </c>
      <c r="AV727" s="402"/>
      <c r="AW727" s="402"/>
      <c r="AX727" s="402"/>
      <c r="AY727" s="402"/>
      <c r="AZ727" s="402"/>
      <c r="BA727" s="402"/>
      <c r="BB727" s="402"/>
      <c r="BC727" s="402"/>
    </row>
    <row r="728" spans="1:55">
      <c r="A728" s="403"/>
      <c r="B728" s="397">
        <v>44657</v>
      </c>
      <c r="C728" s="397">
        <v>44657</v>
      </c>
      <c r="D728" s="405" t="s">
        <v>2330</v>
      </c>
      <c r="E728" s="393" t="s">
        <v>2367</v>
      </c>
      <c r="F728" s="401" t="s">
        <v>1139</v>
      </c>
      <c r="G728" s="405">
        <v>2022</v>
      </c>
      <c r="H728" s="405">
        <v>7</v>
      </c>
      <c r="I728" s="405"/>
      <c r="J728" s="406"/>
      <c r="K728" s="405" t="s">
        <v>2369</v>
      </c>
      <c r="L728" s="405" t="s">
        <v>2348</v>
      </c>
      <c r="M728" s="406">
        <v>44655</v>
      </c>
      <c r="N728" s="406">
        <v>44743</v>
      </c>
      <c r="O728" s="406"/>
      <c r="P728" s="406"/>
      <c r="Q728" s="406"/>
      <c r="R728" s="406"/>
      <c r="S728" s="405" t="s">
        <v>2332</v>
      </c>
      <c r="T728" s="405">
        <v>60</v>
      </c>
      <c r="U728" s="405">
        <v>49405140</v>
      </c>
      <c r="V728" s="405" t="s">
        <v>973</v>
      </c>
      <c r="W728" s="405">
        <v>400</v>
      </c>
      <c r="X728" s="382">
        <v>4992</v>
      </c>
      <c r="Y728" s="422">
        <f t="shared" si="167"/>
        <v>1996800</v>
      </c>
      <c r="Z728" s="409">
        <v>0.55000000000000004</v>
      </c>
      <c r="AA728" s="423">
        <f t="shared" si="161"/>
        <v>1098240</v>
      </c>
      <c r="AB728" s="423"/>
      <c r="AC728" s="394">
        <v>0</v>
      </c>
      <c r="AD728" s="421"/>
      <c r="AE728" s="387"/>
      <c r="AF728" s="462">
        <v>1098240</v>
      </c>
      <c r="AG728" s="405" t="s">
        <v>1069</v>
      </c>
      <c r="AH728" s="388"/>
      <c r="AI728" s="405">
        <v>60</v>
      </c>
      <c r="AJ728" s="415" t="s">
        <v>1881</v>
      </c>
      <c r="AK728" s="405" t="s">
        <v>1081</v>
      </c>
      <c r="AL728" s="414" t="s">
        <v>2349</v>
      </c>
      <c r="AM728" s="405" t="s">
        <v>52</v>
      </c>
      <c r="AN728" s="405" t="s">
        <v>1071</v>
      </c>
      <c r="AO728" s="405"/>
      <c r="AP728" s="417"/>
      <c r="AQ728" s="389" t="s">
        <v>37</v>
      </c>
      <c r="AR728" s="389" t="s">
        <v>2352</v>
      </c>
      <c r="AS728" s="404" t="s">
        <v>1084</v>
      </c>
      <c r="AT728" s="404" t="s">
        <v>1073</v>
      </c>
      <c r="AU728" s="409">
        <v>0.73</v>
      </c>
      <c r="AV728" s="402"/>
      <c r="AW728" s="402"/>
      <c r="AX728" s="402"/>
      <c r="AY728" s="402"/>
      <c r="AZ728" s="402"/>
      <c r="BA728" s="402"/>
      <c r="BB728" s="402"/>
      <c r="BC728" s="402"/>
    </row>
    <row r="729" spans="1:55">
      <c r="A729" s="403"/>
      <c r="B729" s="399">
        <v>44664</v>
      </c>
      <c r="C729" s="399">
        <v>44664</v>
      </c>
      <c r="D729" s="405" t="s">
        <v>2330</v>
      </c>
      <c r="E729" s="393"/>
      <c r="F729" s="405" t="s">
        <v>1139</v>
      </c>
      <c r="G729" s="405">
        <v>2022</v>
      </c>
      <c r="H729" s="405">
        <v>7</v>
      </c>
      <c r="I729" s="405"/>
      <c r="J729" s="456"/>
      <c r="K729" s="414" t="s">
        <v>2371</v>
      </c>
      <c r="L729" s="405" t="s">
        <v>2348</v>
      </c>
      <c r="M729" s="406">
        <v>44657</v>
      </c>
      <c r="N729" s="406">
        <v>44743</v>
      </c>
      <c r="O729" s="406"/>
      <c r="P729" s="406"/>
      <c r="Q729" s="406"/>
      <c r="R729" s="406"/>
      <c r="S729" s="405" t="s">
        <v>2332</v>
      </c>
      <c r="T729" s="405">
        <v>72</v>
      </c>
      <c r="U729" s="405" t="s">
        <v>1102</v>
      </c>
      <c r="V729" s="405" t="s">
        <v>1068</v>
      </c>
      <c r="W729" s="405">
        <v>480</v>
      </c>
      <c r="X729" s="407">
        <v>1160</v>
      </c>
      <c r="Y729" s="422">
        <f t="shared" si="167"/>
        <v>556800</v>
      </c>
      <c r="Z729" s="409">
        <v>0.505</v>
      </c>
      <c r="AA729" s="423">
        <f t="shared" si="161"/>
        <v>281184</v>
      </c>
      <c r="AB729" s="423"/>
      <c r="AC729" s="394">
        <v>0</v>
      </c>
      <c r="AD729" s="421"/>
      <c r="AE729" s="413"/>
      <c r="AF729" s="462">
        <f t="shared" ref="AF729:AF739" si="168">AA729+AE729</f>
        <v>281184</v>
      </c>
      <c r="AG729" s="405" t="s">
        <v>1069</v>
      </c>
      <c r="AH729" s="405"/>
      <c r="AI729" s="405">
        <v>60</v>
      </c>
      <c r="AJ729" s="406" t="s">
        <v>1881</v>
      </c>
      <c r="AK729" s="414" t="s">
        <v>1081</v>
      </c>
      <c r="AL729" s="414">
        <v>32809</v>
      </c>
      <c r="AM729" s="405" t="s">
        <v>52</v>
      </c>
      <c r="AN729" s="405" t="s">
        <v>1071</v>
      </c>
      <c r="AO729" s="405"/>
      <c r="AP729" s="413"/>
      <c r="AQ729" s="413" t="s">
        <v>37</v>
      </c>
      <c r="AR729" s="389" t="s">
        <v>2352</v>
      </c>
      <c r="AS729" s="386" t="s">
        <v>1073</v>
      </c>
      <c r="AT729" s="386" t="s">
        <v>1073</v>
      </c>
      <c r="AU729" s="409">
        <v>0.5</v>
      </c>
      <c r="AV729" s="402" t="str">
        <f t="shared" ref="AV729:AV734" si="169">U729</f>
        <v>TBD</v>
      </c>
      <c r="AW729" s="402" cm="1">
        <f t="array" ref="AW729">SUM(MID(0&amp;AV729,LARGE(INDEX(ISNUMBER(--MID(AV729,ROW($1:$8),1))*ROW($1:$8),),ROW($1:$8))+1,1)*10^ROW($1:$8)/10)</f>
        <v>0</v>
      </c>
      <c r="AX729" s="402" t="e">
        <f>VLOOKUP($AW729,'Item Master Data'!$A:$F,3,FALSE)</f>
        <v>#N/A</v>
      </c>
      <c r="AY729" s="402" t="e">
        <f>VLOOKUP($AW729,'Item Master Data'!$A:$F,6,FALSE)</f>
        <v>#N/A</v>
      </c>
      <c r="AZ729" s="402" t="e">
        <f t="shared" ref="AZ729:AZ734" si="170">X729/BA729</f>
        <v>#N/A</v>
      </c>
      <c r="BA729" s="402" t="e">
        <f>VLOOKUP(AW729,'Item Master Data'!$A:$G,7,FALSE)</f>
        <v>#N/A</v>
      </c>
      <c r="BB729" s="402"/>
      <c r="BC729" s="402" t="e">
        <f t="shared" ref="BC729:BC734" si="171">W729-AY729</f>
        <v>#N/A</v>
      </c>
    </row>
    <row r="730" spans="1:55">
      <c r="A730" s="403"/>
      <c r="B730" s="399"/>
      <c r="C730" s="399"/>
      <c r="D730" s="405" t="s">
        <v>2330</v>
      </c>
      <c r="E730" s="393" t="s">
        <v>2477</v>
      </c>
      <c r="F730" s="405"/>
      <c r="G730" s="405">
        <v>2022</v>
      </c>
      <c r="H730" s="405">
        <v>7</v>
      </c>
      <c r="I730" s="405"/>
      <c r="J730" s="406"/>
      <c r="K730" s="414" t="s">
        <v>2478</v>
      </c>
      <c r="L730" s="405" t="s">
        <v>2479</v>
      </c>
      <c r="M730" s="406">
        <v>44651</v>
      </c>
      <c r="N730" s="406">
        <v>44743</v>
      </c>
      <c r="O730" s="406"/>
      <c r="P730" s="406"/>
      <c r="Q730" s="406"/>
      <c r="R730" s="406"/>
      <c r="S730" s="405" t="s">
        <v>2332</v>
      </c>
      <c r="T730" s="405">
        <v>72</v>
      </c>
      <c r="U730" s="405">
        <v>49301155</v>
      </c>
      <c r="V730" s="405" t="s">
        <v>1100</v>
      </c>
      <c r="W730" s="405">
        <v>475</v>
      </c>
      <c r="X730" s="407">
        <v>1276</v>
      </c>
      <c r="Y730" s="422">
        <f t="shared" si="167"/>
        <v>606100</v>
      </c>
      <c r="Z730" s="409">
        <v>0.48501052631000002</v>
      </c>
      <c r="AA730" s="423">
        <f t="shared" si="161"/>
        <v>293964.87999649101</v>
      </c>
      <c r="AB730" s="423"/>
      <c r="AC730" s="394">
        <v>0</v>
      </c>
      <c r="AD730" s="421"/>
      <c r="AE730" s="413"/>
      <c r="AF730" s="462">
        <f t="shared" si="168"/>
        <v>293964.87999649101</v>
      </c>
      <c r="AG730" s="405" t="s">
        <v>47</v>
      </c>
      <c r="AH730" s="405"/>
      <c r="AI730" s="405">
        <v>30</v>
      </c>
      <c r="AJ730" s="406" t="s">
        <v>1080</v>
      </c>
      <c r="AK730" s="414" t="s">
        <v>1081</v>
      </c>
      <c r="AL730" s="414" t="s">
        <v>2343</v>
      </c>
      <c r="AM730" s="405" t="s">
        <v>52</v>
      </c>
      <c r="AN730" s="405" t="s">
        <v>1101</v>
      </c>
      <c r="AO730" s="405"/>
      <c r="AP730" s="413" t="s">
        <v>38</v>
      </c>
      <c r="AQ730" s="413" t="s">
        <v>37</v>
      </c>
      <c r="AR730" s="389"/>
      <c r="AS730" s="386" t="s">
        <v>1084</v>
      </c>
      <c r="AT730" s="386" t="s">
        <v>1073</v>
      </c>
      <c r="AU730" s="409"/>
      <c r="AV730" s="402">
        <f t="shared" si="169"/>
        <v>49301155</v>
      </c>
      <c r="AW730" s="402" cm="1">
        <f t="array" ref="AW730">SUM(MID(0&amp;AV730,LARGE(INDEX(ISNUMBER(--MID(AV730,ROW($1:$8),1))*ROW($1:$8),),ROW($1:$8))+1,1)*10^ROW($1:$8)/10)</f>
        <v>49301155</v>
      </c>
      <c r="AX730" s="402" t="str">
        <f>VLOOKUP($AW730,'Item Master Data'!$A:$F,3,FALSE)</f>
        <v>Q.PEAK DUO XL G10</v>
      </c>
      <c r="AY730" s="402">
        <f>VLOOKUP($AW730,'Item Master Data'!$A:$F,6,FALSE)</f>
        <v>475</v>
      </c>
      <c r="AZ730" s="402">
        <f t="shared" si="170"/>
        <v>44</v>
      </c>
      <c r="BA730" s="402">
        <f>VLOOKUP(AW730,'Item Master Data'!$A:$G,7,FALSE)</f>
        <v>29</v>
      </c>
      <c r="BB730" s="402"/>
      <c r="BC730" s="402">
        <f t="shared" si="171"/>
        <v>0</v>
      </c>
    </row>
    <row r="731" spans="1:55">
      <c r="A731" s="403"/>
      <c r="B731" s="399">
        <v>44579</v>
      </c>
      <c r="C731" s="399">
        <v>44579</v>
      </c>
      <c r="D731" s="405" t="s">
        <v>2330</v>
      </c>
      <c r="E731" s="393"/>
      <c r="F731" s="405"/>
      <c r="G731" s="405">
        <v>2022</v>
      </c>
      <c r="H731" s="405">
        <v>7</v>
      </c>
      <c r="I731" s="405"/>
      <c r="J731" s="456"/>
      <c r="K731" s="414" t="s">
        <v>4071</v>
      </c>
      <c r="L731" s="405" t="s">
        <v>2360</v>
      </c>
      <c r="M731" s="406">
        <v>44855</v>
      </c>
      <c r="N731" s="406">
        <v>44713</v>
      </c>
      <c r="O731" s="406"/>
      <c r="P731" s="406"/>
      <c r="Q731" s="406"/>
      <c r="R731" s="406"/>
      <c r="S731" s="405" t="s">
        <v>2332</v>
      </c>
      <c r="T731" s="405">
        <v>72</v>
      </c>
      <c r="U731" s="405" t="s">
        <v>1193</v>
      </c>
      <c r="V731" s="405" t="s">
        <v>1068</v>
      </c>
      <c r="W731" s="405">
        <v>480</v>
      </c>
      <c r="X731" s="407">
        <v>1276</v>
      </c>
      <c r="Y731" s="422">
        <f t="shared" si="167"/>
        <v>612480</v>
      </c>
      <c r="Z731" s="409">
        <v>0.47499999999999998</v>
      </c>
      <c r="AA731" s="423">
        <f t="shared" si="161"/>
        <v>290928</v>
      </c>
      <c r="AB731" s="423"/>
      <c r="AC731" s="394">
        <v>0</v>
      </c>
      <c r="AD731" s="421"/>
      <c r="AE731" s="413"/>
      <c r="AF731" s="462">
        <f t="shared" si="168"/>
        <v>290928</v>
      </c>
      <c r="AG731" s="405" t="s">
        <v>1069</v>
      </c>
      <c r="AH731" s="405"/>
      <c r="AI731" s="405">
        <v>60</v>
      </c>
      <c r="AJ731" s="406" t="s">
        <v>2361</v>
      </c>
      <c r="AK731" s="414" t="s">
        <v>1148</v>
      </c>
      <c r="AL731" s="414" t="s">
        <v>2362</v>
      </c>
      <c r="AM731" s="405" t="s">
        <v>52</v>
      </c>
      <c r="AN731" s="405" t="s">
        <v>1440</v>
      </c>
      <c r="AO731" s="405"/>
      <c r="AP731" s="413" t="s">
        <v>38</v>
      </c>
      <c r="AQ731" s="413" t="s">
        <v>37</v>
      </c>
      <c r="AR731" s="389"/>
      <c r="AS731" s="386" t="s">
        <v>1073</v>
      </c>
      <c r="AT731" s="386" t="s">
        <v>1073</v>
      </c>
      <c r="AU731" s="400"/>
      <c r="AV731" s="402" t="str">
        <f t="shared" si="169"/>
        <v>30397872C</v>
      </c>
      <c r="AW731" s="402" cm="1">
        <f t="array" ref="AW731">SUM(MID(0&amp;AV731,LARGE(INDEX(ISNUMBER(--MID(AV731,ROW($1:$8),1))*ROW($1:$8),),ROW($1:$8))+1,1)*10^ROW($1:$8)/10)</f>
        <v>30397872</v>
      </c>
      <c r="AX731" s="402" t="str">
        <f>VLOOKUP($AW731,'Item Master Data'!$A:$F,3,FALSE)</f>
        <v>Q.PEAK DUO XL G10 BFG</v>
      </c>
      <c r="AY731" s="402">
        <f>VLOOKUP($AW731,'Item Master Data'!$A:$F,6,FALSE)</f>
        <v>480</v>
      </c>
      <c r="AZ731" s="402">
        <f t="shared" si="170"/>
        <v>44</v>
      </c>
      <c r="BA731" s="402">
        <f>VLOOKUP(AW731,'Item Master Data'!$A:$G,7,FALSE)</f>
        <v>29</v>
      </c>
      <c r="BB731" s="402"/>
      <c r="BC731" s="402">
        <f t="shared" si="171"/>
        <v>0</v>
      </c>
    </row>
    <row r="732" spans="1:55">
      <c r="A732" s="403"/>
      <c r="B732" s="399">
        <v>44579</v>
      </c>
      <c r="C732" s="399">
        <v>44579</v>
      </c>
      <c r="D732" s="405" t="s">
        <v>2330</v>
      </c>
      <c r="E732" s="393"/>
      <c r="F732" s="405"/>
      <c r="G732" s="405">
        <v>2022</v>
      </c>
      <c r="H732" s="405">
        <v>7</v>
      </c>
      <c r="I732" s="405"/>
      <c r="J732" s="456"/>
      <c r="K732" s="414" t="s">
        <v>4071</v>
      </c>
      <c r="L732" s="405" t="s">
        <v>2360</v>
      </c>
      <c r="M732" s="406">
        <v>44855</v>
      </c>
      <c r="N732" s="406">
        <v>44713</v>
      </c>
      <c r="O732" s="406"/>
      <c r="P732" s="406"/>
      <c r="Q732" s="406"/>
      <c r="R732" s="406"/>
      <c r="S732" s="405" t="s">
        <v>2332</v>
      </c>
      <c r="T732" s="405">
        <v>72</v>
      </c>
      <c r="U732" s="405" t="s">
        <v>1102</v>
      </c>
      <c r="V732" s="405" t="s">
        <v>4070</v>
      </c>
      <c r="W732" s="405">
        <v>430</v>
      </c>
      <c r="X732" s="407">
        <v>1276</v>
      </c>
      <c r="Y732" s="422">
        <f t="shared" si="167"/>
        <v>548680</v>
      </c>
      <c r="Z732" s="409">
        <v>0.44500000000000001</v>
      </c>
      <c r="AA732" s="423">
        <f t="shared" si="161"/>
        <v>244162.6</v>
      </c>
      <c r="AB732" s="423"/>
      <c r="AC732" s="394">
        <v>0</v>
      </c>
      <c r="AD732" s="421"/>
      <c r="AE732" s="413"/>
      <c r="AF732" s="462">
        <f t="shared" si="168"/>
        <v>244162.6</v>
      </c>
      <c r="AG732" s="405" t="s">
        <v>1069</v>
      </c>
      <c r="AH732" s="405"/>
      <c r="AI732" s="405">
        <v>60</v>
      </c>
      <c r="AJ732" s="406" t="s">
        <v>2361</v>
      </c>
      <c r="AK732" s="414" t="s">
        <v>1148</v>
      </c>
      <c r="AL732" s="414" t="s">
        <v>2362</v>
      </c>
      <c r="AM732" s="405" t="s">
        <v>52</v>
      </c>
      <c r="AN732" s="405" t="s">
        <v>1440</v>
      </c>
      <c r="AO732" s="405"/>
      <c r="AP732" s="413" t="s">
        <v>38</v>
      </c>
      <c r="AQ732" s="413" t="s">
        <v>37</v>
      </c>
      <c r="AR732" s="389"/>
      <c r="AS732" s="386" t="s">
        <v>1073</v>
      </c>
      <c r="AT732" s="386" t="s">
        <v>1073</v>
      </c>
      <c r="AU732" s="409"/>
      <c r="AV732" s="402" t="str">
        <f t="shared" si="169"/>
        <v>TBD</v>
      </c>
      <c r="AW732" s="402" cm="1">
        <f t="array" ref="AW732">SUM(MID(0&amp;AV732,LARGE(INDEX(ISNUMBER(--MID(AV732,ROW($1:$8),1))*ROW($1:$8),),ROW($1:$8))+1,1)*10^ROW($1:$8)/10)</f>
        <v>0</v>
      </c>
      <c r="AX732" s="402" t="e">
        <f>VLOOKUP($AW732,'Item Master Data'!$A:$F,3,FALSE)</f>
        <v>#N/A</v>
      </c>
      <c r="AY732" s="402" t="e">
        <f>VLOOKUP($AW732,'Item Master Data'!$A:$F,6,FALSE)</f>
        <v>#N/A</v>
      </c>
      <c r="AZ732" s="402" t="e">
        <f t="shared" si="170"/>
        <v>#N/A</v>
      </c>
      <c r="BA732" s="402" t="e">
        <f>VLOOKUP(AW732,'Item Master Data'!$A:$G,7,FALSE)</f>
        <v>#N/A</v>
      </c>
      <c r="BB732" s="402"/>
      <c r="BC732" s="402" t="e">
        <f t="shared" si="171"/>
        <v>#N/A</v>
      </c>
    </row>
    <row r="733" spans="1:55">
      <c r="A733" s="403"/>
      <c r="B733" s="399"/>
      <c r="C733" s="399">
        <v>44573</v>
      </c>
      <c r="D733" s="405" t="s">
        <v>2330</v>
      </c>
      <c r="E733" s="393" t="s">
        <v>2385</v>
      </c>
      <c r="F733" s="405" t="s">
        <v>1139</v>
      </c>
      <c r="G733" s="405">
        <v>2022</v>
      </c>
      <c r="H733" s="405">
        <v>7</v>
      </c>
      <c r="I733" s="405"/>
      <c r="J733" s="456"/>
      <c r="K733" s="414" t="s">
        <v>2390</v>
      </c>
      <c r="L733" s="405" t="s">
        <v>2360</v>
      </c>
      <c r="M733" s="406">
        <v>44512</v>
      </c>
      <c r="N733" s="406">
        <v>44713</v>
      </c>
      <c r="O733" s="406"/>
      <c r="P733" s="406"/>
      <c r="Q733" s="406"/>
      <c r="R733" s="406"/>
      <c r="S733" s="405" t="s">
        <v>2332</v>
      </c>
      <c r="T733" s="405">
        <v>60</v>
      </c>
      <c r="U733" s="405">
        <v>49403140</v>
      </c>
      <c r="V733" s="405" t="s">
        <v>973</v>
      </c>
      <c r="W733" s="405">
        <v>400</v>
      </c>
      <c r="X733" s="407">
        <v>4160</v>
      </c>
      <c r="Y733" s="422">
        <f t="shared" si="167"/>
        <v>1664000</v>
      </c>
      <c r="Z733" s="409">
        <v>0.55000000000000004</v>
      </c>
      <c r="AA733" s="423">
        <f t="shared" si="161"/>
        <v>915200.00000000012</v>
      </c>
      <c r="AB733" s="423"/>
      <c r="AC733" s="394">
        <v>0</v>
      </c>
      <c r="AD733" s="421"/>
      <c r="AE733" s="413"/>
      <c r="AF733" s="462">
        <f t="shared" si="168"/>
        <v>915200.00000000012</v>
      </c>
      <c r="AG733" s="405" t="s">
        <v>1069</v>
      </c>
      <c r="AH733" s="405"/>
      <c r="AI733" s="405">
        <v>60</v>
      </c>
      <c r="AJ733" s="406" t="s">
        <v>2361</v>
      </c>
      <c r="AK733" s="414" t="s">
        <v>1148</v>
      </c>
      <c r="AL733" s="414" t="s">
        <v>2362</v>
      </c>
      <c r="AM733" s="405" t="s">
        <v>52</v>
      </c>
      <c r="AN733" s="405" t="s">
        <v>1071</v>
      </c>
      <c r="AO733" s="405"/>
      <c r="AP733" s="413"/>
      <c r="AQ733" s="413" t="s">
        <v>37</v>
      </c>
      <c r="AR733" s="389" t="s">
        <v>1209</v>
      </c>
      <c r="AS733" s="386" t="s">
        <v>1073</v>
      </c>
      <c r="AT733" s="386" t="s">
        <v>1073</v>
      </c>
      <c r="AU733" s="409">
        <v>0.47499999999999998</v>
      </c>
      <c r="AV733" s="402">
        <f t="shared" si="169"/>
        <v>49403140</v>
      </c>
      <c r="AW733" s="402" cm="1">
        <f t="array" ref="AW733">SUM(MID(0&amp;AV733,LARGE(INDEX(ISNUMBER(--MID(AV733,ROW($1:$8),1))*ROW($1:$8),),ROW($1:$8))+1,1)*10^ROW($1:$8)/10)</f>
        <v>49403140</v>
      </c>
      <c r="AX733" s="402" t="str">
        <f>VLOOKUP($AW733,'Item Master Data'!$A:$F,3,FALSE)</f>
        <v>Q.PEAK DUO BLK ML G10+</v>
      </c>
      <c r="AY733" s="402">
        <f>VLOOKUP($AW733,'Item Master Data'!$A:$F,6,FALSE)</f>
        <v>400</v>
      </c>
      <c r="AZ733" s="402">
        <f t="shared" si="170"/>
        <v>130</v>
      </c>
      <c r="BA733" s="402">
        <f>VLOOKUP(AW733,'Item Master Data'!$A:$G,7,FALSE)</f>
        <v>32</v>
      </c>
      <c r="BB733" s="402"/>
      <c r="BC733" s="402">
        <f t="shared" si="171"/>
        <v>0</v>
      </c>
    </row>
    <row r="734" spans="1:55">
      <c r="A734" s="403"/>
      <c r="B734" s="399"/>
      <c r="C734" s="399">
        <v>44573</v>
      </c>
      <c r="D734" s="405" t="s">
        <v>2330</v>
      </c>
      <c r="E734" s="393" t="s">
        <v>2385</v>
      </c>
      <c r="F734" s="405" t="s">
        <v>1139</v>
      </c>
      <c r="G734" s="405">
        <v>2022</v>
      </c>
      <c r="H734" s="405">
        <v>7</v>
      </c>
      <c r="I734" s="405"/>
      <c r="J734" s="456"/>
      <c r="K734" s="414" t="s">
        <v>2389</v>
      </c>
      <c r="L734" s="405" t="s">
        <v>2360</v>
      </c>
      <c r="M734" s="406">
        <v>44529</v>
      </c>
      <c r="N734" s="406">
        <v>44687</v>
      </c>
      <c r="O734" s="406"/>
      <c r="P734" s="406"/>
      <c r="Q734" s="406"/>
      <c r="R734" s="406"/>
      <c r="S734" s="405" t="s">
        <v>2332</v>
      </c>
      <c r="T734" s="405">
        <v>60</v>
      </c>
      <c r="U734" s="405">
        <v>49403140</v>
      </c>
      <c r="V734" s="405" t="s">
        <v>973</v>
      </c>
      <c r="W734" s="405">
        <v>400</v>
      </c>
      <c r="X734" s="407">
        <v>832</v>
      </c>
      <c r="Y734" s="422">
        <f t="shared" si="167"/>
        <v>332800</v>
      </c>
      <c r="Z734" s="409">
        <v>0.55000000000000004</v>
      </c>
      <c r="AA734" s="423">
        <f t="shared" si="161"/>
        <v>183040.00000000003</v>
      </c>
      <c r="AB734" s="423"/>
      <c r="AC734" s="394">
        <v>0</v>
      </c>
      <c r="AD734" s="421"/>
      <c r="AE734" s="413"/>
      <c r="AF734" s="462">
        <f t="shared" si="168"/>
        <v>183040.00000000003</v>
      </c>
      <c r="AG734" s="405" t="s">
        <v>1069</v>
      </c>
      <c r="AH734" s="405"/>
      <c r="AI734" s="405">
        <v>60</v>
      </c>
      <c r="AJ734" s="406" t="s">
        <v>2361</v>
      </c>
      <c r="AK734" s="414" t="s">
        <v>1148</v>
      </c>
      <c r="AL734" s="414" t="s">
        <v>2362</v>
      </c>
      <c r="AM734" s="405" t="s">
        <v>52</v>
      </c>
      <c r="AN734" s="405" t="s">
        <v>1071</v>
      </c>
      <c r="AO734" s="405"/>
      <c r="AP734" s="413"/>
      <c r="AQ734" s="413" t="s">
        <v>37</v>
      </c>
      <c r="AR734" s="389" t="s">
        <v>1209</v>
      </c>
      <c r="AS734" s="386" t="s">
        <v>1073</v>
      </c>
      <c r="AT734" s="386" t="s">
        <v>1073</v>
      </c>
      <c r="AU734" s="409">
        <v>0.47499999999999998</v>
      </c>
      <c r="AV734" s="402">
        <f t="shared" si="169"/>
        <v>49403140</v>
      </c>
      <c r="AW734" s="402" cm="1">
        <f t="array" ref="AW734">SUM(MID(0&amp;AV734,LARGE(INDEX(ISNUMBER(--MID(AV734,ROW($1:$8),1))*ROW($1:$8),),ROW($1:$8))+1,1)*10^ROW($1:$8)/10)</f>
        <v>49403140</v>
      </c>
      <c r="AX734" s="402" t="str">
        <f>VLOOKUP($AW734,'Item Master Data'!$A:$F,3,FALSE)</f>
        <v>Q.PEAK DUO BLK ML G10+</v>
      </c>
      <c r="AY734" s="402">
        <f>VLOOKUP($AW734,'Item Master Data'!$A:$F,6,FALSE)</f>
        <v>400</v>
      </c>
      <c r="AZ734" s="402">
        <f t="shared" si="170"/>
        <v>26</v>
      </c>
      <c r="BA734" s="402">
        <f>VLOOKUP(AW734,'Item Master Data'!$A:$G,7,FALSE)</f>
        <v>32</v>
      </c>
      <c r="BB734" s="402"/>
      <c r="BC734" s="402">
        <f t="shared" si="171"/>
        <v>0</v>
      </c>
    </row>
    <row r="735" spans="1:55">
      <c r="A735" s="403"/>
      <c r="B735" s="399">
        <v>44531</v>
      </c>
      <c r="C735" s="399">
        <v>44543</v>
      </c>
      <c r="D735" s="405" t="s">
        <v>2330</v>
      </c>
      <c r="E735" s="393" t="s">
        <v>2385</v>
      </c>
      <c r="F735" s="405" t="s">
        <v>1139</v>
      </c>
      <c r="G735" s="405">
        <v>2022</v>
      </c>
      <c r="H735" s="405">
        <v>7</v>
      </c>
      <c r="I735" s="405"/>
      <c r="J735" s="456"/>
      <c r="K735" s="414" t="s">
        <v>2391</v>
      </c>
      <c r="L735" s="405" t="s">
        <v>2360</v>
      </c>
      <c r="M735" s="406">
        <v>44529</v>
      </c>
      <c r="N735" s="406">
        <v>44718</v>
      </c>
      <c r="O735" s="406"/>
      <c r="P735" s="406"/>
      <c r="Q735" s="406"/>
      <c r="R735" s="406"/>
      <c r="S735" s="405" t="s">
        <v>2332</v>
      </c>
      <c r="T735" s="405">
        <v>60</v>
      </c>
      <c r="U735" s="405">
        <v>49403140</v>
      </c>
      <c r="V735" s="405" t="s">
        <v>973</v>
      </c>
      <c r="W735" s="405">
        <v>400</v>
      </c>
      <c r="X735" s="407">
        <v>1664</v>
      </c>
      <c r="Y735" s="422">
        <f t="shared" si="167"/>
        <v>665600</v>
      </c>
      <c r="Z735" s="409">
        <v>0.55000000000000004</v>
      </c>
      <c r="AA735" s="423">
        <f t="shared" si="161"/>
        <v>366080.00000000006</v>
      </c>
      <c r="AB735" s="423"/>
      <c r="AC735" s="394">
        <v>0</v>
      </c>
      <c r="AD735" s="421"/>
      <c r="AE735" s="413"/>
      <c r="AF735" s="462">
        <f t="shared" si="168"/>
        <v>366080.00000000006</v>
      </c>
      <c r="AG735" s="405" t="s">
        <v>1069</v>
      </c>
      <c r="AH735" s="405"/>
      <c r="AI735" s="405">
        <v>60</v>
      </c>
      <c r="AJ735" s="406" t="s">
        <v>2361</v>
      </c>
      <c r="AK735" s="414" t="s">
        <v>1148</v>
      </c>
      <c r="AL735" s="414" t="s">
        <v>2362</v>
      </c>
      <c r="AM735" s="405" t="s">
        <v>52</v>
      </c>
      <c r="AN735" s="405" t="s">
        <v>1071</v>
      </c>
      <c r="AO735" s="405"/>
      <c r="AP735" s="413"/>
      <c r="AQ735" s="413" t="s">
        <v>37</v>
      </c>
      <c r="AR735" s="389" t="s">
        <v>1243</v>
      </c>
      <c r="AS735" s="386" t="s">
        <v>1073</v>
      </c>
      <c r="AT735" s="386" t="s">
        <v>1073</v>
      </c>
      <c r="AU735" s="409">
        <v>0.49</v>
      </c>
      <c r="AV735" s="402"/>
      <c r="AW735" s="402"/>
      <c r="AX735" s="402"/>
      <c r="AY735" s="402"/>
      <c r="AZ735" s="402"/>
      <c r="BA735" s="402"/>
      <c r="BB735" s="402"/>
      <c r="BC735" s="402"/>
    </row>
    <row r="736" spans="1:55">
      <c r="A736" s="403"/>
      <c r="B736" s="399" t="s">
        <v>1186</v>
      </c>
      <c r="C736" s="399">
        <v>44692</v>
      </c>
      <c r="D736" s="405" t="s">
        <v>2330</v>
      </c>
      <c r="E736" s="393"/>
      <c r="F736" s="405" t="s">
        <v>1139</v>
      </c>
      <c r="G736" s="405">
        <v>2022</v>
      </c>
      <c r="H736" s="405">
        <v>7</v>
      </c>
      <c r="I736" s="405"/>
      <c r="J736" s="418"/>
      <c r="K736" s="414" t="s">
        <v>4721</v>
      </c>
      <c r="L736" s="405" t="s">
        <v>2380</v>
      </c>
      <c r="M736" s="406">
        <v>44692</v>
      </c>
      <c r="N736" s="406">
        <v>44747</v>
      </c>
      <c r="O736" s="406"/>
      <c r="P736" s="406"/>
      <c r="Q736" s="406"/>
      <c r="R736" s="406"/>
      <c r="S736" s="405" t="s">
        <v>2332</v>
      </c>
      <c r="T736" s="405">
        <v>72</v>
      </c>
      <c r="U736" s="405" t="s">
        <v>1102</v>
      </c>
      <c r="V736" s="405" t="s">
        <v>1068</v>
      </c>
      <c r="W736" s="405">
        <v>480</v>
      </c>
      <c r="X736" s="407">
        <v>2320</v>
      </c>
      <c r="Y736" s="422">
        <f t="shared" si="167"/>
        <v>1113600</v>
      </c>
      <c r="Z736" s="409">
        <v>0.6</v>
      </c>
      <c r="AA736" s="423">
        <f t="shared" si="161"/>
        <v>668160</v>
      </c>
      <c r="AB736" s="423"/>
      <c r="AC736" s="394">
        <v>0</v>
      </c>
      <c r="AD736" s="421"/>
      <c r="AE736" s="413"/>
      <c r="AF736" s="462">
        <f t="shared" si="168"/>
        <v>668160</v>
      </c>
      <c r="AG736" s="405" t="s">
        <v>47</v>
      </c>
      <c r="AH736" s="405"/>
      <c r="AI736" s="405">
        <v>60</v>
      </c>
      <c r="AJ736" s="406" t="s">
        <v>1080</v>
      </c>
      <c r="AK736" s="414" t="s">
        <v>1081</v>
      </c>
      <c r="AL736" s="414" t="s">
        <v>2343</v>
      </c>
      <c r="AM736" s="405" t="s">
        <v>52</v>
      </c>
      <c r="AN736" s="405" t="s">
        <v>1101</v>
      </c>
      <c r="AO736" s="405"/>
      <c r="AP736" s="413"/>
      <c r="AQ736" s="413" t="s">
        <v>37</v>
      </c>
      <c r="AR736" s="389"/>
      <c r="AS736" s="386" t="s">
        <v>1073</v>
      </c>
      <c r="AT736" s="386" t="s">
        <v>1073</v>
      </c>
      <c r="AU736" s="409"/>
      <c r="AV736" s="402"/>
      <c r="AW736" s="402"/>
      <c r="AX736" s="402"/>
      <c r="AY736" s="402"/>
      <c r="AZ736" s="402"/>
      <c r="BA736" s="402"/>
      <c r="BB736" s="402"/>
      <c r="BC736" s="402"/>
    </row>
    <row r="737" spans="1:55">
      <c r="A737" s="403"/>
      <c r="B737" s="397">
        <v>44607</v>
      </c>
      <c r="C737" s="397">
        <v>44631</v>
      </c>
      <c r="D737" s="405" t="s">
        <v>2330</v>
      </c>
      <c r="E737" s="405" t="s">
        <v>2367</v>
      </c>
      <c r="F737" s="405" t="s">
        <v>1139</v>
      </c>
      <c r="G737" s="405">
        <v>2022</v>
      </c>
      <c r="H737" s="405">
        <v>7</v>
      </c>
      <c r="I737" s="405"/>
      <c r="J737" s="406"/>
      <c r="K737" s="405" t="s">
        <v>2468</v>
      </c>
      <c r="L737" s="405" t="s">
        <v>2464</v>
      </c>
      <c r="M737" s="406">
        <v>44607</v>
      </c>
      <c r="N737" s="406">
        <v>44713</v>
      </c>
      <c r="O737" s="406" t="s">
        <v>1932</v>
      </c>
      <c r="P737" s="406"/>
      <c r="Q737" s="406"/>
      <c r="R737" s="406"/>
      <c r="S737" s="405" t="s">
        <v>2332</v>
      </c>
      <c r="T737" s="405">
        <v>60</v>
      </c>
      <c r="U737" s="405" t="s">
        <v>1559</v>
      </c>
      <c r="V737" s="405" t="s">
        <v>973</v>
      </c>
      <c r="W737" s="405">
        <v>400</v>
      </c>
      <c r="X737" s="382">
        <v>15808</v>
      </c>
      <c r="Y737" s="422">
        <f t="shared" si="167"/>
        <v>6323200</v>
      </c>
      <c r="Z737" s="409">
        <v>0.5</v>
      </c>
      <c r="AA737" s="423">
        <f t="shared" si="161"/>
        <v>3161600</v>
      </c>
      <c r="AB737" s="423"/>
      <c r="AC737" s="394">
        <v>0</v>
      </c>
      <c r="AD737" s="421"/>
      <c r="AE737" s="387"/>
      <c r="AF737" s="462">
        <f t="shared" si="168"/>
        <v>3161600</v>
      </c>
      <c r="AG737" s="405" t="s">
        <v>47</v>
      </c>
      <c r="AH737" s="388"/>
      <c r="AI737" s="405">
        <v>30</v>
      </c>
      <c r="AJ737" s="415" t="s">
        <v>1080</v>
      </c>
      <c r="AK737" s="405" t="s">
        <v>1081</v>
      </c>
      <c r="AL737" s="414" t="s">
        <v>2343</v>
      </c>
      <c r="AM737" s="405" t="s">
        <v>52</v>
      </c>
      <c r="AN737" s="405" t="s">
        <v>1071</v>
      </c>
      <c r="AO737" s="405"/>
      <c r="AP737" s="417"/>
      <c r="AQ737" s="389" t="s">
        <v>37</v>
      </c>
      <c r="AR737" s="389" t="s">
        <v>2352</v>
      </c>
      <c r="AS737" s="404" t="s">
        <v>1084</v>
      </c>
      <c r="AT737" s="404" t="s">
        <v>1073</v>
      </c>
      <c r="AU737" s="409">
        <v>0.5</v>
      </c>
      <c r="AV737" s="402"/>
      <c r="AW737" s="402"/>
      <c r="AX737" s="402"/>
      <c r="AY737" s="402"/>
      <c r="AZ737" s="402"/>
      <c r="BA737" s="402"/>
      <c r="BB737" s="402"/>
      <c r="BC737" s="402"/>
    </row>
    <row r="738" spans="1:55">
      <c r="A738" s="403"/>
      <c r="B738" s="397">
        <v>44665</v>
      </c>
      <c r="C738" s="397">
        <v>44666</v>
      </c>
      <c r="D738" s="405" t="s">
        <v>2330</v>
      </c>
      <c r="E738" s="393" t="s">
        <v>2367</v>
      </c>
      <c r="F738" s="401" t="s">
        <v>1139</v>
      </c>
      <c r="G738" s="405">
        <v>2022</v>
      </c>
      <c r="H738" s="405">
        <v>8</v>
      </c>
      <c r="I738" s="405"/>
      <c r="J738" s="456"/>
      <c r="K738" s="405" t="s">
        <v>3576</v>
      </c>
      <c r="L738" s="405" t="s">
        <v>2348</v>
      </c>
      <c r="M738" s="406">
        <v>44550</v>
      </c>
      <c r="N738" s="406">
        <v>44713</v>
      </c>
      <c r="O738" s="406"/>
      <c r="P738" s="406"/>
      <c r="Q738" s="406"/>
      <c r="R738" s="406"/>
      <c r="S738" s="405" t="s">
        <v>2332</v>
      </c>
      <c r="T738" s="405">
        <v>60</v>
      </c>
      <c r="U738" s="405">
        <v>49204132</v>
      </c>
      <c r="V738" s="405" t="s">
        <v>1192</v>
      </c>
      <c r="W738" s="405">
        <v>360</v>
      </c>
      <c r="X738" s="407">
        <v>2496</v>
      </c>
      <c r="Y738" s="408">
        <f>W738*X738</f>
        <v>898560</v>
      </c>
      <c r="Z738" s="409">
        <v>0.8</v>
      </c>
      <c r="AA738" s="410">
        <f t="shared" si="161"/>
        <v>718848</v>
      </c>
      <c r="AB738" s="410"/>
      <c r="AC738" s="394">
        <v>0</v>
      </c>
      <c r="AD738" s="421"/>
      <c r="AE738" s="413"/>
      <c r="AF738" s="462">
        <f t="shared" si="168"/>
        <v>718848</v>
      </c>
      <c r="AG738" s="405" t="s">
        <v>1069</v>
      </c>
      <c r="AH738" s="405"/>
      <c r="AI738" s="405">
        <v>60</v>
      </c>
      <c r="AJ738" s="415" t="s">
        <v>1881</v>
      </c>
      <c r="AK738" s="405" t="s">
        <v>1081</v>
      </c>
      <c r="AL738" s="414" t="s">
        <v>2349</v>
      </c>
      <c r="AM738" s="405" t="s">
        <v>52</v>
      </c>
      <c r="AN738" s="405" t="s">
        <v>1071</v>
      </c>
      <c r="AO738" s="405"/>
      <c r="AP738" s="413"/>
      <c r="AQ738" s="413" t="s">
        <v>37</v>
      </c>
      <c r="AR738" s="413" t="s">
        <v>2352</v>
      </c>
      <c r="AS738" s="386" t="s">
        <v>1084</v>
      </c>
      <c r="AT738" s="386" t="s">
        <v>1073</v>
      </c>
      <c r="AU738" s="409">
        <v>0.73</v>
      </c>
      <c r="AV738" s="402"/>
      <c r="AW738" s="402"/>
      <c r="AX738" s="402"/>
      <c r="AY738" s="402"/>
      <c r="AZ738" s="402"/>
      <c r="BA738" s="402"/>
      <c r="BB738" s="402"/>
      <c r="BC738" s="402"/>
    </row>
    <row r="739" spans="1:55">
      <c r="A739" s="403"/>
      <c r="B739" s="397">
        <v>44649</v>
      </c>
      <c r="C739" s="397">
        <v>44649</v>
      </c>
      <c r="D739" s="405" t="s">
        <v>2330</v>
      </c>
      <c r="E739" s="393" t="s">
        <v>2367</v>
      </c>
      <c r="F739" s="401" t="s">
        <v>1139</v>
      </c>
      <c r="G739" s="405">
        <v>2022</v>
      </c>
      <c r="H739" s="405">
        <v>8</v>
      </c>
      <c r="I739" s="405"/>
      <c r="J739" s="406"/>
      <c r="K739" s="405" t="s">
        <v>2372</v>
      </c>
      <c r="L739" s="405" t="s">
        <v>2348</v>
      </c>
      <c r="M739" s="406">
        <v>44637</v>
      </c>
      <c r="N739" s="406">
        <v>44774</v>
      </c>
      <c r="O739" s="406"/>
      <c r="P739" s="406"/>
      <c r="Q739" s="406"/>
      <c r="R739" s="406"/>
      <c r="S739" s="405" t="s">
        <v>2332</v>
      </c>
      <c r="T739" s="405">
        <v>60</v>
      </c>
      <c r="U739" s="405">
        <v>49405140</v>
      </c>
      <c r="V739" s="405" t="s">
        <v>973</v>
      </c>
      <c r="W739" s="405">
        <v>400</v>
      </c>
      <c r="X739" s="382">
        <v>3328</v>
      </c>
      <c r="Y739" s="422">
        <f>W739*X739</f>
        <v>1331200</v>
      </c>
      <c r="Z739" s="409">
        <v>0.55000000000000004</v>
      </c>
      <c r="AA739" s="423">
        <f t="shared" si="161"/>
        <v>732160.00000000012</v>
      </c>
      <c r="AB739" s="423"/>
      <c r="AC739" s="394">
        <v>0</v>
      </c>
      <c r="AD739" s="421"/>
      <c r="AE739" s="387"/>
      <c r="AF739" s="462">
        <f t="shared" si="168"/>
        <v>732160.00000000012</v>
      </c>
      <c r="AG739" s="405" t="s">
        <v>1069</v>
      </c>
      <c r="AH739" s="388"/>
      <c r="AI739" s="405">
        <v>60</v>
      </c>
      <c r="AJ739" s="415" t="s">
        <v>1881</v>
      </c>
      <c r="AK739" s="405" t="s">
        <v>1081</v>
      </c>
      <c r="AL739" s="414" t="s">
        <v>2349</v>
      </c>
      <c r="AM739" s="405" t="s">
        <v>52</v>
      </c>
      <c r="AN739" s="405" t="s">
        <v>1071</v>
      </c>
      <c r="AO739" s="405"/>
      <c r="AP739" s="417"/>
      <c r="AQ739" s="389" t="s">
        <v>37</v>
      </c>
      <c r="AR739" s="389" t="s">
        <v>2352</v>
      </c>
      <c r="AS739" s="404" t="s">
        <v>1084</v>
      </c>
      <c r="AT739" s="404" t="s">
        <v>1073</v>
      </c>
      <c r="AU739" s="409">
        <v>0.73</v>
      </c>
      <c r="AV739" s="402">
        <f t="shared" ref="AV739:AV749" si="172">U739</f>
        <v>49405140</v>
      </c>
      <c r="AW739" s="402" cm="1">
        <f t="array" ref="AW739">SUM(MID(0&amp;AV739,LARGE(INDEX(ISNUMBER(--MID(AV739,ROW($1:$8),1))*ROW($1:$8),),ROW($1:$8))+1,1)*10^ROW($1:$8)/10)</f>
        <v>49405140</v>
      </c>
      <c r="AX739" s="402" t="str">
        <f>VLOOKUP($AW739,'Item Master Data'!$A:$F,3,FALSE)</f>
        <v>Q.PEAK DUO BLK ML G10+</v>
      </c>
      <c r="AY739" s="402">
        <f>VLOOKUP($AW739,'Item Master Data'!$A:$F,6,FALSE)</f>
        <v>400</v>
      </c>
      <c r="AZ739" s="402">
        <f t="shared" ref="AZ739:AZ749" si="173">X739/BA739</f>
        <v>104</v>
      </c>
      <c r="BA739" s="402">
        <f>VLOOKUP(AW739,'Item Master Data'!$A:$G,7,FALSE)</f>
        <v>32</v>
      </c>
      <c r="BB739" s="402"/>
      <c r="BC739" s="402">
        <f t="shared" ref="BC739:BC749" si="174">W739-AY739</f>
        <v>0</v>
      </c>
    </row>
    <row r="740" spans="1:55">
      <c r="A740" s="403"/>
      <c r="B740" s="397">
        <v>44657</v>
      </c>
      <c r="C740" s="397">
        <v>44657</v>
      </c>
      <c r="D740" s="405" t="s">
        <v>2330</v>
      </c>
      <c r="E740" s="393" t="s">
        <v>2367</v>
      </c>
      <c r="F740" s="401" t="s">
        <v>1139</v>
      </c>
      <c r="G740" s="405">
        <v>2022</v>
      </c>
      <c r="H740" s="405">
        <v>8</v>
      </c>
      <c r="I740" s="405"/>
      <c r="J740" s="406"/>
      <c r="K740" s="405" t="s">
        <v>2374</v>
      </c>
      <c r="L740" s="405" t="s">
        <v>2348</v>
      </c>
      <c r="M740" s="406">
        <v>44655</v>
      </c>
      <c r="N740" s="406">
        <v>44774</v>
      </c>
      <c r="O740" s="406"/>
      <c r="P740" s="406"/>
      <c r="Q740" s="406"/>
      <c r="R740" s="406"/>
      <c r="S740" s="405" t="s">
        <v>2332</v>
      </c>
      <c r="T740" s="405">
        <v>60</v>
      </c>
      <c r="U740" s="405">
        <v>49203132</v>
      </c>
      <c r="V740" s="405" t="s">
        <v>986</v>
      </c>
      <c r="W740" s="405">
        <v>360</v>
      </c>
      <c r="X740" s="382">
        <v>4992</v>
      </c>
      <c r="Y740" s="422">
        <f>X740*W740</f>
        <v>1797120</v>
      </c>
      <c r="Z740" s="409">
        <v>0.53</v>
      </c>
      <c r="AA740" s="423">
        <f t="shared" si="161"/>
        <v>952473.60000000009</v>
      </c>
      <c r="AB740" s="423"/>
      <c r="AC740" s="394">
        <v>0</v>
      </c>
      <c r="AD740" s="421"/>
      <c r="AE740" s="387"/>
      <c r="AF740" s="462">
        <v>952473.60000000009</v>
      </c>
      <c r="AG740" s="405" t="s">
        <v>1069</v>
      </c>
      <c r="AH740" s="388"/>
      <c r="AI740" s="405">
        <v>60</v>
      </c>
      <c r="AJ740" s="415" t="s">
        <v>1881</v>
      </c>
      <c r="AK740" s="405" t="s">
        <v>1081</v>
      </c>
      <c r="AL740" s="414" t="s">
        <v>2349</v>
      </c>
      <c r="AM740" s="405" t="s">
        <v>52</v>
      </c>
      <c r="AN740" s="405" t="s">
        <v>1071</v>
      </c>
      <c r="AO740" s="405"/>
      <c r="AP740" s="417"/>
      <c r="AQ740" s="389" t="s">
        <v>37</v>
      </c>
      <c r="AR740" s="389" t="s">
        <v>2352</v>
      </c>
      <c r="AS740" s="404" t="s">
        <v>1084</v>
      </c>
      <c r="AT740" s="404" t="s">
        <v>1073</v>
      </c>
      <c r="AU740" s="409">
        <v>0.73</v>
      </c>
      <c r="AV740" s="402">
        <f t="shared" si="172"/>
        <v>49203132</v>
      </c>
      <c r="AW740" s="402" cm="1">
        <f t="array" ref="AW740">SUM(MID(0&amp;AV740,LARGE(INDEX(ISNUMBER(--MID(AV740,ROW($1:$8),1))*ROW($1:$8),),ROW($1:$8))+1,1)*10^ROW($1:$8)/10)</f>
        <v>49203132</v>
      </c>
      <c r="AX740" s="402" t="str">
        <f>VLOOKUP($AW740,'Item Master Data'!$A:$F,3,FALSE)</f>
        <v>Q.PEAK DUO BLK G10+</v>
      </c>
      <c r="AY740" s="402">
        <f>VLOOKUP($AW740,'Item Master Data'!$A:$F,6,FALSE)</f>
        <v>360</v>
      </c>
      <c r="AZ740" s="402">
        <f t="shared" si="173"/>
        <v>156</v>
      </c>
      <c r="BA740" s="402">
        <f>VLOOKUP(AW740,'Item Master Data'!$A:$G,7,FALSE)</f>
        <v>32</v>
      </c>
      <c r="BB740" s="402"/>
      <c r="BC740" s="402">
        <f t="shared" si="174"/>
        <v>0</v>
      </c>
    </row>
    <row r="741" spans="1:55">
      <c r="A741" s="403"/>
      <c r="B741" s="397">
        <v>44657</v>
      </c>
      <c r="C741" s="397">
        <v>44657</v>
      </c>
      <c r="D741" s="405" t="s">
        <v>2330</v>
      </c>
      <c r="E741" s="393" t="s">
        <v>2367</v>
      </c>
      <c r="F741" s="401" t="s">
        <v>1139</v>
      </c>
      <c r="G741" s="405">
        <v>2022</v>
      </c>
      <c r="H741" s="405">
        <v>8</v>
      </c>
      <c r="I741" s="405"/>
      <c r="J741" s="406"/>
      <c r="K741" s="405" t="s">
        <v>2373</v>
      </c>
      <c r="L741" s="405" t="s">
        <v>2348</v>
      </c>
      <c r="M741" s="406">
        <v>44655</v>
      </c>
      <c r="N741" s="406">
        <v>44774</v>
      </c>
      <c r="O741" s="406"/>
      <c r="P741" s="406"/>
      <c r="Q741" s="406"/>
      <c r="R741" s="406"/>
      <c r="S741" s="405" t="s">
        <v>2332</v>
      </c>
      <c r="T741" s="405">
        <v>60</v>
      </c>
      <c r="U741" s="405">
        <v>49405140</v>
      </c>
      <c r="V741" s="405" t="s">
        <v>973</v>
      </c>
      <c r="W741" s="405">
        <v>400</v>
      </c>
      <c r="X741" s="382">
        <v>4992</v>
      </c>
      <c r="Y741" s="422">
        <f>X741*W741</f>
        <v>1996800</v>
      </c>
      <c r="Z741" s="409">
        <v>0.55000000000000004</v>
      </c>
      <c r="AA741" s="423">
        <f t="shared" si="161"/>
        <v>1098240</v>
      </c>
      <c r="AB741" s="423"/>
      <c r="AC741" s="394">
        <v>0</v>
      </c>
      <c r="AD741" s="421"/>
      <c r="AE741" s="387"/>
      <c r="AF741" s="462">
        <v>1098240</v>
      </c>
      <c r="AG741" s="405" t="s">
        <v>1069</v>
      </c>
      <c r="AH741" s="388"/>
      <c r="AI741" s="405">
        <v>60</v>
      </c>
      <c r="AJ741" s="415" t="s">
        <v>1881</v>
      </c>
      <c r="AK741" s="405" t="s">
        <v>1081</v>
      </c>
      <c r="AL741" s="414" t="s">
        <v>2349</v>
      </c>
      <c r="AM741" s="405" t="s">
        <v>52</v>
      </c>
      <c r="AN741" s="405" t="s">
        <v>1071</v>
      </c>
      <c r="AO741" s="405"/>
      <c r="AP741" s="417"/>
      <c r="AQ741" s="389" t="s">
        <v>37</v>
      </c>
      <c r="AR741" s="389" t="s">
        <v>2352</v>
      </c>
      <c r="AS741" s="404" t="s">
        <v>1084</v>
      </c>
      <c r="AT741" s="404" t="s">
        <v>1073</v>
      </c>
      <c r="AU741" s="409">
        <v>0.73</v>
      </c>
      <c r="AV741" s="402">
        <f t="shared" si="172"/>
        <v>49405140</v>
      </c>
      <c r="AW741" s="402" cm="1">
        <f t="array" ref="AW741">SUM(MID(0&amp;AV741,LARGE(INDEX(ISNUMBER(--MID(AV741,ROW($1:$8),1))*ROW($1:$8),),ROW($1:$8))+1,1)*10^ROW($1:$8)/10)</f>
        <v>49405140</v>
      </c>
      <c r="AX741" s="402" t="str">
        <f>VLOOKUP($AW741,'Item Master Data'!$A:$F,3,FALSE)</f>
        <v>Q.PEAK DUO BLK ML G10+</v>
      </c>
      <c r="AY741" s="402">
        <f>VLOOKUP($AW741,'Item Master Data'!$A:$F,6,FALSE)</f>
        <v>400</v>
      </c>
      <c r="AZ741" s="402">
        <f t="shared" si="173"/>
        <v>156</v>
      </c>
      <c r="BA741" s="402">
        <f>VLOOKUP(AW741,'Item Master Data'!$A:$G,7,FALSE)</f>
        <v>32</v>
      </c>
      <c r="BB741" s="402"/>
      <c r="BC741" s="402">
        <f t="shared" si="174"/>
        <v>0</v>
      </c>
    </row>
    <row r="742" spans="1:55">
      <c r="A742" s="403"/>
      <c r="B742" s="397">
        <v>44670</v>
      </c>
      <c r="C742" s="397">
        <v>44670</v>
      </c>
      <c r="D742" s="405" t="s">
        <v>2330</v>
      </c>
      <c r="E742" s="393" t="s">
        <v>4839</v>
      </c>
      <c r="F742" s="405" t="s">
        <v>1139</v>
      </c>
      <c r="G742" s="405">
        <v>2022</v>
      </c>
      <c r="H742" s="405">
        <v>8</v>
      </c>
      <c r="I742" s="405"/>
      <c r="J742" s="406" t="s">
        <v>4715</v>
      </c>
      <c r="K742" s="405">
        <v>1169</v>
      </c>
      <c r="L742" s="405" t="s">
        <v>4577</v>
      </c>
      <c r="M742" s="406">
        <v>44670</v>
      </c>
      <c r="N742" s="406">
        <v>44682</v>
      </c>
      <c r="O742" s="406"/>
      <c r="P742" s="406">
        <v>44692</v>
      </c>
      <c r="Q742" s="406"/>
      <c r="R742" s="406"/>
      <c r="S742" s="405" t="s">
        <v>2332</v>
      </c>
      <c r="T742" s="405">
        <v>72</v>
      </c>
      <c r="U742" s="405">
        <v>49303156</v>
      </c>
      <c r="V742" s="405" t="s">
        <v>1068</v>
      </c>
      <c r="W742" s="405">
        <v>480</v>
      </c>
      <c r="X742" s="407">
        <v>3190</v>
      </c>
      <c r="Y742" s="422">
        <f>W742*X742</f>
        <v>1531200</v>
      </c>
      <c r="Z742" s="409">
        <v>0.56499999999999995</v>
      </c>
      <c r="AA742" s="423">
        <f t="shared" si="161"/>
        <v>865127.99999999988</v>
      </c>
      <c r="AB742" s="423"/>
      <c r="AC742" s="394">
        <v>0</v>
      </c>
      <c r="AD742" s="421"/>
      <c r="AE742" s="413"/>
      <c r="AF742" s="462">
        <f>AA742+AE742</f>
        <v>865127.99999999988</v>
      </c>
      <c r="AG742" s="405" t="s">
        <v>1069</v>
      </c>
      <c r="AH742" s="405">
        <v>100</v>
      </c>
      <c r="AI742" s="405">
        <v>0</v>
      </c>
      <c r="AJ742" s="415" t="s">
        <v>4578</v>
      </c>
      <c r="AK742" s="405" t="s">
        <v>1452</v>
      </c>
      <c r="AL742" s="414" t="s">
        <v>4579</v>
      </c>
      <c r="AM742" s="405" t="s">
        <v>52</v>
      </c>
      <c r="AN742" s="405" t="s">
        <v>1101</v>
      </c>
      <c r="AO742" s="405"/>
      <c r="AP742" s="413"/>
      <c r="AQ742" s="413" t="s">
        <v>37</v>
      </c>
      <c r="AR742" s="413"/>
      <c r="AS742" s="386" t="s">
        <v>1073</v>
      </c>
      <c r="AT742" s="386" t="s">
        <v>1073</v>
      </c>
      <c r="AU742" s="409">
        <v>0.73</v>
      </c>
      <c r="AV742" s="402">
        <f t="shared" si="172"/>
        <v>49303156</v>
      </c>
      <c r="AW742" s="402" cm="1">
        <f t="array" ref="AW742">SUM(MID(0&amp;AV742,LARGE(INDEX(ISNUMBER(--MID(AV742,ROW($1:$8),1))*ROW($1:$8),),ROW($1:$8))+1,1)*10^ROW($1:$8)/10)</f>
        <v>49303156</v>
      </c>
      <c r="AX742" s="402" t="str">
        <f>VLOOKUP($AW742,'Item Master Data'!$A:$F,3,FALSE)</f>
        <v>Q.PEAK DUO XL G10 BFG</v>
      </c>
      <c r="AY742" s="402">
        <f>VLOOKUP($AW742,'Item Master Data'!$A:$F,6,FALSE)</f>
        <v>480</v>
      </c>
      <c r="AZ742" s="402">
        <f t="shared" si="173"/>
        <v>110</v>
      </c>
      <c r="BA742" s="402">
        <f>VLOOKUP(AW742,'Item Master Data'!$A:$G,7,FALSE)</f>
        <v>29</v>
      </c>
      <c r="BB742" s="402"/>
      <c r="BC742" s="402">
        <f t="shared" si="174"/>
        <v>0</v>
      </c>
    </row>
    <row r="743" spans="1:55">
      <c r="A743" s="403"/>
      <c r="B743" s="399" t="s">
        <v>1186</v>
      </c>
      <c r="C743" s="399">
        <v>44692</v>
      </c>
      <c r="D743" s="405" t="s">
        <v>2330</v>
      </c>
      <c r="E743" s="393"/>
      <c r="F743" s="405" t="s">
        <v>1139</v>
      </c>
      <c r="G743" s="405">
        <v>2022</v>
      </c>
      <c r="H743" s="405">
        <v>8</v>
      </c>
      <c r="I743" s="405"/>
      <c r="J743" s="418"/>
      <c r="K743" s="414" t="s">
        <v>4722</v>
      </c>
      <c r="L743" s="405" t="s">
        <v>2380</v>
      </c>
      <c r="M743" s="406">
        <v>44692</v>
      </c>
      <c r="N743" s="406">
        <v>44781</v>
      </c>
      <c r="O743" s="406"/>
      <c r="P743" s="406"/>
      <c r="Q743" s="406"/>
      <c r="R743" s="406"/>
      <c r="S743" s="405" t="s">
        <v>2332</v>
      </c>
      <c r="T743" s="405">
        <v>72</v>
      </c>
      <c r="U743" s="405" t="s">
        <v>1102</v>
      </c>
      <c r="V743" s="405" t="s">
        <v>1068</v>
      </c>
      <c r="W743" s="405">
        <v>480</v>
      </c>
      <c r="X743" s="407">
        <v>2320</v>
      </c>
      <c r="Y743" s="422">
        <f>X743*W743</f>
        <v>1113600</v>
      </c>
      <c r="Z743" s="409">
        <v>0.6</v>
      </c>
      <c r="AA743" s="423">
        <f t="shared" si="161"/>
        <v>668160</v>
      </c>
      <c r="AB743" s="423"/>
      <c r="AC743" s="394">
        <v>0</v>
      </c>
      <c r="AD743" s="421"/>
      <c r="AE743" s="413"/>
      <c r="AF743" s="462">
        <f>AA743+AE743</f>
        <v>668160</v>
      </c>
      <c r="AG743" s="405" t="s">
        <v>47</v>
      </c>
      <c r="AH743" s="405"/>
      <c r="AI743" s="405">
        <v>60</v>
      </c>
      <c r="AJ743" s="406" t="s">
        <v>1080</v>
      </c>
      <c r="AK743" s="414" t="s">
        <v>1081</v>
      </c>
      <c r="AL743" s="414" t="s">
        <v>2343</v>
      </c>
      <c r="AM743" s="405" t="s">
        <v>52</v>
      </c>
      <c r="AN743" s="405" t="s">
        <v>1101</v>
      </c>
      <c r="AO743" s="405"/>
      <c r="AP743" s="413"/>
      <c r="AQ743" s="413" t="s">
        <v>37</v>
      </c>
      <c r="AR743" s="389"/>
      <c r="AS743" s="386" t="s">
        <v>1073</v>
      </c>
      <c r="AT743" s="386" t="s">
        <v>1073</v>
      </c>
      <c r="AU743" s="409"/>
      <c r="AV743" s="402" t="str">
        <f t="shared" si="172"/>
        <v>TBD</v>
      </c>
      <c r="AW743" s="402" cm="1">
        <f t="array" ref="AW743">SUM(MID(0&amp;AV743,LARGE(INDEX(ISNUMBER(--MID(AV743,ROW($1:$8),1))*ROW($1:$8),),ROW($1:$8))+1,1)*10^ROW($1:$8)/10)</f>
        <v>0</v>
      </c>
      <c r="AX743" s="402" t="e">
        <f>VLOOKUP($AW743,'Item Master Data'!$A:$F,3,FALSE)</f>
        <v>#N/A</v>
      </c>
      <c r="AY743" s="402" t="e">
        <f>VLOOKUP($AW743,'Item Master Data'!$A:$F,6,FALSE)</f>
        <v>#N/A</v>
      </c>
      <c r="AZ743" s="402" t="e">
        <f t="shared" si="173"/>
        <v>#N/A</v>
      </c>
      <c r="BA743" s="402" t="e">
        <f>VLOOKUP(AW743,'Item Master Data'!$A:$G,7,FALSE)</f>
        <v>#N/A</v>
      </c>
      <c r="BB743" s="402"/>
      <c r="BC743" s="402" t="e">
        <f t="shared" si="174"/>
        <v>#N/A</v>
      </c>
    </row>
    <row r="744" spans="1:55">
      <c r="A744" s="403"/>
      <c r="B744" s="397">
        <v>44607</v>
      </c>
      <c r="C744" s="397">
        <v>44631</v>
      </c>
      <c r="D744" s="405" t="s">
        <v>2330</v>
      </c>
      <c r="E744" s="405" t="s">
        <v>2367</v>
      </c>
      <c r="F744" s="405" t="s">
        <v>1139</v>
      </c>
      <c r="G744" s="405">
        <v>2022</v>
      </c>
      <c r="H744" s="405">
        <v>8</v>
      </c>
      <c r="I744" s="405"/>
      <c r="J744" s="406"/>
      <c r="K744" s="405" t="s">
        <v>2469</v>
      </c>
      <c r="L744" s="405" t="s">
        <v>2464</v>
      </c>
      <c r="M744" s="406">
        <v>44607</v>
      </c>
      <c r="N744" s="406">
        <v>44743</v>
      </c>
      <c r="O744" s="406" t="s">
        <v>1932</v>
      </c>
      <c r="P744" s="406"/>
      <c r="Q744" s="406"/>
      <c r="R744" s="406"/>
      <c r="S744" s="405" t="s">
        <v>2332</v>
      </c>
      <c r="T744" s="405">
        <v>60</v>
      </c>
      <c r="U744" s="405" t="s">
        <v>1559</v>
      </c>
      <c r="V744" s="405" t="s">
        <v>973</v>
      </c>
      <c r="W744" s="405">
        <v>400</v>
      </c>
      <c r="X744" s="382">
        <v>16640</v>
      </c>
      <c r="Y744" s="422">
        <f>X744*W744</f>
        <v>6656000</v>
      </c>
      <c r="Z744" s="409">
        <v>0.5</v>
      </c>
      <c r="AA744" s="423">
        <f t="shared" si="161"/>
        <v>3328000</v>
      </c>
      <c r="AB744" s="423"/>
      <c r="AC744" s="394">
        <v>0</v>
      </c>
      <c r="AD744" s="421"/>
      <c r="AE744" s="387"/>
      <c r="AF744" s="462">
        <f>AA744+AE744</f>
        <v>3328000</v>
      </c>
      <c r="AG744" s="405" t="s">
        <v>47</v>
      </c>
      <c r="AH744" s="388"/>
      <c r="AI744" s="405">
        <v>30</v>
      </c>
      <c r="AJ744" s="415" t="s">
        <v>1080</v>
      </c>
      <c r="AK744" s="405" t="s">
        <v>1081</v>
      </c>
      <c r="AL744" s="414" t="s">
        <v>2343</v>
      </c>
      <c r="AM744" s="405" t="s">
        <v>52</v>
      </c>
      <c r="AN744" s="405" t="s">
        <v>1071</v>
      </c>
      <c r="AO744" s="405"/>
      <c r="AP744" s="417"/>
      <c r="AQ744" s="389" t="s">
        <v>37</v>
      </c>
      <c r="AR744" s="389" t="s">
        <v>2352</v>
      </c>
      <c r="AS744" s="404" t="s">
        <v>1084</v>
      </c>
      <c r="AT744" s="404" t="s">
        <v>1073</v>
      </c>
      <c r="AU744" s="409">
        <v>0.5</v>
      </c>
      <c r="AV744" s="402" t="str">
        <f t="shared" si="172"/>
        <v>30390156H</v>
      </c>
      <c r="AW744" s="402" cm="1">
        <f t="array" ref="AW744">SUM(MID(0&amp;AV744,LARGE(INDEX(ISNUMBER(--MID(AV744,ROW($1:$8),1))*ROW($1:$8),),ROW($1:$8))+1,1)*10^ROW($1:$8)/10)</f>
        <v>30390156</v>
      </c>
      <c r="AX744" s="402" t="str">
        <f>VLOOKUP($AW744,'Item Master Data'!$A:$F,3,FALSE)</f>
        <v>Q.PEAK DUO BLK ML G10+</v>
      </c>
      <c r="AY744" s="402">
        <f>VLOOKUP($AW744,'Item Master Data'!$A:$F,6,FALSE)</f>
        <v>400</v>
      </c>
      <c r="AZ744" s="402">
        <f t="shared" si="173"/>
        <v>520</v>
      </c>
      <c r="BA744" s="402">
        <f>VLOOKUP(AW744,'Item Master Data'!$A:$G,7,FALSE)</f>
        <v>32</v>
      </c>
      <c r="BB744" s="402"/>
      <c r="BC744" s="402">
        <f t="shared" si="174"/>
        <v>0</v>
      </c>
    </row>
    <row r="745" spans="1:55">
      <c r="A745" s="403"/>
      <c r="B745" s="397">
        <v>44649</v>
      </c>
      <c r="C745" s="397">
        <v>44649</v>
      </c>
      <c r="D745" s="405" t="s">
        <v>2330</v>
      </c>
      <c r="E745" s="393" t="s">
        <v>2367</v>
      </c>
      <c r="F745" s="401" t="s">
        <v>1139</v>
      </c>
      <c r="G745" s="405">
        <v>2022</v>
      </c>
      <c r="H745" s="405">
        <v>9</v>
      </c>
      <c r="I745" s="405"/>
      <c r="J745" s="406"/>
      <c r="K745" s="405" t="s">
        <v>2375</v>
      </c>
      <c r="L745" s="405" t="s">
        <v>2348</v>
      </c>
      <c r="M745" s="406">
        <v>44637</v>
      </c>
      <c r="N745" s="406">
        <v>44805</v>
      </c>
      <c r="O745" s="406"/>
      <c r="P745" s="406"/>
      <c r="Q745" s="406"/>
      <c r="R745" s="406"/>
      <c r="S745" s="405" t="s">
        <v>2332</v>
      </c>
      <c r="T745" s="405">
        <v>60</v>
      </c>
      <c r="U745" s="405">
        <v>49405140</v>
      </c>
      <c r="V745" s="405" t="s">
        <v>973</v>
      </c>
      <c r="W745" s="405">
        <v>400</v>
      </c>
      <c r="X745" s="382">
        <v>3328</v>
      </c>
      <c r="Y745" s="422">
        <f>W745*X745</f>
        <v>1331200</v>
      </c>
      <c r="Z745" s="409">
        <v>0.55000000000000004</v>
      </c>
      <c r="AA745" s="423">
        <f t="shared" si="161"/>
        <v>732160.00000000012</v>
      </c>
      <c r="AB745" s="423"/>
      <c r="AC745" s="394">
        <v>0</v>
      </c>
      <c r="AD745" s="421"/>
      <c r="AE745" s="387"/>
      <c r="AF745" s="462">
        <f>AA745+AE745</f>
        <v>732160.00000000012</v>
      </c>
      <c r="AG745" s="405" t="s">
        <v>1069</v>
      </c>
      <c r="AH745" s="388"/>
      <c r="AI745" s="405">
        <v>60</v>
      </c>
      <c r="AJ745" s="415" t="s">
        <v>1881</v>
      </c>
      <c r="AK745" s="405" t="s">
        <v>1081</v>
      </c>
      <c r="AL745" s="414" t="s">
        <v>2349</v>
      </c>
      <c r="AM745" s="405" t="s">
        <v>52</v>
      </c>
      <c r="AN745" s="405" t="s">
        <v>1071</v>
      </c>
      <c r="AO745" s="405"/>
      <c r="AP745" s="417"/>
      <c r="AQ745" s="389" t="s">
        <v>37</v>
      </c>
      <c r="AR745" s="389" t="s">
        <v>2352</v>
      </c>
      <c r="AS745" s="404" t="s">
        <v>1084</v>
      </c>
      <c r="AT745" s="404" t="s">
        <v>1073</v>
      </c>
      <c r="AU745" s="409">
        <v>0.73</v>
      </c>
      <c r="AV745" s="402">
        <f t="shared" si="172"/>
        <v>49405140</v>
      </c>
      <c r="AW745" s="402" cm="1">
        <f t="array" ref="AW745">SUM(MID(0&amp;AV745,LARGE(INDEX(ISNUMBER(--MID(AV745,ROW($1:$8),1))*ROW($1:$8),),ROW($1:$8))+1,1)*10^ROW($1:$8)/10)</f>
        <v>49405140</v>
      </c>
      <c r="AX745" s="402" t="str">
        <f>VLOOKUP($AW745,'Item Master Data'!$A:$F,3,FALSE)</f>
        <v>Q.PEAK DUO BLK ML G10+</v>
      </c>
      <c r="AY745" s="402">
        <f>VLOOKUP($AW745,'Item Master Data'!$A:$F,6,FALSE)</f>
        <v>400</v>
      </c>
      <c r="AZ745" s="402">
        <f t="shared" si="173"/>
        <v>104</v>
      </c>
      <c r="BA745" s="402">
        <f>VLOOKUP(AW745,'Item Master Data'!$A:$G,7,FALSE)</f>
        <v>32</v>
      </c>
      <c r="BB745" s="402"/>
      <c r="BC745" s="402">
        <f t="shared" si="174"/>
        <v>0</v>
      </c>
    </row>
    <row r="746" spans="1:55">
      <c r="A746" s="403"/>
      <c r="B746" s="397">
        <v>44657</v>
      </c>
      <c r="C746" s="397">
        <v>44657</v>
      </c>
      <c r="D746" s="405" t="s">
        <v>2330</v>
      </c>
      <c r="E746" s="393" t="s">
        <v>2367</v>
      </c>
      <c r="F746" s="401" t="s">
        <v>1139</v>
      </c>
      <c r="G746" s="405">
        <v>2022</v>
      </c>
      <c r="H746" s="405">
        <v>9</v>
      </c>
      <c r="I746" s="405"/>
      <c r="J746" s="406"/>
      <c r="K746" s="405" t="s">
        <v>2377</v>
      </c>
      <c r="L746" s="405" t="s">
        <v>2348</v>
      </c>
      <c r="M746" s="406">
        <v>44655</v>
      </c>
      <c r="N746" s="406">
        <v>44805</v>
      </c>
      <c r="O746" s="406"/>
      <c r="P746" s="406"/>
      <c r="Q746" s="406"/>
      <c r="R746" s="406"/>
      <c r="S746" s="405" t="s">
        <v>2332</v>
      </c>
      <c r="T746" s="405">
        <v>60</v>
      </c>
      <c r="U746" s="405">
        <v>49203132</v>
      </c>
      <c r="V746" s="405" t="s">
        <v>986</v>
      </c>
      <c r="W746" s="405">
        <v>360</v>
      </c>
      <c r="X746" s="382">
        <v>4992</v>
      </c>
      <c r="Y746" s="422">
        <f>X746*W746</f>
        <v>1797120</v>
      </c>
      <c r="Z746" s="409">
        <v>0.53</v>
      </c>
      <c r="AA746" s="423">
        <f t="shared" si="161"/>
        <v>952473.60000000009</v>
      </c>
      <c r="AB746" s="423"/>
      <c r="AC746" s="394">
        <v>0</v>
      </c>
      <c r="AD746" s="421"/>
      <c r="AE746" s="387"/>
      <c r="AF746" s="462">
        <v>952473.60000000009</v>
      </c>
      <c r="AG746" s="405" t="s">
        <v>1069</v>
      </c>
      <c r="AH746" s="388"/>
      <c r="AI746" s="405">
        <v>60</v>
      </c>
      <c r="AJ746" s="415" t="s">
        <v>1881</v>
      </c>
      <c r="AK746" s="405" t="s">
        <v>1081</v>
      </c>
      <c r="AL746" s="414" t="s">
        <v>2349</v>
      </c>
      <c r="AM746" s="405" t="s">
        <v>52</v>
      </c>
      <c r="AN746" s="405" t="s">
        <v>1071</v>
      </c>
      <c r="AO746" s="405"/>
      <c r="AP746" s="417"/>
      <c r="AQ746" s="389" t="s">
        <v>37</v>
      </c>
      <c r="AR746" s="389" t="s">
        <v>2352</v>
      </c>
      <c r="AS746" s="404" t="s">
        <v>1084</v>
      </c>
      <c r="AT746" s="404" t="s">
        <v>1073</v>
      </c>
      <c r="AU746" s="409">
        <v>0.73</v>
      </c>
      <c r="AV746" s="402">
        <f t="shared" si="172"/>
        <v>49203132</v>
      </c>
      <c r="AW746" s="402" cm="1">
        <f t="array" ref="AW746">SUM(MID(0&amp;AV746,LARGE(INDEX(ISNUMBER(--MID(AV746,ROW($1:$8),1))*ROW($1:$8),),ROW($1:$8))+1,1)*10^ROW($1:$8)/10)</f>
        <v>49203132</v>
      </c>
      <c r="AX746" s="402" t="str">
        <f>VLOOKUP($AW746,'Item Master Data'!$A:$F,3,FALSE)</f>
        <v>Q.PEAK DUO BLK G10+</v>
      </c>
      <c r="AY746" s="402">
        <f>VLOOKUP($AW746,'Item Master Data'!$A:$F,6,FALSE)</f>
        <v>360</v>
      </c>
      <c r="AZ746" s="402">
        <f t="shared" si="173"/>
        <v>156</v>
      </c>
      <c r="BA746" s="402">
        <f>VLOOKUP(AW746,'Item Master Data'!$A:$G,7,FALSE)</f>
        <v>32</v>
      </c>
      <c r="BB746" s="402"/>
      <c r="BC746" s="402">
        <f t="shared" si="174"/>
        <v>0</v>
      </c>
    </row>
    <row r="747" spans="1:55">
      <c r="A747" s="403"/>
      <c r="B747" s="397">
        <v>44657</v>
      </c>
      <c r="C747" s="397">
        <v>44657</v>
      </c>
      <c r="D747" s="405" t="s">
        <v>2330</v>
      </c>
      <c r="E747" s="393" t="s">
        <v>2367</v>
      </c>
      <c r="F747" s="401" t="s">
        <v>1139</v>
      </c>
      <c r="G747" s="405">
        <v>2022</v>
      </c>
      <c r="H747" s="405">
        <v>9</v>
      </c>
      <c r="I747" s="405"/>
      <c r="J747" s="406"/>
      <c r="K747" s="405" t="s">
        <v>2376</v>
      </c>
      <c r="L747" s="405" t="s">
        <v>2348</v>
      </c>
      <c r="M747" s="406">
        <v>44655</v>
      </c>
      <c r="N747" s="406">
        <v>44805</v>
      </c>
      <c r="O747" s="406"/>
      <c r="P747" s="406"/>
      <c r="Q747" s="406"/>
      <c r="R747" s="406"/>
      <c r="S747" s="405" t="s">
        <v>2332</v>
      </c>
      <c r="T747" s="405">
        <v>60</v>
      </c>
      <c r="U747" s="405">
        <v>49405140</v>
      </c>
      <c r="V747" s="405" t="s">
        <v>973</v>
      </c>
      <c r="W747" s="405">
        <v>400</v>
      </c>
      <c r="X747" s="382">
        <v>4992</v>
      </c>
      <c r="Y747" s="422">
        <f>X747*W747</f>
        <v>1996800</v>
      </c>
      <c r="Z747" s="409">
        <v>0.55000000000000004</v>
      </c>
      <c r="AA747" s="423">
        <f t="shared" si="161"/>
        <v>1098240</v>
      </c>
      <c r="AB747" s="423"/>
      <c r="AC747" s="394">
        <v>0</v>
      </c>
      <c r="AD747" s="421"/>
      <c r="AE747" s="387"/>
      <c r="AF747" s="462">
        <v>1098240</v>
      </c>
      <c r="AG747" s="405" t="s">
        <v>1069</v>
      </c>
      <c r="AH747" s="388"/>
      <c r="AI747" s="405">
        <v>60</v>
      </c>
      <c r="AJ747" s="415" t="s">
        <v>1881</v>
      </c>
      <c r="AK747" s="405" t="s">
        <v>1081</v>
      </c>
      <c r="AL747" s="414" t="s">
        <v>2349</v>
      </c>
      <c r="AM747" s="405" t="s">
        <v>52</v>
      </c>
      <c r="AN747" s="405" t="s">
        <v>1071</v>
      </c>
      <c r="AO747" s="405"/>
      <c r="AP747" s="417"/>
      <c r="AQ747" s="389" t="s">
        <v>37</v>
      </c>
      <c r="AR747" s="389" t="s">
        <v>2352</v>
      </c>
      <c r="AS747" s="404" t="s">
        <v>1084</v>
      </c>
      <c r="AT747" s="404" t="s">
        <v>1073</v>
      </c>
      <c r="AU747" s="409">
        <v>0.73</v>
      </c>
      <c r="AV747" s="402">
        <f t="shared" si="172"/>
        <v>49405140</v>
      </c>
      <c r="AW747" s="402" cm="1">
        <f t="array" ref="AW747">SUM(MID(0&amp;AV747,LARGE(INDEX(ISNUMBER(--MID(AV747,ROW($1:$8),1))*ROW($1:$8),),ROW($1:$8))+1,1)*10^ROW($1:$8)/10)</f>
        <v>49405140</v>
      </c>
      <c r="AX747" s="402" t="str">
        <f>VLOOKUP($AW747,'Item Master Data'!$A:$F,3,FALSE)</f>
        <v>Q.PEAK DUO BLK ML G10+</v>
      </c>
      <c r="AY747" s="402">
        <f>VLOOKUP($AW747,'Item Master Data'!$A:$F,6,FALSE)</f>
        <v>400</v>
      </c>
      <c r="AZ747" s="402">
        <f t="shared" si="173"/>
        <v>156</v>
      </c>
      <c r="BA747" s="402">
        <f>VLOOKUP(AW747,'Item Master Data'!$A:$G,7,FALSE)</f>
        <v>32</v>
      </c>
      <c r="BB747" s="402"/>
      <c r="BC747" s="402">
        <f t="shared" si="174"/>
        <v>0</v>
      </c>
    </row>
    <row r="748" spans="1:55">
      <c r="A748" s="403"/>
      <c r="B748" s="397"/>
      <c r="C748" s="397"/>
      <c r="D748" s="405" t="s">
        <v>2330</v>
      </c>
      <c r="E748" s="405" t="s">
        <v>4984</v>
      </c>
      <c r="F748" s="405" t="s">
        <v>1139</v>
      </c>
      <c r="G748" s="405">
        <v>2022</v>
      </c>
      <c r="H748" s="405">
        <v>9</v>
      </c>
      <c r="I748" s="405"/>
      <c r="J748" s="406"/>
      <c r="K748" s="405" t="s">
        <v>4888</v>
      </c>
      <c r="L748" s="405" t="s">
        <v>2360</v>
      </c>
      <c r="M748" s="406">
        <v>44693</v>
      </c>
      <c r="N748" s="406">
        <v>44830</v>
      </c>
      <c r="O748" s="406"/>
      <c r="P748" s="406"/>
      <c r="Q748" s="406"/>
      <c r="R748" s="406"/>
      <c r="S748" s="405" t="s">
        <v>2332</v>
      </c>
      <c r="T748" s="405">
        <v>72</v>
      </c>
      <c r="U748" s="405">
        <v>49303156</v>
      </c>
      <c r="V748" s="405" t="s">
        <v>4215</v>
      </c>
      <c r="W748" s="405">
        <v>480</v>
      </c>
      <c r="X748" s="382">
        <v>1276</v>
      </c>
      <c r="Y748" s="422">
        <f>X748*W748</f>
        <v>612480</v>
      </c>
      <c r="Z748" s="409">
        <v>0.48</v>
      </c>
      <c r="AA748" s="423">
        <f t="shared" si="161"/>
        <v>293990.39999999997</v>
      </c>
      <c r="AB748" s="423"/>
      <c r="AC748" s="394">
        <v>0</v>
      </c>
      <c r="AD748" s="421"/>
      <c r="AE748" s="387"/>
      <c r="AF748" s="462">
        <f>AA748+AE748</f>
        <v>293990.39999999997</v>
      </c>
      <c r="AG748" s="405" t="s">
        <v>1069</v>
      </c>
      <c r="AH748" s="388"/>
      <c r="AI748" s="405">
        <v>60</v>
      </c>
      <c r="AJ748" s="415" t="s">
        <v>2361</v>
      </c>
      <c r="AK748" s="405" t="s">
        <v>1148</v>
      </c>
      <c r="AL748" s="414" t="s">
        <v>2362</v>
      </c>
      <c r="AM748" s="405" t="s">
        <v>52</v>
      </c>
      <c r="AN748" s="405" t="s">
        <v>1101</v>
      </c>
      <c r="AO748" s="405"/>
      <c r="AP748" s="413"/>
      <c r="AQ748" s="389" t="s">
        <v>37</v>
      </c>
      <c r="AR748" s="389"/>
      <c r="AS748" s="404" t="s">
        <v>1084</v>
      </c>
      <c r="AT748" s="404" t="s">
        <v>1073</v>
      </c>
      <c r="AU748" s="409">
        <v>0.5</v>
      </c>
      <c r="AV748" s="402">
        <f t="shared" si="172"/>
        <v>49303156</v>
      </c>
      <c r="AW748" s="402" cm="1">
        <f t="array" ref="AW748">SUM(MID(0&amp;AV748,LARGE(INDEX(ISNUMBER(--MID(AV748,ROW($1:$8),1))*ROW($1:$8),),ROW($1:$8))+1,1)*10^ROW($1:$8)/10)</f>
        <v>49303156</v>
      </c>
      <c r="AX748" s="402" t="str">
        <f>VLOOKUP($AW748,'Item Master Data'!$A:$F,3,FALSE)</f>
        <v>Q.PEAK DUO XL G10 BFG</v>
      </c>
      <c r="AY748" s="402">
        <f>VLOOKUP($AW748,'Item Master Data'!$A:$F,6,FALSE)</f>
        <v>480</v>
      </c>
      <c r="AZ748" s="402">
        <f t="shared" si="173"/>
        <v>44</v>
      </c>
      <c r="BA748" s="402">
        <f>VLOOKUP(AW748,'Item Master Data'!$A:$G,7,FALSE)</f>
        <v>29</v>
      </c>
      <c r="BB748" s="402"/>
      <c r="BC748" s="402">
        <f t="shared" si="174"/>
        <v>0</v>
      </c>
    </row>
    <row r="749" spans="1:55">
      <c r="A749" s="403"/>
      <c r="B749" s="399" t="s">
        <v>1186</v>
      </c>
      <c r="C749" s="399">
        <v>44692</v>
      </c>
      <c r="D749" s="405" t="s">
        <v>2330</v>
      </c>
      <c r="E749" s="393"/>
      <c r="F749" s="405" t="s">
        <v>1139</v>
      </c>
      <c r="G749" s="405">
        <v>2022</v>
      </c>
      <c r="H749" s="405">
        <v>9</v>
      </c>
      <c r="I749" s="405"/>
      <c r="J749" s="418"/>
      <c r="K749" s="414" t="s">
        <v>4723</v>
      </c>
      <c r="L749" s="405" t="s">
        <v>2380</v>
      </c>
      <c r="M749" s="406">
        <v>44692</v>
      </c>
      <c r="N749" s="406">
        <v>44781</v>
      </c>
      <c r="O749" s="406"/>
      <c r="P749" s="406"/>
      <c r="Q749" s="406"/>
      <c r="R749" s="406"/>
      <c r="S749" s="405" t="s">
        <v>2332</v>
      </c>
      <c r="T749" s="405">
        <v>72</v>
      </c>
      <c r="U749" s="405" t="s">
        <v>1102</v>
      </c>
      <c r="V749" s="405" t="s">
        <v>1068</v>
      </c>
      <c r="W749" s="405">
        <v>480</v>
      </c>
      <c r="X749" s="407">
        <v>2320</v>
      </c>
      <c r="Y749" s="422">
        <f>X749*W749</f>
        <v>1113600</v>
      </c>
      <c r="Z749" s="409">
        <v>0.6</v>
      </c>
      <c r="AA749" s="423">
        <f t="shared" si="161"/>
        <v>668160</v>
      </c>
      <c r="AB749" s="423"/>
      <c r="AC749" s="394">
        <v>0</v>
      </c>
      <c r="AD749" s="421"/>
      <c r="AE749" s="413"/>
      <c r="AF749" s="462">
        <f>AA749+AE749</f>
        <v>668160</v>
      </c>
      <c r="AG749" s="405" t="s">
        <v>47</v>
      </c>
      <c r="AH749" s="405"/>
      <c r="AI749" s="405">
        <v>60</v>
      </c>
      <c r="AJ749" s="406" t="s">
        <v>1080</v>
      </c>
      <c r="AK749" s="414" t="s">
        <v>1081</v>
      </c>
      <c r="AL749" s="414" t="s">
        <v>2343</v>
      </c>
      <c r="AM749" s="405" t="s">
        <v>52</v>
      </c>
      <c r="AN749" s="405" t="s">
        <v>1101</v>
      </c>
      <c r="AO749" s="405"/>
      <c r="AP749" s="413"/>
      <c r="AQ749" s="413" t="s">
        <v>37</v>
      </c>
      <c r="AR749" s="389"/>
      <c r="AS749" s="386" t="s">
        <v>1073</v>
      </c>
      <c r="AT749" s="386" t="s">
        <v>1073</v>
      </c>
      <c r="AU749" s="409"/>
      <c r="AV749" s="402" t="str">
        <f t="shared" si="172"/>
        <v>TBD</v>
      </c>
      <c r="AW749" s="402" cm="1">
        <f t="array" ref="AW749">SUM(MID(0&amp;AV749,LARGE(INDEX(ISNUMBER(--MID(AV749,ROW($1:$8),1))*ROW($1:$8),),ROW($1:$8))+1,1)*10^ROW($1:$8)/10)</f>
        <v>0</v>
      </c>
      <c r="AX749" s="402" t="e">
        <f>VLOOKUP($AW749,'Item Master Data'!$A:$F,3,FALSE)</f>
        <v>#N/A</v>
      </c>
      <c r="AY749" s="402" t="e">
        <f>VLOOKUP($AW749,'Item Master Data'!$A:$F,6,FALSE)</f>
        <v>#N/A</v>
      </c>
      <c r="AZ749" s="402" t="e">
        <f t="shared" si="173"/>
        <v>#N/A</v>
      </c>
      <c r="BA749" s="402" t="e">
        <f>VLOOKUP(AW749,'Item Master Data'!$A:$G,7,FALSE)</f>
        <v>#N/A</v>
      </c>
      <c r="BB749" s="402"/>
      <c r="BC749" s="402" t="e">
        <f t="shared" si="174"/>
        <v>#N/A</v>
      </c>
    </row>
    <row r="750" spans="1:55">
      <c r="A750" s="403"/>
      <c r="B750" s="397">
        <v>44607</v>
      </c>
      <c r="C750" s="397">
        <v>44631</v>
      </c>
      <c r="D750" s="405" t="s">
        <v>2330</v>
      </c>
      <c r="E750" s="405" t="s">
        <v>2367</v>
      </c>
      <c r="F750" s="405" t="s">
        <v>1139</v>
      </c>
      <c r="G750" s="405">
        <v>2022</v>
      </c>
      <c r="H750" s="405">
        <v>9</v>
      </c>
      <c r="I750" s="405"/>
      <c r="J750" s="406"/>
      <c r="K750" s="405" t="s">
        <v>2470</v>
      </c>
      <c r="L750" s="405" t="s">
        <v>2464</v>
      </c>
      <c r="M750" s="406">
        <v>44607</v>
      </c>
      <c r="N750" s="406">
        <v>44774</v>
      </c>
      <c r="O750" s="406" t="s">
        <v>1932</v>
      </c>
      <c r="P750" s="406"/>
      <c r="Q750" s="406"/>
      <c r="R750" s="406"/>
      <c r="S750" s="405" t="s">
        <v>2332</v>
      </c>
      <c r="T750" s="405">
        <v>60</v>
      </c>
      <c r="U750" s="405" t="s">
        <v>1559</v>
      </c>
      <c r="V750" s="405" t="s">
        <v>973</v>
      </c>
      <c r="W750" s="405">
        <v>400</v>
      </c>
      <c r="X750" s="382">
        <v>16640</v>
      </c>
      <c r="Y750" s="422">
        <f>X750*W750</f>
        <v>6656000</v>
      </c>
      <c r="Z750" s="409">
        <v>0.5</v>
      </c>
      <c r="AA750" s="423">
        <f t="shared" si="161"/>
        <v>3328000</v>
      </c>
      <c r="AB750" s="423"/>
      <c r="AC750" s="394">
        <v>0</v>
      </c>
      <c r="AD750" s="421"/>
      <c r="AE750" s="387"/>
      <c r="AF750" s="462">
        <f>AA750+AE750</f>
        <v>3328000</v>
      </c>
      <c r="AG750" s="405" t="s">
        <v>47</v>
      </c>
      <c r="AH750" s="388"/>
      <c r="AI750" s="405">
        <v>30</v>
      </c>
      <c r="AJ750" s="415" t="s">
        <v>1080</v>
      </c>
      <c r="AK750" s="405" t="s">
        <v>1081</v>
      </c>
      <c r="AL750" s="414" t="s">
        <v>2343</v>
      </c>
      <c r="AM750" s="405" t="s">
        <v>52</v>
      </c>
      <c r="AN750" s="405" t="s">
        <v>1071</v>
      </c>
      <c r="AO750" s="405"/>
      <c r="AP750" s="417"/>
      <c r="AQ750" s="389" t="s">
        <v>37</v>
      </c>
      <c r="AR750" s="389" t="s">
        <v>2352</v>
      </c>
      <c r="AS750" s="404" t="s">
        <v>1084</v>
      </c>
      <c r="AT750" s="404" t="s">
        <v>1073</v>
      </c>
      <c r="AU750" s="409">
        <v>0.5</v>
      </c>
      <c r="AV750" s="402"/>
      <c r="AW750" s="402"/>
      <c r="AX750" s="402"/>
      <c r="AY750" s="402"/>
      <c r="AZ750" s="402"/>
      <c r="BA750" s="402"/>
      <c r="BB750" s="402"/>
      <c r="BC750" s="402"/>
    </row>
    <row r="751" spans="1:55">
      <c r="A751" s="403"/>
      <c r="B751" s="397">
        <v>44649</v>
      </c>
      <c r="C751" s="397">
        <v>44649</v>
      </c>
      <c r="D751" s="405" t="s">
        <v>2330</v>
      </c>
      <c r="E751" s="393" t="s">
        <v>2367</v>
      </c>
      <c r="F751" s="401" t="s">
        <v>1139</v>
      </c>
      <c r="G751" s="405">
        <v>2022</v>
      </c>
      <c r="H751" s="405">
        <v>10</v>
      </c>
      <c r="I751" s="405"/>
      <c r="J751" s="406"/>
      <c r="K751" s="405" t="s">
        <v>2378</v>
      </c>
      <c r="L751" s="405" t="s">
        <v>2348</v>
      </c>
      <c r="M751" s="406">
        <v>44637</v>
      </c>
      <c r="N751" s="406">
        <v>44835</v>
      </c>
      <c r="O751" s="406"/>
      <c r="P751" s="406"/>
      <c r="Q751" s="406"/>
      <c r="R751" s="406"/>
      <c r="S751" s="405" t="s">
        <v>2332</v>
      </c>
      <c r="T751" s="405">
        <v>60</v>
      </c>
      <c r="U751" s="405">
        <v>49405140</v>
      </c>
      <c r="V751" s="405" t="s">
        <v>973</v>
      </c>
      <c r="W751" s="405">
        <v>400</v>
      </c>
      <c r="X751" s="382">
        <v>3328</v>
      </c>
      <c r="Y751" s="422">
        <f>W751*X751</f>
        <v>1331200</v>
      </c>
      <c r="Z751" s="409">
        <v>0.55000000000000004</v>
      </c>
      <c r="AA751" s="423">
        <f t="shared" si="161"/>
        <v>732160.00000000012</v>
      </c>
      <c r="AB751" s="423"/>
      <c r="AC751" s="394">
        <v>0</v>
      </c>
      <c r="AD751" s="421"/>
      <c r="AE751" s="387"/>
      <c r="AF751" s="462">
        <f>AA751+AE751</f>
        <v>732160.00000000012</v>
      </c>
      <c r="AG751" s="405" t="s">
        <v>1069</v>
      </c>
      <c r="AH751" s="388"/>
      <c r="AI751" s="405">
        <v>60</v>
      </c>
      <c r="AJ751" s="415" t="s">
        <v>1881</v>
      </c>
      <c r="AK751" s="405" t="s">
        <v>1081</v>
      </c>
      <c r="AL751" s="414" t="s">
        <v>2349</v>
      </c>
      <c r="AM751" s="405" t="s">
        <v>52</v>
      </c>
      <c r="AN751" s="405" t="s">
        <v>1071</v>
      </c>
      <c r="AO751" s="405"/>
      <c r="AP751" s="417"/>
      <c r="AQ751" s="389" t="s">
        <v>37</v>
      </c>
      <c r="AR751" s="389" t="s">
        <v>2352</v>
      </c>
      <c r="AS751" s="404" t="s">
        <v>1084</v>
      </c>
      <c r="AT751" s="404" t="s">
        <v>1073</v>
      </c>
      <c r="AU751" s="409">
        <v>0.73</v>
      </c>
      <c r="AV751" s="402">
        <f>U751</f>
        <v>49405140</v>
      </c>
      <c r="AW751" s="402" cm="1">
        <f t="array" ref="AW751">SUM(MID(0&amp;AV751,LARGE(INDEX(ISNUMBER(--MID(AV751,ROW($1:$8),1))*ROW($1:$8),),ROW($1:$8))+1,1)*10^ROW($1:$8)/10)</f>
        <v>49405140</v>
      </c>
      <c r="AX751" s="402" t="str">
        <f>VLOOKUP($AW751,'Item Master Data'!$A:$F,3,FALSE)</f>
        <v>Q.PEAK DUO BLK ML G10+</v>
      </c>
      <c r="AY751" s="402">
        <f>VLOOKUP($AW751,'Item Master Data'!$A:$F,6,FALSE)</f>
        <v>400</v>
      </c>
      <c r="AZ751" s="402">
        <f>X751/BA751</f>
        <v>104</v>
      </c>
      <c r="BA751" s="402">
        <f>VLOOKUP(AW751,'Item Master Data'!$A:$G,7,FALSE)</f>
        <v>32</v>
      </c>
      <c r="BB751" s="402"/>
      <c r="BC751" s="402">
        <f>W751-AY751</f>
        <v>0</v>
      </c>
    </row>
    <row r="752" spans="1:55">
      <c r="A752" s="403"/>
      <c r="B752" s="397">
        <v>44657</v>
      </c>
      <c r="C752" s="397">
        <v>44657</v>
      </c>
      <c r="D752" s="405" t="s">
        <v>2330</v>
      </c>
      <c r="E752" s="393" t="s">
        <v>2367</v>
      </c>
      <c r="F752" s="401" t="s">
        <v>1139</v>
      </c>
      <c r="G752" s="405">
        <v>2022</v>
      </c>
      <c r="H752" s="405">
        <v>10</v>
      </c>
      <c r="I752" s="405"/>
      <c r="J752" s="406"/>
      <c r="K752" s="405" t="s">
        <v>2384</v>
      </c>
      <c r="L752" s="405" t="s">
        <v>2348</v>
      </c>
      <c r="M752" s="406">
        <v>44656</v>
      </c>
      <c r="N752" s="406">
        <v>44835</v>
      </c>
      <c r="O752" s="406"/>
      <c r="P752" s="406"/>
      <c r="Q752" s="406"/>
      <c r="R752" s="406"/>
      <c r="S752" s="405" t="s">
        <v>2332</v>
      </c>
      <c r="T752" s="405">
        <v>60</v>
      </c>
      <c r="U752" s="405">
        <v>49405140</v>
      </c>
      <c r="V752" s="405" t="s">
        <v>973</v>
      </c>
      <c r="W752" s="405">
        <v>400</v>
      </c>
      <c r="X752" s="382">
        <v>6656</v>
      </c>
      <c r="Y752" s="422">
        <f>X752*W752</f>
        <v>2662400</v>
      </c>
      <c r="Z752" s="409">
        <v>0.55000000000000004</v>
      </c>
      <c r="AA752" s="423">
        <f t="shared" si="161"/>
        <v>1464320.0000000002</v>
      </c>
      <c r="AB752" s="423"/>
      <c r="AC752" s="394">
        <v>0</v>
      </c>
      <c r="AD752" s="421"/>
      <c r="AE752" s="387"/>
      <c r="AF752" s="462">
        <v>1464320.0000000002</v>
      </c>
      <c r="AG752" s="405" t="s">
        <v>1069</v>
      </c>
      <c r="AH752" s="388"/>
      <c r="AI752" s="405">
        <v>60</v>
      </c>
      <c r="AJ752" s="415" t="s">
        <v>1881</v>
      </c>
      <c r="AK752" s="405" t="s">
        <v>1081</v>
      </c>
      <c r="AL752" s="414" t="s">
        <v>2349</v>
      </c>
      <c r="AM752" s="405" t="s">
        <v>52</v>
      </c>
      <c r="AN752" s="405" t="s">
        <v>1071</v>
      </c>
      <c r="AO752" s="405"/>
      <c r="AP752" s="417"/>
      <c r="AQ752" s="389" t="s">
        <v>37</v>
      </c>
      <c r="AR752" s="389" t="s">
        <v>2352</v>
      </c>
      <c r="AS752" s="404" t="s">
        <v>1084</v>
      </c>
      <c r="AT752" s="404" t="s">
        <v>1073</v>
      </c>
      <c r="AU752" s="409">
        <v>0.73</v>
      </c>
      <c r="AV752" s="402">
        <f>U752</f>
        <v>49405140</v>
      </c>
      <c r="AW752" s="402" cm="1">
        <f t="array" ref="AW752">SUM(MID(0&amp;AV752,LARGE(INDEX(ISNUMBER(--MID(AV752,ROW($1:$8),1))*ROW($1:$8),),ROW($1:$8))+1,1)*10^ROW($1:$8)/10)</f>
        <v>49405140</v>
      </c>
      <c r="AX752" s="402" t="str">
        <f>VLOOKUP($AW752,'Item Master Data'!$A:$F,3,FALSE)</f>
        <v>Q.PEAK DUO BLK ML G10+</v>
      </c>
      <c r="AY752" s="402">
        <f>VLOOKUP($AW752,'Item Master Data'!$A:$F,6,FALSE)</f>
        <v>400</v>
      </c>
      <c r="AZ752" s="402">
        <f>X752/BA752</f>
        <v>208</v>
      </c>
      <c r="BA752" s="402">
        <f>VLOOKUP(AW752,'Item Master Data'!$A:$G,7,FALSE)</f>
        <v>32</v>
      </c>
      <c r="BB752" s="402"/>
      <c r="BC752" s="402">
        <f>W752-AY752</f>
        <v>0</v>
      </c>
    </row>
    <row r="753" spans="1:55">
      <c r="A753" s="403"/>
      <c r="B753" s="397">
        <v>44690</v>
      </c>
      <c r="C753" s="397">
        <v>44690</v>
      </c>
      <c r="D753" s="405" t="s">
        <v>2330</v>
      </c>
      <c r="E753" s="393" t="s">
        <v>2367</v>
      </c>
      <c r="F753" s="405" t="s">
        <v>1139</v>
      </c>
      <c r="G753" s="405">
        <v>2022</v>
      </c>
      <c r="H753" s="405">
        <v>10</v>
      </c>
      <c r="I753" s="405"/>
      <c r="J753" s="456"/>
      <c r="K753" s="405" t="s">
        <v>4724</v>
      </c>
      <c r="L753" s="405" t="s">
        <v>2348</v>
      </c>
      <c r="M753" s="406">
        <v>44690</v>
      </c>
      <c r="N753" s="406">
        <v>44835</v>
      </c>
      <c r="O753" s="406"/>
      <c r="P753" s="406"/>
      <c r="Q753" s="406"/>
      <c r="R753" s="406"/>
      <c r="S753" s="405" t="s">
        <v>2332</v>
      </c>
      <c r="T753" s="405">
        <v>60</v>
      </c>
      <c r="U753" s="405">
        <v>49203132</v>
      </c>
      <c r="V753" s="405" t="s">
        <v>1557</v>
      </c>
      <c r="W753" s="405">
        <v>360</v>
      </c>
      <c r="X753" s="407">
        <v>6656</v>
      </c>
      <c r="Y753" s="408">
        <f>W753*X753</f>
        <v>2396160</v>
      </c>
      <c r="Z753" s="409">
        <v>0.62</v>
      </c>
      <c r="AA753" s="410">
        <f t="shared" si="161"/>
        <v>1485619.2</v>
      </c>
      <c r="AB753" s="410"/>
      <c r="AC753" s="394">
        <v>0</v>
      </c>
      <c r="AD753" s="421"/>
      <c r="AE753" s="413"/>
      <c r="AF753" s="462">
        <f>AA753+AE753</f>
        <v>1485619.2</v>
      </c>
      <c r="AG753" s="405" t="s">
        <v>1069</v>
      </c>
      <c r="AH753" s="405"/>
      <c r="AI753" s="405">
        <v>60</v>
      </c>
      <c r="AJ753" s="415" t="s">
        <v>1881</v>
      </c>
      <c r="AK753" s="405" t="s">
        <v>1081</v>
      </c>
      <c r="AL753" s="414" t="s">
        <v>2349</v>
      </c>
      <c r="AM753" s="405" t="s">
        <v>52</v>
      </c>
      <c r="AN753" s="405" t="s">
        <v>1071</v>
      </c>
      <c r="AO753" s="405"/>
      <c r="AP753" s="413"/>
      <c r="AQ753" s="413" t="s">
        <v>37</v>
      </c>
      <c r="AR753" s="413" t="s">
        <v>2352</v>
      </c>
      <c r="AS753" s="403" t="s">
        <v>1072</v>
      </c>
      <c r="AT753" s="386" t="s">
        <v>1084</v>
      </c>
      <c r="AU753" s="386" t="s">
        <v>1073</v>
      </c>
      <c r="AV753" s="402">
        <f>U753</f>
        <v>49203132</v>
      </c>
      <c r="AW753" s="402" cm="1">
        <f t="array" ref="AW753">SUM(MID(0&amp;AV753,LARGE(INDEX(ISNUMBER(--MID(AV753,ROW($1:$8),1))*ROW($1:$8),),ROW($1:$8))+1,1)*10^ROW($1:$8)/10)</f>
        <v>49203132</v>
      </c>
      <c r="AX753" s="402" t="str">
        <f>VLOOKUP($AW753,'Item Master Data'!$A:$F,3,FALSE)</f>
        <v>Q.PEAK DUO BLK G10+</v>
      </c>
      <c r="AY753" s="402">
        <f>VLOOKUP($AW753,'Item Master Data'!$A:$F,6,FALSE)</f>
        <v>360</v>
      </c>
      <c r="AZ753" s="402">
        <f>X753/BA753</f>
        <v>208</v>
      </c>
      <c r="BA753" s="402">
        <f>VLOOKUP(AW753,'Item Master Data'!$A:$G,7,FALSE)</f>
        <v>32</v>
      </c>
      <c r="BB753" s="402"/>
      <c r="BC753" s="402">
        <f>W753-AY753</f>
        <v>0</v>
      </c>
    </row>
    <row r="754" spans="1:55">
      <c r="A754" s="403"/>
      <c r="B754" s="397">
        <v>44607</v>
      </c>
      <c r="C754" s="397">
        <v>44631</v>
      </c>
      <c r="D754" s="405" t="s">
        <v>2330</v>
      </c>
      <c r="E754" s="405" t="s">
        <v>2367</v>
      </c>
      <c r="F754" s="405" t="s">
        <v>1139</v>
      </c>
      <c r="G754" s="405">
        <v>2022</v>
      </c>
      <c r="H754" s="405">
        <v>10</v>
      </c>
      <c r="I754" s="405"/>
      <c r="J754" s="406"/>
      <c r="K754" s="405" t="s">
        <v>2472</v>
      </c>
      <c r="L754" s="405" t="s">
        <v>2464</v>
      </c>
      <c r="M754" s="406">
        <v>44607</v>
      </c>
      <c r="N754" s="406">
        <v>44805</v>
      </c>
      <c r="O754" s="406" t="s">
        <v>1932</v>
      </c>
      <c r="P754" s="406"/>
      <c r="Q754" s="406"/>
      <c r="R754" s="406"/>
      <c r="S754" s="405" t="s">
        <v>2332</v>
      </c>
      <c r="T754" s="405">
        <v>60</v>
      </c>
      <c r="U754" s="405" t="s">
        <v>1559</v>
      </c>
      <c r="V754" s="405" t="s">
        <v>973</v>
      </c>
      <c r="W754" s="405">
        <v>400</v>
      </c>
      <c r="X754" s="382">
        <v>16640</v>
      </c>
      <c r="Y754" s="422">
        <f>X754*W754</f>
        <v>6656000</v>
      </c>
      <c r="Z754" s="409">
        <v>0.5</v>
      </c>
      <c r="AA754" s="423">
        <f t="shared" si="161"/>
        <v>3328000</v>
      </c>
      <c r="AB754" s="423"/>
      <c r="AC754" s="394">
        <v>0</v>
      </c>
      <c r="AD754" s="421"/>
      <c r="AE754" s="387"/>
      <c r="AF754" s="462">
        <f>AA754+AE754</f>
        <v>3328000</v>
      </c>
      <c r="AG754" s="405" t="s">
        <v>47</v>
      </c>
      <c r="AH754" s="388"/>
      <c r="AI754" s="405">
        <v>30</v>
      </c>
      <c r="AJ754" s="415" t="s">
        <v>1080</v>
      </c>
      <c r="AK754" s="405" t="s">
        <v>1081</v>
      </c>
      <c r="AL754" s="414" t="s">
        <v>2343</v>
      </c>
      <c r="AM754" s="405" t="s">
        <v>52</v>
      </c>
      <c r="AN754" s="405" t="s">
        <v>1071</v>
      </c>
      <c r="AO754" s="405"/>
      <c r="AP754" s="417"/>
      <c r="AQ754" s="389" t="s">
        <v>37</v>
      </c>
      <c r="AR754" s="389" t="s">
        <v>2352</v>
      </c>
      <c r="AS754" s="404" t="s">
        <v>1084</v>
      </c>
      <c r="AT754" s="404" t="s">
        <v>1073</v>
      </c>
      <c r="AU754" s="409">
        <v>0.5</v>
      </c>
      <c r="AV754" s="402"/>
      <c r="AW754" s="402"/>
      <c r="AX754" s="402"/>
      <c r="AY754" s="402"/>
      <c r="AZ754" s="402"/>
      <c r="BA754" s="402"/>
      <c r="BB754" s="402"/>
      <c r="BC754" s="402"/>
    </row>
    <row r="755" spans="1:55">
      <c r="A755" s="403"/>
      <c r="B755" s="397">
        <v>44655</v>
      </c>
      <c r="C755" s="397">
        <v>44655</v>
      </c>
      <c r="D755" s="405" t="s">
        <v>2330</v>
      </c>
      <c r="E755" s="393" t="s">
        <v>2367</v>
      </c>
      <c r="F755" s="405" t="s">
        <v>1139</v>
      </c>
      <c r="G755" s="405">
        <v>2022</v>
      </c>
      <c r="H755" s="405">
        <v>10</v>
      </c>
      <c r="I755" s="405"/>
      <c r="J755" s="456"/>
      <c r="K755" s="405" t="s">
        <v>2471</v>
      </c>
      <c r="L755" s="405" t="s">
        <v>2464</v>
      </c>
      <c r="M755" s="406">
        <v>44650</v>
      </c>
      <c r="N755" s="406">
        <v>44835</v>
      </c>
      <c r="O755" s="406"/>
      <c r="P755" s="406"/>
      <c r="Q755" s="406"/>
      <c r="R755" s="406"/>
      <c r="S755" s="405" t="s">
        <v>2332</v>
      </c>
      <c r="T755" s="405">
        <v>60</v>
      </c>
      <c r="U755" s="405" t="s">
        <v>1559</v>
      </c>
      <c r="V755" s="405" t="s">
        <v>973</v>
      </c>
      <c r="W755" s="405">
        <v>400</v>
      </c>
      <c r="X755" s="407">
        <v>16640</v>
      </c>
      <c r="Y755" s="422">
        <f>W755*X755</f>
        <v>6656000</v>
      </c>
      <c r="Z755" s="409">
        <v>0.5</v>
      </c>
      <c r="AA755" s="423">
        <f t="shared" ref="AA755:AA792" si="175">Z755*Y755</f>
        <v>3328000</v>
      </c>
      <c r="AB755" s="423"/>
      <c r="AC755" s="394">
        <v>0</v>
      </c>
      <c r="AD755" s="421"/>
      <c r="AE755" s="413"/>
      <c r="AF755" s="462">
        <f>AA755+AE755</f>
        <v>3328000</v>
      </c>
      <c r="AG755" s="405" t="s">
        <v>47</v>
      </c>
      <c r="AH755" s="405"/>
      <c r="AI755" s="405">
        <v>30</v>
      </c>
      <c r="AJ755" s="415" t="s">
        <v>1080</v>
      </c>
      <c r="AK755" s="405" t="s">
        <v>1081</v>
      </c>
      <c r="AL755" s="414" t="s">
        <v>2343</v>
      </c>
      <c r="AM755" s="405" t="s">
        <v>52</v>
      </c>
      <c r="AN755" s="405" t="s">
        <v>1071</v>
      </c>
      <c r="AO755" s="405"/>
      <c r="AP755" s="413"/>
      <c r="AQ755" s="413" t="s">
        <v>37</v>
      </c>
      <c r="AR755" s="413" t="s">
        <v>2395</v>
      </c>
      <c r="AS755" s="386" t="s">
        <v>1073</v>
      </c>
      <c r="AT755" s="386" t="s">
        <v>1073</v>
      </c>
      <c r="AU755" s="409">
        <v>0.73</v>
      </c>
      <c r="AV755" s="402" t="str">
        <f>U755</f>
        <v>30390156H</v>
      </c>
      <c r="AW755" s="402" cm="1">
        <f t="array" ref="AW755">SUM(MID(0&amp;AV755,LARGE(INDEX(ISNUMBER(--MID(AV755,ROW($1:$8),1))*ROW($1:$8),),ROW($1:$8))+1,1)*10^ROW($1:$8)/10)</f>
        <v>30390156</v>
      </c>
      <c r="AX755" s="402" t="str">
        <f>VLOOKUP($AW755,'Item Master Data'!$A:$F,3,FALSE)</f>
        <v>Q.PEAK DUO BLK ML G10+</v>
      </c>
      <c r="AY755" s="402">
        <f>VLOOKUP($AW755,'Item Master Data'!$A:$F,6,FALSE)</f>
        <v>400</v>
      </c>
      <c r="AZ755" s="402">
        <f>X755/BA755</f>
        <v>520</v>
      </c>
      <c r="BA755" s="402">
        <f>VLOOKUP(AW755,'Item Master Data'!$A:$G,7,FALSE)</f>
        <v>32</v>
      </c>
      <c r="BB755" s="402"/>
      <c r="BC755" s="402">
        <f>W755-AY755</f>
        <v>0</v>
      </c>
    </row>
    <row r="756" spans="1:55">
      <c r="A756" s="403"/>
      <c r="B756" s="397">
        <v>44649</v>
      </c>
      <c r="C756" s="397">
        <v>44649</v>
      </c>
      <c r="D756" s="405" t="s">
        <v>2330</v>
      </c>
      <c r="E756" s="393" t="s">
        <v>2367</v>
      </c>
      <c r="F756" s="401" t="s">
        <v>1139</v>
      </c>
      <c r="G756" s="405">
        <v>2022</v>
      </c>
      <c r="H756" s="405">
        <v>11</v>
      </c>
      <c r="I756" s="405"/>
      <c r="J756" s="406"/>
      <c r="K756" s="405" t="s">
        <v>2386</v>
      </c>
      <c r="L756" s="405" t="s">
        <v>2348</v>
      </c>
      <c r="M756" s="406">
        <v>44637</v>
      </c>
      <c r="N756" s="406">
        <v>44866</v>
      </c>
      <c r="O756" s="406"/>
      <c r="P756" s="406"/>
      <c r="Q756" s="406"/>
      <c r="R756" s="406"/>
      <c r="S756" s="405" t="s">
        <v>2332</v>
      </c>
      <c r="T756" s="405">
        <v>60</v>
      </c>
      <c r="U756" s="405">
        <v>49405140</v>
      </c>
      <c r="V756" s="405" t="s">
        <v>973</v>
      </c>
      <c r="W756" s="405">
        <v>400</v>
      </c>
      <c r="X756" s="382">
        <v>3328</v>
      </c>
      <c r="Y756" s="422">
        <f>W756*X756</f>
        <v>1331200</v>
      </c>
      <c r="Z756" s="409">
        <v>0.55000000000000004</v>
      </c>
      <c r="AA756" s="423">
        <f t="shared" si="175"/>
        <v>732160.00000000012</v>
      </c>
      <c r="AB756" s="423"/>
      <c r="AC756" s="394">
        <v>0</v>
      </c>
      <c r="AD756" s="421"/>
      <c r="AE756" s="387"/>
      <c r="AF756" s="462">
        <f>AA756+AE756</f>
        <v>732160.00000000012</v>
      </c>
      <c r="AG756" s="405" t="s">
        <v>1069</v>
      </c>
      <c r="AH756" s="388"/>
      <c r="AI756" s="405">
        <v>60</v>
      </c>
      <c r="AJ756" s="415" t="s">
        <v>1881</v>
      </c>
      <c r="AK756" s="405" t="s">
        <v>1081</v>
      </c>
      <c r="AL756" s="414" t="s">
        <v>2349</v>
      </c>
      <c r="AM756" s="405" t="s">
        <v>52</v>
      </c>
      <c r="AN756" s="405" t="s">
        <v>1071</v>
      </c>
      <c r="AO756" s="405"/>
      <c r="AP756" s="417"/>
      <c r="AQ756" s="389" t="s">
        <v>37</v>
      </c>
      <c r="AR756" s="389" t="s">
        <v>2352</v>
      </c>
      <c r="AS756" s="404" t="s">
        <v>1084</v>
      </c>
      <c r="AT756" s="404" t="s">
        <v>1073</v>
      </c>
      <c r="AU756" s="409">
        <v>0.73</v>
      </c>
      <c r="AV756" s="402">
        <f>U756</f>
        <v>49405140</v>
      </c>
      <c r="AW756" s="402" cm="1">
        <f t="array" ref="AW756">SUM(MID(0&amp;AV756,LARGE(INDEX(ISNUMBER(--MID(AV756,ROW($1:$8),1))*ROW($1:$8),),ROW($1:$8))+1,1)*10^ROW($1:$8)/10)</f>
        <v>49405140</v>
      </c>
      <c r="AX756" s="402" t="str">
        <f>VLOOKUP($AW756,'Item Master Data'!$A:$F,3,FALSE)</f>
        <v>Q.PEAK DUO BLK ML G10+</v>
      </c>
      <c r="AY756" s="402">
        <f>VLOOKUP($AW756,'Item Master Data'!$A:$F,6,FALSE)</f>
        <v>400</v>
      </c>
      <c r="AZ756" s="402">
        <f>X756/BA756</f>
        <v>104</v>
      </c>
      <c r="BA756" s="402">
        <f>VLOOKUP(AW756,'Item Master Data'!$A:$G,7,FALSE)</f>
        <v>32</v>
      </c>
      <c r="BB756" s="402"/>
      <c r="BC756" s="402">
        <f>W756-AY756</f>
        <v>0</v>
      </c>
    </row>
    <row r="757" spans="1:55">
      <c r="A757" s="403"/>
      <c r="B757" s="397">
        <v>44657</v>
      </c>
      <c r="C757" s="397">
        <v>44657</v>
      </c>
      <c r="D757" s="405" t="s">
        <v>2330</v>
      </c>
      <c r="E757" s="393" t="s">
        <v>2367</v>
      </c>
      <c r="F757" s="401" t="s">
        <v>1139</v>
      </c>
      <c r="G757" s="405">
        <v>2022</v>
      </c>
      <c r="H757" s="405">
        <v>11</v>
      </c>
      <c r="I757" s="405"/>
      <c r="J757" s="406"/>
      <c r="K757" s="405" t="s">
        <v>2404</v>
      </c>
      <c r="L757" s="405" t="s">
        <v>2348</v>
      </c>
      <c r="M757" s="406">
        <v>44656</v>
      </c>
      <c r="N757" s="406">
        <v>44866</v>
      </c>
      <c r="O757" s="406"/>
      <c r="P757" s="406"/>
      <c r="Q757" s="406"/>
      <c r="R757" s="406"/>
      <c r="S757" s="405" t="s">
        <v>2332</v>
      </c>
      <c r="T757" s="405">
        <v>60</v>
      </c>
      <c r="U757" s="405">
        <v>49405140</v>
      </c>
      <c r="V757" s="405" t="s">
        <v>973</v>
      </c>
      <c r="W757" s="405">
        <v>400</v>
      </c>
      <c r="X757" s="382">
        <v>6656</v>
      </c>
      <c r="Y757" s="422">
        <f>X757*W757</f>
        <v>2662400</v>
      </c>
      <c r="Z757" s="409">
        <v>0.55000000000000004</v>
      </c>
      <c r="AA757" s="423">
        <f t="shared" si="175"/>
        <v>1464320.0000000002</v>
      </c>
      <c r="AB757" s="423"/>
      <c r="AC757" s="394">
        <v>0</v>
      </c>
      <c r="AD757" s="421"/>
      <c r="AE757" s="387"/>
      <c r="AF757" s="462">
        <v>1464320.0000000002</v>
      </c>
      <c r="AG757" s="405" t="s">
        <v>1069</v>
      </c>
      <c r="AH757" s="388"/>
      <c r="AI757" s="405">
        <v>60</v>
      </c>
      <c r="AJ757" s="415" t="s">
        <v>1881</v>
      </c>
      <c r="AK757" s="405" t="s">
        <v>1081</v>
      </c>
      <c r="AL757" s="414" t="s">
        <v>2349</v>
      </c>
      <c r="AM757" s="405" t="s">
        <v>52</v>
      </c>
      <c r="AN757" s="405" t="s">
        <v>1071</v>
      </c>
      <c r="AO757" s="405"/>
      <c r="AP757" s="417"/>
      <c r="AQ757" s="389" t="s">
        <v>37</v>
      </c>
      <c r="AR757" s="389" t="s">
        <v>2352</v>
      </c>
      <c r="AS757" s="404" t="s">
        <v>1084</v>
      </c>
      <c r="AT757" s="404" t="s">
        <v>1073</v>
      </c>
      <c r="AU757" s="409">
        <v>0.73</v>
      </c>
      <c r="AV757" s="402"/>
      <c r="AW757" s="402"/>
      <c r="AX757" s="402"/>
      <c r="AY757" s="402"/>
      <c r="AZ757" s="402"/>
      <c r="BA757" s="402"/>
      <c r="BB757" s="402"/>
      <c r="BC757" s="402"/>
    </row>
    <row r="758" spans="1:55">
      <c r="A758" s="403"/>
      <c r="B758" s="397">
        <v>44690</v>
      </c>
      <c r="C758" s="397">
        <v>44690</v>
      </c>
      <c r="D758" s="405" t="s">
        <v>2330</v>
      </c>
      <c r="E758" s="393" t="s">
        <v>2367</v>
      </c>
      <c r="F758" s="405" t="s">
        <v>1139</v>
      </c>
      <c r="G758" s="405">
        <v>2022</v>
      </c>
      <c r="H758" s="405">
        <v>11</v>
      </c>
      <c r="I758" s="405"/>
      <c r="J758" s="456"/>
      <c r="K758" s="405" t="s">
        <v>4725</v>
      </c>
      <c r="L758" s="405" t="s">
        <v>2348</v>
      </c>
      <c r="M758" s="406">
        <v>44690</v>
      </c>
      <c r="N758" s="406">
        <v>44866</v>
      </c>
      <c r="O758" s="406"/>
      <c r="P758" s="406"/>
      <c r="Q758" s="406"/>
      <c r="R758" s="406"/>
      <c r="S758" s="405" t="s">
        <v>2332</v>
      </c>
      <c r="T758" s="405">
        <v>60</v>
      </c>
      <c r="U758" s="405">
        <v>49203132</v>
      </c>
      <c r="V758" s="405" t="s">
        <v>1557</v>
      </c>
      <c r="W758" s="405">
        <v>360</v>
      </c>
      <c r="X758" s="407">
        <v>7488</v>
      </c>
      <c r="Y758" s="408">
        <f>W758*X758</f>
        <v>2695680</v>
      </c>
      <c r="Z758" s="409">
        <v>0.62</v>
      </c>
      <c r="AA758" s="410">
        <f t="shared" si="175"/>
        <v>1671321.6000000001</v>
      </c>
      <c r="AB758" s="410"/>
      <c r="AC758" s="394">
        <v>0</v>
      </c>
      <c r="AD758" s="421"/>
      <c r="AE758" s="413"/>
      <c r="AF758" s="462">
        <f>AA758+AE758</f>
        <v>1671321.6000000001</v>
      </c>
      <c r="AG758" s="405" t="s">
        <v>1069</v>
      </c>
      <c r="AH758" s="405"/>
      <c r="AI758" s="405">
        <v>60</v>
      </c>
      <c r="AJ758" s="415" t="s">
        <v>1881</v>
      </c>
      <c r="AK758" s="405" t="s">
        <v>1081</v>
      </c>
      <c r="AL758" s="414" t="s">
        <v>2349</v>
      </c>
      <c r="AM758" s="405" t="s">
        <v>52</v>
      </c>
      <c r="AN758" s="405" t="s">
        <v>1071</v>
      </c>
      <c r="AO758" s="405"/>
      <c r="AP758" s="413"/>
      <c r="AQ758" s="413" t="s">
        <v>37</v>
      </c>
      <c r="AR758" s="413" t="s">
        <v>2352</v>
      </c>
      <c r="AS758" s="403" t="s">
        <v>1072</v>
      </c>
      <c r="AT758" s="386" t="s">
        <v>1084</v>
      </c>
      <c r="AU758" s="386" t="s">
        <v>1073</v>
      </c>
      <c r="AV758" s="402"/>
      <c r="AW758" s="402"/>
      <c r="AX758" s="402"/>
      <c r="AY758" s="402"/>
      <c r="AZ758" s="402"/>
      <c r="BA758" s="402"/>
      <c r="BB758" s="402"/>
      <c r="BC758" s="402"/>
    </row>
    <row r="759" spans="1:55">
      <c r="A759" s="403"/>
      <c r="B759" s="397">
        <v>44607</v>
      </c>
      <c r="C759" s="397">
        <v>44631</v>
      </c>
      <c r="D759" s="405" t="s">
        <v>2330</v>
      </c>
      <c r="E759" s="405" t="s">
        <v>2367</v>
      </c>
      <c r="F759" s="405" t="s">
        <v>1139</v>
      </c>
      <c r="G759" s="405">
        <v>2022</v>
      </c>
      <c r="H759" s="405">
        <v>11</v>
      </c>
      <c r="I759" s="405"/>
      <c r="J759" s="406"/>
      <c r="K759" s="405" t="s">
        <v>2474</v>
      </c>
      <c r="L759" s="405" t="s">
        <v>2464</v>
      </c>
      <c r="M759" s="406">
        <v>44607</v>
      </c>
      <c r="N759" s="406">
        <v>44835</v>
      </c>
      <c r="O759" s="406" t="s">
        <v>1932</v>
      </c>
      <c r="P759" s="406"/>
      <c r="Q759" s="406"/>
      <c r="R759" s="406"/>
      <c r="S759" s="405" t="s">
        <v>2332</v>
      </c>
      <c r="T759" s="405">
        <v>60</v>
      </c>
      <c r="U759" s="405" t="s">
        <v>1559</v>
      </c>
      <c r="V759" s="405" t="s">
        <v>973</v>
      </c>
      <c r="W759" s="405">
        <v>400</v>
      </c>
      <c r="X759" s="382">
        <v>11648</v>
      </c>
      <c r="Y759" s="422">
        <f>X759*W759</f>
        <v>4659200</v>
      </c>
      <c r="Z759" s="409">
        <v>0.5</v>
      </c>
      <c r="AA759" s="423">
        <f t="shared" si="175"/>
        <v>2329600</v>
      </c>
      <c r="AB759" s="423"/>
      <c r="AC759" s="394">
        <v>0</v>
      </c>
      <c r="AD759" s="421"/>
      <c r="AE759" s="387"/>
      <c r="AF759" s="462">
        <f>AA759+AE759</f>
        <v>2329600</v>
      </c>
      <c r="AG759" s="405" t="s">
        <v>47</v>
      </c>
      <c r="AH759" s="388"/>
      <c r="AI759" s="405">
        <v>30</v>
      </c>
      <c r="AJ759" s="415" t="s">
        <v>1080</v>
      </c>
      <c r="AK759" s="405" t="s">
        <v>1081</v>
      </c>
      <c r="AL759" s="414" t="s">
        <v>2343</v>
      </c>
      <c r="AM759" s="405" t="s">
        <v>52</v>
      </c>
      <c r="AN759" s="405" t="s">
        <v>1071</v>
      </c>
      <c r="AO759" s="405"/>
      <c r="AP759" s="417"/>
      <c r="AQ759" s="389" t="s">
        <v>37</v>
      </c>
      <c r="AR759" s="389" t="s">
        <v>2352</v>
      </c>
      <c r="AS759" s="404" t="s">
        <v>1084</v>
      </c>
      <c r="AT759" s="404" t="s">
        <v>1073</v>
      </c>
      <c r="AU759" s="409">
        <v>0.5</v>
      </c>
      <c r="AV759" s="402" t="str">
        <f>U759</f>
        <v>30390156H</v>
      </c>
      <c r="AW759" s="402" cm="1">
        <f t="array" ref="AW759">SUM(MID(0&amp;AV759,LARGE(INDEX(ISNUMBER(--MID(AV759,ROW($1:$8),1))*ROW($1:$8),),ROW($1:$8))+1,1)*10^ROW($1:$8)/10)</f>
        <v>30390156</v>
      </c>
      <c r="AX759" s="402" t="str">
        <f>VLOOKUP($AW759,'Item Master Data'!$A:$F,3,FALSE)</f>
        <v>Q.PEAK DUO BLK ML G10+</v>
      </c>
      <c r="AY759" s="402">
        <f>VLOOKUP($AW759,'Item Master Data'!$A:$F,6,FALSE)</f>
        <v>400</v>
      </c>
      <c r="AZ759" s="402">
        <f>X759/BA759</f>
        <v>364</v>
      </c>
      <c r="BA759" s="402">
        <f>VLOOKUP(AW759,'Item Master Data'!$A:$G,7,FALSE)</f>
        <v>32</v>
      </c>
      <c r="BB759" s="402"/>
      <c r="BC759" s="402">
        <f>W759-AY759</f>
        <v>0</v>
      </c>
    </row>
    <row r="760" spans="1:55">
      <c r="A760" s="403"/>
      <c r="B760" s="397">
        <v>44655</v>
      </c>
      <c r="C760" s="397">
        <v>44655</v>
      </c>
      <c r="D760" s="405" t="s">
        <v>2330</v>
      </c>
      <c r="E760" s="393" t="s">
        <v>2367</v>
      </c>
      <c r="F760" s="405" t="s">
        <v>1139</v>
      </c>
      <c r="G760" s="405">
        <v>2022</v>
      </c>
      <c r="H760" s="405">
        <v>11</v>
      </c>
      <c r="I760" s="405"/>
      <c r="J760" s="456"/>
      <c r="K760" s="405" t="s">
        <v>2473</v>
      </c>
      <c r="L760" s="405" t="s">
        <v>2464</v>
      </c>
      <c r="M760" s="406">
        <v>44650</v>
      </c>
      <c r="N760" s="406">
        <v>44866</v>
      </c>
      <c r="O760" s="406"/>
      <c r="P760" s="406"/>
      <c r="Q760" s="406"/>
      <c r="R760" s="406"/>
      <c r="S760" s="405" t="s">
        <v>2332</v>
      </c>
      <c r="T760" s="405">
        <v>60</v>
      </c>
      <c r="U760" s="405" t="s">
        <v>1559</v>
      </c>
      <c r="V760" s="405" t="s">
        <v>973</v>
      </c>
      <c r="W760" s="405">
        <v>400</v>
      </c>
      <c r="X760" s="407">
        <v>16640</v>
      </c>
      <c r="Y760" s="422">
        <f>W760*X760</f>
        <v>6656000</v>
      </c>
      <c r="Z760" s="409">
        <v>0.5</v>
      </c>
      <c r="AA760" s="423">
        <f t="shared" si="175"/>
        <v>3328000</v>
      </c>
      <c r="AB760" s="423"/>
      <c r="AC760" s="394">
        <v>0</v>
      </c>
      <c r="AD760" s="421"/>
      <c r="AE760" s="413"/>
      <c r="AF760" s="462">
        <f>AA760+AE760</f>
        <v>3328000</v>
      </c>
      <c r="AG760" s="405" t="s">
        <v>47</v>
      </c>
      <c r="AH760" s="405"/>
      <c r="AI760" s="405">
        <v>30</v>
      </c>
      <c r="AJ760" s="415" t="s">
        <v>1080</v>
      </c>
      <c r="AK760" s="405" t="s">
        <v>1081</v>
      </c>
      <c r="AL760" s="414" t="s">
        <v>2343</v>
      </c>
      <c r="AM760" s="405" t="s">
        <v>52</v>
      </c>
      <c r="AN760" s="405" t="s">
        <v>1071</v>
      </c>
      <c r="AO760" s="405"/>
      <c r="AP760" s="413"/>
      <c r="AQ760" s="413" t="s">
        <v>37</v>
      </c>
      <c r="AR760" s="413" t="s">
        <v>2395</v>
      </c>
      <c r="AS760" s="386" t="s">
        <v>1073</v>
      </c>
      <c r="AT760" s="386" t="s">
        <v>1073</v>
      </c>
      <c r="AU760" s="409">
        <v>0.73</v>
      </c>
      <c r="AV760" s="402" t="str">
        <f>U760</f>
        <v>30390156H</v>
      </c>
      <c r="AW760" s="402" cm="1">
        <f t="array" ref="AW760">SUM(MID(0&amp;AV760,LARGE(INDEX(ISNUMBER(--MID(AV760,ROW($1:$8),1))*ROW($1:$8),),ROW($1:$8))+1,1)*10^ROW($1:$8)/10)</f>
        <v>30390156</v>
      </c>
      <c r="AX760" s="402" t="str">
        <f>VLOOKUP($AW760,'Item Master Data'!$A:$F,3,FALSE)</f>
        <v>Q.PEAK DUO BLK ML G10+</v>
      </c>
      <c r="AY760" s="402">
        <f>VLOOKUP($AW760,'Item Master Data'!$A:$F,6,FALSE)</f>
        <v>400</v>
      </c>
      <c r="AZ760" s="402">
        <f>X760/BA760</f>
        <v>520</v>
      </c>
      <c r="BA760" s="402">
        <f>VLOOKUP(AW760,'Item Master Data'!$A:$G,7,FALSE)</f>
        <v>32</v>
      </c>
      <c r="BB760" s="402"/>
      <c r="BC760" s="402">
        <f>W760-AY760</f>
        <v>0</v>
      </c>
    </row>
    <row r="761" spans="1:55">
      <c r="A761" s="403"/>
      <c r="B761" s="397">
        <v>44649</v>
      </c>
      <c r="C761" s="397">
        <v>44649</v>
      </c>
      <c r="D761" s="405" t="s">
        <v>2330</v>
      </c>
      <c r="E761" s="393" t="s">
        <v>2367</v>
      </c>
      <c r="F761" s="401" t="s">
        <v>1139</v>
      </c>
      <c r="G761" s="405">
        <v>2022</v>
      </c>
      <c r="H761" s="405">
        <v>12</v>
      </c>
      <c r="I761" s="405"/>
      <c r="J761" s="406"/>
      <c r="K761" s="405" t="s">
        <v>2407</v>
      </c>
      <c r="L761" s="405" t="s">
        <v>2348</v>
      </c>
      <c r="M761" s="406">
        <v>44637</v>
      </c>
      <c r="N761" s="406">
        <v>44896</v>
      </c>
      <c r="O761" s="406"/>
      <c r="P761" s="406"/>
      <c r="Q761" s="406"/>
      <c r="R761" s="406"/>
      <c r="S761" s="405" t="s">
        <v>2332</v>
      </c>
      <c r="T761" s="405">
        <v>60</v>
      </c>
      <c r="U761" s="405">
        <v>49405140</v>
      </c>
      <c r="V761" s="405" t="s">
        <v>973</v>
      </c>
      <c r="W761" s="405">
        <v>400</v>
      </c>
      <c r="X761" s="382">
        <v>3328</v>
      </c>
      <c r="Y761" s="422">
        <f>W761*X761</f>
        <v>1331200</v>
      </c>
      <c r="Z761" s="409">
        <v>0.55000000000000004</v>
      </c>
      <c r="AA761" s="423">
        <f t="shared" si="175"/>
        <v>732160.00000000012</v>
      </c>
      <c r="AB761" s="423"/>
      <c r="AC761" s="394">
        <v>0</v>
      </c>
      <c r="AD761" s="421"/>
      <c r="AE761" s="387"/>
      <c r="AF761" s="462">
        <f>AA761+AE761</f>
        <v>732160.00000000012</v>
      </c>
      <c r="AG761" s="405" t="s">
        <v>1069</v>
      </c>
      <c r="AH761" s="388"/>
      <c r="AI761" s="405">
        <v>60</v>
      </c>
      <c r="AJ761" s="415" t="s">
        <v>1881</v>
      </c>
      <c r="AK761" s="405" t="s">
        <v>1081</v>
      </c>
      <c r="AL761" s="414" t="s">
        <v>2349</v>
      </c>
      <c r="AM761" s="405" t="s">
        <v>52</v>
      </c>
      <c r="AN761" s="405" t="s">
        <v>1071</v>
      </c>
      <c r="AO761" s="405"/>
      <c r="AP761" s="417"/>
      <c r="AQ761" s="389" t="s">
        <v>37</v>
      </c>
      <c r="AR761" s="389" t="s">
        <v>2352</v>
      </c>
      <c r="AS761" s="404" t="s">
        <v>1084</v>
      </c>
      <c r="AT761" s="404" t="s">
        <v>1073</v>
      </c>
      <c r="AU761" s="409">
        <v>0.73</v>
      </c>
      <c r="AV761" s="402"/>
      <c r="AW761" s="402"/>
      <c r="AX761" s="402"/>
      <c r="AY761" s="402"/>
      <c r="AZ761" s="402"/>
      <c r="BA761" s="402"/>
      <c r="BB761" s="402"/>
      <c r="BC761" s="402"/>
    </row>
    <row r="762" spans="1:55">
      <c r="A762" s="403"/>
      <c r="B762" s="397">
        <v>44657</v>
      </c>
      <c r="C762" s="397">
        <v>44657</v>
      </c>
      <c r="D762" s="405" t="s">
        <v>2330</v>
      </c>
      <c r="E762" s="393" t="s">
        <v>2367</v>
      </c>
      <c r="F762" s="401" t="s">
        <v>1139</v>
      </c>
      <c r="G762" s="405">
        <v>2022</v>
      </c>
      <c r="H762" s="405">
        <v>12</v>
      </c>
      <c r="I762" s="405"/>
      <c r="J762" s="406"/>
      <c r="K762" s="405" t="s">
        <v>2462</v>
      </c>
      <c r="L762" s="405" t="s">
        <v>2348</v>
      </c>
      <c r="M762" s="406">
        <v>44656</v>
      </c>
      <c r="N762" s="406">
        <v>44896</v>
      </c>
      <c r="O762" s="406"/>
      <c r="P762" s="406"/>
      <c r="Q762" s="406"/>
      <c r="R762" s="406"/>
      <c r="S762" s="405" t="s">
        <v>2332</v>
      </c>
      <c r="T762" s="405">
        <v>60</v>
      </c>
      <c r="U762" s="405">
        <v>49405140</v>
      </c>
      <c r="V762" s="405" t="s">
        <v>973</v>
      </c>
      <c r="W762" s="405">
        <v>400</v>
      </c>
      <c r="X762" s="382">
        <v>6656</v>
      </c>
      <c r="Y762" s="422">
        <f>X762*W762</f>
        <v>2662400</v>
      </c>
      <c r="Z762" s="409">
        <v>0.55000000000000004</v>
      </c>
      <c r="AA762" s="423">
        <f t="shared" si="175"/>
        <v>1464320.0000000002</v>
      </c>
      <c r="AB762" s="423"/>
      <c r="AC762" s="394">
        <v>0</v>
      </c>
      <c r="AD762" s="421"/>
      <c r="AE762" s="387"/>
      <c r="AF762" s="462">
        <v>1464320.0000000002</v>
      </c>
      <c r="AG762" s="405" t="s">
        <v>1069</v>
      </c>
      <c r="AH762" s="388"/>
      <c r="AI762" s="405">
        <v>60</v>
      </c>
      <c r="AJ762" s="415" t="s">
        <v>1881</v>
      </c>
      <c r="AK762" s="405" t="s">
        <v>1081</v>
      </c>
      <c r="AL762" s="414" t="s">
        <v>2349</v>
      </c>
      <c r="AM762" s="405" t="s">
        <v>52</v>
      </c>
      <c r="AN762" s="405" t="s">
        <v>1071</v>
      </c>
      <c r="AO762" s="405"/>
      <c r="AP762" s="417"/>
      <c r="AQ762" s="389" t="s">
        <v>37</v>
      </c>
      <c r="AR762" s="389" t="s">
        <v>2352</v>
      </c>
      <c r="AS762" s="404" t="s">
        <v>1084</v>
      </c>
      <c r="AT762" s="404" t="s">
        <v>1073</v>
      </c>
      <c r="AU762" s="409">
        <v>0.73</v>
      </c>
      <c r="AV762" s="402">
        <f t="shared" ref="AV762:AV768" si="176">U762</f>
        <v>49405140</v>
      </c>
      <c r="AW762" s="402" cm="1">
        <f t="array" ref="AW762">SUM(MID(0&amp;AV762,LARGE(INDEX(ISNUMBER(--MID(AV762,ROW($1:$8),1))*ROW($1:$8),),ROW($1:$8))+1,1)*10^ROW($1:$8)/10)</f>
        <v>49405140</v>
      </c>
      <c r="AX762" s="402" t="str">
        <f>VLOOKUP($AW762,'Item Master Data'!$A:$F,3,FALSE)</f>
        <v>Q.PEAK DUO BLK ML G10+</v>
      </c>
      <c r="AY762" s="402">
        <f>VLOOKUP($AW762,'Item Master Data'!$A:$F,6,FALSE)</f>
        <v>400</v>
      </c>
      <c r="AZ762" s="402">
        <f t="shared" ref="AZ762:AZ768" si="177">X762/BA762</f>
        <v>208</v>
      </c>
      <c r="BA762" s="402">
        <f>VLOOKUP(AW762,'Item Master Data'!$A:$G,7,FALSE)</f>
        <v>32</v>
      </c>
      <c r="BB762" s="402"/>
      <c r="BC762" s="402">
        <f t="shared" ref="BC762:BC768" si="178">W762-AY762</f>
        <v>0</v>
      </c>
    </row>
    <row r="763" spans="1:55">
      <c r="A763" s="403"/>
      <c r="B763" s="397">
        <v>44690</v>
      </c>
      <c r="C763" s="397">
        <v>44690</v>
      </c>
      <c r="D763" s="405" t="s">
        <v>2330</v>
      </c>
      <c r="E763" s="393" t="s">
        <v>2367</v>
      </c>
      <c r="F763" s="405" t="s">
        <v>1139</v>
      </c>
      <c r="G763" s="405">
        <v>2022</v>
      </c>
      <c r="H763" s="405">
        <v>12</v>
      </c>
      <c r="I763" s="405"/>
      <c r="J763" s="456"/>
      <c r="K763" s="405" t="s">
        <v>4726</v>
      </c>
      <c r="L763" s="405" t="s">
        <v>2348</v>
      </c>
      <c r="M763" s="406">
        <v>44690</v>
      </c>
      <c r="N763" s="406">
        <v>44896</v>
      </c>
      <c r="O763" s="406"/>
      <c r="P763" s="406"/>
      <c r="Q763" s="406"/>
      <c r="R763" s="406"/>
      <c r="S763" s="405" t="s">
        <v>2332</v>
      </c>
      <c r="T763" s="405">
        <v>60</v>
      </c>
      <c r="U763" s="405">
        <v>49203132</v>
      </c>
      <c r="V763" s="405" t="s">
        <v>1557</v>
      </c>
      <c r="W763" s="405">
        <v>360</v>
      </c>
      <c r="X763" s="407">
        <v>8320</v>
      </c>
      <c r="Y763" s="408">
        <f>W763*X763</f>
        <v>2995200</v>
      </c>
      <c r="Z763" s="409">
        <v>0.62</v>
      </c>
      <c r="AA763" s="410">
        <f t="shared" si="175"/>
        <v>1857024</v>
      </c>
      <c r="AB763" s="410"/>
      <c r="AC763" s="394">
        <v>0</v>
      </c>
      <c r="AD763" s="421"/>
      <c r="AE763" s="413"/>
      <c r="AF763" s="462">
        <f>AA763+AE763</f>
        <v>1857024</v>
      </c>
      <c r="AG763" s="405" t="s">
        <v>1069</v>
      </c>
      <c r="AH763" s="405"/>
      <c r="AI763" s="405">
        <v>60</v>
      </c>
      <c r="AJ763" s="415" t="s">
        <v>1881</v>
      </c>
      <c r="AK763" s="405" t="s">
        <v>1081</v>
      </c>
      <c r="AL763" s="414" t="s">
        <v>2349</v>
      </c>
      <c r="AM763" s="405" t="s">
        <v>52</v>
      </c>
      <c r="AN763" s="405" t="s">
        <v>1071</v>
      </c>
      <c r="AO763" s="405"/>
      <c r="AP763" s="413"/>
      <c r="AQ763" s="413" t="s">
        <v>37</v>
      </c>
      <c r="AR763" s="413" t="s">
        <v>2352</v>
      </c>
      <c r="AS763" s="403" t="s">
        <v>1072</v>
      </c>
      <c r="AT763" s="386" t="s">
        <v>1084</v>
      </c>
      <c r="AU763" s="386" t="s">
        <v>1073</v>
      </c>
      <c r="AV763" s="402">
        <f t="shared" si="176"/>
        <v>49203132</v>
      </c>
      <c r="AW763" s="402" cm="1">
        <f t="array" ref="AW763">SUM(MID(0&amp;AV763,LARGE(INDEX(ISNUMBER(--MID(AV763,ROW($1:$8),1))*ROW($1:$8),),ROW($1:$8))+1,1)*10^ROW($1:$8)/10)</f>
        <v>49203132</v>
      </c>
      <c r="AX763" s="402" t="str">
        <f>VLOOKUP($AW763,'Item Master Data'!$A:$F,3,FALSE)</f>
        <v>Q.PEAK DUO BLK G10+</v>
      </c>
      <c r="AY763" s="402">
        <f>VLOOKUP($AW763,'Item Master Data'!$A:$F,6,FALSE)</f>
        <v>360</v>
      </c>
      <c r="AZ763" s="402">
        <f t="shared" si="177"/>
        <v>260</v>
      </c>
      <c r="BA763" s="402">
        <f>VLOOKUP(AW763,'Item Master Data'!$A:$G,7,FALSE)</f>
        <v>32</v>
      </c>
      <c r="BB763" s="402"/>
      <c r="BC763" s="402">
        <f t="shared" si="178"/>
        <v>0</v>
      </c>
    </row>
    <row r="764" spans="1:55">
      <c r="A764" s="403"/>
      <c r="B764" s="397">
        <v>44607</v>
      </c>
      <c r="C764" s="397">
        <v>44631</v>
      </c>
      <c r="D764" s="405" t="s">
        <v>2330</v>
      </c>
      <c r="E764" s="405" t="s">
        <v>2367</v>
      </c>
      <c r="F764" s="405" t="s">
        <v>1139</v>
      </c>
      <c r="G764" s="405">
        <v>2022</v>
      </c>
      <c r="H764" s="405">
        <v>12</v>
      </c>
      <c r="I764" s="405"/>
      <c r="J764" s="406"/>
      <c r="K764" s="405" t="s">
        <v>2476</v>
      </c>
      <c r="L764" s="405" t="s">
        <v>2464</v>
      </c>
      <c r="M764" s="406">
        <v>44607</v>
      </c>
      <c r="N764" s="406">
        <v>44866</v>
      </c>
      <c r="O764" s="406" t="s">
        <v>1932</v>
      </c>
      <c r="P764" s="406"/>
      <c r="Q764" s="406"/>
      <c r="R764" s="406"/>
      <c r="S764" s="405" t="s">
        <v>2332</v>
      </c>
      <c r="T764" s="405">
        <v>60</v>
      </c>
      <c r="U764" s="405">
        <v>49403140</v>
      </c>
      <c r="V764" s="405" t="s">
        <v>973</v>
      </c>
      <c r="W764" s="405">
        <v>400</v>
      </c>
      <c r="X764" s="382">
        <v>11648</v>
      </c>
      <c r="Y764" s="422">
        <f>X764*W764</f>
        <v>4659200</v>
      </c>
      <c r="Z764" s="409">
        <v>0.5</v>
      </c>
      <c r="AA764" s="423">
        <f t="shared" si="175"/>
        <v>2329600</v>
      </c>
      <c r="AB764" s="423"/>
      <c r="AC764" s="394">
        <v>0</v>
      </c>
      <c r="AD764" s="421"/>
      <c r="AE764" s="387"/>
      <c r="AF764" s="462">
        <f>AA764+AE764</f>
        <v>2329600</v>
      </c>
      <c r="AG764" s="405" t="s">
        <v>47</v>
      </c>
      <c r="AH764" s="388"/>
      <c r="AI764" s="405">
        <v>30</v>
      </c>
      <c r="AJ764" s="415" t="s">
        <v>1080</v>
      </c>
      <c r="AK764" s="405" t="s">
        <v>1081</v>
      </c>
      <c r="AL764" s="414" t="s">
        <v>2343</v>
      </c>
      <c r="AM764" s="405" t="s">
        <v>52</v>
      </c>
      <c r="AN764" s="405" t="s">
        <v>1071</v>
      </c>
      <c r="AO764" s="405"/>
      <c r="AP764" s="417"/>
      <c r="AQ764" s="389" t="s">
        <v>37</v>
      </c>
      <c r="AR764" s="389" t="s">
        <v>2352</v>
      </c>
      <c r="AS764" s="404" t="s">
        <v>1084</v>
      </c>
      <c r="AT764" s="404" t="s">
        <v>1073</v>
      </c>
      <c r="AU764" s="409">
        <v>0.5</v>
      </c>
      <c r="AV764" s="402">
        <f t="shared" si="176"/>
        <v>49403140</v>
      </c>
      <c r="AW764" s="402" cm="1">
        <f t="array" ref="AW764">SUM(MID(0&amp;AV764,LARGE(INDEX(ISNUMBER(--MID(AV764,ROW($1:$8),1))*ROW($1:$8),),ROW($1:$8))+1,1)*10^ROW($1:$8)/10)</f>
        <v>49403140</v>
      </c>
      <c r="AX764" s="402" t="str">
        <f>VLOOKUP($AW764,'Item Master Data'!$A:$F,3,FALSE)</f>
        <v>Q.PEAK DUO BLK ML G10+</v>
      </c>
      <c r="AY764" s="402">
        <f>VLOOKUP($AW764,'Item Master Data'!$A:$F,6,FALSE)</f>
        <v>400</v>
      </c>
      <c r="AZ764" s="402">
        <f t="shared" si="177"/>
        <v>364</v>
      </c>
      <c r="BA764" s="402">
        <f>VLOOKUP(AW764,'Item Master Data'!$A:$G,7,FALSE)</f>
        <v>32</v>
      </c>
      <c r="BB764" s="402"/>
      <c r="BC764" s="402">
        <f t="shared" si="178"/>
        <v>0</v>
      </c>
    </row>
    <row r="765" spans="1:55">
      <c r="A765" s="403"/>
      <c r="B765" s="397">
        <v>44655</v>
      </c>
      <c r="C765" s="397">
        <v>44655</v>
      </c>
      <c r="D765" s="405" t="s">
        <v>2330</v>
      </c>
      <c r="E765" s="393" t="s">
        <v>2367</v>
      </c>
      <c r="F765" s="405" t="s">
        <v>1139</v>
      </c>
      <c r="G765" s="405">
        <v>2022</v>
      </c>
      <c r="H765" s="405">
        <v>12</v>
      </c>
      <c r="I765" s="405"/>
      <c r="J765" s="456"/>
      <c r="K765" s="405" t="s">
        <v>2475</v>
      </c>
      <c r="L765" s="405" t="s">
        <v>2464</v>
      </c>
      <c r="M765" s="406">
        <v>44650</v>
      </c>
      <c r="N765" s="406">
        <v>44896</v>
      </c>
      <c r="O765" s="406"/>
      <c r="P765" s="406"/>
      <c r="Q765" s="406"/>
      <c r="R765" s="406"/>
      <c r="S765" s="405" t="s">
        <v>2332</v>
      </c>
      <c r="T765" s="405">
        <v>60</v>
      </c>
      <c r="U765" s="405" t="s">
        <v>1559</v>
      </c>
      <c r="V765" s="405" t="s">
        <v>973</v>
      </c>
      <c r="W765" s="405">
        <v>400</v>
      </c>
      <c r="X765" s="407">
        <v>16640</v>
      </c>
      <c r="Y765" s="422">
        <f>W765*X765</f>
        <v>6656000</v>
      </c>
      <c r="Z765" s="409">
        <v>0.5</v>
      </c>
      <c r="AA765" s="423">
        <f t="shared" si="175"/>
        <v>3328000</v>
      </c>
      <c r="AB765" s="423"/>
      <c r="AC765" s="394">
        <v>0</v>
      </c>
      <c r="AD765" s="421"/>
      <c r="AE765" s="413"/>
      <c r="AF765" s="462">
        <f>AA765+AE765</f>
        <v>3328000</v>
      </c>
      <c r="AG765" s="405" t="s">
        <v>47</v>
      </c>
      <c r="AH765" s="405"/>
      <c r="AI765" s="405">
        <v>30</v>
      </c>
      <c r="AJ765" s="415" t="s">
        <v>1080</v>
      </c>
      <c r="AK765" s="405" t="s">
        <v>1081</v>
      </c>
      <c r="AL765" s="414" t="s">
        <v>2343</v>
      </c>
      <c r="AM765" s="405" t="s">
        <v>52</v>
      </c>
      <c r="AN765" s="405" t="s">
        <v>1071</v>
      </c>
      <c r="AO765" s="405"/>
      <c r="AP765" s="413"/>
      <c r="AQ765" s="413" t="s">
        <v>37</v>
      </c>
      <c r="AR765" s="413" t="s">
        <v>2395</v>
      </c>
      <c r="AS765" s="386" t="s">
        <v>1073</v>
      </c>
      <c r="AT765" s="386" t="s">
        <v>1073</v>
      </c>
      <c r="AU765" s="409">
        <v>0.73</v>
      </c>
      <c r="AV765" s="402" t="str">
        <f t="shared" si="176"/>
        <v>30390156H</v>
      </c>
      <c r="AW765" s="402" cm="1">
        <f t="array" ref="AW765">SUM(MID(0&amp;AV765,LARGE(INDEX(ISNUMBER(--MID(AV765,ROW($1:$8),1))*ROW($1:$8),),ROW($1:$8))+1,1)*10^ROW($1:$8)/10)</f>
        <v>30390156</v>
      </c>
      <c r="AX765" s="402" t="str">
        <f>VLOOKUP($AW765,'Item Master Data'!$A:$F,3,FALSE)</f>
        <v>Q.PEAK DUO BLK ML G10+</v>
      </c>
      <c r="AY765" s="402">
        <f>VLOOKUP($AW765,'Item Master Data'!$A:$F,6,FALSE)</f>
        <v>400</v>
      </c>
      <c r="AZ765" s="402">
        <f t="shared" si="177"/>
        <v>520</v>
      </c>
      <c r="BA765" s="402">
        <f>VLOOKUP(AW765,'Item Master Data'!$A:$G,7,FALSE)</f>
        <v>32</v>
      </c>
      <c r="BB765" s="402"/>
      <c r="BC765" s="402">
        <f t="shared" si="178"/>
        <v>0</v>
      </c>
    </row>
    <row r="766" spans="1:55">
      <c r="A766" s="368"/>
      <c r="B766" s="397">
        <v>44607</v>
      </c>
      <c r="C766" s="397">
        <v>44631</v>
      </c>
      <c r="D766" s="405" t="s">
        <v>2330</v>
      </c>
      <c r="E766" s="405" t="s">
        <v>2367</v>
      </c>
      <c r="F766" s="405" t="s">
        <v>1139</v>
      </c>
      <c r="G766" s="405">
        <v>2023</v>
      </c>
      <c r="H766" s="405">
        <v>1</v>
      </c>
      <c r="I766" s="405"/>
      <c r="J766" s="406"/>
      <c r="K766" s="405" t="s">
        <v>2463</v>
      </c>
      <c r="L766" s="405" t="s">
        <v>2464</v>
      </c>
      <c r="M766" s="406">
        <v>44607</v>
      </c>
      <c r="N766" s="406">
        <v>44896</v>
      </c>
      <c r="O766" s="406" t="s">
        <v>1932</v>
      </c>
      <c r="P766" s="406"/>
      <c r="Q766" s="406"/>
      <c r="R766" s="406"/>
      <c r="S766" s="405" t="s">
        <v>2332</v>
      </c>
      <c r="T766" s="405">
        <v>60</v>
      </c>
      <c r="U766" s="405">
        <v>49403140</v>
      </c>
      <c r="V766" s="405" t="s">
        <v>973</v>
      </c>
      <c r="W766" s="405">
        <v>400</v>
      </c>
      <c r="X766" s="382">
        <v>11648</v>
      </c>
      <c r="Y766" s="422">
        <f>X766*W766</f>
        <v>4659200</v>
      </c>
      <c r="Z766" s="409">
        <v>0.5</v>
      </c>
      <c r="AA766" s="423">
        <f t="shared" si="175"/>
        <v>2329600</v>
      </c>
      <c r="AB766" s="423"/>
      <c r="AC766" s="394">
        <v>0</v>
      </c>
      <c r="AD766" s="421"/>
      <c r="AE766" s="387"/>
      <c r="AF766" s="462">
        <f>AA766+AE766</f>
        <v>2329600</v>
      </c>
      <c r="AG766" s="405" t="s">
        <v>47</v>
      </c>
      <c r="AH766" s="388"/>
      <c r="AI766" s="405">
        <v>30</v>
      </c>
      <c r="AJ766" s="415" t="s">
        <v>1080</v>
      </c>
      <c r="AK766" s="405" t="s">
        <v>1081</v>
      </c>
      <c r="AL766" s="414" t="s">
        <v>2343</v>
      </c>
      <c r="AM766" s="405" t="s">
        <v>52</v>
      </c>
      <c r="AN766" s="405" t="s">
        <v>1071</v>
      </c>
      <c r="AO766" s="405"/>
      <c r="AP766" s="417"/>
      <c r="AQ766" s="389" t="s">
        <v>37</v>
      </c>
      <c r="AR766" s="389" t="s">
        <v>2352</v>
      </c>
      <c r="AS766" s="404" t="s">
        <v>1084</v>
      </c>
      <c r="AT766" s="404" t="s">
        <v>1073</v>
      </c>
      <c r="AU766" s="400">
        <v>0.5</v>
      </c>
      <c r="AV766" s="402">
        <f t="shared" si="176"/>
        <v>49403140</v>
      </c>
      <c r="AW766" s="402" cm="1">
        <f t="array" ref="AW766">SUM(MID(0&amp;AV766,LARGE(INDEX(ISNUMBER(--MID(AV766,ROW($1:$8),1))*ROW($1:$8),),ROW($1:$8))+1,1)*10^ROW($1:$8)/10)</f>
        <v>49403140</v>
      </c>
      <c r="AX766" s="402" t="str">
        <f>VLOOKUP($AW766,'Item Master Data'!$A:$F,3,FALSE)</f>
        <v>Q.PEAK DUO BLK ML G10+</v>
      </c>
      <c r="AY766" s="402">
        <f>VLOOKUP($AW766,'Item Master Data'!$A:$F,6,FALSE)</f>
        <v>400</v>
      </c>
      <c r="AZ766" s="402">
        <f t="shared" si="177"/>
        <v>364</v>
      </c>
      <c r="BA766" s="402">
        <f>VLOOKUP(AW766,'Item Master Data'!$A:$G,7,FALSE)</f>
        <v>32</v>
      </c>
      <c r="BB766" s="402"/>
      <c r="BC766" s="402">
        <f t="shared" si="178"/>
        <v>0</v>
      </c>
    </row>
    <row r="767" spans="1:55">
      <c r="A767" s="426"/>
      <c r="B767" s="376">
        <v>44575</v>
      </c>
      <c r="C767" s="376">
        <v>44575</v>
      </c>
      <c r="D767" s="416" t="s">
        <v>86</v>
      </c>
      <c r="E767" s="405"/>
      <c r="F767" s="417"/>
      <c r="G767" s="359">
        <v>2022</v>
      </c>
      <c r="H767" s="405">
        <v>6</v>
      </c>
      <c r="I767" s="405"/>
      <c r="J767" s="406"/>
      <c r="K767" s="405">
        <v>4953</v>
      </c>
      <c r="L767" s="405" t="s">
        <v>1508</v>
      </c>
      <c r="M767" s="406">
        <v>44572</v>
      </c>
      <c r="N767" s="406">
        <v>44572</v>
      </c>
      <c r="O767" s="406"/>
      <c r="P767" s="406">
        <v>44683</v>
      </c>
      <c r="Q767" s="406"/>
      <c r="R767" s="406"/>
      <c r="S767" s="405" t="s">
        <v>1510</v>
      </c>
      <c r="T767" s="405">
        <v>72</v>
      </c>
      <c r="U767" s="417">
        <v>49303156</v>
      </c>
      <c r="V767" s="405" t="s">
        <v>1068</v>
      </c>
      <c r="W767" s="405">
        <v>480</v>
      </c>
      <c r="X767" s="382">
        <v>406</v>
      </c>
      <c r="Y767" s="365">
        <f t="shared" ref="Y767:Y822" si="179">W767*X767</f>
        <v>194880</v>
      </c>
      <c r="Z767" s="409">
        <f>230.4/480</f>
        <v>0.48000000000000004</v>
      </c>
      <c r="AA767" s="411">
        <f t="shared" si="175"/>
        <v>93542.400000000009</v>
      </c>
      <c r="AB767" s="411"/>
      <c r="AC767" s="412">
        <f>AB767*Y767</f>
        <v>0</v>
      </c>
      <c r="AD767" s="405"/>
      <c r="AE767" s="405"/>
      <c r="AF767" s="424">
        <f t="shared" ref="AF767:AF792" si="180">AE767+AD767+AA767</f>
        <v>93542.400000000009</v>
      </c>
      <c r="AG767" s="405" t="s">
        <v>47</v>
      </c>
      <c r="AH767" s="405">
        <v>100</v>
      </c>
      <c r="AI767" s="405"/>
      <c r="AJ767" s="406" t="s">
        <v>1512</v>
      </c>
      <c r="AK767" s="406" t="s">
        <v>50</v>
      </c>
      <c r="AL767" s="414" t="s">
        <v>1513</v>
      </c>
      <c r="AM767" s="405" t="s">
        <v>52</v>
      </c>
      <c r="AN767" s="361" t="s">
        <v>1071</v>
      </c>
      <c r="AO767" s="405" t="s">
        <v>1073</v>
      </c>
      <c r="AP767" s="413"/>
      <c r="AQ767" s="405" t="s">
        <v>37</v>
      </c>
      <c r="AR767" s="405"/>
      <c r="AS767" s="404" t="s">
        <v>1392</v>
      </c>
      <c r="AT767" s="404"/>
      <c r="AU767" s="409"/>
      <c r="AV767" s="402">
        <f t="shared" si="176"/>
        <v>49303156</v>
      </c>
      <c r="AW767" s="402" cm="1">
        <f t="array" ref="AW767">SUM(MID(0&amp;AV767,LARGE(INDEX(ISNUMBER(--MID(AV767,ROW($1:$8),1))*ROW($1:$8),),ROW($1:$8))+1,1)*10^ROW($1:$8)/10)</f>
        <v>49303156</v>
      </c>
      <c r="AX767" s="402" t="str">
        <f>VLOOKUP($AW767,'Item Master Data'!$A:$F,3,FALSE)</f>
        <v>Q.PEAK DUO XL G10 BFG</v>
      </c>
      <c r="AY767" s="402">
        <f>VLOOKUP($AW767,'Item Master Data'!$A:$F,6,FALSE)</f>
        <v>480</v>
      </c>
      <c r="AZ767" s="402">
        <f t="shared" si="177"/>
        <v>14</v>
      </c>
      <c r="BA767" s="402">
        <f>VLOOKUP(AW767,'Item Master Data'!$A:$G,7,FALSE)</f>
        <v>29</v>
      </c>
      <c r="BB767" s="402"/>
      <c r="BC767" s="402">
        <f t="shared" si="178"/>
        <v>0</v>
      </c>
    </row>
    <row r="768" spans="1:55">
      <c r="A768" s="426"/>
      <c r="B768" s="376"/>
      <c r="C768" s="376"/>
      <c r="D768" s="416" t="s">
        <v>86</v>
      </c>
      <c r="E768" s="405" t="s">
        <v>4269</v>
      </c>
      <c r="F768" s="417"/>
      <c r="G768" s="359">
        <v>2022</v>
      </c>
      <c r="H768" s="405">
        <v>6</v>
      </c>
      <c r="I768" s="405"/>
      <c r="J768" s="406"/>
      <c r="K768" s="405">
        <v>249435</v>
      </c>
      <c r="L768" s="405" t="s">
        <v>1715</v>
      </c>
      <c r="M768" s="406">
        <v>44595</v>
      </c>
      <c r="N768" s="406">
        <v>44682</v>
      </c>
      <c r="O768" s="406"/>
      <c r="P768" s="406"/>
      <c r="Q768" s="406"/>
      <c r="R768" s="406"/>
      <c r="S768" s="405" t="s">
        <v>88</v>
      </c>
      <c r="T768" s="405">
        <v>72</v>
      </c>
      <c r="U768" s="417" t="s">
        <v>1615</v>
      </c>
      <c r="V768" s="405" t="s">
        <v>1004</v>
      </c>
      <c r="W768" s="405">
        <v>475</v>
      </c>
      <c r="X768" s="382">
        <v>870</v>
      </c>
      <c r="Y768" s="365">
        <f t="shared" si="179"/>
        <v>413250</v>
      </c>
      <c r="Z768" s="409">
        <f>237.5/475</f>
        <v>0.5</v>
      </c>
      <c r="AA768" s="411">
        <f t="shared" si="175"/>
        <v>206625</v>
      </c>
      <c r="AB768" s="411"/>
      <c r="AC768" s="412">
        <f>AB768*Y768</f>
        <v>0</v>
      </c>
      <c r="AD768" s="405"/>
      <c r="AE768" s="405"/>
      <c r="AF768" s="424">
        <f t="shared" si="180"/>
        <v>206625</v>
      </c>
      <c r="AG768" s="405" t="s">
        <v>1069</v>
      </c>
      <c r="AH768" s="405">
        <v>5</v>
      </c>
      <c r="AI768" s="405">
        <v>60</v>
      </c>
      <c r="AJ768" s="406" t="s">
        <v>1716</v>
      </c>
      <c r="AK768" s="406" t="s">
        <v>50</v>
      </c>
      <c r="AL768" s="414" t="s">
        <v>1717</v>
      </c>
      <c r="AM768" s="405" t="s">
        <v>52</v>
      </c>
      <c r="AN768" s="361" t="s">
        <v>50</v>
      </c>
      <c r="AO768" s="405" t="s">
        <v>1073</v>
      </c>
      <c r="AP768" s="413"/>
      <c r="AQ768" s="405" t="s">
        <v>37</v>
      </c>
      <c r="AR768" s="405" t="s">
        <v>1188</v>
      </c>
      <c r="AS768" s="404" t="s">
        <v>1392</v>
      </c>
      <c r="AT768" s="404"/>
      <c r="AU768" s="409">
        <f>284.4/360</f>
        <v>0.78999999999999992</v>
      </c>
      <c r="AV768" s="402" t="str">
        <f t="shared" si="176"/>
        <v>30397471C</v>
      </c>
      <c r="AW768" s="402" cm="1">
        <f t="array" ref="AW768">SUM(MID(0&amp;AV768,LARGE(INDEX(ISNUMBER(--MID(AV768,ROW($1:$8),1))*ROW($1:$8),),ROW($1:$8))+1,1)*10^ROW($1:$8)/10)</f>
        <v>30397471</v>
      </c>
      <c r="AX768" s="402" t="str">
        <f>VLOOKUP($AW768,'Item Master Data'!$A:$F,3,FALSE)</f>
        <v>Q.PEAK DUO XL G10</v>
      </c>
      <c r="AY768" s="402">
        <f>VLOOKUP($AW768,'Item Master Data'!$A:$F,6,FALSE)</f>
        <v>475</v>
      </c>
      <c r="AZ768" s="402">
        <f t="shared" si="177"/>
        <v>30</v>
      </c>
      <c r="BA768" s="402">
        <f>VLOOKUP(AW768,'Item Master Data'!$A:$G,7,FALSE)</f>
        <v>29</v>
      </c>
      <c r="BB768" s="402"/>
      <c r="BC768" s="402">
        <f t="shared" si="178"/>
        <v>0</v>
      </c>
    </row>
    <row r="769" spans="1:55">
      <c r="A769" s="426" t="s">
        <v>4585</v>
      </c>
      <c r="B769" s="376">
        <v>44629</v>
      </c>
      <c r="C769" s="376">
        <v>44629</v>
      </c>
      <c r="D769" s="416" t="s">
        <v>86</v>
      </c>
      <c r="E769" s="405"/>
      <c r="F769" s="417"/>
      <c r="G769" s="359">
        <v>2022</v>
      </c>
      <c r="H769" s="405">
        <v>5</v>
      </c>
      <c r="I769" s="405"/>
      <c r="J769" s="406"/>
      <c r="K769" s="405" t="s">
        <v>1530</v>
      </c>
      <c r="L769" s="405" t="s">
        <v>1514</v>
      </c>
      <c r="M769" s="406">
        <v>44480</v>
      </c>
      <c r="N769" s="406">
        <v>44684</v>
      </c>
      <c r="O769" s="406"/>
      <c r="P769" s="406" t="s">
        <v>1368</v>
      </c>
      <c r="Q769" s="406"/>
      <c r="R769" s="406"/>
      <c r="S769" s="405" t="s">
        <v>88</v>
      </c>
      <c r="T769" s="405">
        <v>60</v>
      </c>
      <c r="U769" s="417">
        <v>49203132</v>
      </c>
      <c r="V769" s="405" t="s">
        <v>986</v>
      </c>
      <c r="W769" s="405">
        <v>360</v>
      </c>
      <c r="X769" s="382">
        <v>832</v>
      </c>
      <c r="Y769" s="365">
        <f t="shared" si="179"/>
        <v>299520</v>
      </c>
      <c r="Z769" s="409">
        <f>190.8/360</f>
        <v>0.53</v>
      </c>
      <c r="AA769" s="411">
        <f t="shared" si="175"/>
        <v>158745.60000000001</v>
      </c>
      <c r="AB769" s="411"/>
      <c r="AC769" s="412">
        <v>0</v>
      </c>
      <c r="AD769" s="405"/>
      <c r="AE769" s="405"/>
      <c r="AF769" s="424">
        <f t="shared" si="180"/>
        <v>158745.60000000001</v>
      </c>
      <c r="AG769" s="405" t="s">
        <v>1069</v>
      </c>
      <c r="AH769" s="405"/>
      <c r="AI769" s="405">
        <v>60</v>
      </c>
      <c r="AJ769" s="406" t="s">
        <v>1515</v>
      </c>
      <c r="AK769" s="406" t="s">
        <v>50</v>
      </c>
      <c r="AL769" s="414" t="s">
        <v>1529</v>
      </c>
      <c r="AM769" s="405" t="s">
        <v>52</v>
      </c>
      <c r="AN769" s="361" t="s">
        <v>1101</v>
      </c>
      <c r="AO769" s="405" t="s">
        <v>1073</v>
      </c>
      <c r="AP769" s="413"/>
      <c r="AQ769" s="405" t="s">
        <v>37</v>
      </c>
      <c r="AR769" s="405"/>
      <c r="AS769" s="404" t="s">
        <v>1072</v>
      </c>
      <c r="AT769" s="404"/>
      <c r="AU769" s="409"/>
      <c r="AV769" s="402"/>
      <c r="AW769" s="402"/>
      <c r="AX769" s="402"/>
      <c r="AY769" s="402"/>
      <c r="AZ769" s="402"/>
      <c r="BA769" s="402"/>
      <c r="BB769" s="402"/>
      <c r="BC769" s="402"/>
    </row>
    <row r="770" spans="1:55">
      <c r="A770" s="426" t="s">
        <v>4584</v>
      </c>
      <c r="B770" s="376"/>
      <c r="C770" s="376"/>
      <c r="D770" s="416" t="s">
        <v>86</v>
      </c>
      <c r="E770" s="405"/>
      <c r="F770" s="417"/>
      <c r="G770" s="359">
        <v>2022</v>
      </c>
      <c r="H770" s="405">
        <v>5</v>
      </c>
      <c r="I770" s="405">
        <v>128590</v>
      </c>
      <c r="J770" s="406">
        <v>44686</v>
      </c>
      <c r="K770" s="405" t="s">
        <v>1536</v>
      </c>
      <c r="L770" s="405" t="s">
        <v>1514</v>
      </c>
      <c r="M770" s="406">
        <v>44595</v>
      </c>
      <c r="N770" s="406">
        <v>44683</v>
      </c>
      <c r="O770" s="406"/>
      <c r="P770" s="406">
        <v>44678</v>
      </c>
      <c r="Q770" s="406">
        <v>44686</v>
      </c>
      <c r="R770" s="406">
        <v>44687</v>
      </c>
      <c r="S770" s="405" t="s">
        <v>88</v>
      </c>
      <c r="T770" s="405">
        <v>60</v>
      </c>
      <c r="U770" s="417" t="s">
        <v>1237</v>
      </c>
      <c r="V770" s="405" t="s">
        <v>973</v>
      </c>
      <c r="W770" s="405">
        <v>400</v>
      </c>
      <c r="X770" s="382">
        <v>768</v>
      </c>
      <c r="Y770" s="365">
        <f t="shared" si="179"/>
        <v>307200</v>
      </c>
      <c r="Z770" s="409">
        <f>220/400</f>
        <v>0.55000000000000004</v>
      </c>
      <c r="AA770" s="411">
        <f t="shared" si="175"/>
        <v>168960</v>
      </c>
      <c r="AB770" s="411"/>
      <c r="AC770" s="412">
        <v>0</v>
      </c>
      <c r="AD770" s="405"/>
      <c r="AE770" s="405"/>
      <c r="AF770" s="424">
        <f t="shared" si="180"/>
        <v>168960</v>
      </c>
      <c r="AG770" s="405" t="s">
        <v>1069</v>
      </c>
      <c r="AH770" s="405"/>
      <c r="AI770" s="405">
        <v>60</v>
      </c>
      <c r="AJ770" s="406" t="s">
        <v>1515</v>
      </c>
      <c r="AK770" s="406" t="s">
        <v>50</v>
      </c>
      <c r="AL770" s="414">
        <v>92806</v>
      </c>
      <c r="AM770" s="405" t="s">
        <v>52</v>
      </c>
      <c r="AN770" s="361" t="s">
        <v>50</v>
      </c>
      <c r="AO770" s="405" t="s">
        <v>1073</v>
      </c>
      <c r="AP770" s="413" t="s">
        <v>92</v>
      </c>
      <c r="AQ770" s="405" t="s">
        <v>37</v>
      </c>
      <c r="AR770" s="405" t="s">
        <v>1188</v>
      </c>
      <c r="AS770" s="404" t="s">
        <v>1392</v>
      </c>
      <c r="AT770" s="404"/>
      <c r="AU770" s="409">
        <f>180/360</f>
        <v>0.5</v>
      </c>
      <c r="AV770" s="402" t="str">
        <f>U770</f>
        <v>30390456H</v>
      </c>
      <c r="AW770" s="402" cm="1">
        <f t="array" ref="AW770">SUM(MID(0&amp;AV770,LARGE(INDEX(ISNUMBER(--MID(AV770,ROW($1:$8),1))*ROW($1:$8),),ROW($1:$8))+1,1)*10^ROW($1:$8)/10)</f>
        <v>30390456</v>
      </c>
      <c r="AX770" s="402" t="str">
        <f>VLOOKUP($AW770,'Item Master Data'!$A:$F,3,FALSE)</f>
        <v>Q.PEAK DUO BLK ML G10+</v>
      </c>
      <c r="AY770" s="402">
        <f>VLOOKUP($AW770,'Item Master Data'!$A:$F,6,FALSE)</f>
        <v>400</v>
      </c>
      <c r="AZ770" s="402">
        <f>X770/BA770</f>
        <v>24</v>
      </c>
      <c r="BA770" s="402">
        <f>VLOOKUP(AW770,'Item Master Data'!$A:$G,7,FALSE)</f>
        <v>32</v>
      </c>
      <c r="BB770" s="402"/>
      <c r="BC770" s="402">
        <f>W770-AY770</f>
        <v>0</v>
      </c>
    </row>
    <row r="771" spans="1:55">
      <c r="A771" s="426" t="s">
        <v>4585</v>
      </c>
      <c r="B771" s="376"/>
      <c r="C771" s="376"/>
      <c r="D771" s="416" t="s">
        <v>86</v>
      </c>
      <c r="E771" s="405"/>
      <c r="F771" s="417"/>
      <c r="G771" s="359">
        <v>2022</v>
      </c>
      <c r="H771" s="405">
        <v>5</v>
      </c>
      <c r="I771" s="405"/>
      <c r="J771" s="406"/>
      <c r="K771" s="405" t="s">
        <v>1535</v>
      </c>
      <c r="L771" s="405" t="s">
        <v>1514</v>
      </c>
      <c r="M771" s="406">
        <v>44595</v>
      </c>
      <c r="N771" s="406">
        <v>44655</v>
      </c>
      <c r="O771" s="406">
        <v>44685</v>
      </c>
      <c r="P771" s="406" t="s">
        <v>1368</v>
      </c>
      <c r="Q771" s="406"/>
      <c r="R771" s="406"/>
      <c r="S771" s="405" t="s">
        <v>88</v>
      </c>
      <c r="T771" s="405">
        <v>60</v>
      </c>
      <c r="U771" s="417">
        <v>49204132</v>
      </c>
      <c r="V771" s="405" t="s">
        <v>1192</v>
      </c>
      <c r="W771" s="405">
        <v>360</v>
      </c>
      <c r="X771" s="382">
        <v>832</v>
      </c>
      <c r="Y771" s="365">
        <f t="shared" si="179"/>
        <v>299520</v>
      </c>
      <c r="Z771" s="409">
        <f>298.8/360</f>
        <v>0.83000000000000007</v>
      </c>
      <c r="AA771" s="411">
        <f t="shared" si="175"/>
        <v>248601.60000000003</v>
      </c>
      <c r="AB771" s="411"/>
      <c r="AC771" s="412">
        <v>0</v>
      </c>
      <c r="AD771" s="405"/>
      <c r="AE771" s="405"/>
      <c r="AF771" s="424">
        <f t="shared" si="180"/>
        <v>248601.60000000003</v>
      </c>
      <c r="AG771" s="405" t="s">
        <v>1069</v>
      </c>
      <c r="AH771" s="405"/>
      <c r="AI771" s="405">
        <v>60</v>
      </c>
      <c r="AJ771" s="406" t="s">
        <v>1515</v>
      </c>
      <c r="AK771" s="406" t="s">
        <v>1136</v>
      </c>
      <c r="AL771" s="414">
        <v>92806</v>
      </c>
      <c r="AM771" s="405" t="s">
        <v>52</v>
      </c>
      <c r="AN771" s="361" t="s">
        <v>1101</v>
      </c>
      <c r="AO771" s="405" t="s">
        <v>1073</v>
      </c>
      <c r="AP771" s="413"/>
      <c r="AQ771" s="405" t="s">
        <v>37</v>
      </c>
      <c r="AR771" s="405" t="s">
        <v>1188</v>
      </c>
      <c r="AS771" s="404" t="s">
        <v>1392</v>
      </c>
      <c r="AT771" s="404"/>
      <c r="AU771" s="409">
        <f>180/360</f>
        <v>0.5</v>
      </c>
      <c r="AV771" s="402"/>
      <c r="AW771" s="402"/>
      <c r="AX771" s="402"/>
      <c r="AY771" s="402"/>
      <c r="AZ771" s="402"/>
      <c r="BA771" s="402"/>
      <c r="BB771" s="402"/>
      <c r="BC771" s="402"/>
    </row>
    <row r="772" spans="1:55">
      <c r="A772" s="426"/>
      <c r="B772" s="376">
        <v>44663</v>
      </c>
      <c r="C772" s="376">
        <v>44663</v>
      </c>
      <c r="D772" s="416" t="s">
        <v>86</v>
      </c>
      <c r="E772" s="405"/>
      <c r="F772" s="417" t="s">
        <v>87</v>
      </c>
      <c r="G772" s="359">
        <v>2022</v>
      </c>
      <c r="H772" s="405">
        <v>5</v>
      </c>
      <c r="I772" s="405"/>
      <c r="J772" s="406">
        <v>44691</v>
      </c>
      <c r="K772" s="405" t="s">
        <v>1586</v>
      </c>
      <c r="L772" s="405" t="s">
        <v>1572</v>
      </c>
      <c r="M772" s="406">
        <v>44652</v>
      </c>
      <c r="N772" s="406">
        <v>44652</v>
      </c>
      <c r="O772" s="406"/>
      <c r="P772" s="406">
        <v>44671</v>
      </c>
      <c r="Q772" s="406">
        <v>44691</v>
      </c>
      <c r="R772" s="406">
        <v>44697</v>
      </c>
      <c r="S772" s="405" t="s">
        <v>88</v>
      </c>
      <c r="T772" s="405">
        <v>72</v>
      </c>
      <c r="U772" s="417">
        <v>49303156</v>
      </c>
      <c r="V772" s="405" t="s">
        <v>995</v>
      </c>
      <c r="W772" s="405">
        <v>480</v>
      </c>
      <c r="X772" s="382">
        <v>638</v>
      </c>
      <c r="Y772" s="365">
        <f t="shared" si="179"/>
        <v>306240</v>
      </c>
      <c r="Z772" s="409">
        <f>235.2/480</f>
        <v>0.49</v>
      </c>
      <c r="AA772" s="411">
        <f t="shared" si="175"/>
        <v>150057.60000000001</v>
      </c>
      <c r="AB772" s="411"/>
      <c r="AC772" s="412">
        <f>AB772*Y772</f>
        <v>0</v>
      </c>
      <c r="AD772" s="405"/>
      <c r="AE772" s="405"/>
      <c r="AF772" s="424">
        <f t="shared" si="180"/>
        <v>150057.60000000001</v>
      </c>
      <c r="AG772" s="405" t="s">
        <v>1069</v>
      </c>
      <c r="AH772" s="405"/>
      <c r="AI772" s="405">
        <v>60</v>
      </c>
      <c r="AJ772" s="406" t="s">
        <v>1573</v>
      </c>
      <c r="AK772" s="406" t="s">
        <v>50</v>
      </c>
      <c r="AL772" s="414" t="s">
        <v>1574</v>
      </c>
      <c r="AM772" s="405" t="s">
        <v>52</v>
      </c>
      <c r="AN772" s="361" t="s">
        <v>1101</v>
      </c>
      <c r="AO772" s="405" t="s">
        <v>1073</v>
      </c>
      <c r="AP772" s="413"/>
      <c r="AQ772" s="405" t="s">
        <v>37</v>
      </c>
      <c r="AR772" s="405"/>
      <c r="AS772" s="404"/>
      <c r="AT772" s="404"/>
      <c r="AU772" s="409"/>
      <c r="AV772" s="402">
        <f>U772</f>
        <v>49303156</v>
      </c>
      <c r="AW772" s="402" cm="1">
        <f t="array" ref="AW772">SUM(MID(0&amp;AV772,LARGE(INDEX(ISNUMBER(--MID(AV772,ROW($1:$8),1))*ROW($1:$8),),ROW($1:$8))+1,1)*10^ROW($1:$8)/10)</f>
        <v>49303156</v>
      </c>
      <c r="AX772" s="402" t="str">
        <f>VLOOKUP($AW772,'Item Master Data'!$A:$F,3,FALSE)</f>
        <v>Q.PEAK DUO XL G10 BFG</v>
      </c>
      <c r="AY772" s="402">
        <f>VLOOKUP($AW772,'Item Master Data'!$A:$F,6,FALSE)</f>
        <v>480</v>
      </c>
      <c r="AZ772" s="402">
        <f>X772/BA772</f>
        <v>22</v>
      </c>
      <c r="BA772" s="402">
        <f>VLOOKUP(AW772,'Item Master Data'!$A:$G,7,FALSE)</f>
        <v>29</v>
      </c>
      <c r="BB772" s="402"/>
      <c r="BC772" s="402">
        <f>W772-AY772</f>
        <v>0</v>
      </c>
    </row>
    <row r="773" spans="1:55">
      <c r="A773" s="426"/>
      <c r="B773" s="376">
        <v>44663</v>
      </c>
      <c r="C773" s="376">
        <v>44663</v>
      </c>
      <c r="D773" s="416" t="s">
        <v>86</v>
      </c>
      <c r="E773" s="405"/>
      <c r="F773" s="417" t="s">
        <v>87</v>
      </c>
      <c r="G773" s="359">
        <v>2022</v>
      </c>
      <c r="H773" s="405">
        <v>5</v>
      </c>
      <c r="I773" s="405"/>
      <c r="J773" s="406">
        <v>44691</v>
      </c>
      <c r="K773" s="405" t="s">
        <v>1571</v>
      </c>
      <c r="L773" s="405" t="s">
        <v>1572</v>
      </c>
      <c r="M773" s="406">
        <v>44652</v>
      </c>
      <c r="N773" s="406">
        <v>44652</v>
      </c>
      <c r="O773" s="406"/>
      <c r="P773" s="406">
        <v>44671</v>
      </c>
      <c r="Q773" s="406">
        <v>44691</v>
      </c>
      <c r="R773" s="406">
        <v>44697</v>
      </c>
      <c r="S773" s="405" t="s">
        <v>88</v>
      </c>
      <c r="T773" s="405">
        <v>72</v>
      </c>
      <c r="U773" s="417">
        <v>49303156</v>
      </c>
      <c r="V773" s="405" t="s">
        <v>995</v>
      </c>
      <c r="W773" s="405">
        <v>480</v>
      </c>
      <c r="X773" s="382">
        <v>638</v>
      </c>
      <c r="Y773" s="365">
        <f t="shared" si="179"/>
        <v>306240</v>
      </c>
      <c r="Z773" s="409">
        <f>235.2/480</f>
        <v>0.49</v>
      </c>
      <c r="AA773" s="411">
        <f t="shared" si="175"/>
        <v>150057.60000000001</v>
      </c>
      <c r="AB773" s="411"/>
      <c r="AC773" s="412">
        <f>AB773*Y773</f>
        <v>0</v>
      </c>
      <c r="AD773" s="405"/>
      <c r="AE773" s="405"/>
      <c r="AF773" s="424">
        <f t="shared" si="180"/>
        <v>150057.60000000001</v>
      </c>
      <c r="AG773" s="405" t="s">
        <v>1069</v>
      </c>
      <c r="AH773" s="405"/>
      <c r="AI773" s="405">
        <v>60</v>
      </c>
      <c r="AJ773" s="406" t="s">
        <v>1573</v>
      </c>
      <c r="AK773" s="406" t="s">
        <v>50</v>
      </c>
      <c r="AL773" s="414" t="s">
        <v>1574</v>
      </c>
      <c r="AM773" s="405" t="s">
        <v>52</v>
      </c>
      <c r="AN773" s="361" t="s">
        <v>1101</v>
      </c>
      <c r="AO773" s="405" t="s">
        <v>1073</v>
      </c>
      <c r="AP773" s="413"/>
      <c r="AQ773" s="405" t="s">
        <v>37</v>
      </c>
      <c r="AR773" s="405"/>
      <c r="AS773" s="404"/>
      <c r="AT773" s="404"/>
      <c r="AU773" s="409"/>
      <c r="AV773" s="402"/>
      <c r="AW773" s="402"/>
      <c r="AX773" s="402"/>
      <c r="AY773" s="402"/>
      <c r="AZ773" s="402"/>
      <c r="BA773" s="402"/>
      <c r="BB773" s="402"/>
      <c r="BC773" s="402"/>
    </row>
    <row r="774" spans="1:55">
      <c r="A774" s="426" t="s">
        <v>4586</v>
      </c>
      <c r="B774" s="376"/>
      <c r="C774" s="376"/>
      <c r="D774" s="416" t="s">
        <v>86</v>
      </c>
      <c r="E774" s="405" t="s">
        <v>4587</v>
      </c>
      <c r="F774" s="417"/>
      <c r="G774" s="359">
        <v>2022</v>
      </c>
      <c r="H774" s="405">
        <v>5</v>
      </c>
      <c r="I774" s="405">
        <v>128591</v>
      </c>
      <c r="J774" s="406">
        <v>44686</v>
      </c>
      <c r="K774" s="405" t="s">
        <v>1560</v>
      </c>
      <c r="L774" s="405" t="s">
        <v>1561</v>
      </c>
      <c r="M774" s="406">
        <v>44546</v>
      </c>
      <c r="N774" s="406">
        <v>44614</v>
      </c>
      <c r="O774" s="406" t="s">
        <v>1562</v>
      </c>
      <c r="P774" s="406">
        <v>44678</v>
      </c>
      <c r="Q774" s="406">
        <v>44686</v>
      </c>
      <c r="R774" s="406">
        <v>44686</v>
      </c>
      <c r="S774" s="405" t="s">
        <v>88</v>
      </c>
      <c r="T774" s="405">
        <v>60</v>
      </c>
      <c r="U774" s="417" t="s">
        <v>1237</v>
      </c>
      <c r="V774" s="405" t="s">
        <v>973</v>
      </c>
      <c r="W774" s="405">
        <v>400</v>
      </c>
      <c r="X774" s="382">
        <v>2944</v>
      </c>
      <c r="Y774" s="365">
        <f t="shared" si="179"/>
        <v>1177600</v>
      </c>
      <c r="Z774" s="409">
        <f>220/400</f>
        <v>0.55000000000000004</v>
      </c>
      <c r="AA774" s="411">
        <f t="shared" si="175"/>
        <v>647680</v>
      </c>
      <c r="AB774" s="411"/>
      <c r="AC774" s="412"/>
      <c r="AD774" s="405"/>
      <c r="AE774" s="405"/>
      <c r="AF774" s="424">
        <f t="shared" si="180"/>
        <v>647680</v>
      </c>
      <c r="AG774" s="405" t="s">
        <v>1069</v>
      </c>
      <c r="AH774" s="405"/>
      <c r="AI774" s="405">
        <v>60</v>
      </c>
      <c r="AJ774" s="406" t="s">
        <v>1563</v>
      </c>
      <c r="AK774" s="406" t="s">
        <v>50</v>
      </c>
      <c r="AL774" s="414">
        <v>93305</v>
      </c>
      <c r="AM774" s="405" t="s">
        <v>52</v>
      </c>
      <c r="AN774" s="361" t="s">
        <v>50</v>
      </c>
      <c r="AO774" s="405" t="s">
        <v>1073</v>
      </c>
      <c r="AP774" s="413" t="s">
        <v>92</v>
      </c>
      <c r="AQ774" s="405" t="s">
        <v>37</v>
      </c>
      <c r="AR774" s="405" t="s">
        <v>1499</v>
      </c>
      <c r="AS774" s="404"/>
      <c r="AT774" s="404"/>
      <c r="AU774" s="409">
        <v>0.45500000000000002</v>
      </c>
      <c r="AV774" s="402"/>
      <c r="AW774" s="402"/>
      <c r="AX774" s="402"/>
      <c r="AY774" s="402"/>
      <c r="AZ774" s="402"/>
      <c r="BA774" s="402"/>
      <c r="BB774" s="402"/>
      <c r="BC774" s="402"/>
    </row>
    <row r="775" spans="1:55">
      <c r="A775" s="426" t="s">
        <v>4584</v>
      </c>
      <c r="B775" s="376">
        <v>44600</v>
      </c>
      <c r="C775" s="376"/>
      <c r="D775" s="416" t="s">
        <v>86</v>
      </c>
      <c r="E775" s="405" t="s">
        <v>4377</v>
      </c>
      <c r="F775" s="417"/>
      <c r="G775" s="359">
        <v>2022</v>
      </c>
      <c r="H775" s="405">
        <v>5</v>
      </c>
      <c r="I775" s="405">
        <v>128592</v>
      </c>
      <c r="J775" s="406">
        <v>44686</v>
      </c>
      <c r="K775" s="405" t="s">
        <v>1566</v>
      </c>
      <c r="L775" s="405" t="s">
        <v>1567</v>
      </c>
      <c r="M775" s="406">
        <v>44595</v>
      </c>
      <c r="N775" s="406">
        <v>44595</v>
      </c>
      <c r="O775" s="406"/>
      <c r="P775" s="406">
        <v>44678</v>
      </c>
      <c r="Q775" s="406">
        <v>44686</v>
      </c>
      <c r="R775" s="406">
        <v>44690</v>
      </c>
      <c r="S775" s="405" t="s">
        <v>1520</v>
      </c>
      <c r="T775" s="405">
        <v>60</v>
      </c>
      <c r="U775" s="417" t="s">
        <v>1237</v>
      </c>
      <c r="V775" s="405" t="s">
        <v>973</v>
      </c>
      <c r="W775" s="405">
        <v>400</v>
      </c>
      <c r="X775" s="382">
        <v>768</v>
      </c>
      <c r="Y775" s="365">
        <f t="shared" si="179"/>
        <v>307200</v>
      </c>
      <c r="Z775" s="409">
        <f>220/400</f>
        <v>0.55000000000000004</v>
      </c>
      <c r="AA775" s="411">
        <f t="shared" si="175"/>
        <v>168960</v>
      </c>
      <c r="AB775" s="411"/>
      <c r="AC775" s="412">
        <f>AB775*Y775</f>
        <v>0</v>
      </c>
      <c r="AD775" s="405"/>
      <c r="AE775" s="405"/>
      <c r="AF775" s="424">
        <f t="shared" si="180"/>
        <v>168960</v>
      </c>
      <c r="AG775" s="405" t="s">
        <v>1069</v>
      </c>
      <c r="AH775" s="405"/>
      <c r="AI775" s="405">
        <v>60</v>
      </c>
      <c r="AJ775" s="406" t="s">
        <v>1524</v>
      </c>
      <c r="AK775" s="406" t="s">
        <v>1522</v>
      </c>
      <c r="AL775" s="414" t="s">
        <v>1568</v>
      </c>
      <c r="AM775" s="405" t="s">
        <v>52</v>
      </c>
      <c r="AN775" s="361" t="s">
        <v>50</v>
      </c>
      <c r="AO775" s="405" t="s">
        <v>1073</v>
      </c>
      <c r="AP775" s="413" t="s">
        <v>92</v>
      </c>
      <c r="AQ775" s="405" t="s">
        <v>37</v>
      </c>
      <c r="AR775" s="405"/>
      <c r="AS775" s="404"/>
      <c r="AT775" s="404"/>
      <c r="AU775" s="409">
        <f>180/360</f>
        <v>0.5</v>
      </c>
      <c r="AV775" s="402" t="str">
        <f>U775</f>
        <v>30390456H</v>
      </c>
      <c r="AW775" s="402" cm="1">
        <f t="array" ref="AW775">SUM(MID(0&amp;AV775,LARGE(INDEX(ISNUMBER(--MID(AV775,ROW($1:$8),1))*ROW($1:$8),),ROW($1:$8))+1,1)*10^ROW($1:$8)/10)</f>
        <v>30390456</v>
      </c>
      <c r="AX775" s="402" t="str">
        <f>VLOOKUP($AW775,'Item Master Data'!$A:$F,3,FALSE)</f>
        <v>Q.PEAK DUO BLK ML G10+</v>
      </c>
      <c r="AY775" s="402">
        <f>VLOOKUP($AW775,'Item Master Data'!$A:$F,6,FALSE)</f>
        <v>400</v>
      </c>
      <c r="AZ775" s="402">
        <f>X775/BA775</f>
        <v>24</v>
      </c>
      <c r="BA775" s="402">
        <f>VLOOKUP(AW775,'Item Master Data'!$A:$G,7,FALSE)</f>
        <v>32</v>
      </c>
      <c r="BB775" s="402"/>
      <c r="BC775" s="402">
        <f>W775-AY775</f>
        <v>0</v>
      </c>
    </row>
    <row r="776" spans="1:55">
      <c r="A776" s="426" t="s">
        <v>4585</v>
      </c>
      <c r="B776" s="376">
        <v>44623</v>
      </c>
      <c r="C776" s="376">
        <v>44623</v>
      </c>
      <c r="D776" s="416" t="s">
        <v>86</v>
      </c>
      <c r="E776" s="405" t="s">
        <v>4587</v>
      </c>
      <c r="F776" s="417"/>
      <c r="G776" s="359">
        <v>2022</v>
      </c>
      <c r="H776" s="405">
        <v>5</v>
      </c>
      <c r="I776" s="405">
        <v>128593</v>
      </c>
      <c r="J776" s="406">
        <v>44686</v>
      </c>
      <c r="K776" s="405" t="s">
        <v>1575</v>
      </c>
      <c r="L776" s="405" t="s">
        <v>1576</v>
      </c>
      <c r="M776" s="406">
        <v>44524</v>
      </c>
      <c r="N776" s="406">
        <v>44620</v>
      </c>
      <c r="O776" s="406"/>
      <c r="P776" s="406">
        <v>44678</v>
      </c>
      <c r="Q776" s="406">
        <v>44686</v>
      </c>
      <c r="R776" s="406">
        <v>44690</v>
      </c>
      <c r="S776" s="405" t="s">
        <v>1520</v>
      </c>
      <c r="T776" s="405">
        <v>60</v>
      </c>
      <c r="U776" s="417" t="s">
        <v>1237</v>
      </c>
      <c r="V776" s="405" t="s">
        <v>973</v>
      </c>
      <c r="W776" s="405">
        <v>400</v>
      </c>
      <c r="X776" s="382">
        <v>768</v>
      </c>
      <c r="Y776" s="365">
        <f t="shared" si="179"/>
        <v>307200</v>
      </c>
      <c r="Z776" s="409">
        <f>220/400</f>
        <v>0.55000000000000004</v>
      </c>
      <c r="AA776" s="411">
        <f t="shared" si="175"/>
        <v>168960</v>
      </c>
      <c r="AB776" s="411"/>
      <c r="AC776" s="412"/>
      <c r="AD776" s="405"/>
      <c r="AE776" s="405"/>
      <c r="AF776" s="424">
        <f t="shared" si="180"/>
        <v>168960</v>
      </c>
      <c r="AG776" s="405" t="s">
        <v>1069</v>
      </c>
      <c r="AH776" s="405"/>
      <c r="AI776" s="405">
        <v>60</v>
      </c>
      <c r="AJ776" s="406" t="s">
        <v>1577</v>
      </c>
      <c r="AK776" s="406" t="s">
        <v>1341</v>
      </c>
      <c r="AL776" s="414">
        <v>83642</v>
      </c>
      <c r="AM776" s="405" t="s">
        <v>52</v>
      </c>
      <c r="AN776" s="361" t="s">
        <v>50</v>
      </c>
      <c r="AO776" s="405" t="s">
        <v>1073</v>
      </c>
      <c r="AP776" s="413" t="s">
        <v>92</v>
      </c>
      <c r="AQ776" s="405" t="s">
        <v>37</v>
      </c>
      <c r="AR776" s="405" t="s">
        <v>1243</v>
      </c>
      <c r="AS776" s="404"/>
      <c r="AT776" s="404"/>
      <c r="AU776" s="409">
        <f>196/400</f>
        <v>0.49</v>
      </c>
      <c r="AV776" s="402"/>
      <c r="AW776" s="402"/>
      <c r="AX776" s="402"/>
      <c r="AY776" s="402"/>
      <c r="AZ776" s="402"/>
      <c r="BA776" s="402"/>
      <c r="BB776" s="402"/>
      <c r="BC776" s="402"/>
    </row>
    <row r="777" spans="1:55">
      <c r="A777" s="426" t="s">
        <v>4584</v>
      </c>
      <c r="B777" s="376">
        <v>44628</v>
      </c>
      <c r="C777" s="376">
        <v>44628</v>
      </c>
      <c r="D777" s="416" t="s">
        <v>86</v>
      </c>
      <c r="E777" s="405"/>
      <c r="F777" s="417"/>
      <c r="G777" s="359">
        <v>2022</v>
      </c>
      <c r="H777" s="405">
        <v>5</v>
      </c>
      <c r="I777" s="405"/>
      <c r="J777" s="406">
        <v>44683</v>
      </c>
      <c r="K777" s="405" t="s">
        <v>1587</v>
      </c>
      <c r="L777" s="405" t="s">
        <v>1588</v>
      </c>
      <c r="M777" s="406">
        <v>44568</v>
      </c>
      <c r="N777" s="406">
        <v>44621</v>
      </c>
      <c r="O777" s="406">
        <v>44652</v>
      </c>
      <c r="P777" s="406">
        <v>44663</v>
      </c>
      <c r="Q777" s="406">
        <v>44683</v>
      </c>
      <c r="R777" s="406">
        <v>44685</v>
      </c>
      <c r="S777" s="405" t="s">
        <v>1510</v>
      </c>
      <c r="T777" s="405">
        <v>60</v>
      </c>
      <c r="U777" s="417">
        <v>49204132</v>
      </c>
      <c r="V777" s="405" t="s">
        <v>1192</v>
      </c>
      <c r="W777" s="405">
        <v>360</v>
      </c>
      <c r="X777" s="382">
        <v>676</v>
      </c>
      <c r="Y777" s="365">
        <f t="shared" si="179"/>
        <v>243360</v>
      </c>
      <c r="Z777" s="409">
        <f>298.8/360</f>
        <v>0.83000000000000007</v>
      </c>
      <c r="AA777" s="411">
        <f t="shared" si="175"/>
        <v>201988.80000000002</v>
      </c>
      <c r="AB777" s="411"/>
      <c r="AC777" s="412">
        <v>0</v>
      </c>
      <c r="AD777" s="405"/>
      <c r="AE777" s="405"/>
      <c r="AF777" s="424">
        <f t="shared" si="180"/>
        <v>201988.80000000002</v>
      </c>
      <c r="AG777" s="405" t="s">
        <v>1069</v>
      </c>
      <c r="AH777" s="405"/>
      <c r="AI777" s="405">
        <v>60</v>
      </c>
      <c r="AJ777" s="406" t="s">
        <v>1589</v>
      </c>
      <c r="AK777" s="406" t="s">
        <v>50</v>
      </c>
      <c r="AL777" s="414">
        <v>91311</v>
      </c>
      <c r="AM777" s="405" t="s">
        <v>52</v>
      </c>
      <c r="AN777" s="361" t="s">
        <v>1101</v>
      </c>
      <c r="AO777" s="405" t="s">
        <v>1073</v>
      </c>
      <c r="AP777" s="413"/>
      <c r="AQ777" s="405" t="s">
        <v>37</v>
      </c>
      <c r="AR777" s="405"/>
      <c r="AS777" s="404"/>
      <c r="AT777" s="404"/>
      <c r="AU777" s="409">
        <v>0.72</v>
      </c>
      <c r="AV777" s="402">
        <f>U777</f>
        <v>49204132</v>
      </c>
      <c r="AW777" s="402" cm="1">
        <f t="array" ref="AW777">SUM(MID(0&amp;AV777,LARGE(INDEX(ISNUMBER(--MID(AV777,ROW($1:$8),1))*ROW($1:$8),),ROW($1:$8))+1,1)*10^ROW($1:$8)/10)</f>
        <v>49204132</v>
      </c>
      <c r="AX777" s="402" t="str">
        <f>VLOOKUP($AW777,'Item Master Data'!$A:$F,3,FALSE)</f>
        <v>Q.PEAK DUO BLK G10+/AC</v>
      </c>
      <c r="AY777" s="402">
        <f>VLOOKUP($AW777,'Item Master Data'!$A:$F,6,FALSE)</f>
        <v>360</v>
      </c>
      <c r="AZ777" s="402">
        <f>X777/BA777</f>
        <v>26</v>
      </c>
      <c r="BA777" s="402">
        <f>VLOOKUP(AW777,'Item Master Data'!$A:$G,7,FALSE)</f>
        <v>26</v>
      </c>
      <c r="BB777" s="402"/>
      <c r="BC777" s="402">
        <f>W777-AY777</f>
        <v>0</v>
      </c>
    </row>
    <row r="778" spans="1:55">
      <c r="A778" s="426" t="s">
        <v>4584</v>
      </c>
      <c r="B778" s="376">
        <v>44628</v>
      </c>
      <c r="C778" s="376">
        <v>44628</v>
      </c>
      <c r="D778" s="416" t="s">
        <v>86</v>
      </c>
      <c r="E778" s="405"/>
      <c r="F778" s="417"/>
      <c r="G778" s="359">
        <v>2022</v>
      </c>
      <c r="H778" s="405">
        <v>5</v>
      </c>
      <c r="I778" s="405"/>
      <c r="J778" s="406"/>
      <c r="K778" s="405" t="s">
        <v>1602</v>
      </c>
      <c r="L778" s="405" t="s">
        <v>1588</v>
      </c>
      <c r="M778" s="406">
        <v>44505</v>
      </c>
      <c r="N778" s="406">
        <v>44564</v>
      </c>
      <c r="O778" s="406">
        <v>44654</v>
      </c>
      <c r="P778" s="406">
        <v>44663</v>
      </c>
      <c r="Q778" s="406"/>
      <c r="R778" s="406"/>
      <c r="S778" s="405" t="s">
        <v>1510</v>
      </c>
      <c r="T778" s="405">
        <v>60</v>
      </c>
      <c r="U778" s="417">
        <v>49203132</v>
      </c>
      <c r="V778" s="405" t="s">
        <v>986</v>
      </c>
      <c r="W778" s="405">
        <v>360</v>
      </c>
      <c r="X778" s="382">
        <v>1536</v>
      </c>
      <c r="Y778" s="365">
        <f t="shared" si="179"/>
        <v>552960</v>
      </c>
      <c r="Z778" s="409">
        <f>190.8/360</f>
        <v>0.53</v>
      </c>
      <c r="AA778" s="411">
        <f t="shared" si="175"/>
        <v>293068.79999999999</v>
      </c>
      <c r="AB778" s="411"/>
      <c r="AC778" s="412">
        <f>AB778*Y778</f>
        <v>0</v>
      </c>
      <c r="AD778" s="405"/>
      <c r="AE778" s="405"/>
      <c r="AF778" s="424">
        <f t="shared" si="180"/>
        <v>293068.79999999999</v>
      </c>
      <c r="AG778" s="405" t="s">
        <v>1069</v>
      </c>
      <c r="AH778" s="405"/>
      <c r="AI778" s="405">
        <v>60</v>
      </c>
      <c r="AJ778" s="406" t="s">
        <v>1589</v>
      </c>
      <c r="AK778" s="406" t="s">
        <v>50</v>
      </c>
      <c r="AL778" s="414">
        <v>91311</v>
      </c>
      <c r="AM778" s="405" t="s">
        <v>52</v>
      </c>
      <c r="AN778" s="361" t="s">
        <v>1101</v>
      </c>
      <c r="AO778" s="405" t="s">
        <v>1073</v>
      </c>
      <c r="AP778" s="413"/>
      <c r="AQ778" s="405" t="s">
        <v>37</v>
      </c>
      <c r="AR778" s="405"/>
      <c r="AS778" s="404"/>
      <c r="AT778" s="404"/>
      <c r="AU778" s="409"/>
      <c r="AV778" s="402">
        <f>U778</f>
        <v>49203132</v>
      </c>
      <c r="AW778" s="402" cm="1">
        <f t="array" ref="AW778">SUM(MID(0&amp;AV778,LARGE(INDEX(ISNUMBER(--MID(AV778,ROW($1:$8),1))*ROW($1:$8),),ROW($1:$8))+1,1)*10^ROW($1:$8)/10)</f>
        <v>49203132</v>
      </c>
      <c r="AX778" s="402" t="str">
        <f>VLOOKUP($AW778,'Item Master Data'!$A:$F,3,FALSE)</f>
        <v>Q.PEAK DUO BLK G10+</v>
      </c>
      <c r="AY778" s="402">
        <f>VLOOKUP($AW778,'Item Master Data'!$A:$F,6,FALSE)</f>
        <v>360</v>
      </c>
      <c r="AZ778" s="402">
        <f>X778/BA778</f>
        <v>48</v>
      </c>
      <c r="BA778" s="402">
        <f>VLOOKUP(AW778,'Item Master Data'!$A:$G,7,FALSE)</f>
        <v>32</v>
      </c>
      <c r="BB778" s="402"/>
      <c r="BC778" s="402">
        <f>W778-AY778</f>
        <v>0</v>
      </c>
    </row>
    <row r="779" spans="1:55">
      <c r="A779" s="426" t="s">
        <v>4585</v>
      </c>
      <c r="B779" s="376">
        <v>44628</v>
      </c>
      <c r="C779" s="376">
        <v>44628</v>
      </c>
      <c r="D779" s="416" t="s">
        <v>86</v>
      </c>
      <c r="E779" s="405" t="s">
        <v>4587</v>
      </c>
      <c r="F779" s="417"/>
      <c r="G779" s="359">
        <v>2022</v>
      </c>
      <c r="H779" s="405">
        <v>5</v>
      </c>
      <c r="I779" s="405">
        <v>128594</v>
      </c>
      <c r="J779" s="406">
        <v>44687</v>
      </c>
      <c r="K779" s="405" t="s">
        <v>1591</v>
      </c>
      <c r="L779" s="405" t="s">
        <v>1588</v>
      </c>
      <c r="M779" s="406">
        <v>44505</v>
      </c>
      <c r="N779" s="406">
        <v>44623</v>
      </c>
      <c r="O779" s="406">
        <v>44684</v>
      </c>
      <c r="P779" s="406">
        <v>44678</v>
      </c>
      <c r="Q779" s="406">
        <v>44687</v>
      </c>
      <c r="R779" s="406">
        <v>44690</v>
      </c>
      <c r="S779" s="405" t="s">
        <v>1510</v>
      </c>
      <c r="T779" s="405">
        <v>60</v>
      </c>
      <c r="U779" s="417" t="s">
        <v>1237</v>
      </c>
      <c r="V779" s="405" t="s">
        <v>973</v>
      </c>
      <c r="W779" s="405">
        <v>400</v>
      </c>
      <c r="X779" s="382">
        <v>768</v>
      </c>
      <c r="Y779" s="365">
        <f t="shared" si="179"/>
        <v>307200</v>
      </c>
      <c r="Z779" s="409">
        <f>220/400</f>
        <v>0.55000000000000004</v>
      </c>
      <c r="AA779" s="411">
        <f t="shared" si="175"/>
        <v>168960</v>
      </c>
      <c r="AB779" s="411"/>
      <c r="AC779" s="412">
        <f>AB779*Y779</f>
        <v>0</v>
      </c>
      <c r="AD779" s="405"/>
      <c r="AE779" s="405"/>
      <c r="AF779" s="424">
        <f t="shared" si="180"/>
        <v>168960</v>
      </c>
      <c r="AG779" s="405" t="s">
        <v>1069</v>
      </c>
      <c r="AH779" s="405"/>
      <c r="AI779" s="405">
        <v>60</v>
      </c>
      <c r="AJ779" s="406" t="s">
        <v>1589</v>
      </c>
      <c r="AK779" s="406" t="s">
        <v>50</v>
      </c>
      <c r="AL779" s="414">
        <v>91311</v>
      </c>
      <c r="AM779" s="405" t="s">
        <v>52</v>
      </c>
      <c r="AN779" s="361" t="s">
        <v>50</v>
      </c>
      <c r="AO779" s="405" t="s">
        <v>1073</v>
      </c>
      <c r="AP779" s="413" t="s">
        <v>92</v>
      </c>
      <c r="AQ779" s="405" t="s">
        <v>37</v>
      </c>
      <c r="AR779" s="405"/>
      <c r="AS779" s="404"/>
      <c r="AT779" s="404"/>
      <c r="AU779" s="409"/>
      <c r="AV779" s="402" t="str">
        <f>U779</f>
        <v>30390456H</v>
      </c>
      <c r="AW779" s="402" cm="1">
        <f t="array" ref="AW779">SUM(MID(0&amp;AV779,LARGE(INDEX(ISNUMBER(--MID(AV779,ROW($1:$8),1))*ROW($1:$8),),ROW($1:$8))+1,1)*10^ROW($1:$8)/10)</f>
        <v>30390456</v>
      </c>
      <c r="AX779" s="402" t="str">
        <f>VLOOKUP($AW779,'Item Master Data'!$A:$F,3,FALSE)</f>
        <v>Q.PEAK DUO BLK ML G10+</v>
      </c>
      <c r="AY779" s="402">
        <f>VLOOKUP($AW779,'Item Master Data'!$A:$F,6,FALSE)</f>
        <v>400</v>
      </c>
      <c r="AZ779" s="402">
        <f>X779/BA779</f>
        <v>24</v>
      </c>
      <c r="BA779" s="402">
        <f>VLOOKUP(AW779,'Item Master Data'!$A:$G,7,FALSE)</f>
        <v>32</v>
      </c>
      <c r="BB779" s="402"/>
      <c r="BC779" s="402">
        <f>W779-AY779</f>
        <v>0</v>
      </c>
    </row>
    <row r="780" spans="1:55">
      <c r="A780" s="426" t="s">
        <v>4585</v>
      </c>
      <c r="B780" s="376">
        <v>44628</v>
      </c>
      <c r="C780" s="376">
        <v>44628</v>
      </c>
      <c r="D780" s="416" t="s">
        <v>86</v>
      </c>
      <c r="E780" s="405"/>
      <c r="F780" s="417"/>
      <c r="G780" s="359">
        <v>2022</v>
      </c>
      <c r="H780" s="405">
        <v>5</v>
      </c>
      <c r="I780" s="405"/>
      <c r="J780" s="406"/>
      <c r="K780" s="405" t="s">
        <v>1592</v>
      </c>
      <c r="L780" s="405" t="s">
        <v>1588</v>
      </c>
      <c r="M780" s="406">
        <v>44505</v>
      </c>
      <c r="N780" s="406">
        <v>44623</v>
      </c>
      <c r="O780" s="406">
        <v>44684</v>
      </c>
      <c r="P780" s="406" t="s">
        <v>1368</v>
      </c>
      <c r="Q780" s="406"/>
      <c r="R780" s="406"/>
      <c r="S780" s="405" t="s">
        <v>1510</v>
      </c>
      <c r="T780" s="405">
        <v>60</v>
      </c>
      <c r="U780" s="417">
        <v>49203132</v>
      </c>
      <c r="V780" s="405" t="s">
        <v>986</v>
      </c>
      <c r="W780" s="405">
        <v>360</v>
      </c>
      <c r="X780" s="382">
        <v>768</v>
      </c>
      <c r="Y780" s="365">
        <f t="shared" si="179"/>
        <v>276480</v>
      </c>
      <c r="Z780" s="409">
        <f>190.8/360</f>
        <v>0.53</v>
      </c>
      <c r="AA780" s="411">
        <f t="shared" si="175"/>
        <v>146534.39999999999</v>
      </c>
      <c r="AB780" s="411"/>
      <c r="AC780" s="412">
        <f>AB780*Y780</f>
        <v>0</v>
      </c>
      <c r="AD780" s="405"/>
      <c r="AE780" s="405"/>
      <c r="AF780" s="424">
        <f t="shared" si="180"/>
        <v>146534.39999999999</v>
      </c>
      <c r="AG780" s="405" t="s">
        <v>1069</v>
      </c>
      <c r="AH780" s="405"/>
      <c r="AI780" s="405">
        <v>60</v>
      </c>
      <c r="AJ780" s="406" t="s">
        <v>1589</v>
      </c>
      <c r="AK780" s="406" t="s">
        <v>50</v>
      </c>
      <c r="AL780" s="414">
        <v>91311</v>
      </c>
      <c r="AM780" s="405" t="s">
        <v>52</v>
      </c>
      <c r="AN780" s="361" t="s">
        <v>1071</v>
      </c>
      <c r="AO780" s="405" t="s">
        <v>1073</v>
      </c>
      <c r="AP780" s="413"/>
      <c r="AQ780" s="405" t="s">
        <v>37</v>
      </c>
      <c r="AR780" s="405"/>
      <c r="AS780" s="404"/>
      <c r="AT780" s="404"/>
      <c r="AU780" s="409"/>
      <c r="AV780" s="402"/>
      <c r="AW780" s="402"/>
      <c r="AX780" s="402"/>
      <c r="AY780" s="402"/>
      <c r="AZ780" s="402"/>
      <c r="BA780" s="402"/>
      <c r="BB780" s="402"/>
      <c r="BC780" s="402"/>
    </row>
    <row r="781" spans="1:55">
      <c r="A781" s="426" t="s">
        <v>4585</v>
      </c>
      <c r="B781" s="376">
        <v>44628</v>
      </c>
      <c r="C781" s="376">
        <v>44628</v>
      </c>
      <c r="D781" s="416" t="s">
        <v>86</v>
      </c>
      <c r="E781" s="405"/>
      <c r="F781" s="417"/>
      <c r="G781" s="359">
        <v>2022</v>
      </c>
      <c r="H781" s="405">
        <v>5</v>
      </c>
      <c r="I781" s="405"/>
      <c r="J781" s="406"/>
      <c r="K781" s="405" t="s">
        <v>1590</v>
      </c>
      <c r="L781" s="405" t="s">
        <v>1588</v>
      </c>
      <c r="M781" s="406">
        <v>44568</v>
      </c>
      <c r="N781" s="406">
        <v>44682</v>
      </c>
      <c r="O781" s="406"/>
      <c r="P781" s="406" t="s">
        <v>1368</v>
      </c>
      <c r="Q781" s="406"/>
      <c r="R781" s="406"/>
      <c r="S781" s="405" t="s">
        <v>1510</v>
      </c>
      <c r="T781" s="405">
        <v>60</v>
      </c>
      <c r="U781" s="417">
        <v>49204132</v>
      </c>
      <c r="V781" s="405" t="s">
        <v>1192</v>
      </c>
      <c r="W781" s="405">
        <v>360</v>
      </c>
      <c r="X781" s="382">
        <v>676</v>
      </c>
      <c r="Y781" s="365">
        <f t="shared" si="179"/>
        <v>243360</v>
      </c>
      <c r="Z781" s="409">
        <f>298.8/360</f>
        <v>0.83000000000000007</v>
      </c>
      <c r="AA781" s="411">
        <f t="shared" si="175"/>
        <v>201988.80000000002</v>
      </c>
      <c r="AB781" s="411"/>
      <c r="AC781" s="412">
        <v>0</v>
      </c>
      <c r="AD781" s="405"/>
      <c r="AE781" s="405"/>
      <c r="AF781" s="424">
        <f t="shared" si="180"/>
        <v>201988.80000000002</v>
      </c>
      <c r="AG781" s="405" t="s">
        <v>1069</v>
      </c>
      <c r="AH781" s="405"/>
      <c r="AI781" s="405">
        <v>60</v>
      </c>
      <c r="AJ781" s="406" t="s">
        <v>1589</v>
      </c>
      <c r="AK781" s="406" t="s">
        <v>50</v>
      </c>
      <c r="AL781" s="414">
        <v>91311</v>
      </c>
      <c r="AM781" s="405" t="s">
        <v>52</v>
      </c>
      <c r="AN781" s="361" t="s">
        <v>1071</v>
      </c>
      <c r="AO781" s="405" t="s">
        <v>1073</v>
      </c>
      <c r="AP781" s="413"/>
      <c r="AQ781" s="405" t="s">
        <v>37</v>
      </c>
      <c r="AR781" s="405"/>
      <c r="AS781" s="404"/>
      <c r="AT781" s="404"/>
      <c r="AU781" s="409">
        <v>0.72</v>
      </c>
      <c r="AV781" s="402">
        <f t="shared" ref="AV781:AV814" si="181">U781</f>
        <v>49204132</v>
      </c>
      <c r="AW781" s="402" cm="1">
        <f t="array" ref="AW781">SUM(MID(0&amp;AV781,LARGE(INDEX(ISNUMBER(--MID(AV781,ROW($1:$8),1))*ROW($1:$8),),ROW($1:$8))+1,1)*10^ROW($1:$8)/10)</f>
        <v>49204132</v>
      </c>
      <c r="AX781" s="402" t="str">
        <f>VLOOKUP($AW781,'Item Master Data'!$A:$F,3,FALSE)</f>
        <v>Q.PEAK DUO BLK G10+/AC</v>
      </c>
      <c r="AY781" s="402">
        <f>VLOOKUP($AW781,'Item Master Data'!$A:$F,6,FALSE)</f>
        <v>360</v>
      </c>
      <c r="AZ781" s="402">
        <f t="shared" ref="AZ781:AZ814" si="182">X781/BA781</f>
        <v>26</v>
      </c>
      <c r="BA781" s="402">
        <f>VLOOKUP(AW781,'Item Master Data'!$A:$G,7,FALSE)</f>
        <v>26</v>
      </c>
      <c r="BB781" s="402"/>
      <c r="BC781" s="402">
        <f t="shared" ref="BC781:BC814" si="183">W781-AY781</f>
        <v>0</v>
      </c>
    </row>
    <row r="782" spans="1:55">
      <c r="A782" s="426" t="s">
        <v>4584</v>
      </c>
      <c r="B782" s="376">
        <v>44656</v>
      </c>
      <c r="C782" s="376">
        <v>44656</v>
      </c>
      <c r="D782" s="416" t="s">
        <v>86</v>
      </c>
      <c r="E782" s="405"/>
      <c r="F782" s="417"/>
      <c r="G782" s="359">
        <v>2022</v>
      </c>
      <c r="H782" s="405">
        <v>5</v>
      </c>
      <c r="I782" s="405"/>
      <c r="J782" s="406"/>
      <c r="K782" s="405" t="s">
        <v>1612</v>
      </c>
      <c r="L782" s="405" t="s">
        <v>1603</v>
      </c>
      <c r="M782" s="406">
        <v>44505</v>
      </c>
      <c r="N782" s="406">
        <v>44589</v>
      </c>
      <c r="O782" s="406">
        <v>44701</v>
      </c>
      <c r="P782" s="406">
        <v>44663</v>
      </c>
      <c r="Q782" s="406"/>
      <c r="R782" s="406"/>
      <c r="S782" s="405" t="s">
        <v>1520</v>
      </c>
      <c r="T782" s="405">
        <v>60</v>
      </c>
      <c r="U782" s="417">
        <v>49203132</v>
      </c>
      <c r="V782" s="405" t="s">
        <v>986</v>
      </c>
      <c r="W782" s="405">
        <v>360</v>
      </c>
      <c r="X782" s="382">
        <f>1920-768</f>
        <v>1152</v>
      </c>
      <c r="Y782" s="365">
        <f t="shared" si="179"/>
        <v>414720</v>
      </c>
      <c r="Z782" s="409">
        <f>190.8/360</f>
        <v>0.53</v>
      </c>
      <c r="AA782" s="411">
        <f t="shared" si="175"/>
        <v>219801.60000000001</v>
      </c>
      <c r="AB782" s="411"/>
      <c r="AC782" s="412">
        <v>0</v>
      </c>
      <c r="AD782" s="405"/>
      <c r="AE782" s="405"/>
      <c r="AF782" s="424">
        <f t="shared" si="180"/>
        <v>219801.60000000001</v>
      </c>
      <c r="AG782" s="405" t="s">
        <v>1069</v>
      </c>
      <c r="AH782" s="405"/>
      <c r="AI782" s="405">
        <v>60</v>
      </c>
      <c r="AJ782" s="406" t="s">
        <v>1613</v>
      </c>
      <c r="AK782" s="406" t="s">
        <v>50</v>
      </c>
      <c r="AL782" s="414" t="s">
        <v>1614</v>
      </c>
      <c r="AM782" s="405" t="s">
        <v>52</v>
      </c>
      <c r="AN782" s="361" t="s">
        <v>1101</v>
      </c>
      <c r="AO782" s="405" t="s">
        <v>1073</v>
      </c>
      <c r="AP782" s="413"/>
      <c r="AQ782" s="405" t="s">
        <v>37</v>
      </c>
      <c r="AR782" s="405"/>
      <c r="AS782" s="404" t="s">
        <v>1072</v>
      </c>
      <c r="AT782" s="404"/>
      <c r="AU782" s="409"/>
      <c r="AV782" s="402">
        <f t="shared" si="181"/>
        <v>49203132</v>
      </c>
      <c r="AW782" s="402" cm="1">
        <f t="array" ref="AW782">SUM(MID(0&amp;AV782,LARGE(INDEX(ISNUMBER(--MID(AV782,ROW($1:$8),1))*ROW($1:$8),),ROW($1:$8))+1,1)*10^ROW($1:$8)/10)</f>
        <v>49203132</v>
      </c>
      <c r="AX782" s="402" t="str">
        <f>VLOOKUP($AW782,'Item Master Data'!$A:$F,3,FALSE)</f>
        <v>Q.PEAK DUO BLK G10+</v>
      </c>
      <c r="AY782" s="402">
        <f>VLOOKUP($AW782,'Item Master Data'!$A:$F,6,FALSE)</f>
        <v>360</v>
      </c>
      <c r="AZ782" s="402">
        <f t="shared" si="182"/>
        <v>36</v>
      </c>
      <c r="BA782" s="402">
        <f>VLOOKUP(AW782,'Item Master Data'!$A:$G,7,FALSE)</f>
        <v>32</v>
      </c>
      <c r="BB782" s="402"/>
      <c r="BC782" s="402">
        <f t="shared" si="183"/>
        <v>0</v>
      </c>
    </row>
    <row r="783" spans="1:55">
      <c r="A783" s="426" t="s">
        <v>4585</v>
      </c>
      <c r="B783" s="376"/>
      <c r="C783" s="376"/>
      <c r="D783" s="416" t="s">
        <v>86</v>
      </c>
      <c r="E783" s="405"/>
      <c r="F783" s="417"/>
      <c r="G783" s="359">
        <v>2022</v>
      </c>
      <c r="H783" s="405">
        <v>5</v>
      </c>
      <c r="I783" s="405"/>
      <c r="J783" s="406"/>
      <c r="K783" s="405" t="s">
        <v>1630</v>
      </c>
      <c r="L783" s="405" t="s">
        <v>1603</v>
      </c>
      <c r="M783" s="406">
        <v>44574</v>
      </c>
      <c r="N783" s="406">
        <v>44682</v>
      </c>
      <c r="O783" s="406">
        <v>44713</v>
      </c>
      <c r="P783" s="406"/>
      <c r="Q783" s="406" t="s">
        <v>4628</v>
      </c>
      <c r="R783" s="406"/>
      <c r="S783" s="405" t="s">
        <v>1520</v>
      </c>
      <c r="T783" s="405">
        <v>60</v>
      </c>
      <c r="U783" s="417">
        <v>49203132</v>
      </c>
      <c r="V783" s="405" t="s">
        <v>986</v>
      </c>
      <c r="W783" s="405">
        <v>360</v>
      </c>
      <c r="X783" s="382">
        <v>768</v>
      </c>
      <c r="Y783" s="365">
        <f t="shared" si="179"/>
        <v>276480</v>
      </c>
      <c r="Z783" s="409">
        <f>180/360</f>
        <v>0.5</v>
      </c>
      <c r="AA783" s="411">
        <f t="shared" si="175"/>
        <v>138240</v>
      </c>
      <c r="AB783" s="411"/>
      <c r="AC783" s="412">
        <f>AB783*Y783</f>
        <v>0</v>
      </c>
      <c r="AD783" s="405"/>
      <c r="AE783" s="405"/>
      <c r="AF783" s="424">
        <f t="shared" si="180"/>
        <v>138240</v>
      </c>
      <c r="AG783" s="405" t="s">
        <v>1069</v>
      </c>
      <c r="AH783" s="405"/>
      <c r="AI783" s="405">
        <v>60</v>
      </c>
      <c r="AJ783" s="406" t="s">
        <v>1613</v>
      </c>
      <c r="AK783" s="406" t="s">
        <v>50</v>
      </c>
      <c r="AL783" s="414" t="s">
        <v>1614</v>
      </c>
      <c r="AM783" s="405" t="s">
        <v>52</v>
      </c>
      <c r="AN783" s="361" t="s">
        <v>1071</v>
      </c>
      <c r="AO783" s="405" t="s">
        <v>1073</v>
      </c>
      <c r="AP783" s="413"/>
      <c r="AQ783" s="405" t="s">
        <v>37</v>
      </c>
      <c r="AR783" s="405" t="s">
        <v>1188</v>
      </c>
      <c r="AS783" s="404" t="s">
        <v>1392</v>
      </c>
      <c r="AT783" s="404"/>
      <c r="AU783" s="409">
        <f>180/360</f>
        <v>0.5</v>
      </c>
      <c r="AV783" s="402">
        <f t="shared" si="181"/>
        <v>49203132</v>
      </c>
      <c r="AW783" s="402" cm="1">
        <f t="array" ref="AW783">SUM(MID(0&amp;AV783,LARGE(INDEX(ISNUMBER(--MID(AV783,ROW($1:$8),1))*ROW($1:$8),),ROW($1:$8))+1,1)*10^ROW($1:$8)/10)</f>
        <v>49203132</v>
      </c>
      <c r="AX783" s="402" t="str">
        <f>VLOOKUP($AW783,'Item Master Data'!$A:$F,3,FALSE)</f>
        <v>Q.PEAK DUO BLK G10+</v>
      </c>
      <c r="AY783" s="402">
        <f>VLOOKUP($AW783,'Item Master Data'!$A:$F,6,FALSE)</f>
        <v>360</v>
      </c>
      <c r="AZ783" s="402">
        <f t="shared" si="182"/>
        <v>24</v>
      </c>
      <c r="BA783" s="402">
        <f>VLOOKUP(AW783,'Item Master Data'!$A:$G,7,FALSE)</f>
        <v>32</v>
      </c>
      <c r="BB783" s="402"/>
      <c r="BC783" s="402">
        <f t="shared" si="183"/>
        <v>0</v>
      </c>
    </row>
    <row r="784" spans="1:55">
      <c r="A784" s="426" t="s">
        <v>4584</v>
      </c>
      <c r="B784" s="376"/>
      <c r="C784" s="376"/>
      <c r="D784" s="416" t="s">
        <v>86</v>
      </c>
      <c r="E784" s="405"/>
      <c r="F784" s="417"/>
      <c r="G784" s="359">
        <v>2022</v>
      </c>
      <c r="H784" s="405">
        <v>5</v>
      </c>
      <c r="I784" s="405"/>
      <c r="J784" s="406"/>
      <c r="K784" s="405" t="s">
        <v>1630</v>
      </c>
      <c r="L784" s="405" t="s">
        <v>1603</v>
      </c>
      <c r="M784" s="406">
        <v>44574</v>
      </c>
      <c r="N784" s="406">
        <v>44682</v>
      </c>
      <c r="O784" s="406">
        <v>44704</v>
      </c>
      <c r="P784" s="406">
        <v>44691</v>
      </c>
      <c r="Q784" s="406"/>
      <c r="R784" s="406"/>
      <c r="S784" s="405" t="s">
        <v>1520</v>
      </c>
      <c r="T784" s="405">
        <v>60</v>
      </c>
      <c r="U784" s="417">
        <v>49204132</v>
      </c>
      <c r="V784" s="405" t="s">
        <v>1192</v>
      </c>
      <c r="W784" s="405">
        <v>360</v>
      </c>
      <c r="X784" s="382">
        <v>728</v>
      </c>
      <c r="Y784" s="365">
        <f t="shared" si="179"/>
        <v>262080</v>
      </c>
      <c r="Z784" s="409">
        <f>284.4/360</f>
        <v>0.78999999999999992</v>
      </c>
      <c r="AA784" s="411">
        <f t="shared" si="175"/>
        <v>207043.19999999998</v>
      </c>
      <c r="AB784" s="411"/>
      <c r="AC784" s="412">
        <f>AB784*Y784</f>
        <v>0</v>
      </c>
      <c r="AD784" s="405"/>
      <c r="AE784" s="405"/>
      <c r="AF784" s="424">
        <f t="shared" si="180"/>
        <v>207043.19999999998</v>
      </c>
      <c r="AG784" s="405" t="s">
        <v>1069</v>
      </c>
      <c r="AH784" s="405"/>
      <c r="AI784" s="405">
        <v>60</v>
      </c>
      <c r="AJ784" s="406" t="s">
        <v>1613</v>
      </c>
      <c r="AK784" s="406" t="s">
        <v>50</v>
      </c>
      <c r="AL784" s="414" t="s">
        <v>1614</v>
      </c>
      <c r="AM784" s="405" t="s">
        <v>52</v>
      </c>
      <c r="AN784" s="361" t="s">
        <v>1071</v>
      </c>
      <c r="AO784" s="405" t="s">
        <v>1073</v>
      </c>
      <c r="AP784" s="413"/>
      <c r="AQ784" s="405" t="s">
        <v>37</v>
      </c>
      <c r="AR784" s="405" t="s">
        <v>1188</v>
      </c>
      <c r="AS784" s="404" t="s">
        <v>1392</v>
      </c>
      <c r="AT784" s="404"/>
      <c r="AU784" s="409">
        <f>284.4/360</f>
        <v>0.78999999999999992</v>
      </c>
      <c r="AV784" s="402">
        <f t="shared" si="181"/>
        <v>49204132</v>
      </c>
      <c r="AW784" s="402" cm="1">
        <f t="array" ref="AW784">SUM(MID(0&amp;AV784,LARGE(INDEX(ISNUMBER(--MID(AV784,ROW($1:$8),1))*ROW($1:$8),),ROW($1:$8))+1,1)*10^ROW($1:$8)/10)</f>
        <v>49204132</v>
      </c>
      <c r="AX784" s="402" t="str">
        <f>VLOOKUP($AW784,'Item Master Data'!$A:$F,3,FALSE)</f>
        <v>Q.PEAK DUO BLK G10+/AC</v>
      </c>
      <c r="AY784" s="402">
        <f>VLOOKUP($AW784,'Item Master Data'!$A:$F,6,FALSE)</f>
        <v>360</v>
      </c>
      <c r="AZ784" s="402">
        <f t="shared" si="182"/>
        <v>28</v>
      </c>
      <c r="BA784" s="402">
        <f>VLOOKUP(AW784,'Item Master Data'!$A:$G,7,FALSE)</f>
        <v>26</v>
      </c>
      <c r="BB784" s="402"/>
      <c r="BC784" s="402">
        <f t="shared" si="183"/>
        <v>0</v>
      </c>
    </row>
    <row r="785" spans="1:55">
      <c r="A785" s="426" t="s">
        <v>4585</v>
      </c>
      <c r="B785" s="376"/>
      <c r="C785" s="376"/>
      <c r="D785" s="416" t="s">
        <v>86</v>
      </c>
      <c r="E785" s="405"/>
      <c r="F785" s="417"/>
      <c r="G785" s="359">
        <v>2022</v>
      </c>
      <c r="H785" s="405">
        <v>5</v>
      </c>
      <c r="I785" s="405"/>
      <c r="J785" s="406"/>
      <c r="K785" s="405" t="s">
        <v>4589</v>
      </c>
      <c r="L785" s="405" t="s">
        <v>1603</v>
      </c>
      <c r="M785" s="406">
        <v>44574</v>
      </c>
      <c r="N785" s="406">
        <v>44682</v>
      </c>
      <c r="O785" s="406">
        <v>44712</v>
      </c>
      <c r="P785" s="406"/>
      <c r="Q785" s="406"/>
      <c r="R785" s="406"/>
      <c r="S785" s="405" t="s">
        <v>1520</v>
      </c>
      <c r="T785" s="405">
        <v>60</v>
      </c>
      <c r="U785" s="417">
        <v>49204132</v>
      </c>
      <c r="V785" s="405" t="s">
        <v>1192</v>
      </c>
      <c r="W785" s="405">
        <v>360</v>
      </c>
      <c r="X785" s="382">
        <v>728</v>
      </c>
      <c r="Y785" s="365">
        <f t="shared" si="179"/>
        <v>262080</v>
      </c>
      <c r="Z785" s="409">
        <f>284.4/360</f>
        <v>0.78999999999999992</v>
      </c>
      <c r="AA785" s="411">
        <f t="shared" si="175"/>
        <v>207043.19999999998</v>
      </c>
      <c r="AB785" s="411"/>
      <c r="AC785" s="412">
        <f>AB785*Y785</f>
        <v>0</v>
      </c>
      <c r="AD785" s="405"/>
      <c r="AE785" s="405"/>
      <c r="AF785" s="424">
        <f t="shared" si="180"/>
        <v>207043.19999999998</v>
      </c>
      <c r="AG785" s="405" t="s">
        <v>1069</v>
      </c>
      <c r="AH785" s="405"/>
      <c r="AI785" s="405">
        <v>60</v>
      </c>
      <c r="AJ785" s="406" t="s">
        <v>1613</v>
      </c>
      <c r="AK785" s="406" t="s">
        <v>50</v>
      </c>
      <c r="AL785" s="414" t="s">
        <v>1614</v>
      </c>
      <c r="AM785" s="405" t="s">
        <v>52</v>
      </c>
      <c r="AN785" s="361" t="s">
        <v>1071</v>
      </c>
      <c r="AO785" s="405" t="s">
        <v>1073</v>
      </c>
      <c r="AP785" s="413"/>
      <c r="AQ785" s="405" t="s">
        <v>37</v>
      </c>
      <c r="AR785" s="405" t="s">
        <v>1188</v>
      </c>
      <c r="AS785" s="404" t="s">
        <v>1392</v>
      </c>
      <c r="AT785" s="404"/>
      <c r="AU785" s="409">
        <f>284.4/360</f>
        <v>0.78999999999999992</v>
      </c>
      <c r="AV785" s="402">
        <f t="shared" si="181"/>
        <v>49204132</v>
      </c>
      <c r="AW785" s="402" cm="1">
        <f t="array" ref="AW785">SUM(MID(0&amp;AV785,LARGE(INDEX(ISNUMBER(--MID(AV785,ROW($1:$8),1))*ROW($1:$8),),ROW($1:$8))+1,1)*10^ROW($1:$8)/10)</f>
        <v>49204132</v>
      </c>
      <c r="AX785" s="402" t="str">
        <f>VLOOKUP($AW785,'Item Master Data'!$A:$F,3,FALSE)</f>
        <v>Q.PEAK DUO BLK G10+/AC</v>
      </c>
      <c r="AY785" s="402">
        <f>VLOOKUP($AW785,'Item Master Data'!$A:$F,6,FALSE)</f>
        <v>360</v>
      </c>
      <c r="AZ785" s="402">
        <f t="shared" si="182"/>
        <v>28</v>
      </c>
      <c r="BA785" s="402">
        <f>VLOOKUP(AW785,'Item Master Data'!$A:$G,7,FALSE)</f>
        <v>26</v>
      </c>
      <c r="BB785" s="402"/>
      <c r="BC785" s="402">
        <f t="shared" si="183"/>
        <v>0</v>
      </c>
    </row>
    <row r="786" spans="1:55">
      <c r="A786" s="426" t="s">
        <v>4584</v>
      </c>
      <c r="B786" s="376">
        <v>44644</v>
      </c>
      <c r="C786" s="376">
        <v>44644</v>
      </c>
      <c r="D786" s="416" t="s">
        <v>86</v>
      </c>
      <c r="E786" s="405"/>
      <c r="F786" s="417"/>
      <c r="G786" s="359">
        <v>2022</v>
      </c>
      <c r="H786" s="405">
        <v>5</v>
      </c>
      <c r="I786" s="405"/>
      <c r="J786" s="406">
        <v>44684</v>
      </c>
      <c r="K786" s="405" t="s">
        <v>1618</v>
      </c>
      <c r="L786" s="405" t="s">
        <v>1608</v>
      </c>
      <c r="M786" s="406">
        <v>44510</v>
      </c>
      <c r="N786" s="406">
        <v>44630</v>
      </c>
      <c r="O786" s="406"/>
      <c r="P786" s="406">
        <v>44662</v>
      </c>
      <c r="Q786" s="406">
        <v>44684</v>
      </c>
      <c r="R786" s="406">
        <v>44687</v>
      </c>
      <c r="S786" s="405" t="s">
        <v>1510</v>
      </c>
      <c r="T786" s="405">
        <v>60</v>
      </c>
      <c r="U786" s="417">
        <v>49204132</v>
      </c>
      <c r="V786" s="405" t="s">
        <v>1192</v>
      </c>
      <c r="W786" s="405">
        <v>360</v>
      </c>
      <c r="X786" s="382">
        <v>1352</v>
      </c>
      <c r="Y786" s="365">
        <f t="shared" si="179"/>
        <v>486720</v>
      </c>
      <c r="Z786" s="409">
        <f>298.8/360</f>
        <v>0.83000000000000007</v>
      </c>
      <c r="AA786" s="411">
        <f t="shared" si="175"/>
        <v>403977.60000000003</v>
      </c>
      <c r="AB786" s="411"/>
      <c r="AC786" s="412">
        <f>AB786*Y786</f>
        <v>0</v>
      </c>
      <c r="AD786" s="405"/>
      <c r="AE786" s="405"/>
      <c r="AF786" s="424">
        <f t="shared" si="180"/>
        <v>403977.60000000003</v>
      </c>
      <c r="AG786" s="405" t="s">
        <v>1069</v>
      </c>
      <c r="AH786" s="405"/>
      <c r="AI786" s="405">
        <v>60</v>
      </c>
      <c r="AJ786" s="406" t="s">
        <v>1619</v>
      </c>
      <c r="AK786" s="406" t="s">
        <v>50</v>
      </c>
      <c r="AL786" s="414" t="s">
        <v>4376</v>
      </c>
      <c r="AM786" s="405" t="s">
        <v>52</v>
      </c>
      <c r="AN786" s="361" t="s">
        <v>1101</v>
      </c>
      <c r="AO786" s="405" t="s">
        <v>1073</v>
      </c>
      <c r="AP786" s="413"/>
      <c r="AQ786" s="405" t="s">
        <v>37</v>
      </c>
      <c r="AR786" s="405" t="s">
        <v>1620</v>
      </c>
      <c r="AS786" s="404"/>
      <c r="AT786" s="404"/>
      <c r="AU786" s="409">
        <f>273.6/360</f>
        <v>0.76</v>
      </c>
      <c r="AV786" s="402">
        <f t="shared" si="181"/>
        <v>49204132</v>
      </c>
      <c r="AW786" s="402" cm="1">
        <f t="array" ref="AW786">SUM(MID(0&amp;AV786,LARGE(INDEX(ISNUMBER(--MID(AV786,ROW($1:$8),1))*ROW($1:$8),),ROW($1:$8))+1,1)*10^ROW($1:$8)/10)</f>
        <v>49204132</v>
      </c>
      <c r="AX786" s="402" t="str">
        <f>VLOOKUP($AW786,'Item Master Data'!$A:$F,3,FALSE)</f>
        <v>Q.PEAK DUO BLK G10+/AC</v>
      </c>
      <c r="AY786" s="402">
        <f>VLOOKUP($AW786,'Item Master Data'!$A:$F,6,FALSE)</f>
        <v>360</v>
      </c>
      <c r="AZ786" s="402">
        <f t="shared" si="182"/>
        <v>52</v>
      </c>
      <c r="BA786" s="402">
        <f>VLOOKUP(AW786,'Item Master Data'!$A:$G,7,FALSE)</f>
        <v>26</v>
      </c>
      <c r="BB786" s="402"/>
      <c r="BC786" s="402">
        <f t="shared" si="183"/>
        <v>0</v>
      </c>
    </row>
    <row r="787" spans="1:55">
      <c r="A787" s="426" t="s">
        <v>4584</v>
      </c>
      <c r="B787" s="376">
        <v>44628</v>
      </c>
      <c r="C787" s="376">
        <v>44628</v>
      </c>
      <c r="D787" s="416" t="s">
        <v>86</v>
      </c>
      <c r="E787" s="405"/>
      <c r="F787" s="417"/>
      <c r="G787" s="359">
        <v>2022</v>
      </c>
      <c r="H787" s="405">
        <v>5</v>
      </c>
      <c r="I787" s="405"/>
      <c r="J787" s="406"/>
      <c r="K787" s="405" t="s">
        <v>1650</v>
      </c>
      <c r="L787" s="405" t="s">
        <v>1608</v>
      </c>
      <c r="M787" s="406">
        <v>44572</v>
      </c>
      <c r="N787" s="406">
        <v>44696</v>
      </c>
      <c r="O787" s="406"/>
      <c r="P787" s="406">
        <v>44690</v>
      </c>
      <c r="Q787" s="406">
        <v>44694</v>
      </c>
      <c r="R787" s="406">
        <v>44697</v>
      </c>
      <c r="S787" s="405" t="s">
        <v>1510</v>
      </c>
      <c r="T787" s="405">
        <v>60</v>
      </c>
      <c r="U787" s="417">
        <v>49203132</v>
      </c>
      <c r="V787" s="405" t="s">
        <v>986</v>
      </c>
      <c r="W787" s="405">
        <v>360</v>
      </c>
      <c r="X787" s="382">
        <v>832</v>
      </c>
      <c r="Y787" s="365">
        <f t="shared" si="179"/>
        <v>299520</v>
      </c>
      <c r="Z787" s="409">
        <f>190.8/360</f>
        <v>0.53</v>
      </c>
      <c r="AA787" s="411">
        <f t="shared" si="175"/>
        <v>158745.60000000001</v>
      </c>
      <c r="AB787" s="411"/>
      <c r="AC787" s="412">
        <v>0</v>
      </c>
      <c r="AD787" s="405"/>
      <c r="AE787" s="405"/>
      <c r="AF787" s="424">
        <f t="shared" si="180"/>
        <v>158745.60000000001</v>
      </c>
      <c r="AG787" s="405" t="s">
        <v>1069</v>
      </c>
      <c r="AH787" s="405"/>
      <c r="AI787" s="405">
        <v>60</v>
      </c>
      <c r="AJ787" s="406" t="s">
        <v>1616</v>
      </c>
      <c r="AK787" s="406" t="s">
        <v>50</v>
      </c>
      <c r="AL787" s="414" t="s">
        <v>1617</v>
      </c>
      <c r="AM787" s="405" t="s">
        <v>52</v>
      </c>
      <c r="AN787" s="361" t="s">
        <v>1101</v>
      </c>
      <c r="AO787" s="405" t="s">
        <v>1073</v>
      </c>
      <c r="AP787" s="413"/>
      <c r="AQ787" s="405" t="s">
        <v>37</v>
      </c>
      <c r="AR787" s="405" t="s">
        <v>1188</v>
      </c>
      <c r="AS787" s="404" t="s">
        <v>1392</v>
      </c>
      <c r="AT787" s="404"/>
      <c r="AU787" s="409">
        <v>0.5</v>
      </c>
      <c r="AV787" s="402">
        <f t="shared" si="181"/>
        <v>49203132</v>
      </c>
      <c r="AW787" s="402" cm="1">
        <f t="array" ref="AW787">SUM(MID(0&amp;AV787,LARGE(INDEX(ISNUMBER(--MID(AV787,ROW($1:$8),1))*ROW($1:$8),),ROW($1:$8))+1,1)*10^ROW($1:$8)/10)</f>
        <v>49203132</v>
      </c>
      <c r="AX787" s="402" t="str">
        <f>VLOOKUP($AW787,'Item Master Data'!$A:$F,3,FALSE)</f>
        <v>Q.PEAK DUO BLK G10+</v>
      </c>
      <c r="AY787" s="402">
        <f>VLOOKUP($AW787,'Item Master Data'!$A:$F,6,FALSE)</f>
        <v>360</v>
      </c>
      <c r="AZ787" s="402">
        <f t="shared" si="182"/>
        <v>26</v>
      </c>
      <c r="BA787" s="402">
        <f>VLOOKUP(AW787,'Item Master Data'!$A:$G,7,FALSE)</f>
        <v>32</v>
      </c>
      <c r="BB787" s="402"/>
      <c r="BC787" s="402">
        <f t="shared" si="183"/>
        <v>0</v>
      </c>
    </row>
    <row r="788" spans="1:55">
      <c r="A788" s="426" t="s">
        <v>4585</v>
      </c>
      <c r="B788" s="376">
        <v>44628</v>
      </c>
      <c r="C788" s="376">
        <v>44628</v>
      </c>
      <c r="D788" s="416" t="s">
        <v>86</v>
      </c>
      <c r="E788" s="405"/>
      <c r="F788" s="417"/>
      <c r="G788" s="359">
        <v>2022</v>
      </c>
      <c r="H788" s="405">
        <v>5</v>
      </c>
      <c r="I788" s="405"/>
      <c r="J788" s="406"/>
      <c r="K788" s="405" t="s">
        <v>1650</v>
      </c>
      <c r="L788" s="405" t="s">
        <v>1608</v>
      </c>
      <c r="M788" s="406">
        <v>44572</v>
      </c>
      <c r="N788" s="406">
        <v>44696</v>
      </c>
      <c r="O788" s="406"/>
      <c r="P788" s="406"/>
      <c r="Q788" s="406"/>
      <c r="R788" s="406"/>
      <c r="S788" s="405" t="s">
        <v>1510</v>
      </c>
      <c r="T788" s="405">
        <v>60</v>
      </c>
      <c r="U788" s="417">
        <v>49203132</v>
      </c>
      <c r="V788" s="405" t="s">
        <v>986</v>
      </c>
      <c r="W788" s="405">
        <v>360</v>
      </c>
      <c r="X788" s="382">
        <v>832</v>
      </c>
      <c r="Y788" s="365">
        <f t="shared" si="179"/>
        <v>299520</v>
      </c>
      <c r="Z788" s="409">
        <f>190.8/360</f>
        <v>0.53</v>
      </c>
      <c r="AA788" s="411">
        <f t="shared" si="175"/>
        <v>158745.60000000001</v>
      </c>
      <c r="AB788" s="411"/>
      <c r="AC788" s="412">
        <v>0</v>
      </c>
      <c r="AD788" s="405"/>
      <c r="AE788" s="405"/>
      <c r="AF788" s="424">
        <f t="shared" si="180"/>
        <v>158745.60000000001</v>
      </c>
      <c r="AG788" s="405" t="s">
        <v>1069</v>
      </c>
      <c r="AH788" s="405"/>
      <c r="AI788" s="405">
        <v>60</v>
      </c>
      <c r="AJ788" s="406" t="s">
        <v>1616</v>
      </c>
      <c r="AK788" s="406" t="s">
        <v>50</v>
      </c>
      <c r="AL788" s="414" t="s">
        <v>1617</v>
      </c>
      <c r="AM788" s="405" t="s">
        <v>52</v>
      </c>
      <c r="AN788" s="361" t="s">
        <v>1101</v>
      </c>
      <c r="AO788" s="405" t="s">
        <v>1073</v>
      </c>
      <c r="AP788" s="413"/>
      <c r="AQ788" s="405" t="s">
        <v>37</v>
      </c>
      <c r="AR788" s="405" t="s">
        <v>1188</v>
      </c>
      <c r="AS788" s="404" t="s">
        <v>1392</v>
      </c>
      <c r="AT788" s="404"/>
      <c r="AU788" s="409">
        <v>0.5</v>
      </c>
      <c r="AV788" s="402">
        <f t="shared" si="181"/>
        <v>49203132</v>
      </c>
      <c r="AW788" s="402" cm="1">
        <f t="array" ref="AW788">SUM(MID(0&amp;AV788,LARGE(INDEX(ISNUMBER(--MID(AV788,ROW($1:$8),1))*ROW($1:$8),),ROW($1:$8))+1,1)*10^ROW($1:$8)/10)</f>
        <v>49203132</v>
      </c>
      <c r="AX788" s="402" t="str">
        <f>VLOOKUP($AW788,'Item Master Data'!$A:$F,3,FALSE)</f>
        <v>Q.PEAK DUO BLK G10+</v>
      </c>
      <c r="AY788" s="402">
        <f>VLOOKUP($AW788,'Item Master Data'!$A:$F,6,FALSE)</f>
        <v>360</v>
      </c>
      <c r="AZ788" s="402">
        <f t="shared" si="182"/>
        <v>26</v>
      </c>
      <c r="BA788" s="402">
        <f>VLOOKUP(AW788,'Item Master Data'!$A:$G,7,FALSE)</f>
        <v>32</v>
      </c>
      <c r="BB788" s="402"/>
      <c r="BC788" s="402">
        <f t="shared" si="183"/>
        <v>0</v>
      </c>
    </row>
    <row r="789" spans="1:55">
      <c r="A789" s="426" t="s">
        <v>4584</v>
      </c>
      <c r="B789" s="376"/>
      <c r="C789" s="376"/>
      <c r="D789" s="416" t="s">
        <v>86</v>
      </c>
      <c r="E789" s="405" t="s">
        <v>4377</v>
      </c>
      <c r="F789" s="417"/>
      <c r="G789" s="359">
        <v>2022</v>
      </c>
      <c r="H789" s="405">
        <v>5</v>
      </c>
      <c r="I789" s="405" t="s">
        <v>4712</v>
      </c>
      <c r="J789" s="406">
        <v>44693</v>
      </c>
      <c r="K789" s="405" t="s">
        <v>1658</v>
      </c>
      <c r="L789" s="405" t="s">
        <v>1608</v>
      </c>
      <c r="M789" s="406">
        <v>44595</v>
      </c>
      <c r="N789" s="406">
        <v>44595</v>
      </c>
      <c r="O789" s="406"/>
      <c r="P789" s="406">
        <v>44685</v>
      </c>
      <c r="Q789" s="406">
        <v>44693</v>
      </c>
      <c r="R789" s="406">
        <v>44694</v>
      </c>
      <c r="S789" s="405" t="s">
        <v>1510</v>
      </c>
      <c r="T789" s="405">
        <v>60</v>
      </c>
      <c r="U789" s="417" t="s">
        <v>1237</v>
      </c>
      <c r="V789" s="405" t="s">
        <v>973</v>
      </c>
      <c r="W789" s="405">
        <v>400</v>
      </c>
      <c r="X789" s="382">
        <v>832</v>
      </c>
      <c r="Y789" s="365">
        <f t="shared" si="179"/>
        <v>332800</v>
      </c>
      <c r="Z789" s="409">
        <f>220/400</f>
        <v>0.55000000000000004</v>
      </c>
      <c r="AA789" s="411">
        <f t="shared" si="175"/>
        <v>183040.00000000003</v>
      </c>
      <c r="AB789" s="411"/>
      <c r="AC789" s="412">
        <f>AB789*Y789</f>
        <v>0</v>
      </c>
      <c r="AD789" s="405"/>
      <c r="AE789" s="405"/>
      <c r="AF789" s="424">
        <f t="shared" si="180"/>
        <v>183040.00000000003</v>
      </c>
      <c r="AG789" s="405" t="s">
        <v>1069</v>
      </c>
      <c r="AH789" s="405"/>
      <c r="AI789" s="405">
        <v>60</v>
      </c>
      <c r="AJ789" s="406" t="s">
        <v>1616</v>
      </c>
      <c r="AK789" s="406" t="s">
        <v>50</v>
      </c>
      <c r="AL789" s="414" t="s">
        <v>1617</v>
      </c>
      <c r="AM789" s="405" t="s">
        <v>52</v>
      </c>
      <c r="AN789" s="361" t="s">
        <v>50</v>
      </c>
      <c r="AO789" s="405" t="s">
        <v>1073</v>
      </c>
      <c r="AP789" s="413" t="s">
        <v>92</v>
      </c>
      <c r="AQ789" s="405" t="s">
        <v>37</v>
      </c>
      <c r="AR789" s="405" t="s">
        <v>1188</v>
      </c>
      <c r="AS789" s="404" t="s">
        <v>1392</v>
      </c>
      <c r="AT789" s="404"/>
      <c r="AU789" s="409">
        <f>180/360</f>
        <v>0.5</v>
      </c>
      <c r="AV789" s="402" t="str">
        <f t="shared" si="181"/>
        <v>30390456H</v>
      </c>
      <c r="AW789" s="402" cm="1">
        <f t="array" ref="AW789">SUM(MID(0&amp;AV789,LARGE(INDEX(ISNUMBER(--MID(AV789,ROW($1:$8),1))*ROW($1:$8),),ROW($1:$8))+1,1)*10^ROW($1:$8)/10)</f>
        <v>30390456</v>
      </c>
      <c r="AX789" s="402" t="str">
        <f>VLOOKUP($AW789,'Item Master Data'!$A:$F,3,FALSE)</f>
        <v>Q.PEAK DUO BLK ML G10+</v>
      </c>
      <c r="AY789" s="402">
        <f>VLOOKUP($AW789,'Item Master Data'!$A:$F,6,FALSE)</f>
        <v>400</v>
      </c>
      <c r="AZ789" s="402">
        <f t="shared" si="182"/>
        <v>26</v>
      </c>
      <c r="BA789" s="402">
        <f>VLOOKUP(AW789,'Item Master Data'!$A:$G,7,FALSE)</f>
        <v>32</v>
      </c>
      <c r="BB789" s="402"/>
      <c r="BC789" s="402">
        <f t="shared" si="183"/>
        <v>0</v>
      </c>
    </row>
    <row r="790" spans="1:55">
      <c r="A790" s="426" t="s">
        <v>4585</v>
      </c>
      <c r="B790" s="376"/>
      <c r="C790" s="376"/>
      <c r="D790" s="416" t="s">
        <v>86</v>
      </c>
      <c r="E790" s="405"/>
      <c r="F790" s="417"/>
      <c r="G790" s="359">
        <v>2022</v>
      </c>
      <c r="H790" s="405">
        <v>5</v>
      </c>
      <c r="I790" s="405"/>
      <c r="J790" s="406"/>
      <c r="K790" s="405" t="s">
        <v>1674</v>
      </c>
      <c r="L790" s="405" t="s">
        <v>1608</v>
      </c>
      <c r="M790" s="406">
        <v>44558</v>
      </c>
      <c r="N790" s="406">
        <v>44648</v>
      </c>
      <c r="O790" s="406"/>
      <c r="P790" s="406"/>
      <c r="Q790" s="406"/>
      <c r="R790" s="406"/>
      <c r="S790" s="405" t="s">
        <v>1510</v>
      </c>
      <c r="T790" s="405">
        <v>60</v>
      </c>
      <c r="U790" s="417">
        <v>49204132</v>
      </c>
      <c r="V790" s="405" t="s">
        <v>1192</v>
      </c>
      <c r="W790" s="405">
        <v>360</v>
      </c>
      <c r="X790" s="382">
        <v>676</v>
      </c>
      <c r="Y790" s="365">
        <f t="shared" si="179"/>
        <v>243360</v>
      </c>
      <c r="Z790" s="409">
        <f>298.8/360</f>
        <v>0.83000000000000007</v>
      </c>
      <c r="AA790" s="411">
        <f t="shared" si="175"/>
        <v>201988.80000000002</v>
      </c>
      <c r="AB790" s="411"/>
      <c r="AC790" s="412">
        <f>AB790*Y790</f>
        <v>0</v>
      </c>
      <c r="AD790" s="405"/>
      <c r="AE790" s="405"/>
      <c r="AF790" s="424">
        <f t="shared" si="180"/>
        <v>201988.80000000002</v>
      </c>
      <c r="AG790" s="405" t="s">
        <v>1069</v>
      </c>
      <c r="AH790" s="405"/>
      <c r="AI790" s="405">
        <v>60</v>
      </c>
      <c r="AJ790" s="406" t="s">
        <v>1616</v>
      </c>
      <c r="AK790" s="406" t="s">
        <v>50</v>
      </c>
      <c r="AL790" s="414" t="s">
        <v>1623</v>
      </c>
      <c r="AM790" s="405" t="s">
        <v>52</v>
      </c>
      <c r="AN790" s="361" t="s">
        <v>1101</v>
      </c>
      <c r="AO790" s="405" t="s">
        <v>1073</v>
      </c>
      <c r="AP790" s="413"/>
      <c r="AQ790" s="405" t="s">
        <v>37</v>
      </c>
      <c r="AR790" s="405" t="s">
        <v>1620</v>
      </c>
      <c r="AS790" s="404"/>
      <c r="AT790" s="404"/>
      <c r="AU790" s="409">
        <f>273.6/360</f>
        <v>0.76</v>
      </c>
      <c r="AV790" s="402">
        <f t="shared" si="181"/>
        <v>49204132</v>
      </c>
      <c r="AW790" s="402" cm="1">
        <f t="array" ref="AW790">SUM(MID(0&amp;AV790,LARGE(INDEX(ISNUMBER(--MID(AV790,ROW($1:$8),1))*ROW($1:$8),),ROW($1:$8))+1,1)*10^ROW($1:$8)/10)</f>
        <v>49204132</v>
      </c>
      <c r="AX790" s="402" t="str">
        <f>VLOOKUP($AW790,'Item Master Data'!$A:$F,3,FALSE)</f>
        <v>Q.PEAK DUO BLK G10+/AC</v>
      </c>
      <c r="AY790" s="402">
        <f>VLOOKUP($AW790,'Item Master Data'!$A:$F,6,FALSE)</f>
        <v>360</v>
      </c>
      <c r="AZ790" s="402">
        <f t="shared" si="182"/>
        <v>26</v>
      </c>
      <c r="BA790" s="402">
        <f>VLOOKUP(AW790,'Item Master Data'!$A:$G,7,FALSE)</f>
        <v>26</v>
      </c>
      <c r="BB790" s="402"/>
      <c r="BC790" s="402">
        <f t="shared" si="183"/>
        <v>0</v>
      </c>
    </row>
    <row r="791" spans="1:55">
      <c r="A791" s="426" t="s">
        <v>4584</v>
      </c>
      <c r="B791" s="376">
        <v>44677</v>
      </c>
      <c r="C791" s="376">
        <v>44677</v>
      </c>
      <c r="D791" s="416" t="s">
        <v>86</v>
      </c>
      <c r="E791" s="405" t="s">
        <v>4378</v>
      </c>
      <c r="F791" s="417"/>
      <c r="G791" s="359">
        <v>2022</v>
      </c>
      <c r="H791" s="405">
        <v>5</v>
      </c>
      <c r="I791" s="405" t="s">
        <v>4712</v>
      </c>
      <c r="J791" s="406">
        <v>44692</v>
      </c>
      <c r="K791" s="405" t="s">
        <v>1725</v>
      </c>
      <c r="L791" s="405" t="s">
        <v>1626</v>
      </c>
      <c r="M791" s="406">
        <v>44567</v>
      </c>
      <c r="N791" s="406">
        <v>44708</v>
      </c>
      <c r="O791" s="406"/>
      <c r="P791" s="406">
        <v>44678</v>
      </c>
      <c r="Q791" s="406">
        <v>44692</v>
      </c>
      <c r="R791" s="406">
        <v>44705</v>
      </c>
      <c r="S791" s="405" t="s">
        <v>1510</v>
      </c>
      <c r="T791" s="405">
        <v>60</v>
      </c>
      <c r="U791" s="417" t="s">
        <v>1237</v>
      </c>
      <c r="V791" s="405" t="s">
        <v>973</v>
      </c>
      <c r="W791" s="405">
        <v>400</v>
      </c>
      <c r="X791" s="382">
        <v>768</v>
      </c>
      <c r="Y791" s="365">
        <f t="shared" si="179"/>
        <v>307200</v>
      </c>
      <c r="Z791" s="409">
        <f>228/400</f>
        <v>0.56999999999999995</v>
      </c>
      <c r="AA791" s="411">
        <f t="shared" si="175"/>
        <v>175103.99999999997</v>
      </c>
      <c r="AB791" s="411"/>
      <c r="AC791" s="412">
        <f>AB791*Y791</f>
        <v>0</v>
      </c>
      <c r="AD791" s="405"/>
      <c r="AE791" s="405"/>
      <c r="AF791" s="424">
        <f t="shared" si="180"/>
        <v>175103.99999999997</v>
      </c>
      <c r="AG791" s="405" t="s">
        <v>1069</v>
      </c>
      <c r="AH791" s="405"/>
      <c r="AI791" s="405">
        <v>60</v>
      </c>
      <c r="AJ791" s="406" t="s">
        <v>1628</v>
      </c>
      <c r="AK791" s="406" t="s">
        <v>1501</v>
      </c>
      <c r="AL791" s="414" t="s">
        <v>1629</v>
      </c>
      <c r="AM791" s="405" t="s">
        <v>52</v>
      </c>
      <c r="AN791" s="361" t="s">
        <v>50</v>
      </c>
      <c r="AO791" s="405" t="s">
        <v>1073</v>
      </c>
      <c r="AP791" s="413" t="s">
        <v>92</v>
      </c>
      <c r="AQ791" s="405" t="s">
        <v>37</v>
      </c>
      <c r="AR791" s="405" t="s">
        <v>1632</v>
      </c>
      <c r="AS791" s="404" t="s">
        <v>1072</v>
      </c>
      <c r="AT791" s="404"/>
      <c r="AU791" s="409">
        <f>216/400</f>
        <v>0.54</v>
      </c>
      <c r="AV791" s="402" t="str">
        <f t="shared" si="181"/>
        <v>30390456H</v>
      </c>
      <c r="AW791" s="402" cm="1">
        <f t="array" ref="AW791">SUM(MID(0&amp;AV791,LARGE(INDEX(ISNUMBER(--MID(AV791,ROW($1:$8),1))*ROW($1:$8),),ROW($1:$8))+1,1)*10^ROW($1:$8)/10)</f>
        <v>30390456</v>
      </c>
      <c r="AX791" s="402" t="str">
        <f>VLOOKUP($AW791,'Item Master Data'!$A:$F,3,FALSE)</f>
        <v>Q.PEAK DUO BLK ML G10+</v>
      </c>
      <c r="AY791" s="402">
        <f>VLOOKUP($AW791,'Item Master Data'!$A:$F,6,FALSE)</f>
        <v>400</v>
      </c>
      <c r="AZ791" s="402">
        <f t="shared" si="182"/>
        <v>24</v>
      </c>
      <c r="BA791" s="402">
        <f>VLOOKUP(AW791,'Item Master Data'!$A:$G,7,FALSE)</f>
        <v>32</v>
      </c>
      <c r="BB791" s="402"/>
      <c r="BC791" s="402">
        <f t="shared" si="183"/>
        <v>0</v>
      </c>
    </row>
    <row r="792" spans="1:55">
      <c r="A792" s="426" t="s">
        <v>4584</v>
      </c>
      <c r="B792" s="376">
        <v>44677</v>
      </c>
      <c r="C792" s="376">
        <v>44656</v>
      </c>
      <c r="D792" s="416" t="s">
        <v>86</v>
      </c>
      <c r="E792" s="405"/>
      <c r="F792" s="417"/>
      <c r="G792" s="359">
        <v>2022</v>
      </c>
      <c r="H792" s="405">
        <v>5</v>
      </c>
      <c r="I792" s="405">
        <v>128595</v>
      </c>
      <c r="J792" s="406">
        <v>44690</v>
      </c>
      <c r="K792" s="405" t="s">
        <v>1731</v>
      </c>
      <c r="L792" s="405" t="s">
        <v>1642</v>
      </c>
      <c r="M792" s="406">
        <v>44538</v>
      </c>
      <c r="N792" s="406">
        <v>44634</v>
      </c>
      <c r="O792" s="406"/>
      <c r="P792" s="406">
        <v>44678</v>
      </c>
      <c r="Q792" s="406">
        <v>44690</v>
      </c>
      <c r="R792" s="406">
        <v>44692</v>
      </c>
      <c r="S792" s="405" t="s">
        <v>1520</v>
      </c>
      <c r="T792" s="405">
        <v>60</v>
      </c>
      <c r="U792" s="417" t="s">
        <v>1237</v>
      </c>
      <c r="V792" s="405" t="s">
        <v>973</v>
      </c>
      <c r="W792" s="405">
        <v>400</v>
      </c>
      <c r="X792" s="382">
        <v>768</v>
      </c>
      <c r="Y792" s="365">
        <f t="shared" si="179"/>
        <v>307200</v>
      </c>
      <c r="Z792" s="409">
        <f>220/400</f>
        <v>0.55000000000000004</v>
      </c>
      <c r="AA792" s="411">
        <f t="shared" si="175"/>
        <v>168960</v>
      </c>
      <c r="AB792" s="411"/>
      <c r="AC792" s="412"/>
      <c r="AD792" s="405"/>
      <c r="AE792" s="405"/>
      <c r="AF792" s="424">
        <f t="shared" si="180"/>
        <v>168960</v>
      </c>
      <c r="AG792" s="405" t="s">
        <v>1069</v>
      </c>
      <c r="AH792" s="405"/>
      <c r="AI792" s="405">
        <v>60</v>
      </c>
      <c r="AJ792" s="406" t="s">
        <v>1643</v>
      </c>
      <c r="AK792" s="406" t="s">
        <v>1341</v>
      </c>
      <c r="AL792" s="414">
        <v>83202</v>
      </c>
      <c r="AM792" s="405" t="s">
        <v>52</v>
      </c>
      <c r="AN792" s="361" t="s">
        <v>50</v>
      </c>
      <c r="AO792" s="405" t="s">
        <v>1073</v>
      </c>
      <c r="AP792" s="413" t="s">
        <v>92</v>
      </c>
      <c r="AQ792" s="405" t="s">
        <v>37</v>
      </c>
      <c r="AR792" s="405" t="s">
        <v>1243</v>
      </c>
      <c r="AS792" s="404"/>
      <c r="AT792" s="404"/>
      <c r="AU792" s="409">
        <f>196/400</f>
        <v>0.49</v>
      </c>
      <c r="AV792" s="402" t="str">
        <f t="shared" si="181"/>
        <v>30390456H</v>
      </c>
      <c r="AW792" s="402" cm="1">
        <f t="array" ref="AW792">SUM(MID(0&amp;AV792,LARGE(INDEX(ISNUMBER(--MID(AV792,ROW($1:$8),1))*ROW($1:$8),),ROW($1:$8))+1,1)*10^ROW($1:$8)/10)</f>
        <v>30390456</v>
      </c>
      <c r="AX792" s="402" t="str">
        <f>VLOOKUP($AW792,'Item Master Data'!$A:$F,3,FALSE)</f>
        <v>Q.PEAK DUO BLK ML G10+</v>
      </c>
      <c r="AY792" s="402">
        <f>VLOOKUP($AW792,'Item Master Data'!$A:$F,6,FALSE)</f>
        <v>400</v>
      </c>
      <c r="AZ792" s="402">
        <f t="shared" si="182"/>
        <v>24</v>
      </c>
      <c r="BA792" s="402">
        <f>VLOOKUP(AW792,'Item Master Data'!$A:$G,7,FALSE)</f>
        <v>32</v>
      </c>
      <c r="BB792" s="402"/>
      <c r="BC792" s="402">
        <f t="shared" si="183"/>
        <v>0</v>
      </c>
    </row>
    <row r="793" spans="1:55">
      <c r="A793" s="426" t="s">
        <v>4584</v>
      </c>
      <c r="B793" s="376">
        <v>44628</v>
      </c>
      <c r="C793" s="376"/>
      <c r="D793" s="416" t="s">
        <v>86</v>
      </c>
      <c r="E793" s="405"/>
      <c r="F793" s="417"/>
      <c r="G793" s="359">
        <v>2022</v>
      </c>
      <c r="H793" s="405">
        <v>5</v>
      </c>
      <c r="I793" s="405"/>
      <c r="J793" s="406"/>
      <c r="K793" s="405" t="s">
        <v>4727</v>
      </c>
      <c r="L793" s="405" t="s">
        <v>1633</v>
      </c>
      <c r="M793" s="406">
        <v>44588</v>
      </c>
      <c r="N793" s="406">
        <v>44647</v>
      </c>
      <c r="O793" s="406"/>
      <c r="P793" s="406">
        <v>44691</v>
      </c>
      <c r="Q793" s="406"/>
      <c r="R793" s="406"/>
      <c r="S793" s="405" t="s">
        <v>1520</v>
      </c>
      <c r="T793" s="405">
        <v>60</v>
      </c>
      <c r="U793" s="417">
        <v>49204132</v>
      </c>
      <c r="V793" s="405" t="s">
        <v>1192</v>
      </c>
      <c r="W793" s="405">
        <v>360</v>
      </c>
      <c r="X793" s="382">
        <v>676</v>
      </c>
      <c r="Y793" s="365">
        <f t="shared" si="179"/>
        <v>243360</v>
      </c>
      <c r="Z793" s="409">
        <v>0.83000000000000007</v>
      </c>
      <c r="AA793" s="411">
        <v>403977.60000000003</v>
      </c>
      <c r="AB793" s="411"/>
      <c r="AC793" s="412">
        <v>0</v>
      </c>
      <c r="AD793" s="405"/>
      <c r="AE793" s="405"/>
      <c r="AF793" s="424">
        <v>403977.60000000003</v>
      </c>
      <c r="AG793" s="405" t="s">
        <v>1069</v>
      </c>
      <c r="AH793" s="405"/>
      <c r="AI793" s="405">
        <v>60</v>
      </c>
      <c r="AJ793" s="406" t="s">
        <v>1637</v>
      </c>
      <c r="AK793" s="406" t="s">
        <v>1599</v>
      </c>
      <c r="AL793" s="414" t="s">
        <v>1638</v>
      </c>
      <c r="AM793" s="405" t="s">
        <v>52</v>
      </c>
      <c r="AN793" s="361" t="s">
        <v>1071</v>
      </c>
      <c r="AO793" s="405" t="s">
        <v>1073</v>
      </c>
      <c r="AP793" s="413"/>
      <c r="AQ793" s="405" t="s">
        <v>37</v>
      </c>
      <c r="AR793" s="405" t="s">
        <v>1188</v>
      </c>
      <c r="AS793" s="404" t="s">
        <v>1392</v>
      </c>
      <c r="AT793" s="404"/>
      <c r="AU793" s="409">
        <v>0.52</v>
      </c>
      <c r="AV793" s="402">
        <f t="shared" si="181"/>
        <v>49204132</v>
      </c>
      <c r="AW793" s="402" cm="1">
        <f t="array" ref="AW793">SUM(MID(0&amp;AV793,LARGE(INDEX(ISNUMBER(--MID(AV793,ROW($1:$8),1))*ROW($1:$8),),ROW($1:$8))+1,1)*10^ROW($1:$8)/10)</f>
        <v>49204132</v>
      </c>
      <c r="AX793" s="402" t="str">
        <f>VLOOKUP($AW793,'Item Master Data'!$A:$F,3,FALSE)</f>
        <v>Q.PEAK DUO BLK G10+/AC</v>
      </c>
      <c r="AY793" s="402">
        <f>VLOOKUP($AW793,'Item Master Data'!$A:$F,6,FALSE)</f>
        <v>360</v>
      </c>
      <c r="AZ793" s="402">
        <f t="shared" si="182"/>
        <v>26</v>
      </c>
      <c r="BA793" s="402">
        <f>VLOOKUP(AW793,'Item Master Data'!$A:$G,7,FALSE)</f>
        <v>26</v>
      </c>
      <c r="BB793" s="402"/>
      <c r="BC793" s="402">
        <f t="shared" si="183"/>
        <v>0</v>
      </c>
    </row>
    <row r="794" spans="1:55">
      <c r="A794" s="426" t="s">
        <v>4585</v>
      </c>
      <c r="B794" s="376">
        <v>44628</v>
      </c>
      <c r="C794" s="376"/>
      <c r="D794" s="416" t="s">
        <v>86</v>
      </c>
      <c r="E794" s="405"/>
      <c r="F794" s="417"/>
      <c r="G794" s="359">
        <v>2022</v>
      </c>
      <c r="H794" s="405">
        <v>5</v>
      </c>
      <c r="I794" s="405"/>
      <c r="J794" s="406"/>
      <c r="K794" s="405" t="s">
        <v>1734</v>
      </c>
      <c r="L794" s="405" t="s">
        <v>1633</v>
      </c>
      <c r="M794" s="406">
        <v>44588</v>
      </c>
      <c r="N794" s="406">
        <v>44678</v>
      </c>
      <c r="O794" s="406"/>
      <c r="P794" s="406"/>
      <c r="Q794" s="406"/>
      <c r="R794" s="406"/>
      <c r="S794" s="405" t="s">
        <v>1520</v>
      </c>
      <c r="T794" s="405">
        <v>60</v>
      </c>
      <c r="U794" s="417">
        <v>49204132</v>
      </c>
      <c r="V794" s="405" t="s">
        <v>1192</v>
      </c>
      <c r="W794" s="405">
        <v>360</v>
      </c>
      <c r="X794" s="382">
        <v>676</v>
      </c>
      <c r="Y794" s="365">
        <f t="shared" si="179"/>
        <v>243360</v>
      </c>
      <c r="Z794" s="409">
        <v>0.83000000000000007</v>
      </c>
      <c r="AA794" s="411">
        <v>403977.60000000003</v>
      </c>
      <c r="AB794" s="411"/>
      <c r="AC794" s="412">
        <v>0</v>
      </c>
      <c r="AD794" s="405"/>
      <c r="AE794" s="405"/>
      <c r="AF794" s="424">
        <v>403977.60000000003</v>
      </c>
      <c r="AG794" s="405" t="s">
        <v>1069</v>
      </c>
      <c r="AH794" s="405"/>
      <c r="AI794" s="405">
        <v>60</v>
      </c>
      <c r="AJ794" s="406" t="s">
        <v>1637</v>
      </c>
      <c r="AK794" s="406" t="s">
        <v>1599</v>
      </c>
      <c r="AL794" s="414" t="s">
        <v>1638</v>
      </c>
      <c r="AM794" s="405" t="s">
        <v>52</v>
      </c>
      <c r="AN794" s="361" t="s">
        <v>1071</v>
      </c>
      <c r="AO794" s="405" t="s">
        <v>1073</v>
      </c>
      <c r="AP794" s="413"/>
      <c r="AQ794" s="405" t="s">
        <v>37</v>
      </c>
      <c r="AR794" s="405" t="s">
        <v>1188</v>
      </c>
      <c r="AS794" s="404" t="s">
        <v>1392</v>
      </c>
      <c r="AT794" s="404"/>
      <c r="AU794" s="409">
        <v>0.52</v>
      </c>
      <c r="AV794" s="402">
        <f t="shared" si="181"/>
        <v>49204132</v>
      </c>
      <c r="AW794" s="402" cm="1">
        <f t="array" ref="AW794">SUM(MID(0&amp;AV794,LARGE(INDEX(ISNUMBER(--MID(AV794,ROW($1:$8),1))*ROW($1:$8),),ROW($1:$8))+1,1)*10^ROW($1:$8)/10)</f>
        <v>49204132</v>
      </c>
      <c r="AX794" s="402" t="str">
        <f>VLOOKUP($AW794,'Item Master Data'!$A:$F,3,FALSE)</f>
        <v>Q.PEAK DUO BLK G10+/AC</v>
      </c>
      <c r="AY794" s="402">
        <f>VLOOKUP($AW794,'Item Master Data'!$A:$F,6,FALSE)</f>
        <v>360</v>
      </c>
      <c r="AZ794" s="402">
        <f t="shared" si="182"/>
        <v>26</v>
      </c>
      <c r="BA794" s="402">
        <f>VLOOKUP(AW794,'Item Master Data'!$A:$G,7,FALSE)</f>
        <v>26</v>
      </c>
      <c r="BB794" s="402"/>
      <c r="BC794" s="402">
        <f t="shared" si="183"/>
        <v>0</v>
      </c>
    </row>
    <row r="795" spans="1:55">
      <c r="A795" s="426" t="s">
        <v>4584</v>
      </c>
      <c r="B795" s="376">
        <v>44628</v>
      </c>
      <c r="C795" s="376"/>
      <c r="D795" s="416" t="s">
        <v>86</v>
      </c>
      <c r="E795" s="405"/>
      <c r="F795" s="417"/>
      <c r="G795" s="359">
        <v>2022</v>
      </c>
      <c r="H795" s="405">
        <v>5</v>
      </c>
      <c r="I795" s="405">
        <v>128596</v>
      </c>
      <c r="J795" s="406">
        <v>44690</v>
      </c>
      <c r="K795" s="405" t="s">
        <v>1734</v>
      </c>
      <c r="L795" s="405" t="s">
        <v>1633</v>
      </c>
      <c r="M795" s="406">
        <v>44588</v>
      </c>
      <c r="N795" s="406">
        <v>44678</v>
      </c>
      <c r="O795" s="406"/>
      <c r="P795" s="406">
        <v>44678</v>
      </c>
      <c r="Q795" s="406">
        <v>44690</v>
      </c>
      <c r="R795" s="406">
        <v>44692</v>
      </c>
      <c r="S795" s="405" t="s">
        <v>1520</v>
      </c>
      <c r="T795" s="405">
        <v>60</v>
      </c>
      <c r="U795" s="417" t="s">
        <v>1237</v>
      </c>
      <c r="V795" s="405" t="s">
        <v>973</v>
      </c>
      <c r="W795" s="405">
        <v>400</v>
      </c>
      <c r="X795" s="382">
        <v>768</v>
      </c>
      <c r="Y795" s="365">
        <f t="shared" si="179"/>
        <v>307200</v>
      </c>
      <c r="Z795" s="409">
        <v>0.55000000000000004</v>
      </c>
      <c r="AA795" s="411">
        <v>168960</v>
      </c>
      <c r="AB795" s="411"/>
      <c r="AC795" s="412">
        <v>0</v>
      </c>
      <c r="AD795" s="405"/>
      <c r="AE795" s="405"/>
      <c r="AF795" s="424">
        <v>168960</v>
      </c>
      <c r="AG795" s="405" t="s">
        <v>1069</v>
      </c>
      <c r="AH795" s="405"/>
      <c r="AI795" s="405">
        <v>60</v>
      </c>
      <c r="AJ795" s="406" t="s">
        <v>1634</v>
      </c>
      <c r="AK795" s="406" t="s">
        <v>1599</v>
      </c>
      <c r="AL795" s="414" t="s">
        <v>1635</v>
      </c>
      <c r="AM795" s="405" t="s">
        <v>52</v>
      </c>
      <c r="AN795" s="361" t="s">
        <v>50</v>
      </c>
      <c r="AO795" s="405" t="s">
        <v>1073</v>
      </c>
      <c r="AP795" s="413" t="s">
        <v>92</v>
      </c>
      <c r="AQ795" s="405" t="s">
        <v>37</v>
      </c>
      <c r="AR795" s="405" t="s">
        <v>1188</v>
      </c>
      <c r="AS795" s="404" t="s">
        <v>1392</v>
      </c>
      <c r="AT795" s="404"/>
      <c r="AU795" s="409">
        <v>0.52</v>
      </c>
      <c r="AV795" s="402" t="str">
        <f t="shared" si="181"/>
        <v>30390456H</v>
      </c>
      <c r="AW795" s="402" cm="1">
        <f t="array" ref="AW795">SUM(MID(0&amp;AV795,LARGE(INDEX(ISNUMBER(--MID(AV795,ROW($1:$8),1))*ROW($1:$8),),ROW($1:$8))+1,1)*10^ROW($1:$8)/10)</f>
        <v>30390456</v>
      </c>
      <c r="AX795" s="402" t="str">
        <f>VLOOKUP($AW795,'Item Master Data'!$A:$F,3,FALSE)</f>
        <v>Q.PEAK DUO BLK ML G10+</v>
      </c>
      <c r="AY795" s="402">
        <f>VLOOKUP($AW795,'Item Master Data'!$A:$F,6,FALSE)</f>
        <v>400</v>
      </c>
      <c r="AZ795" s="402">
        <f t="shared" si="182"/>
        <v>24</v>
      </c>
      <c r="BA795" s="402">
        <f>VLOOKUP(AW795,'Item Master Data'!$A:$G,7,FALSE)</f>
        <v>32</v>
      </c>
      <c r="BB795" s="402"/>
      <c r="BC795" s="402">
        <f t="shared" si="183"/>
        <v>0</v>
      </c>
    </row>
    <row r="796" spans="1:55">
      <c r="A796" s="426" t="s">
        <v>4585</v>
      </c>
      <c r="B796" s="376"/>
      <c r="C796" s="376"/>
      <c r="D796" s="416" t="s">
        <v>86</v>
      </c>
      <c r="E796" s="405"/>
      <c r="F796" s="417"/>
      <c r="G796" s="359">
        <v>2022</v>
      </c>
      <c r="H796" s="405">
        <v>5</v>
      </c>
      <c r="I796" s="405"/>
      <c r="J796" s="406"/>
      <c r="K796" s="405" t="s">
        <v>1772</v>
      </c>
      <c r="L796" s="405" t="s">
        <v>1646</v>
      </c>
      <c r="M796" s="406">
        <v>44510</v>
      </c>
      <c r="N796" s="406">
        <v>44655</v>
      </c>
      <c r="O796" s="406"/>
      <c r="P796" s="406">
        <v>44678</v>
      </c>
      <c r="Q796" s="406">
        <v>44701</v>
      </c>
      <c r="R796" s="406">
        <v>44701</v>
      </c>
      <c r="S796" s="405" t="s">
        <v>1510</v>
      </c>
      <c r="T796" s="405">
        <v>60</v>
      </c>
      <c r="U796" s="417" t="s">
        <v>1237</v>
      </c>
      <c r="V796" s="405" t="s">
        <v>973</v>
      </c>
      <c r="W796" s="405">
        <v>400</v>
      </c>
      <c r="X796" s="382">
        <v>6656</v>
      </c>
      <c r="Y796" s="365">
        <f t="shared" si="179"/>
        <v>2662400</v>
      </c>
      <c r="Z796" s="409">
        <f>220/400</f>
        <v>0.55000000000000004</v>
      </c>
      <c r="AA796" s="411">
        <f t="shared" ref="AA796:AA822" si="184">Z796*Y796</f>
        <v>1464320.0000000002</v>
      </c>
      <c r="AB796" s="411"/>
      <c r="AC796" s="412">
        <v>0</v>
      </c>
      <c r="AD796" s="405"/>
      <c r="AE796" s="405"/>
      <c r="AF796" s="424">
        <f t="shared" ref="AF796:AF822" si="185">AE796+AD796+AA796</f>
        <v>1464320.0000000002</v>
      </c>
      <c r="AG796" s="405" t="s">
        <v>1069</v>
      </c>
      <c r="AH796" s="405"/>
      <c r="AI796" s="405">
        <v>60</v>
      </c>
      <c r="AJ796" s="406" t="s">
        <v>1647</v>
      </c>
      <c r="AK796" s="406" t="s">
        <v>50</v>
      </c>
      <c r="AL796" s="414" t="s">
        <v>1648</v>
      </c>
      <c r="AM796" s="405" t="s">
        <v>52</v>
      </c>
      <c r="AN796" s="361" t="s">
        <v>50</v>
      </c>
      <c r="AO796" s="405" t="s">
        <v>1073</v>
      </c>
      <c r="AP796" s="413" t="s">
        <v>92</v>
      </c>
      <c r="AQ796" s="405" t="s">
        <v>37</v>
      </c>
      <c r="AR796" s="405" t="s">
        <v>1773</v>
      </c>
      <c r="AS796" s="404"/>
      <c r="AT796" s="404"/>
      <c r="AU796" s="409">
        <f>196/400</f>
        <v>0.49</v>
      </c>
      <c r="AV796" s="402" t="str">
        <f t="shared" si="181"/>
        <v>30390456H</v>
      </c>
      <c r="AW796" s="402" cm="1">
        <f t="array" ref="AW796">SUM(MID(0&amp;AV796,LARGE(INDEX(ISNUMBER(--MID(AV796,ROW($1:$8),1))*ROW($1:$8),),ROW($1:$8))+1,1)*10^ROW($1:$8)/10)</f>
        <v>30390456</v>
      </c>
      <c r="AX796" s="402" t="str">
        <f>VLOOKUP($AW796,'Item Master Data'!$A:$F,3,FALSE)</f>
        <v>Q.PEAK DUO BLK ML G10+</v>
      </c>
      <c r="AY796" s="402">
        <f>VLOOKUP($AW796,'Item Master Data'!$A:$F,6,FALSE)</f>
        <v>400</v>
      </c>
      <c r="AZ796" s="402">
        <f t="shared" si="182"/>
        <v>208</v>
      </c>
      <c r="BA796" s="402">
        <f>VLOOKUP(AW796,'Item Master Data'!$A:$G,7,FALSE)</f>
        <v>32</v>
      </c>
      <c r="BB796" s="402"/>
      <c r="BC796" s="402">
        <f t="shared" si="183"/>
        <v>0</v>
      </c>
    </row>
    <row r="797" spans="1:55">
      <c r="A797" s="426" t="s">
        <v>4584</v>
      </c>
      <c r="B797" s="376"/>
      <c r="C797" s="376"/>
      <c r="D797" s="416" t="s">
        <v>86</v>
      </c>
      <c r="E797" s="405"/>
      <c r="F797" s="417"/>
      <c r="G797" s="359">
        <v>2022</v>
      </c>
      <c r="H797" s="405">
        <v>5</v>
      </c>
      <c r="I797" s="405"/>
      <c r="J797" s="406">
        <v>44693</v>
      </c>
      <c r="K797" s="405" t="s">
        <v>1774</v>
      </c>
      <c r="L797" s="405" t="s">
        <v>1646</v>
      </c>
      <c r="M797" s="406">
        <v>44510</v>
      </c>
      <c r="N797" s="406">
        <v>44683</v>
      </c>
      <c r="O797" s="406"/>
      <c r="P797" s="406">
        <v>44678</v>
      </c>
      <c r="Q797" s="406">
        <v>44693</v>
      </c>
      <c r="R797" s="406">
        <v>44693</v>
      </c>
      <c r="S797" s="405" t="s">
        <v>1510</v>
      </c>
      <c r="T797" s="405">
        <v>60</v>
      </c>
      <c r="U797" s="417" t="s">
        <v>1237</v>
      </c>
      <c r="V797" s="405" t="s">
        <v>973</v>
      </c>
      <c r="W797" s="405">
        <v>400</v>
      </c>
      <c r="X797" s="382">
        <v>1920</v>
      </c>
      <c r="Y797" s="365">
        <f t="shared" si="179"/>
        <v>768000</v>
      </c>
      <c r="Z797" s="409">
        <f>220/400</f>
        <v>0.55000000000000004</v>
      </c>
      <c r="AA797" s="411">
        <f t="shared" si="184"/>
        <v>422400.00000000006</v>
      </c>
      <c r="AB797" s="411"/>
      <c r="AC797" s="412">
        <v>0</v>
      </c>
      <c r="AD797" s="405"/>
      <c r="AE797" s="405"/>
      <c r="AF797" s="424">
        <f t="shared" si="185"/>
        <v>422400.00000000006</v>
      </c>
      <c r="AG797" s="405" t="s">
        <v>1069</v>
      </c>
      <c r="AH797" s="405"/>
      <c r="AI797" s="405">
        <v>60</v>
      </c>
      <c r="AJ797" s="406" t="s">
        <v>1647</v>
      </c>
      <c r="AK797" s="406" t="s">
        <v>50</v>
      </c>
      <c r="AL797" s="414" t="s">
        <v>1648</v>
      </c>
      <c r="AM797" s="405" t="s">
        <v>52</v>
      </c>
      <c r="AN797" s="361" t="s">
        <v>50</v>
      </c>
      <c r="AO797" s="405" t="s">
        <v>1073</v>
      </c>
      <c r="AP797" s="413" t="s">
        <v>92</v>
      </c>
      <c r="AQ797" s="405" t="s">
        <v>37</v>
      </c>
      <c r="AR797" s="405" t="s">
        <v>1773</v>
      </c>
      <c r="AS797" s="404"/>
      <c r="AT797" s="404"/>
      <c r="AU797" s="409">
        <f>196/400</f>
        <v>0.49</v>
      </c>
      <c r="AV797" s="402" t="str">
        <f t="shared" si="181"/>
        <v>30390456H</v>
      </c>
      <c r="AW797" s="402" cm="1">
        <f t="array" ref="AW797">SUM(MID(0&amp;AV797,LARGE(INDEX(ISNUMBER(--MID(AV797,ROW($1:$8),1))*ROW($1:$8),),ROW($1:$8))+1,1)*10^ROW($1:$8)/10)</f>
        <v>30390456</v>
      </c>
      <c r="AX797" s="402" t="str">
        <f>VLOOKUP($AW797,'Item Master Data'!$A:$F,3,FALSE)</f>
        <v>Q.PEAK DUO BLK ML G10+</v>
      </c>
      <c r="AY797" s="402">
        <f>VLOOKUP($AW797,'Item Master Data'!$A:$F,6,FALSE)</f>
        <v>400</v>
      </c>
      <c r="AZ797" s="402">
        <f t="shared" si="182"/>
        <v>60</v>
      </c>
      <c r="BA797" s="402">
        <f>VLOOKUP(AW797,'Item Master Data'!$A:$G,7,FALSE)</f>
        <v>32</v>
      </c>
      <c r="BB797" s="402"/>
      <c r="BC797" s="402">
        <f t="shared" si="183"/>
        <v>0</v>
      </c>
    </row>
    <row r="798" spans="1:55">
      <c r="A798" s="426" t="s">
        <v>4584</v>
      </c>
      <c r="B798" s="376"/>
      <c r="C798" s="376"/>
      <c r="D798" s="416" t="s">
        <v>86</v>
      </c>
      <c r="E798" s="405"/>
      <c r="F798" s="417"/>
      <c r="G798" s="359">
        <v>2022</v>
      </c>
      <c r="H798" s="405">
        <v>5</v>
      </c>
      <c r="I798" s="405">
        <v>128597</v>
      </c>
      <c r="J798" s="406">
        <v>44690</v>
      </c>
      <c r="K798" s="405" t="s">
        <v>1771</v>
      </c>
      <c r="L798" s="405" t="s">
        <v>1646</v>
      </c>
      <c r="M798" s="406">
        <v>44516</v>
      </c>
      <c r="N798" s="406">
        <v>44653</v>
      </c>
      <c r="O798" s="406"/>
      <c r="P798" s="406">
        <v>44678</v>
      </c>
      <c r="Q798" s="406">
        <v>44690</v>
      </c>
      <c r="R798" s="406">
        <v>44690</v>
      </c>
      <c r="S798" s="405" t="s">
        <v>1510</v>
      </c>
      <c r="T798" s="405">
        <v>60</v>
      </c>
      <c r="U798" s="417" t="s">
        <v>1237</v>
      </c>
      <c r="V798" s="405" t="s">
        <v>973</v>
      </c>
      <c r="W798" s="405">
        <v>400</v>
      </c>
      <c r="X798" s="382">
        <v>2304</v>
      </c>
      <c r="Y798" s="365">
        <f t="shared" si="179"/>
        <v>921600</v>
      </c>
      <c r="Z798" s="409">
        <f>220/400</f>
        <v>0.55000000000000004</v>
      </c>
      <c r="AA798" s="411">
        <f t="shared" si="184"/>
        <v>506880.00000000006</v>
      </c>
      <c r="AB798" s="411"/>
      <c r="AC798" s="412">
        <v>0</v>
      </c>
      <c r="AD798" s="405"/>
      <c r="AE798" s="405"/>
      <c r="AF798" s="424">
        <f t="shared" si="185"/>
        <v>506880.00000000006</v>
      </c>
      <c r="AG798" s="405" t="s">
        <v>1069</v>
      </c>
      <c r="AH798" s="405"/>
      <c r="AI798" s="405">
        <v>60</v>
      </c>
      <c r="AJ798" s="406" t="s">
        <v>1647</v>
      </c>
      <c r="AK798" s="406" t="s">
        <v>50</v>
      </c>
      <c r="AL798" s="414" t="s">
        <v>1648</v>
      </c>
      <c r="AM798" s="405" t="s">
        <v>52</v>
      </c>
      <c r="AN798" s="361" t="s">
        <v>50</v>
      </c>
      <c r="AO798" s="405" t="s">
        <v>1073</v>
      </c>
      <c r="AP798" s="413" t="s">
        <v>92</v>
      </c>
      <c r="AQ798" s="405" t="s">
        <v>37</v>
      </c>
      <c r="AR798" s="405" t="s">
        <v>1649</v>
      </c>
      <c r="AS798" s="404"/>
      <c r="AT798" s="404"/>
      <c r="AU798" s="409">
        <f>196/400</f>
        <v>0.49</v>
      </c>
      <c r="AV798" s="402" t="str">
        <f t="shared" si="181"/>
        <v>30390456H</v>
      </c>
      <c r="AW798" s="402" cm="1">
        <f t="array" ref="AW798">SUM(MID(0&amp;AV798,LARGE(INDEX(ISNUMBER(--MID(AV798,ROW($1:$8),1))*ROW($1:$8),),ROW($1:$8))+1,1)*10^ROW($1:$8)/10)</f>
        <v>30390456</v>
      </c>
      <c r="AX798" s="402" t="str">
        <f>VLOOKUP($AW798,'Item Master Data'!$A:$F,3,FALSE)</f>
        <v>Q.PEAK DUO BLK ML G10+</v>
      </c>
      <c r="AY798" s="402">
        <f>VLOOKUP($AW798,'Item Master Data'!$A:$F,6,FALSE)</f>
        <v>400</v>
      </c>
      <c r="AZ798" s="402">
        <f t="shared" si="182"/>
        <v>72</v>
      </c>
      <c r="BA798" s="402">
        <f>VLOOKUP(AW798,'Item Master Data'!$A:$G,7,FALSE)</f>
        <v>32</v>
      </c>
      <c r="BB798" s="402"/>
      <c r="BC798" s="402">
        <f t="shared" si="183"/>
        <v>0</v>
      </c>
    </row>
    <row r="799" spans="1:55">
      <c r="A799" s="426" t="s">
        <v>4584</v>
      </c>
      <c r="B799" s="376">
        <v>44617</v>
      </c>
      <c r="C799" s="376">
        <v>44616</v>
      </c>
      <c r="D799" s="416" t="s">
        <v>86</v>
      </c>
      <c r="E799" s="405" t="s">
        <v>4823</v>
      </c>
      <c r="F799" s="417"/>
      <c r="G799" s="359">
        <v>2022</v>
      </c>
      <c r="H799" s="405">
        <v>5</v>
      </c>
      <c r="I799" s="405"/>
      <c r="J799" s="406"/>
      <c r="K799" s="405" t="s">
        <v>1781</v>
      </c>
      <c r="L799" s="405" t="s">
        <v>1682</v>
      </c>
      <c r="M799" s="406">
        <v>44522</v>
      </c>
      <c r="N799" s="406">
        <v>44272</v>
      </c>
      <c r="O799" s="406">
        <v>44698</v>
      </c>
      <c r="P799" s="406">
        <v>44691</v>
      </c>
      <c r="Q799" s="406"/>
      <c r="R799" s="406"/>
      <c r="S799" s="405" t="s">
        <v>1520</v>
      </c>
      <c r="T799" s="405">
        <v>60</v>
      </c>
      <c r="U799" s="417">
        <v>49203132</v>
      </c>
      <c r="V799" s="405" t="s">
        <v>986</v>
      </c>
      <c r="W799" s="405">
        <v>360</v>
      </c>
      <c r="X799" s="382">
        <v>832</v>
      </c>
      <c r="Y799" s="365">
        <f t="shared" si="179"/>
        <v>299520</v>
      </c>
      <c r="Z799" s="409">
        <f>190.8/360</f>
        <v>0.53</v>
      </c>
      <c r="AA799" s="411">
        <f t="shared" si="184"/>
        <v>158745.60000000001</v>
      </c>
      <c r="AB799" s="411"/>
      <c r="AC799" s="412">
        <f>AB799*Y799</f>
        <v>0</v>
      </c>
      <c r="AD799" s="405"/>
      <c r="AE799" s="405"/>
      <c r="AF799" s="424">
        <f t="shared" si="185"/>
        <v>158745.60000000001</v>
      </c>
      <c r="AG799" s="405" t="s">
        <v>1069</v>
      </c>
      <c r="AH799" s="405"/>
      <c r="AI799" s="405">
        <v>60</v>
      </c>
      <c r="AJ799" s="406" t="s">
        <v>1584</v>
      </c>
      <c r="AK799" s="406" t="s">
        <v>50</v>
      </c>
      <c r="AL799" s="414">
        <v>95834</v>
      </c>
      <c r="AM799" s="405" t="s">
        <v>52</v>
      </c>
      <c r="AN799" s="361" t="s">
        <v>1071</v>
      </c>
      <c r="AO799" s="405" t="s">
        <v>1073</v>
      </c>
      <c r="AP799" s="413"/>
      <c r="AQ799" s="405" t="s">
        <v>37</v>
      </c>
      <c r="AR799" s="405"/>
      <c r="AS799" s="404"/>
      <c r="AT799" s="404"/>
      <c r="AU799" s="409">
        <f>180/360</f>
        <v>0.5</v>
      </c>
      <c r="AV799" s="402">
        <f t="shared" si="181"/>
        <v>49203132</v>
      </c>
      <c r="AW799" s="402" cm="1">
        <f t="array" ref="AW799">SUM(MID(0&amp;AV799,LARGE(INDEX(ISNUMBER(--MID(AV799,ROW($1:$8),1))*ROW($1:$8),),ROW($1:$8))+1,1)*10^ROW($1:$8)/10)</f>
        <v>49203132</v>
      </c>
      <c r="AX799" s="402" t="str">
        <f>VLOOKUP($AW799,'Item Master Data'!$A:$F,3,FALSE)</f>
        <v>Q.PEAK DUO BLK G10+</v>
      </c>
      <c r="AY799" s="402">
        <f>VLOOKUP($AW799,'Item Master Data'!$A:$F,6,FALSE)</f>
        <v>360</v>
      </c>
      <c r="AZ799" s="402">
        <f t="shared" si="182"/>
        <v>26</v>
      </c>
      <c r="BA799" s="402">
        <f>VLOOKUP(AW799,'Item Master Data'!$A:$G,7,FALSE)</f>
        <v>32</v>
      </c>
      <c r="BB799" s="402"/>
      <c r="BC799" s="402">
        <f t="shared" si="183"/>
        <v>0</v>
      </c>
    </row>
    <row r="800" spans="1:55">
      <c r="A800" s="426" t="s">
        <v>4585</v>
      </c>
      <c r="B800" s="376">
        <v>44617</v>
      </c>
      <c r="C800" s="376">
        <v>44616</v>
      </c>
      <c r="D800" s="416" t="s">
        <v>86</v>
      </c>
      <c r="E800" s="405"/>
      <c r="F800" s="417"/>
      <c r="G800" s="359">
        <v>2022</v>
      </c>
      <c r="H800" s="405">
        <v>5</v>
      </c>
      <c r="I800" s="405"/>
      <c r="J800" s="406"/>
      <c r="K800" s="405" t="s">
        <v>1781</v>
      </c>
      <c r="L800" s="405" t="s">
        <v>1682</v>
      </c>
      <c r="M800" s="406">
        <v>44522</v>
      </c>
      <c r="N800" s="406">
        <v>44272</v>
      </c>
      <c r="O800" s="406">
        <v>44698</v>
      </c>
      <c r="P800" s="406">
        <v>44691</v>
      </c>
      <c r="Q800" s="406"/>
      <c r="R800" s="406"/>
      <c r="S800" s="405" t="s">
        <v>1520</v>
      </c>
      <c r="T800" s="405">
        <v>60</v>
      </c>
      <c r="U800" s="417">
        <v>49203132</v>
      </c>
      <c r="V800" s="405" t="s">
        <v>986</v>
      </c>
      <c r="W800" s="405">
        <v>360</v>
      </c>
      <c r="X800" s="382">
        <v>832</v>
      </c>
      <c r="Y800" s="365">
        <f t="shared" si="179"/>
        <v>299520</v>
      </c>
      <c r="Z800" s="409">
        <f>190.8/360</f>
        <v>0.53</v>
      </c>
      <c r="AA800" s="411">
        <f t="shared" si="184"/>
        <v>158745.60000000001</v>
      </c>
      <c r="AB800" s="411"/>
      <c r="AC800" s="412">
        <f>AB800*Y800</f>
        <v>0</v>
      </c>
      <c r="AD800" s="405"/>
      <c r="AE800" s="405"/>
      <c r="AF800" s="424">
        <f t="shared" si="185"/>
        <v>158745.60000000001</v>
      </c>
      <c r="AG800" s="405" t="s">
        <v>1069</v>
      </c>
      <c r="AH800" s="405"/>
      <c r="AI800" s="405">
        <v>60</v>
      </c>
      <c r="AJ800" s="406" t="s">
        <v>1584</v>
      </c>
      <c r="AK800" s="406" t="s">
        <v>50</v>
      </c>
      <c r="AL800" s="414">
        <v>95834</v>
      </c>
      <c r="AM800" s="405" t="s">
        <v>52</v>
      </c>
      <c r="AN800" s="361" t="s">
        <v>1071</v>
      </c>
      <c r="AO800" s="405" t="s">
        <v>1073</v>
      </c>
      <c r="AP800" s="413"/>
      <c r="AQ800" s="405" t="s">
        <v>37</v>
      </c>
      <c r="AR800" s="405"/>
      <c r="AS800" s="404"/>
      <c r="AT800" s="404"/>
      <c r="AU800" s="409">
        <f>180/360</f>
        <v>0.5</v>
      </c>
      <c r="AV800" s="402">
        <f t="shared" si="181"/>
        <v>49203132</v>
      </c>
      <c r="AW800" s="402" cm="1">
        <f t="array" ref="AW800">SUM(MID(0&amp;AV800,LARGE(INDEX(ISNUMBER(--MID(AV800,ROW($1:$8),1))*ROW($1:$8),),ROW($1:$8))+1,1)*10^ROW($1:$8)/10)</f>
        <v>49203132</v>
      </c>
      <c r="AX800" s="402" t="str">
        <f>VLOOKUP($AW800,'Item Master Data'!$A:$F,3,FALSE)</f>
        <v>Q.PEAK DUO BLK G10+</v>
      </c>
      <c r="AY800" s="402">
        <f>VLOOKUP($AW800,'Item Master Data'!$A:$F,6,FALSE)</f>
        <v>360</v>
      </c>
      <c r="AZ800" s="402">
        <f t="shared" si="182"/>
        <v>26</v>
      </c>
      <c r="BA800" s="402">
        <f>VLOOKUP(AW800,'Item Master Data'!$A:$G,7,FALSE)</f>
        <v>32</v>
      </c>
      <c r="BB800" s="402"/>
      <c r="BC800" s="402">
        <f t="shared" si="183"/>
        <v>0</v>
      </c>
    </row>
    <row r="801" spans="1:55">
      <c r="A801" s="426"/>
      <c r="B801" s="376">
        <v>44617</v>
      </c>
      <c r="C801" s="376">
        <v>44616</v>
      </c>
      <c r="D801" s="416" t="s">
        <v>86</v>
      </c>
      <c r="E801" s="405"/>
      <c r="F801" s="417"/>
      <c r="G801" s="359">
        <v>2022</v>
      </c>
      <c r="H801" s="405">
        <v>6</v>
      </c>
      <c r="I801" s="405"/>
      <c r="J801" s="406"/>
      <c r="K801" s="405" t="s">
        <v>1782</v>
      </c>
      <c r="L801" s="405" t="s">
        <v>1682</v>
      </c>
      <c r="M801" s="406">
        <v>44624</v>
      </c>
      <c r="N801" s="406">
        <v>44697</v>
      </c>
      <c r="O801" s="406"/>
      <c r="P801" s="406"/>
      <c r="Q801" s="406"/>
      <c r="R801" s="406"/>
      <c r="S801" s="405" t="s">
        <v>1520</v>
      </c>
      <c r="T801" s="405">
        <v>72</v>
      </c>
      <c r="U801" s="417" t="s">
        <v>1079</v>
      </c>
      <c r="V801" s="405" t="s">
        <v>1783</v>
      </c>
      <c r="W801" s="405">
        <v>475</v>
      </c>
      <c r="X801" s="382">
        <v>600</v>
      </c>
      <c r="Y801" s="365">
        <f t="shared" si="179"/>
        <v>285000</v>
      </c>
      <c r="Z801" s="409">
        <f>237.5/475</f>
        <v>0.5</v>
      </c>
      <c r="AA801" s="411">
        <f t="shared" si="184"/>
        <v>142500</v>
      </c>
      <c r="AB801" s="411"/>
      <c r="AC801" s="412">
        <f>AB801*Y801</f>
        <v>0</v>
      </c>
      <c r="AD801" s="405"/>
      <c r="AE801" s="405"/>
      <c r="AF801" s="424">
        <f t="shared" si="185"/>
        <v>142500</v>
      </c>
      <c r="AG801" s="405" t="s">
        <v>1069</v>
      </c>
      <c r="AH801" s="405"/>
      <c r="AI801" s="405">
        <v>60</v>
      </c>
      <c r="AJ801" s="406" t="s">
        <v>1584</v>
      </c>
      <c r="AK801" s="406" t="s">
        <v>50</v>
      </c>
      <c r="AL801" s="414">
        <v>95834</v>
      </c>
      <c r="AM801" s="405" t="s">
        <v>52</v>
      </c>
      <c r="AN801" s="361" t="s">
        <v>1071</v>
      </c>
      <c r="AO801" s="405" t="s">
        <v>1073</v>
      </c>
      <c r="AP801" s="413"/>
      <c r="AQ801" s="405" t="s">
        <v>37</v>
      </c>
      <c r="AR801" s="405"/>
      <c r="AS801" s="404"/>
      <c r="AT801" s="404"/>
      <c r="AU801" s="409">
        <f>180/360</f>
        <v>0.5</v>
      </c>
      <c r="AV801" s="402" t="str">
        <f t="shared" si="181"/>
        <v>12005833C</v>
      </c>
      <c r="AW801" s="402" cm="1">
        <f t="array" ref="AW801">SUM(MID(0&amp;AV801,LARGE(INDEX(ISNUMBER(--MID(AV801,ROW($1:$8),1))*ROW($1:$8),),ROW($1:$8))+1,1)*10^ROW($1:$8)/10)</f>
        <v>12005833</v>
      </c>
      <c r="AX801" s="402" t="str">
        <f>VLOOKUP($AW801,'Item Master Data'!$A:$F,3,FALSE)</f>
        <v>Q.PEAK DUO XL G10 BFG</v>
      </c>
      <c r="AY801" s="402">
        <f>VLOOKUP($AW801,'Item Master Data'!$A:$F,6,FALSE)</f>
        <v>475</v>
      </c>
      <c r="AZ801" s="402">
        <f t="shared" si="182"/>
        <v>20</v>
      </c>
      <c r="BA801" s="402">
        <f>VLOOKUP(AW801,'Item Master Data'!$A:$G,7,FALSE)</f>
        <v>30</v>
      </c>
      <c r="BB801" s="402"/>
      <c r="BC801" s="402">
        <f t="shared" si="183"/>
        <v>0</v>
      </c>
    </row>
    <row r="802" spans="1:55">
      <c r="A802" s="426" t="s">
        <v>4585</v>
      </c>
      <c r="B802" s="376">
        <v>44642</v>
      </c>
      <c r="C802" s="376"/>
      <c r="D802" s="416" t="s">
        <v>86</v>
      </c>
      <c r="E802" s="405" t="s">
        <v>4587</v>
      </c>
      <c r="F802" s="417"/>
      <c r="G802" s="359">
        <v>2022</v>
      </c>
      <c r="H802" s="405">
        <v>5</v>
      </c>
      <c r="I802" s="405">
        <v>128562</v>
      </c>
      <c r="J802" s="406">
        <v>44685</v>
      </c>
      <c r="K802" s="405" t="s">
        <v>1823</v>
      </c>
      <c r="L802" s="405" t="s">
        <v>1517</v>
      </c>
      <c r="M802" s="406">
        <v>44565</v>
      </c>
      <c r="N802" s="406">
        <v>44655</v>
      </c>
      <c r="O802" s="406"/>
      <c r="P802" s="406">
        <v>44678</v>
      </c>
      <c r="Q802" s="406">
        <v>44685</v>
      </c>
      <c r="R802" s="406">
        <v>44686</v>
      </c>
      <c r="S802" s="405" t="s">
        <v>88</v>
      </c>
      <c r="T802" s="405">
        <v>60</v>
      </c>
      <c r="U802" s="417" t="s">
        <v>1237</v>
      </c>
      <c r="V802" s="405" t="s">
        <v>973</v>
      </c>
      <c r="W802" s="405">
        <v>400</v>
      </c>
      <c r="X802" s="382">
        <v>1536</v>
      </c>
      <c r="Y802" s="365">
        <f t="shared" si="179"/>
        <v>614400</v>
      </c>
      <c r="Z802" s="409">
        <v>0.55000000000000004</v>
      </c>
      <c r="AA802" s="411">
        <f t="shared" si="184"/>
        <v>337920</v>
      </c>
      <c r="AB802" s="411"/>
      <c r="AC802" s="412">
        <v>0</v>
      </c>
      <c r="AD802" s="405"/>
      <c r="AE802" s="405"/>
      <c r="AF802" s="424">
        <f t="shared" si="185"/>
        <v>337920</v>
      </c>
      <c r="AG802" s="405" t="s">
        <v>1069</v>
      </c>
      <c r="AH802" s="405"/>
      <c r="AI802" s="405">
        <v>60</v>
      </c>
      <c r="AJ802" s="406" t="s">
        <v>1518</v>
      </c>
      <c r="AK802" s="406" t="s">
        <v>50</v>
      </c>
      <c r="AL802" s="414">
        <v>92126</v>
      </c>
      <c r="AM802" s="405" t="s">
        <v>52</v>
      </c>
      <c r="AN802" s="361" t="s">
        <v>50</v>
      </c>
      <c r="AO802" s="405" t="s">
        <v>1073</v>
      </c>
      <c r="AP802" s="413" t="s">
        <v>92</v>
      </c>
      <c r="AQ802" s="405" t="s">
        <v>37</v>
      </c>
      <c r="AR802" s="405"/>
      <c r="AS802" s="404" t="s">
        <v>1392</v>
      </c>
      <c r="AT802" s="404"/>
      <c r="AU802" s="409">
        <f>208/400</f>
        <v>0.52</v>
      </c>
      <c r="AV802" s="402" t="str">
        <f t="shared" si="181"/>
        <v>30390456H</v>
      </c>
      <c r="AW802" s="402" cm="1">
        <f t="array" ref="AW802">SUM(MID(0&amp;AV802,LARGE(INDEX(ISNUMBER(--MID(AV802,ROW($1:$8),1))*ROW($1:$8),),ROW($1:$8))+1,1)*10^ROW($1:$8)/10)</f>
        <v>30390456</v>
      </c>
      <c r="AX802" s="402" t="str">
        <f>VLOOKUP($AW802,'Item Master Data'!$A:$F,3,FALSE)</f>
        <v>Q.PEAK DUO BLK ML G10+</v>
      </c>
      <c r="AY802" s="402">
        <f>VLOOKUP($AW802,'Item Master Data'!$A:$F,6,FALSE)</f>
        <v>400</v>
      </c>
      <c r="AZ802" s="402">
        <f t="shared" si="182"/>
        <v>48</v>
      </c>
      <c r="BA802" s="402">
        <f>VLOOKUP(AW802,'Item Master Data'!$A:$G,7,FALSE)</f>
        <v>32</v>
      </c>
      <c r="BB802" s="402"/>
      <c r="BC802" s="402">
        <f t="shared" si="183"/>
        <v>0</v>
      </c>
    </row>
    <row r="803" spans="1:55">
      <c r="A803" s="426"/>
      <c r="B803" s="376">
        <v>44665</v>
      </c>
      <c r="C803" s="376">
        <v>44665</v>
      </c>
      <c r="D803" s="416" t="s">
        <v>86</v>
      </c>
      <c r="E803" s="405"/>
      <c r="F803" s="417" t="s">
        <v>87</v>
      </c>
      <c r="G803" s="359">
        <v>2022</v>
      </c>
      <c r="H803" s="405">
        <v>6</v>
      </c>
      <c r="I803" s="405"/>
      <c r="J803" s="406"/>
      <c r="K803" s="405" t="s">
        <v>1826</v>
      </c>
      <c r="L803" s="405" t="s">
        <v>1517</v>
      </c>
      <c r="M803" s="406">
        <v>44567</v>
      </c>
      <c r="N803" s="406">
        <v>44734</v>
      </c>
      <c r="O803" s="406"/>
      <c r="P803" s="406"/>
      <c r="Q803" s="406"/>
      <c r="R803" s="406"/>
      <c r="S803" s="405" t="s">
        <v>88</v>
      </c>
      <c r="T803" s="405">
        <v>72</v>
      </c>
      <c r="U803" s="417">
        <v>49303156</v>
      </c>
      <c r="V803" s="405" t="s">
        <v>1068</v>
      </c>
      <c r="W803" s="405">
        <v>480</v>
      </c>
      <c r="X803" s="382">
        <v>2552</v>
      </c>
      <c r="Y803" s="365">
        <f t="shared" si="179"/>
        <v>1224960</v>
      </c>
      <c r="Z803" s="409">
        <f>225.6/480</f>
        <v>0.47</v>
      </c>
      <c r="AA803" s="411">
        <f t="shared" si="184"/>
        <v>575731.19999999995</v>
      </c>
      <c r="AB803" s="411"/>
      <c r="AC803" s="412">
        <f>AB803*Y803</f>
        <v>0</v>
      </c>
      <c r="AD803" s="405"/>
      <c r="AE803" s="405"/>
      <c r="AF803" s="424">
        <f t="shared" si="185"/>
        <v>575731.19999999995</v>
      </c>
      <c r="AG803" s="405" t="s">
        <v>1069</v>
      </c>
      <c r="AH803" s="405"/>
      <c r="AI803" s="405">
        <v>60</v>
      </c>
      <c r="AJ803" s="406" t="s">
        <v>1518</v>
      </c>
      <c r="AK803" s="406" t="s">
        <v>50</v>
      </c>
      <c r="AL803" s="414">
        <v>92126</v>
      </c>
      <c r="AM803" s="405" t="s">
        <v>52</v>
      </c>
      <c r="AN803" s="361" t="s">
        <v>1516</v>
      </c>
      <c r="AO803" s="405" t="s">
        <v>1073</v>
      </c>
      <c r="AP803" s="413"/>
      <c r="AQ803" s="405" t="s">
        <v>37</v>
      </c>
      <c r="AR803" s="405"/>
      <c r="AS803" s="404" t="s">
        <v>1392</v>
      </c>
      <c r="AT803" s="404"/>
      <c r="AU803" s="409"/>
      <c r="AV803" s="402">
        <f t="shared" si="181"/>
        <v>49303156</v>
      </c>
      <c r="AW803" s="402" cm="1">
        <f t="array" ref="AW803">SUM(MID(0&amp;AV803,LARGE(INDEX(ISNUMBER(--MID(AV803,ROW($1:$8),1))*ROW($1:$8),),ROW($1:$8))+1,1)*10^ROW($1:$8)/10)</f>
        <v>49303156</v>
      </c>
      <c r="AX803" s="402" t="str">
        <f>VLOOKUP($AW803,'Item Master Data'!$A:$F,3,FALSE)</f>
        <v>Q.PEAK DUO XL G10 BFG</v>
      </c>
      <c r="AY803" s="402">
        <f>VLOOKUP($AW803,'Item Master Data'!$A:$F,6,FALSE)</f>
        <v>480</v>
      </c>
      <c r="AZ803" s="402">
        <f t="shared" si="182"/>
        <v>88</v>
      </c>
      <c r="BA803" s="402">
        <f>VLOOKUP(AW803,'Item Master Data'!$A:$G,7,FALSE)</f>
        <v>29</v>
      </c>
      <c r="BB803" s="402"/>
      <c r="BC803" s="402">
        <f t="shared" si="183"/>
        <v>0</v>
      </c>
    </row>
    <row r="804" spans="1:55">
      <c r="A804" s="426" t="s">
        <v>4584</v>
      </c>
      <c r="B804" s="376">
        <v>44642</v>
      </c>
      <c r="C804" s="376"/>
      <c r="D804" s="416" t="s">
        <v>86</v>
      </c>
      <c r="E804" s="405"/>
      <c r="F804" s="417"/>
      <c r="G804" s="359">
        <v>2022</v>
      </c>
      <c r="H804" s="405">
        <v>5</v>
      </c>
      <c r="I804" s="405">
        <v>128565</v>
      </c>
      <c r="J804" s="406">
        <v>44685</v>
      </c>
      <c r="K804" s="405" t="s">
        <v>1836</v>
      </c>
      <c r="L804" s="405" t="s">
        <v>1517</v>
      </c>
      <c r="M804" s="406">
        <v>44571</v>
      </c>
      <c r="N804" s="406">
        <v>44712</v>
      </c>
      <c r="O804" s="406"/>
      <c r="P804" s="406">
        <v>44678</v>
      </c>
      <c r="Q804" s="406">
        <v>44685</v>
      </c>
      <c r="R804" s="406">
        <v>44686</v>
      </c>
      <c r="S804" s="405" t="s">
        <v>88</v>
      </c>
      <c r="T804" s="405">
        <v>60</v>
      </c>
      <c r="U804" s="417" t="s">
        <v>1237</v>
      </c>
      <c r="V804" s="405" t="s">
        <v>973</v>
      </c>
      <c r="W804" s="405">
        <v>400</v>
      </c>
      <c r="X804" s="382">
        <v>2368</v>
      </c>
      <c r="Y804" s="365">
        <f t="shared" si="179"/>
        <v>947200</v>
      </c>
      <c r="Z804" s="409">
        <f>220/400</f>
        <v>0.55000000000000004</v>
      </c>
      <c r="AA804" s="411">
        <f t="shared" si="184"/>
        <v>520960.00000000006</v>
      </c>
      <c r="AB804" s="411"/>
      <c r="AC804" s="412">
        <v>0</v>
      </c>
      <c r="AD804" s="405"/>
      <c r="AE804" s="405"/>
      <c r="AF804" s="424">
        <f t="shared" si="185"/>
        <v>520960.00000000006</v>
      </c>
      <c r="AG804" s="405" t="s">
        <v>1069</v>
      </c>
      <c r="AH804" s="405"/>
      <c r="AI804" s="405">
        <v>60</v>
      </c>
      <c r="AJ804" s="406" t="s">
        <v>1518</v>
      </c>
      <c r="AK804" s="406" t="s">
        <v>50</v>
      </c>
      <c r="AL804" s="414">
        <v>92126</v>
      </c>
      <c r="AM804" s="405" t="s">
        <v>52</v>
      </c>
      <c r="AN804" s="361" t="s">
        <v>50</v>
      </c>
      <c r="AO804" s="405" t="s">
        <v>1073</v>
      </c>
      <c r="AP804" s="413" t="s">
        <v>92</v>
      </c>
      <c r="AQ804" s="405" t="s">
        <v>37</v>
      </c>
      <c r="AR804" s="405"/>
      <c r="AS804" s="404" t="s">
        <v>1392</v>
      </c>
      <c r="AT804" s="404"/>
      <c r="AU804" s="409">
        <f>208/400</f>
        <v>0.52</v>
      </c>
      <c r="AV804" s="402" t="str">
        <f t="shared" si="181"/>
        <v>30390456H</v>
      </c>
      <c r="AW804" s="402" cm="1">
        <f t="array" ref="AW804">SUM(MID(0&amp;AV804,LARGE(INDEX(ISNUMBER(--MID(AV804,ROW($1:$8),1))*ROW($1:$8),),ROW($1:$8))+1,1)*10^ROW($1:$8)/10)</f>
        <v>30390456</v>
      </c>
      <c r="AX804" s="402" t="str">
        <f>VLOOKUP($AW804,'Item Master Data'!$A:$F,3,FALSE)</f>
        <v>Q.PEAK DUO BLK ML G10+</v>
      </c>
      <c r="AY804" s="402">
        <f>VLOOKUP($AW804,'Item Master Data'!$A:$F,6,FALSE)</f>
        <v>400</v>
      </c>
      <c r="AZ804" s="402">
        <f t="shared" si="182"/>
        <v>74</v>
      </c>
      <c r="BA804" s="402">
        <f>VLOOKUP(AW804,'Item Master Data'!$A:$G,7,FALSE)</f>
        <v>32</v>
      </c>
      <c r="BB804" s="402"/>
      <c r="BC804" s="402">
        <f t="shared" si="183"/>
        <v>0</v>
      </c>
    </row>
    <row r="805" spans="1:55">
      <c r="A805" s="426" t="s">
        <v>4585</v>
      </c>
      <c r="B805" s="376">
        <v>44621</v>
      </c>
      <c r="C805" s="376">
        <v>44620</v>
      </c>
      <c r="D805" s="416" t="s">
        <v>86</v>
      </c>
      <c r="E805" s="405" t="s">
        <v>1708</v>
      </c>
      <c r="F805" s="417"/>
      <c r="G805" s="359">
        <v>2022</v>
      </c>
      <c r="H805" s="405">
        <v>5</v>
      </c>
      <c r="I805" s="405"/>
      <c r="J805" s="406"/>
      <c r="K805" s="405" t="s">
        <v>1824</v>
      </c>
      <c r="L805" s="405" t="s">
        <v>1517</v>
      </c>
      <c r="M805" s="406">
        <v>44578</v>
      </c>
      <c r="N805" s="406">
        <v>44635</v>
      </c>
      <c r="O805" s="406" t="s">
        <v>1236</v>
      </c>
      <c r="P805" s="406" t="s">
        <v>4379</v>
      </c>
      <c r="Q805" s="406" t="s">
        <v>4590</v>
      </c>
      <c r="R805" s="406"/>
      <c r="S805" s="405" t="s">
        <v>88</v>
      </c>
      <c r="T805" s="405">
        <v>60</v>
      </c>
      <c r="U805" s="417"/>
      <c r="V805" s="405" t="s">
        <v>973</v>
      </c>
      <c r="W805" s="405">
        <v>400</v>
      </c>
      <c r="X805" s="382">
        <v>768</v>
      </c>
      <c r="Y805" s="365">
        <f t="shared" si="179"/>
        <v>307200</v>
      </c>
      <c r="Z805" s="409">
        <f>220/400</f>
        <v>0.55000000000000004</v>
      </c>
      <c r="AA805" s="411">
        <f t="shared" si="184"/>
        <v>168960</v>
      </c>
      <c r="AB805" s="411"/>
      <c r="AC805" s="412">
        <v>0</v>
      </c>
      <c r="AD805" s="405"/>
      <c r="AE805" s="405"/>
      <c r="AF805" s="424">
        <f t="shared" si="185"/>
        <v>168960</v>
      </c>
      <c r="AG805" s="405" t="s">
        <v>1069</v>
      </c>
      <c r="AH805" s="405"/>
      <c r="AI805" s="405">
        <v>60</v>
      </c>
      <c r="AJ805" s="406" t="s">
        <v>1518</v>
      </c>
      <c r="AK805" s="406" t="s">
        <v>50</v>
      </c>
      <c r="AL805" s="414">
        <v>92126</v>
      </c>
      <c r="AM805" s="405" t="s">
        <v>52</v>
      </c>
      <c r="AN805" s="361" t="s">
        <v>1071</v>
      </c>
      <c r="AO805" s="405" t="s">
        <v>1073</v>
      </c>
      <c r="AP805" s="413"/>
      <c r="AQ805" s="405" t="s">
        <v>37</v>
      </c>
      <c r="AR805" s="405" t="s">
        <v>1188</v>
      </c>
      <c r="AS805" s="404" t="s">
        <v>1392</v>
      </c>
      <c r="AT805" s="404"/>
      <c r="AU805" s="409">
        <v>0.52</v>
      </c>
      <c r="AV805" s="402">
        <f t="shared" si="181"/>
        <v>0</v>
      </c>
      <c r="AW805" s="402" cm="1">
        <f t="array" ref="AW805">SUM(MID(0&amp;AV805,LARGE(INDEX(ISNUMBER(--MID(AV805,ROW($1:$8),1))*ROW($1:$8),),ROW($1:$8))+1,1)*10^ROW($1:$8)/10)</f>
        <v>0</v>
      </c>
      <c r="AX805" s="402" t="e">
        <f>VLOOKUP($AW805,'Item Master Data'!$A:$F,3,FALSE)</f>
        <v>#N/A</v>
      </c>
      <c r="AY805" s="402" t="e">
        <f>VLOOKUP($AW805,'Item Master Data'!$A:$F,6,FALSE)</f>
        <v>#N/A</v>
      </c>
      <c r="AZ805" s="402" t="e">
        <f t="shared" si="182"/>
        <v>#N/A</v>
      </c>
      <c r="BA805" s="402" t="e">
        <f>VLOOKUP(AW805,'Item Master Data'!$A:$G,7,FALSE)</f>
        <v>#N/A</v>
      </c>
      <c r="BB805" s="402"/>
      <c r="BC805" s="402" t="e">
        <f t="shared" si="183"/>
        <v>#N/A</v>
      </c>
    </row>
    <row r="806" spans="1:55">
      <c r="A806" s="426" t="s">
        <v>4584</v>
      </c>
      <c r="B806" s="376">
        <v>44627</v>
      </c>
      <c r="C806" s="376">
        <v>44628</v>
      </c>
      <c r="D806" s="416" t="s">
        <v>86</v>
      </c>
      <c r="E806" s="405" t="s">
        <v>1708</v>
      </c>
      <c r="F806" s="417"/>
      <c r="G806" s="359">
        <v>2022</v>
      </c>
      <c r="H806" s="405">
        <v>5</v>
      </c>
      <c r="I806" s="405"/>
      <c r="J806" s="406"/>
      <c r="K806" s="405" t="s">
        <v>1709</v>
      </c>
      <c r="L806" s="405" t="s">
        <v>1517</v>
      </c>
      <c r="M806" s="406">
        <v>44593</v>
      </c>
      <c r="N806" s="406">
        <v>44630</v>
      </c>
      <c r="O806" s="406" t="s">
        <v>1236</v>
      </c>
      <c r="P806" s="406">
        <v>44663</v>
      </c>
      <c r="Q806" s="406"/>
      <c r="R806" s="406"/>
      <c r="S806" s="405" t="s">
        <v>88</v>
      </c>
      <c r="T806" s="405">
        <v>60</v>
      </c>
      <c r="U806" s="417">
        <v>49203132</v>
      </c>
      <c r="V806" s="405" t="s">
        <v>986</v>
      </c>
      <c r="W806" s="405">
        <v>360</v>
      </c>
      <c r="X806" s="382">
        <v>1536</v>
      </c>
      <c r="Y806" s="365">
        <f t="shared" si="179"/>
        <v>552960</v>
      </c>
      <c r="Z806" s="409">
        <f>190.8/360</f>
        <v>0.53</v>
      </c>
      <c r="AA806" s="411">
        <f t="shared" si="184"/>
        <v>293068.79999999999</v>
      </c>
      <c r="AB806" s="411"/>
      <c r="AC806" s="412">
        <v>0</v>
      </c>
      <c r="AD806" s="405"/>
      <c r="AE806" s="405"/>
      <c r="AF806" s="424">
        <f t="shared" si="185"/>
        <v>293068.79999999999</v>
      </c>
      <c r="AG806" s="405" t="s">
        <v>1069</v>
      </c>
      <c r="AH806" s="405"/>
      <c r="AI806" s="405">
        <v>60</v>
      </c>
      <c r="AJ806" s="406" t="s">
        <v>1518</v>
      </c>
      <c r="AK806" s="406" t="s">
        <v>50</v>
      </c>
      <c r="AL806" s="414">
        <v>92126</v>
      </c>
      <c r="AM806" s="405" t="s">
        <v>52</v>
      </c>
      <c r="AN806" s="361" t="s">
        <v>1101</v>
      </c>
      <c r="AO806" s="405" t="s">
        <v>1073</v>
      </c>
      <c r="AP806" s="413"/>
      <c r="AQ806" s="405" t="s">
        <v>37</v>
      </c>
      <c r="AR806" s="405" t="s">
        <v>1188</v>
      </c>
      <c r="AS806" s="404" t="s">
        <v>1392</v>
      </c>
      <c r="AT806" s="404"/>
      <c r="AU806" s="409">
        <f>180/360</f>
        <v>0.5</v>
      </c>
      <c r="AV806" s="402">
        <f t="shared" si="181"/>
        <v>49203132</v>
      </c>
      <c r="AW806" s="402" cm="1">
        <f t="array" ref="AW806">SUM(MID(0&amp;AV806,LARGE(INDEX(ISNUMBER(--MID(AV806,ROW($1:$8),1))*ROW($1:$8),),ROW($1:$8))+1,1)*10^ROW($1:$8)/10)</f>
        <v>49203132</v>
      </c>
      <c r="AX806" s="402" t="str">
        <f>VLOOKUP($AW806,'Item Master Data'!$A:$F,3,FALSE)</f>
        <v>Q.PEAK DUO BLK G10+</v>
      </c>
      <c r="AY806" s="402">
        <f>VLOOKUP($AW806,'Item Master Data'!$A:$F,6,FALSE)</f>
        <v>360</v>
      </c>
      <c r="AZ806" s="402">
        <f t="shared" si="182"/>
        <v>48</v>
      </c>
      <c r="BA806" s="402">
        <f>VLOOKUP(AW806,'Item Master Data'!$A:$G,7,FALSE)</f>
        <v>32</v>
      </c>
      <c r="BB806" s="402"/>
      <c r="BC806" s="402">
        <f t="shared" si="183"/>
        <v>0</v>
      </c>
    </row>
    <row r="807" spans="1:55">
      <c r="A807" s="426"/>
      <c r="B807" s="376">
        <v>44627</v>
      </c>
      <c r="C807" s="376">
        <v>44628</v>
      </c>
      <c r="D807" s="416" t="s">
        <v>86</v>
      </c>
      <c r="E807" s="405" t="s">
        <v>1708</v>
      </c>
      <c r="F807" s="417"/>
      <c r="G807" s="359">
        <v>2022</v>
      </c>
      <c r="H807" s="405">
        <v>5</v>
      </c>
      <c r="I807" s="405"/>
      <c r="J807" s="406"/>
      <c r="K807" s="405" t="s">
        <v>1825</v>
      </c>
      <c r="L807" s="405" t="s">
        <v>1517</v>
      </c>
      <c r="M807" s="406">
        <v>44593</v>
      </c>
      <c r="N807" s="406">
        <v>44696</v>
      </c>
      <c r="O807" s="406" t="s">
        <v>1236</v>
      </c>
      <c r="P807" s="406"/>
      <c r="Q807" s="406"/>
      <c r="R807" s="406"/>
      <c r="S807" s="405" t="s">
        <v>88</v>
      </c>
      <c r="T807" s="405">
        <v>60</v>
      </c>
      <c r="U807" s="417">
        <v>49201132</v>
      </c>
      <c r="V807" s="405" t="s">
        <v>986</v>
      </c>
      <c r="W807" s="405">
        <v>360</v>
      </c>
      <c r="X807" s="382">
        <v>768</v>
      </c>
      <c r="Y807" s="365">
        <f t="shared" si="179"/>
        <v>276480</v>
      </c>
      <c r="Z807" s="409">
        <f>190.8/360</f>
        <v>0.53</v>
      </c>
      <c r="AA807" s="411">
        <f t="shared" si="184"/>
        <v>146534.39999999999</v>
      </c>
      <c r="AB807" s="411"/>
      <c r="AC807" s="412">
        <v>0</v>
      </c>
      <c r="AD807" s="405"/>
      <c r="AE807" s="405"/>
      <c r="AF807" s="424">
        <f t="shared" si="185"/>
        <v>146534.39999999999</v>
      </c>
      <c r="AG807" s="405" t="s">
        <v>1069</v>
      </c>
      <c r="AH807" s="405"/>
      <c r="AI807" s="405">
        <v>60</v>
      </c>
      <c r="AJ807" s="406" t="s">
        <v>1518</v>
      </c>
      <c r="AK807" s="406" t="s">
        <v>50</v>
      </c>
      <c r="AL807" s="414">
        <v>92126</v>
      </c>
      <c r="AM807" s="405" t="s">
        <v>52</v>
      </c>
      <c r="AN807" s="361" t="s">
        <v>1071</v>
      </c>
      <c r="AO807" s="405" t="s">
        <v>1073</v>
      </c>
      <c r="AP807" s="413"/>
      <c r="AQ807" s="405" t="s">
        <v>37</v>
      </c>
      <c r="AR807" s="405" t="s">
        <v>1188</v>
      </c>
      <c r="AS807" s="404" t="s">
        <v>1392</v>
      </c>
      <c r="AT807" s="404"/>
      <c r="AU807" s="409">
        <f>180/360</f>
        <v>0.5</v>
      </c>
      <c r="AV807" s="402">
        <f t="shared" si="181"/>
        <v>49201132</v>
      </c>
      <c r="AW807" s="402" cm="1">
        <f t="array" ref="AW807">SUM(MID(0&amp;AV807,LARGE(INDEX(ISNUMBER(--MID(AV807,ROW($1:$8),1))*ROW($1:$8),),ROW($1:$8))+1,1)*10^ROW($1:$8)/10)</f>
        <v>49201132</v>
      </c>
      <c r="AX807" s="402" t="str">
        <f>VLOOKUP($AW807,'Item Master Data'!$A:$F,3,FALSE)</f>
        <v>Q.PEAK DUO BLK G10+</v>
      </c>
      <c r="AY807" s="402">
        <f>VLOOKUP($AW807,'Item Master Data'!$A:$F,6,FALSE)</f>
        <v>360</v>
      </c>
      <c r="AZ807" s="402">
        <f t="shared" si="182"/>
        <v>24</v>
      </c>
      <c r="BA807" s="402">
        <f>VLOOKUP(AW807,'Item Master Data'!$A:$G,7,FALSE)</f>
        <v>32</v>
      </c>
      <c r="BB807" s="402"/>
      <c r="BC807" s="402">
        <f t="shared" si="183"/>
        <v>0</v>
      </c>
    </row>
    <row r="808" spans="1:55">
      <c r="A808" s="426"/>
      <c r="B808" s="376">
        <v>44648</v>
      </c>
      <c r="C808" s="376">
        <v>44648</v>
      </c>
      <c r="D808" s="416" t="s">
        <v>86</v>
      </c>
      <c r="E808" s="405" t="s">
        <v>1704</v>
      </c>
      <c r="F808" s="417" t="s">
        <v>87</v>
      </c>
      <c r="G808" s="359">
        <v>2022</v>
      </c>
      <c r="H808" s="405">
        <v>6</v>
      </c>
      <c r="I808" s="405"/>
      <c r="J808" s="406"/>
      <c r="K808" s="405" t="s">
        <v>1705</v>
      </c>
      <c r="L808" s="405" t="s">
        <v>1517</v>
      </c>
      <c r="M808" s="406">
        <v>44579</v>
      </c>
      <c r="N808" s="406">
        <v>44623</v>
      </c>
      <c r="O808" s="406">
        <v>44671</v>
      </c>
      <c r="P808" s="406"/>
      <c r="Q808" s="406"/>
      <c r="R808" s="406"/>
      <c r="S808" s="405" t="s">
        <v>88</v>
      </c>
      <c r="T808" s="405">
        <v>72</v>
      </c>
      <c r="U808" s="417" t="s">
        <v>1079</v>
      </c>
      <c r="V808" s="405" t="s">
        <v>1068</v>
      </c>
      <c r="W808" s="405">
        <v>475</v>
      </c>
      <c r="X808" s="382">
        <v>1140</v>
      </c>
      <c r="Y808" s="365">
        <f t="shared" si="179"/>
        <v>541500</v>
      </c>
      <c r="Z808" s="409">
        <f>228/475</f>
        <v>0.48</v>
      </c>
      <c r="AA808" s="411">
        <f t="shared" si="184"/>
        <v>259920</v>
      </c>
      <c r="AB808" s="411"/>
      <c r="AC808" s="412">
        <f>AB808*Y808</f>
        <v>0</v>
      </c>
      <c r="AD808" s="405"/>
      <c r="AE808" s="405"/>
      <c r="AF808" s="424">
        <f t="shared" si="185"/>
        <v>259920</v>
      </c>
      <c r="AG808" s="405" t="s">
        <v>1069</v>
      </c>
      <c r="AH808" s="405"/>
      <c r="AI808" s="405">
        <v>60</v>
      </c>
      <c r="AJ808" s="406" t="s">
        <v>1706</v>
      </c>
      <c r="AK808" s="406" t="s">
        <v>50</v>
      </c>
      <c r="AL808" s="414" t="s">
        <v>1707</v>
      </c>
      <c r="AM808" s="405" t="s">
        <v>52</v>
      </c>
      <c r="AN808" s="361" t="s">
        <v>50</v>
      </c>
      <c r="AO808" s="405" t="s">
        <v>1073</v>
      </c>
      <c r="AP808" s="413" t="s">
        <v>92</v>
      </c>
      <c r="AQ808" s="405" t="s">
        <v>37</v>
      </c>
      <c r="AR808" s="405"/>
      <c r="AS808" s="404" t="s">
        <v>1392</v>
      </c>
      <c r="AT808" s="404"/>
      <c r="AU808" s="409"/>
      <c r="AV808" s="402" t="str">
        <f t="shared" si="181"/>
        <v>12005833C</v>
      </c>
      <c r="AW808" s="402" cm="1">
        <f t="array" ref="AW808">SUM(MID(0&amp;AV808,LARGE(INDEX(ISNUMBER(--MID(AV808,ROW($1:$8),1))*ROW($1:$8),),ROW($1:$8))+1,1)*10^ROW($1:$8)/10)</f>
        <v>12005833</v>
      </c>
      <c r="AX808" s="402" t="str">
        <f>VLOOKUP($AW808,'Item Master Data'!$A:$F,3,FALSE)</f>
        <v>Q.PEAK DUO XL G10 BFG</v>
      </c>
      <c r="AY808" s="402">
        <f>VLOOKUP($AW808,'Item Master Data'!$A:$F,6,FALSE)</f>
        <v>475</v>
      </c>
      <c r="AZ808" s="402">
        <f t="shared" si="182"/>
        <v>38</v>
      </c>
      <c r="BA808" s="402">
        <f>VLOOKUP(AW808,'Item Master Data'!$A:$G,7,FALSE)</f>
        <v>30</v>
      </c>
      <c r="BB808" s="402"/>
      <c r="BC808" s="402">
        <f t="shared" si="183"/>
        <v>0</v>
      </c>
    </row>
    <row r="809" spans="1:55">
      <c r="A809" s="426"/>
      <c r="B809" s="376">
        <v>44648</v>
      </c>
      <c r="C809" s="376">
        <v>44648</v>
      </c>
      <c r="D809" s="416" t="s">
        <v>86</v>
      </c>
      <c r="E809" s="405" t="s">
        <v>1819</v>
      </c>
      <c r="F809" s="417" t="s">
        <v>87</v>
      </c>
      <c r="G809" s="359">
        <v>2022</v>
      </c>
      <c r="H809" s="405">
        <v>6</v>
      </c>
      <c r="I809" s="405"/>
      <c r="J809" s="406"/>
      <c r="K809" s="405" t="s">
        <v>1705</v>
      </c>
      <c r="L809" s="405" t="s">
        <v>1517</v>
      </c>
      <c r="M809" s="406">
        <v>44579</v>
      </c>
      <c r="N809" s="406">
        <v>44623</v>
      </c>
      <c r="O809" s="406">
        <v>44696</v>
      </c>
      <c r="P809" s="406" t="s">
        <v>1820</v>
      </c>
      <c r="Q809" s="406"/>
      <c r="R809" s="406"/>
      <c r="S809" s="405" t="s">
        <v>88</v>
      </c>
      <c r="T809" s="405">
        <v>72</v>
      </c>
      <c r="U809" s="417" t="s">
        <v>1079</v>
      </c>
      <c r="V809" s="405" t="s">
        <v>1068</v>
      </c>
      <c r="W809" s="405">
        <v>475</v>
      </c>
      <c r="X809" s="382">
        <v>1140</v>
      </c>
      <c r="Y809" s="365">
        <f t="shared" si="179"/>
        <v>541500</v>
      </c>
      <c r="Z809" s="409">
        <f>228/475</f>
        <v>0.48</v>
      </c>
      <c r="AA809" s="411">
        <f t="shared" si="184"/>
        <v>259920</v>
      </c>
      <c r="AB809" s="411"/>
      <c r="AC809" s="412">
        <f>AB809*Y809</f>
        <v>0</v>
      </c>
      <c r="AD809" s="405"/>
      <c r="AE809" s="405"/>
      <c r="AF809" s="424">
        <f t="shared" si="185"/>
        <v>259920</v>
      </c>
      <c r="AG809" s="405" t="s">
        <v>1069</v>
      </c>
      <c r="AH809" s="405"/>
      <c r="AI809" s="405">
        <v>60</v>
      </c>
      <c r="AJ809" s="406" t="s">
        <v>1706</v>
      </c>
      <c r="AK809" s="406" t="s">
        <v>50</v>
      </c>
      <c r="AL809" s="414" t="s">
        <v>1707</v>
      </c>
      <c r="AM809" s="405" t="s">
        <v>52</v>
      </c>
      <c r="AN809" s="361" t="s">
        <v>50</v>
      </c>
      <c r="AO809" s="405" t="s">
        <v>1073</v>
      </c>
      <c r="AP809" s="413" t="s">
        <v>92</v>
      </c>
      <c r="AQ809" s="405" t="s">
        <v>37</v>
      </c>
      <c r="AR809" s="405"/>
      <c r="AS809" s="404" t="s">
        <v>1392</v>
      </c>
      <c r="AT809" s="404"/>
      <c r="AU809" s="409"/>
      <c r="AV809" s="402" t="str">
        <f t="shared" si="181"/>
        <v>12005833C</v>
      </c>
      <c r="AW809" s="402" cm="1">
        <f t="array" ref="AW809">SUM(MID(0&amp;AV809,LARGE(INDEX(ISNUMBER(--MID(AV809,ROW($1:$8),1))*ROW($1:$8),),ROW($1:$8))+1,1)*10^ROW($1:$8)/10)</f>
        <v>12005833</v>
      </c>
      <c r="AX809" s="402" t="str">
        <f>VLOOKUP($AW809,'Item Master Data'!$A:$F,3,FALSE)</f>
        <v>Q.PEAK DUO XL G10 BFG</v>
      </c>
      <c r="AY809" s="402">
        <f>VLOOKUP($AW809,'Item Master Data'!$A:$F,6,FALSE)</f>
        <v>475</v>
      </c>
      <c r="AZ809" s="402">
        <f t="shared" si="182"/>
        <v>38</v>
      </c>
      <c r="BA809" s="402">
        <f>VLOOKUP(AW809,'Item Master Data'!$A:$G,7,FALSE)</f>
        <v>30</v>
      </c>
      <c r="BB809" s="402"/>
      <c r="BC809" s="402">
        <f t="shared" si="183"/>
        <v>0</v>
      </c>
    </row>
    <row r="810" spans="1:55">
      <c r="A810" s="426"/>
      <c r="B810" s="376">
        <v>44648</v>
      </c>
      <c r="C810" s="376">
        <v>44648</v>
      </c>
      <c r="D810" s="416" t="s">
        <v>86</v>
      </c>
      <c r="E810" s="405" t="s">
        <v>1821</v>
      </c>
      <c r="F810" s="417" t="s">
        <v>87</v>
      </c>
      <c r="G810" s="359">
        <v>2022</v>
      </c>
      <c r="H810" s="405">
        <v>6</v>
      </c>
      <c r="I810" s="405"/>
      <c r="J810" s="406"/>
      <c r="K810" s="405" t="s">
        <v>1705</v>
      </c>
      <c r="L810" s="405" t="s">
        <v>1517</v>
      </c>
      <c r="M810" s="406">
        <v>44579</v>
      </c>
      <c r="N810" s="406">
        <v>44623</v>
      </c>
      <c r="O810" s="406">
        <v>44696</v>
      </c>
      <c r="P810" s="406" t="s">
        <v>1820</v>
      </c>
      <c r="Q810" s="406"/>
      <c r="R810" s="406"/>
      <c r="S810" s="405" t="s">
        <v>88</v>
      </c>
      <c r="T810" s="405">
        <v>72</v>
      </c>
      <c r="U810" s="417" t="s">
        <v>1079</v>
      </c>
      <c r="V810" s="405" t="s">
        <v>1068</v>
      </c>
      <c r="W810" s="405">
        <v>475</v>
      </c>
      <c r="X810" s="382">
        <v>720</v>
      </c>
      <c r="Y810" s="365">
        <f t="shared" si="179"/>
        <v>342000</v>
      </c>
      <c r="Z810" s="409">
        <f>228/475</f>
        <v>0.48</v>
      </c>
      <c r="AA810" s="411">
        <f t="shared" si="184"/>
        <v>164160</v>
      </c>
      <c r="AB810" s="411"/>
      <c r="AC810" s="412">
        <f>AB810*Y810</f>
        <v>0</v>
      </c>
      <c r="AD810" s="405"/>
      <c r="AE810" s="405"/>
      <c r="AF810" s="424">
        <f t="shared" si="185"/>
        <v>164160</v>
      </c>
      <c r="AG810" s="405" t="s">
        <v>1069</v>
      </c>
      <c r="AH810" s="405"/>
      <c r="AI810" s="405">
        <v>60</v>
      </c>
      <c r="AJ810" s="406" t="s">
        <v>1647</v>
      </c>
      <c r="AK810" s="406" t="s">
        <v>50</v>
      </c>
      <c r="AL810" s="414" t="s">
        <v>1822</v>
      </c>
      <c r="AM810" s="405" t="s">
        <v>52</v>
      </c>
      <c r="AN810" s="361" t="s">
        <v>50</v>
      </c>
      <c r="AO810" s="405" t="s">
        <v>1073</v>
      </c>
      <c r="AP810" s="413" t="s">
        <v>92</v>
      </c>
      <c r="AQ810" s="405" t="s">
        <v>37</v>
      </c>
      <c r="AR810" s="405"/>
      <c r="AS810" s="404" t="s">
        <v>1392</v>
      </c>
      <c r="AT810" s="404"/>
      <c r="AU810" s="409"/>
      <c r="AV810" s="402" t="str">
        <f t="shared" si="181"/>
        <v>12005833C</v>
      </c>
      <c r="AW810" s="402" cm="1">
        <f t="array" ref="AW810">SUM(MID(0&amp;AV810,LARGE(INDEX(ISNUMBER(--MID(AV810,ROW($1:$8),1))*ROW($1:$8),),ROW($1:$8))+1,1)*10^ROW($1:$8)/10)</f>
        <v>12005833</v>
      </c>
      <c r="AX810" s="402" t="str">
        <f>VLOOKUP($AW810,'Item Master Data'!$A:$F,3,FALSE)</f>
        <v>Q.PEAK DUO XL G10 BFG</v>
      </c>
      <c r="AY810" s="402">
        <f>VLOOKUP($AW810,'Item Master Data'!$A:$F,6,FALSE)</f>
        <v>475</v>
      </c>
      <c r="AZ810" s="402">
        <f t="shared" si="182"/>
        <v>24</v>
      </c>
      <c r="BA810" s="402">
        <f>VLOOKUP(AW810,'Item Master Data'!$A:$G,7,FALSE)</f>
        <v>30</v>
      </c>
      <c r="BB810" s="402"/>
      <c r="BC810" s="402">
        <f t="shared" si="183"/>
        <v>0</v>
      </c>
    </row>
    <row r="811" spans="1:55">
      <c r="A811" s="426"/>
      <c r="B811" s="376">
        <v>44642</v>
      </c>
      <c r="C811" s="426"/>
      <c r="D811" s="416" t="s">
        <v>86</v>
      </c>
      <c r="E811" s="498" t="s">
        <v>1708</v>
      </c>
      <c r="F811" s="405"/>
      <c r="G811" s="359">
        <v>2022</v>
      </c>
      <c r="H811" s="405">
        <v>5</v>
      </c>
      <c r="I811" s="405"/>
      <c r="J811" s="406"/>
      <c r="K811" s="405" t="s">
        <v>3040</v>
      </c>
      <c r="L811" s="405" t="s">
        <v>1517</v>
      </c>
      <c r="M811" s="406">
        <v>44587</v>
      </c>
      <c r="N811" s="406">
        <v>44677</v>
      </c>
      <c r="O811" s="406"/>
      <c r="P811" s="329"/>
      <c r="Q811" s="406"/>
      <c r="R811" s="406"/>
      <c r="S811" s="405" t="s">
        <v>88</v>
      </c>
      <c r="T811" s="405">
        <v>60</v>
      </c>
      <c r="U811" s="405"/>
      <c r="V811" s="417" t="s">
        <v>973</v>
      </c>
      <c r="W811" s="405">
        <v>400</v>
      </c>
      <c r="X811" s="382">
        <v>1536</v>
      </c>
      <c r="Y811" s="367">
        <f t="shared" si="179"/>
        <v>614400</v>
      </c>
      <c r="Z811" s="409">
        <f>220/400</f>
        <v>0.55000000000000004</v>
      </c>
      <c r="AA811" s="410">
        <f t="shared" si="184"/>
        <v>337920</v>
      </c>
      <c r="AB811" s="411"/>
      <c r="AC811" s="412">
        <v>0</v>
      </c>
      <c r="AD811" s="405"/>
      <c r="AE811" s="405"/>
      <c r="AF811" s="424">
        <f t="shared" si="185"/>
        <v>337920</v>
      </c>
      <c r="AG811" s="405" t="s">
        <v>1069</v>
      </c>
      <c r="AH811" s="405"/>
      <c r="AI811" s="405">
        <v>60</v>
      </c>
      <c r="AJ811" s="406" t="s">
        <v>1518</v>
      </c>
      <c r="AK811" s="406" t="s">
        <v>50</v>
      </c>
      <c r="AL811" s="414">
        <v>92126</v>
      </c>
      <c r="AM811" s="405" t="s">
        <v>52</v>
      </c>
      <c r="AN811" s="361" t="s">
        <v>1101</v>
      </c>
      <c r="AO811" s="405" t="s">
        <v>1073</v>
      </c>
      <c r="AP811" s="405"/>
      <c r="AQ811" s="413" t="s">
        <v>37</v>
      </c>
      <c r="AR811" s="405"/>
      <c r="AS811" s="404" t="s">
        <v>1392</v>
      </c>
      <c r="AT811" s="404"/>
      <c r="AU811" s="409">
        <f>208/400</f>
        <v>0.52</v>
      </c>
      <c r="AV811" s="402">
        <f t="shared" si="181"/>
        <v>0</v>
      </c>
      <c r="AW811" s="402" cm="1">
        <f t="array" ref="AW811">SUM(MID(0&amp;AV811,LARGE(INDEX(ISNUMBER(--MID(AV811,ROW($1:$8),1))*ROW($1:$8),),ROW($1:$8))+1,1)*10^ROW($1:$8)/10)</f>
        <v>0</v>
      </c>
      <c r="AX811" s="402" t="e">
        <f>VLOOKUP($AW811,'Item Master Data'!$A:$F,3,FALSE)</f>
        <v>#N/A</v>
      </c>
      <c r="AY811" s="402" t="e">
        <f>VLOOKUP($AW811,'Item Master Data'!$A:$F,6,FALSE)</f>
        <v>#N/A</v>
      </c>
      <c r="AZ811" s="402" t="e">
        <f t="shared" si="182"/>
        <v>#N/A</v>
      </c>
      <c r="BA811" s="402" t="e">
        <f>VLOOKUP(AW811,'Item Master Data'!$A:$G,7,FALSE)</f>
        <v>#N/A</v>
      </c>
      <c r="BB811" s="402"/>
      <c r="BC811" s="402" t="e">
        <f t="shared" si="183"/>
        <v>#N/A</v>
      </c>
    </row>
    <row r="812" spans="1:55">
      <c r="A812" s="426" t="s">
        <v>4585</v>
      </c>
      <c r="B812" s="376">
        <v>44678</v>
      </c>
      <c r="C812" s="426"/>
      <c r="D812" s="416" t="s">
        <v>86</v>
      </c>
      <c r="E812" s="498"/>
      <c r="F812" s="405"/>
      <c r="G812" s="359">
        <v>2022</v>
      </c>
      <c r="H812" s="405">
        <v>5</v>
      </c>
      <c r="I812" s="405"/>
      <c r="J812" s="406"/>
      <c r="K812" s="405" t="s">
        <v>3046</v>
      </c>
      <c r="L812" s="405" t="s">
        <v>1768</v>
      </c>
      <c r="M812" s="406">
        <v>44573</v>
      </c>
      <c r="N812" s="406">
        <v>44718</v>
      </c>
      <c r="O812" s="406"/>
      <c r="P812" s="329"/>
      <c r="Q812" s="406"/>
      <c r="R812" s="406"/>
      <c r="S812" s="405" t="s">
        <v>88</v>
      </c>
      <c r="T812" s="405">
        <v>60</v>
      </c>
      <c r="U812" s="405"/>
      <c r="V812" s="417" t="s">
        <v>973</v>
      </c>
      <c r="W812" s="405">
        <v>400</v>
      </c>
      <c r="X812" s="382">
        <v>832</v>
      </c>
      <c r="Y812" s="367">
        <f t="shared" si="179"/>
        <v>332800</v>
      </c>
      <c r="Z812" s="409">
        <f>256/400</f>
        <v>0.64</v>
      </c>
      <c r="AA812" s="410">
        <f t="shared" si="184"/>
        <v>212992</v>
      </c>
      <c r="AB812" s="411"/>
      <c r="AC812" s="412">
        <f t="shared" ref="AC812:AC822" si="186">AB812*Y812</f>
        <v>0</v>
      </c>
      <c r="AD812" s="405"/>
      <c r="AE812" s="405"/>
      <c r="AF812" s="424">
        <f t="shared" si="185"/>
        <v>212992</v>
      </c>
      <c r="AG812" s="405" t="s">
        <v>1069</v>
      </c>
      <c r="AH812" s="405"/>
      <c r="AI812" s="405">
        <v>60</v>
      </c>
      <c r="AJ812" s="406" t="s">
        <v>1777</v>
      </c>
      <c r="AK812" s="406" t="s">
        <v>50</v>
      </c>
      <c r="AL812" s="414" t="s">
        <v>1778</v>
      </c>
      <c r="AM812" s="405" t="s">
        <v>52</v>
      </c>
      <c r="AN812" s="361" t="s">
        <v>1071</v>
      </c>
      <c r="AO812" s="405" t="s">
        <v>1073</v>
      </c>
      <c r="AP812" s="405"/>
      <c r="AQ812" s="413" t="s">
        <v>37</v>
      </c>
      <c r="AR812" s="405" t="s">
        <v>1188</v>
      </c>
      <c r="AS812" s="404" t="s">
        <v>1392</v>
      </c>
      <c r="AT812" s="404"/>
      <c r="AU812" s="409">
        <f>208/400</f>
        <v>0.52</v>
      </c>
      <c r="AV812" s="402">
        <f t="shared" si="181"/>
        <v>0</v>
      </c>
      <c r="AW812" s="402" cm="1">
        <f t="array" ref="AW812">SUM(MID(0&amp;AV812,LARGE(INDEX(ISNUMBER(--MID(AV812,ROW($1:$8),1))*ROW($1:$8),),ROW($1:$8))+1,1)*10^ROW($1:$8)/10)</f>
        <v>0</v>
      </c>
      <c r="AX812" s="402" t="e">
        <f>VLOOKUP($AW812,'Item Master Data'!$A:$F,3,FALSE)</f>
        <v>#N/A</v>
      </c>
      <c r="AY812" s="402" t="e">
        <f>VLOOKUP($AW812,'Item Master Data'!$A:$F,6,FALSE)</f>
        <v>#N/A</v>
      </c>
      <c r="AZ812" s="402" t="e">
        <f t="shared" si="182"/>
        <v>#N/A</v>
      </c>
      <c r="BA812" s="402" t="e">
        <f>VLOOKUP(AW812,'Item Master Data'!$A:$G,7,FALSE)</f>
        <v>#N/A</v>
      </c>
      <c r="BB812" s="402"/>
      <c r="BC812" s="402" t="e">
        <f t="shared" si="183"/>
        <v>#N/A</v>
      </c>
    </row>
    <row r="813" spans="1:55">
      <c r="A813" s="426"/>
      <c r="B813" s="376">
        <v>44669</v>
      </c>
      <c r="C813" s="376">
        <v>44669</v>
      </c>
      <c r="D813" s="416" t="s">
        <v>86</v>
      </c>
      <c r="E813" s="405"/>
      <c r="F813" s="417" t="s">
        <v>1318</v>
      </c>
      <c r="G813" s="359">
        <v>2022</v>
      </c>
      <c r="H813" s="405">
        <v>6</v>
      </c>
      <c r="I813" s="405"/>
      <c r="J813" s="406"/>
      <c r="K813" s="405" t="s">
        <v>4041</v>
      </c>
      <c r="L813" s="405" t="s">
        <v>4042</v>
      </c>
      <c r="M813" s="406">
        <v>44659</v>
      </c>
      <c r="N813" s="406">
        <v>44659</v>
      </c>
      <c r="O813" s="406"/>
      <c r="P813" s="406"/>
      <c r="Q813" s="406"/>
      <c r="R813" s="406"/>
      <c r="S813" s="405" t="s">
        <v>88</v>
      </c>
      <c r="T813" s="405">
        <v>72</v>
      </c>
      <c r="U813" s="417"/>
      <c r="V813" s="405" t="s">
        <v>995</v>
      </c>
      <c r="W813" s="405">
        <v>475</v>
      </c>
      <c r="X813" s="382">
        <v>780</v>
      </c>
      <c r="Y813" s="365">
        <f t="shared" si="179"/>
        <v>370500</v>
      </c>
      <c r="Z813" s="409">
        <f>261.25/475</f>
        <v>0.55000000000000004</v>
      </c>
      <c r="AA813" s="411">
        <f t="shared" si="184"/>
        <v>203775.00000000003</v>
      </c>
      <c r="AB813" s="411"/>
      <c r="AC813" s="412">
        <f t="shared" si="186"/>
        <v>0</v>
      </c>
      <c r="AD813" s="405"/>
      <c r="AE813" s="405"/>
      <c r="AF813" s="424">
        <f t="shared" si="185"/>
        <v>203775.00000000003</v>
      </c>
      <c r="AG813" s="405" t="s">
        <v>1069</v>
      </c>
      <c r="AH813" s="405"/>
      <c r="AI813" s="405">
        <v>60</v>
      </c>
      <c r="AJ813" s="406" t="s">
        <v>4043</v>
      </c>
      <c r="AK813" s="406" t="s">
        <v>1913</v>
      </c>
      <c r="AL813" s="414">
        <v>93401</v>
      </c>
      <c r="AM813" s="405" t="s">
        <v>52</v>
      </c>
      <c r="AN813" s="361" t="s">
        <v>1516</v>
      </c>
      <c r="AO813" s="405" t="s">
        <v>1073</v>
      </c>
      <c r="AP813" s="413"/>
      <c r="AQ813" s="405" t="s">
        <v>37</v>
      </c>
      <c r="AR813" s="405"/>
      <c r="AS813" s="404" t="s">
        <v>1142</v>
      </c>
      <c r="AT813" s="404" t="s">
        <v>1073</v>
      </c>
      <c r="AU813" s="409"/>
      <c r="AV813" s="402">
        <f t="shared" si="181"/>
        <v>0</v>
      </c>
      <c r="AW813" s="402" cm="1">
        <f t="array" ref="AW813">SUM(MID(0&amp;AV813,LARGE(INDEX(ISNUMBER(--MID(AV813,ROW($1:$8),1))*ROW($1:$8),),ROW($1:$8))+1,1)*10^ROW($1:$8)/10)</f>
        <v>0</v>
      </c>
      <c r="AX813" s="402" t="e">
        <f>VLOOKUP($AW813,'Item Master Data'!$A:$F,3,FALSE)</f>
        <v>#N/A</v>
      </c>
      <c r="AY813" s="402" t="e">
        <f>VLOOKUP($AW813,'Item Master Data'!$A:$F,6,FALSE)</f>
        <v>#N/A</v>
      </c>
      <c r="AZ813" s="402" t="e">
        <f t="shared" si="182"/>
        <v>#N/A</v>
      </c>
      <c r="BA813" s="402" t="e">
        <f>VLOOKUP(AW813,'Item Master Data'!$A:$G,7,FALSE)</f>
        <v>#N/A</v>
      </c>
      <c r="BB813" s="402"/>
      <c r="BC813" s="402" t="e">
        <f t="shared" si="183"/>
        <v>#N/A</v>
      </c>
    </row>
    <row r="814" spans="1:55">
      <c r="A814" s="426" t="s">
        <v>4584</v>
      </c>
      <c r="B814" s="376">
        <v>44642</v>
      </c>
      <c r="C814" s="376"/>
      <c r="D814" s="416" t="s">
        <v>86</v>
      </c>
      <c r="E814" s="405"/>
      <c r="F814" s="417"/>
      <c r="G814" s="359">
        <v>2022</v>
      </c>
      <c r="H814" s="405">
        <v>5</v>
      </c>
      <c r="I814" s="405"/>
      <c r="J814" s="406">
        <v>44686</v>
      </c>
      <c r="K814" s="405" t="s">
        <v>1843</v>
      </c>
      <c r="L814" s="405" t="s">
        <v>1711</v>
      </c>
      <c r="M814" s="406">
        <v>44557</v>
      </c>
      <c r="N814" s="406">
        <v>44606</v>
      </c>
      <c r="O814" s="406">
        <v>44687</v>
      </c>
      <c r="P814" s="406">
        <v>44678</v>
      </c>
      <c r="Q814" s="406">
        <v>44686</v>
      </c>
      <c r="R814" s="406">
        <v>44687</v>
      </c>
      <c r="S814" s="405" t="s">
        <v>1510</v>
      </c>
      <c r="T814" s="405">
        <v>60</v>
      </c>
      <c r="U814" s="417" t="s">
        <v>1237</v>
      </c>
      <c r="V814" s="405" t="s">
        <v>973</v>
      </c>
      <c r="W814" s="405">
        <v>400</v>
      </c>
      <c r="X814" s="382">
        <v>832</v>
      </c>
      <c r="Y814" s="365">
        <f t="shared" si="179"/>
        <v>332800</v>
      </c>
      <c r="Z814" s="409">
        <f>220/400</f>
        <v>0.55000000000000004</v>
      </c>
      <c r="AA814" s="411">
        <f t="shared" si="184"/>
        <v>183040.00000000003</v>
      </c>
      <c r="AB814" s="411"/>
      <c r="AC814" s="412">
        <f t="shared" si="186"/>
        <v>0</v>
      </c>
      <c r="AD814" s="405"/>
      <c r="AE814" s="405"/>
      <c r="AF814" s="424">
        <f t="shared" si="185"/>
        <v>183040.00000000003</v>
      </c>
      <c r="AG814" s="405" t="s">
        <v>1069</v>
      </c>
      <c r="AH814" s="405"/>
      <c r="AI814" s="405">
        <v>60</v>
      </c>
      <c r="AJ814" s="406" t="s">
        <v>1712</v>
      </c>
      <c r="AK814" s="406" t="s">
        <v>50</v>
      </c>
      <c r="AL814" s="414" t="s">
        <v>1713</v>
      </c>
      <c r="AM814" s="405" t="s">
        <v>52</v>
      </c>
      <c r="AN814" s="361" t="s">
        <v>50</v>
      </c>
      <c r="AO814" s="405" t="s">
        <v>1073</v>
      </c>
      <c r="AP814" s="413" t="s">
        <v>92</v>
      </c>
      <c r="AQ814" s="405" t="s">
        <v>37</v>
      </c>
      <c r="AR814" s="405"/>
      <c r="AS814" s="404"/>
      <c r="AT814" s="404"/>
      <c r="AU814" s="409">
        <f>208/400</f>
        <v>0.52</v>
      </c>
      <c r="AV814" s="402" t="str">
        <f t="shared" si="181"/>
        <v>30390456H</v>
      </c>
      <c r="AW814" s="402" cm="1">
        <f t="array" ref="AW814">SUM(MID(0&amp;AV814,LARGE(INDEX(ISNUMBER(--MID(AV814,ROW($1:$8),1))*ROW($1:$8),),ROW($1:$8))+1,1)*10^ROW($1:$8)/10)</f>
        <v>30390456</v>
      </c>
      <c r="AX814" s="402" t="str">
        <f>VLOOKUP($AW814,'Item Master Data'!$A:$F,3,FALSE)</f>
        <v>Q.PEAK DUO BLK ML G10+</v>
      </c>
      <c r="AY814" s="402">
        <f>VLOOKUP($AW814,'Item Master Data'!$A:$F,6,FALSE)</f>
        <v>400</v>
      </c>
      <c r="AZ814" s="402">
        <f t="shared" si="182"/>
        <v>26</v>
      </c>
      <c r="BA814" s="402">
        <f>VLOOKUP(AW814,'Item Master Data'!$A:$G,7,FALSE)</f>
        <v>32</v>
      </c>
      <c r="BB814" s="402"/>
      <c r="BC814" s="402">
        <f t="shared" si="183"/>
        <v>0</v>
      </c>
    </row>
    <row r="815" spans="1:55">
      <c r="A815" s="426" t="s">
        <v>4585</v>
      </c>
      <c r="B815" s="376">
        <v>44642</v>
      </c>
      <c r="C815" s="376"/>
      <c r="D815" s="416" t="s">
        <v>86</v>
      </c>
      <c r="E815" s="405"/>
      <c r="F815" s="417"/>
      <c r="G815" s="359">
        <v>2022</v>
      </c>
      <c r="H815" s="405">
        <v>5</v>
      </c>
      <c r="I815" s="405"/>
      <c r="J815" s="406"/>
      <c r="K815" s="405" t="s">
        <v>1844</v>
      </c>
      <c r="L815" s="405" t="s">
        <v>1711</v>
      </c>
      <c r="M815" s="406">
        <v>44557</v>
      </c>
      <c r="N815" s="406">
        <v>44676</v>
      </c>
      <c r="O815" s="406">
        <v>44690</v>
      </c>
      <c r="P815" s="406">
        <v>44678</v>
      </c>
      <c r="Q815" s="406" t="s">
        <v>4590</v>
      </c>
      <c r="R815" s="406"/>
      <c r="S815" s="405" t="s">
        <v>1510</v>
      </c>
      <c r="T815" s="405">
        <v>60</v>
      </c>
      <c r="U815" s="417" t="s">
        <v>1237</v>
      </c>
      <c r="V815" s="405" t="s">
        <v>973</v>
      </c>
      <c r="W815" s="405">
        <v>400</v>
      </c>
      <c r="X815" s="382">
        <v>1664</v>
      </c>
      <c r="Y815" s="365">
        <f t="shared" si="179"/>
        <v>665600</v>
      </c>
      <c r="Z815" s="409">
        <f>220/400</f>
        <v>0.55000000000000004</v>
      </c>
      <c r="AA815" s="411">
        <f t="shared" si="184"/>
        <v>366080.00000000006</v>
      </c>
      <c r="AB815" s="411"/>
      <c r="AC815" s="412">
        <f t="shared" si="186"/>
        <v>0</v>
      </c>
      <c r="AD815" s="405"/>
      <c r="AE815" s="405"/>
      <c r="AF815" s="424">
        <f t="shared" si="185"/>
        <v>366080.00000000006</v>
      </c>
      <c r="AG815" s="405" t="s">
        <v>1069</v>
      </c>
      <c r="AH815" s="405"/>
      <c r="AI815" s="405">
        <v>60</v>
      </c>
      <c r="AJ815" s="406" t="s">
        <v>1712</v>
      </c>
      <c r="AK815" s="406" t="s">
        <v>50</v>
      </c>
      <c r="AL815" s="414" t="s">
        <v>1713</v>
      </c>
      <c r="AM815" s="405" t="s">
        <v>52</v>
      </c>
      <c r="AN815" s="361" t="s">
        <v>50</v>
      </c>
      <c r="AO815" s="405" t="s">
        <v>1073</v>
      </c>
      <c r="AP815" s="413" t="s">
        <v>92</v>
      </c>
      <c r="AQ815" s="405" t="s">
        <v>37</v>
      </c>
      <c r="AR815" s="405"/>
      <c r="AS815" s="404"/>
      <c r="AT815" s="404"/>
      <c r="AU815" s="409">
        <f>208/400</f>
        <v>0.52</v>
      </c>
      <c r="AV815" s="402"/>
      <c r="AW815" s="402"/>
      <c r="AX815" s="402"/>
      <c r="AY815" s="402"/>
      <c r="AZ815" s="402"/>
      <c r="BA815" s="402"/>
      <c r="BB815" s="402"/>
      <c r="BC815" s="402"/>
    </row>
    <row r="816" spans="1:55">
      <c r="A816" s="426" t="s">
        <v>4584</v>
      </c>
      <c r="B816" s="376"/>
      <c r="C816" s="376"/>
      <c r="D816" s="416" t="s">
        <v>86</v>
      </c>
      <c r="E816" s="405" t="s">
        <v>4824</v>
      </c>
      <c r="F816" s="417" t="s">
        <v>1139</v>
      </c>
      <c r="G816" s="359">
        <v>2022</v>
      </c>
      <c r="H816" s="405">
        <v>5</v>
      </c>
      <c r="I816" s="405"/>
      <c r="J816" s="406"/>
      <c r="K816" s="405" t="s">
        <v>1848</v>
      </c>
      <c r="L816" s="405" t="s">
        <v>1723</v>
      </c>
      <c r="M816" s="406">
        <v>44533</v>
      </c>
      <c r="N816" s="406">
        <v>44630</v>
      </c>
      <c r="O816" s="406">
        <v>44691</v>
      </c>
      <c r="P816" s="406"/>
      <c r="Q816" s="406"/>
      <c r="R816" s="406"/>
      <c r="S816" s="405" t="s">
        <v>1683</v>
      </c>
      <c r="T816" s="405">
        <v>60</v>
      </c>
      <c r="U816" s="417">
        <v>49203132</v>
      </c>
      <c r="V816" s="405" t="s">
        <v>986</v>
      </c>
      <c r="W816" s="405">
        <v>360</v>
      </c>
      <c r="X816" s="382">
        <v>768</v>
      </c>
      <c r="Y816" s="365">
        <f t="shared" si="179"/>
        <v>276480</v>
      </c>
      <c r="Z816" s="409">
        <f>190.8/360</f>
        <v>0.53</v>
      </c>
      <c r="AA816" s="411">
        <f t="shared" si="184"/>
        <v>146534.39999999999</v>
      </c>
      <c r="AB816" s="411"/>
      <c r="AC816" s="412">
        <f t="shared" si="186"/>
        <v>0</v>
      </c>
      <c r="AD816" s="405"/>
      <c r="AE816" s="405"/>
      <c r="AF816" s="424">
        <f t="shared" si="185"/>
        <v>146534.39999999999</v>
      </c>
      <c r="AG816" s="405" t="s">
        <v>1069</v>
      </c>
      <c r="AH816" s="405"/>
      <c r="AI816" s="405">
        <v>60</v>
      </c>
      <c r="AJ816" s="406" t="s">
        <v>1724</v>
      </c>
      <c r="AK816" s="406" t="s">
        <v>50</v>
      </c>
      <c r="AL816" s="414">
        <v>95403</v>
      </c>
      <c r="AM816" s="405" t="s">
        <v>52</v>
      </c>
      <c r="AN816" s="361" t="s">
        <v>50</v>
      </c>
      <c r="AO816" s="405" t="s">
        <v>1073</v>
      </c>
      <c r="AP816" s="413" t="s">
        <v>92</v>
      </c>
      <c r="AQ816" s="405" t="s">
        <v>37</v>
      </c>
      <c r="AR816" s="405"/>
      <c r="AS816" s="404" t="s">
        <v>1392</v>
      </c>
      <c r="AT816" s="404"/>
      <c r="AU816" s="409"/>
      <c r="AV816" s="402"/>
      <c r="AW816" s="402"/>
      <c r="AX816" s="402"/>
      <c r="AY816" s="402"/>
      <c r="AZ816" s="402"/>
      <c r="BA816" s="402"/>
      <c r="BB816" s="402"/>
      <c r="BC816" s="402"/>
    </row>
    <row r="817" spans="1:55">
      <c r="A817" s="426" t="s">
        <v>4585</v>
      </c>
      <c r="B817" s="376"/>
      <c r="C817" s="376"/>
      <c r="D817" s="416" t="s">
        <v>86</v>
      </c>
      <c r="E817" s="405" t="s">
        <v>4587</v>
      </c>
      <c r="F817" s="417"/>
      <c r="G817" s="359">
        <v>2022</v>
      </c>
      <c r="H817" s="405">
        <v>5</v>
      </c>
      <c r="I817" s="405">
        <v>128598</v>
      </c>
      <c r="J817" s="406">
        <v>44686</v>
      </c>
      <c r="K817" s="405" t="s">
        <v>1849</v>
      </c>
      <c r="L817" s="405" t="s">
        <v>1723</v>
      </c>
      <c r="M817" s="406">
        <v>44539</v>
      </c>
      <c r="N817" s="406">
        <v>44655</v>
      </c>
      <c r="O817" s="406">
        <v>44685</v>
      </c>
      <c r="P817" s="406">
        <v>44678</v>
      </c>
      <c r="Q817" s="406">
        <v>44686</v>
      </c>
      <c r="R817" s="406">
        <v>44687</v>
      </c>
      <c r="S817" s="405" t="s">
        <v>1683</v>
      </c>
      <c r="T817" s="405">
        <v>60</v>
      </c>
      <c r="U817" s="417" t="s">
        <v>1237</v>
      </c>
      <c r="V817" s="405" t="s">
        <v>973</v>
      </c>
      <c r="W817" s="405">
        <v>400</v>
      </c>
      <c r="X817" s="382">
        <v>768</v>
      </c>
      <c r="Y817" s="365">
        <f t="shared" si="179"/>
        <v>307200</v>
      </c>
      <c r="Z817" s="409">
        <f t="shared" ref="Z817:Z822" si="187">220/400</f>
        <v>0.55000000000000004</v>
      </c>
      <c r="AA817" s="411">
        <f t="shared" si="184"/>
        <v>168960</v>
      </c>
      <c r="AB817" s="411"/>
      <c r="AC817" s="412">
        <f t="shared" si="186"/>
        <v>0</v>
      </c>
      <c r="AD817" s="405"/>
      <c r="AE817" s="405"/>
      <c r="AF817" s="424">
        <f t="shared" si="185"/>
        <v>168960</v>
      </c>
      <c r="AG817" s="405" t="s">
        <v>1069</v>
      </c>
      <c r="AH817" s="405"/>
      <c r="AI817" s="405">
        <v>60</v>
      </c>
      <c r="AJ817" s="406" t="s">
        <v>1724</v>
      </c>
      <c r="AK817" s="406" t="s">
        <v>50</v>
      </c>
      <c r="AL817" s="414">
        <v>95403</v>
      </c>
      <c r="AM817" s="405" t="s">
        <v>52</v>
      </c>
      <c r="AN817" s="361" t="s">
        <v>50</v>
      </c>
      <c r="AO817" s="405" t="s">
        <v>1073</v>
      </c>
      <c r="AP817" s="413" t="s">
        <v>92</v>
      </c>
      <c r="AQ817" s="405" t="s">
        <v>37</v>
      </c>
      <c r="AR817" s="405"/>
      <c r="AS817" s="404" t="s">
        <v>1392</v>
      </c>
      <c r="AT817" s="404"/>
      <c r="AU817" s="409"/>
      <c r="AV817" s="402" t="str">
        <f>U817</f>
        <v>30390456H</v>
      </c>
      <c r="AW817" s="402" cm="1">
        <f t="array" ref="AW817">SUM(MID(0&amp;AV817,LARGE(INDEX(ISNUMBER(--MID(AV817,ROW($1:$8),1))*ROW($1:$8),),ROW($1:$8))+1,1)*10^ROW($1:$8)/10)</f>
        <v>30390456</v>
      </c>
      <c r="AX817" s="402" t="str">
        <f>VLOOKUP($AW817,'Item Master Data'!$A:$F,3,FALSE)</f>
        <v>Q.PEAK DUO BLK ML G10+</v>
      </c>
      <c r="AY817" s="402">
        <f>VLOOKUP($AW817,'Item Master Data'!$A:$F,6,FALSE)</f>
        <v>400</v>
      </c>
      <c r="AZ817" s="402">
        <f>X817/BA817</f>
        <v>24</v>
      </c>
      <c r="BA817" s="402">
        <f>VLOOKUP(AW817,'Item Master Data'!$A:$G,7,FALSE)</f>
        <v>32</v>
      </c>
      <c r="BB817" s="402"/>
      <c r="BC817" s="402">
        <f>W817-AY817</f>
        <v>0</v>
      </c>
    </row>
    <row r="818" spans="1:55">
      <c r="A818" s="426" t="s">
        <v>4585</v>
      </c>
      <c r="B818" s="376"/>
      <c r="C818" s="376"/>
      <c r="D818" s="416" t="s">
        <v>86</v>
      </c>
      <c r="E818" s="405"/>
      <c r="F818" s="417"/>
      <c r="G818" s="359">
        <v>2022</v>
      </c>
      <c r="H818" s="405">
        <v>5</v>
      </c>
      <c r="I818" s="405"/>
      <c r="J818" s="406"/>
      <c r="K818" s="405" t="s">
        <v>1867</v>
      </c>
      <c r="L818" s="405" t="s">
        <v>1519</v>
      </c>
      <c r="M818" s="406">
        <v>44502</v>
      </c>
      <c r="N818" s="406">
        <v>44599</v>
      </c>
      <c r="O818" s="406">
        <v>44688</v>
      </c>
      <c r="P818" s="406">
        <v>44678</v>
      </c>
      <c r="Q818" s="406" t="s">
        <v>4591</v>
      </c>
      <c r="R818" s="406"/>
      <c r="S818" s="405" t="s">
        <v>1683</v>
      </c>
      <c r="T818" s="405">
        <v>60</v>
      </c>
      <c r="U818" s="417" t="s">
        <v>1237</v>
      </c>
      <c r="V818" s="405" t="s">
        <v>973</v>
      </c>
      <c r="W818" s="405">
        <v>400</v>
      </c>
      <c r="X818" s="382">
        <v>768</v>
      </c>
      <c r="Y818" s="365">
        <f t="shared" si="179"/>
        <v>307200</v>
      </c>
      <c r="Z818" s="409">
        <f t="shared" si="187"/>
        <v>0.55000000000000004</v>
      </c>
      <c r="AA818" s="411">
        <f t="shared" si="184"/>
        <v>168960</v>
      </c>
      <c r="AB818" s="411"/>
      <c r="AC818" s="412">
        <f t="shared" si="186"/>
        <v>0</v>
      </c>
      <c r="AD818" s="405"/>
      <c r="AE818" s="405"/>
      <c r="AF818" s="424">
        <f t="shared" si="185"/>
        <v>168960</v>
      </c>
      <c r="AG818" s="405" t="s">
        <v>1069</v>
      </c>
      <c r="AH818" s="405"/>
      <c r="AI818" s="405">
        <v>60</v>
      </c>
      <c r="AJ818" s="406" t="s">
        <v>1521</v>
      </c>
      <c r="AK818" s="406" t="s">
        <v>1522</v>
      </c>
      <c r="AL818" s="414" t="s">
        <v>1523</v>
      </c>
      <c r="AM818" s="405" t="s">
        <v>52</v>
      </c>
      <c r="AN818" s="361" t="s">
        <v>50</v>
      </c>
      <c r="AO818" s="405" t="s">
        <v>1073</v>
      </c>
      <c r="AP818" s="413" t="s">
        <v>92</v>
      </c>
      <c r="AQ818" s="405" t="s">
        <v>37</v>
      </c>
      <c r="AR818" s="405" t="s">
        <v>1499</v>
      </c>
      <c r="AS818" s="404"/>
      <c r="AT818" s="404"/>
      <c r="AU818" s="409">
        <f>182/400</f>
        <v>0.45500000000000002</v>
      </c>
      <c r="AV818" s="402"/>
      <c r="AW818" s="402"/>
      <c r="AX818" s="402"/>
      <c r="AY818" s="402"/>
      <c r="AZ818" s="402"/>
      <c r="BA818" s="402"/>
      <c r="BB818" s="402"/>
      <c r="BC818" s="402"/>
    </row>
    <row r="819" spans="1:55">
      <c r="A819" s="426" t="s">
        <v>4585</v>
      </c>
      <c r="B819" s="376"/>
      <c r="C819" s="376"/>
      <c r="D819" s="416" t="s">
        <v>86</v>
      </c>
      <c r="E819" s="405" t="s">
        <v>4587</v>
      </c>
      <c r="F819" s="417"/>
      <c r="G819" s="359">
        <v>2022</v>
      </c>
      <c r="H819" s="405">
        <v>5</v>
      </c>
      <c r="I819" s="405">
        <v>128599</v>
      </c>
      <c r="J819" s="406">
        <v>44690</v>
      </c>
      <c r="K819" s="405" t="s">
        <v>1868</v>
      </c>
      <c r="L819" s="405" t="s">
        <v>1519</v>
      </c>
      <c r="M819" s="406">
        <v>44502</v>
      </c>
      <c r="N819" s="406">
        <v>44606</v>
      </c>
      <c r="O819" s="406">
        <v>44695</v>
      </c>
      <c r="P819" s="406">
        <v>44678</v>
      </c>
      <c r="Q819" s="406">
        <v>44690</v>
      </c>
      <c r="R819" s="406">
        <v>44692</v>
      </c>
      <c r="S819" s="405" t="s">
        <v>1683</v>
      </c>
      <c r="T819" s="405">
        <v>60</v>
      </c>
      <c r="U819" s="417" t="s">
        <v>1237</v>
      </c>
      <c r="V819" s="405" t="s">
        <v>973</v>
      </c>
      <c r="W819" s="405">
        <v>400</v>
      </c>
      <c r="X819" s="382">
        <v>768</v>
      </c>
      <c r="Y819" s="365">
        <f t="shared" si="179"/>
        <v>307200</v>
      </c>
      <c r="Z819" s="409">
        <f t="shared" si="187"/>
        <v>0.55000000000000004</v>
      </c>
      <c r="AA819" s="411">
        <f t="shared" si="184"/>
        <v>168960</v>
      </c>
      <c r="AB819" s="411"/>
      <c r="AC819" s="412">
        <f t="shared" si="186"/>
        <v>0</v>
      </c>
      <c r="AD819" s="405"/>
      <c r="AE819" s="405"/>
      <c r="AF819" s="424">
        <f t="shared" si="185"/>
        <v>168960</v>
      </c>
      <c r="AG819" s="405" t="s">
        <v>1069</v>
      </c>
      <c r="AH819" s="405"/>
      <c r="AI819" s="405">
        <v>60</v>
      </c>
      <c r="AJ819" s="406" t="s">
        <v>1521</v>
      </c>
      <c r="AK819" s="406" t="s">
        <v>1522</v>
      </c>
      <c r="AL819" s="414" t="s">
        <v>1523</v>
      </c>
      <c r="AM819" s="405" t="s">
        <v>52</v>
      </c>
      <c r="AN819" s="361" t="s">
        <v>50</v>
      </c>
      <c r="AO819" s="405" t="s">
        <v>1073</v>
      </c>
      <c r="AP819" s="413" t="s">
        <v>92</v>
      </c>
      <c r="AQ819" s="405" t="s">
        <v>37</v>
      </c>
      <c r="AR819" s="405" t="s">
        <v>1499</v>
      </c>
      <c r="AS819" s="404"/>
      <c r="AT819" s="404"/>
      <c r="AU819" s="409">
        <f>182/400</f>
        <v>0.45500000000000002</v>
      </c>
      <c r="AV819" s="402"/>
      <c r="AW819" s="402"/>
      <c r="AX819" s="402"/>
      <c r="AY819" s="402"/>
      <c r="AZ819" s="402"/>
      <c r="BA819" s="402"/>
      <c r="BB819" s="402"/>
      <c r="BC819" s="402"/>
    </row>
    <row r="820" spans="1:55">
      <c r="A820" s="426" t="s">
        <v>4640</v>
      </c>
      <c r="B820" s="376"/>
      <c r="C820" s="376"/>
      <c r="D820" s="416" t="s">
        <v>86</v>
      </c>
      <c r="E820" s="405" t="s">
        <v>4587</v>
      </c>
      <c r="F820" s="417"/>
      <c r="G820" s="359">
        <v>2022</v>
      </c>
      <c r="H820" s="405">
        <v>5</v>
      </c>
      <c r="I820" s="405">
        <v>128600</v>
      </c>
      <c r="J820" s="406">
        <v>44690</v>
      </c>
      <c r="K820" s="405" t="s">
        <v>1869</v>
      </c>
      <c r="L820" s="405" t="s">
        <v>1519</v>
      </c>
      <c r="M820" s="406">
        <v>44502</v>
      </c>
      <c r="N820" s="406">
        <v>44613</v>
      </c>
      <c r="O820" s="406">
        <v>44702</v>
      </c>
      <c r="P820" s="406">
        <v>44678</v>
      </c>
      <c r="Q820" s="406">
        <v>44690</v>
      </c>
      <c r="R820" s="406">
        <v>44692</v>
      </c>
      <c r="S820" s="405" t="s">
        <v>1683</v>
      </c>
      <c r="T820" s="405">
        <v>60</v>
      </c>
      <c r="U820" s="417" t="s">
        <v>1237</v>
      </c>
      <c r="V820" s="405" t="s">
        <v>973</v>
      </c>
      <c r="W820" s="405">
        <v>400</v>
      </c>
      <c r="X820" s="382">
        <v>768</v>
      </c>
      <c r="Y820" s="365">
        <f t="shared" si="179"/>
        <v>307200</v>
      </c>
      <c r="Z820" s="409">
        <f t="shared" si="187"/>
        <v>0.55000000000000004</v>
      </c>
      <c r="AA820" s="411">
        <f t="shared" si="184"/>
        <v>168960</v>
      </c>
      <c r="AB820" s="411"/>
      <c r="AC820" s="412">
        <f t="shared" si="186"/>
        <v>0</v>
      </c>
      <c r="AD820" s="405"/>
      <c r="AE820" s="405"/>
      <c r="AF820" s="424">
        <f t="shared" si="185"/>
        <v>168960</v>
      </c>
      <c r="AG820" s="405" t="s">
        <v>1069</v>
      </c>
      <c r="AH820" s="405"/>
      <c r="AI820" s="405">
        <v>60</v>
      </c>
      <c r="AJ820" s="406" t="s">
        <v>1521</v>
      </c>
      <c r="AK820" s="406" t="s">
        <v>1522</v>
      </c>
      <c r="AL820" s="414" t="s">
        <v>1523</v>
      </c>
      <c r="AM820" s="405" t="s">
        <v>52</v>
      </c>
      <c r="AN820" s="361" t="s">
        <v>50</v>
      </c>
      <c r="AO820" s="405" t="s">
        <v>1073</v>
      </c>
      <c r="AP820" s="413" t="s">
        <v>92</v>
      </c>
      <c r="AQ820" s="405" t="s">
        <v>37</v>
      </c>
      <c r="AR820" s="405" t="s">
        <v>1499</v>
      </c>
      <c r="AS820" s="404"/>
      <c r="AT820" s="404"/>
      <c r="AU820" s="409">
        <f>182/400</f>
        <v>0.45500000000000002</v>
      </c>
      <c r="AV820" s="402"/>
      <c r="AW820" s="402"/>
      <c r="AX820" s="402"/>
      <c r="AY820" s="402"/>
      <c r="AZ820" s="402"/>
      <c r="BA820" s="402"/>
      <c r="BB820" s="402"/>
      <c r="BC820" s="402"/>
    </row>
    <row r="821" spans="1:55">
      <c r="A821" s="426" t="s">
        <v>4584</v>
      </c>
      <c r="B821" s="376"/>
      <c r="C821" s="376"/>
      <c r="D821" s="416" t="s">
        <v>86</v>
      </c>
      <c r="E821" s="405"/>
      <c r="F821" s="417"/>
      <c r="G821" s="359">
        <v>2022</v>
      </c>
      <c r="H821" s="405">
        <v>5</v>
      </c>
      <c r="I821" s="405">
        <v>128601</v>
      </c>
      <c r="J821" s="406">
        <v>44686</v>
      </c>
      <c r="K821" s="405" t="s">
        <v>1870</v>
      </c>
      <c r="L821" s="405" t="s">
        <v>1519</v>
      </c>
      <c r="M821" s="406">
        <v>44502</v>
      </c>
      <c r="N821" s="406">
        <v>44620</v>
      </c>
      <c r="O821" s="406">
        <v>44682</v>
      </c>
      <c r="P821" s="406">
        <v>44678</v>
      </c>
      <c r="Q821" s="406">
        <v>44686</v>
      </c>
      <c r="R821" s="406">
        <v>44690</v>
      </c>
      <c r="S821" s="405" t="s">
        <v>1683</v>
      </c>
      <c r="T821" s="405">
        <v>60</v>
      </c>
      <c r="U821" s="417" t="s">
        <v>1237</v>
      </c>
      <c r="V821" s="405" t="s">
        <v>973</v>
      </c>
      <c r="W821" s="405">
        <v>400</v>
      </c>
      <c r="X821" s="382">
        <v>768</v>
      </c>
      <c r="Y821" s="365">
        <f t="shared" si="179"/>
        <v>307200</v>
      </c>
      <c r="Z821" s="409">
        <f t="shared" si="187"/>
        <v>0.55000000000000004</v>
      </c>
      <c r="AA821" s="411">
        <f t="shared" si="184"/>
        <v>168960</v>
      </c>
      <c r="AB821" s="411"/>
      <c r="AC821" s="412">
        <f t="shared" si="186"/>
        <v>0</v>
      </c>
      <c r="AD821" s="405"/>
      <c r="AE821" s="405"/>
      <c r="AF821" s="424">
        <f t="shared" si="185"/>
        <v>168960</v>
      </c>
      <c r="AG821" s="405" t="s">
        <v>1069</v>
      </c>
      <c r="AH821" s="405"/>
      <c r="AI821" s="405">
        <v>60</v>
      </c>
      <c r="AJ821" s="406" t="s">
        <v>1521</v>
      </c>
      <c r="AK821" s="406" t="s">
        <v>1522</v>
      </c>
      <c r="AL821" s="414" t="s">
        <v>1523</v>
      </c>
      <c r="AM821" s="405" t="s">
        <v>52</v>
      </c>
      <c r="AN821" s="361" t="s">
        <v>50</v>
      </c>
      <c r="AO821" s="405" t="s">
        <v>1073</v>
      </c>
      <c r="AP821" s="413" t="s">
        <v>92</v>
      </c>
      <c r="AQ821" s="405" t="s">
        <v>37</v>
      </c>
      <c r="AR821" s="405" t="s">
        <v>1499</v>
      </c>
      <c r="AS821" s="404"/>
      <c r="AT821" s="404"/>
      <c r="AU821" s="409">
        <f>182/400</f>
        <v>0.45500000000000002</v>
      </c>
      <c r="AV821" s="402"/>
      <c r="AW821" s="402"/>
      <c r="AX821" s="402"/>
      <c r="AY821" s="402"/>
      <c r="AZ821" s="402"/>
      <c r="BA821" s="402"/>
      <c r="BB821" s="402"/>
      <c r="BC821" s="402"/>
    </row>
    <row r="822" spans="1:55">
      <c r="A822" s="426" t="s">
        <v>4584</v>
      </c>
      <c r="B822" s="376"/>
      <c r="C822" s="376"/>
      <c r="D822" s="416" t="s">
        <v>86</v>
      </c>
      <c r="E822" s="405"/>
      <c r="F822" s="417"/>
      <c r="G822" s="359">
        <v>2022</v>
      </c>
      <c r="H822" s="405">
        <v>5</v>
      </c>
      <c r="I822" s="405">
        <v>128602</v>
      </c>
      <c r="J822" s="406">
        <v>44686</v>
      </c>
      <c r="K822" s="405" t="s">
        <v>1871</v>
      </c>
      <c r="L822" s="405" t="s">
        <v>1519</v>
      </c>
      <c r="M822" s="406">
        <v>44502</v>
      </c>
      <c r="N822" s="406">
        <v>44627</v>
      </c>
      <c r="O822" s="406">
        <v>44686</v>
      </c>
      <c r="P822" s="406">
        <v>44678</v>
      </c>
      <c r="Q822" s="406">
        <v>44686</v>
      </c>
      <c r="R822" s="406">
        <v>44690</v>
      </c>
      <c r="S822" s="405" t="s">
        <v>1683</v>
      </c>
      <c r="T822" s="405">
        <v>60</v>
      </c>
      <c r="U822" s="417" t="s">
        <v>1237</v>
      </c>
      <c r="V822" s="405" t="s">
        <v>973</v>
      </c>
      <c r="W822" s="405">
        <v>400</v>
      </c>
      <c r="X822" s="382">
        <v>768</v>
      </c>
      <c r="Y822" s="365">
        <f t="shared" si="179"/>
        <v>307200</v>
      </c>
      <c r="Z822" s="409">
        <f t="shared" si="187"/>
        <v>0.55000000000000004</v>
      </c>
      <c r="AA822" s="411">
        <f t="shared" si="184"/>
        <v>168960</v>
      </c>
      <c r="AB822" s="411"/>
      <c r="AC822" s="412">
        <f t="shared" si="186"/>
        <v>0</v>
      </c>
      <c r="AD822" s="405"/>
      <c r="AE822" s="405"/>
      <c r="AF822" s="424">
        <f t="shared" si="185"/>
        <v>168960</v>
      </c>
      <c r="AG822" s="405" t="s">
        <v>1069</v>
      </c>
      <c r="AH822" s="405"/>
      <c r="AI822" s="405">
        <v>60</v>
      </c>
      <c r="AJ822" s="406" t="s">
        <v>1521</v>
      </c>
      <c r="AK822" s="406" t="s">
        <v>1522</v>
      </c>
      <c r="AL822" s="414" t="s">
        <v>1523</v>
      </c>
      <c r="AM822" s="405" t="s">
        <v>52</v>
      </c>
      <c r="AN822" s="361" t="s">
        <v>50</v>
      </c>
      <c r="AO822" s="405" t="s">
        <v>1073</v>
      </c>
      <c r="AP822" s="413" t="s">
        <v>92</v>
      </c>
      <c r="AQ822" s="405" t="s">
        <v>37</v>
      </c>
      <c r="AR822" s="405" t="s">
        <v>1499</v>
      </c>
      <c r="AS822" s="404"/>
      <c r="AT822" s="404"/>
      <c r="AU822" s="409">
        <f>182/400</f>
        <v>0.45500000000000002</v>
      </c>
      <c r="AV822" s="402"/>
      <c r="AW822" s="402"/>
      <c r="AX822" s="402"/>
      <c r="AY822" s="402"/>
      <c r="AZ822" s="402"/>
      <c r="BA822" s="402"/>
      <c r="BB822" s="402"/>
      <c r="BC822" s="402"/>
    </row>
    <row r="823" spans="1:55">
      <c r="A823" s="426" t="s">
        <v>4584</v>
      </c>
      <c r="B823" s="376"/>
      <c r="C823" s="376"/>
      <c r="D823" s="416" t="s">
        <v>86</v>
      </c>
      <c r="E823" s="405"/>
      <c r="F823" s="417"/>
      <c r="G823" s="359">
        <v>2022</v>
      </c>
      <c r="H823" s="405">
        <v>5</v>
      </c>
      <c r="I823" s="405"/>
      <c r="J823" s="406">
        <v>44683</v>
      </c>
      <c r="K823" s="405" t="s">
        <v>1761</v>
      </c>
      <c r="L823" s="405" t="s">
        <v>1737</v>
      </c>
      <c r="M823" s="406">
        <v>44573</v>
      </c>
      <c r="N823" s="406">
        <v>44636</v>
      </c>
      <c r="O823" s="406"/>
      <c r="P823" s="406">
        <v>44663</v>
      </c>
      <c r="Q823" s="406">
        <v>44683</v>
      </c>
      <c r="R823" s="406">
        <v>44687</v>
      </c>
      <c r="S823" s="405" t="s">
        <v>88</v>
      </c>
      <c r="T823" s="405">
        <v>60</v>
      </c>
      <c r="U823" s="417">
        <v>49204132</v>
      </c>
      <c r="V823" s="405" t="s">
        <v>1192</v>
      </c>
      <c r="W823" s="405">
        <v>360</v>
      </c>
      <c r="X823" s="382">
        <v>364</v>
      </c>
      <c r="Y823" s="365">
        <v>131040</v>
      </c>
      <c r="Z823" s="409">
        <v>0.83000000000000007</v>
      </c>
      <c r="AA823" s="411">
        <v>108763.20000000001</v>
      </c>
      <c r="AB823" s="411"/>
      <c r="AC823" s="412">
        <v>0</v>
      </c>
      <c r="AD823" s="405"/>
      <c r="AE823" s="405"/>
      <c r="AF823" s="424">
        <v>108763.20000000001</v>
      </c>
      <c r="AG823" s="405" t="s">
        <v>1069</v>
      </c>
      <c r="AH823" s="405"/>
      <c r="AI823" s="405">
        <v>60</v>
      </c>
      <c r="AJ823" s="406" t="s">
        <v>1762</v>
      </c>
      <c r="AK823" s="406" t="s">
        <v>50</v>
      </c>
      <c r="AL823" s="414" t="s">
        <v>1739</v>
      </c>
      <c r="AM823" s="405" t="s">
        <v>52</v>
      </c>
      <c r="AN823" s="361" t="s">
        <v>1101</v>
      </c>
      <c r="AO823" s="405" t="s">
        <v>1073</v>
      </c>
      <c r="AP823" s="413"/>
      <c r="AQ823" s="405" t="s">
        <v>37</v>
      </c>
      <c r="AR823" s="405" t="s">
        <v>1188</v>
      </c>
      <c r="AS823" s="404" t="s">
        <v>1392</v>
      </c>
      <c r="AT823" s="404"/>
      <c r="AU823" s="409">
        <v>0.78999999999999992</v>
      </c>
      <c r="AV823" s="402"/>
      <c r="AW823" s="402"/>
      <c r="AX823" s="402"/>
      <c r="AY823" s="402"/>
      <c r="AZ823" s="402"/>
      <c r="BA823" s="402"/>
      <c r="BB823" s="402"/>
      <c r="BC823" s="402"/>
    </row>
    <row r="824" spans="1:55">
      <c r="A824" s="426" t="s">
        <v>4584</v>
      </c>
      <c r="B824" s="376"/>
      <c r="C824" s="376"/>
      <c r="D824" s="416" t="s">
        <v>86</v>
      </c>
      <c r="E824" s="405"/>
      <c r="F824" s="417"/>
      <c r="G824" s="359">
        <v>2022</v>
      </c>
      <c r="H824" s="405">
        <v>5</v>
      </c>
      <c r="I824" s="405"/>
      <c r="J824" s="406">
        <v>44683</v>
      </c>
      <c r="K824" s="405" t="s">
        <v>1767</v>
      </c>
      <c r="L824" s="405" t="s">
        <v>1737</v>
      </c>
      <c r="M824" s="406">
        <v>44573</v>
      </c>
      <c r="N824" s="406">
        <v>44666</v>
      </c>
      <c r="O824" s="406"/>
      <c r="P824" s="406">
        <v>44663</v>
      </c>
      <c r="Q824" s="406">
        <v>44683</v>
      </c>
      <c r="R824" s="406">
        <v>44687</v>
      </c>
      <c r="S824" s="405" t="s">
        <v>88</v>
      </c>
      <c r="T824" s="405">
        <v>60</v>
      </c>
      <c r="U824" s="417">
        <v>49204132</v>
      </c>
      <c r="V824" s="405" t="s">
        <v>1192</v>
      </c>
      <c r="W824" s="405">
        <v>360</v>
      </c>
      <c r="X824" s="382">
        <v>364</v>
      </c>
      <c r="Y824" s="365">
        <v>131040</v>
      </c>
      <c r="Z824" s="409">
        <v>0.83000000000000007</v>
      </c>
      <c r="AA824" s="411">
        <v>108763.20000000001</v>
      </c>
      <c r="AB824" s="411"/>
      <c r="AC824" s="412">
        <v>0</v>
      </c>
      <c r="AD824" s="405"/>
      <c r="AE824" s="405"/>
      <c r="AF824" s="424">
        <v>108763.20000000001</v>
      </c>
      <c r="AG824" s="405" t="s">
        <v>1069</v>
      </c>
      <c r="AH824" s="405"/>
      <c r="AI824" s="405">
        <v>60</v>
      </c>
      <c r="AJ824" s="406" t="s">
        <v>1762</v>
      </c>
      <c r="AK824" s="406" t="s">
        <v>50</v>
      </c>
      <c r="AL824" s="414" t="s">
        <v>1739</v>
      </c>
      <c r="AM824" s="405" t="s">
        <v>52</v>
      </c>
      <c r="AN824" s="361" t="s">
        <v>1101</v>
      </c>
      <c r="AO824" s="405" t="s">
        <v>1073</v>
      </c>
      <c r="AP824" s="413"/>
      <c r="AQ824" s="405" t="s">
        <v>37</v>
      </c>
      <c r="AR824" s="405" t="s">
        <v>1188</v>
      </c>
      <c r="AS824" s="404" t="s">
        <v>1392</v>
      </c>
      <c r="AT824" s="404"/>
      <c r="AU824" s="409">
        <v>0.78999999999999992</v>
      </c>
      <c r="AV824" s="402"/>
      <c r="AW824" s="402"/>
      <c r="AX824" s="402"/>
      <c r="AY824" s="402"/>
      <c r="AZ824" s="402"/>
      <c r="BA824" s="402"/>
      <c r="BB824" s="402"/>
      <c r="BC824" s="402"/>
    </row>
    <row r="825" spans="1:55">
      <c r="A825" s="426" t="s">
        <v>4584</v>
      </c>
      <c r="B825" s="376"/>
      <c r="C825" s="376"/>
      <c r="D825" s="416" t="s">
        <v>86</v>
      </c>
      <c r="E825" s="405" t="s">
        <v>4824</v>
      </c>
      <c r="F825" s="417"/>
      <c r="G825" s="359">
        <v>2022</v>
      </c>
      <c r="H825" s="405">
        <v>5</v>
      </c>
      <c r="I825" s="405"/>
      <c r="J825" s="406"/>
      <c r="K825" s="405" t="s">
        <v>1754</v>
      </c>
      <c r="L825" s="405" t="s">
        <v>1737</v>
      </c>
      <c r="M825" s="406">
        <v>44505</v>
      </c>
      <c r="N825" s="406">
        <v>44621</v>
      </c>
      <c r="O825" s="406">
        <v>44682</v>
      </c>
      <c r="P825" s="406">
        <v>44663</v>
      </c>
      <c r="Q825" s="406">
        <v>44697</v>
      </c>
      <c r="R825" s="406">
        <v>44701</v>
      </c>
      <c r="S825" s="405" t="s">
        <v>1510</v>
      </c>
      <c r="T825" s="405">
        <v>60</v>
      </c>
      <c r="U825" s="417">
        <v>49203132</v>
      </c>
      <c r="V825" s="405" t="s">
        <v>986</v>
      </c>
      <c r="W825" s="405">
        <v>360</v>
      </c>
      <c r="X825" s="382">
        <v>832</v>
      </c>
      <c r="Y825" s="365">
        <f t="shared" ref="Y825:Y870" si="188">W825*X825</f>
        <v>299520</v>
      </c>
      <c r="Z825" s="409">
        <f>190.8/360</f>
        <v>0.53</v>
      </c>
      <c r="AA825" s="411">
        <f t="shared" ref="AA825:AA870" si="189">Z825*Y825</f>
        <v>158745.60000000001</v>
      </c>
      <c r="AB825" s="411"/>
      <c r="AC825" s="412">
        <f t="shared" ref="AC825:AC850" si="190">AB825*Y825</f>
        <v>0</v>
      </c>
      <c r="AD825" s="405"/>
      <c r="AE825" s="405"/>
      <c r="AF825" s="424">
        <f t="shared" ref="AF825:AF851" si="191">AE825+AD825+AA825</f>
        <v>158745.60000000001</v>
      </c>
      <c r="AG825" s="405" t="s">
        <v>1069</v>
      </c>
      <c r="AH825" s="405"/>
      <c r="AI825" s="405">
        <v>60</v>
      </c>
      <c r="AJ825" s="406" t="s">
        <v>1738</v>
      </c>
      <c r="AK825" s="406" t="s">
        <v>50</v>
      </c>
      <c r="AL825" s="414" t="s">
        <v>1739</v>
      </c>
      <c r="AM825" s="405" t="s">
        <v>52</v>
      </c>
      <c r="AN825" s="361" t="s">
        <v>1101</v>
      </c>
      <c r="AO825" s="405" t="s">
        <v>1073</v>
      </c>
      <c r="AP825" s="413"/>
      <c r="AQ825" s="405" t="s">
        <v>37</v>
      </c>
      <c r="AR825" s="405"/>
      <c r="AS825" s="404"/>
      <c r="AT825" s="404"/>
      <c r="AU825" s="409"/>
      <c r="AV825" s="402"/>
      <c r="AW825" s="402"/>
      <c r="AX825" s="402"/>
      <c r="AY825" s="402"/>
      <c r="AZ825" s="402"/>
      <c r="BA825" s="402"/>
      <c r="BB825" s="402"/>
      <c r="BC825" s="402"/>
    </row>
    <row r="826" spans="1:55">
      <c r="A826" s="426" t="s">
        <v>4585</v>
      </c>
      <c r="B826" s="376"/>
      <c r="C826" s="376"/>
      <c r="D826" s="416" t="s">
        <v>86</v>
      </c>
      <c r="E826" s="405"/>
      <c r="F826" s="417"/>
      <c r="G826" s="359">
        <v>2022</v>
      </c>
      <c r="H826" s="405">
        <v>5</v>
      </c>
      <c r="I826" s="405"/>
      <c r="J826" s="406"/>
      <c r="K826" s="405" t="s">
        <v>1909</v>
      </c>
      <c r="L826" s="405" t="s">
        <v>1737</v>
      </c>
      <c r="M826" s="406">
        <v>44573</v>
      </c>
      <c r="N826" s="406">
        <v>44713</v>
      </c>
      <c r="O826" s="406"/>
      <c r="P826" s="406"/>
      <c r="Q826" s="406"/>
      <c r="R826" s="406"/>
      <c r="S826" s="405" t="s">
        <v>88</v>
      </c>
      <c r="T826" s="405">
        <v>60</v>
      </c>
      <c r="U826" s="417">
        <v>49204132</v>
      </c>
      <c r="V826" s="405" t="s">
        <v>1192</v>
      </c>
      <c r="W826" s="405">
        <v>360</v>
      </c>
      <c r="X826" s="382">
        <v>364</v>
      </c>
      <c r="Y826" s="365">
        <f t="shared" si="188"/>
        <v>131040</v>
      </c>
      <c r="Z826" s="409">
        <f>298.8/360</f>
        <v>0.83000000000000007</v>
      </c>
      <c r="AA826" s="411">
        <f t="shared" si="189"/>
        <v>108763.20000000001</v>
      </c>
      <c r="AB826" s="411"/>
      <c r="AC826" s="412">
        <f t="shared" si="190"/>
        <v>0</v>
      </c>
      <c r="AD826" s="405"/>
      <c r="AE826" s="405"/>
      <c r="AF826" s="424">
        <f t="shared" si="191"/>
        <v>108763.20000000001</v>
      </c>
      <c r="AG826" s="405" t="s">
        <v>1069</v>
      </c>
      <c r="AH826" s="405"/>
      <c r="AI826" s="405">
        <v>60</v>
      </c>
      <c r="AJ826" s="406" t="s">
        <v>1762</v>
      </c>
      <c r="AK826" s="406" t="s">
        <v>50</v>
      </c>
      <c r="AL826" s="414" t="s">
        <v>1739</v>
      </c>
      <c r="AM826" s="405" t="s">
        <v>52</v>
      </c>
      <c r="AN826" s="361" t="s">
        <v>1071</v>
      </c>
      <c r="AO826" s="405" t="s">
        <v>1073</v>
      </c>
      <c r="AP826" s="413"/>
      <c r="AQ826" s="405" t="s">
        <v>37</v>
      </c>
      <c r="AR826" s="405" t="s">
        <v>1188</v>
      </c>
      <c r="AS826" s="404" t="s">
        <v>1392</v>
      </c>
      <c r="AT826" s="404"/>
      <c r="AU826" s="409">
        <f>284.4/360</f>
        <v>0.78999999999999992</v>
      </c>
      <c r="AV826" s="402"/>
      <c r="AW826" s="402"/>
      <c r="AX826" s="402"/>
      <c r="AY826" s="402"/>
      <c r="AZ826" s="402"/>
      <c r="BA826" s="402"/>
      <c r="BB826" s="402"/>
      <c r="BC826" s="402"/>
    </row>
    <row r="827" spans="1:55">
      <c r="A827" s="426" t="s">
        <v>4584</v>
      </c>
      <c r="B827" s="376">
        <v>44607</v>
      </c>
      <c r="C827" s="376">
        <v>44607</v>
      </c>
      <c r="D827" s="416" t="s">
        <v>86</v>
      </c>
      <c r="E827" s="405"/>
      <c r="F827" s="417"/>
      <c r="G827" s="359">
        <v>2022</v>
      </c>
      <c r="H827" s="405">
        <v>5</v>
      </c>
      <c r="I827" s="405"/>
      <c r="J827" s="406"/>
      <c r="K827" s="405" t="s">
        <v>1891</v>
      </c>
      <c r="L827" s="405" t="s">
        <v>1525</v>
      </c>
      <c r="M827" s="406">
        <v>44530</v>
      </c>
      <c r="N827" s="406">
        <v>44685</v>
      </c>
      <c r="O827" s="406"/>
      <c r="P827" s="406">
        <v>44691</v>
      </c>
      <c r="Q827" s="406">
        <v>44694</v>
      </c>
      <c r="R827" s="406">
        <v>44697</v>
      </c>
      <c r="S827" s="405" t="s">
        <v>1510</v>
      </c>
      <c r="T827" s="405">
        <v>60</v>
      </c>
      <c r="U827" s="417">
        <v>49203132</v>
      </c>
      <c r="V827" s="405" t="s">
        <v>986</v>
      </c>
      <c r="W827" s="405">
        <v>360</v>
      </c>
      <c r="X827" s="382">
        <v>768</v>
      </c>
      <c r="Y827" s="365">
        <f t="shared" si="188"/>
        <v>276480</v>
      </c>
      <c r="Z827" s="409">
        <f>190.8/360</f>
        <v>0.53</v>
      </c>
      <c r="AA827" s="411">
        <f t="shared" si="189"/>
        <v>146534.39999999999</v>
      </c>
      <c r="AB827" s="411"/>
      <c r="AC827" s="412">
        <f t="shared" si="190"/>
        <v>0</v>
      </c>
      <c r="AD827" s="405"/>
      <c r="AE827" s="405"/>
      <c r="AF827" s="424">
        <f t="shared" si="191"/>
        <v>146534.39999999999</v>
      </c>
      <c r="AG827" s="405" t="s">
        <v>1069</v>
      </c>
      <c r="AH827" s="405"/>
      <c r="AI827" s="405">
        <v>60</v>
      </c>
      <c r="AJ827" s="406" t="s">
        <v>1779</v>
      </c>
      <c r="AK827" s="406" t="s">
        <v>50</v>
      </c>
      <c r="AL827" s="414">
        <v>93003</v>
      </c>
      <c r="AM827" s="405" t="s">
        <v>52</v>
      </c>
      <c r="AN827" s="361" t="s">
        <v>1101</v>
      </c>
      <c r="AO827" s="405" t="s">
        <v>1073</v>
      </c>
      <c r="AP827" s="413" t="s">
        <v>38</v>
      </c>
      <c r="AQ827" s="405" t="s">
        <v>37</v>
      </c>
      <c r="AR827" s="405"/>
      <c r="AS827" s="404"/>
      <c r="AT827" s="404"/>
      <c r="AU827" s="409"/>
      <c r="AV827" s="402"/>
      <c r="AW827" s="402"/>
      <c r="AX827" s="402"/>
      <c r="AY827" s="402"/>
      <c r="AZ827" s="402"/>
      <c r="BA827" s="402"/>
      <c r="BB827" s="402"/>
      <c r="BC827" s="402"/>
    </row>
    <row r="828" spans="1:55">
      <c r="A828" s="426"/>
      <c r="B828" s="376">
        <v>44522</v>
      </c>
      <c r="C828" s="376">
        <v>44522</v>
      </c>
      <c r="D828" s="416" t="s">
        <v>86</v>
      </c>
      <c r="E828" s="405" t="s">
        <v>1780</v>
      </c>
      <c r="F828" s="417" t="s">
        <v>87</v>
      </c>
      <c r="G828" s="359">
        <v>2022</v>
      </c>
      <c r="H828" s="405">
        <v>5</v>
      </c>
      <c r="I828" s="405"/>
      <c r="J828" s="406"/>
      <c r="K828" s="405" t="s">
        <v>1604</v>
      </c>
      <c r="L828" s="405" t="s">
        <v>1605</v>
      </c>
      <c r="M828" s="406">
        <v>44461</v>
      </c>
      <c r="N828" s="406">
        <v>44616</v>
      </c>
      <c r="O828" s="406"/>
      <c r="P828" s="406" t="s">
        <v>1654</v>
      </c>
      <c r="Q828" s="406"/>
      <c r="R828" s="406"/>
      <c r="S828" s="405" t="s">
        <v>1510</v>
      </c>
      <c r="T828" s="405">
        <v>72</v>
      </c>
      <c r="U828" s="417"/>
      <c r="V828" s="405" t="s">
        <v>1606</v>
      </c>
      <c r="W828" s="405">
        <v>410</v>
      </c>
      <c r="X828" s="382">
        <v>58</v>
      </c>
      <c r="Y828" s="365">
        <f t="shared" si="188"/>
        <v>23780</v>
      </c>
      <c r="Z828" s="409">
        <f>172.2/410</f>
        <v>0.42</v>
      </c>
      <c r="AA828" s="411">
        <f t="shared" si="189"/>
        <v>9987.6</v>
      </c>
      <c r="AB828" s="411"/>
      <c r="AC828" s="412">
        <f t="shared" si="190"/>
        <v>0</v>
      </c>
      <c r="AD828" s="405"/>
      <c r="AE828" s="405"/>
      <c r="AF828" s="424">
        <f t="shared" si="191"/>
        <v>9987.6</v>
      </c>
      <c r="AG828" s="405" t="s">
        <v>47</v>
      </c>
      <c r="AH828" s="405">
        <v>100</v>
      </c>
      <c r="AI828" s="405"/>
      <c r="AJ828" s="406" t="s">
        <v>1607</v>
      </c>
      <c r="AK828" s="406" t="s">
        <v>50</v>
      </c>
      <c r="AL828" s="414">
        <v>91311</v>
      </c>
      <c r="AM828" s="405" t="s">
        <v>52</v>
      </c>
      <c r="AN828" s="361"/>
      <c r="AO828" s="405" t="s">
        <v>1073</v>
      </c>
      <c r="AP828" s="413" t="s">
        <v>38</v>
      </c>
      <c r="AQ828" s="405" t="s">
        <v>1083</v>
      </c>
      <c r="AR828" s="405"/>
      <c r="AS828" s="404"/>
      <c r="AT828" s="404"/>
      <c r="AU828" s="409"/>
      <c r="AV828" s="402"/>
      <c r="AW828" s="402"/>
      <c r="AX828" s="402"/>
      <c r="AY828" s="402"/>
      <c r="AZ828" s="402"/>
      <c r="BA828" s="402"/>
      <c r="BB828" s="402"/>
      <c r="BC828" s="402"/>
    </row>
    <row r="829" spans="1:55">
      <c r="A829" s="426"/>
      <c r="B829" s="376">
        <v>44670</v>
      </c>
      <c r="C829" s="376">
        <v>44670</v>
      </c>
      <c r="D829" s="416" t="s">
        <v>86</v>
      </c>
      <c r="E829" s="405"/>
      <c r="F829" s="417"/>
      <c r="G829" s="359">
        <v>2022</v>
      </c>
      <c r="H829" s="405">
        <v>5</v>
      </c>
      <c r="I829" s="405">
        <v>128620</v>
      </c>
      <c r="J829" s="406">
        <v>44685</v>
      </c>
      <c r="K829" s="405" t="s">
        <v>3168</v>
      </c>
      <c r="L829" s="405" t="s">
        <v>3169</v>
      </c>
      <c r="M829" s="406">
        <v>44645</v>
      </c>
      <c r="N829" s="406">
        <v>44645</v>
      </c>
      <c r="O829" s="406"/>
      <c r="P829" s="406">
        <v>44677</v>
      </c>
      <c r="Q829" s="406">
        <v>44685</v>
      </c>
      <c r="R829" s="406">
        <v>44685</v>
      </c>
      <c r="S829" s="405" t="s">
        <v>88</v>
      </c>
      <c r="T829" s="405">
        <v>60</v>
      </c>
      <c r="U829" s="417" t="s">
        <v>1627</v>
      </c>
      <c r="V829" s="405" t="s">
        <v>970</v>
      </c>
      <c r="W829" s="405">
        <v>405</v>
      </c>
      <c r="X829" s="382">
        <v>64</v>
      </c>
      <c r="Y829" s="365">
        <f t="shared" si="188"/>
        <v>25920</v>
      </c>
      <c r="Z829" s="409">
        <f>222.75/405</f>
        <v>0.55000000000000004</v>
      </c>
      <c r="AA829" s="411">
        <f t="shared" si="189"/>
        <v>14256.000000000002</v>
      </c>
      <c r="AB829" s="411"/>
      <c r="AC829" s="412">
        <f t="shared" si="190"/>
        <v>0</v>
      </c>
      <c r="AD829" s="405"/>
      <c r="AE829" s="405"/>
      <c r="AF829" s="424">
        <f t="shared" si="191"/>
        <v>14256.000000000002</v>
      </c>
      <c r="AG829" s="405" t="s">
        <v>1069</v>
      </c>
      <c r="AH829" s="405">
        <v>100</v>
      </c>
      <c r="AI829" s="405">
        <v>0</v>
      </c>
      <c r="AJ829" s="406" t="s">
        <v>3170</v>
      </c>
      <c r="AK829" s="406" t="s">
        <v>50</v>
      </c>
      <c r="AL829" s="414" t="s">
        <v>3171</v>
      </c>
      <c r="AM829" s="405" t="s">
        <v>52</v>
      </c>
      <c r="AN829" s="361" t="s">
        <v>50</v>
      </c>
      <c r="AO829" s="405" t="s">
        <v>1073</v>
      </c>
      <c r="AP829" s="413" t="s">
        <v>92</v>
      </c>
      <c r="AQ829" s="405" t="s">
        <v>37</v>
      </c>
      <c r="AR829" s="405" t="s">
        <v>1188</v>
      </c>
      <c r="AS829" s="404" t="s">
        <v>1392</v>
      </c>
      <c r="AT829" s="404"/>
      <c r="AU829" s="409">
        <f>208/400</f>
        <v>0.52</v>
      </c>
      <c r="AV829" s="402"/>
      <c r="AW829" s="402"/>
      <c r="AX829" s="402"/>
      <c r="AY829" s="402"/>
      <c r="AZ829" s="402"/>
      <c r="BA829" s="402"/>
      <c r="BB829" s="402"/>
      <c r="BC829" s="402"/>
    </row>
    <row r="830" spans="1:55">
      <c r="A830" s="426" t="s">
        <v>4584</v>
      </c>
      <c r="B830" s="376"/>
      <c r="C830" s="376"/>
      <c r="D830" s="416" t="s">
        <v>86</v>
      </c>
      <c r="E830" s="405" t="s">
        <v>4592</v>
      </c>
      <c r="F830" s="417" t="s">
        <v>1139</v>
      </c>
      <c r="G830" s="359">
        <v>2022</v>
      </c>
      <c r="H830" s="405">
        <v>5</v>
      </c>
      <c r="I830" s="405"/>
      <c r="J830" s="406">
        <v>44687</v>
      </c>
      <c r="K830" s="405" t="s">
        <v>4037</v>
      </c>
      <c r="L830" s="405" t="s">
        <v>1680</v>
      </c>
      <c r="M830" s="406">
        <v>44498</v>
      </c>
      <c r="N830" s="406">
        <v>44621</v>
      </c>
      <c r="O830" s="406"/>
      <c r="P830" s="406">
        <v>44683</v>
      </c>
      <c r="Q830" s="406">
        <v>44686</v>
      </c>
      <c r="R830" s="406">
        <v>44687</v>
      </c>
      <c r="S830" s="405" t="s">
        <v>1520</v>
      </c>
      <c r="T830" s="405">
        <v>60</v>
      </c>
      <c r="U830" s="417" t="s">
        <v>1237</v>
      </c>
      <c r="V830" s="405" t="s">
        <v>973</v>
      </c>
      <c r="W830" s="405">
        <v>400</v>
      </c>
      <c r="X830" s="382">
        <v>768</v>
      </c>
      <c r="Y830" s="365">
        <f t="shared" si="188"/>
        <v>307200</v>
      </c>
      <c r="Z830" s="409">
        <v>0.51</v>
      </c>
      <c r="AA830" s="411">
        <f t="shared" si="189"/>
        <v>156672</v>
      </c>
      <c r="AB830" s="411"/>
      <c r="AC830" s="412">
        <f t="shared" si="190"/>
        <v>0</v>
      </c>
      <c r="AD830" s="405"/>
      <c r="AE830" s="405">
        <f>AA830*0.0725</f>
        <v>11358.72</v>
      </c>
      <c r="AF830" s="424">
        <f t="shared" si="191"/>
        <v>168030.72</v>
      </c>
      <c r="AG830" s="405" t="s">
        <v>47</v>
      </c>
      <c r="AH830" s="405"/>
      <c r="AI830" s="405">
        <v>60</v>
      </c>
      <c r="AJ830" s="406" t="s">
        <v>1694</v>
      </c>
      <c r="AK830" s="406" t="s">
        <v>50</v>
      </c>
      <c r="AL830" s="414">
        <v>95765</v>
      </c>
      <c r="AM830" s="405" t="s">
        <v>52</v>
      </c>
      <c r="AN830" s="361" t="s">
        <v>50</v>
      </c>
      <c r="AO830" s="405" t="s">
        <v>1073</v>
      </c>
      <c r="AP830" s="413" t="s">
        <v>38</v>
      </c>
      <c r="AQ830" s="405" t="s">
        <v>37</v>
      </c>
      <c r="AR830" s="405"/>
      <c r="AS830" s="404" t="s">
        <v>1142</v>
      </c>
      <c r="AT830" s="404" t="s">
        <v>1073</v>
      </c>
      <c r="AU830" s="409"/>
      <c r="AV830" s="402"/>
      <c r="AW830" s="402"/>
      <c r="AX830" s="402"/>
      <c r="AY830" s="402"/>
      <c r="AZ830" s="402"/>
      <c r="BA830" s="402"/>
      <c r="BB830" s="402"/>
      <c r="BC830" s="402"/>
    </row>
    <row r="831" spans="1:55">
      <c r="A831" s="426" t="s">
        <v>4584</v>
      </c>
      <c r="B831" s="376">
        <v>44558</v>
      </c>
      <c r="C831" s="376">
        <v>44558</v>
      </c>
      <c r="D831" s="416" t="s">
        <v>86</v>
      </c>
      <c r="E831" s="405" t="s">
        <v>4592</v>
      </c>
      <c r="F831" s="417"/>
      <c r="G831" s="359">
        <v>2022</v>
      </c>
      <c r="H831" s="405">
        <v>5</v>
      </c>
      <c r="I831" s="405"/>
      <c r="J831" s="406">
        <v>44686</v>
      </c>
      <c r="K831" s="405" t="s">
        <v>4257</v>
      </c>
      <c r="L831" s="405" t="s">
        <v>1680</v>
      </c>
      <c r="M831" s="406">
        <v>44498</v>
      </c>
      <c r="N831" s="406">
        <v>44621</v>
      </c>
      <c r="O831" s="406"/>
      <c r="P831" s="406">
        <v>44683</v>
      </c>
      <c r="Q831" s="406">
        <v>44686</v>
      </c>
      <c r="R831" s="406">
        <v>44686</v>
      </c>
      <c r="S831" s="405" t="s">
        <v>1520</v>
      </c>
      <c r="T831" s="405">
        <v>60</v>
      </c>
      <c r="U831" s="417" t="s">
        <v>1237</v>
      </c>
      <c r="V831" s="405" t="s">
        <v>973</v>
      </c>
      <c r="W831" s="405">
        <v>400</v>
      </c>
      <c r="X831" s="382">
        <v>768</v>
      </c>
      <c r="Y831" s="365">
        <f t="shared" si="188"/>
        <v>307200</v>
      </c>
      <c r="Z831" s="409">
        <v>0.51</v>
      </c>
      <c r="AA831" s="411">
        <f t="shared" si="189"/>
        <v>156672</v>
      </c>
      <c r="AB831" s="411"/>
      <c r="AC831" s="412">
        <f t="shared" si="190"/>
        <v>0</v>
      </c>
      <c r="AD831" s="405"/>
      <c r="AE831" s="405">
        <f>AA831*0.0875</f>
        <v>13708.8</v>
      </c>
      <c r="AF831" s="424">
        <f t="shared" si="191"/>
        <v>170380.79999999999</v>
      </c>
      <c r="AG831" s="405" t="s">
        <v>47</v>
      </c>
      <c r="AH831" s="405"/>
      <c r="AI831" s="405">
        <v>60</v>
      </c>
      <c r="AJ831" s="406" t="s">
        <v>1647</v>
      </c>
      <c r="AK831" s="406" t="s">
        <v>50</v>
      </c>
      <c r="AL831" s="414">
        <v>92507</v>
      </c>
      <c r="AM831" s="405" t="s">
        <v>52</v>
      </c>
      <c r="AN831" s="361" t="s">
        <v>50</v>
      </c>
      <c r="AO831" s="405" t="s">
        <v>1073</v>
      </c>
      <c r="AP831" s="413" t="s">
        <v>38</v>
      </c>
      <c r="AQ831" s="405" t="s">
        <v>37</v>
      </c>
      <c r="AR831" s="405"/>
      <c r="AS831" s="404" t="s">
        <v>1142</v>
      </c>
      <c r="AT831" s="404" t="s">
        <v>1073</v>
      </c>
      <c r="AU831" s="409"/>
      <c r="AV831" s="402" t="str">
        <f>U831</f>
        <v>30390456H</v>
      </c>
      <c r="AW831" s="402" cm="1">
        <f t="array" ref="AW831">SUM(MID(0&amp;AV831,LARGE(INDEX(ISNUMBER(--MID(AV831,ROW($1:$8),1))*ROW($1:$8),),ROW($1:$8))+1,1)*10^ROW($1:$8)/10)</f>
        <v>30390456</v>
      </c>
      <c r="AX831" s="402" t="str">
        <f>VLOOKUP($AW831,'Item Master Data'!$A:$F,3,FALSE)</f>
        <v>Q.PEAK DUO BLK ML G10+</v>
      </c>
      <c r="AY831" s="402">
        <f>VLOOKUP($AW831,'Item Master Data'!$A:$F,6,FALSE)</f>
        <v>400</v>
      </c>
      <c r="AZ831" s="402">
        <f>X831/BA831</f>
        <v>24</v>
      </c>
      <c r="BA831" s="402">
        <f>VLOOKUP(AW831,'Item Master Data'!$A:$G,7,FALSE)</f>
        <v>32</v>
      </c>
      <c r="BB831" s="402"/>
      <c r="BC831" s="402">
        <f>W831-AY831</f>
        <v>0</v>
      </c>
    </row>
    <row r="832" spans="1:55">
      <c r="A832" s="426" t="s">
        <v>4584</v>
      </c>
      <c r="B832" s="376">
        <v>44558</v>
      </c>
      <c r="C832" s="376">
        <v>44558</v>
      </c>
      <c r="D832" s="416" t="s">
        <v>86</v>
      </c>
      <c r="E832" s="405" t="s">
        <v>4592</v>
      </c>
      <c r="F832" s="417" t="s">
        <v>1139</v>
      </c>
      <c r="G832" s="359">
        <v>2022</v>
      </c>
      <c r="H832" s="405">
        <v>5</v>
      </c>
      <c r="I832" s="405"/>
      <c r="J832" s="406">
        <v>44685</v>
      </c>
      <c r="K832" s="405" t="s">
        <v>1687</v>
      </c>
      <c r="L832" s="405" t="s">
        <v>1680</v>
      </c>
      <c r="M832" s="406">
        <v>44498</v>
      </c>
      <c r="N832" s="406">
        <v>44621</v>
      </c>
      <c r="O832" s="406"/>
      <c r="P832" s="406">
        <v>44683</v>
      </c>
      <c r="Q832" s="406">
        <v>44685</v>
      </c>
      <c r="R832" s="406">
        <v>44685</v>
      </c>
      <c r="S832" s="405" t="s">
        <v>1520</v>
      </c>
      <c r="T832" s="405">
        <v>60</v>
      </c>
      <c r="U832" s="417" t="s">
        <v>1237</v>
      </c>
      <c r="V832" s="405" t="s">
        <v>973</v>
      </c>
      <c r="W832" s="405">
        <v>400</v>
      </c>
      <c r="X832" s="382">
        <v>768</v>
      </c>
      <c r="Y832" s="365">
        <f t="shared" si="188"/>
        <v>307200</v>
      </c>
      <c r="Z832" s="409">
        <v>0.51</v>
      </c>
      <c r="AA832" s="411">
        <f t="shared" si="189"/>
        <v>156672</v>
      </c>
      <c r="AB832" s="411"/>
      <c r="AC832" s="412">
        <f t="shared" si="190"/>
        <v>0</v>
      </c>
      <c r="AD832" s="405"/>
      <c r="AE832" s="405">
        <f>AA832*0.0725</f>
        <v>11358.72</v>
      </c>
      <c r="AF832" s="424">
        <f t="shared" si="191"/>
        <v>168030.72</v>
      </c>
      <c r="AG832" s="405" t="s">
        <v>47</v>
      </c>
      <c r="AH832" s="405"/>
      <c r="AI832" s="405">
        <v>60</v>
      </c>
      <c r="AJ832" s="406" t="s">
        <v>1563</v>
      </c>
      <c r="AK832" s="406" t="s">
        <v>50</v>
      </c>
      <c r="AL832" s="414">
        <v>93308</v>
      </c>
      <c r="AM832" s="405" t="s">
        <v>52</v>
      </c>
      <c r="AN832" s="361" t="s">
        <v>50</v>
      </c>
      <c r="AO832" s="405" t="s">
        <v>1073</v>
      </c>
      <c r="AP832" s="413" t="s">
        <v>38</v>
      </c>
      <c r="AQ832" s="405" t="s">
        <v>37</v>
      </c>
      <c r="AR832" s="405"/>
      <c r="AS832" s="404" t="s">
        <v>1142</v>
      </c>
      <c r="AT832" s="404" t="s">
        <v>1073</v>
      </c>
      <c r="AU832" s="409"/>
      <c r="AV832" s="402" t="str">
        <f>U832</f>
        <v>30390456H</v>
      </c>
      <c r="AW832" s="402" cm="1">
        <f t="array" ref="AW832">SUM(MID(0&amp;AV832,LARGE(INDEX(ISNUMBER(--MID(AV832,ROW($1:$8),1))*ROW($1:$8),),ROW($1:$8))+1,1)*10^ROW($1:$8)/10)</f>
        <v>30390456</v>
      </c>
      <c r="AX832" s="402" t="str">
        <f>VLOOKUP($AW832,'Item Master Data'!$A:$F,3,FALSE)</f>
        <v>Q.PEAK DUO BLK ML G10+</v>
      </c>
      <c r="AY832" s="402">
        <f>VLOOKUP($AW832,'Item Master Data'!$A:$F,6,FALSE)</f>
        <v>400</v>
      </c>
      <c r="AZ832" s="402">
        <f>X832/BA832</f>
        <v>24</v>
      </c>
      <c r="BA832" s="402">
        <f>VLOOKUP(AW832,'Item Master Data'!$A:$G,7,FALSE)</f>
        <v>32</v>
      </c>
      <c r="BB832" s="402"/>
      <c r="BC832" s="402">
        <f>W832-AY832</f>
        <v>0</v>
      </c>
    </row>
    <row r="833" spans="1:55">
      <c r="A833" s="426" t="s">
        <v>4584</v>
      </c>
      <c r="B833" s="376"/>
      <c r="C833" s="376"/>
      <c r="D833" s="416" t="s">
        <v>86</v>
      </c>
      <c r="E833" s="405" t="s">
        <v>4592</v>
      </c>
      <c r="F833" s="417"/>
      <c r="G833" s="359">
        <v>2022</v>
      </c>
      <c r="H833" s="405">
        <v>5</v>
      </c>
      <c r="I833" s="405"/>
      <c r="J833" s="406">
        <v>44690</v>
      </c>
      <c r="K833" s="405" t="s">
        <v>4258</v>
      </c>
      <c r="L833" s="405" t="s">
        <v>1680</v>
      </c>
      <c r="M833" s="406">
        <v>44498</v>
      </c>
      <c r="N833" s="406">
        <v>44621</v>
      </c>
      <c r="O833" s="406"/>
      <c r="P833" s="406">
        <v>44683</v>
      </c>
      <c r="Q833" s="406">
        <v>44686</v>
      </c>
      <c r="R833" s="406">
        <v>44690</v>
      </c>
      <c r="S833" s="405" t="s">
        <v>1520</v>
      </c>
      <c r="T833" s="405">
        <v>60</v>
      </c>
      <c r="U833" s="417" t="s">
        <v>1237</v>
      </c>
      <c r="V833" s="405" t="s">
        <v>973</v>
      </c>
      <c r="W833" s="405">
        <v>400</v>
      </c>
      <c r="X833" s="382">
        <v>768</v>
      </c>
      <c r="Y833" s="365">
        <f t="shared" si="188"/>
        <v>307200</v>
      </c>
      <c r="Z833" s="409">
        <v>0.51</v>
      </c>
      <c r="AA833" s="411">
        <f t="shared" si="189"/>
        <v>156672</v>
      </c>
      <c r="AB833" s="411"/>
      <c r="AC833" s="412">
        <f t="shared" si="190"/>
        <v>0</v>
      </c>
      <c r="AD833" s="405"/>
      <c r="AE833" s="405">
        <f>AA833*0.0835</f>
        <v>13082.112000000001</v>
      </c>
      <c r="AF833" s="424">
        <f t="shared" si="191"/>
        <v>169754.11199999999</v>
      </c>
      <c r="AG833" s="405" t="s">
        <v>47</v>
      </c>
      <c r="AH833" s="405"/>
      <c r="AI833" s="405">
        <v>60</v>
      </c>
      <c r="AJ833" s="406" t="s">
        <v>1616</v>
      </c>
      <c r="AK833" s="406" t="s">
        <v>50</v>
      </c>
      <c r="AL833" s="414">
        <v>93722</v>
      </c>
      <c r="AM833" s="405" t="s">
        <v>52</v>
      </c>
      <c r="AN833" s="361" t="s">
        <v>50</v>
      </c>
      <c r="AO833" s="405" t="s">
        <v>1073</v>
      </c>
      <c r="AP833" s="413" t="s">
        <v>38</v>
      </c>
      <c r="AQ833" s="405" t="s">
        <v>37</v>
      </c>
      <c r="AR833" s="405"/>
      <c r="AS833" s="404" t="s">
        <v>1142</v>
      </c>
      <c r="AT833" s="404" t="s">
        <v>1073</v>
      </c>
      <c r="AU833" s="409"/>
      <c r="AV833" s="402" t="str">
        <f>U833</f>
        <v>30390456H</v>
      </c>
      <c r="AW833" s="402" cm="1">
        <f t="array" ref="AW833">SUM(MID(0&amp;AV833,LARGE(INDEX(ISNUMBER(--MID(AV833,ROW($1:$8),1))*ROW($1:$8),),ROW($1:$8))+1,1)*10^ROW($1:$8)/10)</f>
        <v>30390456</v>
      </c>
      <c r="AX833" s="402" t="str">
        <f>VLOOKUP($AW833,'Item Master Data'!$A:$F,3,FALSE)</f>
        <v>Q.PEAK DUO BLK ML G10+</v>
      </c>
      <c r="AY833" s="402">
        <f>VLOOKUP($AW833,'Item Master Data'!$A:$F,6,FALSE)</f>
        <v>400</v>
      </c>
      <c r="AZ833" s="402">
        <f>X833/BA833</f>
        <v>24</v>
      </c>
      <c r="BA833" s="402">
        <f>VLOOKUP(AW833,'Item Master Data'!$A:$G,7,FALSE)</f>
        <v>32</v>
      </c>
      <c r="BB833" s="402"/>
      <c r="BC833" s="402">
        <f>W833-AY833</f>
        <v>0</v>
      </c>
    </row>
    <row r="834" spans="1:55">
      <c r="A834" s="426" t="s">
        <v>4584</v>
      </c>
      <c r="B834" s="376">
        <v>44627</v>
      </c>
      <c r="C834" s="376">
        <v>44627</v>
      </c>
      <c r="D834" s="416" t="s">
        <v>86</v>
      </c>
      <c r="E834" s="405"/>
      <c r="F834" s="417"/>
      <c r="G834" s="359">
        <v>2022</v>
      </c>
      <c r="H834" s="405">
        <v>5</v>
      </c>
      <c r="I834" s="405"/>
      <c r="J834" s="406"/>
      <c r="K834" s="405" t="s">
        <v>1693</v>
      </c>
      <c r="L834" s="405" t="s">
        <v>1680</v>
      </c>
      <c r="M834" s="406">
        <v>44602</v>
      </c>
      <c r="N834" s="406">
        <v>44655</v>
      </c>
      <c r="O834" s="406"/>
      <c r="P834" s="433">
        <v>44692</v>
      </c>
      <c r="Q834" s="406">
        <v>44694</v>
      </c>
      <c r="R834" s="406">
        <v>44697</v>
      </c>
      <c r="S834" s="405" t="s">
        <v>1520</v>
      </c>
      <c r="T834" s="405">
        <v>60</v>
      </c>
      <c r="U834" s="417" t="s">
        <v>1237</v>
      </c>
      <c r="V834" s="405" t="s">
        <v>973</v>
      </c>
      <c r="W834" s="405">
        <v>400</v>
      </c>
      <c r="X834" s="382">
        <v>768</v>
      </c>
      <c r="Y834" s="365">
        <f t="shared" si="188"/>
        <v>307200</v>
      </c>
      <c r="Z834" s="409">
        <v>0.51</v>
      </c>
      <c r="AA834" s="411">
        <f t="shared" si="189"/>
        <v>156672</v>
      </c>
      <c r="AB834" s="411"/>
      <c r="AC834" s="412">
        <f t="shared" si="190"/>
        <v>0</v>
      </c>
      <c r="AD834" s="405"/>
      <c r="AE834" s="405">
        <f>AA834*0.0725</f>
        <v>11358.72</v>
      </c>
      <c r="AF834" s="424">
        <f t="shared" si="191"/>
        <v>168030.72</v>
      </c>
      <c r="AG834" s="405" t="s">
        <v>47</v>
      </c>
      <c r="AH834" s="405"/>
      <c r="AI834" s="405">
        <v>60</v>
      </c>
      <c r="AJ834" s="406" t="s">
        <v>1694</v>
      </c>
      <c r="AK834" s="406" t="s">
        <v>50</v>
      </c>
      <c r="AL834" s="414" t="s">
        <v>1695</v>
      </c>
      <c r="AM834" s="405" t="s">
        <v>52</v>
      </c>
      <c r="AN834" s="361" t="s">
        <v>50</v>
      </c>
      <c r="AO834" s="405" t="s">
        <v>1073</v>
      </c>
      <c r="AP834" s="413" t="s">
        <v>92</v>
      </c>
      <c r="AQ834" s="405" t="s">
        <v>37</v>
      </c>
      <c r="AR834" s="405"/>
      <c r="AS834" s="404"/>
      <c r="AT834" s="404"/>
      <c r="AU834" s="409"/>
      <c r="AV834" s="402"/>
      <c r="AW834" s="402"/>
      <c r="AX834" s="402"/>
      <c r="AY834" s="402"/>
      <c r="AZ834" s="402"/>
      <c r="BA834" s="402"/>
      <c r="BB834" s="402"/>
      <c r="BC834" s="402"/>
    </row>
    <row r="835" spans="1:55">
      <c r="A835" s="426" t="s">
        <v>4584</v>
      </c>
      <c r="B835" s="376">
        <v>44627</v>
      </c>
      <c r="C835" s="376">
        <v>44627</v>
      </c>
      <c r="D835" s="416" t="s">
        <v>86</v>
      </c>
      <c r="E835" s="405"/>
      <c r="F835" s="417"/>
      <c r="G835" s="359">
        <v>2022</v>
      </c>
      <c r="H835" s="405">
        <v>5</v>
      </c>
      <c r="I835" s="405"/>
      <c r="J835" s="406"/>
      <c r="K835" s="405" t="s">
        <v>4825</v>
      </c>
      <c r="L835" s="405" t="s">
        <v>1680</v>
      </c>
      <c r="M835" s="406">
        <v>44684</v>
      </c>
      <c r="N835" s="406">
        <v>44690</v>
      </c>
      <c r="O835" s="406"/>
      <c r="P835" s="406">
        <v>44692</v>
      </c>
      <c r="Q835" s="406"/>
      <c r="R835" s="406"/>
      <c r="S835" s="405" t="s">
        <v>1520</v>
      </c>
      <c r="T835" s="405">
        <v>60</v>
      </c>
      <c r="U835" s="417" t="s">
        <v>1237</v>
      </c>
      <c r="V835" s="405" t="s">
        <v>973</v>
      </c>
      <c r="W835" s="405">
        <v>400</v>
      </c>
      <c r="X835" s="382">
        <v>768</v>
      </c>
      <c r="Y835" s="365">
        <f t="shared" si="188"/>
        <v>307200</v>
      </c>
      <c r="Z835" s="409">
        <v>0.51</v>
      </c>
      <c r="AA835" s="411">
        <f t="shared" si="189"/>
        <v>156672</v>
      </c>
      <c r="AB835" s="411"/>
      <c r="AC835" s="412">
        <f t="shared" si="190"/>
        <v>0</v>
      </c>
      <c r="AD835" s="405"/>
      <c r="AE835" s="405"/>
      <c r="AF835" s="424">
        <f t="shared" si="191"/>
        <v>156672</v>
      </c>
      <c r="AG835" s="405" t="s">
        <v>47</v>
      </c>
      <c r="AH835" s="405"/>
      <c r="AI835" s="405">
        <v>60</v>
      </c>
      <c r="AJ835" s="406" t="s">
        <v>1177</v>
      </c>
      <c r="AK835" s="406" t="s">
        <v>1070</v>
      </c>
      <c r="AL835" s="414" t="s">
        <v>4826</v>
      </c>
      <c r="AM835" s="405" t="s">
        <v>52</v>
      </c>
      <c r="AN835" s="361" t="s">
        <v>50</v>
      </c>
      <c r="AO835" s="405" t="s">
        <v>1073</v>
      </c>
      <c r="AP835" s="413" t="s">
        <v>92</v>
      </c>
      <c r="AQ835" s="405" t="s">
        <v>37</v>
      </c>
      <c r="AR835" s="405"/>
      <c r="AS835" s="404"/>
      <c r="AT835" s="404"/>
      <c r="AU835" s="409"/>
      <c r="AV835" s="402" t="str">
        <f>U835</f>
        <v>30390456H</v>
      </c>
      <c r="AW835" s="402" cm="1">
        <f t="array" ref="AW835">SUM(MID(0&amp;AV835,LARGE(INDEX(ISNUMBER(--MID(AV835,ROW($1:$8),1))*ROW($1:$8),),ROW($1:$8))+1,1)*10^ROW($1:$8)/10)</f>
        <v>30390456</v>
      </c>
      <c r="AX835" s="402" t="str">
        <f>VLOOKUP($AW835,'Item Master Data'!$A:$F,3,FALSE)</f>
        <v>Q.PEAK DUO BLK ML G10+</v>
      </c>
      <c r="AY835" s="402">
        <f>VLOOKUP($AW835,'Item Master Data'!$A:$F,6,FALSE)</f>
        <v>400</v>
      </c>
      <c r="AZ835" s="402">
        <f>X835/BA835</f>
        <v>24</v>
      </c>
      <c r="BA835" s="402">
        <f>VLOOKUP(AW835,'Item Master Data'!$A:$G,7,FALSE)</f>
        <v>32</v>
      </c>
      <c r="BB835" s="402"/>
      <c r="BC835" s="402">
        <f>W835-AY835</f>
        <v>0</v>
      </c>
    </row>
    <row r="836" spans="1:55">
      <c r="A836" s="426" t="s">
        <v>4584</v>
      </c>
      <c r="B836" s="376">
        <v>44627</v>
      </c>
      <c r="C836" s="376">
        <v>44627</v>
      </c>
      <c r="D836" s="416" t="s">
        <v>86</v>
      </c>
      <c r="E836" s="405"/>
      <c r="F836" s="417"/>
      <c r="G836" s="359">
        <v>2022</v>
      </c>
      <c r="H836" s="405">
        <v>5</v>
      </c>
      <c r="I836" s="405"/>
      <c r="J836" s="406"/>
      <c r="K836" s="405" t="s">
        <v>1753</v>
      </c>
      <c r="L836" s="405" t="s">
        <v>1680</v>
      </c>
      <c r="M836" s="406">
        <v>44602</v>
      </c>
      <c r="N836" s="406">
        <v>44683</v>
      </c>
      <c r="O836" s="406"/>
      <c r="P836" s="406">
        <v>44692</v>
      </c>
      <c r="Q836" s="406"/>
      <c r="R836" s="406"/>
      <c r="S836" s="405" t="s">
        <v>1520</v>
      </c>
      <c r="T836" s="405">
        <v>60</v>
      </c>
      <c r="U836" s="417" t="s">
        <v>1237</v>
      </c>
      <c r="V836" s="405" t="s">
        <v>973</v>
      </c>
      <c r="W836" s="405">
        <v>400</v>
      </c>
      <c r="X836" s="382">
        <v>1536</v>
      </c>
      <c r="Y836" s="365">
        <f t="shared" si="188"/>
        <v>614400</v>
      </c>
      <c r="Z836" s="409">
        <v>0.51</v>
      </c>
      <c r="AA836" s="411">
        <f t="shared" si="189"/>
        <v>313344</v>
      </c>
      <c r="AB836" s="411"/>
      <c r="AC836" s="412">
        <f t="shared" si="190"/>
        <v>0</v>
      </c>
      <c r="AD836" s="405"/>
      <c r="AE836" s="405">
        <f>AA836*0.0825</f>
        <v>25850.880000000001</v>
      </c>
      <c r="AF836" s="424">
        <f t="shared" si="191"/>
        <v>339194.88</v>
      </c>
      <c r="AG836" s="405" t="s">
        <v>47</v>
      </c>
      <c r="AH836" s="405"/>
      <c r="AI836" s="405">
        <v>60</v>
      </c>
      <c r="AJ836" s="406" t="s">
        <v>1751</v>
      </c>
      <c r="AK836" s="406" t="s">
        <v>1136</v>
      </c>
      <c r="AL836" s="414" t="s">
        <v>1752</v>
      </c>
      <c r="AM836" s="405" t="s">
        <v>52</v>
      </c>
      <c r="AN836" s="361" t="s">
        <v>50</v>
      </c>
      <c r="AO836" s="405" t="s">
        <v>1073</v>
      </c>
      <c r="AP836" s="413" t="s">
        <v>92</v>
      </c>
      <c r="AQ836" s="405" t="s">
        <v>37</v>
      </c>
      <c r="AR836" s="405"/>
      <c r="AS836" s="404"/>
      <c r="AT836" s="404"/>
      <c r="AU836" s="409"/>
      <c r="AV836" s="402" t="str">
        <f>U836</f>
        <v>30390456H</v>
      </c>
      <c r="AW836" s="402" cm="1">
        <f t="array" ref="AW836">SUM(MID(0&amp;AV836,LARGE(INDEX(ISNUMBER(--MID(AV836,ROW($1:$8),1))*ROW($1:$8),),ROW($1:$8))+1,1)*10^ROW($1:$8)/10)</f>
        <v>30390456</v>
      </c>
      <c r="AX836" s="402" t="str">
        <f>VLOOKUP($AW836,'Item Master Data'!$A:$F,3,FALSE)</f>
        <v>Q.PEAK DUO BLK ML G10+</v>
      </c>
      <c r="AY836" s="402">
        <f>VLOOKUP($AW836,'Item Master Data'!$A:$F,6,FALSE)</f>
        <v>400</v>
      </c>
      <c r="AZ836" s="402">
        <f>X836/BA836</f>
        <v>48</v>
      </c>
      <c r="BA836" s="402">
        <f>VLOOKUP(AW836,'Item Master Data'!$A:$G,7,FALSE)</f>
        <v>32</v>
      </c>
      <c r="BB836" s="402"/>
      <c r="BC836" s="402">
        <f>W836-AY836</f>
        <v>0</v>
      </c>
    </row>
    <row r="837" spans="1:55">
      <c r="A837" s="426" t="s">
        <v>4584</v>
      </c>
      <c r="B837" s="376">
        <v>44627</v>
      </c>
      <c r="C837" s="376">
        <v>44627</v>
      </c>
      <c r="D837" s="416" t="s">
        <v>86</v>
      </c>
      <c r="E837" s="405"/>
      <c r="F837" s="417"/>
      <c r="G837" s="359">
        <v>2022</v>
      </c>
      <c r="H837" s="405">
        <v>5</v>
      </c>
      <c r="I837" s="405"/>
      <c r="J837" s="406"/>
      <c r="K837" s="405" t="s">
        <v>1696</v>
      </c>
      <c r="L837" s="405" t="s">
        <v>1680</v>
      </c>
      <c r="M837" s="406">
        <v>44602</v>
      </c>
      <c r="N837" s="406">
        <v>44655</v>
      </c>
      <c r="O837" s="406"/>
      <c r="P837" s="406">
        <v>44692</v>
      </c>
      <c r="Q837" s="406"/>
      <c r="R837" s="406"/>
      <c r="S837" s="405" t="s">
        <v>1520</v>
      </c>
      <c r="T837" s="405">
        <v>60</v>
      </c>
      <c r="U837" s="417" t="s">
        <v>1237</v>
      </c>
      <c r="V837" s="405" t="s">
        <v>973</v>
      </c>
      <c r="W837" s="405">
        <v>400</v>
      </c>
      <c r="X837" s="382">
        <v>768</v>
      </c>
      <c r="Y837" s="365">
        <f t="shared" si="188"/>
        <v>307200</v>
      </c>
      <c r="Z837" s="409">
        <v>0.51</v>
      </c>
      <c r="AA837" s="411">
        <f t="shared" si="189"/>
        <v>156672</v>
      </c>
      <c r="AB837" s="411"/>
      <c r="AC837" s="412">
        <f t="shared" si="190"/>
        <v>0</v>
      </c>
      <c r="AD837" s="405"/>
      <c r="AE837" s="405">
        <f>AA837*0.0775</f>
        <v>12142.08</v>
      </c>
      <c r="AF837" s="424">
        <f t="shared" si="191"/>
        <v>168814.07999999999</v>
      </c>
      <c r="AG837" s="405" t="s">
        <v>47</v>
      </c>
      <c r="AH837" s="405"/>
      <c r="AI837" s="405">
        <v>60</v>
      </c>
      <c r="AJ837" s="406" t="s">
        <v>1681</v>
      </c>
      <c r="AK837" s="406" t="s">
        <v>50</v>
      </c>
      <c r="AL837" s="414" t="s">
        <v>1697</v>
      </c>
      <c r="AM837" s="405" t="s">
        <v>52</v>
      </c>
      <c r="AN837" s="361" t="s">
        <v>50</v>
      </c>
      <c r="AO837" s="405" t="s">
        <v>1073</v>
      </c>
      <c r="AP837" s="413" t="s">
        <v>92</v>
      </c>
      <c r="AQ837" s="405" t="s">
        <v>37</v>
      </c>
      <c r="AR837" s="405"/>
      <c r="AS837" s="404"/>
      <c r="AT837" s="404"/>
      <c r="AU837" s="409"/>
      <c r="AV837" s="402"/>
      <c r="AW837" s="402"/>
      <c r="AX837" s="402"/>
      <c r="AY837" s="402"/>
      <c r="AZ837" s="402"/>
      <c r="BA837" s="402"/>
      <c r="BB837" s="402"/>
      <c r="BC837" s="402"/>
    </row>
    <row r="838" spans="1:55">
      <c r="A838" s="426" t="s">
        <v>4584</v>
      </c>
      <c r="B838" s="376">
        <v>44627</v>
      </c>
      <c r="C838" s="376">
        <v>44627</v>
      </c>
      <c r="D838" s="416" t="s">
        <v>86</v>
      </c>
      <c r="E838" s="405"/>
      <c r="F838" s="417"/>
      <c r="G838" s="359">
        <v>2022</v>
      </c>
      <c r="H838" s="405">
        <v>5</v>
      </c>
      <c r="I838" s="405"/>
      <c r="J838" s="406"/>
      <c r="K838" s="405" t="s">
        <v>4990</v>
      </c>
      <c r="L838" s="405" t="s">
        <v>1680</v>
      </c>
      <c r="M838" s="406">
        <v>44602</v>
      </c>
      <c r="N838" s="406">
        <v>44655</v>
      </c>
      <c r="O838" s="406"/>
      <c r="P838" s="406"/>
      <c r="Q838" s="406"/>
      <c r="R838" s="406"/>
      <c r="S838" s="405" t="s">
        <v>1520</v>
      </c>
      <c r="T838" s="405">
        <v>60</v>
      </c>
      <c r="U838" s="417"/>
      <c r="V838" s="405" t="s">
        <v>973</v>
      </c>
      <c r="W838" s="405">
        <v>400</v>
      </c>
      <c r="X838" s="382">
        <v>768</v>
      </c>
      <c r="Y838" s="365">
        <f t="shared" si="188"/>
        <v>307200</v>
      </c>
      <c r="Z838" s="409">
        <f>204/400</f>
        <v>0.51</v>
      </c>
      <c r="AA838" s="411">
        <f t="shared" si="189"/>
        <v>156672</v>
      </c>
      <c r="AB838" s="411"/>
      <c r="AC838" s="412">
        <f t="shared" si="190"/>
        <v>0</v>
      </c>
      <c r="AD838" s="405"/>
      <c r="AE838" s="405">
        <f>AA838*0.0775</f>
        <v>12142.08</v>
      </c>
      <c r="AF838" s="424">
        <f t="shared" si="191"/>
        <v>168814.07999999999</v>
      </c>
      <c r="AG838" s="405" t="s">
        <v>47</v>
      </c>
      <c r="AH838" s="405"/>
      <c r="AI838" s="405">
        <v>60</v>
      </c>
      <c r="AJ838" s="406" t="s">
        <v>1681</v>
      </c>
      <c r="AK838" s="406" t="s">
        <v>50</v>
      </c>
      <c r="AL838" s="414" t="s">
        <v>1697</v>
      </c>
      <c r="AM838" s="405" t="s">
        <v>52</v>
      </c>
      <c r="AN838" s="361"/>
      <c r="AO838" s="405" t="s">
        <v>1073</v>
      </c>
      <c r="AP838" s="413"/>
      <c r="AQ838" s="405" t="s">
        <v>37</v>
      </c>
      <c r="AR838" s="405"/>
      <c r="AS838" s="404"/>
      <c r="AT838" s="404"/>
      <c r="AU838" s="409"/>
      <c r="AV838" s="402"/>
      <c r="AW838" s="402"/>
      <c r="AX838" s="402"/>
      <c r="AY838" s="402"/>
      <c r="AZ838" s="402"/>
      <c r="BA838" s="402"/>
      <c r="BB838" s="402"/>
      <c r="BC838" s="402"/>
    </row>
    <row r="839" spans="1:55">
      <c r="A839" s="426" t="s">
        <v>4584</v>
      </c>
      <c r="B839" s="376">
        <v>44627</v>
      </c>
      <c r="C839" s="376">
        <v>44627</v>
      </c>
      <c r="D839" s="416" t="s">
        <v>86</v>
      </c>
      <c r="E839" s="405"/>
      <c r="F839" s="417"/>
      <c r="G839" s="359">
        <v>2022</v>
      </c>
      <c r="H839" s="405">
        <v>5</v>
      </c>
      <c r="I839" s="405"/>
      <c r="J839" s="406"/>
      <c r="K839" s="405" t="s">
        <v>1793</v>
      </c>
      <c r="L839" s="405" t="s">
        <v>1680</v>
      </c>
      <c r="M839" s="406">
        <v>44602</v>
      </c>
      <c r="N839" s="406">
        <v>44683</v>
      </c>
      <c r="O839" s="406"/>
      <c r="P839" s="433">
        <v>44692</v>
      </c>
      <c r="Q839" s="406"/>
      <c r="R839" s="406"/>
      <c r="S839" s="405" t="s">
        <v>1520</v>
      </c>
      <c r="T839" s="405">
        <v>60</v>
      </c>
      <c r="U839" s="417" t="s">
        <v>1237</v>
      </c>
      <c r="V839" s="405" t="s">
        <v>973</v>
      </c>
      <c r="W839" s="405">
        <v>400</v>
      </c>
      <c r="X839" s="382">
        <v>768</v>
      </c>
      <c r="Y839" s="365">
        <f t="shared" si="188"/>
        <v>307200</v>
      </c>
      <c r="Z839" s="409">
        <v>0.51</v>
      </c>
      <c r="AA839" s="411">
        <f t="shared" si="189"/>
        <v>156672</v>
      </c>
      <c r="AB839" s="411"/>
      <c r="AC839" s="412">
        <f t="shared" si="190"/>
        <v>0</v>
      </c>
      <c r="AD839" s="405"/>
      <c r="AE839" s="405">
        <f>AA839*0.0825</f>
        <v>12925.44</v>
      </c>
      <c r="AF839" s="424">
        <f t="shared" si="191"/>
        <v>169597.44</v>
      </c>
      <c r="AG839" s="405" t="s">
        <v>47</v>
      </c>
      <c r="AH839" s="405"/>
      <c r="AI839" s="405">
        <v>60</v>
      </c>
      <c r="AJ839" s="406" t="s">
        <v>1323</v>
      </c>
      <c r="AK839" s="406" t="s">
        <v>1136</v>
      </c>
      <c r="AL839" s="414" t="s">
        <v>1794</v>
      </c>
      <c r="AM839" s="405" t="s">
        <v>52</v>
      </c>
      <c r="AN839" s="361" t="s">
        <v>50</v>
      </c>
      <c r="AO839" s="405" t="s">
        <v>1073</v>
      </c>
      <c r="AP839" s="413" t="s">
        <v>92</v>
      </c>
      <c r="AQ839" s="405" t="s">
        <v>37</v>
      </c>
      <c r="AR839" s="405"/>
      <c r="AS839" s="404"/>
      <c r="AT839" s="404"/>
      <c r="AU839" s="409"/>
      <c r="AV839" s="402"/>
      <c r="AW839" s="402"/>
      <c r="AX839" s="402"/>
      <c r="AY839" s="402"/>
      <c r="AZ839" s="402"/>
      <c r="BA839" s="402"/>
      <c r="BB839" s="402"/>
      <c r="BC839" s="402"/>
    </row>
    <row r="840" spans="1:55">
      <c r="A840" s="426" t="s">
        <v>4585</v>
      </c>
      <c r="B840" s="376">
        <v>44627</v>
      </c>
      <c r="C840" s="376">
        <v>44627</v>
      </c>
      <c r="D840" s="416" t="s">
        <v>86</v>
      </c>
      <c r="E840" s="405"/>
      <c r="F840" s="417"/>
      <c r="G840" s="359">
        <v>2022</v>
      </c>
      <c r="H840" s="405">
        <v>5</v>
      </c>
      <c r="I840" s="405"/>
      <c r="J840" s="406"/>
      <c r="K840" s="405" t="s">
        <v>1698</v>
      </c>
      <c r="L840" s="405" t="s">
        <v>1680</v>
      </c>
      <c r="M840" s="406">
        <v>44602</v>
      </c>
      <c r="N840" s="406">
        <v>44655</v>
      </c>
      <c r="O840" s="406"/>
      <c r="P840" s="406" t="s">
        <v>4991</v>
      </c>
      <c r="Q840" s="406" t="s">
        <v>4588</v>
      </c>
      <c r="R840" s="406"/>
      <c r="S840" s="405" t="s">
        <v>1520</v>
      </c>
      <c r="T840" s="405">
        <v>60</v>
      </c>
      <c r="U840" s="417"/>
      <c r="V840" s="405" t="s">
        <v>973</v>
      </c>
      <c r="W840" s="405">
        <v>400</v>
      </c>
      <c r="X840" s="382">
        <v>1536</v>
      </c>
      <c r="Y840" s="365">
        <f t="shared" si="188"/>
        <v>614400</v>
      </c>
      <c r="Z840" s="409">
        <v>0.51</v>
      </c>
      <c r="AA840" s="411">
        <f t="shared" si="189"/>
        <v>313344</v>
      </c>
      <c r="AB840" s="411"/>
      <c r="AC840" s="412">
        <f t="shared" si="190"/>
        <v>0</v>
      </c>
      <c r="AD840" s="405"/>
      <c r="AE840" s="405">
        <f>AA840*0.0875</f>
        <v>27417.599999999999</v>
      </c>
      <c r="AF840" s="424">
        <f t="shared" si="191"/>
        <v>340761.59999999998</v>
      </c>
      <c r="AG840" s="405" t="s">
        <v>47</v>
      </c>
      <c r="AH840" s="405"/>
      <c r="AI840" s="405">
        <v>60</v>
      </c>
      <c r="AJ840" s="406" t="s">
        <v>1647</v>
      </c>
      <c r="AK840" s="406" t="s">
        <v>50</v>
      </c>
      <c r="AL840" s="414" t="s">
        <v>1648</v>
      </c>
      <c r="AM840" s="405" t="s">
        <v>52</v>
      </c>
      <c r="AN840" s="361" t="s">
        <v>50</v>
      </c>
      <c r="AO840" s="405" t="s">
        <v>1073</v>
      </c>
      <c r="AP840" s="413"/>
      <c r="AQ840" s="405" t="s">
        <v>37</v>
      </c>
      <c r="AR840" s="405"/>
      <c r="AS840" s="404"/>
      <c r="AT840" s="404"/>
      <c r="AU840" s="409"/>
      <c r="AV840" s="402">
        <f t="shared" ref="AV840:AV849" si="192">U840</f>
        <v>0</v>
      </c>
      <c r="AW840" s="402" cm="1">
        <f t="array" ref="AW840">SUM(MID(0&amp;AV840,LARGE(INDEX(ISNUMBER(--MID(AV840,ROW($1:$8),1))*ROW($1:$8),),ROW($1:$8))+1,1)*10^ROW($1:$8)/10)</f>
        <v>0</v>
      </c>
      <c r="AX840" s="402" t="e">
        <f>VLOOKUP($AW840,'Item Master Data'!$A:$F,3,FALSE)</f>
        <v>#N/A</v>
      </c>
      <c r="AY840" s="402" t="e">
        <f>VLOOKUP($AW840,'Item Master Data'!$A:$F,6,FALSE)</f>
        <v>#N/A</v>
      </c>
      <c r="AZ840" s="402" t="e">
        <f t="shared" ref="AZ840:AZ849" si="193">X840/BA840</f>
        <v>#N/A</v>
      </c>
      <c r="BA840" s="402" t="e">
        <f>VLOOKUP(AW840,'Item Master Data'!$A:$G,7,FALSE)</f>
        <v>#N/A</v>
      </c>
      <c r="BB840" s="402"/>
      <c r="BC840" s="402" t="e">
        <f t="shared" ref="BC840:BC849" si="194">W840-AY840</f>
        <v>#N/A</v>
      </c>
    </row>
    <row r="841" spans="1:55">
      <c r="A841" s="426" t="s">
        <v>4585</v>
      </c>
      <c r="B841" s="376">
        <v>44627</v>
      </c>
      <c r="C841" s="376">
        <v>44627</v>
      </c>
      <c r="D841" s="416" t="s">
        <v>86</v>
      </c>
      <c r="E841" s="405"/>
      <c r="F841" s="417"/>
      <c r="G841" s="359">
        <v>2022</v>
      </c>
      <c r="H841" s="405">
        <v>5</v>
      </c>
      <c r="I841" s="405"/>
      <c r="J841" s="406"/>
      <c r="K841" s="405" t="s">
        <v>1744</v>
      </c>
      <c r="L841" s="405" t="s">
        <v>1680</v>
      </c>
      <c r="M841" s="406">
        <v>44602</v>
      </c>
      <c r="N841" s="406">
        <v>44683</v>
      </c>
      <c r="O841" s="406"/>
      <c r="P841" s="406" t="s">
        <v>4036</v>
      </c>
      <c r="Q841" s="406" t="s">
        <v>4588</v>
      </c>
      <c r="R841" s="406"/>
      <c r="S841" s="405" t="s">
        <v>1520</v>
      </c>
      <c r="T841" s="405">
        <v>60</v>
      </c>
      <c r="U841" s="417"/>
      <c r="V841" s="405" t="s">
        <v>973</v>
      </c>
      <c r="W841" s="405">
        <v>400</v>
      </c>
      <c r="X841" s="382">
        <v>1536</v>
      </c>
      <c r="Y841" s="365">
        <f t="shared" si="188"/>
        <v>614400</v>
      </c>
      <c r="Z841" s="409">
        <v>0.51</v>
      </c>
      <c r="AA841" s="411">
        <f t="shared" si="189"/>
        <v>313344</v>
      </c>
      <c r="AB841" s="411"/>
      <c r="AC841" s="412">
        <f t="shared" si="190"/>
        <v>0</v>
      </c>
      <c r="AD841" s="405"/>
      <c r="AE841" s="405">
        <f>AA841*0.0875</f>
        <v>27417.599999999999</v>
      </c>
      <c r="AF841" s="424">
        <f t="shared" si="191"/>
        <v>340761.59999999998</v>
      </c>
      <c r="AG841" s="405" t="s">
        <v>47</v>
      </c>
      <c r="AH841" s="405"/>
      <c r="AI841" s="405">
        <v>60</v>
      </c>
      <c r="AJ841" s="406" t="s">
        <v>1647</v>
      </c>
      <c r="AK841" s="406" t="s">
        <v>50</v>
      </c>
      <c r="AL841" s="414" t="s">
        <v>1648</v>
      </c>
      <c r="AM841" s="405" t="s">
        <v>52</v>
      </c>
      <c r="AN841" s="361" t="s">
        <v>50</v>
      </c>
      <c r="AO841" s="405" t="s">
        <v>1073</v>
      </c>
      <c r="AP841" s="413"/>
      <c r="AQ841" s="405" t="s">
        <v>37</v>
      </c>
      <c r="AR841" s="405"/>
      <c r="AS841" s="404"/>
      <c r="AT841" s="404"/>
      <c r="AU841" s="409"/>
      <c r="AV841" s="402">
        <f t="shared" si="192"/>
        <v>0</v>
      </c>
      <c r="AW841" s="402" cm="1">
        <f t="array" ref="AW841">SUM(MID(0&amp;AV841,LARGE(INDEX(ISNUMBER(--MID(AV841,ROW($1:$8),1))*ROW($1:$8),),ROW($1:$8))+1,1)*10^ROW($1:$8)/10)</f>
        <v>0</v>
      </c>
      <c r="AX841" s="402" t="e">
        <f>VLOOKUP($AW841,'Item Master Data'!$A:$F,3,FALSE)</f>
        <v>#N/A</v>
      </c>
      <c r="AY841" s="402" t="e">
        <f>VLOOKUP($AW841,'Item Master Data'!$A:$F,6,FALSE)</f>
        <v>#N/A</v>
      </c>
      <c r="AZ841" s="402" t="e">
        <f t="shared" si="193"/>
        <v>#N/A</v>
      </c>
      <c r="BA841" s="402" t="e">
        <f>VLOOKUP(AW841,'Item Master Data'!$A:$G,7,FALSE)</f>
        <v>#N/A</v>
      </c>
      <c r="BB841" s="402"/>
      <c r="BC841" s="402" t="e">
        <f t="shared" si="194"/>
        <v>#N/A</v>
      </c>
    </row>
    <row r="842" spans="1:55">
      <c r="A842" s="426" t="s">
        <v>4585</v>
      </c>
      <c r="B842" s="376">
        <v>44627</v>
      </c>
      <c r="C842" s="376">
        <v>44627</v>
      </c>
      <c r="D842" s="416" t="s">
        <v>86</v>
      </c>
      <c r="E842" s="405" t="s">
        <v>4592</v>
      </c>
      <c r="F842" s="417"/>
      <c r="G842" s="359">
        <v>2022</v>
      </c>
      <c r="H842" s="405">
        <v>5</v>
      </c>
      <c r="I842" s="405"/>
      <c r="J842" s="406"/>
      <c r="K842" s="405" t="s">
        <v>1699</v>
      </c>
      <c r="L842" s="405" t="s">
        <v>1680</v>
      </c>
      <c r="M842" s="406">
        <v>44602</v>
      </c>
      <c r="N842" s="406">
        <v>44655</v>
      </c>
      <c r="O842" s="406"/>
      <c r="P842" s="406" t="s">
        <v>4991</v>
      </c>
      <c r="Q842" s="406" t="s">
        <v>4588</v>
      </c>
      <c r="R842" s="406"/>
      <c r="S842" s="405" t="s">
        <v>1520</v>
      </c>
      <c r="T842" s="405">
        <v>60</v>
      </c>
      <c r="U842" s="417"/>
      <c r="V842" s="405" t="s">
        <v>973</v>
      </c>
      <c r="W842" s="405">
        <v>400</v>
      </c>
      <c r="X842" s="382">
        <v>1536</v>
      </c>
      <c r="Y842" s="365">
        <f t="shared" si="188"/>
        <v>614400</v>
      </c>
      <c r="Z842" s="409">
        <v>0.51</v>
      </c>
      <c r="AA842" s="411">
        <f t="shared" si="189"/>
        <v>313344</v>
      </c>
      <c r="AB842" s="411"/>
      <c r="AC842" s="412">
        <f t="shared" si="190"/>
        <v>0</v>
      </c>
      <c r="AD842" s="405"/>
      <c r="AE842" s="405">
        <f>AA842*0.0725</f>
        <v>22717.439999999999</v>
      </c>
      <c r="AF842" s="424">
        <f t="shared" si="191"/>
        <v>336061.44</v>
      </c>
      <c r="AG842" s="405" t="s">
        <v>47</v>
      </c>
      <c r="AH842" s="405"/>
      <c r="AI842" s="405">
        <v>60</v>
      </c>
      <c r="AJ842" s="406" t="s">
        <v>1573</v>
      </c>
      <c r="AK842" s="406" t="s">
        <v>50</v>
      </c>
      <c r="AL842" s="414" t="s">
        <v>1700</v>
      </c>
      <c r="AM842" s="405" t="s">
        <v>52</v>
      </c>
      <c r="AN842" s="361" t="s">
        <v>50</v>
      </c>
      <c r="AO842" s="405" t="s">
        <v>1073</v>
      </c>
      <c r="AP842" s="413"/>
      <c r="AQ842" s="405" t="s">
        <v>37</v>
      </c>
      <c r="AR842" s="405"/>
      <c r="AS842" s="404"/>
      <c r="AT842" s="404"/>
      <c r="AU842" s="409"/>
      <c r="AV842" s="402">
        <f t="shared" si="192"/>
        <v>0</v>
      </c>
      <c r="AW842" s="402" cm="1">
        <f t="array" ref="AW842">SUM(MID(0&amp;AV842,LARGE(INDEX(ISNUMBER(--MID(AV842,ROW($1:$8),1))*ROW($1:$8),),ROW($1:$8))+1,1)*10^ROW($1:$8)/10)</f>
        <v>0</v>
      </c>
      <c r="AX842" s="402" t="e">
        <f>VLOOKUP($AW842,'Item Master Data'!$A:$F,3,FALSE)</f>
        <v>#N/A</v>
      </c>
      <c r="AY842" s="402" t="e">
        <f>VLOOKUP($AW842,'Item Master Data'!$A:$F,6,FALSE)</f>
        <v>#N/A</v>
      </c>
      <c r="AZ842" s="402" t="e">
        <f t="shared" si="193"/>
        <v>#N/A</v>
      </c>
      <c r="BA842" s="402" t="e">
        <f>VLOOKUP(AW842,'Item Master Data'!$A:$G,7,FALSE)</f>
        <v>#N/A</v>
      </c>
      <c r="BB842" s="402"/>
      <c r="BC842" s="402" t="e">
        <f t="shared" si="194"/>
        <v>#N/A</v>
      </c>
    </row>
    <row r="843" spans="1:55">
      <c r="A843" s="426" t="s">
        <v>4585</v>
      </c>
      <c r="B843" s="376">
        <v>44627</v>
      </c>
      <c r="C843" s="376">
        <v>44627</v>
      </c>
      <c r="D843" s="416" t="s">
        <v>86</v>
      </c>
      <c r="E843" s="405" t="s">
        <v>4592</v>
      </c>
      <c r="F843" s="417"/>
      <c r="G843" s="359">
        <v>2022</v>
      </c>
      <c r="H843" s="405">
        <v>5</v>
      </c>
      <c r="I843" s="405"/>
      <c r="J843" s="406"/>
      <c r="K843" s="405" t="s">
        <v>1701</v>
      </c>
      <c r="L843" s="405" t="s">
        <v>1680</v>
      </c>
      <c r="M843" s="406">
        <v>44602</v>
      </c>
      <c r="N843" s="406">
        <v>44655</v>
      </c>
      <c r="O843" s="406"/>
      <c r="P843" s="406" t="s">
        <v>4991</v>
      </c>
      <c r="Q843" s="406" t="s">
        <v>4588</v>
      </c>
      <c r="R843" s="406"/>
      <c r="S843" s="405" t="s">
        <v>1520</v>
      </c>
      <c r="T843" s="405">
        <v>60</v>
      </c>
      <c r="U843" s="417"/>
      <c r="V843" s="405" t="s">
        <v>973</v>
      </c>
      <c r="W843" s="405">
        <v>400</v>
      </c>
      <c r="X843" s="382">
        <v>1536</v>
      </c>
      <c r="Y843" s="365">
        <f t="shared" si="188"/>
        <v>614400</v>
      </c>
      <c r="Z843" s="409">
        <v>0.51</v>
      </c>
      <c r="AA843" s="411">
        <f t="shared" si="189"/>
        <v>313344</v>
      </c>
      <c r="AB843" s="411"/>
      <c r="AC843" s="412">
        <f t="shared" si="190"/>
        <v>0</v>
      </c>
      <c r="AD843" s="405"/>
      <c r="AE843" s="405">
        <f>AA843*0.0835</f>
        <v>26164.224000000002</v>
      </c>
      <c r="AF843" s="424">
        <f t="shared" si="191"/>
        <v>339508.22399999999</v>
      </c>
      <c r="AG843" s="405" t="s">
        <v>47</v>
      </c>
      <c r="AH843" s="405"/>
      <c r="AI843" s="405">
        <v>60</v>
      </c>
      <c r="AJ843" s="406" t="s">
        <v>1616</v>
      </c>
      <c r="AK843" s="406" t="s">
        <v>50</v>
      </c>
      <c r="AL843" s="414" t="s">
        <v>1702</v>
      </c>
      <c r="AM843" s="405" t="s">
        <v>52</v>
      </c>
      <c r="AN843" s="361" t="s">
        <v>50</v>
      </c>
      <c r="AO843" s="405" t="s">
        <v>1073</v>
      </c>
      <c r="AP843" s="413"/>
      <c r="AQ843" s="405" t="s">
        <v>37</v>
      </c>
      <c r="AR843" s="405"/>
      <c r="AS843" s="404"/>
      <c r="AT843" s="404"/>
      <c r="AU843" s="409"/>
      <c r="AV843" s="402">
        <f t="shared" si="192"/>
        <v>0</v>
      </c>
      <c r="AW843" s="402" cm="1">
        <f t="array" ref="AW843">SUM(MID(0&amp;AV843,LARGE(INDEX(ISNUMBER(--MID(AV843,ROW($1:$8),1))*ROW($1:$8),),ROW($1:$8))+1,1)*10^ROW($1:$8)/10)</f>
        <v>0</v>
      </c>
      <c r="AX843" s="402" t="e">
        <f>VLOOKUP($AW843,'Item Master Data'!$A:$F,3,FALSE)</f>
        <v>#N/A</v>
      </c>
      <c r="AY843" s="402" t="e">
        <f>VLOOKUP($AW843,'Item Master Data'!$A:$F,6,FALSE)</f>
        <v>#N/A</v>
      </c>
      <c r="AZ843" s="402" t="e">
        <f t="shared" si="193"/>
        <v>#N/A</v>
      </c>
      <c r="BA843" s="402" t="e">
        <f>VLOOKUP(AW843,'Item Master Data'!$A:$G,7,FALSE)</f>
        <v>#N/A</v>
      </c>
      <c r="BB843" s="402"/>
      <c r="BC843" s="402" t="e">
        <f t="shared" si="194"/>
        <v>#N/A</v>
      </c>
    </row>
    <row r="844" spans="1:55">
      <c r="A844" s="426" t="s">
        <v>4584</v>
      </c>
      <c r="B844" s="376">
        <v>44627</v>
      </c>
      <c r="C844" s="376">
        <v>44627</v>
      </c>
      <c r="D844" s="416" t="s">
        <v>86</v>
      </c>
      <c r="E844" s="405" t="s">
        <v>4592</v>
      </c>
      <c r="F844" s="417"/>
      <c r="G844" s="359">
        <v>2022</v>
      </c>
      <c r="H844" s="405">
        <v>5</v>
      </c>
      <c r="I844" s="405"/>
      <c r="J844" s="406"/>
      <c r="K844" s="405" t="s">
        <v>1703</v>
      </c>
      <c r="L844" s="405" t="s">
        <v>1680</v>
      </c>
      <c r="M844" s="406">
        <v>44602</v>
      </c>
      <c r="N844" s="406">
        <v>44655</v>
      </c>
      <c r="O844" s="406"/>
      <c r="P844" s="406" t="s">
        <v>4036</v>
      </c>
      <c r="Q844" s="406" t="s">
        <v>4588</v>
      </c>
      <c r="R844" s="406"/>
      <c r="S844" s="405" t="s">
        <v>1520</v>
      </c>
      <c r="T844" s="405">
        <v>60</v>
      </c>
      <c r="U844" s="417"/>
      <c r="V844" s="405" t="s">
        <v>973</v>
      </c>
      <c r="W844" s="405">
        <v>400</v>
      </c>
      <c r="X844" s="382">
        <v>768</v>
      </c>
      <c r="Y844" s="365">
        <f t="shared" si="188"/>
        <v>307200</v>
      </c>
      <c r="Z844" s="409">
        <v>0.51</v>
      </c>
      <c r="AA844" s="411">
        <f t="shared" si="189"/>
        <v>156672</v>
      </c>
      <c r="AB844" s="411"/>
      <c r="AC844" s="412">
        <f t="shared" si="190"/>
        <v>0</v>
      </c>
      <c r="AD844" s="405"/>
      <c r="AE844" s="405">
        <f>AA844*0.0725</f>
        <v>11358.72</v>
      </c>
      <c r="AF844" s="424">
        <f t="shared" si="191"/>
        <v>168030.72</v>
      </c>
      <c r="AG844" s="405" t="s">
        <v>47</v>
      </c>
      <c r="AH844" s="405"/>
      <c r="AI844" s="405">
        <v>60</v>
      </c>
      <c r="AJ844" s="406" t="s">
        <v>1613</v>
      </c>
      <c r="AK844" s="406" t="s">
        <v>50</v>
      </c>
      <c r="AL844" s="414" t="s">
        <v>1614</v>
      </c>
      <c r="AM844" s="405" t="s">
        <v>52</v>
      </c>
      <c r="AN844" s="361" t="s">
        <v>50</v>
      </c>
      <c r="AO844" s="405" t="s">
        <v>1073</v>
      </c>
      <c r="AP844" s="413"/>
      <c r="AQ844" s="405" t="s">
        <v>37</v>
      </c>
      <c r="AR844" s="405"/>
      <c r="AS844" s="404"/>
      <c r="AT844" s="404"/>
      <c r="AU844" s="409"/>
      <c r="AV844" s="402">
        <f t="shared" si="192"/>
        <v>0</v>
      </c>
      <c r="AW844" s="402" cm="1">
        <f t="array" ref="AW844">SUM(MID(0&amp;AV844,LARGE(INDEX(ISNUMBER(--MID(AV844,ROW($1:$8),1))*ROW($1:$8),),ROW($1:$8))+1,1)*10^ROW($1:$8)/10)</f>
        <v>0</v>
      </c>
      <c r="AX844" s="402" t="e">
        <f>VLOOKUP($AW844,'Item Master Data'!$A:$F,3,FALSE)</f>
        <v>#N/A</v>
      </c>
      <c r="AY844" s="402" t="e">
        <f>VLOOKUP($AW844,'Item Master Data'!$A:$F,6,FALSE)</f>
        <v>#N/A</v>
      </c>
      <c r="AZ844" s="402" t="e">
        <f t="shared" si="193"/>
        <v>#N/A</v>
      </c>
      <c r="BA844" s="402" t="e">
        <f>VLOOKUP(AW844,'Item Master Data'!$A:$G,7,FALSE)</f>
        <v>#N/A</v>
      </c>
      <c r="BB844" s="402"/>
      <c r="BC844" s="402" t="e">
        <f t="shared" si="194"/>
        <v>#N/A</v>
      </c>
    </row>
    <row r="845" spans="1:55">
      <c r="A845" s="426"/>
      <c r="B845" s="376">
        <v>44627</v>
      </c>
      <c r="C845" s="376">
        <v>44627</v>
      </c>
      <c r="D845" s="416" t="s">
        <v>86</v>
      </c>
      <c r="E845" s="405"/>
      <c r="F845" s="417"/>
      <c r="G845" s="359">
        <v>2022</v>
      </c>
      <c r="H845" s="405">
        <v>6</v>
      </c>
      <c r="I845" s="405"/>
      <c r="J845" s="406"/>
      <c r="K845" s="405" t="s">
        <v>1743</v>
      </c>
      <c r="L845" s="405" t="s">
        <v>1680</v>
      </c>
      <c r="M845" s="406">
        <v>44602</v>
      </c>
      <c r="N845" s="406">
        <v>44714</v>
      </c>
      <c r="O845" s="406"/>
      <c r="P845" s="406"/>
      <c r="Q845" s="406"/>
      <c r="R845" s="406"/>
      <c r="S845" s="405" t="s">
        <v>1520</v>
      </c>
      <c r="T845" s="405">
        <v>60</v>
      </c>
      <c r="U845" s="417"/>
      <c r="V845" s="405" t="s">
        <v>973</v>
      </c>
      <c r="W845" s="405">
        <v>400</v>
      </c>
      <c r="X845" s="382">
        <v>2304</v>
      </c>
      <c r="Y845" s="365">
        <f t="shared" si="188"/>
        <v>921600</v>
      </c>
      <c r="Z845" s="409">
        <f>204/400</f>
        <v>0.51</v>
      </c>
      <c r="AA845" s="411">
        <f t="shared" si="189"/>
        <v>470016</v>
      </c>
      <c r="AB845" s="411"/>
      <c r="AC845" s="412">
        <f t="shared" si="190"/>
        <v>0</v>
      </c>
      <c r="AD845" s="405"/>
      <c r="AE845" s="405">
        <f>AA845*0.0725</f>
        <v>34076.159999999996</v>
      </c>
      <c r="AF845" s="424">
        <f t="shared" si="191"/>
        <v>504092.15999999997</v>
      </c>
      <c r="AG845" s="405" t="s">
        <v>47</v>
      </c>
      <c r="AH845" s="405"/>
      <c r="AI845" s="405">
        <v>60</v>
      </c>
      <c r="AJ845" s="406" t="s">
        <v>1694</v>
      </c>
      <c r="AK845" s="406" t="s">
        <v>50</v>
      </c>
      <c r="AL845" s="414" t="s">
        <v>1695</v>
      </c>
      <c r="AM845" s="405" t="s">
        <v>52</v>
      </c>
      <c r="AN845" s="361"/>
      <c r="AO845" s="405" t="s">
        <v>1073</v>
      </c>
      <c r="AP845" s="413"/>
      <c r="AQ845" s="405" t="s">
        <v>37</v>
      </c>
      <c r="AR845" s="405"/>
      <c r="AS845" s="404"/>
      <c r="AT845" s="404"/>
      <c r="AU845" s="409"/>
      <c r="AV845" s="402">
        <f t="shared" si="192"/>
        <v>0</v>
      </c>
      <c r="AW845" s="402" cm="1">
        <f t="array" ref="AW845">SUM(MID(0&amp;AV845,LARGE(INDEX(ISNUMBER(--MID(AV845,ROW($1:$8),1))*ROW($1:$8),),ROW($1:$8))+1,1)*10^ROW($1:$8)/10)</f>
        <v>0</v>
      </c>
      <c r="AX845" s="402" t="e">
        <f>VLOOKUP($AW845,'Item Master Data'!$A:$F,3,FALSE)</f>
        <v>#N/A</v>
      </c>
      <c r="AY845" s="402" t="e">
        <f>VLOOKUP($AW845,'Item Master Data'!$A:$F,6,FALSE)</f>
        <v>#N/A</v>
      </c>
      <c r="AZ845" s="402" t="e">
        <f t="shared" si="193"/>
        <v>#N/A</v>
      </c>
      <c r="BA845" s="402" t="e">
        <f>VLOOKUP(AW845,'Item Master Data'!$A:$G,7,FALSE)</f>
        <v>#N/A</v>
      </c>
      <c r="BB845" s="402"/>
      <c r="BC845" s="402" t="e">
        <f t="shared" si="194"/>
        <v>#N/A</v>
      </c>
    </row>
    <row r="846" spans="1:55">
      <c r="A846" s="426"/>
      <c r="B846" s="376">
        <v>44676</v>
      </c>
      <c r="C846" s="376">
        <v>44676</v>
      </c>
      <c r="D846" s="416" t="s">
        <v>86</v>
      </c>
      <c r="E846" s="405"/>
      <c r="F846" s="417"/>
      <c r="G846" s="359">
        <v>2022</v>
      </c>
      <c r="H846" s="405">
        <v>5</v>
      </c>
      <c r="I846" s="405"/>
      <c r="J846" s="406">
        <v>44687</v>
      </c>
      <c r="K846" s="405" t="s">
        <v>1861</v>
      </c>
      <c r="L846" s="405" t="s">
        <v>1764</v>
      </c>
      <c r="M846" s="406">
        <v>44575</v>
      </c>
      <c r="N846" s="406">
        <v>44669</v>
      </c>
      <c r="O846" s="406"/>
      <c r="P846" s="406">
        <v>44669</v>
      </c>
      <c r="Q846" s="406">
        <v>44687</v>
      </c>
      <c r="R846" s="406">
        <v>44692</v>
      </c>
      <c r="S846" s="405" t="s">
        <v>88</v>
      </c>
      <c r="T846" s="405">
        <v>72</v>
      </c>
      <c r="U846" s="417">
        <v>49303156</v>
      </c>
      <c r="V846" s="405" t="s">
        <v>995</v>
      </c>
      <c r="W846" s="405">
        <v>480</v>
      </c>
      <c r="X846" s="382">
        <v>638</v>
      </c>
      <c r="Y846" s="365">
        <f t="shared" si="188"/>
        <v>306240</v>
      </c>
      <c r="Z846" s="409">
        <f>228/480</f>
        <v>0.47499999999999998</v>
      </c>
      <c r="AA846" s="411">
        <f t="shared" si="189"/>
        <v>145464</v>
      </c>
      <c r="AB846" s="411"/>
      <c r="AC846" s="412">
        <f t="shared" si="190"/>
        <v>0</v>
      </c>
      <c r="AD846" s="405"/>
      <c r="AE846" s="405"/>
      <c r="AF846" s="424">
        <f t="shared" si="191"/>
        <v>145464</v>
      </c>
      <c r="AG846" s="405" t="s">
        <v>1069</v>
      </c>
      <c r="AH846" s="405"/>
      <c r="AI846" s="405">
        <v>60</v>
      </c>
      <c r="AJ846" s="406" t="s">
        <v>1760</v>
      </c>
      <c r="AK846" s="406" t="s">
        <v>50</v>
      </c>
      <c r="AL846" s="414">
        <v>92056</v>
      </c>
      <c r="AM846" s="405" t="s">
        <v>52</v>
      </c>
      <c r="AN846" s="361" t="s">
        <v>1101</v>
      </c>
      <c r="AO846" s="405" t="s">
        <v>1073</v>
      </c>
      <c r="AP846" s="413"/>
      <c r="AQ846" s="405" t="s">
        <v>37</v>
      </c>
      <c r="AR846" s="405"/>
      <c r="AS846" s="404" t="s">
        <v>1142</v>
      </c>
      <c r="AT846" s="404" t="s">
        <v>1073</v>
      </c>
      <c r="AU846" s="409"/>
      <c r="AV846" s="402">
        <f t="shared" si="192"/>
        <v>49303156</v>
      </c>
      <c r="AW846" s="402" cm="1">
        <f t="array" ref="AW846">SUM(MID(0&amp;AV846,LARGE(INDEX(ISNUMBER(--MID(AV846,ROW($1:$8),1))*ROW($1:$8),),ROW($1:$8))+1,1)*10^ROW($1:$8)/10)</f>
        <v>49303156</v>
      </c>
      <c r="AX846" s="402" t="str">
        <f>VLOOKUP($AW846,'Item Master Data'!$A:$F,3,FALSE)</f>
        <v>Q.PEAK DUO XL G10 BFG</v>
      </c>
      <c r="AY846" s="402">
        <f>VLOOKUP($AW846,'Item Master Data'!$A:$F,6,FALSE)</f>
        <v>480</v>
      </c>
      <c r="AZ846" s="402">
        <f t="shared" si="193"/>
        <v>22</v>
      </c>
      <c r="BA846" s="402">
        <f>VLOOKUP(AW846,'Item Master Data'!$A:$G,7,FALSE)</f>
        <v>29</v>
      </c>
      <c r="BB846" s="402"/>
      <c r="BC846" s="402">
        <f t="shared" si="194"/>
        <v>0</v>
      </c>
    </row>
    <row r="847" spans="1:55">
      <c r="A847" s="426" t="s">
        <v>4584</v>
      </c>
      <c r="B847" s="376"/>
      <c r="C847" s="376">
        <v>44634</v>
      </c>
      <c r="D847" s="416" t="s">
        <v>86</v>
      </c>
      <c r="E847" s="405" t="s">
        <v>1798</v>
      </c>
      <c r="F847" s="417"/>
      <c r="G847" s="359">
        <v>2022</v>
      </c>
      <c r="H847" s="405">
        <v>5</v>
      </c>
      <c r="I847" s="405"/>
      <c r="J847" s="406">
        <v>44686</v>
      </c>
      <c r="K847" s="405" t="s">
        <v>1799</v>
      </c>
      <c r="L847" s="405" t="s">
        <v>1764</v>
      </c>
      <c r="M847" s="406">
        <v>44593</v>
      </c>
      <c r="N847" s="406">
        <v>44682</v>
      </c>
      <c r="O847" s="406"/>
      <c r="P847" s="406">
        <v>44683</v>
      </c>
      <c r="Q847" s="406">
        <v>44686</v>
      </c>
      <c r="R847" s="406">
        <v>44686</v>
      </c>
      <c r="S847" s="405" t="s">
        <v>88</v>
      </c>
      <c r="T847" s="405">
        <v>60</v>
      </c>
      <c r="U847" s="417" t="s">
        <v>1237</v>
      </c>
      <c r="V847" s="405" t="s">
        <v>973</v>
      </c>
      <c r="W847" s="405">
        <v>400</v>
      </c>
      <c r="X847" s="382">
        <v>1536</v>
      </c>
      <c r="Y847" s="365">
        <f t="shared" si="188"/>
        <v>614400</v>
      </c>
      <c r="Z847" s="409">
        <f>210/400</f>
        <v>0.52500000000000002</v>
      </c>
      <c r="AA847" s="411">
        <f t="shared" si="189"/>
        <v>322560</v>
      </c>
      <c r="AB847" s="411"/>
      <c r="AC847" s="412">
        <f t="shared" si="190"/>
        <v>0</v>
      </c>
      <c r="AD847" s="405"/>
      <c r="AE847" s="405"/>
      <c r="AF847" s="424">
        <f t="shared" si="191"/>
        <v>322560</v>
      </c>
      <c r="AG847" s="405" t="s">
        <v>1069</v>
      </c>
      <c r="AH847" s="405"/>
      <c r="AI847" s="405">
        <v>60</v>
      </c>
      <c r="AJ847" s="406" t="s">
        <v>1760</v>
      </c>
      <c r="AK847" s="406" t="s">
        <v>50</v>
      </c>
      <c r="AL847" s="414" t="s">
        <v>1800</v>
      </c>
      <c r="AM847" s="405" t="s">
        <v>52</v>
      </c>
      <c r="AN847" s="361" t="s">
        <v>50</v>
      </c>
      <c r="AO847" s="405" t="s">
        <v>1073</v>
      </c>
      <c r="AP847" s="413" t="s">
        <v>92</v>
      </c>
      <c r="AQ847" s="405" t="s">
        <v>37</v>
      </c>
      <c r="AR847" s="405" t="s">
        <v>1798</v>
      </c>
      <c r="AS847" s="404"/>
      <c r="AT847" s="404"/>
      <c r="AU847" s="409"/>
      <c r="AV847" s="402" t="str">
        <f t="shared" si="192"/>
        <v>30390456H</v>
      </c>
      <c r="AW847" s="402" cm="1">
        <f t="array" ref="AW847">SUM(MID(0&amp;AV847,LARGE(INDEX(ISNUMBER(--MID(AV847,ROW($1:$8),1))*ROW($1:$8),),ROW($1:$8))+1,1)*10^ROW($1:$8)/10)</f>
        <v>30390456</v>
      </c>
      <c r="AX847" s="402" t="str">
        <f>VLOOKUP($AW847,'Item Master Data'!$A:$F,3,FALSE)</f>
        <v>Q.PEAK DUO BLK ML G10+</v>
      </c>
      <c r="AY847" s="402">
        <f>VLOOKUP($AW847,'Item Master Data'!$A:$F,6,FALSE)</f>
        <v>400</v>
      </c>
      <c r="AZ847" s="402">
        <f t="shared" si="193"/>
        <v>48</v>
      </c>
      <c r="BA847" s="402">
        <f>VLOOKUP(AW847,'Item Master Data'!$A:$G,7,FALSE)</f>
        <v>32</v>
      </c>
      <c r="BB847" s="402"/>
      <c r="BC847" s="402">
        <f t="shared" si="194"/>
        <v>0</v>
      </c>
    </row>
    <row r="848" spans="1:55">
      <c r="A848" s="426" t="s">
        <v>4584</v>
      </c>
      <c r="B848" s="376"/>
      <c r="C848" s="376">
        <v>44634</v>
      </c>
      <c r="D848" s="416" t="s">
        <v>86</v>
      </c>
      <c r="E848" s="405" t="s">
        <v>1798</v>
      </c>
      <c r="F848" s="417"/>
      <c r="G848" s="359">
        <v>2022</v>
      </c>
      <c r="H848" s="405">
        <v>5</v>
      </c>
      <c r="I848" s="405"/>
      <c r="J848" s="406"/>
      <c r="K848" s="405" t="s">
        <v>4728</v>
      </c>
      <c r="L848" s="405" t="s">
        <v>1764</v>
      </c>
      <c r="M848" s="406">
        <v>44593</v>
      </c>
      <c r="N848" s="406">
        <v>44696</v>
      </c>
      <c r="O848" s="406"/>
      <c r="P848" s="406">
        <v>44691</v>
      </c>
      <c r="Q848" s="406"/>
      <c r="R848" s="406"/>
      <c r="S848" s="405" t="s">
        <v>88</v>
      </c>
      <c r="T848" s="405">
        <v>60</v>
      </c>
      <c r="U848" s="417">
        <v>49203132</v>
      </c>
      <c r="V848" s="405" t="s">
        <v>986</v>
      </c>
      <c r="W848" s="405">
        <v>360</v>
      </c>
      <c r="X848" s="382">
        <v>2304</v>
      </c>
      <c r="Y848" s="365">
        <f t="shared" si="188"/>
        <v>829440</v>
      </c>
      <c r="Z848" s="409">
        <f>181.8/360</f>
        <v>0.505</v>
      </c>
      <c r="AA848" s="411">
        <f t="shared" si="189"/>
        <v>418867.20000000001</v>
      </c>
      <c r="AB848" s="411"/>
      <c r="AC848" s="412">
        <f t="shared" si="190"/>
        <v>0</v>
      </c>
      <c r="AD848" s="405"/>
      <c r="AE848" s="405"/>
      <c r="AF848" s="424">
        <f t="shared" si="191"/>
        <v>418867.20000000001</v>
      </c>
      <c r="AG848" s="405" t="s">
        <v>1069</v>
      </c>
      <c r="AH848" s="405"/>
      <c r="AI848" s="405">
        <v>60</v>
      </c>
      <c r="AJ848" s="406" t="s">
        <v>1760</v>
      </c>
      <c r="AK848" s="406" t="s">
        <v>50</v>
      </c>
      <c r="AL848" s="414" t="s">
        <v>1800</v>
      </c>
      <c r="AM848" s="405" t="s">
        <v>52</v>
      </c>
      <c r="AN848" s="361" t="s">
        <v>1101</v>
      </c>
      <c r="AO848" s="405" t="s">
        <v>1073</v>
      </c>
      <c r="AP848" s="413"/>
      <c r="AQ848" s="405" t="s">
        <v>37</v>
      </c>
      <c r="AR848" s="405" t="s">
        <v>1798</v>
      </c>
      <c r="AS848" s="404"/>
      <c r="AT848" s="404"/>
      <c r="AU848" s="409"/>
      <c r="AV848" s="402">
        <f t="shared" si="192"/>
        <v>49203132</v>
      </c>
      <c r="AW848" s="402" cm="1">
        <f t="array" ref="AW848">SUM(MID(0&amp;AV848,LARGE(INDEX(ISNUMBER(--MID(AV848,ROW($1:$8),1))*ROW($1:$8),),ROW($1:$8))+1,1)*10^ROW($1:$8)/10)</f>
        <v>49203132</v>
      </c>
      <c r="AX848" s="402" t="str">
        <f>VLOOKUP($AW848,'Item Master Data'!$A:$F,3,FALSE)</f>
        <v>Q.PEAK DUO BLK G10+</v>
      </c>
      <c r="AY848" s="402">
        <f>VLOOKUP($AW848,'Item Master Data'!$A:$F,6,FALSE)</f>
        <v>360</v>
      </c>
      <c r="AZ848" s="402">
        <f t="shared" si="193"/>
        <v>72</v>
      </c>
      <c r="BA848" s="402">
        <f>VLOOKUP(AW848,'Item Master Data'!$A:$G,7,FALSE)</f>
        <v>32</v>
      </c>
      <c r="BB848" s="402"/>
      <c r="BC848" s="402">
        <f t="shared" si="194"/>
        <v>0</v>
      </c>
    </row>
    <row r="849" spans="1:55">
      <c r="A849" s="426" t="s">
        <v>4585</v>
      </c>
      <c r="B849" s="376"/>
      <c r="C849" s="376">
        <v>44634</v>
      </c>
      <c r="D849" s="416" t="s">
        <v>86</v>
      </c>
      <c r="E849" s="405" t="s">
        <v>4547</v>
      </c>
      <c r="F849" s="417"/>
      <c r="G849" s="359">
        <v>2022</v>
      </c>
      <c r="H849" s="405">
        <v>5</v>
      </c>
      <c r="I849" s="405"/>
      <c r="J849" s="406"/>
      <c r="K849" s="405" t="s">
        <v>1880</v>
      </c>
      <c r="L849" s="405" t="s">
        <v>1764</v>
      </c>
      <c r="M849" s="406">
        <v>44593</v>
      </c>
      <c r="N849" s="406">
        <v>44713</v>
      </c>
      <c r="O849" s="406"/>
      <c r="P849" s="406">
        <v>44665</v>
      </c>
      <c r="Q849" s="406"/>
      <c r="R849" s="406"/>
      <c r="S849" s="405" t="s">
        <v>88</v>
      </c>
      <c r="T849" s="405">
        <v>60</v>
      </c>
      <c r="U849" s="417">
        <v>49203132</v>
      </c>
      <c r="V849" s="405" t="s">
        <v>986</v>
      </c>
      <c r="W849" s="405">
        <v>360</v>
      </c>
      <c r="X849" s="382">
        <v>832</v>
      </c>
      <c r="Y849" s="365">
        <f t="shared" si="188"/>
        <v>299520</v>
      </c>
      <c r="Z849" s="409">
        <f>208.8/360</f>
        <v>0.58000000000000007</v>
      </c>
      <c r="AA849" s="411">
        <f t="shared" si="189"/>
        <v>173721.60000000003</v>
      </c>
      <c r="AB849" s="411"/>
      <c r="AC849" s="412">
        <f t="shared" si="190"/>
        <v>0</v>
      </c>
      <c r="AD849" s="405"/>
      <c r="AE849" s="405"/>
      <c r="AF849" s="424">
        <f t="shared" si="191"/>
        <v>173721.60000000003</v>
      </c>
      <c r="AG849" s="405" t="s">
        <v>1069</v>
      </c>
      <c r="AH849" s="405"/>
      <c r="AI849" s="405">
        <v>60</v>
      </c>
      <c r="AJ849" s="406" t="s">
        <v>1760</v>
      </c>
      <c r="AK849" s="406" t="s">
        <v>50</v>
      </c>
      <c r="AL849" s="414" t="s">
        <v>1800</v>
      </c>
      <c r="AM849" s="405" t="s">
        <v>52</v>
      </c>
      <c r="AN849" s="361" t="s">
        <v>1101</v>
      </c>
      <c r="AO849" s="405" t="s">
        <v>1073</v>
      </c>
      <c r="AP849" s="413"/>
      <c r="AQ849" s="405" t="s">
        <v>37</v>
      </c>
      <c r="AR849" s="405" t="s">
        <v>1798</v>
      </c>
      <c r="AS849" s="404"/>
      <c r="AT849" s="404"/>
      <c r="AU849" s="409"/>
      <c r="AV849" s="402">
        <f t="shared" si="192"/>
        <v>49203132</v>
      </c>
      <c r="AW849" s="402" cm="1">
        <f t="array" ref="AW849">SUM(MID(0&amp;AV849,LARGE(INDEX(ISNUMBER(--MID(AV849,ROW($1:$8),1))*ROW($1:$8),),ROW($1:$8))+1,1)*10^ROW($1:$8)/10)</f>
        <v>49203132</v>
      </c>
      <c r="AX849" s="402" t="str">
        <f>VLOOKUP($AW849,'Item Master Data'!$A:$F,3,FALSE)</f>
        <v>Q.PEAK DUO BLK G10+</v>
      </c>
      <c r="AY849" s="402">
        <f>VLOOKUP($AW849,'Item Master Data'!$A:$F,6,FALSE)</f>
        <v>360</v>
      </c>
      <c r="AZ849" s="402">
        <f t="shared" si="193"/>
        <v>26</v>
      </c>
      <c r="BA849" s="402">
        <f>VLOOKUP(AW849,'Item Master Data'!$A:$G,7,FALSE)</f>
        <v>32</v>
      </c>
      <c r="BB849" s="402"/>
      <c r="BC849" s="402">
        <f t="shared" si="194"/>
        <v>0</v>
      </c>
    </row>
    <row r="850" spans="1:55">
      <c r="A850" s="426" t="s">
        <v>4585</v>
      </c>
      <c r="B850" s="376"/>
      <c r="C850" s="376">
        <v>44634</v>
      </c>
      <c r="D850" s="416" t="s">
        <v>86</v>
      </c>
      <c r="E850" s="405" t="s">
        <v>4548</v>
      </c>
      <c r="F850" s="417"/>
      <c r="G850" s="359">
        <v>2022</v>
      </c>
      <c r="H850" s="405">
        <v>5</v>
      </c>
      <c r="I850" s="405"/>
      <c r="J850" s="406"/>
      <c r="K850" s="405" t="s">
        <v>1880</v>
      </c>
      <c r="L850" s="405" t="s">
        <v>1764</v>
      </c>
      <c r="M850" s="406">
        <v>44593</v>
      </c>
      <c r="N850" s="406">
        <v>44713</v>
      </c>
      <c r="O850" s="406"/>
      <c r="P850" s="406">
        <v>44665</v>
      </c>
      <c r="Q850" s="406"/>
      <c r="R850" s="406"/>
      <c r="S850" s="405" t="s">
        <v>88</v>
      </c>
      <c r="T850" s="405">
        <v>60</v>
      </c>
      <c r="U850" s="417">
        <v>49203132</v>
      </c>
      <c r="V850" s="405" t="s">
        <v>986</v>
      </c>
      <c r="W850" s="405">
        <v>360</v>
      </c>
      <c r="X850" s="382">
        <v>1408</v>
      </c>
      <c r="Y850" s="365">
        <f t="shared" si="188"/>
        <v>506880</v>
      </c>
      <c r="Z850" s="409">
        <f>209.16/360</f>
        <v>0.58099999999999996</v>
      </c>
      <c r="AA850" s="411">
        <f t="shared" si="189"/>
        <v>294497.27999999997</v>
      </c>
      <c r="AB850" s="411"/>
      <c r="AC850" s="412">
        <f t="shared" si="190"/>
        <v>0</v>
      </c>
      <c r="AD850" s="405"/>
      <c r="AE850" s="405"/>
      <c r="AF850" s="424">
        <f t="shared" si="191"/>
        <v>294497.27999999997</v>
      </c>
      <c r="AG850" s="405" t="s">
        <v>1069</v>
      </c>
      <c r="AH850" s="405"/>
      <c r="AI850" s="405">
        <v>60</v>
      </c>
      <c r="AJ850" s="406" t="s">
        <v>1760</v>
      </c>
      <c r="AK850" s="406" t="s">
        <v>50</v>
      </c>
      <c r="AL850" s="414" t="s">
        <v>1800</v>
      </c>
      <c r="AM850" s="405" t="s">
        <v>52</v>
      </c>
      <c r="AN850" s="361" t="s">
        <v>1101</v>
      </c>
      <c r="AO850" s="405" t="s">
        <v>1073</v>
      </c>
      <c r="AP850" s="413"/>
      <c r="AQ850" s="405" t="s">
        <v>37</v>
      </c>
      <c r="AR850" s="405" t="s">
        <v>1798</v>
      </c>
      <c r="AS850" s="404"/>
      <c r="AT850" s="404"/>
      <c r="AU850" s="409"/>
      <c r="AV850" s="402"/>
      <c r="AW850" s="402"/>
      <c r="AX850" s="402"/>
      <c r="AY850" s="402"/>
      <c r="AZ850" s="402"/>
      <c r="BA850" s="402"/>
      <c r="BB850" s="402"/>
      <c r="BC850" s="402"/>
    </row>
    <row r="851" spans="1:55">
      <c r="A851" s="426" t="s">
        <v>4584</v>
      </c>
      <c r="B851" s="376">
        <v>44545</v>
      </c>
      <c r="C851" s="376">
        <v>44575</v>
      </c>
      <c r="D851" s="416" t="s">
        <v>86</v>
      </c>
      <c r="E851" s="405"/>
      <c r="F851" s="417"/>
      <c r="G851" s="359">
        <v>2022</v>
      </c>
      <c r="H851" s="405">
        <v>5</v>
      </c>
      <c r="I851" s="405"/>
      <c r="J851" s="406"/>
      <c r="K851" s="405" t="s">
        <v>1883</v>
      </c>
      <c r="L851" s="405" t="s">
        <v>1759</v>
      </c>
      <c r="M851" s="406">
        <v>44490</v>
      </c>
      <c r="N851" s="406">
        <v>44589</v>
      </c>
      <c r="O851" s="406">
        <v>44651</v>
      </c>
      <c r="P851" s="406">
        <v>44663</v>
      </c>
      <c r="Q851" s="406"/>
      <c r="R851" s="406"/>
      <c r="S851" s="405" t="s">
        <v>88</v>
      </c>
      <c r="T851" s="405">
        <v>60</v>
      </c>
      <c r="U851" s="417">
        <v>49203132</v>
      </c>
      <c r="V851" s="405" t="s">
        <v>986</v>
      </c>
      <c r="W851" s="405">
        <v>360</v>
      </c>
      <c r="X851" s="382">
        <v>768</v>
      </c>
      <c r="Y851" s="365">
        <f t="shared" si="188"/>
        <v>276480</v>
      </c>
      <c r="Z851" s="409">
        <f>192.6/360</f>
        <v>0.53500000000000003</v>
      </c>
      <c r="AA851" s="411">
        <f t="shared" si="189"/>
        <v>147916.80000000002</v>
      </c>
      <c r="AB851" s="411"/>
      <c r="AC851" s="412">
        <v>0</v>
      </c>
      <c r="AD851" s="405"/>
      <c r="AE851" s="405"/>
      <c r="AF851" s="424">
        <f t="shared" si="191"/>
        <v>147916.80000000002</v>
      </c>
      <c r="AG851" s="405" t="s">
        <v>1069</v>
      </c>
      <c r="AH851" s="405"/>
      <c r="AI851" s="405">
        <v>60</v>
      </c>
      <c r="AJ851" s="406" t="s">
        <v>1760</v>
      </c>
      <c r="AK851" s="406" t="s">
        <v>50</v>
      </c>
      <c r="AL851" s="414">
        <v>92056</v>
      </c>
      <c r="AM851" s="405" t="s">
        <v>52</v>
      </c>
      <c r="AN851" s="361" t="s">
        <v>1101</v>
      </c>
      <c r="AO851" s="405" t="s">
        <v>1073</v>
      </c>
      <c r="AP851" s="413"/>
      <c r="AQ851" s="405" t="s">
        <v>37</v>
      </c>
      <c r="AR851" s="405"/>
      <c r="AS851" s="404" t="s">
        <v>1142</v>
      </c>
      <c r="AT851" s="404" t="s">
        <v>1073</v>
      </c>
      <c r="AU851" s="409"/>
      <c r="AV851" s="402">
        <f>U851</f>
        <v>49203132</v>
      </c>
      <c r="AW851" s="402" cm="1">
        <f t="array" ref="AW851">SUM(MID(0&amp;AV851,LARGE(INDEX(ISNUMBER(--MID(AV851,ROW($1:$8),1))*ROW($1:$8),),ROW($1:$8))+1,1)*10^ROW($1:$8)/10)</f>
        <v>49203132</v>
      </c>
      <c r="AX851" s="402" t="str">
        <f>VLOOKUP($AW851,'Item Master Data'!$A:$F,3,FALSE)</f>
        <v>Q.PEAK DUO BLK G10+</v>
      </c>
      <c r="AY851" s="402">
        <f>VLOOKUP($AW851,'Item Master Data'!$A:$F,6,FALSE)</f>
        <v>360</v>
      </c>
      <c r="AZ851" s="402">
        <f>X851/BA851</f>
        <v>24</v>
      </c>
      <c r="BA851" s="402">
        <f>VLOOKUP(AW851,'Item Master Data'!$A:$G,7,FALSE)</f>
        <v>32</v>
      </c>
      <c r="BB851" s="402"/>
      <c r="BC851" s="402">
        <f>W851-AY851</f>
        <v>0</v>
      </c>
    </row>
    <row r="852" spans="1:55">
      <c r="A852" s="426">
        <v>10</v>
      </c>
      <c r="B852" s="376">
        <v>44665</v>
      </c>
      <c r="C852" s="376">
        <v>44665</v>
      </c>
      <c r="D852" s="416" t="s">
        <v>86</v>
      </c>
      <c r="E852" s="405"/>
      <c r="F852" s="417"/>
      <c r="G852" s="359">
        <v>2022</v>
      </c>
      <c r="H852" s="405">
        <v>5</v>
      </c>
      <c r="I852" s="405"/>
      <c r="J852" s="406"/>
      <c r="K852" s="405" t="s">
        <v>1758</v>
      </c>
      <c r="L852" s="405" t="s">
        <v>1759</v>
      </c>
      <c r="M852" s="406">
        <v>44490</v>
      </c>
      <c r="N852" s="406">
        <v>44620</v>
      </c>
      <c r="O852" s="406">
        <v>44679</v>
      </c>
      <c r="P852" s="406"/>
      <c r="Q852" s="406"/>
      <c r="R852" s="406"/>
      <c r="S852" s="405" t="s">
        <v>88</v>
      </c>
      <c r="T852" s="405">
        <v>60</v>
      </c>
      <c r="U852" s="417">
        <v>49203132</v>
      </c>
      <c r="V852" s="405" t="s">
        <v>986</v>
      </c>
      <c r="W852" s="405">
        <v>360</v>
      </c>
      <c r="X852" s="382">
        <v>3072</v>
      </c>
      <c r="Y852" s="365">
        <f t="shared" si="188"/>
        <v>1105920</v>
      </c>
      <c r="Z852" s="409">
        <f>192.6/360</f>
        <v>0.53500000000000003</v>
      </c>
      <c r="AA852" s="411">
        <f t="shared" si="189"/>
        <v>591667.20000000007</v>
      </c>
      <c r="AB852" s="411"/>
      <c r="AC852" s="412">
        <v>0</v>
      </c>
      <c r="AD852" s="405"/>
      <c r="AE852" s="405"/>
      <c r="AF852" s="424">
        <v>566261.76000000013</v>
      </c>
      <c r="AG852" s="405" t="s">
        <v>1069</v>
      </c>
      <c r="AH852" s="405"/>
      <c r="AI852" s="405">
        <v>60</v>
      </c>
      <c r="AJ852" s="406" t="s">
        <v>1760</v>
      </c>
      <c r="AK852" s="406" t="s">
        <v>50</v>
      </c>
      <c r="AL852" s="414">
        <v>92056</v>
      </c>
      <c r="AM852" s="405" t="s">
        <v>52</v>
      </c>
      <c r="AN852" s="361" t="s">
        <v>50</v>
      </c>
      <c r="AO852" s="405" t="s">
        <v>1073</v>
      </c>
      <c r="AP852" s="413" t="s">
        <v>38</v>
      </c>
      <c r="AQ852" s="405" t="s">
        <v>37</v>
      </c>
      <c r="AR852" s="405"/>
      <c r="AS852" s="404" t="s">
        <v>1142</v>
      </c>
      <c r="AT852" s="404" t="s">
        <v>1073</v>
      </c>
      <c r="AU852" s="409"/>
      <c r="AV852" s="402">
        <f>U852</f>
        <v>49203132</v>
      </c>
      <c r="AW852" s="402" cm="1">
        <f t="array" ref="AW852">SUM(MID(0&amp;AV852,LARGE(INDEX(ISNUMBER(--MID(AV852,ROW($1:$8),1))*ROW($1:$8),),ROW($1:$8))+1,1)*10^ROW($1:$8)/10)</f>
        <v>49203132</v>
      </c>
      <c r="AX852" s="402" t="str">
        <f>VLOOKUP($AW852,'Item Master Data'!$A:$F,3,FALSE)</f>
        <v>Q.PEAK DUO BLK G10+</v>
      </c>
      <c r="AY852" s="402">
        <f>VLOOKUP($AW852,'Item Master Data'!$A:$F,6,FALSE)</f>
        <v>360</v>
      </c>
      <c r="AZ852" s="402">
        <f>X852/BA852</f>
        <v>96</v>
      </c>
      <c r="BA852" s="402">
        <f>VLOOKUP(AW852,'Item Master Data'!$A:$G,7,FALSE)</f>
        <v>32</v>
      </c>
      <c r="BB852" s="402"/>
      <c r="BC852" s="402">
        <f>W852-AY852</f>
        <v>0</v>
      </c>
    </row>
    <row r="853" spans="1:55">
      <c r="A853" s="426"/>
      <c r="B853" s="376">
        <v>44683</v>
      </c>
      <c r="C853" s="376">
        <v>44683</v>
      </c>
      <c r="D853" s="416" t="s">
        <v>86</v>
      </c>
      <c r="E853" s="405"/>
      <c r="F853" s="417"/>
      <c r="G853" s="359">
        <v>2022</v>
      </c>
      <c r="H853" s="405">
        <v>6</v>
      </c>
      <c r="I853" s="405" t="s">
        <v>4729</v>
      </c>
      <c r="J853" s="406"/>
      <c r="K853" s="405" t="s">
        <v>4551</v>
      </c>
      <c r="L853" s="405" t="s">
        <v>1886</v>
      </c>
      <c r="M853" s="406">
        <v>44678</v>
      </c>
      <c r="N853" s="406">
        <v>44678</v>
      </c>
      <c r="O853" s="406"/>
      <c r="P853" s="406"/>
      <c r="Q853" s="406"/>
      <c r="R853" s="406"/>
      <c r="S853" s="405" t="s">
        <v>88</v>
      </c>
      <c r="T853" s="405">
        <v>72</v>
      </c>
      <c r="U853" s="417" t="s">
        <v>4552</v>
      </c>
      <c r="V853" s="405" t="s">
        <v>1140</v>
      </c>
      <c r="W853" s="405">
        <v>420</v>
      </c>
      <c r="X853" s="382">
        <v>750</v>
      </c>
      <c r="Y853" s="365">
        <f t="shared" si="188"/>
        <v>315000</v>
      </c>
      <c r="Z853" s="409">
        <f>210/420</f>
        <v>0.5</v>
      </c>
      <c r="AA853" s="411">
        <f t="shared" si="189"/>
        <v>157500</v>
      </c>
      <c r="AB853" s="411"/>
      <c r="AC853" s="412">
        <v>0</v>
      </c>
      <c r="AD853" s="405"/>
      <c r="AE853" s="405"/>
      <c r="AF853" s="424">
        <f>AE853+AD853+AA853</f>
        <v>157500</v>
      </c>
      <c r="AG853" s="405" t="s">
        <v>1069</v>
      </c>
      <c r="AH853" s="405">
        <v>10</v>
      </c>
      <c r="AI853" s="405">
        <v>30</v>
      </c>
      <c r="AJ853" s="406" t="s">
        <v>4553</v>
      </c>
      <c r="AK853" s="406" t="s">
        <v>50</v>
      </c>
      <c r="AL853" s="414">
        <v>92879</v>
      </c>
      <c r="AM853" s="405" t="s">
        <v>52</v>
      </c>
      <c r="AN853" s="361" t="s">
        <v>1141</v>
      </c>
      <c r="AO853" s="405" t="s">
        <v>1073</v>
      </c>
      <c r="AP853" s="413" t="s">
        <v>92</v>
      </c>
      <c r="AQ853" s="405" t="s">
        <v>37</v>
      </c>
      <c r="AR853" s="405" t="s">
        <v>1188</v>
      </c>
      <c r="AS853" s="404" t="s">
        <v>1392</v>
      </c>
      <c r="AT853" s="404"/>
      <c r="AU853" s="409">
        <f>180/360</f>
        <v>0.5</v>
      </c>
      <c r="AV853" s="402"/>
      <c r="AW853" s="402"/>
      <c r="AX853" s="402"/>
      <c r="AY853" s="402"/>
      <c r="AZ853" s="402"/>
      <c r="BA853" s="402"/>
      <c r="BB853" s="402"/>
      <c r="BC853" s="402"/>
    </row>
    <row r="854" spans="1:55">
      <c r="A854" s="426"/>
      <c r="B854" s="376">
        <v>44683</v>
      </c>
      <c r="C854" s="376">
        <v>44683</v>
      </c>
      <c r="D854" s="416" t="s">
        <v>86</v>
      </c>
      <c r="E854" s="405"/>
      <c r="F854" s="417"/>
      <c r="G854" s="359">
        <v>2022</v>
      </c>
      <c r="H854" s="405">
        <v>6</v>
      </c>
      <c r="I854" s="405" t="s">
        <v>4729</v>
      </c>
      <c r="J854" s="406"/>
      <c r="K854" s="405" t="s">
        <v>4551</v>
      </c>
      <c r="L854" s="405" t="s">
        <v>1886</v>
      </c>
      <c r="M854" s="406">
        <v>44678</v>
      </c>
      <c r="N854" s="406">
        <v>44678</v>
      </c>
      <c r="O854" s="406"/>
      <c r="P854" s="406"/>
      <c r="Q854" s="406"/>
      <c r="R854" s="406"/>
      <c r="S854" s="405" t="s">
        <v>88</v>
      </c>
      <c r="T854" s="405">
        <v>72</v>
      </c>
      <c r="U854" s="417" t="s">
        <v>4554</v>
      </c>
      <c r="V854" s="405" t="s">
        <v>1140</v>
      </c>
      <c r="W854" s="405">
        <v>420</v>
      </c>
      <c r="X854" s="382">
        <v>62</v>
      </c>
      <c r="Y854" s="365">
        <f t="shared" si="188"/>
        <v>26040</v>
      </c>
      <c r="Z854" s="409">
        <f>210/420</f>
        <v>0.5</v>
      </c>
      <c r="AA854" s="411">
        <f t="shared" si="189"/>
        <v>13020</v>
      </c>
      <c r="AB854" s="411"/>
      <c r="AC854" s="412">
        <v>0</v>
      </c>
      <c r="AD854" s="405"/>
      <c r="AE854" s="405"/>
      <c r="AF854" s="424">
        <f>AE854+AD854+AA854</f>
        <v>13020</v>
      </c>
      <c r="AG854" s="405" t="s">
        <v>1069</v>
      </c>
      <c r="AH854" s="405">
        <v>10</v>
      </c>
      <c r="AI854" s="405">
        <v>30</v>
      </c>
      <c r="AJ854" s="406" t="s">
        <v>4553</v>
      </c>
      <c r="AK854" s="406" t="s">
        <v>50</v>
      </c>
      <c r="AL854" s="414">
        <v>92879</v>
      </c>
      <c r="AM854" s="405" t="s">
        <v>52</v>
      </c>
      <c r="AN854" s="361" t="s">
        <v>1141</v>
      </c>
      <c r="AO854" s="405" t="s">
        <v>1073</v>
      </c>
      <c r="AP854" s="413" t="s">
        <v>92</v>
      </c>
      <c r="AQ854" s="405" t="s">
        <v>37</v>
      </c>
      <c r="AR854" s="405" t="s">
        <v>1188</v>
      </c>
      <c r="AS854" s="404" t="s">
        <v>1392</v>
      </c>
      <c r="AT854" s="404"/>
      <c r="AU854" s="409">
        <f>180/360</f>
        <v>0.5</v>
      </c>
      <c r="AV854" s="402"/>
      <c r="AW854" s="402"/>
      <c r="AX854" s="402"/>
      <c r="AY854" s="402"/>
      <c r="AZ854" s="402"/>
      <c r="BA854" s="402"/>
      <c r="BB854" s="402"/>
      <c r="BC854" s="402"/>
    </row>
    <row r="855" spans="1:55">
      <c r="A855" s="426" t="s">
        <v>4585</v>
      </c>
      <c r="B855" s="376">
        <v>44665</v>
      </c>
      <c r="C855" s="376">
        <v>44665</v>
      </c>
      <c r="D855" s="416" t="s">
        <v>86</v>
      </c>
      <c r="E855" s="405" t="s">
        <v>4549</v>
      </c>
      <c r="F855" s="417"/>
      <c r="G855" s="359">
        <v>2022</v>
      </c>
      <c r="H855" s="405">
        <v>5</v>
      </c>
      <c r="I855" s="405"/>
      <c r="J855" s="406"/>
      <c r="K855" s="405" t="s">
        <v>1811</v>
      </c>
      <c r="L855" s="405" t="s">
        <v>1759</v>
      </c>
      <c r="M855" s="406">
        <v>44561</v>
      </c>
      <c r="N855" s="406">
        <v>44673</v>
      </c>
      <c r="O855" s="406">
        <v>44703</v>
      </c>
      <c r="P855" s="406" t="s">
        <v>1641</v>
      </c>
      <c r="Q855" s="406"/>
      <c r="R855" s="406"/>
      <c r="S855" s="405" t="s">
        <v>88</v>
      </c>
      <c r="T855" s="405">
        <v>60</v>
      </c>
      <c r="U855" s="417">
        <v>49203132</v>
      </c>
      <c r="V855" s="405" t="s">
        <v>986</v>
      </c>
      <c r="W855" s="405">
        <v>360</v>
      </c>
      <c r="X855" s="382">
        <v>3072</v>
      </c>
      <c r="Y855" s="365">
        <f t="shared" si="188"/>
        <v>1105920</v>
      </c>
      <c r="Z855" s="409">
        <f>219.96/360</f>
        <v>0.61099999999999999</v>
      </c>
      <c r="AA855" s="411">
        <f t="shared" si="189"/>
        <v>675717.12</v>
      </c>
      <c r="AB855" s="411"/>
      <c r="AC855" s="412">
        <v>0</v>
      </c>
      <c r="AD855" s="405"/>
      <c r="AE855" s="405"/>
      <c r="AF855" s="424">
        <v>566261.76000000013</v>
      </c>
      <c r="AG855" s="405" t="s">
        <v>1069</v>
      </c>
      <c r="AH855" s="405"/>
      <c r="AI855" s="405">
        <v>60</v>
      </c>
      <c r="AJ855" s="406" t="s">
        <v>1760</v>
      </c>
      <c r="AK855" s="406" t="s">
        <v>50</v>
      </c>
      <c r="AL855" s="414">
        <v>92056</v>
      </c>
      <c r="AM855" s="405" t="s">
        <v>52</v>
      </c>
      <c r="AN855" s="361" t="s">
        <v>50</v>
      </c>
      <c r="AO855" s="405" t="s">
        <v>1073</v>
      </c>
      <c r="AP855" s="413" t="s">
        <v>38</v>
      </c>
      <c r="AQ855" s="405" t="s">
        <v>37</v>
      </c>
      <c r="AR855" s="405"/>
      <c r="AS855" s="404" t="s">
        <v>1142</v>
      </c>
      <c r="AT855" s="404" t="s">
        <v>1073</v>
      </c>
      <c r="AU855" s="409"/>
      <c r="AV855" s="402"/>
      <c r="AW855" s="402"/>
      <c r="AX855" s="402"/>
      <c r="AY855" s="402"/>
      <c r="AZ855" s="402"/>
      <c r="BA855" s="402"/>
      <c r="BB855" s="402"/>
      <c r="BC855" s="402"/>
    </row>
    <row r="856" spans="1:55">
      <c r="A856" s="426" t="s">
        <v>4585</v>
      </c>
      <c r="B856" s="376">
        <v>44665</v>
      </c>
      <c r="C856" s="376">
        <v>44665</v>
      </c>
      <c r="D856" s="416" t="s">
        <v>86</v>
      </c>
      <c r="E856" s="405"/>
      <c r="F856" s="417"/>
      <c r="G856" s="359">
        <v>2022</v>
      </c>
      <c r="H856" s="405">
        <v>5</v>
      </c>
      <c r="I856" s="405"/>
      <c r="J856" s="406"/>
      <c r="K856" s="405" t="s">
        <v>1812</v>
      </c>
      <c r="L856" s="405" t="s">
        <v>1759</v>
      </c>
      <c r="M856" s="406">
        <v>44561</v>
      </c>
      <c r="N856" s="406">
        <v>44673</v>
      </c>
      <c r="O856" s="406">
        <v>44703</v>
      </c>
      <c r="P856" s="406" t="s">
        <v>1641</v>
      </c>
      <c r="Q856" s="406"/>
      <c r="R856" s="406"/>
      <c r="S856" s="405" t="s">
        <v>88</v>
      </c>
      <c r="T856" s="405">
        <v>60</v>
      </c>
      <c r="U856" s="417" t="s">
        <v>1237</v>
      </c>
      <c r="V856" s="405" t="s">
        <v>973</v>
      </c>
      <c r="W856" s="405">
        <v>400</v>
      </c>
      <c r="X856" s="382">
        <v>1536</v>
      </c>
      <c r="Y856" s="365">
        <f t="shared" si="188"/>
        <v>614400</v>
      </c>
      <c r="Z856" s="409">
        <f>260/400</f>
        <v>0.65</v>
      </c>
      <c r="AA856" s="411">
        <f t="shared" si="189"/>
        <v>399360</v>
      </c>
      <c r="AB856" s="411"/>
      <c r="AC856" s="412">
        <v>0</v>
      </c>
      <c r="AD856" s="405"/>
      <c r="AE856" s="405"/>
      <c r="AF856" s="424">
        <v>322560</v>
      </c>
      <c r="AG856" s="405" t="s">
        <v>1069</v>
      </c>
      <c r="AH856" s="405"/>
      <c r="AI856" s="405">
        <v>60</v>
      </c>
      <c r="AJ856" s="406" t="s">
        <v>1760</v>
      </c>
      <c r="AK856" s="406" t="s">
        <v>50</v>
      </c>
      <c r="AL856" s="414">
        <v>92056</v>
      </c>
      <c r="AM856" s="405" t="s">
        <v>52</v>
      </c>
      <c r="AN856" s="361" t="s">
        <v>50</v>
      </c>
      <c r="AO856" s="405" t="s">
        <v>1073</v>
      </c>
      <c r="AP856" s="413" t="s">
        <v>92</v>
      </c>
      <c r="AQ856" s="405" t="s">
        <v>37</v>
      </c>
      <c r="AR856" s="405"/>
      <c r="AS856" s="404" t="s">
        <v>1142</v>
      </c>
      <c r="AT856" s="404" t="s">
        <v>1073</v>
      </c>
      <c r="AU856" s="409"/>
      <c r="AV856" s="402" t="str">
        <f>U856</f>
        <v>30390456H</v>
      </c>
      <c r="AW856" s="402" cm="1">
        <f t="array" ref="AW856">SUM(MID(0&amp;AV856,LARGE(INDEX(ISNUMBER(--MID(AV856,ROW($1:$8),1))*ROW($1:$8),),ROW($1:$8))+1,1)*10^ROW($1:$8)/10)</f>
        <v>30390456</v>
      </c>
      <c r="AX856" s="402" t="str">
        <f>VLOOKUP($AW856,'Item Master Data'!$A:$F,3,FALSE)</f>
        <v>Q.PEAK DUO BLK ML G10+</v>
      </c>
      <c r="AY856" s="402">
        <f>VLOOKUP($AW856,'Item Master Data'!$A:$F,6,FALSE)</f>
        <v>400</v>
      </c>
      <c r="AZ856" s="402">
        <f>X856/BA856</f>
        <v>48</v>
      </c>
      <c r="BA856" s="402">
        <f>VLOOKUP(AW856,'Item Master Data'!$A:$G,7,FALSE)</f>
        <v>32</v>
      </c>
      <c r="BB856" s="402"/>
      <c r="BC856" s="402">
        <f>W856-AY856</f>
        <v>0</v>
      </c>
    </row>
    <row r="857" spans="1:55">
      <c r="A857" s="426" t="s">
        <v>4584</v>
      </c>
      <c r="B857" s="376">
        <v>44641</v>
      </c>
      <c r="C857" s="376"/>
      <c r="D857" s="416" t="s">
        <v>86</v>
      </c>
      <c r="E857" s="405" t="s">
        <v>4593</v>
      </c>
      <c r="F857" s="417"/>
      <c r="G857" s="359">
        <v>2022</v>
      </c>
      <c r="H857" s="405">
        <v>5</v>
      </c>
      <c r="I857" s="405"/>
      <c r="J857" s="406">
        <v>44693</v>
      </c>
      <c r="K857" s="405">
        <v>1156</v>
      </c>
      <c r="L857" s="405" t="s">
        <v>1556</v>
      </c>
      <c r="M857" s="406">
        <v>44488</v>
      </c>
      <c r="N857" s="406">
        <v>44621</v>
      </c>
      <c r="O857" s="406"/>
      <c r="P857" s="406">
        <v>44692</v>
      </c>
      <c r="Q857" s="406">
        <v>44693</v>
      </c>
      <c r="R857" s="406">
        <v>44694</v>
      </c>
      <c r="S857" s="405" t="s">
        <v>1510</v>
      </c>
      <c r="T857" s="405">
        <v>60</v>
      </c>
      <c r="U857" s="417" t="s">
        <v>1237</v>
      </c>
      <c r="V857" s="405" t="s">
        <v>1970</v>
      </c>
      <c r="W857" s="405">
        <v>400</v>
      </c>
      <c r="X857" s="382">
        <v>832</v>
      </c>
      <c r="Y857" s="365">
        <f t="shared" si="188"/>
        <v>332800</v>
      </c>
      <c r="Z857" s="409">
        <f>224/400</f>
        <v>0.56000000000000005</v>
      </c>
      <c r="AA857" s="411">
        <f t="shared" si="189"/>
        <v>186368.00000000003</v>
      </c>
      <c r="AB857" s="411"/>
      <c r="AC857" s="412">
        <f>AB857*Y857</f>
        <v>0</v>
      </c>
      <c r="AD857" s="405"/>
      <c r="AE857" s="405"/>
      <c r="AF857" s="424">
        <f>AE857+AD857+AA857</f>
        <v>186368.00000000003</v>
      </c>
      <c r="AG857" s="405" t="s">
        <v>1069</v>
      </c>
      <c r="AH857" s="405">
        <v>100</v>
      </c>
      <c r="AI857" s="405">
        <v>0</v>
      </c>
      <c r="AJ857" s="406" t="s">
        <v>1558</v>
      </c>
      <c r="AK857" s="406" t="s">
        <v>50</v>
      </c>
      <c r="AL857" s="414">
        <v>92010</v>
      </c>
      <c r="AM857" s="405" t="s">
        <v>52</v>
      </c>
      <c r="AN857" s="361" t="s">
        <v>50</v>
      </c>
      <c r="AO857" s="405" t="s">
        <v>1073</v>
      </c>
      <c r="AP857" s="413" t="s">
        <v>92</v>
      </c>
      <c r="AQ857" s="405" t="s">
        <v>37</v>
      </c>
      <c r="AR857" s="405" t="s">
        <v>1188</v>
      </c>
      <c r="AS857" s="404"/>
      <c r="AT857" s="404"/>
      <c r="AU857" s="409">
        <f>212/400</f>
        <v>0.53</v>
      </c>
      <c r="AV857" s="402"/>
      <c r="AW857" s="402"/>
      <c r="AX857" s="402"/>
      <c r="AY857" s="402"/>
      <c r="AZ857" s="402"/>
      <c r="BA857" s="402"/>
      <c r="BB857" s="402"/>
      <c r="BC857" s="402"/>
    </row>
    <row r="858" spans="1:55">
      <c r="A858" s="426" t="s">
        <v>4585</v>
      </c>
      <c r="B858" s="376">
        <v>44641</v>
      </c>
      <c r="C858" s="376"/>
      <c r="D858" s="416" t="s">
        <v>86</v>
      </c>
      <c r="E858" s="405" t="s">
        <v>4593</v>
      </c>
      <c r="F858" s="417"/>
      <c r="G858" s="359">
        <v>2022</v>
      </c>
      <c r="H858" s="405">
        <v>5</v>
      </c>
      <c r="I858" s="405"/>
      <c r="J858" s="406"/>
      <c r="K858" s="405">
        <v>1157</v>
      </c>
      <c r="L858" s="405" t="s">
        <v>1556</v>
      </c>
      <c r="M858" s="406">
        <v>44488</v>
      </c>
      <c r="N858" s="406">
        <v>44621</v>
      </c>
      <c r="O858" s="406"/>
      <c r="P858" s="406">
        <v>44692</v>
      </c>
      <c r="Q858" s="406"/>
      <c r="R858" s="406"/>
      <c r="S858" s="405" t="s">
        <v>1510</v>
      </c>
      <c r="T858" s="405">
        <v>60</v>
      </c>
      <c r="U858" s="417" t="s">
        <v>1237</v>
      </c>
      <c r="V858" s="405" t="s">
        <v>1970</v>
      </c>
      <c r="W858" s="405">
        <v>400</v>
      </c>
      <c r="X858" s="382">
        <v>832</v>
      </c>
      <c r="Y858" s="365">
        <f t="shared" si="188"/>
        <v>332800</v>
      </c>
      <c r="Z858" s="409">
        <f>224/400</f>
        <v>0.56000000000000005</v>
      </c>
      <c r="AA858" s="411">
        <f t="shared" si="189"/>
        <v>186368.00000000003</v>
      </c>
      <c r="AB858" s="411"/>
      <c r="AC858" s="412">
        <f>AB858*Y858</f>
        <v>0</v>
      </c>
      <c r="AD858" s="405"/>
      <c r="AE858" s="405"/>
      <c r="AF858" s="424">
        <f>AE858+AD858+AA858</f>
        <v>186368.00000000003</v>
      </c>
      <c r="AG858" s="405" t="s">
        <v>1069</v>
      </c>
      <c r="AH858" s="405">
        <v>100</v>
      </c>
      <c r="AI858" s="405">
        <v>0</v>
      </c>
      <c r="AJ858" s="406" t="s">
        <v>1558</v>
      </c>
      <c r="AK858" s="406" t="s">
        <v>50</v>
      </c>
      <c r="AL858" s="414">
        <v>92010</v>
      </c>
      <c r="AM858" s="405" t="s">
        <v>52</v>
      </c>
      <c r="AN858" s="361" t="s">
        <v>50</v>
      </c>
      <c r="AO858" s="405" t="s">
        <v>1073</v>
      </c>
      <c r="AP858" s="413" t="s">
        <v>92</v>
      </c>
      <c r="AQ858" s="405" t="s">
        <v>37</v>
      </c>
      <c r="AR858" s="405" t="s">
        <v>1188</v>
      </c>
      <c r="AS858" s="404"/>
      <c r="AT858" s="404"/>
      <c r="AU858" s="409">
        <f>212/400</f>
        <v>0.53</v>
      </c>
      <c r="AV858" s="402" t="str">
        <f>U858</f>
        <v>30390456H</v>
      </c>
      <c r="AW858" s="402" cm="1">
        <f t="array" ref="AW858">SUM(MID(0&amp;AV858,LARGE(INDEX(ISNUMBER(--MID(AV858,ROW($1:$8),1))*ROW($1:$8),),ROW($1:$8))+1,1)*10^ROW($1:$8)/10)</f>
        <v>30390456</v>
      </c>
      <c r="AX858" s="402" t="str">
        <f>VLOOKUP($AW858,'Item Master Data'!$A:$F,3,FALSE)</f>
        <v>Q.PEAK DUO BLK ML G10+</v>
      </c>
      <c r="AY858" s="402">
        <f>VLOOKUP($AW858,'Item Master Data'!$A:$F,6,FALSE)</f>
        <v>400</v>
      </c>
      <c r="AZ858" s="402">
        <f>X858/BA858</f>
        <v>26</v>
      </c>
      <c r="BA858" s="402">
        <f>VLOOKUP(AW858,'Item Master Data'!$A:$G,7,FALSE)</f>
        <v>32</v>
      </c>
      <c r="BB858" s="402"/>
      <c r="BC858" s="402">
        <f>W858-AY858</f>
        <v>0</v>
      </c>
    </row>
    <row r="859" spans="1:55">
      <c r="A859" s="426"/>
      <c r="B859" s="376">
        <v>44581</v>
      </c>
      <c r="C859" s="376"/>
      <c r="D859" s="416" t="s">
        <v>86</v>
      </c>
      <c r="E859" s="405" t="s">
        <v>1273</v>
      </c>
      <c r="F859" s="417"/>
      <c r="G859" s="359">
        <v>2022</v>
      </c>
      <c r="H859" s="405">
        <v>6</v>
      </c>
      <c r="I859" s="405">
        <v>2005217</v>
      </c>
      <c r="J859" s="406"/>
      <c r="K859" s="405" t="s">
        <v>1904</v>
      </c>
      <c r="L859" s="405" t="s">
        <v>1905</v>
      </c>
      <c r="M859" s="406">
        <v>44491</v>
      </c>
      <c r="N859" s="406">
        <v>44630</v>
      </c>
      <c r="O859" s="406"/>
      <c r="P859" s="406" t="s">
        <v>1509</v>
      </c>
      <c r="Q859" s="406"/>
      <c r="R859" s="406"/>
      <c r="S859" s="405" t="s">
        <v>1510</v>
      </c>
      <c r="T859" s="405">
        <v>72</v>
      </c>
      <c r="U859" s="417"/>
      <c r="V859" s="405" t="s">
        <v>1068</v>
      </c>
      <c r="W859" s="405">
        <v>475</v>
      </c>
      <c r="X859" s="382">
        <v>1073</v>
      </c>
      <c r="Y859" s="365">
        <f t="shared" si="188"/>
        <v>509675</v>
      </c>
      <c r="Z859" s="409">
        <f>223.25/475</f>
        <v>0.47</v>
      </c>
      <c r="AA859" s="411">
        <f t="shared" si="189"/>
        <v>239547.25</v>
      </c>
      <c r="AB859" s="411"/>
      <c r="AC859" s="412">
        <f>AB859*Y859</f>
        <v>0</v>
      </c>
      <c r="AD859" s="405"/>
      <c r="AE859" s="405"/>
      <c r="AF859" s="424">
        <f>AE859+AD859+AA859</f>
        <v>239547.25</v>
      </c>
      <c r="AG859" s="405" t="s">
        <v>1069</v>
      </c>
      <c r="AH859" s="405">
        <v>100</v>
      </c>
      <c r="AI859" s="405"/>
      <c r="AJ859" s="406" t="s">
        <v>1906</v>
      </c>
      <c r="AK859" s="406" t="s">
        <v>50</v>
      </c>
      <c r="AL859" s="414" t="s">
        <v>1907</v>
      </c>
      <c r="AM859" s="405" t="s">
        <v>52</v>
      </c>
      <c r="AN859" s="361" t="s">
        <v>1071</v>
      </c>
      <c r="AO859" s="405" t="s">
        <v>1073</v>
      </c>
      <c r="AP859" s="413"/>
      <c r="AQ859" s="405" t="s">
        <v>1083</v>
      </c>
      <c r="AR859" s="405"/>
      <c r="AS859" s="404"/>
      <c r="AT859" s="404"/>
      <c r="AU859" s="409"/>
      <c r="AV859" s="402"/>
      <c r="AW859" s="402"/>
      <c r="AX859" s="402"/>
      <c r="AY859" s="402"/>
      <c r="AZ859" s="402"/>
      <c r="BA859" s="402"/>
      <c r="BB859" s="402"/>
      <c r="BC859" s="402"/>
    </row>
    <row r="860" spans="1:55">
      <c r="A860" s="426"/>
      <c r="B860" s="376">
        <v>44642</v>
      </c>
      <c r="C860" s="376">
        <v>44642</v>
      </c>
      <c r="D860" s="416" t="s">
        <v>86</v>
      </c>
      <c r="E860" s="405"/>
      <c r="F860" s="417"/>
      <c r="G860" s="359">
        <v>2022</v>
      </c>
      <c r="H860" s="405">
        <v>5</v>
      </c>
      <c r="I860" s="405"/>
      <c r="J860" s="406">
        <v>44686</v>
      </c>
      <c r="K860" s="405" t="s">
        <v>1889</v>
      </c>
      <c r="L860" s="405" t="s">
        <v>1556</v>
      </c>
      <c r="M860" s="406">
        <v>44566</v>
      </c>
      <c r="N860" s="406">
        <v>44603</v>
      </c>
      <c r="O860" s="406"/>
      <c r="P860" s="406">
        <v>44677</v>
      </c>
      <c r="Q860" s="406">
        <v>44686</v>
      </c>
      <c r="R860" s="406">
        <v>44686</v>
      </c>
      <c r="S860" s="405" t="s">
        <v>1510</v>
      </c>
      <c r="T860" s="405">
        <v>60</v>
      </c>
      <c r="U860" s="417" t="s">
        <v>1769</v>
      </c>
      <c r="V860" s="405" t="s">
        <v>691</v>
      </c>
      <c r="W860" s="405">
        <v>340</v>
      </c>
      <c r="X860" s="382">
        <v>832</v>
      </c>
      <c r="Y860" s="365">
        <f t="shared" si="188"/>
        <v>282880</v>
      </c>
      <c r="Z860" s="409">
        <f>158.1/340</f>
        <v>0.46499999999999997</v>
      </c>
      <c r="AA860" s="411">
        <f t="shared" si="189"/>
        <v>131539.19999999998</v>
      </c>
      <c r="AB860" s="411"/>
      <c r="AC860" s="412">
        <f>AB860*Y860</f>
        <v>0</v>
      </c>
      <c r="AD860" s="405"/>
      <c r="AE860" s="405"/>
      <c r="AF860" s="424">
        <f>AE860+AD860+AA860</f>
        <v>131539.19999999998</v>
      </c>
      <c r="AG860" s="405" t="s">
        <v>1069</v>
      </c>
      <c r="AH860" s="405">
        <v>100</v>
      </c>
      <c r="AI860" s="405">
        <v>0</v>
      </c>
      <c r="AJ860" s="406" t="s">
        <v>1610</v>
      </c>
      <c r="AK860" s="406" t="s">
        <v>50</v>
      </c>
      <c r="AL860" s="414" t="s">
        <v>1611</v>
      </c>
      <c r="AM860" s="405" t="s">
        <v>52</v>
      </c>
      <c r="AN860" s="361" t="s">
        <v>50</v>
      </c>
      <c r="AO860" s="405" t="s">
        <v>1073</v>
      </c>
      <c r="AP860" s="413" t="s">
        <v>38</v>
      </c>
      <c r="AQ860" s="405" t="s">
        <v>37</v>
      </c>
      <c r="AR860" s="405" t="s">
        <v>1188</v>
      </c>
      <c r="AS860" s="404"/>
      <c r="AT860" s="404"/>
      <c r="AU860" s="409">
        <f>158.1/340</f>
        <v>0.46499999999999997</v>
      </c>
      <c r="AV860" s="402" t="str">
        <f>U860</f>
        <v>30376609C</v>
      </c>
      <c r="AW860" s="402" cm="1">
        <f t="array" ref="AW860">SUM(MID(0&amp;AV860,LARGE(INDEX(ISNUMBER(--MID(AV860,ROW($1:$8),1))*ROW($1:$8),),ROW($1:$8))+1,1)*10^ROW($1:$8)/10)</f>
        <v>30376609</v>
      </c>
      <c r="AX860" s="402" t="str">
        <f>VLOOKUP($AW860,'Item Master Data'!$A:$F,3,FALSE)</f>
        <v>Q.PEAK DUO BLK G6+</v>
      </c>
      <c r="AY860" s="402">
        <f>VLOOKUP($AW860,'Item Master Data'!$A:$F,6,FALSE)</f>
        <v>340</v>
      </c>
      <c r="AZ860" s="402">
        <f>X860/BA860</f>
        <v>26</v>
      </c>
      <c r="BA860" s="402">
        <f>VLOOKUP(AW860,'Item Master Data'!$A:$G,7,FALSE)</f>
        <v>32</v>
      </c>
      <c r="BB860" s="402"/>
      <c r="BC860" s="402">
        <f>W860-AY860</f>
        <v>0</v>
      </c>
    </row>
    <row r="861" spans="1:55">
      <c r="A861" s="426"/>
      <c r="B861" s="376"/>
      <c r="C861" s="376"/>
      <c r="D861" s="416" t="s">
        <v>86</v>
      </c>
      <c r="E861" s="405" t="s">
        <v>1838</v>
      </c>
      <c r="F861" s="417"/>
      <c r="G861" s="359">
        <v>2022</v>
      </c>
      <c r="H861" s="405">
        <v>6</v>
      </c>
      <c r="I861" s="405"/>
      <c r="J861" s="406"/>
      <c r="K861" s="405" t="s">
        <v>4276</v>
      </c>
      <c r="L861" s="405" t="s">
        <v>1561</v>
      </c>
      <c r="M861" s="406">
        <v>44671</v>
      </c>
      <c r="N861" s="406">
        <v>44671</v>
      </c>
      <c r="O861" s="406"/>
      <c r="P861" s="406"/>
      <c r="Q861" s="406"/>
      <c r="R861" s="406"/>
      <c r="S861" s="405" t="s">
        <v>88</v>
      </c>
      <c r="T861" s="405">
        <v>72</v>
      </c>
      <c r="U861" s="417"/>
      <c r="V861" s="405" t="s">
        <v>1002</v>
      </c>
      <c r="W861" s="405">
        <v>480</v>
      </c>
      <c r="X861" s="382">
        <v>638</v>
      </c>
      <c r="Y861" s="365">
        <f t="shared" si="188"/>
        <v>306240</v>
      </c>
      <c r="Z861" s="409">
        <f>235.2/480</f>
        <v>0.49</v>
      </c>
      <c r="AA861" s="411">
        <f t="shared" si="189"/>
        <v>150057.60000000001</v>
      </c>
      <c r="AB861" s="411"/>
      <c r="AC861" s="412"/>
      <c r="AD861" s="405"/>
      <c r="AE861" s="405"/>
      <c r="AF861" s="424">
        <f>AE861+AD861+AA861</f>
        <v>150057.60000000001</v>
      </c>
      <c r="AG861" s="405" t="s">
        <v>1069</v>
      </c>
      <c r="AH861" s="405"/>
      <c r="AI861" s="405">
        <v>60</v>
      </c>
      <c r="AJ861" s="406" t="s">
        <v>1563</v>
      </c>
      <c r="AK861" s="406" t="s">
        <v>50</v>
      </c>
      <c r="AL861" s="414">
        <v>93305</v>
      </c>
      <c r="AM861" s="405" t="s">
        <v>52</v>
      </c>
      <c r="AN861" s="361" t="s">
        <v>1071</v>
      </c>
      <c r="AO861" s="405" t="s">
        <v>1073</v>
      </c>
      <c r="AP861" s="413"/>
      <c r="AQ861" s="405" t="s">
        <v>37</v>
      </c>
      <c r="AR861" s="405" t="s">
        <v>1499</v>
      </c>
      <c r="AS861" s="404"/>
      <c r="AT861" s="404"/>
      <c r="AU861" s="409">
        <v>0.45500000000000002</v>
      </c>
      <c r="AV861" s="402">
        <f>U861</f>
        <v>0</v>
      </c>
      <c r="AW861" s="402" cm="1">
        <f t="array" ref="AW861">SUM(MID(0&amp;AV861,LARGE(INDEX(ISNUMBER(--MID(AV861,ROW($1:$8),1))*ROW($1:$8),),ROW($1:$8))+1,1)*10^ROW($1:$8)/10)</f>
        <v>0</v>
      </c>
      <c r="AX861" s="402" t="e">
        <f>VLOOKUP($AW861,'Item Master Data'!$A:$F,3,FALSE)</f>
        <v>#N/A</v>
      </c>
      <c r="AY861" s="402" t="e">
        <f>VLOOKUP($AW861,'Item Master Data'!$A:$F,6,FALSE)</f>
        <v>#N/A</v>
      </c>
      <c r="AZ861" s="402" t="e">
        <f>X861/BA861</f>
        <v>#N/A</v>
      </c>
      <c r="BA861" s="402" t="e">
        <f>VLOOKUP(AW861,'Item Master Data'!$A:$G,7,FALSE)</f>
        <v>#N/A</v>
      </c>
      <c r="BB861" s="402"/>
      <c r="BC861" s="402" t="e">
        <f>W861-AY861</f>
        <v>#N/A</v>
      </c>
    </row>
    <row r="862" spans="1:55">
      <c r="A862" s="426"/>
      <c r="B862" s="376">
        <v>44589</v>
      </c>
      <c r="C862" s="376">
        <v>44589</v>
      </c>
      <c r="D862" s="416" t="s">
        <v>86</v>
      </c>
      <c r="E862" s="405"/>
      <c r="F862" s="417" t="s">
        <v>87</v>
      </c>
      <c r="G862" s="359">
        <v>2022</v>
      </c>
      <c r="H862" s="405">
        <v>6</v>
      </c>
      <c r="I862" s="405"/>
      <c r="J862" s="406"/>
      <c r="K862" s="405" t="s">
        <v>1651</v>
      </c>
      <c r="L862" s="405" t="s">
        <v>1608</v>
      </c>
      <c r="M862" s="406">
        <v>44924</v>
      </c>
      <c r="N862" s="406">
        <v>44710</v>
      </c>
      <c r="O862" s="406"/>
      <c r="P862" s="406"/>
      <c r="Q862" s="406"/>
      <c r="R862" s="406"/>
      <c r="S862" s="405" t="s">
        <v>88</v>
      </c>
      <c r="T862" s="405">
        <v>72</v>
      </c>
      <c r="U862" s="417">
        <v>49303156</v>
      </c>
      <c r="V862" s="405" t="s">
        <v>1068</v>
      </c>
      <c r="W862" s="405">
        <v>480</v>
      </c>
      <c r="X862" s="382">
        <v>638</v>
      </c>
      <c r="Y862" s="365">
        <f t="shared" si="188"/>
        <v>306240</v>
      </c>
      <c r="Z862" s="409">
        <f>225.6/480</f>
        <v>0.47</v>
      </c>
      <c r="AA862" s="411">
        <f t="shared" si="189"/>
        <v>143932.79999999999</v>
      </c>
      <c r="AB862" s="411"/>
      <c r="AC862" s="412">
        <v>0</v>
      </c>
      <c r="AD862" s="405"/>
      <c r="AE862" s="405"/>
      <c r="AF862" s="424">
        <v>157017.59999999998</v>
      </c>
      <c r="AG862" s="405" t="s">
        <v>1069</v>
      </c>
      <c r="AH862" s="405"/>
      <c r="AI862" s="405">
        <v>60</v>
      </c>
      <c r="AJ862" s="406" t="s">
        <v>1616</v>
      </c>
      <c r="AK862" s="406" t="s">
        <v>50</v>
      </c>
      <c r="AL862" s="414">
        <v>93703</v>
      </c>
      <c r="AM862" s="405" t="s">
        <v>52</v>
      </c>
      <c r="AN862" s="361" t="s">
        <v>1516</v>
      </c>
      <c r="AO862" s="405" t="s">
        <v>1073</v>
      </c>
      <c r="AP862" s="413"/>
      <c r="AQ862" s="405" t="s">
        <v>1083</v>
      </c>
      <c r="AR862" s="405"/>
      <c r="AS862" s="404" t="s">
        <v>1392</v>
      </c>
      <c r="AT862" s="404"/>
      <c r="AU862" s="409"/>
      <c r="AV862" s="402">
        <f>U862</f>
        <v>49303156</v>
      </c>
      <c r="AW862" s="402" cm="1">
        <f t="array" ref="AW862">SUM(MID(0&amp;AV862,LARGE(INDEX(ISNUMBER(--MID(AV862,ROW($1:$8),1))*ROW($1:$8),),ROW($1:$8))+1,1)*10^ROW($1:$8)/10)</f>
        <v>49303156</v>
      </c>
      <c r="AX862" s="402" t="str">
        <f>VLOOKUP($AW862,'Item Master Data'!$A:$F,3,FALSE)</f>
        <v>Q.PEAK DUO XL G10 BFG</v>
      </c>
      <c r="AY862" s="402">
        <f>VLOOKUP($AW862,'Item Master Data'!$A:$F,6,FALSE)</f>
        <v>480</v>
      </c>
      <c r="AZ862" s="402">
        <f>X862/BA862</f>
        <v>22</v>
      </c>
      <c r="BA862" s="402">
        <f>VLOOKUP(AW862,'Item Master Data'!$A:$G,7,FALSE)</f>
        <v>29</v>
      </c>
      <c r="BB862" s="402"/>
      <c r="BC862" s="402">
        <f>W862-AY862</f>
        <v>0</v>
      </c>
    </row>
    <row r="863" spans="1:55">
      <c r="A863" s="426"/>
      <c r="B863" s="376">
        <v>44589</v>
      </c>
      <c r="C863" s="376">
        <v>44589</v>
      </c>
      <c r="D863" s="416" t="s">
        <v>86</v>
      </c>
      <c r="E863" s="405"/>
      <c r="F863" s="417" t="s">
        <v>87</v>
      </c>
      <c r="G863" s="359">
        <v>2022</v>
      </c>
      <c r="H863" s="405">
        <v>6</v>
      </c>
      <c r="I863" s="405"/>
      <c r="J863" s="406"/>
      <c r="K863" s="405" t="s">
        <v>1652</v>
      </c>
      <c r="L863" s="405" t="s">
        <v>1608</v>
      </c>
      <c r="M863" s="406">
        <v>44592</v>
      </c>
      <c r="N863" s="406">
        <v>44696</v>
      </c>
      <c r="O863" s="406"/>
      <c r="P863" s="406"/>
      <c r="Q863" s="406"/>
      <c r="R863" s="406"/>
      <c r="S863" s="405" t="s">
        <v>88</v>
      </c>
      <c r="T863" s="405">
        <v>72</v>
      </c>
      <c r="U863" s="417">
        <v>49303156</v>
      </c>
      <c r="V863" s="405" t="s">
        <v>995</v>
      </c>
      <c r="W863" s="405">
        <v>480</v>
      </c>
      <c r="X863" s="382">
        <v>638</v>
      </c>
      <c r="Y863" s="365">
        <f t="shared" si="188"/>
        <v>306240</v>
      </c>
      <c r="Z863" s="409">
        <f>235.2/480</f>
        <v>0.49</v>
      </c>
      <c r="AA863" s="411">
        <f t="shared" si="189"/>
        <v>150057.60000000001</v>
      </c>
      <c r="AB863" s="411"/>
      <c r="AC863" s="412">
        <v>0</v>
      </c>
      <c r="AD863" s="405"/>
      <c r="AE863" s="405"/>
      <c r="AF863" s="424">
        <v>157017.59999999998</v>
      </c>
      <c r="AG863" s="405" t="s">
        <v>1069</v>
      </c>
      <c r="AH863" s="405"/>
      <c r="AI863" s="405">
        <v>60</v>
      </c>
      <c r="AJ863" s="406" t="s">
        <v>1616</v>
      </c>
      <c r="AK863" s="406" t="s">
        <v>50</v>
      </c>
      <c r="AL863" s="414">
        <v>93703</v>
      </c>
      <c r="AM863" s="405" t="s">
        <v>52</v>
      </c>
      <c r="AN863" s="361" t="s">
        <v>1516</v>
      </c>
      <c r="AO863" s="405" t="s">
        <v>1073</v>
      </c>
      <c r="AP863" s="413"/>
      <c r="AQ863" s="405" t="s">
        <v>37</v>
      </c>
      <c r="AR863" s="405"/>
      <c r="AS863" s="404" t="s">
        <v>1392</v>
      </c>
      <c r="AT863" s="404"/>
      <c r="AU863" s="409"/>
      <c r="AV863" s="402">
        <f>U863</f>
        <v>49303156</v>
      </c>
      <c r="AW863" s="402" cm="1">
        <f t="array" ref="AW863">SUM(MID(0&amp;AV863,LARGE(INDEX(ISNUMBER(--MID(AV863,ROW($1:$8),1))*ROW($1:$8),),ROW($1:$8))+1,1)*10^ROW($1:$8)/10)</f>
        <v>49303156</v>
      </c>
      <c r="AX863" s="402" t="str">
        <f>VLOOKUP($AW863,'Item Master Data'!$A:$F,3,FALSE)</f>
        <v>Q.PEAK DUO XL G10 BFG</v>
      </c>
      <c r="AY863" s="402">
        <f>VLOOKUP($AW863,'Item Master Data'!$A:$F,6,FALSE)</f>
        <v>480</v>
      </c>
      <c r="AZ863" s="402">
        <f>X863/BA863</f>
        <v>22</v>
      </c>
      <c r="BA863" s="402">
        <f>VLOOKUP(AW863,'Item Master Data'!$A:$G,7,FALSE)</f>
        <v>29</v>
      </c>
      <c r="BB863" s="402"/>
      <c r="BC863" s="402">
        <f>W863-AY863</f>
        <v>0</v>
      </c>
    </row>
    <row r="864" spans="1:55">
      <c r="A864" s="426"/>
      <c r="B864" s="376">
        <v>44662</v>
      </c>
      <c r="C864" s="376">
        <v>44662</v>
      </c>
      <c r="D864" s="416" t="s">
        <v>86</v>
      </c>
      <c r="E864" s="405" t="s">
        <v>1639</v>
      </c>
      <c r="F864" s="417"/>
      <c r="G864" s="359">
        <v>2022</v>
      </c>
      <c r="H864" s="405">
        <v>6</v>
      </c>
      <c r="I864" s="405"/>
      <c r="J864" s="406"/>
      <c r="K864" s="405" t="s">
        <v>1640</v>
      </c>
      <c r="L864" s="405" t="s">
        <v>1626</v>
      </c>
      <c r="M864" s="406">
        <v>44657</v>
      </c>
      <c r="N864" s="406">
        <v>44657</v>
      </c>
      <c r="O864" s="406"/>
      <c r="P864" s="406" t="s">
        <v>1641</v>
      </c>
      <c r="Q864" s="406"/>
      <c r="R864" s="406"/>
      <c r="S864" s="405" t="s">
        <v>1510</v>
      </c>
      <c r="T864" s="405">
        <v>72</v>
      </c>
      <c r="U864" s="417"/>
      <c r="V864" s="405" t="s">
        <v>1068</v>
      </c>
      <c r="W864" s="405">
        <v>480</v>
      </c>
      <c r="X864" s="382">
        <v>638</v>
      </c>
      <c r="Y864" s="365">
        <f t="shared" si="188"/>
        <v>306240</v>
      </c>
      <c r="Z864" s="409">
        <f>252/480</f>
        <v>0.52500000000000002</v>
      </c>
      <c r="AA864" s="411">
        <f t="shared" si="189"/>
        <v>160776</v>
      </c>
      <c r="AB864" s="411"/>
      <c r="AC864" s="412">
        <f t="shared" ref="AC864:AC870" si="195">AB864*Y864</f>
        <v>0</v>
      </c>
      <c r="AD864" s="405"/>
      <c r="AE864" s="405"/>
      <c r="AF864" s="424">
        <f t="shared" ref="AF864:AF870" si="196">AE864+AD864+AA864</f>
        <v>160776</v>
      </c>
      <c r="AG864" s="405" t="s">
        <v>1069</v>
      </c>
      <c r="AH864" s="405"/>
      <c r="AI864" s="405">
        <v>60</v>
      </c>
      <c r="AJ864" s="406" t="s">
        <v>1628</v>
      </c>
      <c r="AK864" s="406" t="s">
        <v>1501</v>
      </c>
      <c r="AL864" s="414" t="s">
        <v>1629</v>
      </c>
      <c r="AM864" s="405" t="s">
        <v>52</v>
      </c>
      <c r="AN864" s="361" t="s">
        <v>1071</v>
      </c>
      <c r="AO864" s="405" t="s">
        <v>1073</v>
      </c>
      <c r="AP864" s="413"/>
      <c r="AQ864" s="405" t="s">
        <v>37</v>
      </c>
      <c r="AR864" s="405" t="s">
        <v>1632</v>
      </c>
      <c r="AS864" s="404" t="s">
        <v>1072</v>
      </c>
      <c r="AT864" s="404"/>
      <c r="AU864" s="409">
        <f>187.2/360</f>
        <v>0.52</v>
      </c>
      <c r="AV864" s="402">
        <f>U864</f>
        <v>0</v>
      </c>
      <c r="AW864" s="402" cm="1">
        <f t="array" ref="AW864">SUM(MID(0&amp;AV864,LARGE(INDEX(ISNUMBER(--MID(AV864,ROW($1:$8),1))*ROW($1:$8),),ROW($1:$8))+1,1)*10^ROW($1:$8)/10)</f>
        <v>0</v>
      </c>
      <c r="AX864" s="402" t="e">
        <f>VLOOKUP($AW864,'Item Master Data'!$A:$F,3,FALSE)</f>
        <v>#N/A</v>
      </c>
      <c r="AY864" s="402" t="e">
        <f>VLOOKUP($AW864,'Item Master Data'!$A:$F,6,FALSE)</f>
        <v>#N/A</v>
      </c>
      <c r="AZ864" s="402" t="e">
        <f>X864/BA864</f>
        <v>#N/A</v>
      </c>
      <c r="BA864" s="402" t="e">
        <f>VLOOKUP(AW864,'Item Master Data'!$A:$G,7,FALSE)</f>
        <v>#N/A</v>
      </c>
      <c r="BB864" s="402"/>
      <c r="BC864" s="402" t="e">
        <f>W864-AY864</f>
        <v>#N/A</v>
      </c>
    </row>
    <row r="865" spans="1:55">
      <c r="A865" s="426"/>
      <c r="B865" s="376">
        <v>44924</v>
      </c>
      <c r="C865" s="376">
        <v>44924</v>
      </c>
      <c r="D865" s="416" t="s">
        <v>86</v>
      </c>
      <c r="E865" s="405"/>
      <c r="F865" s="417" t="s">
        <v>87</v>
      </c>
      <c r="G865" s="359">
        <v>2022</v>
      </c>
      <c r="H865" s="405">
        <v>6</v>
      </c>
      <c r="I865" s="405"/>
      <c r="J865" s="406"/>
      <c r="K865" s="405" t="s">
        <v>1710</v>
      </c>
      <c r="L865" s="405" t="s">
        <v>1711</v>
      </c>
      <c r="M865" s="406">
        <v>44488</v>
      </c>
      <c r="N865" s="406">
        <v>44578</v>
      </c>
      <c r="O865" s="406">
        <v>44634</v>
      </c>
      <c r="P865" s="406"/>
      <c r="Q865" s="406"/>
      <c r="R865" s="406"/>
      <c r="S865" s="405" t="s">
        <v>1510</v>
      </c>
      <c r="T865" s="405">
        <v>72</v>
      </c>
      <c r="U865" s="417"/>
      <c r="V865" s="405" t="s">
        <v>1068</v>
      </c>
      <c r="W865" s="405">
        <v>480</v>
      </c>
      <c r="X865" s="382">
        <v>1276</v>
      </c>
      <c r="Y865" s="365">
        <f t="shared" si="188"/>
        <v>612480</v>
      </c>
      <c r="Z865" s="409">
        <f>240/480</f>
        <v>0.5</v>
      </c>
      <c r="AA865" s="411">
        <f t="shared" si="189"/>
        <v>306240</v>
      </c>
      <c r="AB865" s="411"/>
      <c r="AC865" s="412">
        <f t="shared" si="195"/>
        <v>0</v>
      </c>
      <c r="AD865" s="405"/>
      <c r="AE865" s="405"/>
      <c r="AF865" s="424">
        <f t="shared" si="196"/>
        <v>306240</v>
      </c>
      <c r="AG865" s="405" t="s">
        <v>1069</v>
      </c>
      <c r="AH865" s="405"/>
      <c r="AI865" s="405">
        <v>60</v>
      </c>
      <c r="AJ865" s="406" t="s">
        <v>1712</v>
      </c>
      <c r="AK865" s="406" t="s">
        <v>50</v>
      </c>
      <c r="AL865" s="414" t="s">
        <v>1713</v>
      </c>
      <c r="AM865" s="405" t="s">
        <v>52</v>
      </c>
      <c r="AN865" s="361" t="s">
        <v>50</v>
      </c>
      <c r="AO865" s="405" t="s">
        <v>1073</v>
      </c>
      <c r="AP865" s="413" t="s">
        <v>92</v>
      </c>
      <c r="AQ865" s="405" t="s">
        <v>37</v>
      </c>
      <c r="AR865" s="405"/>
      <c r="AS865" s="404"/>
      <c r="AT865" s="404"/>
      <c r="AU865" s="409"/>
      <c r="AV865" s="402"/>
      <c r="AW865" s="402"/>
      <c r="AX865" s="402"/>
      <c r="AY865" s="402"/>
      <c r="AZ865" s="402"/>
      <c r="BA865" s="402"/>
      <c r="BB865" s="402"/>
      <c r="BC865" s="402"/>
    </row>
    <row r="866" spans="1:55">
      <c r="A866" s="426"/>
      <c r="B866" s="376">
        <v>44581</v>
      </c>
      <c r="C866" s="376">
        <v>44581</v>
      </c>
      <c r="D866" s="416" t="s">
        <v>86</v>
      </c>
      <c r="E866" s="405"/>
      <c r="F866" s="417" t="s">
        <v>87</v>
      </c>
      <c r="G866" s="359">
        <v>2022</v>
      </c>
      <c r="H866" s="405">
        <v>6</v>
      </c>
      <c r="I866" s="405"/>
      <c r="J866" s="406"/>
      <c r="K866" s="405" t="s">
        <v>1714</v>
      </c>
      <c r="L866" s="405" t="s">
        <v>1711</v>
      </c>
      <c r="M866" s="406">
        <v>44488</v>
      </c>
      <c r="N866" s="406">
        <v>44613</v>
      </c>
      <c r="O866" s="406">
        <v>44648</v>
      </c>
      <c r="P866" s="406"/>
      <c r="Q866" s="406"/>
      <c r="R866" s="406"/>
      <c r="S866" s="405" t="s">
        <v>1510</v>
      </c>
      <c r="T866" s="405">
        <v>72</v>
      </c>
      <c r="U866" s="417"/>
      <c r="V866" s="405" t="s">
        <v>1068</v>
      </c>
      <c r="W866" s="405">
        <v>480</v>
      </c>
      <c r="X866" s="382">
        <v>638</v>
      </c>
      <c r="Y866" s="365">
        <f t="shared" si="188"/>
        <v>306240</v>
      </c>
      <c r="Z866" s="409">
        <f>240/480</f>
        <v>0.5</v>
      </c>
      <c r="AA866" s="411">
        <f t="shared" si="189"/>
        <v>153120</v>
      </c>
      <c r="AB866" s="411"/>
      <c r="AC866" s="412">
        <f t="shared" si="195"/>
        <v>0</v>
      </c>
      <c r="AD866" s="405"/>
      <c r="AE866" s="405"/>
      <c r="AF866" s="424">
        <f t="shared" si="196"/>
        <v>153120</v>
      </c>
      <c r="AG866" s="405" t="s">
        <v>1069</v>
      </c>
      <c r="AH866" s="405"/>
      <c r="AI866" s="405">
        <v>60</v>
      </c>
      <c r="AJ866" s="406" t="s">
        <v>1712</v>
      </c>
      <c r="AK866" s="406" t="s">
        <v>50</v>
      </c>
      <c r="AL866" s="414" t="s">
        <v>1713</v>
      </c>
      <c r="AM866" s="405" t="s">
        <v>52</v>
      </c>
      <c r="AN866" s="361" t="s">
        <v>50</v>
      </c>
      <c r="AO866" s="405" t="s">
        <v>1073</v>
      </c>
      <c r="AP866" s="413" t="s">
        <v>92</v>
      </c>
      <c r="AQ866" s="405" t="s">
        <v>37</v>
      </c>
      <c r="AR866" s="405"/>
      <c r="AS866" s="404"/>
      <c r="AT866" s="404"/>
      <c r="AU866" s="409"/>
      <c r="AV866" s="402">
        <f>U866</f>
        <v>0</v>
      </c>
      <c r="AW866" s="402" cm="1">
        <f t="array" ref="AW866">SUM(MID(0&amp;AV866,LARGE(INDEX(ISNUMBER(--MID(AV866,ROW($1:$8),1))*ROW($1:$8),),ROW($1:$8))+1,1)*10^ROW($1:$8)/10)</f>
        <v>0</v>
      </c>
      <c r="AX866" s="402" t="e">
        <f>VLOOKUP($AW866,'Item Master Data'!$A:$F,3,FALSE)</f>
        <v>#N/A</v>
      </c>
      <c r="AY866" s="402" t="e">
        <f>VLOOKUP($AW866,'Item Master Data'!$A:$F,6,FALSE)</f>
        <v>#N/A</v>
      </c>
      <c r="AZ866" s="402" t="e">
        <f>X866/BA866</f>
        <v>#N/A</v>
      </c>
      <c r="BA866" s="402" t="e">
        <f>VLOOKUP(AW866,'Item Master Data'!$A:$G,7,FALSE)</f>
        <v>#N/A</v>
      </c>
      <c r="BB866" s="402"/>
      <c r="BC866" s="402" t="e">
        <f>W866-AY866</f>
        <v>#N/A</v>
      </c>
    </row>
    <row r="867" spans="1:55">
      <c r="A867" s="426"/>
      <c r="B867" s="376"/>
      <c r="C867" s="376"/>
      <c r="D867" s="416" t="s">
        <v>86</v>
      </c>
      <c r="E867" s="405"/>
      <c r="F867" s="417" t="s">
        <v>87</v>
      </c>
      <c r="G867" s="359">
        <v>2022</v>
      </c>
      <c r="H867" s="405">
        <v>6</v>
      </c>
      <c r="I867" s="405"/>
      <c r="J867" s="406"/>
      <c r="K867" s="405" t="s">
        <v>1718</v>
      </c>
      <c r="L867" s="405" t="s">
        <v>1711</v>
      </c>
      <c r="M867" s="406">
        <v>44567</v>
      </c>
      <c r="N867" s="406">
        <v>44662</v>
      </c>
      <c r="O867" s="406">
        <v>44662</v>
      </c>
      <c r="P867" s="406"/>
      <c r="Q867" s="406"/>
      <c r="R867" s="406"/>
      <c r="S867" s="405" t="s">
        <v>1510</v>
      </c>
      <c r="T867" s="405">
        <v>72</v>
      </c>
      <c r="U867" s="417"/>
      <c r="V867" s="405" t="s">
        <v>1068</v>
      </c>
      <c r="W867" s="405">
        <v>480</v>
      </c>
      <c r="X867" s="382">
        <v>1276</v>
      </c>
      <c r="Y867" s="365">
        <f t="shared" si="188"/>
        <v>612480</v>
      </c>
      <c r="Z867" s="409">
        <f>240/480</f>
        <v>0.5</v>
      </c>
      <c r="AA867" s="411">
        <f t="shared" si="189"/>
        <v>306240</v>
      </c>
      <c r="AB867" s="411"/>
      <c r="AC867" s="412">
        <f t="shared" si="195"/>
        <v>0</v>
      </c>
      <c r="AD867" s="405"/>
      <c r="AE867" s="405"/>
      <c r="AF867" s="424">
        <f t="shared" si="196"/>
        <v>306240</v>
      </c>
      <c r="AG867" s="405" t="s">
        <v>1069</v>
      </c>
      <c r="AH867" s="405"/>
      <c r="AI867" s="405">
        <v>60</v>
      </c>
      <c r="AJ867" s="406" t="s">
        <v>1712</v>
      </c>
      <c r="AK867" s="406" t="s">
        <v>50</v>
      </c>
      <c r="AL867" s="414" t="s">
        <v>1713</v>
      </c>
      <c r="AM867" s="405" t="s">
        <v>52</v>
      </c>
      <c r="AN867" s="361" t="s">
        <v>50</v>
      </c>
      <c r="AO867" s="405" t="s">
        <v>1073</v>
      </c>
      <c r="AP867" s="413"/>
      <c r="AQ867" s="405" t="s">
        <v>37</v>
      </c>
      <c r="AR867" s="405"/>
      <c r="AS867" s="404"/>
      <c r="AT867" s="404"/>
      <c r="AU867" s="409"/>
      <c r="AV867" s="402">
        <f>U867</f>
        <v>0</v>
      </c>
      <c r="AW867" s="402" cm="1">
        <f t="array" ref="AW867">SUM(MID(0&amp;AV867,LARGE(INDEX(ISNUMBER(--MID(AV867,ROW($1:$8),1))*ROW($1:$8),),ROW($1:$8))+1,1)*10^ROW($1:$8)/10)</f>
        <v>0</v>
      </c>
      <c r="AX867" s="402" t="e">
        <f>VLOOKUP($AW867,'Item Master Data'!$A:$F,3,FALSE)</f>
        <v>#N/A</v>
      </c>
      <c r="AY867" s="402" t="e">
        <f>VLOOKUP($AW867,'Item Master Data'!$A:$F,6,FALSE)</f>
        <v>#N/A</v>
      </c>
      <c r="AZ867" s="402" t="e">
        <f>X867/BA867</f>
        <v>#N/A</v>
      </c>
      <c r="BA867" s="402" t="e">
        <f>VLOOKUP(AW867,'Item Master Data'!$A:$G,7,FALSE)</f>
        <v>#N/A</v>
      </c>
      <c r="BB867" s="402"/>
      <c r="BC867" s="402" t="e">
        <f>W867-AY867</f>
        <v>#N/A</v>
      </c>
    </row>
    <row r="868" spans="1:55">
      <c r="A868" s="426"/>
      <c r="B868" s="376"/>
      <c r="C868" s="376"/>
      <c r="D868" s="416" t="s">
        <v>86</v>
      </c>
      <c r="E868" s="405" t="s">
        <v>1728</v>
      </c>
      <c r="F868" s="417" t="s">
        <v>87</v>
      </c>
      <c r="G868" s="359">
        <v>2022</v>
      </c>
      <c r="H868" s="405">
        <v>6</v>
      </c>
      <c r="I868" s="405"/>
      <c r="J868" s="406"/>
      <c r="K868" s="405" t="s">
        <v>1729</v>
      </c>
      <c r="L868" s="405" t="s">
        <v>1723</v>
      </c>
      <c r="M868" s="406">
        <v>44533</v>
      </c>
      <c r="N868" s="406">
        <v>44630</v>
      </c>
      <c r="O868" s="406">
        <v>44661</v>
      </c>
      <c r="P868" s="406" t="s">
        <v>1641</v>
      </c>
      <c r="Q868" s="406"/>
      <c r="R868" s="406"/>
      <c r="S868" s="405" t="s">
        <v>1683</v>
      </c>
      <c r="T868" s="405">
        <v>72</v>
      </c>
      <c r="U868" s="417">
        <v>49303156</v>
      </c>
      <c r="V868" s="405" t="s">
        <v>1730</v>
      </c>
      <c r="W868" s="405">
        <v>480</v>
      </c>
      <c r="X868" s="382">
        <v>580</v>
      </c>
      <c r="Y868" s="365">
        <f t="shared" si="188"/>
        <v>278400</v>
      </c>
      <c r="Z868" s="409">
        <f>232.75/480</f>
        <v>0.48489583333333336</v>
      </c>
      <c r="AA868" s="411">
        <f t="shared" si="189"/>
        <v>134995</v>
      </c>
      <c r="AB868" s="411"/>
      <c r="AC868" s="412">
        <f t="shared" si="195"/>
        <v>0</v>
      </c>
      <c r="AD868" s="405"/>
      <c r="AE868" s="405"/>
      <c r="AF868" s="424">
        <f t="shared" si="196"/>
        <v>134995</v>
      </c>
      <c r="AG868" s="405" t="s">
        <v>1069</v>
      </c>
      <c r="AH868" s="405"/>
      <c r="AI868" s="405">
        <v>60</v>
      </c>
      <c r="AJ868" s="406" t="s">
        <v>1724</v>
      </c>
      <c r="AK868" s="406" t="s">
        <v>50</v>
      </c>
      <c r="AL868" s="414">
        <v>95403</v>
      </c>
      <c r="AM868" s="405" t="s">
        <v>52</v>
      </c>
      <c r="AN868" s="361" t="s">
        <v>1516</v>
      </c>
      <c r="AO868" s="405" t="s">
        <v>1073</v>
      </c>
      <c r="AP868" s="413"/>
      <c r="AQ868" s="405" t="s">
        <v>37</v>
      </c>
      <c r="AR868" s="405"/>
      <c r="AS868" s="404" t="s">
        <v>1392</v>
      </c>
      <c r="AT868" s="404"/>
      <c r="AU868" s="409"/>
      <c r="AV868" s="402">
        <f>U868</f>
        <v>49303156</v>
      </c>
      <c r="AW868" s="402" cm="1">
        <f t="array" ref="AW868">SUM(MID(0&amp;AV868,LARGE(INDEX(ISNUMBER(--MID(AV868,ROW($1:$8),1))*ROW($1:$8),),ROW($1:$8))+1,1)*10^ROW($1:$8)/10)</f>
        <v>49303156</v>
      </c>
      <c r="AX868" s="402" t="str">
        <f>VLOOKUP($AW868,'Item Master Data'!$A:$F,3,FALSE)</f>
        <v>Q.PEAK DUO XL G10 BFG</v>
      </c>
      <c r="AY868" s="402">
        <f>VLOOKUP($AW868,'Item Master Data'!$A:$F,6,FALSE)</f>
        <v>480</v>
      </c>
      <c r="AZ868" s="402">
        <f>X868/BA868</f>
        <v>20</v>
      </c>
      <c r="BA868" s="402">
        <f>VLOOKUP(AW868,'Item Master Data'!$A:$G,7,FALSE)</f>
        <v>29</v>
      </c>
      <c r="BB868" s="402"/>
      <c r="BC868" s="402">
        <f>W868-AY868</f>
        <v>0</v>
      </c>
    </row>
    <row r="869" spans="1:55">
      <c r="A869" s="426"/>
      <c r="B869" s="376"/>
      <c r="C869" s="376"/>
      <c r="D869" s="416" t="s">
        <v>86</v>
      </c>
      <c r="E869" s="405" t="s">
        <v>1728</v>
      </c>
      <c r="F869" s="417" t="s">
        <v>87</v>
      </c>
      <c r="G869" s="359">
        <v>2022</v>
      </c>
      <c r="H869" s="405">
        <v>6</v>
      </c>
      <c r="I869" s="405"/>
      <c r="J869" s="406"/>
      <c r="K869" s="405" t="s">
        <v>1733</v>
      </c>
      <c r="L869" s="405" t="s">
        <v>1723</v>
      </c>
      <c r="M869" s="406">
        <v>44539</v>
      </c>
      <c r="N869" s="406">
        <v>44655</v>
      </c>
      <c r="O869" s="406"/>
      <c r="P869" s="406" t="s">
        <v>1641</v>
      </c>
      <c r="Q869" s="406"/>
      <c r="R869" s="406"/>
      <c r="S869" s="405" t="s">
        <v>1683</v>
      </c>
      <c r="T869" s="405">
        <v>72</v>
      </c>
      <c r="U869" s="417">
        <v>49303156</v>
      </c>
      <c r="V869" s="405" t="s">
        <v>1730</v>
      </c>
      <c r="W869" s="405">
        <v>480</v>
      </c>
      <c r="X869" s="382">
        <v>580</v>
      </c>
      <c r="Y869" s="365">
        <f t="shared" si="188"/>
        <v>278400</v>
      </c>
      <c r="Z869" s="409">
        <f>232.75/480</f>
        <v>0.48489583333333336</v>
      </c>
      <c r="AA869" s="411">
        <f t="shared" si="189"/>
        <v>134995</v>
      </c>
      <c r="AB869" s="411"/>
      <c r="AC869" s="412">
        <f t="shared" si="195"/>
        <v>0</v>
      </c>
      <c r="AD869" s="405"/>
      <c r="AE869" s="405"/>
      <c r="AF869" s="424">
        <f t="shared" si="196"/>
        <v>134995</v>
      </c>
      <c r="AG869" s="405" t="s">
        <v>1069</v>
      </c>
      <c r="AH869" s="405"/>
      <c r="AI869" s="405">
        <v>60</v>
      </c>
      <c r="AJ869" s="406" t="s">
        <v>1724</v>
      </c>
      <c r="AK869" s="406" t="s">
        <v>50</v>
      </c>
      <c r="AL869" s="414">
        <v>95403</v>
      </c>
      <c r="AM869" s="405" t="s">
        <v>52</v>
      </c>
      <c r="AN869" s="361" t="s">
        <v>1516</v>
      </c>
      <c r="AO869" s="405" t="s">
        <v>1073</v>
      </c>
      <c r="AP869" s="413"/>
      <c r="AQ869" s="405" t="s">
        <v>37</v>
      </c>
      <c r="AR869" s="405"/>
      <c r="AS869" s="404" t="s">
        <v>1392</v>
      </c>
      <c r="AT869" s="404"/>
      <c r="AU869" s="409"/>
      <c r="AV869" s="402"/>
      <c r="AW869" s="402"/>
      <c r="AX869" s="402"/>
      <c r="AY869" s="402"/>
      <c r="AZ869" s="402"/>
      <c r="BA869" s="402"/>
      <c r="BB869" s="402"/>
      <c r="BC869" s="402"/>
    </row>
    <row r="870" spans="1:55">
      <c r="A870" s="426"/>
      <c r="B870" s="376"/>
      <c r="C870" s="376"/>
      <c r="D870" s="416" t="s">
        <v>86</v>
      </c>
      <c r="E870" s="405" t="s">
        <v>1728</v>
      </c>
      <c r="F870" s="417" t="s">
        <v>87</v>
      </c>
      <c r="G870" s="359">
        <v>2022</v>
      </c>
      <c r="H870" s="405">
        <v>6</v>
      </c>
      <c r="I870" s="405"/>
      <c r="J870" s="406"/>
      <c r="K870" s="405" t="s">
        <v>1850</v>
      </c>
      <c r="L870" s="405" t="s">
        <v>1723</v>
      </c>
      <c r="M870" s="406">
        <v>44566</v>
      </c>
      <c r="N870" s="406">
        <v>44683</v>
      </c>
      <c r="O870" s="406"/>
      <c r="P870" s="406"/>
      <c r="Q870" s="406"/>
      <c r="R870" s="406"/>
      <c r="S870" s="405" t="s">
        <v>1683</v>
      </c>
      <c r="T870" s="405">
        <v>72</v>
      </c>
      <c r="U870" s="417">
        <v>49303156</v>
      </c>
      <c r="V870" s="405" t="s">
        <v>1730</v>
      </c>
      <c r="W870" s="405">
        <v>480</v>
      </c>
      <c r="X870" s="382">
        <v>580</v>
      </c>
      <c r="Y870" s="365">
        <f t="shared" si="188"/>
        <v>278400</v>
      </c>
      <c r="Z870" s="409">
        <f>232.75/480</f>
        <v>0.48489583333333336</v>
      </c>
      <c r="AA870" s="411">
        <f t="shared" si="189"/>
        <v>134995</v>
      </c>
      <c r="AB870" s="411"/>
      <c r="AC870" s="412">
        <f t="shared" si="195"/>
        <v>0</v>
      </c>
      <c r="AD870" s="405"/>
      <c r="AE870" s="405"/>
      <c r="AF870" s="424">
        <f t="shared" si="196"/>
        <v>134995</v>
      </c>
      <c r="AG870" s="405" t="s">
        <v>1069</v>
      </c>
      <c r="AH870" s="405"/>
      <c r="AI870" s="405">
        <v>60</v>
      </c>
      <c r="AJ870" s="406" t="s">
        <v>1724</v>
      </c>
      <c r="AK870" s="406" t="s">
        <v>50</v>
      </c>
      <c r="AL870" s="414">
        <v>95403</v>
      </c>
      <c r="AM870" s="405" t="s">
        <v>52</v>
      </c>
      <c r="AN870" s="361" t="s">
        <v>1516</v>
      </c>
      <c r="AO870" s="405" t="s">
        <v>1073</v>
      </c>
      <c r="AP870" s="413"/>
      <c r="AQ870" s="405" t="s">
        <v>37</v>
      </c>
      <c r="AR870" s="405"/>
      <c r="AS870" s="404" t="s">
        <v>1392</v>
      </c>
      <c r="AT870" s="404"/>
      <c r="AU870" s="409"/>
      <c r="AV870" s="402"/>
      <c r="AW870" s="402"/>
      <c r="AX870" s="402"/>
      <c r="AY870" s="402"/>
      <c r="AZ870" s="402"/>
      <c r="BA870" s="402"/>
      <c r="BB870" s="402"/>
      <c r="BC870" s="402"/>
    </row>
    <row r="871" spans="1:55">
      <c r="A871" s="426"/>
      <c r="B871" s="376">
        <v>44627</v>
      </c>
      <c r="C871" s="376">
        <v>44627</v>
      </c>
      <c r="D871" s="416" t="s">
        <v>86</v>
      </c>
      <c r="E871" s="405"/>
      <c r="F871" s="417"/>
      <c r="G871" s="359">
        <v>2022</v>
      </c>
      <c r="H871" s="405">
        <v>6</v>
      </c>
      <c r="I871" s="405"/>
      <c r="J871" s="406"/>
      <c r="K871" s="405" t="s">
        <v>4221</v>
      </c>
      <c r="L871" s="405" t="s">
        <v>1519</v>
      </c>
      <c r="M871" s="406">
        <v>44671</v>
      </c>
      <c r="N871" s="406">
        <v>44671</v>
      </c>
      <c r="O871" s="406"/>
      <c r="P871" s="406"/>
      <c r="Q871" s="406"/>
      <c r="R871" s="406"/>
      <c r="S871" s="405" t="s">
        <v>1520</v>
      </c>
      <c r="T871" s="405">
        <v>72</v>
      </c>
      <c r="U871" s="417"/>
      <c r="V871" s="405" t="s">
        <v>1068</v>
      </c>
      <c r="W871" s="405">
        <v>480</v>
      </c>
      <c r="X871" s="382">
        <v>2320</v>
      </c>
      <c r="Y871" s="365">
        <v>299520</v>
      </c>
      <c r="Z871" s="409">
        <f>266.4/480</f>
        <v>0.55499999999999994</v>
      </c>
      <c r="AA871" s="411">
        <v>158745.60000000001</v>
      </c>
      <c r="AB871" s="411"/>
      <c r="AC871" s="412">
        <v>0</v>
      </c>
      <c r="AD871" s="405"/>
      <c r="AE871" s="405"/>
      <c r="AF871" s="424">
        <v>158745.60000000001</v>
      </c>
      <c r="AG871" s="405" t="s">
        <v>1069</v>
      </c>
      <c r="AH871" s="405"/>
      <c r="AI871" s="405">
        <v>60</v>
      </c>
      <c r="AJ871" s="406" t="s">
        <v>1521</v>
      </c>
      <c r="AK871" s="406" t="s">
        <v>1522</v>
      </c>
      <c r="AL871" s="414" t="s">
        <v>1523</v>
      </c>
      <c r="AM871" s="405" t="s">
        <v>52</v>
      </c>
      <c r="AN871" s="361"/>
      <c r="AO871" s="405" t="s">
        <v>1073</v>
      </c>
      <c r="AP871" s="413"/>
      <c r="AQ871" s="405" t="s">
        <v>37</v>
      </c>
      <c r="AR871" s="405"/>
      <c r="AS871" s="404"/>
      <c r="AT871" s="404"/>
      <c r="AU871" s="409"/>
      <c r="AV871" s="402">
        <f>U871</f>
        <v>0</v>
      </c>
      <c r="AW871" s="402" cm="1">
        <f t="array" ref="AW871">SUM(MID(0&amp;AV871,LARGE(INDEX(ISNUMBER(--MID(AV871,ROW($1:$8),1))*ROW($1:$8),),ROW($1:$8))+1,1)*10^ROW($1:$8)/10)</f>
        <v>0</v>
      </c>
      <c r="AX871" s="402" t="e">
        <f>VLOOKUP($AW871,'Item Master Data'!$A:$F,3,FALSE)</f>
        <v>#N/A</v>
      </c>
      <c r="AY871" s="402" t="e">
        <f>VLOOKUP($AW871,'Item Master Data'!$A:$F,6,FALSE)</f>
        <v>#N/A</v>
      </c>
      <c r="AZ871" s="402" t="e">
        <f>X871/BA871</f>
        <v>#N/A</v>
      </c>
      <c r="BA871" s="402" t="e">
        <f>VLOOKUP(AW871,'Item Master Data'!$A:$G,7,FALSE)</f>
        <v>#N/A</v>
      </c>
      <c r="BB871" s="402"/>
      <c r="BC871" s="402" t="e">
        <f>W871-AY871</f>
        <v>#N/A</v>
      </c>
    </row>
    <row r="872" spans="1:55">
      <c r="A872" s="426"/>
      <c r="B872" s="376">
        <v>44676</v>
      </c>
      <c r="C872" s="376">
        <v>44676</v>
      </c>
      <c r="D872" s="416" t="s">
        <v>86</v>
      </c>
      <c r="E872" s="405"/>
      <c r="F872" s="417"/>
      <c r="G872" s="359">
        <v>2022</v>
      </c>
      <c r="H872" s="405">
        <v>6</v>
      </c>
      <c r="I872" s="405"/>
      <c r="J872" s="406"/>
      <c r="K872" s="405" t="s">
        <v>1763</v>
      </c>
      <c r="L872" s="405" t="s">
        <v>1764</v>
      </c>
      <c r="M872" s="406">
        <v>44575</v>
      </c>
      <c r="N872" s="406">
        <v>44703</v>
      </c>
      <c r="O872" s="406"/>
      <c r="P872" s="406"/>
      <c r="Q872" s="406"/>
      <c r="R872" s="406"/>
      <c r="S872" s="405" t="s">
        <v>88</v>
      </c>
      <c r="T872" s="405">
        <v>72</v>
      </c>
      <c r="U872" s="417"/>
      <c r="V872" s="405" t="s">
        <v>995</v>
      </c>
      <c r="W872" s="405">
        <v>480</v>
      </c>
      <c r="X872" s="382">
        <v>1914</v>
      </c>
      <c r="Y872" s="365">
        <f t="shared" ref="Y872:Y918" si="197">W872*X872</f>
        <v>918720</v>
      </c>
      <c r="Z872" s="409">
        <f>228/480</f>
        <v>0.47499999999999998</v>
      </c>
      <c r="AA872" s="411">
        <f t="shared" ref="AA872:AA898" si="198">Z872*Y872</f>
        <v>436392</v>
      </c>
      <c r="AB872" s="411"/>
      <c r="AC872" s="412">
        <f>AB872*Y872</f>
        <v>0</v>
      </c>
      <c r="AD872" s="405"/>
      <c r="AE872" s="405"/>
      <c r="AF872" s="424">
        <f>AE872+AD872+AA872</f>
        <v>436392</v>
      </c>
      <c r="AG872" s="405" t="s">
        <v>1069</v>
      </c>
      <c r="AH872" s="405"/>
      <c r="AI872" s="405">
        <v>60</v>
      </c>
      <c r="AJ872" s="406" t="s">
        <v>1760</v>
      </c>
      <c r="AK872" s="406" t="s">
        <v>50</v>
      </c>
      <c r="AL872" s="414">
        <v>92056</v>
      </c>
      <c r="AM872" s="405" t="s">
        <v>52</v>
      </c>
      <c r="AN872" s="361" t="s">
        <v>50</v>
      </c>
      <c r="AO872" s="405" t="s">
        <v>1073</v>
      </c>
      <c r="AP872" s="413" t="s">
        <v>38</v>
      </c>
      <c r="AQ872" s="405" t="s">
        <v>37</v>
      </c>
      <c r="AR872" s="405"/>
      <c r="AS872" s="404" t="s">
        <v>1142</v>
      </c>
      <c r="AT872" s="404" t="s">
        <v>1073</v>
      </c>
      <c r="AU872" s="409"/>
      <c r="AV872" s="402">
        <f>U872</f>
        <v>0</v>
      </c>
      <c r="AW872" s="402" cm="1">
        <f t="array" ref="AW872">SUM(MID(0&amp;AV872,LARGE(INDEX(ISNUMBER(--MID(AV872,ROW($1:$8),1))*ROW($1:$8),),ROW($1:$8))+1,1)*10^ROW($1:$8)/10)</f>
        <v>0</v>
      </c>
      <c r="AX872" s="402" t="e">
        <f>VLOOKUP($AW872,'Item Master Data'!$A:$F,3,FALSE)</f>
        <v>#N/A</v>
      </c>
      <c r="AY872" s="402" t="e">
        <f>VLOOKUP($AW872,'Item Master Data'!$A:$F,6,FALSE)</f>
        <v>#N/A</v>
      </c>
      <c r="AZ872" s="402" t="e">
        <f>X872/BA872</f>
        <v>#N/A</v>
      </c>
      <c r="BA872" s="402" t="e">
        <f>VLOOKUP(AW872,'Item Master Data'!$A:$G,7,FALSE)</f>
        <v>#N/A</v>
      </c>
      <c r="BB872" s="402"/>
      <c r="BC872" s="402" t="e">
        <f>W872-AY872</f>
        <v>#N/A</v>
      </c>
    </row>
    <row r="873" spans="1:55">
      <c r="A873" s="426"/>
      <c r="B873" s="376"/>
      <c r="C873" s="376"/>
      <c r="D873" s="416" t="s">
        <v>86</v>
      </c>
      <c r="E873" s="405" t="s">
        <v>1766</v>
      </c>
      <c r="F873" s="417"/>
      <c r="G873" s="359">
        <v>2022</v>
      </c>
      <c r="H873" s="405">
        <v>6</v>
      </c>
      <c r="I873" s="405"/>
      <c r="J873" s="406"/>
      <c r="K873" s="405">
        <v>1198</v>
      </c>
      <c r="L873" s="405" t="s">
        <v>1556</v>
      </c>
      <c r="M873" s="406">
        <v>44585</v>
      </c>
      <c r="N873" s="406">
        <v>44653</v>
      </c>
      <c r="O873" s="406"/>
      <c r="P873" s="406" t="s">
        <v>1509</v>
      </c>
      <c r="Q873" s="406"/>
      <c r="R873" s="406"/>
      <c r="S873" s="405" t="s">
        <v>1510</v>
      </c>
      <c r="T873" s="405">
        <v>72</v>
      </c>
      <c r="U873" s="417"/>
      <c r="V873" s="405" t="s">
        <v>1068</v>
      </c>
      <c r="W873" s="405">
        <v>480</v>
      </c>
      <c r="X873" s="382">
        <v>638</v>
      </c>
      <c r="Y873" s="365">
        <f t="shared" si="197"/>
        <v>306240</v>
      </c>
      <c r="Z873" s="409">
        <f>237.6/480</f>
        <v>0.495</v>
      </c>
      <c r="AA873" s="411">
        <f t="shared" si="198"/>
        <v>151588.79999999999</v>
      </c>
      <c r="AB873" s="411"/>
      <c r="AC873" s="412">
        <f>AB873*Y873</f>
        <v>0</v>
      </c>
      <c r="AD873" s="405"/>
      <c r="AE873" s="405"/>
      <c r="AF873" s="424">
        <f>AE873+AD873+AA873</f>
        <v>151588.79999999999</v>
      </c>
      <c r="AG873" s="405" t="s">
        <v>1069</v>
      </c>
      <c r="AH873" s="405">
        <v>100</v>
      </c>
      <c r="AI873" s="405">
        <v>0</v>
      </c>
      <c r="AJ873" s="406" t="s">
        <v>1558</v>
      </c>
      <c r="AK873" s="406" t="s">
        <v>50</v>
      </c>
      <c r="AL873" s="414">
        <v>92010</v>
      </c>
      <c r="AM873" s="405" t="s">
        <v>52</v>
      </c>
      <c r="AN873" s="361"/>
      <c r="AO873" s="405" t="s">
        <v>1073</v>
      </c>
      <c r="AP873" s="413"/>
      <c r="AQ873" s="405" t="s">
        <v>37</v>
      </c>
      <c r="AR873" s="405"/>
      <c r="AS873" s="404"/>
      <c r="AT873" s="404"/>
      <c r="AU873" s="409"/>
      <c r="AV873" s="402">
        <f>U873</f>
        <v>0</v>
      </c>
      <c r="AW873" s="402" cm="1">
        <f t="array" ref="AW873">SUM(MID(0&amp;AV873,LARGE(INDEX(ISNUMBER(--MID(AV873,ROW($1:$8),1))*ROW($1:$8),),ROW($1:$8))+1,1)*10^ROW($1:$8)/10)</f>
        <v>0</v>
      </c>
      <c r="AX873" s="402" t="e">
        <f>VLOOKUP($AW873,'Item Master Data'!$A:$F,3,FALSE)</f>
        <v>#N/A</v>
      </c>
      <c r="AY873" s="402" t="e">
        <f>VLOOKUP($AW873,'Item Master Data'!$A:$F,6,FALSE)</f>
        <v>#N/A</v>
      </c>
      <c r="AZ873" s="402" t="e">
        <f>X873/BA873</f>
        <v>#N/A</v>
      </c>
      <c r="BA873" s="402" t="e">
        <f>VLOOKUP(AW873,'Item Master Data'!$A:$G,7,FALSE)</f>
        <v>#N/A</v>
      </c>
      <c r="BB873" s="402"/>
      <c r="BC873" s="402" t="e">
        <f>W873-AY873</f>
        <v>#N/A</v>
      </c>
    </row>
    <row r="874" spans="1:55">
      <c r="A874" s="426"/>
      <c r="B874" s="376"/>
      <c r="C874" s="376"/>
      <c r="D874" s="416" t="s">
        <v>86</v>
      </c>
      <c r="E874" s="405" t="s">
        <v>4269</v>
      </c>
      <c r="F874" s="417"/>
      <c r="G874" s="359">
        <v>2022</v>
      </c>
      <c r="H874" s="405">
        <v>6</v>
      </c>
      <c r="I874" s="405"/>
      <c r="J874" s="406"/>
      <c r="K874" s="405">
        <v>1199</v>
      </c>
      <c r="L874" s="405" t="s">
        <v>1556</v>
      </c>
      <c r="M874" s="406">
        <v>44585</v>
      </c>
      <c r="N874" s="406">
        <v>44683</v>
      </c>
      <c r="O874" s="406"/>
      <c r="P874" s="406"/>
      <c r="Q874" s="406"/>
      <c r="R874" s="406"/>
      <c r="S874" s="405" t="s">
        <v>1510</v>
      </c>
      <c r="T874" s="405">
        <v>72</v>
      </c>
      <c r="U874" s="417"/>
      <c r="V874" s="405" t="s">
        <v>1002</v>
      </c>
      <c r="W874" s="405">
        <v>480</v>
      </c>
      <c r="X874" s="382">
        <v>638</v>
      </c>
      <c r="Y874" s="365">
        <f t="shared" si="197"/>
        <v>306240</v>
      </c>
      <c r="Z874" s="409">
        <f>237.6/480</f>
        <v>0.495</v>
      </c>
      <c r="AA874" s="411">
        <f t="shared" si="198"/>
        <v>151588.79999999999</v>
      </c>
      <c r="AB874" s="411"/>
      <c r="AC874" s="412">
        <f>AB874*Y874</f>
        <v>0</v>
      </c>
      <c r="AD874" s="405"/>
      <c r="AE874" s="405"/>
      <c r="AF874" s="424">
        <f>AE874+AD874+AA874</f>
        <v>151588.79999999999</v>
      </c>
      <c r="AG874" s="405" t="s">
        <v>1069</v>
      </c>
      <c r="AH874" s="405">
        <v>100</v>
      </c>
      <c r="AI874" s="405">
        <v>0</v>
      </c>
      <c r="AJ874" s="406" t="s">
        <v>1558</v>
      </c>
      <c r="AK874" s="406" t="s">
        <v>50</v>
      </c>
      <c r="AL874" s="414">
        <v>92010</v>
      </c>
      <c r="AM874" s="405" t="s">
        <v>52</v>
      </c>
      <c r="AN874" s="361"/>
      <c r="AO874" s="405" t="s">
        <v>1073</v>
      </c>
      <c r="AP874" s="413"/>
      <c r="AQ874" s="405" t="s">
        <v>37</v>
      </c>
      <c r="AR874" s="405"/>
      <c r="AS874" s="404"/>
      <c r="AT874" s="404"/>
      <c r="AU874" s="409"/>
      <c r="AV874" s="402"/>
      <c r="AW874" s="402"/>
      <c r="AX874" s="402"/>
      <c r="AY874" s="402"/>
      <c r="AZ874" s="402"/>
      <c r="BA874" s="402"/>
      <c r="BB874" s="402"/>
      <c r="BC874" s="402"/>
    </row>
    <row r="875" spans="1:55">
      <c r="A875" s="426"/>
      <c r="B875" s="376"/>
      <c r="C875" s="376"/>
      <c r="D875" s="416" t="s">
        <v>86</v>
      </c>
      <c r="E875" s="405" t="s">
        <v>1910</v>
      </c>
      <c r="F875" s="417" t="s">
        <v>1318</v>
      </c>
      <c r="G875" s="359">
        <v>2022</v>
      </c>
      <c r="H875" s="405">
        <v>6</v>
      </c>
      <c r="I875" s="405">
        <v>2004044</v>
      </c>
      <c r="J875" s="406"/>
      <c r="K875" s="405" t="s">
        <v>1911</v>
      </c>
      <c r="L875" s="405" t="s">
        <v>1912</v>
      </c>
      <c r="M875" s="406">
        <v>44483</v>
      </c>
      <c r="N875" s="406">
        <v>44531</v>
      </c>
      <c r="O875" s="406"/>
      <c r="P875" s="406" t="s">
        <v>1273</v>
      </c>
      <c r="Q875" s="406"/>
      <c r="R875" s="406"/>
      <c r="S875" s="405" t="s">
        <v>88</v>
      </c>
      <c r="T875" s="405">
        <v>72</v>
      </c>
      <c r="U875" s="417"/>
      <c r="V875" s="405" t="s">
        <v>1068</v>
      </c>
      <c r="W875" s="405">
        <v>480</v>
      </c>
      <c r="X875" s="382">
        <v>232</v>
      </c>
      <c r="Y875" s="365">
        <f t="shared" si="197"/>
        <v>111360</v>
      </c>
      <c r="Z875" s="409">
        <f>218.4/480</f>
        <v>0.45500000000000002</v>
      </c>
      <c r="AA875" s="411">
        <f t="shared" si="198"/>
        <v>50668.800000000003</v>
      </c>
      <c r="AB875" s="411"/>
      <c r="AC875" s="412">
        <f>AB875*Y875</f>
        <v>0</v>
      </c>
      <c r="AD875" s="405"/>
      <c r="AE875" s="405"/>
      <c r="AF875" s="424">
        <f>AE875+AD875+AA875</f>
        <v>50668.800000000003</v>
      </c>
      <c r="AG875" s="405" t="s">
        <v>1678</v>
      </c>
      <c r="AH875" s="405">
        <v>100</v>
      </c>
      <c r="AI875" s="405">
        <v>0</v>
      </c>
      <c r="AJ875" s="406" t="s">
        <v>1887</v>
      </c>
      <c r="AK875" s="406" t="s">
        <v>1913</v>
      </c>
      <c r="AL875" s="414">
        <v>90248</v>
      </c>
      <c r="AM875" s="405" t="s">
        <v>52</v>
      </c>
      <c r="AN875" s="361" t="s">
        <v>50</v>
      </c>
      <c r="AO875" s="405" t="s">
        <v>1073</v>
      </c>
      <c r="AP875" s="413" t="s">
        <v>38</v>
      </c>
      <c r="AQ875" s="405" t="s">
        <v>37</v>
      </c>
      <c r="AR875" s="405"/>
      <c r="AS875" s="404" t="s">
        <v>1142</v>
      </c>
      <c r="AT875" s="404" t="s">
        <v>1073</v>
      </c>
      <c r="AU875" s="409"/>
      <c r="AV875" s="402">
        <f>U875</f>
        <v>0</v>
      </c>
      <c r="AW875" s="402" cm="1">
        <f t="array" ref="AW875">SUM(MID(0&amp;AV875,LARGE(INDEX(ISNUMBER(--MID(AV875,ROW($1:$8),1))*ROW($1:$8),),ROW($1:$8))+1,1)*10^ROW($1:$8)/10)</f>
        <v>0</v>
      </c>
      <c r="AX875" s="402" t="e">
        <f>VLOOKUP($AW875,'Item Master Data'!$A:$F,3,FALSE)</f>
        <v>#N/A</v>
      </c>
      <c r="AY875" s="402" t="e">
        <f>VLOOKUP($AW875,'Item Master Data'!$A:$F,6,FALSE)</f>
        <v>#N/A</v>
      </c>
      <c r="AZ875" s="402" t="e">
        <f>X875/BA875</f>
        <v>#N/A</v>
      </c>
      <c r="BA875" s="402" t="e">
        <f>VLOOKUP(AW875,'Item Master Data'!$A:$G,7,FALSE)</f>
        <v>#N/A</v>
      </c>
      <c r="BB875" s="402"/>
      <c r="BC875" s="402" t="e">
        <f>W875-AY875</f>
        <v>#N/A</v>
      </c>
    </row>
    <row r="876" spans="1:55">
      <c r="A876" s="426"/>
      <c r="B876" s="376">
        <v>44579</v>
      </c>
      <c r="C876" s="376">
        <v>44579</v>
      </c>
      <c r="D876" s="416" t="s">
        <v>86</v>
      </c>
      <c r="E876" s="405" t="s">
        <v>1507</v>
      </c>
      <c r="F876" s="417"/>
      <c r="G876" s="359">
        <v>2022</v>
      </c>
      <c r="H876" s="405">
        <v>6</v>
      </c>
      <c r="I876" s="405">
        <v>2005120</v>
      </c>
      <c r="J876" s="406"/>
      <c r="K876" s="405">
        <v>4952</v>
      </c>
      <c r="L876" s="405" t="s">
        <v>1508</v>
      </c>
      <c r="M876" s="406">
        <v>44572</v>
      </c>
      <c r="N876" s="406">
        <v>44572</v>
      </c>
      <c r="O876" s="406"/>
      <c r="P876" s="406" t="s">
        <v>1509</v>
      </c>
      <c r="Q876" s="406"/>
      <c r="R876" s="406"/>
      <c r="S876" s="405" t="s">
        <v>1510</v>
      </c>
      <c r="T876" s="405">
        <v>60</v>
      </c>
      <c r="U876" s="417" t="s">
        <v>1511</v>
      </c>
      <c r="V876" s="405" t="s">
        <v>973</v>
      </c>
      <c r="W876" s="405">
        <v>400</v>
      </c>
      <c r="X876" s="382">
        <v>320</v>
      </c>
      <c r="Y876" s="365">
        <f t="shared" si="197"/>
        <v>128000</v>
      </c>
      <c r="Z876" s="409">
        <v>0.53999999999999992</v>
      </c>
      <c r="AA876" s="411">
        <f t="shared" si="198"/>
        <v>69119.999999999985</v>
      </c>
      <c r="AB876" s="411"/>
      <c r="AC876" s="412">
        <v>0</v>
      </c>
      <c r="AD876" s="405"/>
      <c r="AE876" s="405"/>
      <c r="AF876" s="424">
        <v>65663.999999999985</v>
      </c>
      <c r="AG876" s="405" t="s">
        <v>1069</v>
      </c>
      <c r="AH876" s="405">
        <v>100</v>
      </c>
      <c r="AI876" s="405"/>
      <c r="AJ876" s="406" t="s">
        <v>1512</v>
      </c>
      <c r="AK876" s="406" t="s">
        <v>50</v>
      </c>
      <c r="AL876" s="414" t="s">
        <v>1513</v>
      </c>
      <c r="AM876" s="405" t="s">
        <v>52</v>
      </c>
      <c r="AN876" s="361" t="s">
        <v>50</v>
      </c>
      <c r="AO876" s="405" t="s">
        <v>1073</v>
      </c>
      <c r="AP876" s="413" t="s">
        <v>38</v>
      </c>
      <c r="AQ876" s="405" t="s">
        <v>37</v>
      </c>
      <c r="AR876" s="405"/>
      <c r="AS876" s="404" t="s">
        <v>1392</v>
      </c>
      <c r="AT876" s="404"/>
      <c r="AU876" s="409"/>
      <c r="AV876" s="402" t="str">
        <f>U876</f>
        <v>30368817F</v>
      </c>
      <c r="AW876" s="402" cm="1">
        <f t="array" ref="AW876">SUM(MID(0&amp;AV876,LARGE(INDEX(ISNUMBER(--MID(AV876,ROW($1:$8),1))*ROW($1:$8),),ROW($1:$8))+1,1)*10^ROW($1:$8)/10)</f>
        <v>30368817</v>
      </c>
      <c r="AX876" s="402" t="str">
        <f>VLOOKUP($AW876,'Item Master Data'!$A:$F,3,FALSE)</f>
        <v>Q.PEAK DUO BLK ML G9+</v>
      </c>
      <c r="AY876" s="402">
        <f>VLOOKUP($AW876,'Item Master Data'!$A:$F,6,FALSE)</f>
        <v>380</v>
      </c>
      <c r="AZ876" s="402">
        <f>X876/BA876</f>
        <v>10</v>
      </c>
      <c r="BA876" s="402">
        <f>VLOOKUP(AW876,'Item Master Data'!$A:$G,7,FALSE)</f>
        <v>32</v>
      </c>
      <c r="BB876" s="402"/>
      <c r="BC876" s="402">
        <f>W876-AY876</f>
        <v>20</v>
      </c>
    </row>
    <row r="877" spans="1:55">
      <c r="A877" s="426"/>
      <c r="B877" s="376">
        <v>44629</v>
      </c>
      <c r="C877" s="376">
        <v>44629</v>
      </c>
      <c r="D877" s="416" t="s">
        <v>86</v>
      </c>
      <c r="E877" s="405"/>
      <c r="F877" s="417"/>
      <c r="G877" s="359">
        <v>2022</v>
      </c>
      <c r="H877" s="405">
        <v>6</v>
      </c>
      <c r="I877" s="405"/>
      <c r="J877" s="406"/>
      <c r="K877" s="405" t="s">
        <v>1537</v>
      </c>
      <c r="L877" s="405" t="s">
        <v>1514</v>
      </c>
      <c r="M877" s="406">
        <v>44480</v>
      </c>
      <c r="N877" s="406">
        <v>44715</v>
      </c>
      <c r="O877" s="406"/>
      <c r="P877" s="406"/>
      <c r="Q877" s="406"/>
      <c r="R877" s="406"/>
      <c r="S877" s="405" t="s">
        <v>88</v>
      </c>
      <c r="T877" s="405">
        <v>60</v>
      </c>
      <c r="U877" s="417"/>
      <c r="V877" s="405" t="s">
        <v>986</v>
      </c>
      <c r="W877" s="405">
        <v>360</v>
      </c>
      <c r="X877" s="382">
        <v>1664</v>
      </c>
      <c r="Y877" s="365">
        <f t="shared" si="197"/>
        <v>599040</v>
      </c>
      <c r="Z877" s="409">
        <f>190.8/360</f>
        <v>0.53</v>
      </c>
      <c r="AA877" s="411">
        <f t="shared" si="198"/>
        <v>317491.20000000001</v>
      </c>
      <c r="AB877" s="411"/>
      <c r="AC877" s="412">
        <v>0</v>
      </c>
      <c r="AD877" s="405"/>
      <c r="AE877" s="405"/>
      <c r="AF877" s="424">
        <f t="shared" ref="AF877:AF898" si="199">AE877+AD877+AA877</f>
        <v>317491.20000000001</v>
      </c>
      <c r="AG877" s="405" t="s">
        <v>1069</v>
      </c>
      <c r="AH877" s="405"/>
      <c r="AI877" s="405">
        <v>60</v>
      </c>
      <c r="AJ877" s="406" t="s">
        <v>1515</v>
      </c>
      <c r="AK877" s="406" t="s">
        <v>50</v>
      </c>
      <c r="AL877" s="414" t="s">
        <v>1529</v>
      </c>
      <c r="AM877" s="405" t="s">
        <v>52</v>
      </c>
      <c r="AN877" s="361" t="s">
        <v>50</v>
      </c>
      <c r="AO877" s="405" t="s">
        <v>1073</v>
      </c>
      <c r="AP877" s="413" t="s">
        <v>38</v>
      </c>
      <c r="AQ877" s="405" t="s">
        <v>37</v>
      </c>
      <c r="AR877" s="405"/>
      <c r="AS877" s="404" t="s">
        <v>1072</v>
      </c>
      <c r="AT877" s="404"/>
      <c r="AU877" s="409"/>
      <c r="AV877" s="402"/>
      <c r="AW877" s="402"/>
      <c r="AX877" s="402"/>
      <c r="AY877" s="402"/>
      <c r="AZ877" s="402"/>
      <c r="BA877" s="402"/>
      <c r="BB877" s="402"/>
      <c r="BC877" s="402"/>
    </row>
    <row r="878" spans="1:55">
      <c r="A878" s="426"/>
      <c r="B878" s="376"/>
      <c r="C878" s="376"/>
      <c r="D878" s="416" t="s">
        <v>86</v>
      </c>
      <c r="E878" s="405"/>
      <c r="F878" s="417"/>
      <c r="G878" s="359">
        <v>2022</v>
      </c>
      <c r="H878" s="405">
        <v>6</v>
      </c>
      <c r="I878" s="405"/>
      <c r="J878" s="406"/>
      <c r="K878" s="405" t="s">
        <v>1539</v>
      </c>
      <c r="L878" s="405" t="s">
        <v>1514</v>
      </c>
      <c r="M878" s="406">
        <v>44595</v>
      </c>
      <c r="N878" s="406">
        <v>44718</v>
      </c>
      <c r="O878" s="406"/>
      <c r="P878" s="406"/>
      <c r="Q878" s="406"/>
      <c r="R878" s="406"/>
      <c r="S878" s="405" t="s">
        <v>88</v>
      </c>
      <c r="T878" s="405">
        <v>60</v>
      </c>
      <c r="U878" s="417"/>
      <c r="V878" s="405" t="s">
        <v>973</v>
      </c>
      <c r="W878" s="405">
        <v>400</v>
      </c>
      <c r="X878" s="382">
        <v>768</v>
      </c>
      <c r="Y878" s="365">
        <f t="shared" si="197"/>
        <v>307200</v>
      </c>
      <c r="Z878" s="409">
        <f>220/400</f>
        <v>0.55000000000000004</v>
      </c>
      <c r="AA878" s="411">
        <f t="shared" si="198"/>
        <v>168960</v>
      </c>
      <c r="AB878" s="411"/>
      <c r="AC878" s="412">
        <v>0</v>
      </c>
      <c r="AD878" s="405"/>
      <c r="AE878" s="405"/>
      <c r="AF878" s="424">
        <f t="shared" si="199"/>
        <v>168960</v>
      </c>
      <c r="AG878" s="405" t="s">
        <v>1069</v>
      </c>
      <c r="AH878" s="405"/>
      <c r="AI878" s="405">
        <v>60</v>
      </c>
      <c r="AJ878" s="406" t="s">
        <v>1515</v>
      </c>
      <c r="AK878" s="406" t="s">
        <v>1136</v>
      </c>
      <c r="AL878" s="414">
        <v>92806</v>
      </c>
      <c r="AM878" s="405" t="s">
        <v>52</v>
      </c>
      <c r="AN878" s="361"/>
      <c r="AO878" s="405" t="s">
        <v>1073</v>
      </c>
      <c r="AP878" s="413" t="s">
        <v>92</v>
      </c>
      <c r="AQ878" s="405" t="s">
        <v>37</v>
      </c>
      <c r="AR878" s="405" t="s">
        <v>1188</v>
      </c>
      <c r="AS878" s="404" t="s">
        <v>1392</v>
      </c>
      <c r="AT878" s="404"/>
      <c r="AU878" s="409">
        <f>180/360</f>
        <v>0.5</v>
      </c>
      <c r="AV878" s="402"/>
      <c r="AW878" s="402"/>
      <c r="AX878" s="402"/>
      <c r="AY878" s="402"/>
      <c r="AZ878" s="402"/>
      <c r="BA878" s="402"/>
      <c r="BB878" s="402"/>
      <c r="BC878" s="402"/>
    </row>
    <row r="879" spans="1:55">
      <c r="A879" s="426"/>
      <c r="B879" s="376"/>
      <c r="C879" s="376"/>
      <c r="D879" s="416" t="s">
        <v>86</v>
      </c>
      <c r="E879" s="405"/>
      <c r="F879" s="417"/>
      <c r="G879" s="359">
        <v>2022</v>
      </c>
      <c r="H879" s="405">
        <v>6</v>
      </c>
      <c r="I879" s="405"/>
      <c r="J879" s="406"/>
      <c r="K879" s="405" t="s">
        <v>1538</v>
      </c>
      <c r="L879" s="405" t="s">
        <v>1514</v>
      </c>
      <c r="M879" s="406">
        <v>44595</v>
      </c>
      <c r="N879" s="406">
        <v>44683</v>
      </c>
      <c r="O879" s="406">
        <v>44714</v>
      </c>
      <c r="P879" s="406"/>
      <c r="Q879" s="406"/>
      <c r="R879" s="406"/>
      <c r="S879" s="405" t="s">
        <v>88</v>
      </c>
      <c r="T879" s="405">
        <v>60</v>
      </c>
      <c r="U879" s="417">
        <v>49204132</v>
      </c>
      <c r="V879" s="405" t="s">
        <v>1192</v>
      </c>
      <c r="W879" s="405">
        <v>360</v>
      </c>
      <c r="X879" s="382">
        <v>832</v>
      </c>
      <c r="Y879" s="365">
        <f t="shared" si="197"/>
        <v>299520</v>
      </c>
      <c r="Z879" s="409">
        <f>298.8/360</f>
        <v>0.83000000000000007</v>
      </c>
      <c r="AA879" s="411">
        <f t="shared" si="198"/>
        <v>248601.60000000003</v>
      </c>
      <c r="AB879" s="411"/>
      <c r="AC879" s="412">
        <v>0</v>
      </c>
      <c r="AD879" s="405"/>
      <c r="AE879" s="405"/>
      <c r="AF879" s="424">
        <f t="shared" si="199"/>
        <v>248601.60000000003</v>
      </c>
      <c r="AG879" s="405" t="s">
        <v>1069</v>
      </c>
      <c r="AH879" s="405"/>
      <c r="AI879" s="405">
        <v>60</v>
      </c>
      <c r="AJ879" s="406" t="s">
        <v>1515</v>
      </c>
      <c r="AK879" s="406" t="s">
        <v>50</v>
      </c>
      <c r="AL879" s="414">
        <v>92806</v>
      </c>
      <c r="AM879" s="405" t="s">
        <v>52</v>
      </c>
      <c r="AN879" s="361"/>
      <c r="AO879" s="405" t="s">
        <v>1073</v>
      </c>
      <c r="AP879" s="413" t="s">
        <v>92</v>
      </c>
      <c r="AQ879" s="405" t="s">
        <v>37</v>
      </c>
      <c r="AR879" s="405" t="s">
        <v>1188</v>
      </c>
      <c r="AS879" s="404" t="s">
        <v>1392</v>
      </c>
      <c r="AT879" s="404"/>
      <c r="AU879" s="409">
        <f>180/360</f>
        <v>0.5</v>
      </c>
      <c r="AV879" s="402"/>
      <c r="AW879" s="402"/>
      <c r="AX879" s="402"/>
      <c r="AY879" s="402"/>
      <c r="AZ879" s="402"/>
      <c r="BA879" s="402"/>
      <c r="BB879" s="402"/>
      <c r="BC879" s="402"/>
    </row>
    <row r="880" spans="1:55">
      <c r="A880" s="426"/>
      <c r="B880" s="376"/>
      <c r="C880" s="376"/>
      <c r="D880" s="416" t="s">
        <v>86</v>
      </c>
      <c r="E880" s="405" t="s">
        <v>4269</v>
      </c>
      <c r="F880" s="417"/>
      <c r="G880" s="359">
        <v>2022</v>
      </c>
      <c r="H880" s="405">
        <v>6</v>
      </c>
      <c r="I880" s="405"/>
      <c r="J880" s="406"/>
      <c r="K880" s="405" t="s">
        <v>1531</v>
      </c>
      <c r="L880" s="405" t="s">
        <v>1514</v>
      </c>
      <c r="M880" s="406">
        <v>44615</v>
      </c>
      <c r="N880" s="406">
        <v>44735</v>
      </c>
      <c r="O880" s="406"/>
      <c r="P880" s="406"/>
      <c r="Q880" s="406"/>
      <c r="R880" s="406"/>
      <c r="S880" s="405" t="s">
        <v>88</v>
      </c>
      <c r="T880" s="405">
        <v>72</v>
      </c>
      <c r="U880" s="417"/>
      <c r="V880" s="405" t="s">
        <v>1103</v>
      </c>
      <c r="W880" s="405">
        <v>485</v>
      </c>
      <c r="X880" s="382">
        <v>638</v>
      </c>
      <c r="Y880" s="365">
        <f t="shared" si="197"/>
        <v>309430</v>
      </c>
      <c r="Z880" s="409">
        <f>244.93/485</f>
        <v>0.50501030927835056</v>
      </c>
      <c r="AA880" s="411">
        <f t="shared" si="198"/>
        <v>156265.34000000003</v>
      </c>
      <c r="AB880" s="411"/>
      <c r="AC880" s="412">
        <v>0</v>
      </c>
      <c r="AD880" s="405"/>
      <c r="AE880" s="405"/>
      <c r="AF880" s="424">
        <f t="shared" si="199"/>
        <v>156265.34000000003</v>
      </c>
      <c r="AG880" s="405" t="s">
        <v>1069</v>
      </c>
      <c r="AH880" s="405"/>
      <c r="AI880" s="405">
        <v>60</v>
      </c>
      <c r="AJ880" s="406" t="s">
        <v>1515</v>
      </c>
      <c r="AK880" s="406" t="s">
        <v>50</v>
      </c>
      <c r="AL880" s="414" t="s">
        <v>1529</v>
      </c>
      <c r="AM880" s="405" t="s">
        <v>52</v>
      </c>
      <c r="AN880" s="361" t="s">
        <v>50</v>
      </c>
      <c r="AO880" s="405" t="s">
        <v>1073</v>
      </c>
      <c r="AP880" s="413" t="s">
        <v>38</v>
      </c>
      <c r="AQ880" s="405" t="s">
        <v>37</v>
      </c>
      <c r="AR880" s="405"/>
      <c r="AS880" s="404" t="s">
        <v>1072</v>
      </c>
      <c r="AT880" s="404"/>
      <c r="AU880" s="409">
        <v>0.52</v>
      </c>
      <c r="AV880" s="402">
        <f t="shared" ref="AV880:AV886" si="200">U880</f>
        <v>0</v>
      </c>
      <c r="AW880" s="402" cm="1">
        <f t="array" ref="AW880">SUM(MID(0&amp;AV880,LARGE(INDEX(ISNUMBER(--MID(AV880,ROW($1:$8),1))*ROW($1:$8),),ROW($1:$8))+1,1)*10^ROW($1:$8)/10)</f>
        <v>0</v>
      </c>
      <c r="AX880" s="402" t="e">
        <f>VLOOKUP($AW880,'Item Master Data'!$A:$F,3,FALSE)</f>
        <v>#N/A</v>
      </c>
      <c r="AY880" s="402" t="e">
        <f>VLOOKUP($AW880,'Item Master Data'!$A:$F,6,FALSE)</f>
        <v>#N/A</v>
      </c>
      <c r="AZ880" s="402" t="e">
        <f t="shared" ref="AZ880:AZ886" si="201">X880/BA880</f>
        <v>#N/A</v>
      </c>
      <c r="BA880" s="402" t="e">
        <f>VLOOKUP(AW880,'Item Master Data'!$A:$G,7,FALSE)</f>
        <v>#N/A</v>
      </c>
      <c r="BB880" s="402"/>
      <c r="BC880" s="402" t="e">
        <f t="shared" ref="BC880:BC886" si="202">W880-AY880</f>
        <v>#N/A</v>
      </c>
    </row>
    <row r="881" spans="1:55">
      <c r="A881" s="426"/>
      <c r="B881" s="376"/>
      <c r="C881" s="376"/>
      <c r="D881" s="416" t="s">
        <v>86</v>
      </c>
      <c r="E881" s="405" t="s">
        <v>4377</v>
      </c>
      <c r="F881" s="417"/>
      <c r="G881" s="359">
        <v>2022</v>
      </c>
      <c r="H881" s="405">
        <v>6</v>
      </c>
      <c r="I881" s="405"/>
      <c r="J881" s="406"/>
      <c r="K881" s="405" t="s">
        <v>1565</v>
      </c>
      <c r="L881" s="405" t="s">
        <v>1561</v>
      </c>
      <c r="M881" s="406">
        <v>44546</v>
      </c>
      <c r="N881" s="406">
        <v>44620</v>
      </c>
      <c r="O881" s="406">
        <v>44648</v>
      </c>
      <c r="P881" s="406"/>
      <c r="Q881" s="406"/>
      <c r="R881" s="406"/>
      <c r="S881" s="405" t="s">
        <v>88</v>
      </c>
      <c r="T881" s="405">
        <v>60</v>
      </c>
      <c r="U881" s="417"/>
      <c r="V881" s="405" t="s">
        <v>973</v>
      </c>
      <c r="W881" s="405">
        <v>400</v>
      </c>
      <c r="X881" s="382">
        <v>6752</v>
      </c>
      <c r="Y881" s="365">
        <f t="shared" si="197"/>
        <v>2700800</v>
      </c>
      <c r="Z881" s="409">
        <f>220/400</f>
        <v>0.55000000000000004</v>
      </c>
      <c r="AA881" s="411">
        <f t="shared" si="198"/>
        <v>1485440.0000000002</v>
      </c>
      <c r="AB881" s="411"/>
      <c r="AC881" s="412"/>
      <c r="AD881" s="405"/>
      <c r="AE881" s="405"/>
      <c r="AF881" s="424">
        <f t="shared" si="199"/>
        <v>1485440.0000000002</v>
      </c>
      <c r="AG881" s="405" t="s">
        <v>1069</v>
      </c>
      <c r="AH881" s="405"/>
      <c r="AI881" s="405">
        <v>60</v>
      </c>
      <c r="AJ881" s="406" t="s">
        <v>1563</v>
      </c>
      <c r="AK881" s="406" t="s">
        <v>50</v>
      </c>
      <c r="AL881" s="414">
        <v>93305</v>
      </c>
      <c r="AM881" s="405" t="s">
        <v>52</v>
      </c>
      <c r="AN881" s="361" t="s">
        <v>1071</v>
      </c>
      <c r="AO881" s="405" t="s">
        <v>1073</v>
      </c>
      <c r="AP881" s="413"/>
      <c r="AQ881" s="405" t="s">
        <v>37</v>
      </c>
      <c r="AR881" s="405" t="s">
        <v>1499</v>
      </c>
      <c r="AS881" s="404"/>
      <c r="AT881" s="404"/>
      <c r="AU881" s="409">
        <v>0.45500000000000002</v>
      </c>
      <c r="AV881" s="402">
        <f t="shared" si="200"/>
        <v>0</v>
      </c>
      <c r="AW881" s="402" cm="1">
        <f t="array" ref="AW881">SUM(MID(0&amp;AV881,LARGE(INDEX(ISNUMBER(--MID(AV881,ROW($1:$8),1))*ROW($1:$8),),ROW($1:$8))+1,1)*10^ROW($1:$8)/10)</f>
        <v>0</v>
      </c>
      <c r="AX881" s="402" t="e">
        <f>VLOOKUP($AW881,'Item Master Data'!$A:$F,3,FALSE)</f>
        <v>#N/A</v>
      </c>
      <c r="AY881" s="402" t="e">
        <f>VLOOKUP($AW881,'Item Master Data'!$A:$F,6,FALSE)</f>
        <v>#N/A</v>
      </c>
      <c r="AZ881" s="402" t="e">
        <f t="shared" si="201"/>
        <v>#N/A</v>
      </c>
      <c r="BA881" s="402" t="e">
        <f>VLOOKUP(AW881,'Item Master Data'!$A:$G,7,FALSE)</f>
        <v>#N/A</v>
      </c>
      <c r="BB881" s="402"/>
      <c r="BC881" s="402" t="e">
        <f t="shared" si="202"/>
        <v>#N/A</v>
      </c>
    </row>
    <row r="882" spans="1:55">
      <c r="A882" s="426"/>
      <c r="B882" s="376"/>
      <c r="C882" s="376"/>
      <c r="D882" s="416" t="s">
        <v>86</v>
      </c>
      <c r="E882" s="405"/>
      <c r="F882" s="417"/>
      <c r="G882" s="359">
        <v>2022</v>
      </c>
      <c r="H882" s="405">
        <v>6</v>
      </c>
      <c r="I882" s="405"/>
      <c r="J882" s="406"/>
      <c r="K882" s="405" t="s">
        <v>4641</v>
      </c>
      <c r="L882" s="405" t="s">
        <v>1561</v>
      </c>
      <c r="M882" s="406">
        <v>44686</v>
      </c>
      <c r="N882" s="406">
        <v>44686</v>
      </c>
      <c r="O882" s="406"/>
      <c r="P882" s="406"/>
      <c r="Q882" s="406"/>
      <c r="R882" s="406"/>
      <c r="S882" s="405" t="s">
        <v>88</v>
      </c>
      <c r="T882" s="405">
        <v>72</v>
      </c>
      <c r="U882" s="417"/>
      <c r="V882" s="405" t="s">
        <v>995</v>
      </c>
      <c r="W882" s="405">
        <v>480</v>
      </c>
      <c r="X882" s="382">
        <v>1276</v>
      </c>
      <c r="Y882" s="365">
        <f t="shared" si="197"/>
        <v>612480</v>
      </c>
      <c r="Z882" s="409">
        <f>285.6/480</f>
        <v>0.59500000000000008</v>
      </c>
      <c r="AA882" s="411">
        <f t="shared" si="198"/>
        <v>364425.60000000003</v>
      </c>
      <c r="AB882" s="411"/>
      <c r="AC882" s="412"/>
      <c r="AD882" s="405"/>
      <c r="AE882" s="405"/>
      <c r="AF882" s="424">
        <f t="shared" si="199"/>
        <v>364425.60000000003</v>
      </c>
      <c r="AG882" s="405" t="s">
        <v>1069</v>
      </c>
      <c r="AH882" s="405"/>
      <c r="AI882" s="405">
        <v>60</v>
      </c>
      <c r="AJ882" s="406" t="s">
        <v>1563</v>
      </c>
      <c r="AK882" s="406" t="s">
        <v>50</v>
      </c>
      <c r="AL882" s="414">
        <v>93305</v>
      </c>
      <c r="AM882" s="405" t="s">
        <v>52</v>
      </c>
      <c r="AN882" s="361" t="s">
        <v>1071</v>
      </c>
      <c r="AO882" s="405" t="s">
        <v>1073</v>
      </c>
      <c r="AP882" s="413"/>
      <c r="AQ882" s="405" t="s">
        <v>37</v>
      </c>
      <c r="AR882" s="405" t="s">
        <v>1499</v>
      </c>
      <c r="AS882" s="404"/>
      <c r="AT882" s="404"/>
      <c r="AU882" s="409">
        <v>0.45500000000000002</v>
      </c>
      <c r="AV882" s="402">
        <f t="shared" si="200"/>
        <v>0</v>
      </c>
      <c r="AW882" s="402" cm="1">
        <f t="array" ref="AW882">SUM(MID(0&amp;AV882,LARGE(INDEX(ISNUMBER(--MID(AV882,ROW($1:$8),1))*ROW($1:$8),),ROW($1:$8))+1,1)*10^ROW($1:$8)/10)</f>
        <v>0</v>
      </c>
      <c r="AX882" s="402" t="e">
        <f>VLOOKUP($AW882,'Item Master Data'!$A:$F,3,FALSE)</f>
        <v>#N/A</v>
      </c>
      <c r="AY882" s="402" t="e">
        <f>VLOOKUP($AW882,'Item Master Data'!$A:$F,6,FALSE)</f>
        <v>#N/A</v>
      </c>
      <c r="AZ882" s="402" t="e">
        <f t="shared" si="201"/>
        <v>#N/A</v>
      </c>
      <c r="BA882" s="402" t="e">
        <f>VLOOKUP(AW882,'Item Master Data'!$A:$G,7,FALSE)</f>
        <v>#N/A</v>
      </c>
      <c r="BB882" s="402"/>
      <c r="BC882" s="402" t="e">
        <f t="shared" si="202"/>
        <v>#N/A</v>
      </c>
    </row>
    <row r="883" spans="1:55">
      <c r="A883" s="426"/>
      <c r="B883" s="376">
        <v>44615</v>
      </c>
      <c r="C883" s="376"/>
      <c r="D883" s="416" t="s">
        <v>86</v>
      </c>
      <c r="E883" s="405"/>
      <c r="F883" s="417"/>
      <c r="G883" s="359">
        <v>2022</v>
      </c>
      <c r="H883" s="405">
        <v>6</v>
      </c>
      <c r="I883" s="405"/>
      <c r="J883" s="406"/>
      <c r="K883" s="405" t="s">
        <v>1569</v>
      </c>
      <c r="L883" s="405" t="s">
        <v>1567</v>
      </c>
      <c r="M883" s="406">
        <v>44615</v>
      </c>
      <c r="N883" s="406">
        <v>44886</v>
      </c>
      <c r="O883" s="406"/>
      <c r="P883" s="406"/>
      <c r="Q883" s="406"/>
      <c r="R883" s="406"/>
      <c r="S883" s="405" t="s">
        <v>1520</v>
      </c>
      <c r="T883" s="405">
        <v>60</v>
      </c>
      <c r="U883" s="417"/>
      <c r="V883" s="405" t="s">
        <v>973</v>
      </c>
      <c r="W883" s="405">
        <v>400</v>
      </c>
      <c r="X883" s="382">
        <v>768</v>
      </c>
      <c r="Y883" s="365">
        <f t="shared" si="197"/>
        <v>307200</v>
      </c>
      <c r="Z883" s="409">
        <f>220/400</f>
        <v>0.55000000000000004</v>
      </c>
      <c r="AA883" s="411">
        <f t="shared" si="198"/>
        <v>168960</v>
      </c>
      <c r="AB883" s="411"/>
      <c r="AC883" s="412">
        <f>AB883*Y883</f>
        <v>0</v>
      </c>
      <c r="AD883" s="405"/>
      <c r="AE883" s="405"/>
      <c r="AF883" s="424">
        <f t="shared" si="199"/>
        <v>168960</v>
      </c>
      <c r="AG883" s="405" t="s">
        <v>1069</v>
      </c>
      <c r="AH883" s="405"/>
      <c r="AI883" s="405">
        <v>60</v>
      </c>
      <c r="AJ883" s="406" t="s">
        <v>1524</v>
      </c>
      <c r="AK883" s="406" t="s">
        <v>1522</v>
      </c>
      <c r="AL883" s="414" t="s">
        <v>1568</v>
      </c>
      <c r="AM883" s="405" t="s">
        <v>52</v>
      </c>
      <c r="AN883" s="361" t="s">
        <v>1071</v>
      </c>
      <c r="AO883" s="405" t="s">
        <v>1073</v>
      </c>
      <c r="AP883" s="413"/>
      <c r="AQ883" s="405" t="s">
        <v>37</v>
      </c>
      <c r="AR883" s="405"/>
      <c r="AS883" s="404"/>
      <c r="AT883" s="404"/>
      <c r="AU883" s="409">
        <f>180/360</f>
        <v>0.5</v>
      </c>
      <c r="AV883" s="402">
        <f t="shared" si="200"/>
        <v>0</v>
      </c>
      <c r="AW883" s="402" cm="1">
        <f t="array" ref="AW883">SUM(MID(0&amp;AV883,LARGE(INDEX(ISNUMBER(--MID(AV883,ROW($1:$8),1))*ROW($1:$8),),ROW($1:$8))+1,1)*10^ROW($1:$8)/10)</f>
        <v>0</v>
      </c>
      <c r="AX883" s="402" t="e">
        <f>VLOOKUP($AW883,'Item Master Data'!$A:$F,3,FALSE)</f>
        <v>#N/A</v>
      </c>
      <c r="AY883" s="402" t="e">
        <f>VLOOKUP($AW883,'Item Master Data'!$A:$F,6,FALSE)</f>
        <v>#N/A</v>
      </c>
      <c r="AZ883" s="402" t="e">
        <f t="shared" si="201"/>
        <v>#N/A</v>
      </c>
      <c r="BA883" s="402" t="e">
        <f>VLOOKUP(AW883,'Item Master Data'!$A:$G,7,FALSE)</f>
        <v>#N/A</v>
      </c>
      <c r="BB883" s="402"/>
      <c r="BC883" s="402" t="e">
        <f t="shared" si="202"/>
        <v>#N/A</v>
      </c>
    </row>
    <row r="884" spans="1:55">
      <c r="A884" s="426"/>
      <c r="B884" s="376"/>
      <c r="C884" s="376"/>
      <c r="D884" s="416" t="s">
        <v>86</v>
      </c>
      <c r="E884" s="405"/>
      <c r="F884" s="417"/>
      <c r="G884" s="359">
        <v>2022</v>
      </c>
      <c r="H884" s="405">
        <v>6</v>
      </c>
      <c r="I884" s="405"/>
      <c r="J884" s="406"/>
      <c r="K884" s="405" t="s">
        <v>1578</v>
      </c>
      <c r="L884" s="405" t="s">
        <v>1576</v>
      </c>
      <c r="M884" s="406">
        <v>44524</v>
      </c>
      <c r="N884" s="406">
        <v>44620</v>
      </c>
      <c r="O884" s="406"/>
      <c r="P884" s="406"/>
      <c r="Q884" s="406"/>
      <c r="R884" s="406"/>
      <c r="S884" s="405" t="s">
        <v>1520</v>
      </c>
      <c r="T884" s="405">
        <v>60</v>
      </c>
      <c r="U884" s="417"/>
      <c r="V884" s="405" t="s">
        <v>973</v>
      </c>
      <c r="W884" s="405">
        <v>400</v>
      </c>
      <c r="X884" s="382">
        <v>768</v>
      </c>
      <c r="Y884" s="365">
        <f t="shared" si="197"/>
        <v>307200</v>
      </c>
      <c r="Z884" s="409">
        <f>220/400</f>
        <v>0.55000000000000004</v>
      </c>
      <c r="AA884" s="411">
        <f t="shared" si="198"/>
        <v>168960</v>
      </c>
      <c r="AB884" s="411"/>
      <c r="AC884" s="412"/>
      <c r="AD884" s="405"/>
      <c r="AE884" s="405"/>
      <c r="AF884" s="424">
        <f t="shared" si="199"/>
        <v>168960</v>
      </c>
      <c r="AG884" s="405" t="s">
        <v>1069</v>
      </c>
      <c r="AH884" s="405"/>
      <c r="AI884" s="405">
        <v>60</v>
      </c>
      <c r="AJ884" s="406" t="s">
        <v>1577</v>
      </c>
      <c r="AK884" s="406" t="s">
        <v>1341</v>
      </c>
      <c r="AL884" s="414">
        <v>83642</v>
      </c>
      <c r="AM884" s="405" t="s">
        <v>52</v>
      </c>
      <c r="AN884" s="361" t="s">
        <v>1071</v>
      </c>
      <c r="AO884" s="405" t="s">
        <v>1073</v>
      </c>
      <c r="AP884" s="413"/>
      <c r="AQ884" s="405" t="s">
        <v>37</v>
      </c>
      <c r="AR884" s="405" t="s">
        <v>1243</v>
      </c>
      <c r="AS884" s="404"/>
      <c r="AT884" s="404"/>
      <c r="AU884" s="409">
        <f>196/400</f>
        <v>0.49</v>
      </c>
      <c r="AV884" s="402">
        <f t="shared" si="200"/>
        <v>0</v>
      </c>
      <c r="AW884" s="402" cm="1">
        <f t="array" ref="AW884">SUM(MID(0&amp;AV884,LARGE(INDEX(ISNUMBER(--MID(AV884,ROW($1:$8),1))*ROW($1:$8),),ROW($1:$8))+1,1)*10^ROW($1:$8)/10)</f>
        <v>0</v>
      </c>
      <c r="AX884" s="402" t="e">
        <f>VLOOKUP($AW884,'Item Master Data'!$A:$F,3,FALSE)</f>
        <v>#N/A</v>
      </c>
      <c r="AY884" s="402" t="e">
        <f>VLOOKUP($AW884,'Item Master Data'!$A:$F,6,FALSE)</f>
        <v>#N/A</v>
      </c>
      <c r="AZ884" s="402" t="e">
        <f t="shared" si="201"/>
        <v>#N/A</v>
      </c>
      <c r="BA884" s="402" t="e">
        <f>VLOOKUP(AW884,'Item Master Data'!$A:$G,7,FALSE)</f>
        <v>#N/A</v>
      </c>
      <c r="BB884" s="402"/>
      <c r="BC884" s="402" t="e">
        <f t="shared" si="202"/>
        <v>#N/A</v>
      </c>
    </row>
    <row r="885" spans="1:55">
      <c r="A885" s="426"/>
      <c r="B885" s="376"/>
      <c r="C885" s="376"/>
      <c r="D885" s="416" t="s">
        <v>86</v>
      </c>
      <c r="E885" s="405"/>
      <c r="F885" s="417"/>
      <c r="G885" s="359">
        <v>2022</v>
      </c>
      <c r="H885" s="405">
        <v>6</v>
      </c>
      <c r="I885" s="405"/>
      <c r="J885" s="406"/>
      <c r="K885" s="405" t="s">
        <v>1579</v>
      </c>
      <c r="L885" s="405" t="s">
        <v>1576</v>
      </c>
      <c r="M885" s="406">
        <v>44524</v>
      </c>
      <c r="N885" s="406">
        <v>44620</v>
      </c>
      <c r="O885" s="406"/>
      <c r="P885" s="406"/>
      <c r="Q885" s="406"/>
      <c r="R885" s="406"/>
      <c r="S885" s="405" t="s">
        <v>1520</v>
      </c>
      <c r="T885" s="405">
        <v>60</v>
      </c>
      <c r="U885" s="417"/>
      <c r="V885" s="405" t="s">
        <v>973</v>
      </c>
      <c r="W885" s="405">
        <v>400</v>
      </c>
      <c r="X885" s="382">
        <v>768</v>
      </c>
      <c r="Y885" s="365">
        <f t="shared" si="197"/>
        <v>307200</v>
      </c>
      <c r="Z885" s="409">
        <f>220/400</f>
        <v>0.55000000000000004</v>
      </c>
      <c r="AA885" s="411">
        <f t="shared" si="198"/>
        <v>168960</v>
      </c>
      <c r="AB885" s="411"/>
      <c r="AC885" s="412"/>
      <c r="AD885" s="405"/>
      <c r="AE885" s="405"/>
      <c r="AF885" s="424">
        <f t="shared" si="199"/>
        <v>168960</v>
      </c>
      <c r="AG885" s="405" t="s">
        <v>1069</v>
      </c>
      <c r="AH885" s="405"/>
      <c r="AI885" s="405">
        <v>60</v>
      </c>
      <c r="AJ885" s="406" t="s">
        <v>1577</v>
      </c>
      <c r="AK885" s="406" t="s">
        <v>1341</v>
      </c>
      <c r="AL885" s="414">
        <v>83642</v>
      </c>
      <c r="AM885" s="405" t="s">
        <v>52</v>
      </c>
      <c r="AN885" s="361" t="s">
        <v>1071</v>
      </c>
      <c r="AO885" s="405" t="s">
        <v>1073</v>
      </c>
      <c r="AP885" s="413"/>
      <c r="AQ885" s="405" t="s">
        <v>37</v>
      </c>
      <c r="AR885" s="405" t="s">
        <v>1243</v>
      </c>
      <c r="AS885" s="404"/>
      <c r="AT885" s="404"/>
      <c r="AU885" s="409">
        <f>196/400</f>
        <v>0.49</v>
      </c>
      <c r="AV885" s="402">
        <f t="shared" si="200"/>
        <v>0</v>
      </c>
      <c r="AW885" s="402" cm="1">
        <f t="array" ref="AW885">SUM(MID(0&amp;AV885,LARGE(INDEX(ISNUMBER(--MID(AV885,ROW($1:$8),1))*ROW($1:$8),),ROW($1:$8))+1,1)*10^ROW($1:$8)/10)</f>
        <v>0</v>
      </c>
      <c r="AX885" s="402" t="e">
        <f>VLOOKUP($AW885,'Item Master Data'!$A:$F,3,FALSE)</f>
        <v>#N/A</v>
      </c>
      <c r="AY885" s="402" t="e">
        <f>VLOOKUP($AW885,'Item Master Data'!$A:$F,6,FALSE)</f>
        <v>#N/A</v>
      </c>
      <c r="AZ885" s="402" t="e">
        <f t="shared" si="201"/>
        <v>#N/A</v>
      </c>
      <c r="BA885" s="402" t="e">
        <f>VLOOKUP(AW885,'Item Master Data'!$A:$G,7,FALSE)</f>
        <v>#N/A</v>
      </c>
      <c r="BB885" s="402"/>
      <c r="BC885" s="402" t="e">
        <f t="shared" si="202"/>
        <v>#N/A</v>
      </c>
    </row>
    <row r="886" spans="1:55">
      <c r="A886" s="426"/>
      <c r="B886" s="376">
        <v>44608</v>
      </c>
      <c r="C886" s="376"/>
      <c r="D886" s="416" t="s">
        <v>86</v>
      </c>
      <c r="E886" s="405"/>
      <c r="F886" s="417"/>
      <c r="G886" s="359">
        <v>2022</v>
      </c>
      <c r="H886" s="405">
        <v>6</v>
      </c>
      <c r="I886" s="405"/>
      <c r="J886" s="406"/>
      <c r="K886" s="405" t="s">
        <v>1580</v>
      </c>
      <c r="L886" s="405" t="s">
        <v>1581</v>
      </c>
      <c r="M886" s="406">
        <v>44621</v>
      </c>
      <c r="N886" s="406">
        <v>44727</v>
      </c>
      <c r="O886" s="406"/>
      <c r="P886" s="406"/>
      <c r="Q886" s="406"/>
      <c r="R886" s="406"/>
      <c r="S886" s="405" t="s">
        <v>1520</v>
      </c>
      <c r="T886" s="405">
        <v>60</v>
      </c>
      <c r="U886" s="417" t="s">
        <v>1102</v>
      </c>
      <c r="V886" s="405" t="s">
        <v>973</v>
      </c>
      <c r="W886" s="405">
        <v>400</v>
      </c>
      <c r="X886" s="382">
        <v>768</v>
      </c>
      <c r="Y886" s="365">
        <f t="shared" si="197"/>
        <v>307200</v>
      </c>
      <c r="Z886" s="409">
        <f>220/400</f>
        <v>0.55000000000000004</v>
      </c>
      <c r="AA886" s="411">
        <f t="shared" si="198"/>
        <v>168960</v>
      </c>
      <c r="AB886" s="411"/>
      <c r="AC886" s="412">
        <f>AB886*Y886</f>
        <v>0</v>
      </c>
      <c r="AD886" s="405"/>
      <c r="AE886" s="405"/>
      <c r="AF886" s="424">
        <f t="shared" si="199"/>
        <v>168960</v>
      </c>
      <c r="AG886" s="405" t="s">
        <v>1069</v>
      </c>
      <c r="AH886" s="405">
        <v>100</v>
      </c>
      <c r="AI886" s="405">
        <v>0</v>
      </c>
      <c r="AJ886" s="406" t="s">
        <v>1582</v>
      </c>
      <c r="AK886" s="406" t="s">
        <v>1583</v>
      </c>
      <c r="AL886" s="414">
        <v>59715</v>
      </c>
      <c r="AM886" s="405" t="s">
        <v>52</v>
      </c>
      <c r="AN886" s="361"/>
      <c r="AO886" s="405" t="s">
        <v>1073</v>
      </c>
      <c r="AP886" s="413"/>
      <c r="AQ886" s="405" t="s">
        <v>37</v>
      </c>
      <c r="AR886" s="405" t="s">
        <v>1188</v>
      </c>
      <c r="AS886" s="404"/>
      <c r="AT886" s="404"/>
      <c r="AU886" s="409">
        <f>212/400</f>
        <v>0.53</v>
      </c>
      <c r="AV886" s="402" t="str">
        <f t="shared" si="200"/>
        <v>TBD</v>
      </c>
      <c r="AW886" s="402" cm="1">
        <f t="array" ref="AW886">SUM(MID(0&amp;AV886,LARGE(INDEX(ISNUMBER(--MID(AV886,ROW($1:$8),1))*ROW($1:$8),),ROW($1:$8))+1,1)*10^ROW($1:$8)/10)</f>
        <v>0</v>
      </c>
      <c r="AX886" s="402" t="e">
        <f>VLOOKUP($AW886,'Item Master Data'!$A:$F,3,FALSE)</f>
        <v>#N/A</v>
      </c>
      <c r="AY886" s="402" t="e">
        <f>VLOOKUP($AW886,'Item Master Data'!$A:$F,6,FALSE)</f>
        <v>#N/A</v>
      </c>
      <c r="AZ886" s="402" t="e">
        <f t="shared" si="201"/>
        <v>#N/A</v>
      </c>
      <c r="BA886" s="402" t="e">
        <f>VLOOKUP(AW886,'Item Master Data'!$A:$G,7,FALSE)</f>
        <v>#N/A</v>
      </c>
      <c r="BB886" s="402"/>
      <c r="BC886" s="402" t="e">
        <f t="shared" si="202"/>
        <v>#N/A</v>
      </c>
    </row>
    <row r="887" spans="1:55">
      <c r="A887" s="426"/>
      <c r="B887" s="376">
        <v>44628</v>
      </c>
      <c r="C887" s="376">
        <v>44628</v>
      </c>
      <c r="D887" s="416" t="s">
        <v>86</v>
      </c>
      <c r="E887" s="405"/>
      <c r="F887" s="417"/>
      <c r="G887" s="359">
        <v>2022</v>
      </c>
      <c r="H887" s="405">
        <v>6</v>
      </c>
      <c r="I887" s="405"/>
      <c r="J887" s="406"/>
      <c r="K887" s="405" t="s">
        <v>1593</v>
      </c>
      <c r="L887" s="405" t="s">
        <v>1588</v>
      </c>
      <c r="M887" s="406">
        <v>44568</v>
      </c>
      <c r="N887" s="406">
        <v>44713</v>
      </c>
      <c r="O887" s="406"/>
      <c r="P887" s="406"/>
      <c r="Q887" s="406"/>
      <c r="R887" s="406"/>
      <c r="S887" s="405" t="s">
        <v>1510</v>
      </c>
      <c r="T887" s="405">
        <v>60</v>
      </c>
      <c r="U887" s="417">
        <v>49204132</v>
      </c>
      <c r="V887" s="405" t="s">
        <v>1192</v>
      </c>
      <c r="W887" s="405">
        <v>360</v>
      </c>
      <c r="X887" s="382">
        <v>676</v>
      </c>
      <c r="Y887" s="365">
        <f t="shared" si="197"/>
        <v>243360</v>
      </c>
      <c r="Z887" s="409">
        <f>298.8/360</f>
        <v>0.83000000000000007</v>
      </c>
      <c r="AA887" s="411">
        <f t="shared" si="198"/>
        <v>201988.80000000002</v>
      </c>
      <c r="AB887" s="411"/>
      <c r="AC887" s="412">
        <v>0</v>
      </c>
      <c r="AD887" s="405"/>
      <c r="AE887" s="405"/>
      <c r="AF887" s="424">
        <f t="shared" si="199"/>
        <v>201988.80000000002</v>
      </c>
      <c r="AG887" s="405" t="s">
        <v>1069</v>
      </c>
      <c r="AH887" s="405"/>
      <c r="AI887" s="405">
        <v>60</v>
      </c>
      <c r="AJ887" s="406" t="s">
        <v>1589</v>
      </c>
      <c r="AK887" s="406" t="s">
        <v>50</v>
      </c>
      <c r="AL887" s="414">
        <v>91311</v>
      </c>
      <c r="AM887" s="405" t="s">
        <v>52</v>
      </c>
      <c r="AN887" s="361" t="s">
        <v>1071</v>
      </c>
      <c r="AO887" s="405" t="s">
        <v>1073</v>
      </c>
      <c r="AP887" s="413"/>
      <c r="AQ887" s="405" t="s">
        <v>37</v>
      </c>
      <c r="AR887" s="405"/>
      <c r="AS887" s="404"/>
      <c r="AT887" s="404"/>
      <c r="AU887" s="409">
        <v>0.72</v>
      </c>
      <c r="AV887" s="402"/>
      <c r="AW887" s="402"/>
      <c r="AX887" s="402"/>
      <c r="AY887" s="402"/>
      <c r="AZ887" s="402"/>
      <c r="BA887" s="402"/>
      <c r="BB887" s="402"/>
      <c r="BC887" s="402"/>
    </row>
    <row r="888" spans="1:55">
      <c r="A888" s="426"/>
      <c r="B888" s="376"/>
      <c r="C888" s="376"/>
      <c r="D888" s="416" t="s">
        <v>86</v>
      </c>
      <c r="E888" s="405"/>
      <c r="F888" s="417"/>
      <c r="G888" s="359">
        <v>2022</v>
      </c>
      <c r="H888" s="405">
        <v>6</v>
      </c>
      <c r="I888" s="405"/>
      <c r="J888" s="406"/>
      <c r="K888" s="405" t="s">
        <v>1631</v>
      </c>
      <c r="L888" s="405" t="s">
        <v>1603</v>
      </c>
      <c r="M888" s="406">
        <v>44574</v>
      </c>
      <c r="N888" s="406">
        <v>44682</v>
      </c>
      <c r="O888" s="406">
        <v>44726</v>
      </c>
      <c r="P888" s="406"/>
      <c r="Q888" s="406"/>
      <c r="R888" s="406"/>
      <c r="S888" s="405" t="s">
        <v>1520</v>
      </c>
      <c r="T888" s="405">
        <v>60</v>
      </c>
      <c r="U888" s="417"/>
      <c r="V888" s="405" t="s">
        <v>973</v>
      </c>
      <c r="W888" s="405">
        <v>400</v>
      </c>
      <c r="X888" s="382">
        <v>1920</v>
      </c>
      <c r="Y888" s="365">
        <f t="shared" si="197"/>
        <v>768000</v>
      </c>
      <c r="Z888" s="409">
        <f>208/400</f>
        <v>0.52</v>
      </c>
      <c r="AA888" s="411">
        <f t="shared" si="198"/>
        <v>399360</v>
      </c>
      <c r="AB888" s="411"/>
      <c r="AC888" s="412">
        <f>AB888*Y888</f>
        <v>0</v>
      </c>
      <c r="AD888" s="405"/>
      <c r="AE888" s="405"/>
      <c r="AF888" s="424">
        <f t="shared" si="199"/>
        <v>399360</v>
      </c>
      <c r="AG888" s="405" t="s">
        <v>1069</v>
      </c>
      <c r="AH888" s="405"/>
      <c r="AI888" s="405">
        <v>60</v>
      </c>
      <c r="AJ888" s="406" t="s">
        <v>1613</v>
      </c>
      <c r="AK888" s="406" t="s">
        <v>50</v>
      </c>
      <c r="AL888" s="414" t="s">
        <v>1614</v>
      </c>
      <c r="AM888" s="405" t="s">
        <v>52</v>
      </c>
      <c r="AN888" s="361" t="s">
        <v>1071</v>
      </c>
      <c r="AO888" s="405" t="s">
        <v>1073</v>
      </c>
      <c r="AP888" s="413"/>
      <c r="AQ888" s="405" t="s">
        <v>37</v>
      </c>
      <c r="AR888" s="405" t="s">
        <v>1188</v>
      </c>
      <c r="AS888" s="404" t="s">
        <v>1392</v>
      </c>
      <c r="AT888" s="404"/>
      <c r="AU888" s="409">
        <f>208/400</f>
        <v>0.52</v>
      </c>
      <c r="AV888" s="402">
        <f>U888</f>
        <v>0</v>
      </c>
      <c r="AW888" s="402" cm="1">
        <f t="array" ref="AW888">SUM(MID(0&amp;AV888,LARGE(INDEX(ISNUMBER(--MID(AV888,ROW($1:$8),1))*ROW($1:$8),),ROW($1:$8))+1,1)*10^ROW($1:$8)/10)</f>
        <v>0</v>
      </c>
      <c r="AX888" s="402" t="e">
        <f>VLOOKUP($AW888,'Item Master Data'!$A:$F,3,FALSE)</f>
        <v>#N/A</v>
      </c>
      <c r="AY888" s="402" t="e">
        <f>VLOOKUP($AW888,'Item Master Data'!$A:$F,6,FALSE)</f>
        <v>#N/A</v>
      </c>
      <c r="AZ888" s="402" t="e">
        <f>X888/BA888</f>
        <v>#N/A</v>
      </c>
      <c r="BA888" s="402" t="e">
        <f>VLOOKUP(AW888,'Item Master Data'!$A:$G,7,FALSE)</f>
        <v>#N/A</v>
      </c>
      <c r="BB888" s="402"/>
      <c r="BC888" s="402" t="e">
        <f>W888-AY888</f>
        <v>#N/A</v>
      </c>
    </row>
    <row r="889" spans="1:55">
      <c r="A889" s="426"/>
      <c r="B889" s="376"/>
      <c r="C889" s="376"/>
      <c r="D889" s="416" t="s">
        <v>86</v>
      </c>
      <c r="E889" s="405"/>
      <c r="F889" s="417"/>
      <c r="G889" s="359">
        <v>2022</v>
      </c>
      <c r="H889" s="405">
        <v>6</v>
      </c>
      <c r="I889" s="405"/>
      <c r="J889" s="406"/>
      <c r="K889" s="405" t="s">
        <v>1631</v>
      </c>
      <c r="L889" s="405" t="s">
        <v>1603</v>
      </c>
      <c r="M889" s="406">
        <v>44574</v>
      </c>
      <c r="N889" s="406">
        <v>44682</v>
      </c>
      <c r="O889" s="406">
        <v>44719</v>
      </c>
      <c r="P889" s="406"/>
      <c r="Q889" s="406"/>
      <c r="R889" s="406"/>
      <c r="S889" s="405" t="s">
        <v>1520</v>
      </c>
      <c r="T889" s="405">
        <v>60</v>
      </c>
      <c r="U889" s="417"/>
      <c r="V889" s="405" t="s">
        <v>986</v>
      </c>
      <c r="W889" s="405">
        <v>360</v>
      </c>
      <c r="X889" s="382">
        <v>1536</v>
      </c>
      <c r="Y889" s="365">
        <f t="shared" si="197"/>
        <v>552960</v>
      </c>
      <c r="Z889" s="409">
        <f>180/360</f>
        <v>0.5</v>
      </c>
      <c r="AA889" s="411">
        <f t="shared" si="198"/>
        <v>276480</v>
      </c>
      <c r="AB889" s="411"/>
      <c r="AC889" s="412">
        <f>AB889*Y889</f>
        <v>0</v>
      </c>
      <c r="AD889" s="405"/>
      <c r="AE889" s="405"/>
      <c r="AF889" s="424">
        <f t="shared" si="199"/>
        <v>276480</v>
      </c>
      <c r="AG889" s="405" t="s">
        <v>1069</v>
      </c>
      <c r="AH889" s="405"/>
      <c r="AI889" s="405">
        <v>60</v>
      </c>
      <c r="AJ889" s="406" t="s">
        <v>1613</v>
      </c>
      <c r="AK889" s="406" t="s">
        <v>50</v>
      </c>
      <c r="AL889" s="414" t="s">
        <v>1614</v>
      </c>
      <c r="AM889" s="405" t="s">
        <v>52</v>
      </c>
      <c r="AN889" s="361" t="s">
        <v>1071</v>
      </c>
      <c r="AO889" s="405" t="s">
        <v>1073</v>
      </c>
      <c r="AP889" s="413"/>
      <c r="AQ889" s="405" t="s">
        <v>37</v>
      </c>
      <c r="AR889" s="405" t="s">
        <v>1188</v>
      </c>
      <c r="AS889" s="404" t="s">
        <v>1392</v>
      </c>
      <c r="AT889" s="404"/>
      <c r="AU889" s="409">
        <f>180/360</f>
        <v>0.5</v>
      </c>
      <c r="AV889" s="402">
        <f>U889</f>
        <v>0</v>
      </c>
      <c r="AW889" s="402" cm="1">
        <f t="array" ref="AW889">SUM(MID(0&amp;AV889,LARGE(INDEX(ISNUMBER(--MID(AV889,ROW($1:$8),1))*ROW($1:$8),),ROW($1:$8))+1,1)*10^ROW($1:$8)/10)</f>
        <v>0</v>
      </c>
      <c r="AX889" s="402" t="e">
        <f>VLOOKUP($AW889,'Item Master Data'!$A:$F,3,FALSE)</f>
        <v>#N/A</v>
      </c>
      <c r="AY889" s="402" t="e">
        <f>VLOOKUP($AW889,'Item Master Data'!$A:$F,6,FALSE)</f>
        <v>#N/A</v>
      </c>
      <c r="AZ889" s="402" t="e">
        <f>X889/BA889</f>
        <v>#N/A</v>
      </c>
      <c r="BA889" s="402" t="e">
        <f>VLOOKUP(AW889,'Item Master Data'!$A:$G,7,FALSE)</f>
        <v>#N/A</v>
      </c>
      <c r="BB889" s="402"/>
      <c r="BC889" s="402" t="e">
        <f>W889-AY889</f>
        <v>#N/A</v>
      </c>
    </row>
    <row r="890" spans="1:55">
      <c r="A890" s="426"/>
      <c r="B890" s="376">
        <v>44530</v>
      </c>
      <c r="C890" s="376"/>
      <c r="D890" s="416" t="s">
        <v>86</v>
      </c>
      <c r="E890" s="405" t="s">
        <v>4269</v>
      </c>
      <c r="F890" s="417" t="s">
        <v>87</v>
      </c>
      <c r="G890" s="359">
        <v>2022</v>
      </c>
      <c r="H890" s="405">
        <v>6</v>
      </c>
      <c r="I890" s="405"/>
      <c r="J890" s="406"/>
      <c r="K890" s="405" t="s">
        <v>1653</v>
      </c>
      <c r="L890" s="405" t="s">
        <v>1608</v>
      </c>
      <c r="M890" s="406">
        <v>44487</v>
      </c>
      <c r="N890" s="406">
        <v>44599</v>
      </c>
      <c r="O890" s="406"/>
      <c r="P890" s="406" t="s">
        <v>1654</v>
      </c>
      <c r="Q890" s="406"/>
      <c r="R890" s="406"/>
      <c r="S890" s="405" t="s">
        <v>1510</v>
      </c>
      <c r="T890" s="405">
        <v>72</v>
      </c>
      <c r="U890" s="417"/>
      <c r="V890" s="405" t="s">
        <v>1655</v>
      </c>
      <c r="W890" s="405">
        <v>485</v>
      </c>
      <c r="X890" s="382">
        <v>696</v>
      </c>
      <c r="Y890" s="365">
        <f t="shared" si="197"/>
        <v>337560</v>
      </c>
      <c r="Z890" s="409">
        <f>227.95/485</f>
        <v>0.47</v>
      </c>
      <c r="AA890" s="411">
        <f t="shared" si="198"/>
        <v>158653.19999999998</v>
      </c>
      <c r="AB890" s="411"/>
      <c r="AC890" s="412">
        <f>AB890*Y890</f>
        <v>0</v>
      </c>
      <c r="AD890" s="405"/>
      <c r="AE890" s="405"/>
      <c r="AF890" s="424">
        <f t="shared" si="199"/>
        <v>158653.19999999998</v>
      </c>
      <c r="AG890" s="405" t="s">
        <v>1069</v>
      </c>
      <c r="AH890" s="405"/>
      <c r="AI890" s="405">
        <v>60</v>
      </c>
      <c r="AJ890" s="406" t="s">
        <v>1656</v>
      </c>
      <c r="AK890" s="406" t="s">
        <v>50</v>
      </c>
      <c r="AL890" s="414" t="s">
        <v>1657</v>
      </c>
      <c r="AM890" s="405" t="s">
        <v>52</v>
      </c>
      <c r="AN890" s="361"/>
      <c r="AO890" s="405" t="s">
        <v>1073</v>
      </c>
      <c r="AP890" s="413" t="s">
        <v>38</v>
      </c>
      <c r="AQ890" s="405" t="s">
        <v>1083</v>
      </c>
      <c r="AR890" s="405"/>
      <c r="AS890" s="404"/>
      <c r="AT890" s="404"/>
      <c r="AU890" s="409"/>
      <c r="AV890" s="402"/>
      <c r="AW890" s="402"/>
      <c r="AX890" s="402"/>
      <c r="AY890" s="402"/>
      <c r="AZ890" s="402"/>
      <c r="BA890" s="402"/>
      <c r="BB890" s="402"/>
      <c r="BC890" s="402"/>
    </row>
    <row r="891" spans="1:55">
      <c r="A891" s="426"/>
      <c r="B891" s="376">
        <v>44530</v>
      </c>
      <c r="C891" s="376">
        <v>44530</v>
      </c>
      <c r="D891" s="416" t="s">
        <v>86</v>
      </c>
      <c r="E891" s="405" t="s">
        <v>4269</v>
      </c>
      <c r="F891" s="417" t="s">
        <v>87</v>
      </c>
      <c r="G891" s="359">
        <v>2022</v>
      </c>
      <c r="H891" s="405">
        <v>6</v>
      </c>
      <c r="I891" s="405"/>
      <c r="J891" s="406"/>
      <c r="K891" s="405" t="s">
        <v>1659</v>
      </c>
      <c r="L891" s="405" t="s">
        <v>1608</v>
      </c>
      <c r="M891" s="406">
        <v>44519</v>
      </c>
      <c r="N891" s="406">
        <v>44519</v>
      </c>
      <c r="O891" s="406"/>
      <c r="P891" s="406" t="s">
        <v>1654</v>
      </c>
      <c r="Q891" s="406"/>
      <c r="R891" s="406"/>
      <c r="S891" s="405" t="s">
        <v>1510</v>
      </c>
      <c r="T891" s="405">
        <v>72</v>
      </c>
      <c r="U891" s="417"/>
      <c r="V891" s="405" t="s">
        <v>1660</v>
      </c>
      <c r="W891" s="405">
        <v>485</v>
      </c>
      <c r="X891" s="382">
        <v>928</v>
      </c>
      <c r="Y891" s="365">
        <f t="shared" si="197"/>
        <v>450080</v>
      </c>
      <c r="Z891" s="409">
        <f>230.38/485</f>
        <v>0.47501030927835053</v>
      </c>
      <c r="AA891" s="411">
        <f t="shared" si="198"/>
        <v>213792.64000000001</v>
      </c>
      <c r="AB891" s="411"/>
      <c r="AC891" s="412">
        <f>AB891*Y891</f>
        <v>0</v>
      </c>
      <c r="AD891" s="405"/>
      <c r="AE891" s="405"/>
      <c r="AF891" s="424">
        <f t="shared" si="199"/>
        <v>213792.64000000001</v>
      </c>
      <c r="AG891" s="405" t="s">
        <v>1069</v>
      </c>
      <c r="AH891" s="405"/>
      <c r="AI891" s="405">
        <v>60</v>
      </c>
      <c r="AJ891" s="406" t="s">
        <v>1656</v>
      </c>
      <c r="AK891" s="406" t="s">
        <v>50</v>
      </c>
      <c r="AL891" s="414" t="s">
        <v>1661</v>
      </c>
      <c r="AM891" s="405" t="s">
        <v>52</v>
      </c>
      <c r="AN891" s="361"/>
      <c r="AO891" s="405" t="s">
        <v>1073</v>
      </c>
      <c r="AP891" s="413" t="s">
        <v>38</v>
      </c>
      <c r="AQ891" s="405" t="s">
        <v>1083</v>
      </c>
      <c r="AR891" s="405"/>
      <c r="AS891" s="404"/>
      <c r="AT891" s="404"/>
      <c r="AU891" s="409"/>
      <c r="AV891" s="402"/>
      <c r="AW891" s="402"/>
      <c r="AX891" s="402"/>
      <c r="AY891" s="402"/>
      <c r="AZ891" s="402"/>
      <c r="BA891" s="402"/>
      <c r="BB891" s="402"/>
      <c r="BC891" s="402"/>
    </row>
    <row r="892" spans="1:55">
      <c r="A892" s="426"/>
      <c r="B892" s="376"/>
      <c r="C892" s="376"/>
      <c r="D892" s="416" t="s">
        <v>86</v>
      </c>
      <c r="E892" s="405"/>
      <c r="F892" s="417"/>
      <c r="G892" s="359">
        <v>2022</v>
      </c>
      <c r="H892" s="405">
        <v>6</v>
      </c>
      <c r="I892" s="405"/>
      <c r="J892" s="406"/>
      <c r="K892" s="405" t="s">
        <v>1676</v>
      </c>
      <c r="L892" s="405" t="s">
        <v>1608</v>
      </c>
      <c r="M892" s="406">
        <v>44558</v>
      </c>
      <c r="N892" s="406">
        <v>44679</v>
      </c>
      <c r="O892" s="406"/>
      <c r="P892" s="406"/>
      <c r="Q892" s="406"/>
      <c r="R892" s="406"/>
      <c r="S892" s="405" t="s">
        <v>1510</v>
      </c>
      <c r="T892" s="405">
        <v>60</v>
      </c>
      <c r="U892" s="417">
        <v>49204132</v>
      </c>
      <c r="V892" s="405" t="s">
        <v>1192</v>
      </c>
      <c r="W892" s="405">
        <v>360</v>
      </c>
      <c r="X892" s="382">
        <v>676</v>
      </c>
      <c r="Y892" s="365">
        <f t="shared" si="197"/>
        <v>243360</v>
      </c>
      <c r="Z892" s="409">
        <f>298.8/360</f>
        <v>0.83000000000000007</v>
      </c>
      <c r="AA892" s="411">
        <f t="shared" si="198"/>
        <v>201988.80000000002</v>
      </c>
      <c r="AB892" s="411"/>
      <c r="AC892" s="412">
        <f>AB892*Y892</f>
        <v>0</v>
      </c>
      <c r="AD892" s="405"/>
      <c r="AE892" s="405"/>
      <c r="AF892" s="424">
        <f t="shared" si="199"/>
        <v>201988.80000000002</v>
      </c>
      <c r="AG892" s="405" t="s">
        <v>1069</v>
      </c>
      <c r="AH892" s="405"/>
      <c r="AI892" s="405">
        <v>60</v>
      </c>
      <c r="AJ892" s="406" t="s">
        <v>1616</v>
      </c>
      <c r="AK892" s="406" t="s">
        <v>50</v>
      </c>
      <c r="AL892" s="414" t="s">
        <v>1623</v>
      </c>
      <c r="AM892" s="405" t="s">
        <v>52</v>
      </c>
      <c r="AN892" s="361"/>
      <c r="AO892" s="405" t="s">
        <v>1073</v>
      </c>
      <c r="AP892" s="413"/>
      <c r="AQ892" s="405" t="s">
        <v>37</v>
      </c>
      <c r="AR892" s="405" t="s">
        <v>1620</v>
      </c>
      <c r="AS892" s="404"/>
      <c r="AT892" s="404"/>
      <c r="AU892" s="409">
        <f>273.6/360</f>
        <v>0.76</v>
      </c>
      <c r="AV892" s="402"/>
      <c r="AW892" s="402"/>
      <c r="AX892" s="402"/>
      <c r="AY892" s="402"/>
      <c r="AZ892" s="402"/>
      <c r="BA892" s="402"/>
      <c r="BB892" s="402"/>
      <c r="BC892" s="402"/>
    </row>
    <row r="893" spans="1:55">
      <c r="A893" s="426"/>
      <c r="B893" s="376">
        <v>44589</v>
      </c>
      <c r="C893" s="376">
        <v>44589</v>
      </c>
      <c r="D893" s="416" t="s">
        <v>86</v>
      </c>
      <c r="E893" s="405"/>
      <c r="F893" s="417" t="s">
        <v>87</v>
      </c>
      <c r="G893" s="359">
        <v>2022</v>
      </c>
      <c r="H893" s="405">
        <v>6</v>
      </c>
      <c r="I893" s="405"/>
      <c r="J893" s="406"/>
      <c r="K893" s="405" t="s">
        <v>1662</v>
      </c>
      <c r="L893" s="405" t="s">
        <v>1608</v>
      </c>
      <c r="M893" s="406">
        <v>44924</v>
      </c>
      <c r="N893" s="406">
        <v>44741</v>
      </c>
      <c r="O893" s="406"/>
      <c r="P893" s="406"/>
      <c r="Q893" s="406"/>
      <c r="R893" s="406"/>
      <c r="S893" s="405" t="s">
        <v>88</v>
      </c>
      <c r="T893" s="405">
        <v>72</v>
      </c>
      <c r="U893" s="417">
        <v>49303156</v>
      </c>
      <c r="V893" s="405" t="s">
        <v>1068</v>
      </c>
      <c r="W893" s="405">
        <v>480</v>
      </c>
      <c r="X893" s="382">
        <v>1276</v>
      </c>
      <c r="Y893" s="365">
        <f t="shared" si="197"/>
        <v>612480</v>
      </c>
      <c r="Z893" s="409">
        <f>225.6/480</f>
        <v>0.47</v>
      </c>
      <c r="AA893" s="411">
        <f t="shared" si="198"/>
        <v>287865.59999999998</v>
      </c>
      <c r="AB893" s="411"/>
      <c r="AC893" s="412">
        <v>0</v>
      </c>
      <c r="AD893" s="405"/>
      <c r="AE893" s="405"/>
      <c r="AF893" s="424">
        <f t="shared" si="199"/>
        <v>287865.59999999998</v>
      </c>
      <c r="AG893" s="405" t="s">
        <v>1069</v>
      </c>
      <c r="AH893" s="405"/>
      <c r="AI893" s="405">
        <v>60</v>
      </c>
      <c r="AJ893" s="406" t="s">
        <v>1616</v>
      </c>
      <c r="AK893" s="406" t="s">
        <v>50</v>
      </c>
      <c r="AL893" s="414">
        <v>93703</v>
      </c>
      <c r="AM893" s="405" t="s">
        <v>52</v>
      </c>
      <c r="AN893" s="361" t="s">
        <v>1516</v>
      </c>
      <c r="AO893" s="405" t="s">
        <v>1073</v>
      </c>
      <c r="AP893" s="413"/>
      <c r="AQ893" s="405" t="s">
        <v>1083</v>
      </c>
      <c r="AR893" s="405"/>
      <c r="AS893" s="404" t="s">
        <v>1392</v>
      </c>
      <c r="AT893" s="404"/>
      <c r="AU893" s="409"/>
      <c r="AV893" s="402">
        <f>U893</f>
        <v>49303156</v>
      </c>
      <c r="AW893" s="402" cm="1">
        <f t="array" ref="AW893">SUM(MID(0&amp;AV893,LARGE(INDEX(ISNUMBER(--MID(AV893,ROW($1:$8),1))*ROW($1:$8),),ROW($1:$8))+1,1)*10^ROW($1:$8)/10)</f>
        <v>49303156</v>
      </c>
      <c r="AX893" s="402" t="str">
        <f>VLOOKUP($AW893,'Item Master Data'!$A:$F,3,FALSE)</f>
        <v>Q.PEAK DUO XL G10 BFG</v>
      </c>
      <c r="AY893" s="402">
        <f>VLOOKUP($AW893,'Item Master Data'!$A:$F,6,FALSE)</f>
        <v>480</v>
      </c>
      <c r="AZ893" s="402">
        <f>X893/BA893</f>
        <v>44</v>
      </c>
      <c r="BA893" s="402">
        <f>VLOOKUP(AW893,'Item Master Data'!$A:$G,7,FALSE)</f>
        <v>29</v>
      </c>
      <c r="BB893" s="402"/>
      <c r="BC893" s="402">
        <f>W893-AY893</f>
        <v>0</v>
      </c>
    </row>
    <row r="894" spans="1:55">
      <c r="A894" s="426"/>
      <c r="B894" s="376"/>
      <c r="C894" s="376"/>
      <c r="D894" s="416" t="s">
        <v>86</v>
      </c>
      <c r="E894" s="405"/>
      <c r="F894" s="417"/>
      <c r="G894" s="359">
        <v>2022</v>
      </c>
      <c r="H894" s="405">
        <v>6</v>
      </c>
      <c r="I894" s="405"/>
      <c r="J894" s="406"/>
      <c r="K894" s="405" t="s">
        <v>1675</v>
      </c>
      <c r="L894" s="405" t="s">
        <v>1608</v>
      </c>
      <c r="M894" s="406">
        <v>44572</v>
      </c>
      <c r="N894" s="406">
        <v>44727</v>
      </c>
      <c r="O894" s="406"/>
      <c r="P894" s="406"/>
      <c r="Q894" s="406"/>
      <c r="R894" s="406"/>
      <c r="S894" s="405" t="s">
        <v>1510</v>
      </c>
      <c r="T894" s="405">
        <v>60</v>
      </c>
      <c r="U894" s="417"/>
      <c r="V894" s="405" t="s">
        <v>986</v>
      </c>
      <c r="W894" s="405">
        <v>360</v>
      </c>
      <c r="X894" s="382">
        <v>832</v>
      </c>
      <c r="Y894" s="365">
        <f t="shared" si="197"/>
        <v>299520</v>
      </c>
      <c r="Z894" s="409">
        <f>190.8/360</f>
        <v>0.53</v>
      </c>
      <c r="AA894" s="411">
        <f t="shared" si="198"/>
        <v>158745.60000000001</v>
      </c>
      <c r="AB894" s="411"/>
      <c r="AC894" s="412">
        <v>0</v>
      </c>
      <c r="AD894" s="405"/>
      <c r="AE894" s="405"/>
      <c r="AF894" s="424">
        <f t="shared" si="199"/>
        <v>158745.60000000001</v>
      </c>
      <c r="AG894" s="405" t="s">
        <v>1069</v>
      </c>
      <c r="AH894" s="405"/>
      <c r="AI894" s="405">
        <v>60</v>
      </c>
      <c r="AJ894" s="406" t="s">
        <v>1616</v>
      </c>
      <c r="AK894" s="406" t="s">
        <v>50</v>
      </c>
      <c r="AL894" s="414" t="s">
        <v>1617</v>
      </c>
      <c r="AM894" s="405" t="s">
        <v>52</v>
      </c>
      <c r="AN894" s="361"/>
      <c r="AO894" s="405" t="s">
        <v>1073</v>
      </c>
      <c r="AP894" s="413"/>
      <c r="AQ894" s="405" t="s">
        <v>37</v>
      </c>
      <c r="AR894" s="405" t="s">
        <v>1188</v>
      </c>
      <c r="AS894" s="404" t="s">
        <v>1392</v>
      </c>
      <c r="AT894" s="404"/>
      <c r="AU894" s="409">
        <v>0.5</v>
      </c>
      <c r="AV894" s="402">
        <f>U894</f>
        <v>0</v>
      </c>
      <c r="AW894" s="402" cm="1">
        <f t="array" ref="AW894">SUM(MID(0&amp;AV894,LARGE(INDEX(ISNUMBER(--MID(AV894,ROW($1:$8),1))*ROW($1:$8),),ROW($1:$8))+1,1)*10^ROW($1:$8)/10)</f>
        <v>0</v>
      </c>
      <c r="AX894" s="402" t="e">
        <f>VLOOKUP($AW894,'Item Master Data'!$A:$F,3,FALSE)</f>
        <v>#N/A</v>
      </c>
      <c r="AY894" s="402" t="e">
        <f>VLOOKUP($AW894,'Item Master Data'!$A:$F,6,FALSE)</f>
        <v>#N/A</v>
      </c>
      <c r="AZ894" s="402" t="e">
        <f>X894/BA894</f>
        <v>#N/A</v>
      </c>
      <c r="BA894" s="402" t="e">
        <f>VLOOKUP(AW894,'Item Master Data'!$A:$G,7,FALSE)</f>
        <v>#N/A</v>
      </c>
      <c r="BB894" s="402"/>
      <c r="BC894" s="402" t="e">
        <f>W894-AY894</f>
        <v>#N/A</v>
      </c>
    </row>
    <row r="895" spans="1:55">
      <c r="A895" s="426"/>
      <c r="B895" s="376"/>
      <c r="C895" s="376"/>
      <c r="D895" s="416" t="s">
        <v>86</v>
      </c>
      <c r="E895" s="405" t="s">
        <v>4270</v>
      </c>
      <c r="F895" s="417"/>
      <c r="G895" s="359">
        <v>2022</v>
      </c>
      <c r="H895" s="405">
        <v>6</v>
      </c>
      <c r="I895" s="405"/>
      <c r="J895" s="406"/>
      <c r="K895" s="405" t="s">
        <v>1726</v>
      </c>
      <c r="L895" s="405" t="s">
        <v>1626</v>
      </c>
      <c r="M895" s="406">
        <v>44567</v>
      </c>
      <c r="N895" s="406">
        <v>44680</v>
      </c>
      <c r="O895" s="406"/>
      <c r="P895" s="406"/>
      <c r="Q895" s="406"/>
      <c r="R895" s="406"/>
      <c r="S895" s="405" t="s">
        <v>1510</v>
      </c>
      <c r="T895" s="405">
        <v>60</v>
      </c>
      <c r="U895" s="417"/>
      <c r="V895" s="405" t="s">
        <v>986</v>
      </c>
      <c r="W895" s="405">
        <v>360</v>
      </c>
      <c r="X895" s="382">
        <v>768</v>
      </c>
      <c r="Y895" s="365">
        <f t="shared" si="197"/>
        <v>276480</v>
      </c>
      <c r="Z895" s="409">
        <f>198/360</f>
        <v>0.55000000000000004</v>
      </c>
      <c r="AA895" s="411">
        <f t="shared" si="198"/>
        <v>152064</v>
      </c>
      <c r="AB895" s="411"/>
      <c r="AC895" s="412">
        <f>AB895*Y895</f>
        <v>0</v>
      </c>
      <c r="AD895" s="405"/>
      <c r="AE895" s="405"/>
      <c r="AF895" s="424">
        <f t="shared" si="199"/>
        <v>152064</v>
      </c>
      <c r="AG895" s="405" t="s">
        <v>1069</v>
      </c>
      <c r="AH895" s="405"/>
      <c r="AI895" s="405">
        <v>60</v>
      </c>
      <c r="AJ895" s="406" t="s">
        <v>1628</v>
      </c>
      <c r="AK895" s="406" t="s">
        <v>1501</v>
      </c>
      <c r="AL895" s="414" t="s">
        <v>1629</v>
      </c>
      <c r="AM895" s="405" t="s">
        <v>52</v>
      </c>
      <c r="AN895" s="361" t="s">
        <v>1071</v>
      </c>
      <c r="AO895" s="405" t="s">
        <v>1073</v>
      </c>
      <c r="AP895" s="413"/>
      <c r="AQ895" s="405" t="s">
        <v>37</v>
      </c>
      <c r="AR895" s="405" t="s">
        <v>1632</v>
      </c>
      <c r="AS895" s="404" t="s">
        <v>1072</v>
      </c>
      <c r="AT895" s="404"/>
      <c r="AU895" s="409">
        <f>187.2/360</f>
        <v>0.52</v>
      </c>
      <c r="AV895" s="402"/>
      <c r="AW895" s="402"/>
      <c r="AX895" s="402"/>
      <c r="AY895" s="402"/>
      <c r="AZ895" s="402"/>
      <c r="BA895" s="402"/>
      <c r="BB895" s="402"/>
      <c r="BC895" s="402"/>
    </row>
    <row r="896" spans="1:55">
      <c r="A896" s="426"/>
      <c r="B896" s="376"/>
      <c r="C896" s="376"/>
      <c r="D896" s="416" t="s">
        <v>86</v>
      </c>
      <c r="E896" s="405" t="s">
        <v>4269</v>
      </c>
      <c r="F896" s="417"/>
      <c r="G896" s="359">
        <v>2022</v>
      </c>
      <c r="H896" s="405">
        <v>6</v>
      </c>
      <c r="I896" s="405"/>
      <c r="J896" s="406"/>
      <c r="K896" s="405" t="s">
        <v>4271</v>
      </c>
      <c r="L896" s="405" t="s">
        <v>1626</v>
      </c>
      <c r="M896" s="406">
        <v>44624</v>
      </c>
      <c r="N896" s="406">
        <v>44716</v>
      </c>
      <c r="O896" s="406"/>
      <c r="P896" s="406"/>
      <c r="Q896" s="406"/>
      <c r="R896" s="406"/>
      <c r="S896" s="405" t="s">
        <v>1510</v>
      </c>
      <c r="T896" s="405">
        <v>72</v>
      </c>
      <c r="U896" s="417" t="s">
        <v>1102</v>
      </c>
      <c r="V896" s="405" t="s">
        <v>1103</v>
      </c>
      <c r="W896" s="405">
        <v>485</v>
      </c>
      <c r="X896" s="382">
        <v>406</v>
      </c>
      <c r="Y896" s="365">
        <f t="shared" si="197"/>
        <v>196910</v>
      </c>
      <c r="Z896" s="409">
        <f>240.08/485</f>
        <v>0.49501030927835055</v>
      </c>
      <c r="AA896" s="411">
        <f t="shared" si="198"/>
        <v>97472.48000000001</v>
      </c>
      <c r="AB896" s="411"/>
      <c r="AC896" s="412">
        <f>AB896*Y896</f>
        <v>0</v>
      </c>
      <c r="AD896" s="405"/>
      <c r="AE896" s="405"/>
      <c r="AF896" s="424">
        <f t="shared" si="199"/>
        <v>97472.48000000001</v>
      </c>
      <c r="AG896" s="405" t="s">
        <v>1069</v>
      </c>
      <c r="AH896" s="405"/>
      <c r="AI896" s="405">
        <v>60</v>
      </c>
      <c r="AJ896" s="406" t="s">
        <v>1722</v>
      </c>
      <c r="AK896" s="406" t="s">
        <v>50</v>
      </c>
      <c r="AL896" s="414">
        <v>90221</v>
      </c>
      <c r="AM896" s="405" t="s">
        <v>52</v>
      </c>
      <c r="AN896" s="361"/>
      <c r="AO896" s="405" t="s">
        <v>1073</v>
      </c>
      <c r="AP896" s="413"/>
      <c r="AQ896" s="405" t="s">
        <v>37</v>
      </c>
      <c r="AR896" s="405"/>
      <c r="AS896" s="404"/>
      <c r="AT896" s="404"/>
      <c r="AU896" s="409"/>
      <c r="AV896" s="402"/>
      <c r="AW896" s="402"/>
      <c r="AX896" s="402"/>
      <c r="AY896" s="402"/>
      <c r="AZ896" s="402"/>
      <c r="BA896" s="402"/>
      <c r="BB896" s="402"/>
      <c r="BC896" s="402"/>
    </row>
    <row r="897" spans="1:55">
      <c r="A897" s="426"/>
      <c r="B897" s="376"/>
      <c r="C897" s="376"/>
      <c r="D897" s="416" t="s">
        <v>86</v>
      </c>
      <c r="E897" s="405"/>
      <c r="F897" s="417"/>
      <c r="G897" s="359">
        <v>2022</v>
      </c>
      <c r="H897" s="405">
        <v>6</v>
      </c>
      <c r="I897" s="405"/>
      <c r="J897" s="406"/>
      <c r="K897" s="405" t="s">
        <v>4271</v>
      </c>
      <c r="L897" s="405" t="s">
        <v>1626</v>
      </c>
      <c r="M897" s="406">
        <v>44624</v>
      </c>
      <c r="N897" s="406">
        <v>44716</v>
      </c>
      <c r="O897" s="406"/>
      <c r="P897" s="406"/>
      <c r="Q897" s="406"/>
      <c r="R897" s="406"/>
      <c r="S897" s="405" t="s">
        <v>1510</v>
      </c>
      <c r="T897" s="405">
        <v>72</v>
      </c>
      <c r="U897" s="417" t="s">
        <v>1102</v>
      </c>
      <c r="V897" s="405" t="s">
        <v>1068</v>
      </c>
      <c r="W897" s="405">
        <v>480</v>
      </c>
      <c r="X897" s="382">
        <v>406</v>
      </c>
      <c r="Y897" s="365">
        <f t="shared" si="197"/>
        <v>194880</v>
      </c>
      <c r="Z897" s="409">
        <f>240.08/485</f>
        <v>0.49501030927835055</v>
      </c>
      <c r="AA897" s="411">
        <f t="shared" si="198"/>
        <v>96467.609072164953</v>
      </c>
      <c r="AB897" s="411"/>
      <c r="AC897" s="412">
        <f>AB897*Y897</f>
        <v>0</v>
      </c>
      <c r="AD897" s="405"/>
      <c r="AE897" s="405"/>
      <c r="AF897" s="424">
        <f t="shared" si="199"/>
        <v>96467.609072164953</v>
      </c>
      <c r="AG897" s="405" t="s">
        <v>1069</v>
      </c>
      <c r="AH897" s="405"/>
      <c r="AI897" s="405">
        <v>60</v>
      </c>
      <c r="AJ897" s="406" t="s">
        <v>1722</v>
      </c>
      <c r="AK897" s="406" t="s">
        <v>50</v>
      </c>
      <c r="AL897" s="414">
        <v>90221</v>
      </c>
      <c r="AM897" s="405" t="s">
        <v>52</v>
      </c>
      <c r="AN897" s="361"/>
      <c r="AO897" s="405" t="s">
        <v>1073</v>
      </c>
      <c r="AP897" s="413"/>
      <c r="AQ897" s="405" t="s">
        <v>37</v>
      </c>
      <c r="AR897" s="405"/>
      <c r="AS897" s="404"/>
      <c r="AT897" s="404"/>
      <c r="AU897" s="409"/>
      <c r="AV897" s="402"/>
      <c r="AW897" s="402"/>
      <c r="AX897" s="402"/>
      <c r="AY897" s="402"/>
      <c r="AZ897" s="402"/>
      <c r="BA897" s="402"/>
      <c r="BB897" s="402"/>
      <c r="BC897" s="402"/>
    </row>
    <row r="898" spans="1:55">
      <c r="A898" s="426"/>
      <c r="B898" s="376"/>
      <c r="C898" s="376"/>
      <c r="D898" s="416" t="s">
        <v>86</v>
      </c>
      <c r="E898" s="405"/>
      <c r="F898" s="417"/>
      <c r="G898" s="359">
        <v>2022</v>
      </c>
      <c r="H898" s="405">
        <v>6</v>
      </c>
      <c r="I898" s="405"/>
      <c r="J898" s="406"/>
      <c r="K898" s="405" t="s">
        <v>1732</v>
      </c>
      <c r="L898" s="405" t="s">
        <v>1642</v>
      </c>
      <c r="M898" s="406">
        <v>44538</v>
      </c>
      <c r="N898" s="406">
        <v>44634</v>
      </c>
      <c r="O898" s="406"/>
      <c r="P898" s="406"/>
      <c r="Q898" s="406"/>
      <c r="R898" s="406"/>
      <c r="S898" s="405" t="s">
        <v>1520</v>
      </c>
      <c r="T898" s="405">
        <v>60</v>
      </c>
      <c r="U898" s="417"/>
      <c r="V898" s="405" t="s">
        <v>973</v>
      </c>
      <c r="W898" s="405">
        <v>400</v>
      </c>
      <c r="X898" s="382">
        <v>768</v>
      </c>
      <c r="Y898" s="365">
        <f t="shared" si="197"/>
        <v>307200</v>
      </c>
      <c r="Z898" s="409">
        <f>220/400</f>
        <v>0.55000000000000004</v>
      </c>
      <c r="AA898" s="411">
        <f t="shared" si="198"/>
        <v>168960</v>
      </c>
      <c r="AB898" s="411"/>
      <c r="AC898" s="412"/>
      <c r="AD898" s="405"/>
      <c r="AE898" s="405"/>
      <c r="AF898" s="424">
        <f t="shared" si="199"/>
        <v>168960</v>
      </c>
      <c r="AG898" s="405" t="s">
        <v>1069</v>
      </c>
      <c r="AH898" s="405"/>
      <c r="AI898" s="405">
        <v>60</v>
      </c>
      <c r="AJ898" s="406" t="s">
        <v>1643</v>
      </c>
      <c r="AK898" s="406" t="s">
        <v>1341</v>
      </c>
      <c r="AL898" s="414">
        <v>83202</v>
      </c>
      <c r="AM898" s="405" t="s">
        <v>52</v>
      </c>
      <c r="AN898" s="361" t="s">
        <v>1071</v>
      </c>
      <c r="AO898" s="405" t="s">
        <v>1073</v>
      </c>
      <c r="AP898" s="413"/>
      <c r="AQ898" s="405" t="s">
        <v>37</v>
      </c>
      <c r="AR898" s="405" t="s">
        <v>1243</v>
      </c>
      <c r="AS898" s="404"/>
      <c r="AT898" s="404"/>
      <c r="AU898" s="409">
        <f>196/400</f>
        <v>0.49</v>
      </c>
      <c r="AV898" s="402"/>
      <c r="AW898" s="402"/>
      <c r="AX898" s="402"/>
      <c r="AY898" s="402"/>
      <c r="AZ898" s="402"/>
      <c r="BA898" s="402"/>
      <c r="BB898" s="402"/>
      <c r="BC898" s="402"/>
    </row>
    <row r="899" spans="1:55">
      <c r="A899" s="426"/>
      <c r="B899" s="376">
        <v>44628</v>
      </c>
      <c r="C899" s="376"/>
      <c r="D899" s="416" t="s">
        <v>86</v>
      </c>
      <c r="E899" s="405"/>
      <c r="F899" s="417"/>
      <c r="G899" s="359">
        <v>2022</v>
      </c>
      <c r="H899" s="405">
        <v>6</v>
      </c>
      <c r="I899" s="405"/>
      <c r="J899" s="406"/>
      <c r="K899" s="405" t="s">
        <v>1734</v>
      </c>
      <c r="L899" s="405" t="s">
        <v>1633</v>
      </c>
      <c r="M899" s="406">
        <v>44588</v>
      </c>
      <c r="N899" s="406">
        <v>44678</v>
      </c>
      <c r="O899" s="406"/>
      <c r="P899" s="406"/>
      <c r="Q899" s="406"/>
      <c r="R899" s="406"/>
      <c r="S899" s="405" t="s">
        <v>1520</v>
      </c>
      <c r="T899" s="405">
        <v>60</v>
      </c>
      <c r="U899" s="417">
        <v>49204132</v>
      </c>
      <c r="V899" s="405" t="s">
        <v>1192</v>
      </c>
      <c r="W899" s="405">
        <v>360</v>
      </c>
      <c r="X899" s="382">
        <v>676</v>
      </c>
      <c r="Y899" s="365">
        <f t="shared" si="197"/>
        <v>243360</v>
      </c>
      <c r="Z899" s="409">
        <v>0.83000000000000007</v>
      </c>
      <c r="AA899" s="411">
        <v>403977.60000000003</v>
      </c>
      <c r="AB899" s="411"/>
      <c r="AC899" s="412">
        <v>0</v>
      </c>
      <c r="AD899" s="405"/>
      <c r="AE899" s="405"/>
      <c r="AF899" s="424">
        <v>403977.60000000003</v>
      </c>
      <c r="AG899" s="405" t="s">
        <v>1069</v>
      </c>
      <c r="AH899" s="405"/>
      <c r="AI899" s="405">
        <v>60</v>
      </c>
      <c r="AJ899" s="406" t="s">
        <v>1637</v>
      </c>
      <c r="AK899" s="406" t="s">
        <v>1599</v>
      </c>
      <c r="AL899" s="414" t="s">
        <v>1638</v>
      </c>
      <c r="AM899" s="405" t="s">
        <v>52</v>
      </c>
      <c r="AN899" s="361" t="s">
        <v>1071</v>
      </c>
      <c r="AO899" s="405" t="s">
        <v>1073</v>
      </c>
      <c r="AP899" s="413"/>
      <c r="AQ899" s="405" t="s">
        <v>37</v>
      </c>
      <c r="AR899" s="405" t="s">
        <v>1188</v>
      </c>
      <c r="AS899" s="404" t="s">
        <v>1392</v>
      </c>
      <c r="AT899" s="404"/>
      <c r="AU899" s="409">
        <v>0.52</v>
      </c>
      <c r="AV899" s="402">
        <f>U899</f>
        <v>49204132</v>
      </c>
      <c r="AW899" s="402" cm="1">
        <f t="array" ref="AW899">SUM(MID(0&amp;AV899,LARGE(INDEX(ISNUMBER(--MID(AV899,ROW($1:$8),1))*ROW($1:$8),),ROW($1:$8))+1,1)*10^ROW($1:$8)/10)</f>
        <v>49204132</v>
      </c>
      <c r="AX899" s="402" t="str">
        <f>VLOOKUP($AW899,'Item Master Data'!$A:$F,3,FALSE)</f>
        <v>Q.PEAK DUO BLK G10+/AC</v>
      </c>
      <c r="AY899" s="402">
        <f>VLOOKUP($AW899,'Item Master Data'!$A:$F,6,FALSE)</f>
        <v>360</v>
      </c>
      <c r="AZ899" s="402">
        <f>X899/BA899</f>
        <v>26</v>
      </c>
      <c r="BA899" s="402">
        <f>VLOOKUP(AW899,'Item Master Data'!$A:$G,7,FALSE)</f>
        <v>26</v>
      </c>
      <c r="BB899" s="402"/>
      <c r="BC899" s="402">
        <f>W899-AY899</f>
        <v>0</v>
      </c>
    </row>
    <row r="900" spans="1:55">
      <c r="A900" s="426"/>
      <c r="B900" s="376">
        <v>44628</v>
      </c>
      <c r="C900" s="376"/>
      <c r="D900" s="416" t="s">
        <v>86</v>
      </c>
      <c r="E900" s="405"/>
      <c r="F900" s="417"/>
      <c r="G900" s="359">
        <v>2022</v>
      </c>
      <c r="H900" s="405">
        <v>6</v>
      </c>
      <c r="I900" s="405"/>
      <c r="J900" s="406"/>
      <c r="K900" s="405" t="s">
        <v>1735</v>
      </c>
      <c r="L900" s="405" t="s">
        <v>1633</v>
      </c>
      <c r="M900" s="406">
        <v>44588</v>
      </c>
      <c r="N900" s="406">
        <v>44708</v>
      </c>
      <c r="O900" s="406"/>
      <c r="P900" s="406"/>
      <c r="Q900" s="406"/>
      <c r="R900" s="406"/>
      <c r="S900" s="405" t="s">
        <v>1520</v>
      </c>
      <c r="T900" s="405">
        <v>60</v>
      </c>
      <c r="U900" s="417"/>
      <c r="V900" s="405" t="s">
        <v>973</v>
      </c>
      <c r="W900" s="405">
        <v>400</v>
      </c>
      <c r="X900" s="382">
        <v>768</v>
      </c>
      <c r="Y900" s="365">
        <f t="shared" si="197"/>
        <v>307200</v>
      </c>
      <c r="Z900" s="409">
        <v>0.55000000000000004</v>
      </c>
      <c r="AA900" s="411">
        <v>168960</v>
      </c>
      <c r="AB900" s="411"/>
      <c r="AC900" s="412">
        <v>0</v>
      </c>
      <c r="AD900" s="405"/>
      <c r="AE900" s="405"/>
      <c r="AF900" s="424">
        <v>168960</v>
      </c>
      <c r="AG900" s="405" t="s">
        <v>1069</v>
      </c>
      <c r="AH900" s="405"/>
      <c r="AI900" s="405">
        <v>60</v>
      </c>
      <c r="AJ900" s="406" t="s">
        <v>1645</v>
      </c>
      <c r="AK900" s="406" t="s">
        <v>1599</v>
      </c>
      <c r="AL900" s="414" t="s">
        <v>1638</v>
      </c>
      <c r="AM900" s="405" t="s">
        <v>52</v>
      </c>
      <c r="AN900" s="361" t="s">
        <v>1071</v>
      </c>
      <c r="AO900" s="405" t="s">
        <v>1073</v>
      </c>
      <c r="AP900" s="413"/>
      <c r="AQ900" s="405" t="s">
        <v>37</v>
      </c>
      <c r="AR900" s="405" t="s">
        <v>1188</v>
      </c>
      <c r="AS900" s="404" t="s">
        <v>1392</v>
      </c>
      <c r="AT900" s="404"/>
      <c r="AU900" s="409">
        <v>0.52</v>
      </c>
      <c r="AV900" s="402">
        <f>U900</f>
        <v>0</v>
      </c>
      <c r="AW900" s="402" cm="1">
        <f t="array" ref="AW900">SUM(MID(0&amp;AV900,LARGE(INDEX(ISNUMBER(--MID(AV900,ROW($1:$8),1))*ROW($1:$8),),ROW($1:$8))+1,1)*10^ROW($1:$8)/10)</f>
        <v>0</v>
      </c>
      <c r="AX900" s="402" t="e">
        <f>VLOOKUP($AW900,'Item Master Data'!$A:$F,3,FALSE)</f>
        <v>#N/A</v>
      </c>
      <c r="AY900" s="402" t="e">
        <f>VLOOKUP($AW900,'Item Master Data'!$A:$F,6,FALSE)</f>
        <v>#N/A</v>
      </c>
      <c r="AZ900" s="402" t="e">
        <f>X900/BA900</f>
        <v>#N/A</v>
      </c>
      <c r="BA900" s="402" t="e">
        <f>VLOOKUP(AW900,'Item Master Data'!$A:$G,7,FALSE)</f>
        <v>#N/A</v>
      </c>
      <c r="BB900" s="402"/>
      <c r="BC900" s="402" t="e">
        <f>W900-AY900</f>
        <v>#N/A</v>
      </c>
    </row>
    <row r="901" spans="1:55">
      <c r="A901" s="426"/>
      <c r="B901" s="376">
        <v>44628</v>
      </c>
      <c r="C901" s="376"/>
      <c r="D901" s="416" t="s">
        <v>86</v>
      </c>
      <c r="E901" s="405"/>
      <c r="F901" s="417"/>
      <c r="G901" s="359">
        <v>2022</v>
      </c>
      <c r="H901" s="405">
        <v>6</v>
      </c>
      <c r="I901" s="405"/>
      <c r="J901" s="406"/>
      <c r="K901" s="405" t="s">
        <v>1736</v>
      </c>
      <c r="L901" s="405" t="s">
        <v>1633</v>
      </c>
      <c r="M901" s="406">
        <v>44588</v>
      </c>
      <c r="N901" s="406">
        <v>44708</v>
      </c>
      <c r="O901" s="406"/>
      <c r="P901" s="406"/>
      <c r="Q901" s="406"/>
      <c r="R901" s="406"/>
      <c r="S901" s="405" t="s">
        <v>1520</v>
      </c>
      <c r="T901" s="405">
        <v>60</v>
      </c>
      <c r="U901" s="417">
        <v>49204132</v>
      </c>
      <c r="V901" s="405" t="s">
        <v>1192</v>
      </c>
      <c r="W901" s="405">
        <v>360</v>
      </c>
      <c r="X901" s="382">
        <v>676</v>
      </c>
      <c r="Y901" s="365">
        <f t="shared" si="197"/>
        <v>243360</v>
      </c>
      <c r="Z901" s="409">
        <f>298.8/360</f>
        <v>0.83000000000000007</v>
      </c>
      <c r="AA901" s="411">
        <f t="shared" ref="AA901:AA917" si="203">Z901*Y901</f>
        <v>201988.80000000002</v>
      </c>
      <c r="AB901" s="411"/>
      <c r="AC901" s="412">
        <f>AB901*Y901</f>
        <v>0</v>
      </c>
      <c r="AD901" s="405"/>
      <c r="AE901" s="405"/>
      <c r="AF901" s="424">
        <f t="shared" ref="AF901:AF909" si="204">AE901+AD901+AA901</f>
        <v>201988.80000000002</v>
      </c>
      <c r="AG901" s="405" t="s">
        <v>1069</v>
      </c>
      <c r="AH901" s="405"/>
      <c r="AI901" s="405">
        <v>60</v>
      </c>
      <c r="AJ901" s="406" t="s">
        <v>1637</v>
      </c>
      <c r="AK901" s="406" t="s">
        <v>1599</v>
      </c>
      <c r="AL901" s="414" t="s">
        <v>1638</v>
      </c>
      <c r="AM901" s="405" t="s">
        <v>52</v>
      </c>
      <c r="AN901" s="361" t="s">
        <v>1071</v>
      </c>
      <c r="AO901" s="405" t="s">
        <v>1073</v>
      </c>
      <c r="AP901" s="413"/>
      <c r="AQ901" s="405" t="s">
        <v>37</v>
      </c>
      <c r="AR901" s="405" t="s">
        <v>1188</v>
      </c>
      <c r="AS901" s="404" t="s">
        <v>1392</v>
      </c>
      <c r="AT901" s="404"/>
      <c r="AU901" s="409">
        <f>208/400</f>
        <v>0.52</v>
      </c>
      <c r="AV901" s="402"/>
      <c r="AW901" s="402"/>
      <c r="AX901" s="402"/>
      <c r="AY901" s="402"/>
      <c r="AZ901" s="402"/>
      <c r="BA901" s="402"/>
      <c r="BB901" s="402"/>
      <c r="BC901" s="402"/>
    </row>
    <row r="902" spans="1:55">
      <c r="A902" s="426"/>
      <c r="B902" s="376"/>
      <c r="C902" s="376"/>
      <c r="D902" s="416" t="s">
        <v>86</v>
      </c>
      <c r="E902" s="405"/>
      <c r="F902" s="417"/>
      <c r="G902" s="359">
        <v>2022</v>
      </c>
      <c r="H902" s="405">
        <v>6</v>
      </c>
      <c r="I902" s="405"/>
      <c r="J902" s="406"/>
      <c r="K902" s="405" t="s">
        <v>1775</v>
      </c>
      <c r="L902" s="405" t="s">
        <v>1646</v>
      </c>
      <c r="M902" s="406">
        <v>44510</v>
      </c>
      <c r="N902" s="406">
        <v>44683</v>
      </c>
      <c r="O902" s="406"/>
      <c r="P902" s="406"/>
      <c r="Q902" s="406"/>
      <c r="R902" s="406"/>
      <c r="S902" s="405" t="s">
        <v>1510</v>
      </c>
      <c r="T902" s="405">
        <v>60</v>
      </c>
      <c r="U902" s="417"/>
      <c r="V902" s="405" t="s">
        <v>973</v>
      </c>
      <c r="W902" s="405">
        <v>400</v>
      </c>
      <c r="X902" s="382">
        <v>4736</v>
      </c>
      <c r="Y902" s="365">
        <f t="shared" si="197"/>
        <v>1894400</v>
      </c>
      <c r="Z902" s="409">
        <f>220/400</f>
        <v>0.55000000000000004</v>
      </c>
      <c r="AA902" s="411">
        <f t="shared" si="203"/>
        <v>1041920.0000000001</v>
      </c>
      <c r="AB902" s="411"/>
      <c r="AC902" s="412">
        <v>0</v>
      </c>
      <c r="AD902" s="405"/>
      <c r="AE902" s="405"/>
      <c r="AF902" s="424">
        <f t="shared" si="204"/>
        <v>1041920.0000000001</v>
      </c>
      <c r="AG902" s="405" t="s">
        <v>1069</v>
      </c>
      <c r="AH902" s="405"/>
      <c r="AI902" s="405">
        <v>60</v>
      </c>
      <c r="AJ902" s="406" t="s">
        <v>1647</v>
      </c>
      <c r="AK902" s="406" t="s">
        <v>50</v>
      </c>
      <c r="AL902" s="414" t="s">
        <v>1648</v>
      </c>
      <c r="AM902" s="405" t="s">
        <v>52</v>
      </c>
      <c r="AN902" s="361" t="s">
        <v>50</v>
      </c>
      <c r="AO902" s="405" t="s">
        <v>1073</v>
      </c>
      <c r="AP902" s="413" t="s">
        <v>38</v>
      </c>
      <c r="AQ902" s="405" t="s">
        <v>37</v>
      </c>
      <c r="AR902" s="405" t="s">
        <v>1773</v>
      </c>
      <c r="AS902" s="404"/>
      <c r="AT902" s="404"/>
      <c r="AU902" s="409">
        <f>196/400</f>
        <v>0.49</v>
      </c>
      <c r="AV902" s="402"/>
      <c r="AW902" s="402"/>
      <c r="AX902" s="402"/>
      <c r="AY902" s="402"/>
      <c r="AZ902" s="402"/>
      <c r="BA902" s="402"/>
      <c r="BB902" s="402"/>
      <c r="BC902" s="402"/>
    </row>
    <row r="903" spans="1:55">
      <c r="A903" s="426"/>
      <c r="B903" s="376"/>
      <c r="C903" s="376"/>
      <c r="D903" s="416" t="s">
        <v>86</v>
      </c>
      <c r="E903" s="405"/>
      <c r="F903" s="417"/>
      <c r="G903" s="359">
        <v>2022</v>
      </c>
      <c r="H903" s="405">
        <v>6</v>
      </c>
      <c r="I903" s="405" t="s">
        <v>1498</v>
      </c>
      <c r="J903" s="406"/>
      <c r="K903" s="405" t="s">
        <v>1776</v>
      </c>
      <c r="L903" s="405" t="s">
        <v>1646</v>
      </c>
      <c r="M903" s="406">
        <v>44510</v>
      </c>
      <c r="N903" s="406">
        <v>44718</v>
      </c>
      <c r="O903" s="406"/>
      <c r="P903" s="406"/>
      <c r="Q903" s="406"/>
      <c r="R903" s="406"/>
      <c r="S903" s="405" t="s">
        <v>1510</v>
      </c>
      <c r="T903" s="405">
        <v>60</v>
      </c>
      <c r="U903" s="417"/>
      <c r="V903" s="405" t="s">
        <v>973</v>
      </c>
      <c r="W903" s="405">
        <v>400</v>
      </c>
      <c r="X903" s="382">
        <v>5888</v>
      </c>
      <c r="Y903" s="365">
        <f t="shared" si="197"/>
        <v>2355200</v>
      </c>
      <c r="Z903" s="409">
        <f>220/400</f>
        <v>0.55000000000000004</v>
      </c>
      <c r="AA903" s="411">
        <f t="shared" si="203"/>
        <v>1295360</v>
      </c>
      <c r="AB903" s="411"/>
      <c r="AC903" s="412">
        <v>0</v>
      </c>
      <c r="AD903" s="405"/>
      <c r="AE903" s="405"/>
      <c r="AF903" s="424">
        <f t="shared" si="204"/>
        <v>1295360</v>
      </c>
      <c r="AG903" s="405" t="s">
        <v>1069</v>
      </c>
      <c r="AH903" s="405"/>
      <c r="AI903" s="405">
        <v>60</v>
      </c>
      <c r="AJ903" s="406" t="s">
        <v>1647</v>
      </c>
      <c r="AK903" s="406" t="s">
        <v>50</v>
      </c>
      <c r="AL903" s="414" t="s">
        <v>1648</v>
      </c>
      <c r="AM903" s="405" t="s">
        <v>52</v>
      </c>
      <c r="AN903" s="361" t="s">
        <v>50</v>
      </c>
      <c r="AO903" s="405" t="s">
        <v>1073</v>
      </c>
      <c r="AP903" s="413" t="s">
        <v>38</v>
      </c>
      <c r="AQ903" s="405" t="s">
        <v>37</v>
      </c>
      <c r="AR903" s="405" t="s">
        <v>1773</v>
      </c>
      <c r="AS903" s="404"/>
      <c r="AT903" s="404"/>
      <c r="AU903" s="409">
        <f>196/400</f>
        <v>0.49</v>
      </c>
      <c r="AV903" s="402"/>
      <c r="AW903" s="402"/>
      <c r="AX903" s="402"/>
      <c r="AY903" s="402"/>
      <c r="AZ903" s="402"/>
      <c r="BA903" s="402"/>
      <c r="BB903" s="402"/>
      <c r="BC903" s="402"/>
    </row>
    <row r="904" spans="1:55">
      <c r="A904" s="426"/>
      <c r="B904" s="376">
        <v>44617</v>
      </c>
      <c r="C904" s="376">
        <v>44616</v>
      </c>
      <c r="D904" s="416" t="s">
        <v>86</v>
      </c>
      <c r="E904" s="405"/>
      <c r="F904" s="417"/>
      <c r="G904" s="359">
        <v>2022</v>
      </c>
      <c r="H904" s="405">
        <v>6</v>
      </c>
      <c r="I904" s="405"/>
      <c r="J904" s="406"/>
      <c r="K904" s="405" t="s">
        <v>1784</v>
      </c>
      <c r="L904" s="405" t="s">
        <v>1682</v>
      </c>
      <c r="M904" s="406">
        <v>44545</v>
      </c>
      <c r="N904" s="406">
        <v>44615</v>
      </c>
      <c r="O904" s="406">
        <v>44674</v>
      </c>
      <c r="P904" s="406"/>
      <c r="Q904" s="406"/>
      <c r="R904" s="406"/>
      <c r="S904" s="405" t="s">
        <v>1520</v>
      </c>
      <c r="T904" s="405">
        <v>60</v>
      </c>
      <c r="U904" s="417"/>
      <c r="V904" s="405" t="s">
        <v>986</v>
      </c>
      <c r="W904" s="405">
        <v>360</v>
      </c>
      <c r="X904" s="382">
        <v>1664</v>
      </c>
      <c r="Y904" s="365">
        <f t="shared" si="197"/>
        <v>599040</v>
      </c>
      <c r="Z904" s="409">
        <f>190.8/360</f>
        <v>0.53</v>
      </c>
      <c r="AA904" s="411">
        <f t="shared" si="203"/>
        <v>317491.20000000001</v>
      </c>
      <c r="AB904" s="411"/>
      <c r="AC904" s="412">
        <f>AB904*Y904</f>
        <v>0</v>
      </c>
      <c r="AD904" s="405"/>
      <c r="AE904" s="405"/>
      <c r="AF904" s="424">
        <f t="shared" si="204"/>
        <v>317491.20000000001</v>
      </c>
      <c r="AG904" s="405" t="s">
        <v>1069</v>
      </c>
      <c r="AH904" s="405"/>
      <c r="AI904" s="405">
        <v>60</v>
      </c>
      <c r="AJ904" s="406" t="s">
        <v>1584</v>
      </c>
      <c r="AK904" s="406" t="s">
        <v>50</v>
      </c>
      <c r="AL904" s="414">
        <v>95834</v>
      </c>
      <c r="AM904" s="405" t="s">
        <v>52</v>
      </c>
      <c r="AN904" s="361" t="s">
        <v>1071</v>
      </c>
      <c r="AO904" s="405" t="s">
        <v>1073</v>
      </c>
      <c r="AP904" s="413"/>
      <c r="AQ904" s="405" t="s">
        <v>37</v>
      </c>
      <c r="AR904" s="405"/>
      <c r="AS904" s="404"/>
      <c r="AT904" s="404"/>
      <c r="AU904" s="409">
        <f>180/360</f>
        <v>0.5</v>
      </c>
      <c r="AV904" s="402">
        <f>U904</f>
        <v>0</v>
      </c>
      <c r="AW904" s="402" cm="1">
        <f t="array" ref="AW904">SUM(MID(0&amp;AV904,LARGE(INDEX(ISNUMBER(--MID(AV904,ROW($1:$8),1))*ROW($1:$8),),ROW($1:$8))+1,1)*10^ROW($1:$8)/10)</f>
        <v>0</v>
      </c>
      <c r="AX904" s="402" t="e">
        <f>VLOOKUP($AW904,'Item Master Data'!$A:$F,3,FALSE)</f>
        <v>#N/A</v>
      </c>
      <c r="AY904" s="402" t="e">
        <f>VLOOKUP($AW904,'Item Master Data'!$A:$F,6,FALSE)</f>
        <v>#N/A</v>
      </c>
      <c r="AZ904" s="402" t="e">
        <f>X904/BA904</f>
        <v>#N/A</v>
      </c>
      <c r="BA904" s="402" t="e">
        <f>VLOOKUP(AW904,'Item Master Data'!$A:$G,7,FALSE)</f>
        <v>#N/A</v>
      </c>
      <c r="BB904" s="402"/>
      <c r="BC904" s="402" t="e">
        <f>W904-AY904</f>
        <v>#N/A</v>
      </c>
    </row>
    <row r="905" spans="1:55">
      <c r="A905" s="426"/>
      <c r="B905" s="376">
        <v>44617</v>
      </c>
      <c r="C905" s="376">
        <v>44616</v>
      </c>
      <c r="D905" s="416" t="s">
        <v>86</v>
      </c>
      <c r="E905" s="405"/>
      <c r="F905" s="417"/>
      <c r="G905" s="359">
        <v>2022</v>
      </c>
      <c r="H905" s="405">
        <v>6</v>
      </c>
      <c r="I905" s="405"/>
      <c r="J905" s="406"/>
      <c r="K905" s="405" t="s">
        <v>1802</v>
      </c>
      <c r="L905" s="405" t="s">
        <v>1682</v>
      </c>
      <c r="M905" s="406">
        <v>44545</v>
      </c>
      <c r="N905" s="406">
        <v>44655</v>
      </c>
      <c r="O905" s="406">
        <v>44716</v>
      </c>
      <c r="P905" s="406"/>
      <c r="Q905" s="406"/>
      <c r="R905" s="406"/>
      <c r="S905" s="405" t="s">
        <v>1520</v>
      </c>
      <c r="T905" s="405">
        <v>60</v>
      </c>
      <c r="U905" s="417"/>
      <c r="V905" s="405" t="s">
        <v>973</v>
      </c>
      <c r="W905" s="405">
        <v>400</v>
      </c>
      <c r="X905" s="382">
        <v>6144</v>
      </c>
      <c r="Y905" s="365">
        <f t="shared" si="197"/>
        <v>2457600</v>
      </c>
      <c r="Z905" s="409">
        <f>220/400</f>
        <v>0.55000000000000004</v>
      </c>
      <c r="AA905" s="411">
        <f t="shared" si="203"/>
        <v>1351680</v>
      </c>
      <c r="AB905" s="411"/>
      <c r="AC905" s="412">
        <f>AB905*Y905</f>
        <v>0</v>
      </c>
      <c r="AD905" s="405"/>
      <c r="AE905" s="405"/>
      <c r="AF905" s="424">
        <f t="shared" si="204"/>
        <v>1351680</v>
      </c>
      <c r="AG905" s="405" t="s">
        <v>1069</v>
      </c>
      <c r="AH905" s="405"/>
      <c r="AI905" s="405">
        <v>60</v>
      </c>
      <c r="AJ905" s="406" t="s">
        <v>1584</v>
      </c>
      <c r="AK905" s="406" t="s">
        <v>50</v>
      </c>
      <c r="AL905" s="414">
        <v>95834</v>
      </c>
      <c r="AM905" s="405" t="s">
        <v>52</v>
      </c>
      <c r="AN905" s="361" t="s">
        <v>1071</v>
      </c>
      <c r="AO905" s="405" t="s">
        <v>1073</v>
      </c>
      <c r="AP905" s="413"/>
      <c r="AQ905" s="405" t="s">
        <v>37</v>
      </c>
      <c r="AR905" s="405" t="s">
        <v>1686</v>
      </c>
      <c r="AS905" s="404"/>
      <c r="AT905" s="404"/>
      <c r="AU905" s="409">
        <f>196/400</f>
        <v>0.49</v>
      </c>
      <c r="AV905" s="402">
        <f>U905</f>
        <v>0</v>
      </c>
      <c r="AW905" s="402" cm="1">
        <f t="array" ref="AW905">SUM(MID(0&amp;AV905,LARGE(INDEX(ISNUMBER(--MID(AV905,ROW($1:$8),1))*ROW($1:$8),),ROW($1:$8))+1,1)*10^ROW($1:$8)/10)</f>
        <v>0</v>
      </c>
      <c r="AX905" s="402" t="e">
        <f>VLOOKUP($AW905,'Item Master Data'!$A:$F,3,FALSE)</f>
        <v>#N/A</v>
      </c>
      <c r="AY905" s="402" t="e">
        <f>VLOOKUP($AW905,'Item Master Data'!$A:$F,6,FALSE)</f>
        <v>#N/A</v>
      </c>
      <c r="AZ905" s="402" t="e">
        <f>X905/BA905</f>
        <v>#N/A</v>
      </c>
      <c r="BA905" s="402" t="e">
        <f>VLOOKUP(AW905,'Item Master Data'!$A:$G,7,FALSE)</f>
        <v>#N/A</v>
      </c>
      <c r="BB905" s="402"/>
      <c r="BC905" s="402" t="e">
        <f>W905-AY905</f>
        <v>#N/A</v>
      </c>
    </row>
    <row r="906" spans="1:55">
      <c r="A906" s="426"/>
      <c r="B906" s="376">
        <v>44642</v>
      </c>
      <c r="C906" s="376"/>
      <c r="D906" s="416" t="s">
        <v>86</v>
      </c>
      <c r="E906" s="405"/>
      <c r="F906" s="417"/>
      <c r="G906" s="359">
        <v>2022</v>
      </c>
      <c r="H906" s="405">
        <v>6</v>
      </c>
      <c r="I906" s="405"/>
      <c r="J906" s="406"/>
      <c r="K906" s="405" t="s">
        <v>1827</v>
      </c>
      <c r="L906" s="405" t="s">
        <v>1517</v>
      </c>
      <c r="M906" s="406">
        <v>44571</v>
      </c>
      <c r="N906" s="406">
        <v>44671</v>
      </c>
      <c r="O906" s="406"/>
      <c r="P906" s="406"/>
      <c r="Q906" s="406"/>
      <c r="R906" s="406"/>
      <c r="S906" s="405" t="s">
        <v>88</v>
      </c>
      <c r="T906" s="405">
        <v>60</v>
      </c>
      <c r="U906" s="417"/>
      <c r="V906" s="405" t="s">
        <v>986</v>
      </c>
      <c r="W906" s="405">
        <v>360</v>
      </c>
      <c r="X906" s="382">
        <v>768</v>
      </c>
      <c r="Y906" s="365">
        <f t="shared" si="197"/>
        <v>276480</v>
      </c>
      <c r="Z906" s="409">
        <f>190.8/360</f>
        <v>0.53</v>
      </c>
      <c r="AA906" s="411">
        <f t="shared" si="203"/>
        <v>146534.39999999999</v>
      </c>
      <c r="AB906" s="411"/>
      <c r="AC906" s="412">
        <v>0</v>
      </c>
      <c r="AD906" s="405"/>
      <c r="AE906" s="405"/>
      <c r="AF906" s="424">
        <f t="shared" si="204"/>
        <v>146534.39999999999</v>
      </c>
      <c r="AG906" s="405" t="s">
        <v>1069</v>
      </c>
      <c r="AH906" s="405"/>
      <c r="AI906" s="405">
        <v>60</v>
      </c>
      <c r="AJ906" s="406" t="s">
        <v>1518</v>
      </c>
      <c r="AK906" s="406" t="s">
        <v>50</v>
      </c>
      <c r="AL906" s="414">
        <v>92126</v>
      </c>
      <c r="AM906" s="405" t="s">
        <v>52</v>
      </c>
      <c r="AN906" s="361"/>
      <c r="AO906" s="405" t="s">
        <v>1073</v>
      </c>
      <c r="AP906" s="413" t="s">
        <v>92</v>
      </c>
      <c r="AQ906" s="405" t="s">
        <v>37</v>
      </c>
      <c r="AR906" s="405" t="s">
        <v>1188</v>
      </c>
      <c r="AS906" s="404" t="s">
        <v>1392</v>
      </c>
      <c r="AT906" s="404"/>
      <c r="AU906" s="409">
        <f>180/360</f>
        <v>0.5</v>
      </c>
      <c r="AV906" s="402"/>
      <c r="AW906" s="402"/>
      <c r="AX906" s="402"/>
      <c r="AY906" s="402"/>
      <c r="AZ906" s="402"/>
      <c r="BA906" s="402"/>
      <c r="BB906" s="402"/>
      <c r="BC906" s="402"/>
    </row>
    <row r="907" spans="1:55">
      <c r="A907" s="426"/>
      <c r="B907" s="376">
        <v>44642</v>
      </c>
      <c r="C907" s="376"/>
      <c r="D907" s="416" t="s">
        <v>86</v>
      </c>
      <c r="E907" s="405" t="s">
        <v>4992</v>
      </c>
      <c r="F907" s="417"/>
      <c r="G907" s="359">
        <v>2022</v>
      </c>
      <c r="H907" s="405">
        <v>6</v>
      </c>
      <c r="I907" s="405"/>
      <c r="J907" s="406"/>
      <c r="K907" s="405" t="s">
        <v>1837</v>
      </c>
      <c r="L907" s="405" t="s">
        <v>1517</v>
      </c>
      <c r="M907" s="406">
        <v>44571</v>
      </c>
      <c r="N907" s="406">
        <v>44712</v>
      </c>
      <c r="O907" s="406"/>
      <c r="P907" s="406"/>
      <c r="Q907" s="406"/>
      <c r="R907" s="406"/>
      <c r="S907" s="405" t="s">
        <v>88</v>
      </c>
      <c r="T907" s="405">
        <v>60</v>
      </c>
      <c r="U907" s="417"/>
      <c r="V907" s="405" t="s">
        <v>973</v>
      </c>
      <c r="W907" s="405">
        <v>400</v>
      </c>
      <c r="X907" s="382">
        <v>3072</v>
      </c>
      <c r="Y907" s="365">
        <f t="shared" si="197"/>
        <v>1228800</v>
      </c>
      <c r="Z907" s="409">
        <f>220/400</f>
        <v>0.55000000000000004</v>
      </c>
      <c r="AA907" s="411">
        <f t="shared" si="203"/>
        <v>675840</v>
      </c>
      <c r="AB907" s="411"/>
      <c r="AC907" s="412">
        <v>0</v>
      </c>
      <c r="AD907" s="405"/>
      <c r="AE907" s="405"/>
      <c r="AF907" s="424">
        <f t="shared" si="204"/>
        <v>675840</v>
      </c>
      <c r="AG907" s="405" t="s">
        <v>1069</v>
      </c>
      <c r="AH907" s="405"/>
      <c r="AI907" s="405">
        <v>60</v>
      </c>
      <c r="AJ907" s="406" t="s">
        <v>1518</v>
      </c>
      <c r="AK907" s="406" t="s">
        <v>50</v>
      </c>
      <c r="AL907" s="414">
        <v>92126</v>
      </c>
      <c r="AM907" s="405" t="s">
        <v>52</v>
      </c>
      <c r="AN907" s="361"/>
      <c r="AO907" s="405" t="s">
        <v>1073</v>
      </c>
      <c r="AP907" s="413"/>
      <c r="AQ907" s="405" t="s">
        <v>37</v>
      </c>
      <c r="AR907" s="405"/>
      <c r="AS907" s="404" t="s">
        <v>1392</v>
      </c>
      <c r="AT907" s="404"/>
      <c r="AU907" s="409">
        <f>208/400</f>
        <v>0.52</v>
      </c>
      <c r="AV907" s="402">
        <f>U907</f>
        <v>0</v>
      </c>
      <c r="AW907" s="402" cm="1">
        <f t="array" ref="AW907">SUM(MID(0&amp;AV907,LARGE(INDEX(ISNUMBER(--MID(AV907,ROW($1:$8),1))*ROW($1:$8),),ROW($1:$8))+1,1)*10^ROW($1:$8)/10)</f>
        <v>0</v>
      </c>
      <c r="AX907" s="402" t="e">
        <f>VLOOKUP($AW907,'Item Master Data'!$A:$F,3,FALSE)</f>
        <v>#N/A</v>
      </c>
      <c r="AY907" s="402" t="e">
        <f>VLOOKUP($AW907,'Item Master Data'!$A:$F,6,FALSE)</f>
        <v>#N/A</v>
      </c>
      <c r="AZ907" s="402" t="e">
        <f>X907/BA907</f>
        <v>#N/A</v>
      </c>
      <c r="BA907" s="402" t="e">
        <f>VLOOKUP(AW907,'Item Master Data'!$A:$G,7,FALSE)</f>
        <v>#N/A</v>
      </c>
      <c r="BB907" s="402"/>
      <c r="BC907" s="402" t="e">
        <f>W907-AY907</f>
        <v>#N/A</v>
      </c>
    </row>
    <row r="908" spans="1:55">
      <c r="A908" s="426"/>
      <c r="B908" s="376">
        <v>44627</v>
      </c>
      <c r="C908" s="376">
        <v>44628</v>
      </c>
      <c r="D908" s="416" t="s">
        <v>86</v>
      </c>
      <c r="E908" s="405" t="s">
        <v>1708</v>
      </c>
      <c r="F908" s="417"/>
      <c r="G908" s="359">
        <v>2022</v>
      </c>
      <c r="H908" s="405">
        <v>6</v>
      </c>
      <c r="I908" s="405"/>
      <c r="J908" s="406"/>
      <c r="K908" s="405" t="s">
        <v>1828</v>
      </c>
      <c r="L908" s="405" t="s">
        <v>1517</v>
      </c>
      <c r="M908" s="406">
        <v>44593</v>
      </c>
      <c r="N908" s="406">
        <v>44727</v>
      </c>
      <c r="O908" s="406" t="s">
        <v>1236</v>
      </c>
      <c r="P908" s="406"/>
      <c r="Q908" s="406"/>
      <c r="R908" s="406"/>
      <c r="S908" s="405" t="s">
        <v>88</v>
      </c>
      <c r="T908" s="405">
        <v>60</v>
      </c>
      <c r="U908" s="417">
        <v>49201132</v>
      </c>
      <c r="V908" s="405" t="s">
        <v>986</v>
      </c>
      <c r="W908" s="405">
        <v>360</v>
      </c>
      <c r="X908" s="382">
        <v>768</v>
      </c>
      <c r="Y908" s="365">
        <f t="shared" si="197"/>
        <v>276480</v>
      </c>
      <c r="Z908" s="409">
        <f>190.8/360</f>
        <v>0.53</v>
      </c>
      <c r="AA908" s="411">
        <f t="shared" si="203"/>
        <v>146534.39999999999</v>
      </c>
      <c r="AB908" s="411"/>
      <c r="AC908" s="412">
        <v>0</v>
      </c>
      <c r="AD908" s="405"/>
      <c r="AE908" s="405"/>
      <c r="AF908" s="424">
        <f t="shared" si="204"/>
        <v>146534.39999999999</v>
      </c>
      <c r="AG908" s="405" t="s">
        <v>1069</v>
      </c>
      <c r="AH908" s="405"/>
      <c r="AI908" s="405">
        <v>60</v>
      </c>
      <c r="AJ908" s="406" t="s">
        <v>1518</v>
      </c>
      <c r="AK908" s="406" t="s">
        <v>50</v>
      </c>
      <c r="AL908" s="414">
        <v>92126</v>
      </c>
      <c r="AM908" s="405" t="s">
        <v>52</v>
      </c>
      <c r="AN908" s="361" t="s">
        <v>1071</v>
      </c>
      <c r="AO908" s="405" t="s">
        <v>1073</v>
      </c>
      <c r="AP908" s="413"/>
      <c r="AQ908" s="405" t="s">
        <v>37</v>
      </c>
      <c r="AR908" s="405" t="s">
        <v>1188</v>
      </c>
      <c r="AS908" s="404" t="s">
        <v>1392</v>
      </c>
      <c r="AT908" s="404"/>
      <c r="AU908" s="409">
        <f>180/360</f>
        <v>0.5</v>
      </c>
      <c r="AV908" s="402"/>
      <c r="AW908" s="402"/>
      <c r="AX908" s="402"/>
      <c r="AY908" s="402"/>
      <c r="AZ908" s="402"/>
      <c r="BA908" s="402"/>
      <c r="BB908" s="402"/>
      <c r="BC908" s="402"/>
    </row>
    <row r="909" spans="1:55">
      <c r="A909" s="426"/>
      <c r="B909" s="376"/>
      <c r="C909" s="376"/>
      <c r="D909" s="416" t="s">
        <v>86</v>
      </c>
      <c r="E909" s="405"/>
      <c r="F909" s="417" t="s">
        <v>87</v>
      </c>
      <c r="G909" s="359">
        <v>2022</v>
      </c>
      <c r="H909" s="405">
        <v>6</v>
      </c>
      <c r="I909" s="405"/>
      <c r="J909" s="406"/>
      <c r="K909" s="405" t="s">
        <v>1829</v>
      </c>
      <c r="L909" s="405" t="s">
        <v>1517</v>
      </c>
      <c r="M909" s="406">
        <v>44609</v>
      </c>
      <c r="N909" s="406">
        <v>44713</v>
      </c>
      <c r="O909" s="406"/>
      <c r="P909" s="406"/>
      <c r="Q909" s="406"/>
      <c r="R909" s="406"/>
      <c r="S909" s="405" t="s">
        <v>88</v>
      </c>
      <c r="T909" s="405">
        <v>72</v>
      </c>
      <c r="U909" s="417">
        <v>49303156</v>
      </c>
      <c r="V909" s="405" t="s">
        <v>1068</v>
      </c>
      <c r="W909" s="405">
        <v>480</v>
      </c>
      <c r="X909" s="382">
        <v>4466</v>
      </c>
      <c r="Y909" s="365">
        <f t="shared" si="197"/>
        <v>2143680</v>
      </c>
      <c r="Z909" s="409">
        <f>235.2/480</f>
        <v>0.49</v>
      </c>
      <c r="AA909" s="411">
        <f t="shared" si="203"/>
        <v>1050403.2</v>
      </c>
      <c r="AB909" s="411"/>
      <c r="AC909" s="412">
        <f>AB909*Y909</f>
        <v>0</v>
      </c>
      <c r="AD909" s="405"/>
      <c r="AE909" s="405"/>
      <c r="AF909" s="424">
        <f t="shared" si="204"/>
        <v>1050403.2</v>
      </c>
      <c r="AG909" s="405" t="s">
        <v>1069</v>
      </c>
      <c r="AH909" s="405"/>
      <c r="AI909" s="405">
        <v>60</v>
      </c>
      <c r="AJ909" s="406" t="s">
        <v>1518</v>
      </c>
      <c r="AK909" s="406" t="s">
        <v>50</v>
      </c>
      <c r="AL909" s="414">
        <v>92126</v>
      </c>
      <c r="AM909" s="405" t="s">
        <v>52</v>
      </c>
      <c r="AN909" s="361" t="s">
        <v>1516</v>
      </c>
      <c r="AO909" s="405" t="s">
        <v>1073</v>
      </c>
      <c r="AP909" s="413"/>
      <c r="AQ909" s="405" t="s">
        <v>37</v>
      </c>
      <c r="AR909" s="405"/>
      <c r="AS909" s="404" t="s">
        <v>1392</v>
      </c>
      <c r="AT909" s="404"/>
      <c r="AU909" s="409"/>
      <c r="AV909" s="402">
        <f>U909</f>
        <v>49303156</v>
      </c>
      <c r="AW909" s="402" cm="1">
        <f t="array" ref="AW909">SUM(MID(0&amp;AV909,LARGE(INDEX(ISNUMBER(--MID(AV909,ROW($1:$8),1))*ROW($1:$8),),ROW($1:$8))+1,1)*10^ROW($1:$8)/10)</f>
        <v>49303156</v>
      </c>
      <c r="AX909" s="402" t="str">
        <f>VLOOKUP($AW909,'Item Master Data'!$A:$F,3,FALSE)</f>
        <v>Q.PEAK DUO XL G10 BFG</v>
      </c>
      <c r="AY909" s="402">
        <f>VLOOKUP($AW909,'Item Master Data'!$A:$F,6,FALSE)</f>
        <v>480</v>
      </c>
      <c r="AZ909" s="402">
        <f>X909/BA909</f>
        <v>154</v>
      </c>
      <c r="BA909" s="402">
        <f>VLOOKUP(AW909,'Item Master Data'!$A:$G,7,FALSE)</f>
        <v>29</v>
      </c>
      <c r="BB909" s="402"/>
      <c r="BC909" s="402">
        <f>W909-AY909</f>
        <v>0</v>
      </c>
    </row>
    <row r="910" spans="1:55">
      <c r="A910" s="426"/>
      <c r="B910" s="376">
        <v>44672</v>
      </c>
      <c r="C910" s="376">
        <v>44676</v>
      </c>
      <c r="D910" s="416" t="s">
        <v>86</v>
      </c>
      <c r="E910" s="405" t="s">
        <v>4223</v>
      </c>
      <c r="F910" s="417"/>
      <c r="G910" s="359">
        <v>2022</v>
      </c>
      <c r="H910" s="405">
        <v>6</v>
      </c>
      <c r="I910" s="405"/>
      <c r="J910" s="406"/>
      <c r="K910" s="405" t="s">
        <v>4224</v>
      </c>
      <c r="L910" s="405" t="s">
        <v>1517</v>
      </c>
      <c r="M910" s="406">
        <v>44666</v>
      </c>
      <c r="N910" s="406">
        <v>44713</v>
      </c>
      <c r="O910" s="406"/>
      <c r="P910" s="406"/>
      <c r="Q910" s="406"/>
      <c r="R910" s="406"/>
      <c r="S910" s="405" t="s">
        <v>88</v>
      </c>
      <c r="T910" s="405">
        <v>60</v>
      </c>
      <c r="U910" s="417"/>
      <c r="V910" s="405" t="s">
        <v>973</v>
      </c>
      <c r="W910" s="405">
        <v>400</v>
      </c>
      <c r="X910" s="382">
        <v>1536</v>
      </c>
      <c r="Y910" s="365">
        <f t="shared" si="197"/>
        <v>614400</v>
      </c>
      <c r="Z910" s="409">
        <v>0.55000000000000004</v>
      </c>
      <c r="AA910" s="411">
        <f t="shared" si="203"/>
        <v>337920</v>
      </c>
      <c r="AB910" s="411"/>
      <c r="AC910" s="412">
        <v>0</v>
      </c>
      <c r="AD910" s="405"/>
      <c r="AE910" s="405"/>
      <c r="AF910" s="424">
        <f>+AE910+AD910+AA910</f>
        <v>337920</v>
      </c>
      <c r="AG910" s="405" t="s">
        <v>1069</v>
      </c>
      <c r="AH910" s="405"/>
      <c r="AI910" s="405">
        <v>60</v>
      </c>
      <c r="AJ910" s="406" t="s">
        <v>1518</v>
      </c>
      <c r="AK910" s="406" t="s">
        <v>50</v>
      </c>
      <c r="AL910" s="414">
        <v>92126</v>
      </c>
      <c r="AM910" s="405" t="s">
        <v>52</v>
      </c>
      <c r="AN910" s="361"/>
      <c r="AO910" s="405" t="s">
        <v>1073</v>
      </c>
      <c r="AP910" s="413"/>
      <c r="AQ910" s="405" t="s">
        <v>37</v>
      </c>
      <c r="AR910" s="405"/>
      <c r="AS910" s="404" t="s">
        <v>1392</v>
      </c>
      <c r="AT910" s="404"/>
      <c r="AU910" s="409">
        <v>0.52</v>
      </c>
      <c r="AV910" s="402">
        <f>U910</f>
        <v>0</v>
      </c>
      <c r="AW910" s="402" cm="1">
        <f t="array" ref="AW910">SUM(MID(0&amp;AV910,LARGE(INDEX(ISNUMBER(--MID(AV910,ROW($1:$8),1))*ROW($1:$8),),ROW($1:$8))+1,1)*10^ROW($1:$8)/10)</f>
        <v>0</v>
      </c>
      <c r="AX910" s="402" t="e">
        <f>VLOOKUP($AW910,'Item Master Data'!$A:$F,3,FALSE)</f>
        <v>#N/A</v>
      </c>
      <c r="AY910" s="402" t="e">
        <f>VLOOKUP($AW910,'Item Master Data'!$A:$F,6,FALSE)</f>
        <v>#N/A</v>
      </c>
      <c r="AZ910" s="402" t="e">
        <f>X910/BA910</f>
        <v>#N/A</v>
      </c>
      <c r="BA910" s="402" t="e">
        <f>VLOOKUP(AW910,'Item Master Data'!$A:$G,7,FALSE)</f>
        <v>#N/A</v>
      </c>
      <c r="BB910" s="402"/>
      <c r="BC910" s="402" t="e">
        <f>W910-AY910</f>
        <v>#N/A</v>
      </c>
    </row>
    <row r="911" spans="1:55">
      <c r="A911" s="426"/>
      <c r="B911" s="376">
        <v>44678</v>
      </c>
      <c r="C911" s="376"/>
      <c r="D911" s="416" t="s">
        <v>86</v>
      </c>
      <c r="E911" s="405"/>
      <c r="F911" s="417"/>
      <c r="G911" s="359">
        <v>2022</v>
      </c>
      <c r="H911" s="405">
        <v>6</v>
      </c>
      <c r="I911" s="405"/>
      <c r="J911" s="406"/>
      <c r="K911" s="405" t="s">
        <v>1839</v>
      </c>
      <c r="L911" s="405" t="s">
        <v>1768</v>
      </c>
      <c r="M911" s="406">
        <v>44573</v>
      </c>
      <c r="N911" s="406">
        <v>44655</v>
      </c>
      <c r="O911" s="406"/>
      <c r="P911" s="406"/>
      <c r="Q911" s="406"/>
      <c r="R911" s="406"/>
      <c r="S911" s="405" t="s">
        <v>88</v>
      </c>
      <c r="T911" s="405">
        <v>60</v>
      </c>
      <c r="U911" s="417"/>
      <c r="V911" s="405" t="s">
        <v>973</v>
      </c>
      <c r="W911" s="405">
        <v>400</v>
      </c>
      <c r="X911" s="382">
        <v>832</v>
      </c>
      <c r="Y911" s="365">
        <f t="shared" si="197"/>
        <v>332800</v>
      </c>
      <c r="Z911" s="409">
        <f>256/400</f>
        <v>0.64</v>
      </c>
      <c r="AA911" s="411">
        <f t="shared" si="203"/>
        <v>212992</v>
      </c>
      <c r="AB911" s="411"/>
      <c r="AC911" s="412">
        <f>AB911*Y911</f>
        <v>0</v>
      </c>
      <c r="AD911" s="405"/>
      <c r="AE911" s="405"/>
      <c r="AF911" s="424">
        <f t="shared" ref="AF911:AF917" si="205">AE911+AD911+AA911</f>
        <v>212992</v>
      </c>
      <c r="AG911" s="405" t="s">
        <v>1069</v>
      </c>
      <c r="AH911" s="405"/>
      <c r="AI911" s="405">
        <v>60</v>
      </c>
      <c r="AJ911" s="406" t="s">
        <v>1777</v>
      </c>
      <c r="AK911" s="406" t="s">
        <v>50</v>
      </c>
      <c r="AL911" s="414" t="s">
        <v>1778</v>
      </c>
      <c r="AM911" s="405" t="s">
        <v>52</v>
      </c>
      <c r="AN911" s="361" t="s">
        <v>1071</v>
      </c>
      <c r="AO911" s="405" t="s">
        <v>1073</v>
      </c>
      <c r="AP911" s="413"/>
      <c r="AQ911" s="405" t="s">
        <v>37</v>
      </c>
      <c r="AR911" s="405" t="s">
        <v>1188</v>
      </c>
      <c r="AS911" s="404" t="s">
        <v>1392</v>
      </c>
      <c r="AT911" s="404"/>
      <c r="AU911" s="409">
        <f>208/400</f>
        <v>0.52</v>
      </c>
      <c r="AV911" s="402">
        <f>U911</f>
        <v>0</v>
      </c>
      <c r="AW911" s="402" cm="1">
        <f t="array" ref="AW911">SUM(MID(0&amp;AV911,LARGE(INDEX(ISNUMBER(--MID(AV911,ROW($1:$8),1))*ROW($1:$8),),ROW($1:$8))+1,1)*10^ROW($1:$8)/10)</f>
        <v>0</v>
      </c>
      <c r="AX911" s="402" t="e">
        <f>VLOOKUP($AW911,'Item Master Data'!$A:$F,3,FALSE)</f>
        <v>#N/A</v>
      </c>
      <c r="AY911" s="402" t="e">
        <f>VLOOKUP($AW911,'Item Master Data'!$A:$F,6,FALSE)</f>
        <v>#N/A</v>
      </c>
      <c r="AZ911" s="402" t="e">
        <f>X911/BA911</f>
        <v>#N/A</v>
      </c>
      <c r="BA911" s="402" t="e">
        <f>VLOOKUP(AW911,'Item Master Data'!$A:$G,7,FALSE)</f>
        <v>#N/A</v>
      </c>
      <c r="BB911" s="402"/>
      <c r="BC911" s="402" t="e">
        <f>W911-AY911</f>
        <v>#N/A</v>
      </c>
    </row>
    <row r="912" spans="1:55">
      <c r="A912" s="426"/>
      <c r="B912" s="376"/>
      <c r="C912" s="376"/>
      <c r="D912" s="416" t="s">
        <v>86</v>
      </c>
      <c r="E912" s="405"/>
      <c r="F912" s="417" t="s">
        <v>87</v>
      </c>
      <c r="G912" s="359">
        <v>2022</v>
      </c>
      <c r="H912" s="405">
        <v>6</v>
      </c>
      <c r="I912" s="405"/>
      <c r="J912" s="406"/>
      <c r="K912" s="405" t="s">
        <v>1840</v>
      </c>
      <c r="L912" s="405" t="s">
        <v>1711</v>
      </c>
      <c r="M912" s="406">
        <v>44567</v>
      </c>
      <c r="N912" s="406">
        <v>44732</v>
      </c>
      <c r="O912" s="406">
        <v>44683</v>
      </c>
      <c r="P912" s="406"/>
      <c r="Q912" s="406"/>
      <c r="R912" s="406"/>
      <c r="S912" s="405" t="s">
        <v>1510</v>
      </c>
      <c r="T912" s="405">
        <v>72</v>
      </c>
      <c r="U912" s="417"/>
      <c r="V912" s="405" t="s">
        <v>1068</v>
      </c>
      <c r="W912" s="405">
        <v>480</v>
      </c>
      <c r="X912" s="382">
        <v>1276</v>
      </c>
      <c r="Y912" s="365">
        <f t="shared" si="197"/>
        <v>612480</v>
      </c>
      <c r="Z912" s="409">
        <f>240/480</f>
        <v>0.5</v>
      </c>
      <c r="AA912" s="411">
        <f t="shared" si="203"/>
        <v>306240</v>
      </c>
      <c r="AB912" s="411"/>
      <c r="AC912" s="412">
        <f>AB912*Y912</f>
        <v>0</v>
      </c>
      <c r="AD912" s="405"/>
      <c r="AE912" s="405"/>
      <c r="AF912" s="424">
        <f t="shared" si="205"/>
        <v>306240</v>
      </c>
      <c r="AG912" s="405" t="s">
        <v>1069</v>
      </c>
      <c r="AH912" s="405"/>
      <c r="AI912" s="405">
        <v>60</v>
      </c>
      <c r="AJ912" s="406" t="s">
        <v>1712</v>
      </c>
      <c r="AK912" s="406" t="s">
        <v>50</v>
      </c>
      <c r="AL912" s="414" t="s">
        <v>1713</v>
      </c>
      <c r="AM912" s="405" t="s">
        <v>52</v>
      </c>
      <c r="AN912" s="361" t="s">
        <v>50</v>
      </c>
      <c r="AO912" s="405" t="s">
        <v>1073</v>
      </c>
      <c r="AP912" s="413"/>
      <c r="AQ912" s="405" t="s">
        <v>37</v>
      </c>
      <c r="AR912" s="405"/>
      <c r="AS912" s="404"/>
      <c r="AT912" s="404"/>
      <c r="AU912" s="409"/>
      <c r="AV912" s="402">
        <f>U912</f>
        <v>0</v>
      </c>
      <c r="AW912" s="402" cm="1">
        <f t="array" ref="AW912">SUM(MID(0&amp;AV912,LARGE(INDEX(ISNUMBER(--MID(AV912,ROW($1:$8),1))*ROW($1:$8),),ROW($1:$8))+1,1)*10^ROW($1:$8)/10)</f>
        <v>0</v>
      </c>
      <c r="AX912" s="402" t="e">
        <f>VLOOKUP($AW912,'Item Master Data'!$A:$F,3,FALSE)</f>
        <v>#N/A</v>
      </c>
      <c r="AY912" s="402" t="e">
        <f>VLOOKUP($AW912,'Item Master Data'!$A:$F,6,FALSE)</f>
        <v>#N/A</v>
      </c>
      <c r="AZ912" s="402" t="e">
        <f>X912/BA912</f>
        <v>#N/A</v>
      </c>
      <c r="BA912" s="402" t="e">
        <f>VLOOKUP(AW912,'Item Master Data'!$A:$G,7,FALSE)</f>
        <v>#N/A</v>
      </c>
      <c r="BB912" s="402"/>
      <c r="BC912" s="402" t="e">
        <f>W912-AY912</f>
        <v>#N/A</v>
      </c>
    </row>
    <row r="913" spans="1:55">
      <c r="A913" s="426"/>
      <c r="B913" s="376">
        <v>44641</v>
      </c>
      <c r="C913" s="376"/>
      <c r="D913" s="416" t="s">
        <v>86</v>
      </c>
      <c r="E913" s="405" t="s">
        <v>1564</v>
      </c>
      <c r="F913" s="417"/>
      <c r="G913" s="359">
        <v>2022</v>
      </c>
      <c r="H913" s="405">
        <v>6</v>
      </c>
      <c r="I913" s="405"/>
      <c r="J913" s="406"/>
      <c r="K913" s="405" t="s">
        <v>1846</v>
      </c>
      <c r="L913" s="405" t="s">
        <v>1711</v>
      </c>
      <c r="M913" s="406">
        <v>44573</v>
      </c>
      <c r="N913" s="406">
        <v>44573</v>
      </c>
      <c r="O913" s="406">
        <v>44719</v>
      </c>
      <c r="P913" s="406"/>
      <c r="Q913" s="406"/>
      <c r="R913" s="406"/>
      <c r="S913" s="405" t="s">
        <v>1510</v>
      </c>
      <c r="T913" s="405">
        <v>60</v>
      </c>
      <c r="U913" s="417" t="s">
        <v>1847</v>
      </c>
      <c r="V913" s="405" t="s">
        <v>973</v>
      </c>
      <c r="W913" s="405">
        <v>400</v>
      </c>
      <c r="X913" s="382">
        <v>1536</v>
      </c>
      <c r="Y913" s="365">
        <f t="shared" si="197"/>
        <v>614400</v>
      </c>
      <c r="Z913" s="409">
        <f>220/400</f>
        <v>0.55000000000000004</v>
      </c>
      <c r="AA913" s="411">
        <f t="shared" si="203"/>
        <v>337920</v>
      </c>
      <c r="AB913" s="411"/>
      <c r="AC913" s="412">
        <f>AB913*Y913</f>
        <v>0</v>
      </c>
      <c r="AD913" s="405"/>
      <c r="AE913" s="405"/>
      <c r="AF913" s="424">
        <f t="shared" si="205"/>
        <v>337920</v>
      </c>
      <c r="AG913" s="405" t="s">
        <v>1069</v>
      </c>
      <c r="AH913" s="405"/>
      <c r="AI913" s="405">
        <v>60</v>
      </c>
      <c r="AJ913" s="406" t="s">
        <v>1712</v>
      </c>
      <c r="AK913" s="406" t="s">
        <v>50</v>
      </c>
      <c r="AL913" s="414" t="s">
        <v>1713</v>
      </c>
      <c r="AM913" s="405" t="s">
        <v>52</v>
      </c>
      <c r="AN913" s="361"/>
      <c r="AO913" s="405" t="s">
        <v>1073</v>
      </c>
      <c r="AP913" s="413"/>
      <c r="AQ913" s="405" t="s">
        <v>37</v>
      </c>
      <c r="AR913" s="405" t="s">
        <v>1499</v>
      </c>
      <c r="AS913" s="404"/>
      <c r="AT913" s="404"/>
      <c r="AU913" s="409">
        <f>208/400</f>
        <v>0.52</v>
      </c>
      <c r="AV913" s="402"/>
      <c r="AW913" s="402"/>
      <c r="AX913" s="402"/>
      <c r="AY913" s="402"/>
      <c r="AZ913" s="402"/>
      <c r="BA913" s="402"/>
      <c r="BB913" s="402"/>
      <c r="BC913" s="402"/>
    </row>
    <row r="914" spans="1:55">
      <c r="A914" s="426"/>
      <c r="B914" s="376">
        <v>44607</v>
      </c>
      <c r="C914" s="376">
        <v>44607</v>
      </c>
      <c r="D914" s="416" t="s">
        <v>86</v>
      </c>
      <c r="E914" s="405"/>
      <c r="F914" s="417"/>
      <c r="G914" s="359">
        <v>2022</v>
      </c>
      <c r="H914" s="405">
        <v>6</v>
      </c>
      <c r="I914" s="405"/>
      <c r="J914" s="406"/>
      <c r="K914" s="405" t="s">
        <v>1845</v>
      </c>
      <c r="L914" s="405" t="s">
        <v>1711</v>
      </c>
      <c r="M914" s="406">
        <v>44607</v>
      </c>
      <c r="N914" s="406">
        <v>44718</v>
      </c>
      <c r="O914" s="406"/>
      <c r="P914" s="406"/>
      <c r="Q914" s="406"/>
      <c r="R914" s="406"/>
      <c r="S914" s="405" t="s">
        <v>1510</v>
      </c>
      <c r="T914" s="405">
        <v>60</v>
      </c>
      <c r="U914" s="417">
        <v>49204132</v>
      </c>
      <c r="V914" s="405" t="s">
        <v>1192</v>
      </c>
      <c r="W914" s="405">
        <v>360</v>
      </c>
      <c r="X914" s="382">
        <v>728</v>
      </c>
      <c r="Y914" s="365">
        <f t="shared" si="197"/>
        <v>262080</v>
      </c>
      <c r="Z914" s="409">
        <f>298.8/360</f>
        <v>0.83000000000000007</v>
      </c>
      <c r="AA914" s="411">
        <f t="shared" si="203"/>
        <v>217526.40000000002</v>
      </c>
      <c r="AB914" s="411"/>
      <c r="AC914" s="412">
        <f>AB914*Y914</f>
        <v>0</v>
      </c>
      <c r="AD914" s="405"/>
      <c r="AE914" s="405"/>
      <c r="AF914" s="424">
        <f t="shared" si="205"/>
        <v>217526.40000000002</v>
      </c>
      <c r="AG914" s="405" t="s">
        <v>1069</v>
      </c>
      <c r="AH914" s="405"/>
      <c r="AI914" s="405">
        <v>60</v>
      </c>
      <c r="AJ914" s="406" t="s">
        <v>1712</v>
      </c>
      <c r="AK914" s="406" t="s">
        <v>50</v>
      </c>
      <c r="AL914" s="414" t="s">
        <v>1713</v>
      </c>
      <c r="AM914" s="405" t="s">
        <v>52</v>
      </c>
      <c r="AN914" s="361"/>
      <c r="AO914" s="405" t="s">
        <v>1073</v>
      </c>
      <c r="AP914" s="413"/>
      <c r="AQ914" s="405" t="s">
        <v>37</v>
      </c>
      <c r="AR914" s="405"/>
      <c r="AS914" s="404"/>
      <c r="AT914" s="404"/>
      <c r="AU914" s="409">
        <f>180/360</f>
        <v>0.5</v>
      </c>
      <c r="AV914" s="402"/>
      <c r="AW914" s="402"/>
      <c r="AX914" s="402"/>
      <c r="AY914" s="402"/>
      <c r="AZ914" s="402"/>
      <c r="BA914" s="402"/>
      <c r="BB914" s="402"/>
      <c r="BC914" s="402"/>
    </row>
    <row r="915" spans="1:55">
      <c r="A915" s="426"/>
      <c r="B915" s="376"/>
      <c r="C915" s="376"/>
      <c r="D915" s="416" t="s">
        <v>86</v>
      </c>
      <c r="E915" s="405" t="s">
        <v>4555</v>
      </c>
      <c r="F915" s="417" t="s">
        <v>87</v>
      </c>
      <c r="G915" s="359">
        <v>2022</v>
      </c>
      <c r="H915" s="405">
        <v>6</v>
      </c>
      <c r="I915" s="405"/>
      <c r="J915" s="406"/>
      <c r="K915" s="405" t="s">
        <v>4556</v>
      </c>
      <c r="L915" s="405" t="s">
        <v>1711</v>
      </c>
      <c r="M915" s="406">
        <v>44679</v>
      </c>
      <c r="N915" s="406">
        <v>44804</v>
      </c>
      <c r="O915" s="406"/>
      <c r="P915" s="406"/>
      <c r="Q915" s="406"/>
      <c r="R915" s="406"/>
      <c r="S915" s="405" t="s">
        <v>1510</v>
      </c>
      <c r="T915" s="405">
        <v>72</v>
      </c>
      <c r="U915" s="417"/>
      <c r="V915" s="405" t="s">
        <v>1068</v>
      </c>
      <c r="W915" s="405">
        <v>480</v>
      </c>
      <c r="X915" s="382">
        <v>638</v>
      </c>
      <c r="Y915" s="365">
        <f t="shared" si="197"/>
        <v>306240</v>
      </c>
      <c r="Z915" s="409">
        <f>240/480</f>
        <v>0.5</v>
      </c>
      <c r="AA915" s="411">
        <f t="shared" si="203"/>
        <v>153120</v>
      </c>
      <c r="AB915" s="411"/>
      <c r="AC915" s="412">
        <v>0</v>
      </c>
      <c r="AD915" s="405"/>
      <c r="AE915" s="405"/>
      <c r="AF915" s="424">
        <f t="shared" si="205"/>
        <v>153120</v>
      </c>
      <c r="AG915" s="405" t="s">
        <v>1069</v>
      </c>
      <c r="AH915" s="405"/>
      <c r="AI915" s="405">
        <v>60</v>
      </c>
      <c r="AJ915" s="406" t="s">
        <v>1712</v>
      </c>
      <c r="AK915" s="406" t="s">
        <v>50</v>
      </c>
      <c r="AL915" s="414" t="s">
        <v>1713</v>
      </c>
      <c r="AM915" s="405" t="s">
        <v>52</v>
      </c>
      <c r="AN915" s="361"/>
      <c r="AO915" s="405" t="s">
        <v>1073</v>
      </c>
      <c r="AP915" s="413"/>
      <c r="AQ915" s="405" t="s">
        <v>1083</v>
      </c>
      <c r="AR915" s="405"/>
      <c r="AS915" s="404"/>
      <c r="AT915" s="404"/>
      <c r="AU915" s="409"/>
      <c r="AV915" s="402"/>
      <c r="AW915" s="402"/>
      <c r="AX915" s="402"/>
      <c r="AY915" s="402"/>
      <c r="AZ915" s="402"/>
      <c r="BA915" s="402"/>
      <c r="BB915" s="402"/>
      <c r="BC915" s="402"/>
    </row>
    <row r="916" spans="1:55">
      <c r="A916" s="426"/>
      <c r="B916" s="376"/>
      <c r="C916" s="376"/>
      <c r="D916" s="416" t="s">
        <v>86</v>
      </c>
      <c r="E916" s="405"/>
      <c r="F916" s="417"/>
      <c r="G916" s="359">
        <v>2022</v>
      </c>
      <c r="H916" s="405">
        <v>6</v>
      </c>
      <c r="I916" s="405"/>
      <c r="J916" s="406"/>
      <c r="K916" s="405" t="s">
        <v>1872</v>
      </c>
      <c r="L916" s="405" t="s">
        <v>1519</v>
      </c>
      <c r="M916" s="406">
        <v>44502</v>
      </c>
      <c r="N916" s="406">
        <v>44634</v>
      </c>
      <c r="O916" s="406">
        <v>44724</v>
      </c>
      <c r="P916" s="406"/>
      <c r="Q916" s="406"/>
      <c r="R916" s="406"/>
      <c r="S916" s="405" t="s">
        <v>1683</v>
      </c>
      <c r="T916" s="405">
        <v>60</v>
      </c>
      <c r="U916" s="417"/>
      <c r="V916" s="405" t="s">
        <v>973</v>
      </c>
      <c r="W916" s="405">
        <v>400</v>
      </c>
      <c r="X916" s="382">
        <v>768</v>
      </c>
      <c r="Y916" s="365">
        <f t="shared" si="197"/>
        <v>307200</v>
      </c>
      <c r="Z916" s="409">
        <f>220/400</f>
        <v>0.55000000000000004</v>
      </c>
      <c r="AA916" s="411">
        <f t="shared" si="203"/>
        <v>168960</v>
      </c>
      <c r="AB916" s="411"/>
      <c r="AC916" s="412">
        <f>AB916*Y916</f>
        <v>0</v>
      </c>
      <c r="AD916" s="405"/>
      <c r="AE916" s="405"/>
      <c r="AF916" s="424">
        <f t="shared" si="205"/>
        <v>168960</v>
      </c>
      <c r="AG916" s="405" t="s">
        <v>1069</v>
      </c>
      <c r="AH916" s="405"/>
      <c r="AI916" s="405">
        <v>60</v>
      </c>
      <c r="AJ916" s="406" t="s">
        <v>1521</v>
      </c>
      <c r="AK916" s="406" t="s">
        <v>1522</v>
      </c>
      <c r="AL916" s="414" t="s">
        <v>1523</v>
      </c>
      <c r="AM916" s="405" t="s">
        <v>52</v>
      </c>
      <c r="AN916" s="361" t="s">
        <v>50</v>
      </c>
      <c r="AO916" s="405" t="s">
        <v>1073</v>
      </c>
      <c r="AP916" s="413" t="s">
        <v>92</v>
      </c>
      <c r="AQ916" s="405" t="s">
        <v>37</v>
      </c>
      <c r="AR916" s="405" t="s">
        <v>1499</v>
      </c>
      <c r="AS916" s="404"/>
      <c r="AT916" s="404"/>
      <c r="AU916" s="409">
        <f>182/400</f>
        <v>0.45500000000000002</v>
      </c>
      <c r="AV916" s="402">
        <f t="shared" ref="AV916:AV922" si="206">U916</f>
        <v>0</v>
      </c>
      <c r="AW916" s="402" cm="1">
        <f t="array" ref="AW916">SUM(MID(0&amp;AV916,LARGE(INDEX(ISNUMBER(--MID(AV916,ROW($1:$8),1))*ROW($1:$8),),ROW($1:$8))+1,1)*10^ROW($1:$8)/10)</f>
        <v>0</v>
      </c>
      <c r="AX916" s="402" t="e">
        <f>VLOOKUP($AW916,'Item Master Data'!$A:$F,3,FALSE)</f>
        <v>#N/A</v>
      </c>
      <c r="AY916" s="402" t="e">
        <f>VLOOKUP($AW916,'Item Master Data'!$A:$F,6,FALSE)</f>
        <v>#N/A</v>
      </c>
      <c r="AZ916" s="402" t="e">
        <f t="shared" ref="AZ916:AZ922" si="207">X916/BA916</f>
        <v>#N/A</v>
      </c>
      <c r="BA916" s="402" t="e">
        <f>VLOOKUP(AW916,'Item Master Data'!$A:$G,7,FALSE)</f>
        <v>#N/A</v>
      </c>
      <c r="BB916" s="402"/>
      <c r="BC916" s="402" t="e">
        <f t="shared" ref="BC916:BC922" si="208">W916-AY916</f>
        <v>#N/A</v>
      </c>
    </row>
    <row r="917" spans="1:55">
      <c r="A917" s="426"/>
      <c r="B917" s="376"/>
      <c r="C917" s="376"/>
      <c r="D917" s="416" t="s">
        <v>86</v>
      </c>
      <c r="E917" s="405"/>
      <c r="F917" s="417"/>
      <c r="G917" s="359">
        <v>2022</v>
      </c>
      <c r="H917" s="405">
        <v>6</v>
      </c>
      <c r="I917" s="405"/>
      <c r="J917" s="406"/>
      <c r="K917" s="405" t="s">
        <v>1873</v>
      </c>
      <c r="L917" s="405" t="s">
        <v>1519</v>
      </c>
      <c r="M917" s="406">
        <v>44502</v>
      </c>
      <c r="N917" s="406">
        <v>44641</v>
      </c>
      <c r="O917" s="406">
        <v>44733</v>
      </c>
      <c r="P917" s="406"/>
      <c r="Q917" s="406"/>
      <c r="R917" s="406"/>
      <c r="S917" s="405" t="s">
        <v>1683</v>
      </c>
      <c r="T917" s="405">
        <v>60</v>
      </c>
      <c r="U917" s="417"/>
      <c r="V917" s="405" t="s">
        <v>973</v>
      </c>
      <c r="W917" s="405">
        <v>400</v>
      </c>
      <c r="X917" s="382">
        <v>768</v>
      </c>
      <c r="Y917" s="365">
        <f t="shared" si="197"/>
        <v>307200</v>
      </c>
      <c r="Z917" s="409">
        <f>220/400</f>
        <v>0.55000000000000004</v>
      </c>
      <c r="AA917" s="411">
        <f t="shared" si="203"/>
        <v>168960</v>
      </c>
      <c r="AB917" s="411"/>
      <c r="AC917" s="412">
        <f>AB917*Y917</f>
        <v>0</v>
      </c>
      <c r="AD917" s="405"/>
      <c r="AE917" s="405"/>
      <c r="AF917" s="424">
        <f t="shared" si="205"/>
        <v>168960</v>
      </c>
      <c r="AG917" s="405" t="s">
        <v>1069</v>
      </c>
      <c r="AH917" s="405"/>
      <c r="AI917" s="405">
        <v>60</v>
      </c>
      <c r="AJ917" s="406" t="s">
        <v>1521</v>
      </c>
      <c r="AK917" s="406" t="s">
        <v>1522</v>
      </c>
      <c r="AL917" s="414" t="s">
        <v>1523</v>
      </c>
      <c r="AM917" s="405" t="s">
        <v>52</v>
      </c>
      <c r="AN917" s="361" t="s">
        <v>50</v>
      </c>
      <c r="AO917" s="405" t="s">
        <v>1073</v>
      </c>
      <c r="AP917" s="413" t="s">
        <v>92</v>
      </c>
      <c r="AQ917" s="405" t="s">
        <v>37</v>
      </c>
      <c r="AR917" s="405" t="s">
        <v>1499</v>
      </c>
      <c r="AS917" s="404"/>
      <c r="AT917" s="404"/>
      <c r="AU917" s="409">
        <f>182/400</f>
        <v>0.45500000000000002</v>
      </c>
      <c r="AV917" s="402">
        <f t="shared" si="206"/>
        <v>0</v>
      </c>
      <c r="AW917" s="402" cm="1">
        <f t="array" ref="AW917">SUM(MID(0&amp;AV917,LARGE(INDEX(ISNUMBER(--MID(AV917,ROW($1:$8),1))*ROW($1:$8),),ROW($1:$8))+1,1)*10^ROW($1:$8)/10)</f>
        <v>0</v>
      </c>
      <c r="AX917" s="402" t="e">
        <f>VLOOKUP($AW917,'Item Master Data'!$A:$F,3,FALSE)</f>
        <v>#N/A</v>
      </c>
      <c r="AY917" s="402" t="e">
        <f>VLOOKUP($AW917,'Item Master Data'!$A:$F,6,FALSE)</f>
        <v>#N/A</v>
      </c>
      <c r="AZ917" s="402" t="e">
        <f t="shared" si="207"/>
        <v>#N/A</v>
      </c>
      <c r="BA917" s="402" t="e">
        <f>VLOOKUP(AW917,'Item Master Data'!$A:$G,7,FALSE)</f>
        <v>#N/A</v>
      </c>
      <c r="BB917" s="402"/>
      <c r="BC917" s="402" t="e">
        <f t="shared" si="208"/>
        <v>#N/A</v>
      </c>
    </row>
    <row r="918" spans="1:55">
      <c r="A918" s="426"/>
      <c r="B918" s="376">
        <v>44627</v>
      </c>
      <c r="C918" s="376">
        <v>44627</v>
      </c>
      <c r="D918" s="416" t="s">
        <v>86</v>
      </c>
      <c r="E918" s="405"/>
      <c r="F918" s="417"/>
      <c r="G918" s="359">
        <v>2022</v>
      </c>
      <c r="H918" s="405">
        <v>6</v>
      </c>
      <c r="I918" s="405"/>
      <c r="J918" s="406"/>
      <c r="K918" s="405" t="s">
        <v>1879</v>
      </c>
      <c r="L918" s="405" t="s">
        <v>1519</v>
      </c>
      <c r="M918" s="406">
        <v>44644</v>
      </c>
      <c r="N918" s="406">
        <v>44736</v>
      </c>
      <c r="O918" s="406"/>
      <c r="P918" s="406"/>
      <c r="Q918" s="406"/>
      <c r="R918" s="406"/>
      <c r="S918" s="405" t="s">
        <v>1520</v>
      </c>
      <c r="T918" s="405">
        <v>72</v>
      </c>
      <c r="U918" s="417"/>
      <c r="V918" s="405" t="s">
        <v>1068</v>
      </c>
      <c r="W918" s="405">
        <v>480</v>
      </c>
      <c r="X918" s="382">
        <v>580</v>
      </c>
      <c r="Y918" s="365">
        <f t="shared" si="197"/>
        <v>278400</v>
      </c>
      <c r="Z918" s="409">
        <f>242.4/480</f>
        <v>0.505</v>
      </c>
      <c r="AA918" s="411">
        <f>Y918*Z918</f>
        <v>140592</v>
      </c>
      <c r="AB918" s="411"/>
      <c r="AC918" s="412">
        <v>0</v>
      </c>
      <c r="AD918" s="405"/>
      <c r="AE918" s="405"/>
      <c r="AF918" s="424">
        <f>AA918</f>
        <v>140592</v>
      </c>
      <c r="AG918" s="405" t="s">
        <v>1069</v>
      </c>
      <c r="AH918" s="405"/>
      <c r="AI918" s="405">
        <v>60</v>
      </c>
      <c r="AJ918" s="406" t="s">
        <v>1521</v>
      </c>
      <c r="AK918" s="406" t="s">
        <v>1522</v>
      </c>
      <c r="AL918" s="414" t="s">
        <v>1523</v>
      </c>
      <c r="AM918" s="405" t="s">
        <v>52</v>
      </c>
      <c r="AN918" s="361"/>
      <c r="AO918" s="405" t="s">
        <v>1073</v>
      </c>
      <c r="AP918" s="413"/>
      <c r="AQ918" s="405" t="s">
        <v>37</v>
      </c>
      <c r="AR918" s="405"/>
      <c r="AS918" s="404"/>
      <c r="AT918" s="404"/>
      <c r="AU918" s="409"/>
      <c r="AV918" s="402">
        <f t="shared" si="206"/>
        <v>0</v>
      </c>
      <c r="AW918" s="402" cm="1">
        <f t="array" ref="AW918">SUM(MID(0&amp;AV918,LARGE(INDEX(ISNUMBER(--MID(AV918,ROW($1:$8),1))*ROW($1:$8),),ROW($1:$8))+1,1)*10^ROW($1:$8)/10)</f>
        <v>0</v>
      </c>
      <c r="AX918" s="402" t="e">
        <f>VLOOKUP($AW918,'Item Master Data'!$A:$F,3,FALSE)</f>
        <v>#N/A</v>
      </c>
      <c r="AY918" s="402" t="e">
        <f>VLOOKUP($AW918,'Item Master Data'!$A:$F,6,FALSE)</f>
        <v>#N/A</v>
      </c>
      <c r="AZ918" s="402" t="e">
        <f t="shared" si="207"/>
        <v>#N/A</v>
      </c>
      <c r="BA918" s="402" t="e">
        <f>VLOOKUP(AW918,'Item Master Data'!$A:$G,7,FALSE)</f>
        <v>#N/A</v>
      </c>
      <c r="BB918" s="402"/>
      <c r="BC918" s="402" t="e">
        <f t="shared" si="208"/>
        <v>#N/A</v>
      </c>
    </row>
    <row r="919" spans="1:55">
      <c r="A919" s="426"/>
      <c r="B919" s="376"/>
      <c r="C919" s="376"/>
      <c r="D919" s="416" t="s">
        <v>86</v>
      </c>
      <c r="E919" s="405"/>
      <c r="F919" s="417"/>
      <c r="G919" s="359">
        <v>2022</v>
      </c>
      <c r="H919" s="405">
        <v>6</v>
      </c>
      <c r="I919" s="405"/>
      <c r="J919" s="406"/>
      <c r="K919" s="405" t="s">
        <v>1885</v>
      </c>
      <c r="L919" s="405" t="s">
        <v>1737</v>
      </c>
      <c r="M919" s="406">
        <v>44573</v>
      </c>
      <c r="N919" s="406">
        <v>44774</v>
      </c>
      <c r="O919" s="406"/>
      <c r="P919" s="406"/>
      <c r="Q919" s="406"/>
      <c r="R919" s="406"/>
      <c r="S919" s="405" t="s">
        <v>88</v>
      </c>
      <c r="T919" s="405">
        <v>60</v>
      </c>
      <c r="U919" s="417">
        <v>49204132</v>
      </c>
      <c r="V919" s="405" t="s">
        <v>1192</v>
      </c>
      <c r="W919" s="405">
        <v>360</v>
      </c>
      <c r="X919" s="382">
        <v>364</v>
      </c>
      <c r="Y919" s="365">
        <v>131040</v>
      </c>
      <c r="Z919" s="409">
        <f>298.8/360</f>
        <v>0.83000000000000007</v>
      </c>
      <c r="AA919" s="411">
        <f t="shared" ref="AA919:AA973" si="209">Z919*Y919</f>
        <v>108763.20000000001</v>
      </c>
      <c r="AB919" s="411"/>
      <c r="AC919" s="412">
        <v>0</v>
      </c>
      <c r="AD919" s="405"/>
      <c r="AE919" s="405"/>
      <c r="AF919" s="424">
        <v>103521.59999999999</v>
      </c>
      <c r="AG919" s="405" t="s">
        <v>1069</v>
      </c>
      <c r="AH919" s="405"/>
      <c r="AI919" s="405">
        <v>60</v>
      </c>
      <c r="AJ919" s="406" t="s">
        <v>1762</v>
      </c>
      <c r="AK919" s="406" t="s">
        <v>50</v>
      </c>
      <c r="AL919" s="414" t="s">
        <v>1739</v>
      </c>
      <c r="AM919" s="405" t="s">
        <v>52</v>
      </c>
      <c r="AN919" s="361" t="s">
        <v>1516</v>
      </c>
      <c r="AO919" s="405" t="s">
        <v>1073</v>
      </c>
      <c r="AP919" s="413"/>
      <c r="AQ919" s="405" t="s">
        <v>37</v>
      </c>
      <c r="AR919" s="405" t="s">
        <v>1188</v>
      </c>
      <c r="AS919" s="404" t="s">
        <v>1392</v>
      </c>
      <c r="AT919" s="404"/>
      <c r="AU919" s="409">
        <f>244.8/360</f>
        <v>0.68</v>
      </c>
      <c r="AV919" s="402">
        <f t="shared" si="206"/>
        <v>49204132</v>
      </c>
      <c r="AW919" s="402" cm="1">
        <f t="array" ref="AW919">SUM(MID(0&amp;AV919,LARGE(INDEX(ISNUMBER(--MID(AV919,ROW($1:$8),1))*ROW($1:$8),),ROW($1:$8))+1,1)*10^ROW($1:$8)/10)</f>
        <v>49204132</v>
      </c>
      <c r="AX919" s="402" t="str">
        <f>VLOOKUP($AW919,'Item Master Data'!$A:$F,3,FALSE)</f>
        <v>Q.PEAK DUO BLK G10+/AC</v>
      </c>
      <c r="AY919" s="402">
        <f>VLOOKUP($AW919,'Item Master Data'!$A:$F,6,FALSE)</f>
        <v>360</v>
      </c>
      <c r="AZ919" s="402">
        <f t="shared" si="207"/>
        <v>14</v>
      </c>
      <c r="BA919" s="402">
        <f>VLOOKUP(AW919,'Item Master Data'!$A:$G,7,FALSE)</f>
        <v>26</v>
      </c>
      <c r="BB919" s="402"/>
      <c r="BC919" s="402">
        <f t="shared" si="208"/>
        <v>0</v>
      </c>
    </row>
    <row r="920" spans="1:55">
      <c r="A920" s="426"/>
      <c r="B920" s="376">
        <v>44607</v>
      </c>
      <c r="C920" s="376">
        <v>44607</v>
      </c>
      <c r="D920" s="416" t="s">
        <v>86</v>
      </c>
      <c r="E920" s="405"/>
      <c r="F920" s="417"/>
      <c r="G920" s="359">
        <v>2022</v>
      </c>
      <c r="H920" s="405">
        <v>6</v>
      </c>
      <c r="I920" s="405"/>
      <c r="J920" s="406"/>
      <c r="K920" s="405" t="s">
        <v>1892</v>
      </c>
      <c r="L920" s="405" t="s">
        <v>1525</v>
      </c>
      <c r="M920" s="406">
        <v>44530</v>
      </c>
      <c r="N920" s="406">
        <v>44716</v>
      </c>
      <c r="O920" s="406"/>
      <c r="P920" s="406"/>
      <c r="Q920" s="406"/>
      <c r="R920" s="406"/>
      <c r="S920" s="405" t="s">
        <v>1510</v>
      </c>
      <c r="T920" s="405">
        <v>60</v>
      </c>
      <c r="U920" s="417"/>
      <c r="V920" s="405" t="s">
        <v>986</v>
      </c>
      <c r="W920" s="405">
        <v>360</v>
      </c>
      <c r="X920" s="382">
        <v>1536</v>
      </c>
      <c r="Y920" s="365">
        <f t="shared" ref="Y920:Y973" si="210">W920*X920</f>
        <v>552960</v>
      </c>
      <c r="Z920" s="409">
        <f>190.8/360</f>
        <v>0.53</v>
      </c>
      <c r="AA920" s="411">
        <f t="shared" si="209"/>
        <v>293068.79999999999</v>
      </c>
      <c r="AB920" s="411"/>
      <c r="AC920" s="412">
        <f t="shared" ref="AC920:AC942" si="211">AB920*Y920</f>
        <v>0</v>
      </c>
      <c r="AD920" s="405"/>
      <c r="AE920" s="405"/>
      <c r="AF920" s="424">
        <f t="shared" ref="AF920:AF942" si="212">AE920+AD920+AA920</f>
        <v>293068.79999999999</v>
      </c>
      <c r="AG920" s="405" t="s">
        <v>1069</v>
      </c>
      <c r="AH920" s="405"/>
      <c r="AI920" s="405">
        <v>60</v>
      </c>
      <c r="AJ920" s="406" t="s">
        <v>1779</v>
      </c>
      <c r="AK920" s="406" t="s">
        <v>50</v>
      </c>
      <c r="AL920" s="414">
        <v>93003</v>
      </c>
      <c r="AM920" s="405" t="s">
        <v>52</v>
      </c>
      <c r="AN920" s="361"/>
      <c r="AO920" s="405" t="s">
        <v>1073</v>
      </c>
      <c r="AP920" s="413" t="s">
        <v>38</v>
      </c>
      <c r="AQ920" s="405" t="s">
        <v>37</v>
      </c>
      <c r="AR920" s="405"/>
      <c r="AS920" s="404"/>
      <c r="AT920" s="404"/>
      <c r="AU920" s="409"/>
      <c r="AV920" s="402">
        <f t="shared" si="206"/>
        <v>0</v>
      </c>
      <c r="AW920" s="402" cm="1">
        <f t="array" ref="AW920">SUM(MID(0&amp;AV920,LARGE(INDEX(ISNUMBER(--MID(AV920,ROW($1:$8),1))*ROW($1:$8),),ROW($1:$8))+1,1)*10^ROW($1:$8)/10)</f>
        <v>0</v>
      </c>
      <c r="AX920" s="402" t="e">
        <f>VLOOKUP($AW920,'Item Master Data'!$A:$F,3,FALSE)</f>
        <v>#N/A</v>
      </c>
      <c r="AY920" s="402" t="e">
        <f>VLOOKUP($AW920,'Item Master Data'!$A:$F,6,FALSE)</f>
        <v>#N/A</v>
      </c>
      <c r="AZ920" s="402" t="e">
        <f t="shared" si="207"/>
        <v>#N/A</v>
      </c>
      <c r="BA920" s="402" t="e">
        <f>VLOOKUP(AW920,'Item Master Data'!$A:$G,7,FALSE)</f>
        <v>#N/A</v>
      </c>
      <c r="BB920" s="402"/>
      <c r="BC920" s="402" t="e">
        <f t="shared" si="208"/>
        <v>#N/A</v>
      </c>
    </row>
    <row r="921" spans="1:55">
      <c r="A921" s="426"/>
      <c r="B921" s="376"/>
      <c r="C921" s="376"/>
      <c r="D921" s="416" t="s">
        <v>86</v>
      </c>
      <c r="E921" s="405"/>
      <c r="F921" s="417"/>
      <c r="G921" s="359">
        <v>2022</v>
      </c>
      <c r="H921" s="405">
        <v>6</v>
      </c>
      <c r="I921" s="405"/>
      <c r="J921" s="406"/>
      <c r="K921" s="405" t="s">
        <v>1893</v>
      </c>
      <c r="L921" s="405" t="s">
        <v>1525</v>
      </c>
      <c r="M921" s="406">
        <v>44558</v>
      </c>
      <c r="N921" s="406">
        <v>44713</v>
      </c>
      <c r="O921" s="406"/>
      <c r="P921" s="406"/>
      <c r="Q921" s="406"/>
      <c r="R921" s="406"/>
      <c r="S921" s="405" t="s">
        <v>1510</v>
      </c>
      <c r="T921" s="405">
        <v>60</v>
      </c>
      <c r="U921" s="417"/>
      <c r="V921" s="405" t="s">
        <v>973</v>
      </c>
      <c r="W921" s="405">
        <v>400</v>
      </c>
      <c r="X921" s="382">
        <v>768</v>
      </c>
      <c r="Y921" s="365">
        <f t="shared" si="210"/>
        <v>307200</v>
      </c>
      <c r="Z921" s="409">
        <f>220/400</f>
        <v>0.55000000000000004</v>
      </c>
      <c r="AA921" s="411">
        <f t="shared" si="209"/>
        <v>168960</v>
      </c>
      <c r="AB921" s="411"/>
      <c r="AC921" s="412">
        <f t="shared" si="211"/>
        <v>0</v>
      </c>
      <c r="AD921" s="405"/>
      <c r="AE921" s="405"/>
      <c r="AF921" s="424">
        <f t="shared" si="212"/>
        <v>168960</v>
      </c>
      <c r="AG921" s="405" t="s">
        <v>1069</v>
      </c>
      <c r="AH921" s="405"/>
      <c r="AI921" s="405">
        <v>60</v>
      </c>
      <c r="AJ921" s="406" t="s">
        <v>1779</v>
      </c>
      <c r="AK921" s="406" t="s">
        <v>50</v>
      </c>
      <c r="AL921" s="414">
        <v>93003</v>
      </c>
      <c r="AM921" s="405" t="s">
        <v>52</v>
      </c>
      <c r="AN921" s="361" t="s">
        <v>1071</v>
      </c>
      <c r="AO921" s="405" t="s">
        <v>1073</v>
      </c>
      <c r="AP921" s="413"/>
      <c r="AQ921" s="405" t="s">
        <v>37</v>
      </c>
      <c r="AR921" s="405"/>
      <c r="AS921" s="404"/>
      <c r="AT921" s="404"/>
      <c r="AU921" s="409"/>
      <c r="AV921" s="402">
        <f t="shared" si="206"/>
        <v>0</v>
      </c>
      <c r="AW921" s="402" cm="1">
        <f t="array" ref="AW921">SUM(MID(0&amp;AV921,LARGE(INDEX(ISNUMBER(--MID(AV921,ROW($1:$8),1))*ROW($1:$8),),ROW($1:$8))+1,1)*10^ROW($1:$8)/10)</f>
        <v>0</v>
      </c>
      <c r="AX921" s="402" t="e">
        <f>VLOOKUP($AW921,'Item Master Data'!$A:$F,3,FALSE)</f>
        <v>#N/A</v>
      </c>
      <c r="AY921" s="402" t="e">
        <f>VLOOKUP($AW921,'Item Master Data'!$A:$F,6,FALSE)</f>
        <v>#N/A</v>
      </c>
      <c r="AZ921" s="402" t="e">
        <f t="shared" si="207"/>
        <v>#N/A</v>
      </c>
      <c r="BA921" s="402" t="e">
        <f>VLOOKUP(AW921,'Item Master Data'!$A:$G,7,FALSE)</f>
        <v>#N/A</v>
      </c>
      <c r="BB921" s="402"/>
      <c r="BC921" s="402" t="e">
        <f t="shared" si="208"/>
        <v>#N/A</v>
      </c>
    </row>
    <row r="922" spans="1:55">
      <c r="A922" s="426"/>
      <c r="B922" s="376"/>
      <c r="C922" s="376">
        <v>44648</v>
      </c>
      <c r="D922" s="416" t="s">
        <v>86</v>
      </c>
      <c r="E922" s="405"/>
      <c r="F922" s="417"/>
      <c r="G922" s="359">
        <v>2022</v>
      </c>
      <c r="H922" s="405">
        <v>6</v>
      </c>
      <c r="I922" s="405"/>
      <c r="J922" s="406"/>
      <c r="K922" s="405" t="s">
        <v>1894</v>
      </c>
      <c r="L922" s="405" t="s">
        <v>1525</v>
      </c>
      <c r="M922" s="406">
        <v>44593</v>
      </c>
      <c r="N922" s="406">
        <v>44713</v>
      </c>
      <c r="O922" s="406"/>
      <c r="P922" s="406"/>
      <c r="Q922" s="406"/>
      <c r="R922" s="406"/>
      <c r="S922" s="405" t="s">
        <v>1510</v>
      </c>
      <c r="T922" s="405">
        <v>72</v>
      </c>
      <c r="U922" s="417"/>
      <c r="V922" s="405" t="s">
        <v>1895</v>
      </c>
      <c r="W922" s="405">
        <v>580</v>
      </c>
      <c r="X922" s="382">
        <v>406</v>
      </c>
      <c r="Y922" s="365">
        <f t="shared" si="210"/>
        <v>235480</v>
      </c>
      <c r="Z922" s="409">
        <f>298.7/580</f>
        <v>0.51500000000000001</v>
      </c>
      <c r="AA922" s="411">
        <f t="shared" si="209"/>
        <v>121272.2</v>
      </c>
      <c r="AB922" s="411"/>
      <c r="AC922" s="412">
        <f t="shared" si="211"/>
        <v>0</v>
      </c>
      <c r="AD922" s="405"/>
      <c r="AE922" s="405"/>
      <c r="AF922" s="424">
        <f t="shared" si="212"/>
        <v>121272.2</v>
      </c>
      <c r="AG922" s="405" t="s">
        <v>1069</v>
      </c>
      <c r="AH922" s="405"/>
      <c r="AI922" s="405">
        <v>60</v>
      </c>
      <c r="AJ922" s="406" t="s">
        <v>1779</v>
      </c>
      <c r="AK922" s="406" t="s">
        <v>50</v>
      </c>
      <c r="AL922" s="414">
        <v>93003</v>
      </c>
      <c r="AM922" s="405" t="s">
        <v>52</v>
      </c>
      <c r="AN922" s="361" t="s">
        <v>1071</v>
      </c>
      <c r="AO922" s="405" t="s">
        <v>1073</v>
      </c>
      <c r="AP922" s="413"/>
      <c r="AQ922" s="405" t="s">
        <v>37</v>
      </c>
      <c r="AR922" s="405"/>
      <c r="AS922" s="404"/>
      <c r="AT922" s="404"/>
      <c r="AU922" s="409"/>
      <c r="AV922" s="402">
        <f t="shared" si="206"/>
        <v>0</v>
      </c>
      <c r="AW922" s="402" cm="1">
        <f t="array" ref="AW922">SUM(MID(0&amp;AV922,LARGE(INDEX(ISNUMBER(--MID(AV922,ROW($1:$8),1))*ROW($1:$8),),ROW($1:$8))+1,1)*10^ROW($1:$8)/10)</f>
        <v>0</v>
      </c>
      <c r="AX922" s="402" t="e">
        <f>VLOOKUP($AW922,'Item Master Data'!$A:$F,3,FALSE)</f>
        <v>#N/A</v>
      </c>
      <c r="AY922" s="402" t="e">
        <f>VLOOKUP($AW922,'Item Master Data'!$A:$F,6,FALSE)</f>
        <v>#N/A</v>
      </c>
      <c r="AZ922" s="402" t="e">
        <f t="shared" si="207"/>
        <v>#N/A</v>
      </c>
      <c r="BA922" s="402" t="e">
        <f>VLOOKUP(AW922,'Item Master Data'!$A:$G,7,FALSE)</f>
        <v>#N/A</v>
      </c>
      <c r="BB922" s="402"/>
      <c r="BC922" s="402" t="e">
        <f t="shared" si="208"/>
        <v>#N/A</v>
      </c>
    </row>
    <row r="923" spans="1:55">
      <c r="A923" s="426"/>
      <c r="B923" s="376">
        <v>44627</v>
      </c>
      <c r="C923" s="376">
        <v>44627</v>
      </c>
      <c r="D923" s="416" t="s">
        <v>86</v>
      </c>
      <c r="E923" s="405"/>
      <c r="F923" s="417"/>
      <c r="G923" s="359">
        <v>2022</v>
      </c>
      <c r="H923" s="405">
        <v>6</v>
      </c>
      <c r="I923" s="405"/>
      <c r="J923" s="406"/>
      <c r="K923" s="405" t="s">
        <v>4828</v>
      </c>
      <c r="L923" s="405" t="s">
        <v>1680</v>
      </c>
      <c r="M923" s="406">
        <v>44602</v>
      </c>
      <c r="N923" s="406">
        <v>44714</v>
      </c>
      <c r="O923" s="406"/>
      <c r="P923" s="406"/>
      <c r="Q923" s="406"/>
      <c r="R923" s="406"/>
      <c r="S923" s="405" t="s">
        <v>1520</v>
      </c>
      <c r="T923" s="405">
        <v>60</v>
      </c>
      <c r="U923" s="417"/>
      <c r="V923" s="405" t="s">
        <v>973</v>
      </c>
      <c r="W923" s="405">
        <v>400</v>
      </c>
      <c r="X923" s="382">
        <v>1536</v>
      </c>
      <c r="Y923" s="365">
        <f t="shared" si="210"/>
        <v>614400</v>
      </c>
      <c r="Z923" s="409">
        <f t="shared" ref="Z923:Z933" si="213">204/400</f>
        <v>0.51</v>
      </c>
      <c r="AA923" s="411">
        <f t="shared" si="209"/>
        <v>313344</v>
      </c>
      <c r="AB923" s="411"/>
      <c r="AC923" s="412">
        <f t="shared" si="211"/>
        <v>0</v>
      </c>
      <c r="AD923" s="405"/>
      <c r="AE923" s="405">
        <f>AA923*0.0775</f>
        <v>24284.16</v>
      </c>
      <c r="AF923" s="424">
        <f t="shared" si="212"/>
        <v>337628.15999999997</v>
      </c>
      <c r="AG923" s="405" t="s">
        <v>47</v>
      </c>
      <c r="AH923" s="405"/>
      <c r="AI923" s="405">
        <v>60</v>
      </c>
      <c r="AJ923" s="406" t="s">
        <v>1681</v>
      </c>
      <c r="AK923" s="406" t="s">
        <v>50</v>
      </c>
      <c r="AL923" s="414" t="s">
        <v>1697</v>
      </c>
      <c r="AM923" s="405" t="s">
        <v>52</v>
      </c>
      <c r="AN923" s="361"/>
      <c r="AO923" s="405" t="s">
        <v>1073</v>
      </c>
      <c r="AP923" s="413"/>
      <c r="AQ923" s="405" t="s">
        <v>37</v>
      </c>
      <c r="AR923" s="405"/>
      <c r="AS923" s="404"/>
      <c r="AT923" s="404"/>
      <c r="AU923" s="409"/>
      <c r="AV923" s="402"/>
      <c r="AW923" s="402"/>
      <c r="AX923" s="402"/>
      <c r="AY923" s="402"/>
      <c r="AZ923" s="402"/>
      <c r="BA923" s="402"/>
      <c r="BB923" s="402"/>
      <c r="BC923" s="402"/>
    </row>
    <row r="924" spans="1:55">
      <c r="A924" s="426"/>
      <c r="B924" s="376"/>
      <c r="C924" s="376"/>
      <c r="D924" s="416" t="s">
        <v>86</v>
      </c>
      <c r="E924" s="405"/>
      <c r="F924" s="417" t="s">
        <v>1139</v>
      </c>
      <c r="G924" s="359">
        <v>2022</v>
      </c>
      <c r="H924" s="405">
        <v>6</v>
      </c>
      <c r="I924" s="405"/>
      <c r="J924" s="406"/>
      <c r="K924" s="405" t="s">
        <v>1691</v>
      </c>
      <c r="L924" s="405" t="s">
        <v>1680</v>
      </c>
      <c r="M924" s="406">
        <v>44498</v>
      </c>
      <c r="N924" s="406">
        <v>44621</v>
      </c>
      <c r="O924" s="406">
        <v>44627</v>
      </c>
      <c r="P924" s="406"/>
      <c r="Q924" s="406"/>
      <c r="R924" s="406"/>
      <c r="S924" s="405" t="s">
        <v>1520</v>
      </c>
      <c r="T924" s="405">
        <v>60</v>
      </c>
      <c r="U924" s="417"/>
      <c r="V924" s="405" t="s">
        <v>973</v>
      </c>
      <c r="W924" s="405">
        <v>400</v>
      </c>
      <c r="X924" s="382">
        <v>768</v>
      </c>
      <c r="Y924" s="365">
        <f t="shared" si="210"/>
        <v>307200</v>
      </c>
      <c r="Z924" s="497">
        <f t="shared" si="213"/>
        <v>0.51</v>
      </c>
      <c r="AA924" s="411">
        <f t="shared" si="209"/>
        <v>156672</v>
      </c>
      <c r="AB924" s="411"/>
      <c r="AC924" s="412">
        <f t="shared" si="211"/>
        <v>0</v>
      </c>
      <c r="AD924" s="405"/>
      <c r="AE924" s="405">
        <f>AA924*0.1025</f>
        <v>16058.88</v>
      </c>
      <c r="AF924" s="424">
        <f t="shared" si="212"/>
        <v>172730.88</v>
      </c>
      <c r="AG924" s="405" t="s">
        <v>47</v>
      </c>
      <c r="AH924" s="405"/>
      <c r="AI924" s="405">
        <v>60</v>
      </c>
      <c r="AJ924" s="406" t="s">
        <v>1692</v>
      </c>
      <c r="AK924" s="406" t="s">
        <v>50</v>
      </c>
      <c r="AL924" s="414">
        <v>95928</v>
      </c>
      <c r="AM924" s="405" t="s">
        <v>52</v>
      </c>
      <c r="AN924" s="361" t="s">
        <v>1071</v>
      </c>
      <c r="AO924" s="405" t="s">
        <v>1073</v>
      </c>
      <c r="AP924" s="413"/>
      <c r="AQ924" s="405" t="s">
        <v>37</v>
      </c>
      <c r="AR924" s="405"/>
      <c r="AS924" s="404" t="s">
        <v>1142</v>
      </c>
      <c r="AT924" s="404" t="s">
        <v>1073</v>
      </c>
      <c r="AU924" s="409"/>
      <c r="AV924" s="402"/>
      <c r="AW924" s="402"/>
      <c r="AX924" s="402"/>
      <c r="AY924" s="402"/>
      <c r="AZ924" s="402"/>
      <c r="BA924" s="402"/>
      <c r="BB924" s="402"/>
      <c r="BC924" s="402"/>
    </row>
    <row r="925" spans="1:55">
      <c r="A925" s="426"/>
      <c r="B925" s="376">
        <v>44627</v>
      </c>
      <c r="C925" s="376">
        <v>44627</v>
      </c>
      <c r="D925" s="416" t="s">
        <v>86</v>
      </c>
      <c r="E925" s="405"/>
      <c r="F925" s="417"/>
      <c r="G925" s="359">
        <v>2022</v>
      </c>
      <c r="H925" s="405">
        <v>6</v>
      </c>
      <c r="I925" s="405"/>
      <c r="J925" s="406"/>
      <c r="K925" s="405" t="s">
        <v>1787</v>
      </c>
      <c r="L925" s="405" t="s">
        <v>1680</v>
      </c>
      <c r="M925" s="406">
        <v>44602</v>
      </c>
      <c r="N925" s="406">
        <v>44714</v>
      </c>
      <c r="O925" s="406"/>
      <c r="P925" s="406"/>
      <c r="Q925" s="406"/>
      <c r="R925" s="406"/>
      <c r="S925" s="405" t="s">
        <v>1520</v>
      </c>
      <c r="T925" s="405">
        <v>60</v>
      </c>
      <c r="U925" s="417"/>
      <c r="V925" s="405" t="s">
        <v>973</v>
      </c>
      <c r="W925" s="405">
        <v>400</v>
      </c>
      <c r="X925" s="382">
        <v>768</v>
      </c>
      <c r="Y925" s="365">
        <f t="shared" si="210"/>
        <v>307200</v>
      </c>
      <c r="Z925" s="409">
        <f t="shared" si="213"/>
        <v>0.51</v>
      </c>
      <c r="AA925" s="411">
        <f t="shared" si="209"/>
        <v>156672</v>
      </c>
      <c r="AB925" s="411"/>
      <c r="AC925" s="412">
        <f t="shared" si="211"/>
        <v>0</v>
      </c>
      <c r="AD925" s="405"/>
      <c r="AE925" s="405">
        <f>AA925*0.0875</f>
        <v>13708.8</v>
      </c>
      <c r="AF925" s="424">
        <f t="shared" si="212"/>
        <v>170380.79999999999</v>
      </c>
      <c r="AG925" s="405" t="s">
        <v>47</v>
      </c>
      <c r="AH925" s="405"/>
      <c r="AI925" s="405">
        <v>60</v>
      </c>
      <c r="AJ925" s="406" t="s">
        <v>1647</v>
      </c>
      <c r="AK925" s="406" t="s">
        <v>50</v>
      </c>
      <c r="AL925" s="414" t="s">
        <v>1648</v>
      </c>
      <c r="AM925" s="405" t="s">
        <v>52</v>
      </c>
      <c r="AN925" s="361"/>
      <c r="AO925" s="405" t="s">
        <v>1073</v>
      </c>
      <c r="AP925" s="413"/>
      <c r="AQ925" s="405" t="s">
        <v>37</v>
      </c>
      <c r="AR925" s="405"/>
      <c r="AS925" s="404"/>
      <c r="AT925" s="404"/>
      <c r="AU925" s="409"/>
      <c r="AV925" s="402">
        <f>U925</f>
        <v>0</v>
      </c>
      <c r="AW925" s="402" cm="1">
        <f t="array" ref="AW925">SUM(MID(0&amp;AV925,LARGE(INDEX(ISNUMBER(--MID(AV925,ROW($1:$8),1))*ROW($1:$8),),ROW($1:$8))+1,1)*10^ROW($1:$8)/10)</f>
        <v>0</v>
      </c>
      <c r="AX925" s="402" t="e">
        <f>VLOOKUP($AW925,'Item Master Data'!$A:$F,3,FALSE)</f>
        <v>#N/A</v>
      </c>
      <c r="AY925" s="402" t="e">
        <f>VLOOKUP($AW925,'Item Master Data'!$A:$F,6,FALSE)</f>
        <v>#N/A</v>
      </c>
      <c r="AZ925" s="402" t="e">
        <f>X925/BA925</f>
        <v>#N/A</v>
      </c>
      <c r="BA925" s="402" t="e">
        <f>VLOOKUP(AW925,'Item Master Data'!$A:$G,7,FALSE)</f>
        <v>#N/A</v>
      </c>
      <c r="BB925" s="402"/>
      <c r="BC925" s="402" t="e">
        <f>W925-AY925</f>
        <v>#N/A</v>
      </c>
    </row>
    <row r="926" spans="1:55">
      <c r="A926" s="426"/>
      <c r="B926" s="376">
        <v>44627</v>
      </c>
      <c r="C926" s="376">
        <v>44627</v>
      </c>
      <c r="D926" s="416" t="s">
        <v>86</v>
      </c>
      <c r="E926" s="405"/>
      <c r="F926" s="417"/>
      <c r="G926" s="359">
        <v>2022</v>
      </c>
      <c r="H926" s="405">
        <v>6</v>
      </c>
      <c r="I926" s="405"/>
      <c r="J926" s="406"/>
      <c r="K926" s="405" t="s">
        <v>1745</v>
      </c>
      <c r="L926" s="405" t="s">
        <v>1680</v>
      </c>
      <c r="M926" s="406">
        <v>44602</v>
      </c>
      <c r="N926" s="406">
        <v>44683</v>
      </c>
      <c r="O926" s="406"/>
      <c r="P926" s="406"/>
      <c r="Q926" s="406"/>
      <c r="R926" s="406"/>
      <c r="S926" s="405" t="s">
        <v>1520</v>
      </c>
      <c r="T926" s="405">
        <v>60</v>
      </c>
      <c r="U926" s="417"/>
      <c r="V926" s="405" t="s">
        <v>973</v>
      </c>
      <c r="W926" s="405">
        <v>400</v>
      </c>
      <c r="X926" s="382">
        <v>1536</v>
      </c>
      <c r="Y926" s="365">
        <f t="shared" si="210"/>
        <v>614400</v>
      </c>
      <c r="Z926" s="409">
        <f t="shared" si="213"/>
        <v>0.51</v>
      </c>
      <c r="AA926" s="411">
        <f t="shared" si="209"/>
        <v>313344</v>
      </c>
      <c r="AB926" s="411"/>
      <c r="AC926" s="412">
        <f t="shared" si="211"/>
        <v>0</v>
      </c>
      <c r="AD926" s="405"/>
      <c r="AE926" s="405">
        <f>AA926*0.0725</f>
        <v>22717.439999999999</v>
      </c>
      <c r="AF926" s="424">
        <f t="shared" si="212"/>
        <v>336061.44</v>
      </c>
      <c r="AG926" s="405" t="s">
        <v>47</v>
      </c>
      <c r="AH926" s="405"/>
      <c r="AI926" s="405">
        <v>60</v>
      </c>
      <c r="AJ926" s="406" t="s">
        <v>1573</v>
      </c>
      <c r="AK926" s="406" t="s">
        <v>50</v>
      </c>
      <c r="AL926" s="414" t="s">
        <v>1700</v>
      </c>
      <c r="AM926" s="405" t="s">
        <v>52</v>
      </c>
      <c r="AN926" s="361"/>
      <c r="AO926" s="405" t="s">
        <v>1073</v>
      </c>
      <c r="AP926" s="413"/>
      <c r="AQ926" s="405" t="s">
        <v>37</v>
      </c>
      <c r="AR926" s="405"/>
      <c r="AS926" s="404"/>
      <c r="AT926" s="404"/>
      <c r="AU926" s="409"/>
      <c r="AV926" s="402"/>
      <c r="AW926" s="402"/>
      <c r="AX926" s="402"/>
      <c r="AY926" s="402"/>
      <c r="AZ926" s="402"/>
      <c r="BA926" s="402"/>
      <c r="BB926" s="402"/>
      <c r="BC926" s="402"/>
    </row>
    <row r="927" spans="1:55">
      <c r="A927" s="426"/>
      <c r="B927" s="376">
        <v>44627</v>
      </c>
      <c r="C927" s="376">
        <v>44627</v>
      </c>
      <c r="D927" s="416" t="s">
        <v>86</v>
      </c>
      <c r="E927" s="405"/>
      <c r="F927" s="417"/>
      <c r="G927" s="359">
        <v>2022</v>
      </c>
      <c r="H927" s="405">
        <v>6</v>
      </c>
      <c r="I927" s="405"/>
      <c r="J927" s="406"/>
      <c r="K927" s="405" t="s">
        <v>1746</v>
      </c>
      <c r="L927" s="405" t="s">
        <v>1680</v>
      </c>
      <c r="M927" s="406">
        <v>44602</v>
      </c>
      <c r="N927" s="406">
        <v>44683</v>
      </c>
      <c r="O927" s="406"/>
      <c r="P927" s="406"/>
      <c r="Q927" s="406"/>
      <c r="R927" s="406"/>
      <c r="S927" s="405" t="s">
        <v>1520</v>
      </c>
      <c r="T927" s="405">
        <v>60</v>
      </c>
      <c r="U927" s="417"/>
      <c r="V927" s="405" t="s">
        <v>973</v>
      </c>
      <c r="W927" s="405">
        <v>400</v>
      </c>
      <c r="X927" s="382">
        <v>1536</v>
      </c>
      <c r="Y927" s="365">
        <f t="shared" si="210"/>
        <v>614400</v>
      </c>
      <c r="Z927" s="409">
        <f t="shared" si="213"/>
        <v>0.51</v>
      </c>
      <c r="AA927" s="411">
        <f t="shared" si="209"/>
        <v>313344</v>
      </c>
      <c r="AB927" s="411"/>
      <c r="AC927" s="412">
        <f t="shared" si="211"/>
        <v>0</v>
      </c>
      <c r="AD927" s="405"/>
      <c r="AE927" s="405">
        <f>AA927*0.0835</f>
        <v>26164.224000000002</v>
      </c>
      <c r="AF927" s="424">
        <f t="shared" si="212"/>
        <v>339508.22399999999</v>
      </c>
      <c r="AG927" s="405" t="s">
        <v>47</v>
      </c>
      <c r="AH927" s="405"/>
      <c r="AI927" s="405">
        <v>60</v>
      </c>
      <c r="AJ927" s="406" t="s">
        <v>1616</v>
      </c>
      <c r="AK927" s="406" t="s">
        <v>50</v>
      </c>
      <c r="AL927" s="414" t="s">
        <v>1702</v>
      </c>
      <c r="AM927" s="405" t="s">
        <v>52</v>
      </c>
      <c r="AN927" s="361"/>
      <c r="AO927" s="405" t="s">
        <v>1073</v>
      </c>
      <c r="AP927" s="413"/>
      <c r="AQ927" s="405" t="s">
        <v>37</v>
      </c>
      <c r="AR927" s="405"/>
      <c r="AS927" s="404"/>
      <c r="AT927" s="404"/>
      <c r="AU927" s="409"/>
      <c r="AV927" s="402"/>
      <c r="AW927" s="402"/>
      <c r="AX927" s="402"/>
      <c r="AY927" s="402"/>
      <c r="AZ927" s="402"/>
      <c r="BA927" s="402"/>
      <c r="BB927" s="402"/>
      <c r="BC927" s="402"/>
    </row>
    <row r="928" spans="1:55">
      <c r="A928" s="426"/>
      <c r="B928" s="376">
        <v>44627</v>
      </c>
      <c r="C928" s="376">
        <v>44627</v>
      </c>
      <c r="D928" s="416" t="s">
        <v>86</v>
      </c>
      <c r="E928" s="405"/>
      <c r="F928" s="417"/>
      <c r="G928" s="359">
        <v>2022</v>
      </c>
      <c r="H928" s="405">
        <v>6</v>
      </c>
      <c r="I928" s="405"/>
      <c r="J928" s="406"/>
      <c r="K928" s="405" t="s">
        <v>1749</v>
      </c>
      <c r="L928" s="405" t="s">
        <v>1680</v>
      </c>
      <c r="M928" s="406">
        <v>44602</v>
      </c>
      <c r="N928" s="406">
        <v>44683</v>
      </c>
      <c r="O928" s="406"/>
      <c r="P928" s="406"/>
      <c r="Q928" s="406"/>
      <c r="R928" s="406"/>
      <c r="S928" s="405" t="s">
        <v>1520</v>
      </c>
      <c r="T928" s="405">
        <v>60</v>
      </c>
      <c r="U928" s="417"/>
      <c r="V928" s="405" t="s">
        <v>973</v>
      </c>
      <c r="W928" s="405">
        <v>400</v>
      </c>
      <c r="X928" s="382">
        <v>1536</v>
      </c>
      <c r="Y928" s="365">
        <f t="shared" si="210"/>
        <v>614400</v>
      </c>
      <c r="Z928" s="409">
        <f t="shared" si="213"/>
        <v>0.51</v>
      </c>
      <c r="AA928" s="411">
        <f t="shared" si="209"/>
        <v>313344</v>
      </c>
      <c r="AB928" s="411"/>
      <c r="AC928" s="412">
        <f t="shared" si="211"/>
        <v>0</v>
      </c>
      <c r="AD928" s="405"/>
      <c r="AE928" s="405">
        <f>AA928*0.0725</f>
        <v>22717.439999999999</v>
      </c>
      <c r="AF928" s="424">
        <f t="shared" si="212"/>
        <v>336061.44</v>
      </c>
      <c r="AG928" s="405" t="s">
        <v>47</v>
      </c>
      <c r="AH928" s="405"/>
      <c r="AI928" s="405">
        <v>60</v>
      </c>
      <c r="AJ928" s="406" t="s">
        <v>1613</v>
      </c>
      <c r="AK928" s="406" t="s">
        <v>50</v>
      </c>
      <c r="AL928" s="414" t="s">
        <v>1614</v>
      </c>
      <c r="AM928" s="405" t="s">
        <v>52</v>
      </c>
      <c r="AN928" s="361"/>
      <c r="AO928" s="405" t="s">
        <v>1073</v>
      </c>
      <c r="AP928" s="413"/>
      <c r="AQ928" s="405" t="s">
        <v>37</v>
      </c>
      <c r="AR928" s="405"/>
      <c r="AS928" s="404"/>
      <c r="AT928" s="404"/>
      <c r="AU928" s="409"/>
      <c r="AV928" s="402"/>
      <c r="AW928" s="402"/>
      <c r="AX928" s="402"/>
      <c r="AY928" s="402"/>
      <c r="AZ928" s="402"/>
      <c r="BA928" s="402"/>
      <c r="BB928" s="402"/>
      <c r="BC928" s="402"/>
    </row>
    <row r="929" spans="1:55">
      <c r="A929" s="426"/>
      <c r="B929" s="376">
        <v>44627</v>
      </c>
      <c r="C929" s="376">
        <v>44627</v>
      </c>
      <c r="D929" s="416" t="s">
        <v>86</v>
      </c>
      <c r="E929" s="405"/>
      <c r="F929" s="417"/>
      <c r="G929" s="359">
        <v>2022</v>
      </c>
      <c r="H929" s="405">
        <v>6</v>
      </c>
      <c r="I929" s="405"/>
      <c r="J929" s="406"/>
      <c r="K929" s="405" t="s">
        <v>1747</v>
      </c>
      <c r="L929" s="405" t="s">
        <v>1680</v>
      </c>
      <c r="M929" s="406">
        <v>44602</v>
      </c>
      <c r="N929" s="406">
        <v>44655</v>
      </c>
      <c r="O929" s="406"/>
      <c r="P929" s="406"/>
      <c r="Q929" s="406"/>
      <c r="R929" s="406"/>
      <c r="S929" s="405" t="s">
        <v>1520</v>
      </c>
      <c r="T929" s="405">
        <v>60</v>
      </c>
      <c r="U929" s="417"/>
      <c r="V929" s="405" t="s">
        <v>973</v>
      </c>
      <c r="W929" s="405">
        <v>400</v>
      </c>
      <c r="X929" s="382">
        <v>768</v>
      </c>
      <c r="Y929" s="365">
        <f t="shared" si="210"/>
        <v>307200</v>
      </c>
      <c r="Z929" s="409">
        <f t="shared" si="213"/>
        <v>0.51</v>
      </c>
      <c r="AA929" s="411">
        <f t="shared" si="209"/>
        <v>156672</v>
      </c>
      <c r="AB929" s="411"/>
      <c r="AC929" s="412">
        <f t="shared" si="211"/>
        <v>0</v>
      </c>
      <c r="AD929" s="405"/>
      <c r="AE929" s="405">
        <f>AA929*0.1025</f>
        <v>16058.88</v>
      </c>
      <c r="AF929" s="424">
        <f t="shared" si="212"/>
        <v>172730.88</v>
      </c>
      <c r="AG929" s="405" t="s">
        <v>47</v>
      </c>
      <c r="AH929" s="405"/>
      <c r="AI929" s="405">
        <v>60</v>
      </c>
      <c r="AJ929" s="406" t="s">
        <v>1692</v>
      </c>
      <c r="AK929" s="406" t="s">
        <v>50</v>
      </c>
      <c r="AL929" s="414" t="s">
        <v>1748</v>
      </c>
      <c r="AM929" s="405" t="s">
        <v>52</v>
      </c>
      <c r="AN929" s="361"/>
      <c r="AO929" s="405" t="s">
        <v>1073</v>
      </c>
      <c r="AP929" s="413"/>
      <c r="AQ929" s="405" t="s">
        <v>37</v>
      </c>
      <c r="AR929" s="405"/>
      <c r="AS929" s="404"/>
      <c r="AT929" s="404"/>
      <c r="AU929" s="409"/>
      <c r="AV929" s="402">
        <f>U929</f>
        <v>0</v>
      </c>
      <c r="AW929" s="402" cm="1">
        <f t="array" ref="AW929">SUM(MID(0&amp;AV929,LARGE(INDEX(ISNUMBER(--MID(AV929,ROW($1:$8),1))*ROW($1:$8),),ROW($1:$8))+1,1)*10^ROW($1:$8)/10)</f>
        <v>0</v>
      </c>
      <c r="AX929" s="402" t="e">
        <f>VLOOKUP($AW929,'Item Master Data'!$A:$F,3,FALSE)</f>
        <v>#N/A</v>
      </c>
      <c r="AY929" s="402" t="e">
        <f>VLOOKUP($AW929,'Item Master Data'!$A:$F,6,FALSE)</f>
        <v>#N/A</v>
      </c>
      <c r="AZ929" s="402" t="e">
        <f>X929/BA929</f>
        <v>#N/A</v>
      </c>
      <c r="BA929" s="402" t="e">
        <f>VLOOKUP(AW929,'Item Master Data'!$A:$G,7,FALSE)</f>
        <v>#N/A</v>
      </c>
      <c r="BB929" s="402"/>
      <c r="BC929" s="402" t="e">
        <f>W929-AY929</f>
        <v>#N/A</v>
      </c>
    </row>
    <row r="930" spans="1:55">
      <c r="A930" s="426"/>
      <c r="B930" s="376">
        <v>44627</v>
      </c>
      <c r="C930" s="376">
        <v>44627</v>
      </c>
      <c r="D930" s="416" t="s">
        <v>86</v>
      </c>
      <c r="E930" s="405"/>
      <c r="F930" s="417"/>
      <c r="G930" s="359">
        <v>2022</v>
      </c>
      <c r="H930" s="405">
        <v>6</v>
      </c>
      <c r="I930" s="405"/>
      <c r="J930" s="406"/>
      <c r="K930" s="405" t="s">
        <v>1750</v>
      </c>
      <c r="L930" s="405" t="s">
        <v>1680</v>
      </c>
      <c r="M930" s="406">
        <v>44602</v>
      </c>
      <c r="N930" s="406">
        <v>44683</v>
      </c>
      <c r="O930" s="406"/>
      <c r="P930" s="406"/>
      <c r="Q930" s="406"/>
      <c r="R930" s="406"/>
      <c r="S930" s="405" t="s">
        <v>1520</v>
      </c>
      <c r="T930" s="405">
        <v>60</v>
      </c>
      <c r="U930" s="417"/>
      <c r="V930" s="405" t="s">
        <v>973</v>
      </c>
      <c r="W930" s="405">
        <v>400</v>
      </c>
      <c r="X930" s="382">
        <v>1536</v>
      </c>
      <c r="Y930" s="365">
        <f t="shared" si="210"/>
        <v>614400</v>
      </c>
      <c r="Z930" s="409">
        <f t="shared" si="213"/>
        <v>0.51</v>
      </c>
      <c r="AA930" s="411">
        <f t="shared" si="209"/>
        <v>313344</v>
      </c>
      <c r="AB930" s="411"/>
      <c r="AC930" s="412">
        <f t="shared" si="211"/>
        <v>0</v>
      </c>
      <c r="AD930" s="405"/>
      <c r="AE930" s="405">
        <f>AA930*0.1025</f>
        <v>32117.759999999998</v>
      </c>
      <c r="AF930" s="424">
        <f t="shared" si="212"/>
        <v>345461.76000000001</v>
      </c>
      <c r="AG930" s="405" t="s">
        <v>47</v>
      </c>
      <c r="AH930" s="405"/>
      <c r="AI930" s="405">
        <v>60</v>
      </c>
      <c r="AJ930" s="406" t="s">
        <v>1692</v>
      </c>
      <c r="AK930" s="406" t="s">
        <v>50</v>
      </c>
      <c r="AL930" s="414" t="s">
        <v>1748</v>
      </c>
      <c r="AM930" s="405" t="s">
        <v>52</v>
      </c>
      <c r="AN930" s="361"/>
      <c r="AO930" s="405" t="s">
        <v>1073</v>
      </c>
      <c r="AP930" s="413"/>
      <c r="AQ930" s="405" t="s">
        <v>37</v>
      </c>
      <c r="AR930" s="405"/>
      <c r="AS930" s="404"/>
      <c r="AT930" s="404"/>
      <c r="AU930" s="409"/>
      <c r="AV930" s="402">
        <f>U930</f>
        <v>0</v>
      </c>
      <c r="AW930" s="402" cm="1">
        <f t="array" ref="AW930">SUM(MID(0&amp;AV930,LARGE(INDEX(ISNUMBER(--MID(AV930,ROW($1:$8),1))*ROW($1:$8),),ROW($1:$8))+1,1)*10^ROW($1:$8)/10)</f>
        <v>0</v>
      </c>
      <c r="AX930" s="402" t="e">
        <f>VLOOKUP($AW930,'Item Master Data'!$A:$F,3,FALSE)</f>
        <v>#N/A</v>
      </c>
      <c r="AY930" s="402" t="e">
        <f>VLOOKUP($AW930,'Item Master Data'!$A:$F,6,FALSE)</f>
        <v>#N/A</v>
      </c>
      <c r="AZ930" s="402" t="e">
        <f>X930/BA930</f>
        <v>#N/A</v>
      </c>
      <c r="BA930" s="402" t="e">
        <f>VLOOKUP(AW930,'Item Master Data'!$A:$G,7,FALSE)</f>
        <v>#N/A</v>
      </c>
      <c r="BB930" s="402"/>
      <c r="BC930" s="402" t="e">
        <f>W930-AY930</f>
        <v>#N/A</v>
      </c>
    </row>
    <row r="931" spans="1:55">
      <c r="A931" s="426"/>
      <c r="B931" s="376">
        <v>44627</v>
      </c>
      <c r="C931" s="376">
        <v>44627</v>
      </c>
      <c r="D931" s="416" t="s">
        <v>86</v>
      </c>
      <c r="E931" s="405"/>
      <c r="F931" s="417"/>
      <c r="G931" s="359">
        <v>2022</v>
      </c>
      <c r="H931" s="405">
        <v>6</v>
      </c>
      <c r="I931" s="405"/>
      <c r="J931" s="406"/>
      <c r="K931" s="405" t="s">
        <v>4830</v>
      </c>
      <c r="L931" s="405" t="s">
        <v>1680</v>
      </c>
      <c r="M931" s="406">
        <v>44602</v>
      </c>
      <c r="N931" s="406">
        <v>44655</v>
      </c>
      <c r="O931" s="406"/>
      <c r="P931" s="406"/>
      <c r="Q931" s="406"/>
      <c r="R931" s="406"/>
      <c r="S931" s="405" t="s">
        <v>1520</v>
      </c>
      <c r="T931" s="405">
        <v>60</v>
      </c>
      <c r="U931" s="417"/>
      <c r="V931" s="405" t="s">
        <v>973</v>
      </c>
      <c r="W931" s="405">
        <v>400</v>
      </c>
      <c r="X931" s="382">
        <v>768</v>
      </c>
      <c r="Y931" s="365">
        <f t="shared" si="210"/>
        <v>307200</v>
      </c>
      <c r="Z931" s="409">
        <f t="shared" si="213"/>
        <v>0.51</v>
      </c>
      <c r="AA931" s="411">
        <f t="shared" si="209"/>
        <v>156672</v>
      </c>
      <c r="AB931" s="411"/>
      <c r="AC931" s="412">
        <f t="shared" si="211"/>
        <v>0</v>
      </c>
      <c r="AD931" s="405"/>
      <c r="AE931" s="405">
        <f>AA931*0.0825</f>
        <v>12925.44</v>
      </c>
      <c r="AF931" s="424">
        <f t="shared" si="212"/>
        <v>169597.44</v>
      </c>
      <c r="AG931" s="405" t="s">
        <v>47</v>
      </c>
      <c r="AH931" s="405"/>
      <c r="AI931" s="405">
        <v>60</v>
      </c>
      <c r="AJ931" s="406" t="s">
        <v>1751</v>
      </c>
      <c r="AK931" s="406" t="s">
        <v>1136</v>
      </c>
      <c r="AL931" s="414" t="s">
        <v>1752</v>
      </c>
      <c r="AM931" s="405" t="s">
        <v>52</v>
      </c>
      <c r="AN931" s="361"/>
      <c r="AO931" s="405" t="s">
        <v>1073</v>
      </c>
      <c r="AP931" s="413"/>
      <c r="AQ931" s="405" t="s">
        <v>37</v>
      </c>
      <c r="AR931" s="405"/>
      <c r="AS931" s="404"/>
      <c r="AT931" s="404"/>
      <c r="AU931" s="409"/>
      <c r="AV931" s="402"/>
      <c r="AW931" s="402"/>
      <c r="AX931" s="402"/>
      <c r="AY931" s="402"/>
      <c r="AZ931" s="402"/>
      <c r="BA931" s="402"/>
      <c r="BB931" s="402"/>
      <c r="BC931" s="402"/>
    </row>
    <row r="932" spans="1:55">
      <c r="A932" s="426"/>
      <c r="B932" s="376">
        <v>44627</v>
      </c>
      <c r="C932" s="376">
        <v>44627</v>
      </c>
      <c r="D932" s="416" t="s">
        <v>86</v>
      </c>
      <c r="E932" s="405"/>
      <c r="F932" s="417"/>
      <c r="G932" s="359">
        <v>2022</v>
      </c>
      <c r="H932" s="405">
        <v>6</v>
      </c>
      <c r="I932" s="405"/>
      <c r="J932" s="406"/>
      <c r="K932" s="405" t="s">
        <v>1740</v>
      </c>
      <c r="L932" s="405" t="s">
        <v>1680</v>
      </c>
      <c r="M932" s="406">
        <v>44602</v>
      </c>
      <c r="N932" s="406">
        <v>44655</v>
      </c>
      <c r="O932" s="406"/>
      <c r="P932" s="406"/>
      <c r="Q932" s="406"/>
      <c r="R932" s="406"/>
      <c r="S932" s="405" t="s">
        <v>1520</v>
      </c>
      <c r="T932" s="405">
        <v>60</v>
      </c>
      <c r="U932" s="417"/>
      <c r="V932" s="405" t="s">
        <v>973</v>
      </c>
      <c r="W932" s="405">
        <v>400</v>
      </c>
      <c r="X932" s="382">
        <v>768</v>
      </c>
      <c r="Y932" s="365">
        <f t="shared" si="210"/>
        <v>307200</v>
      </c>
      <c r="Z932" s="409">
        <f t="shared" si="213"/>
        <v>0.51</v>
      </c>
      <c r="AA932" s="411">
        <f t="shared" si="209"/>
        <v>156672</v>
      </c>
      <c r="AB932" s="411"/>
      <c r="AC932" s="412">
        <f t="shared" si="211"/>
        <v>0</v>
      </c>
      <c r="AD932" s="405"/>
      <c r="AE932" s="405">
        <f>AA932*0.0825</f>
        <v>12925.44</v>
      </c>
      <c r="AF932" s="424">
        <f t="shared" si="212"/>
        <v>169597.44</v>
      </c>
      <c r="AG932" s="405" t="s">
        <v>47</v>
      </c>
      <c r="AH932" s="405"/>
      <c r="AI932" s="405">
        <v>60</v>
      </c>
      <c r="AJ932" s="406" t="s">
        <v>1741</v>
      </c>
      <c r="AK932" s="406" t="s">
        <v>1136</v>
      </c>
      <c r="AL932" s="414" t="s">
        <v>1742</v>
      </c>
      <c r="AM932" s="405" t="s">
        <v>52</v>
      </c>
      <c r="AN932" s="361"/>
      <c r="AO932" s="405" t="s">
        <v>1073</v>
      </c>
      <c r="AP932" s="413"/>
      <c r="AQ932" s="405" t="s">
        <v>37</v>
      </c>
      <c r="AR932" s="405"/>
      <c r="AS932" s="404"/>
      <c r="AT932" s="404"/>
      <c r="AU932" s="409"/>
      <c r="AV932" s="402">
        <f>U932</f>
        <v>0</v>
      </c>
      <c r="AW932" s="402" cm="1">
        <f t="array" ref="AW932">SUM(MID(0&amp;AV932,LARGE(INDEX(ISNUMBER(--MID(AV932,ROW($1:$8),1))*ROW($1:$8),),ROW($1:$8))+1,1)*10^ROW($1:$8)/10)</f>
        <v>0</v>
      </c>
      <c r="AX932" s="402" t="e">
        <f>VLOOKUP($AW932,'Item Master Data'!$A:$F,3,FALSE)</f>
        <v>#N/A</v>
      </c>
      <c r="AY932" s="402" t="e">
        <f>VLOOKUP($AW932,'Item Master Data'!$A:$F,6,FALSE)</f>
        <v>#N/A</v>
      </c>
      <c r="AZ932" s="402" t="e">
        <f>X932/BA932</f>
        <v>#N/A</v>
      </c>
      <c r="BA932" s="402" t="e">
        <f>VLOOKUP(AW932,'Item Master Data'!$A:$G,7,FALSE)</f>
        <v>#N/A</v>
      </c>
      <c r="BB932" s="402"/>
      <c r="BC932" s="402" t="e">
        <f>W932-AY932</f>
        <v>#N/A</v>
      </c>
    </row>
    <row r="933" spans="1:55">
      <c r="A933" s="426"/>
      <c r="B933" s="376">
        <v>44627</v>
      </c>
      <c r="C933" s="376">
        <v>44627</v>
      </c>
      <c r="D933" s="416" t="s">
        <v>86</v>
      </c>
      <c r="E933" s="405"/>
      <c r="F933" s="417"/>
      <c r="G933" s="359">
        <v>2022</v>
      </c>
      <c r="H933" s="405">
        <v>6</v>
      </c>
      <c r="I933" s="405"/>
      <c r="J933" s="406"/>
      <c r="K933" s="405" t="s">
        <v>1755</v>
      </c>
      <c r="L933" s="405" t="s">
        <v>1680</v>
      </c>
      <c r="M933" s="406">
        <v>44602</v>
      </c>
      <c r="N933" s="406">
        <v>44683</v>
      </c>
      <c r="O933" s="406"/>
      <c r="P933" s="406"/>
      <c r="Q933" s="406"/>
      <c r="R933" s="406"/>
      <c r="S933" s="405" t="s">
        <v>1520</v>
      </c>
      <c r="T933" s="405">
        <v>60</v>
      </c>
      <c r="U933" s="417"/>
      <c r="V933" s="405" t="s">
        <v>973</v>
      </c>
      <c r="W933" s="405">
        <v>400</v>
      </c>
      <c r="X933" s="382">
        <v>768</v>
      </c>
      <c r="Y933" s="365">
        <f t="shared" si="210"/>
        <v>307200</v>
      </c>
      <c r="Z933" s="409">
        <f t="shared" si="213"/>
        <v>0.51</v>
      </c>
      <c r="AA933" s="411">
        <f t="shared" si="209"/>
        <v>156672</v>
      </c>
      <c r="AB933" s="411"/>
      <c r="AC933" s="412">
        <f t="shared" si="211"/>
        <v>0</v>
      </c>
      <c r="AD933" s="405"/>
      <c r="AE933" s="405">
        <f>AA933*0.0825</f>
        <v>12925.44</v>
      </c>
      <c r="AF933" s="424">
        <f t="shared" si="212"/>
        <v>169597.44</v>
      </c>
      <c r="AG933" s="405" t="s">
        <v>47</v>
      </c>
      <c r="AH933" s="405"/>
      <c r="AI933" s="405">
        <v>60</v>
      </c>
      <c r="AJ933" s="406" t="s">
        <v>1741</v>
      </c>
      <c r="AK933" s="406" t="s">
        <v>1136</v>
      </c>
      <c r="AL933" s="414" t="s">
        <v>1742</v>
      </c>
      <c r="AM933" s="405" t="s">
        <v>52</v>
      </c>
      <c r="AN933" s="361"/>
      <c r="AO933" s="405" t="s">
        <v>1073</v>
      </c>
      <c r="AP933" s="413"/>
      <c r="AQ933" s="405" t="s">
        <v>37</v>
      </c>
      <c r="AR933" s="405"/>
      <c r="AS933" s="404"/>
      <c r="AT933" s="404"/>
      <c r="AU933" s="409"/>
      <c r="AV933" s="402">
        <f>U933</f>
        <v>0</v>
      </c>
      <c r="AW933" s="402" cm="1">
        <f t="array" ref="AW933">SUM(MID(0&amp;AV933,LARGE(INDEX(ISNUMBER(--MID(AV933,ROW($1:$8),1))*ROW($1:$8),),ROW($1:$8))+1,1)*10^ROW($1:$8)/10)</f>
        <v>0</v>
      </c>
      <c r="AX933" s="402" t="e">
        <f>VLOOKUP($AW933,'Item Master Data'!$A:$F,3,FALSE)</f>
        <v>#N/A</v>
      </c>
      <c r="AY933" s="402" t="e">
        <f>VLOOKUP($AW933,'Item Master Data'!$A:$F,6,FALSE)</f>
        <v>#N/A</v>
      </c>
      <c r="AZ933" s="402" t="e">
        <f>X933/BA933</f>
        <v>#N/A</v>
      </c>
      <c r="BA933" s="402" t="e">
        <f>VLOOKUP(AW933,'Item Master Data'!$A:$G,7,FALSE)</f>
        <v>#N/A</v>
      </c>
      <c r="BB933" s="402"/>
      <c r="BC933" s="402" t="e">
        <f>W933-AY933</f>
        <v>#N/A</v>
      </c>
    </row>
    <row r="934" spans="1:55">
      <c r="A934" s="426" t="s">
        <v>4584</v>
      </c>
      <c r="B934" s="376">
        <v>44627</v>
      </c>
      <c r="C934" s="376">
        <v>44627</v>
      </c>
      <c r="D934" s="416" t="s">
        <v>86</v>
      </c>
      <c r="E934" s="405"/>
      <c r="F934" s="417"/>
      <c r="G934" s="359">
        <v>2022</v>
      </c>
      <c r="H934" s="405">
        <v>7</v>
      </c>
      <c r="I934" s="405"/>
      <c r="J934" s="406"/>
      <c r="K934" s="405" t="s">
        <v>1786</v>
      </c>
      <c r="L934" s="405" t="s">
        <v>1680</v>
      </c>
      <c r="M934" s="406">
        <v>44602</v>
      </c>
      <c r="N934" s="406">
        <v>44683</v>
      </c>
      <c r="O934" s="406"/>
      <c r="P934" s="406"/>
      <c r="Q934" s="406"/>
      <c r="R934" s="406"/>
      <c r="S934" s="405" t="s">
        <v>1520</v>
      </c>
      <c r="T934" s="405">
        <v>60</v>
      </c>
      <c r="U934" s="417"/>
      <c r="V934" s="405" t="s">
        <v>973</v>
      </c>
      <c r="W934" s="405">
        <v>400</v>
      </c>
      <c r="X934" s="382">
        <v>768</v>
      </c>
      <c r="Y934" s="365">
        <f t="shared" si="210"/>
        <v>307200</v>
      </c>
      <c r="Z934" s="497">
        <v>0.55000000000000004</v>
      </c>
      <c r="AA934" s="411">
        <f t="shared" si="209"/>
        <v>168960</v>
      </c>
      <c r="AB934" s="411"/>
      <c r="AC934" s="412">
        <f t="shared" si="211"/>
        <v>0</v>
      </c>
      <c r="AD934" s="405"/>
      <c r="AE934" s="405">
        <f>AA934*0.0725</f>
        <v>12249.599999999999</v>
      </c>
      <c r="AF934" s="424">
        <f t="shared" si="212"/>
        <v>181209.60000000001</v>
      </c>
      <c r="AG934" s="405" t="s">
        <v>47</v>
      </c>
      <c r="AH934" s="405"/>
      <c r="AI934" s="405">
        <v>60</v>
      </c>
      <c r="AJ934" s="406" t="s">
        <v>1694</v>
      </c>
      <c r="AK934" s="406" t="s">
        <v>50</v>
      </c>
      <c r="AL934" s="414" t="s">
        <v>1695</v>
      </c>
      <c r="AM934" s="405" t="s">
        <v>52</v>
      </c>
      <c r="AN934" s="361" t="s">
        <v>50</v>
      </c>
      <c r="AO934" s="405" t="s">
        <v>1073</v>
      </c>
      <c r="AP934" s="413"/>
      <c r="AQ934" s="405" t="s">
        <v>37</v>
      </c>
      <c r="AR934" s="405"/>
      <c r="AS934" s="404"/>
      <c r="AT934" s="404"/>
      <c r="AU934" s="409"/>
      <c r="AV934" s="402">
        <f>U934</f>
        <v>0</v>
      </c>
      <c r="AW934" s="402" cm="1">
        <f t="array" ref="AW934">SUM(MID(0&amp;AV934,LARGE(INDEX(ISNUMBER(--MID(AV934,ROW($1:$8),1))*ROW($1:$8),),ROW($1:$8))+1,1)*10^ROW($1:$8)/10)</f>
        <v>0</v>
      </c>
      <c r="AX934" s="402" t="e">
        <f>VLOOKUP($AW934,'Item Master Data'!$A:$F,3,FALSE)</f>
        <v>#N/A</v>
      </c>
      <c r="AY934" s="402" t="e">
        <f>VLOOKUP($AW934,'Item Master Data'!$A:$F,6,FALSE)</f>
        <v>#N/A</v>
      </c>
      <c r="AZ934" s="402" t="e">
        <f>X934/BA934</f>
        <v>#N/A</v>
      </c>
      <c r="BA934" s="402" t="e">
        <f>VLOOKUP(AW934,'Item Master Data'!$A:$G,7,FALSE)</f>
        <v>#N/A</v>
      </c>
      <c r="BB934" s="402"/>
      <c r="BC934" s="402" t="e">
        <f>W934-AY934</f>
        <v>#N/A</v>
      </c>
    </row>
    <row r="935" spans="1:55">
      <c r="A935" s="426" t="s">
        <v>4584</v>
      </c>
      <c r="B935" s="376">
        <v>44627</v>
      </c>
      <c r="C935" s="376">
        <v>44627</v>
      </c>
      <c r="D935" s="416" t="s">
        <v>86</v>
      </c>
      <c r="E935" s="405"/>
      <c r="F935" s="417"/>
      <c r="G935" s="359">
        <v>2022</v>
      </c>
      <c r="H935" s="405">
        <v>7</v>
      </c>
      <c r="I935" s="405"/>
      <c r="J935" s="406"/>
      <c r="K935" s="405" t="s">
        <v>4827</v>
      </c>
      <c r="L935" s="405" t="s">
        <v>1680</v>
      </c>
      <c r="M935" s="406">
        <v>44602</v>
      </c>
      <c r="N935" s="406">
        <v>44655</v>
      </c>
      <c r="O935" s="406"/>
      <c r="P935" s="406"/>
      <c r="Q935" s="406"/>
      <c r="R935" s="406"/>
      <c r="S935" s="405" t="s">
        <v>1520</v>
      </c>
      <c r="T935" s="405">
        <v>60</v>
      </c>
      <c r="U935" s="417"/>
      <c r="V935" s="405" t="s">
        <v>973</v>
      </c>
      <c r="W935" s="405">
        <v>400</v>
      </c>
      <c r="X935" s="382">
        <v>768</v>
      </c>
      <c r="Y935" s="365">
        <f t="shared" si="210"/>
        <v>307200</v>
      </c>
      <c r="Z935" s="497">
        <v>0.55000000000000004</v>
      </c>
      <c r="AA935" s="411">
        <f t="shared" si="209"/>
        <v>168960</v>
      </c>
      <c r="AB935" s="411"/>
      <c r="AC935" s="412">
        <f t="shared" si="211"/>
        <v>0</v>
      </c>
      <c r="AD935" s="405"/>
      <c r="AE935" s="405">
        <f>AA935*0.0725</f>
        <v>12249.599999999999</v>
      </c>
      <c r="AF935" s="424">
        <f t="shared" si="212"/>
        <v>181209.60000000001</v>
      </c>
      <c r="AG935" s="405" t="s">
        <v>47</v>
      </c>
      <c r="AH935" s="405"/>
      <c r="AI935" s="405">
        <v>60</v>
      </c>
      <c r="AJ935" s="406" t="s">
        <v>1694</v>
      </c>
      <c r="AK935" s="406" t="s">
        <v>50</v>
      </c>
      <c r="AL935" s="414" t="s">
        <v>1695</v>
      </c>
      <c r="AM935" s="405" t="s">
        <v>52</v>
      </c>
      <c r="AN935" s="361"/>
      <c r="AO935" s="405" t="s">
        <v>1073</v>
      </c>
      <c r="AP935" s="413"/>
      <c r="AQ935" s="405" t="s">
        <v>37</v>
      </c>
      <c r="AR935" s="405"/>
      <c r="AS935" s="404"/>
      <c r="AT935" s="404"/>
      <c r="AU935" s="409"/>
      <c r="AV935" s="402"/>
      <c r="AW935" s="402"/>
      <c r="AX935" s="402"/>
      <c r="AY935" s="402"/>
      <c r="AZ935" s="402"/>
      <c r="BA935" s="402"/>
      <c r="BB935" s="402"/>
      <c r="BC935" s="402"/>
    </row>
    <row r="936" spans="1:55">
      <c r="A936" s="426" t="s">
        <v>4584</v>
      </c>
      <c r="B936" s="376">
        <v>44627</v>
      </c>
      <c r="C936" s="376">
        <v>44627</v>
      </c>
      <c r="D936" s="416" t="s">
        <v>86</v>
      </c>
      <c r="E936" s="405"/>
      <c r="F936" s="417"/>
      <c r="G936" s="359">
        <v>2022</v>
      </c>
      <c r="H936" s="405">
        <v>7</v>
      </c>
      <c r="I936" s="405"/>
      <c r="J936" s="406"/>
      <c r="K936" s="405" t="s">
        <v>4829</v>
      </c>
      <c r="L936" s="405" t="s">
        <v>1680</v>
      </c>
      <c r="M936" s="406">
        <v>44602</v>
      </c>
      <c r="N936" s="406">
        <v>44683</v>
      </c>
      <c r="O936" s="406"/>
      <c r="P936" s="406"/>
      <c r="Q936" s="406"/>
      <c r="R936" s="406"/>
      <c r="S936" s="405" t="s">
        <v>1520</v>
      </c>
      <c r="T936" s="405">
        <v>60</v>
      </c>
      <c r="U936" s="417"/>
      <c r="V936" s="405" t="s">
        <v>973</v>
      </c>
      <c r="W936" s="405">
        <v>400</v>
      </c>
      <c r="X936" s="382">
        <v>768</v>
      </c>
      <c r="Y936" s="365">
        <f t="shared" si="210"/>
        <v>307200</v>
      </c>
      <c r="Z936" s="497">
        <v>0.55000000000000004</v>
      </c>
      <c r="AA936" s="411">
        <f t="shared" si="209"/>
        <v>168960</v>
      </c>
      <c r="AB936" s="411"/>
      <c r="AC936" s="412">
        <f t="shared" si="211"/>
        <v>0</v>
      </c>
      <c r="AD936" s="405"/>
      <c r="AE936" s="405">
        <f>AA936*0.0725</f>
        <v>12249.599999999999</v>
      </c>
      <c r="AF936" s="424">
        <f t="shared" si="212"/>
        <v>181209.60000000001</v>
      </c>
      <c r="AG936" s="405" t="s">
        <v>47</v>
      </c>
      <c r="AH936" s="405"/>
      <c r="AI936" s="405">
        <v>60</v>
      </c>
      <c r="AJ936" s="406" t="s">
        <v>1694</v>
      </c>
      <c r="AK936" s="406" t="s">
        <v>50</v>
      </c>
      <c r="AL936" s="414" t="s">
        <v>1695</v>
      </c>
      <c r="AM936" s="405" t="s">
        <v>52</v>
      </c>
      <c r="AN936" s="361"/>
      <c r="AO936" s="405" t="s">
        <v>1073</v>
      </c>
      <c r="AP936" s="413"/>
      <c r="AQ936" s="405" t="s">
        <v>37</v>
      </c>
      <c r="AR936" s="405"/>
      <c r="AS936" s="404"/>
      <c r="AT936" s="404"/>
      <c r="AU936" s="409"/>
      <c r="AV936" s="402"/>
      <c r="AW936" s="402"/>
      <c r="AX936" s="402"/>
      <c r="AY936" s="402"/>
      <c r="AZ936" s="402"/>
      <c r="BA936" s="402"/>
      <c r="BB936" s="402"/>
      <c r="BC936" s="402"/>
    </row>
    <row r="937" spans="1:55">
      <c r="A937" s="426" t="s">
        <v>4585</v>
      </c>
      <c r="B937" s="376">
        <v>44627</v>
      </c>
      <c r="C937" s="376">
        <v>44627</v>
      </c>
      <c r="D937" s="416" t="s">
        <v>86</v>
      </c>
      <c r="E937" s="405" t="s">
        <v>4592</v>
      </c>
      <c r="F937" s="417"/>
      <c r="G937" s="359">
        <v>2022</v>
      </c>
      <c r="H937" s="405">
        <v>7</v>
      </c>
      <c r="I937" s="405"/>
      <c r="J937" s="406"/>
      <c r="K937" s="405" t="s">
        <v>4831</v>
      </c>
      <c r="L937" s="405" t="s">
        <v>1680</v>
      </c>
      <c r="M937" s="406">
        <v>44602</v>
      </c>
      <c r="N937" s="406">
        <v>44683</v>
      </c>
      <c r="O937" s="406"/>
      <c r="P937" s="406"/>
      <c r="Q937" s="406"/>
      <c r="R937" s="406"/>
      <c r="S937" s="405" t="s">
        <v>1520</v>
      </c>
      <c r="T937" s="405">
        <v>60</v>
      </c>
      <c r="U937" s="417"/>
      <c r="V937" s="405" t="s">
        <v>973</v>
      </c>
      <c r="W937" s="405">
        <v>400</v>
      </c>
      <c r="X937" s="382">
        <v>1536</v>
      </c>
      <c r="Y937" s="365">
        <f t="shared" si="210"/>
        <v>614400</v>
      </c>
      <c r="Z937" s="497">
        <v>0.55000000000000004</v>
      </c>
      <c r="AA937" s="411">
        <f t="shared" si="209"/>
        <v>337920</v>
      </c>
      <c r="AB937" s="411"/>
      <c r="AC937" s="412">
        <f t="shared" si="211"/>
        <v>0</v>
      </c>
      <c r="AD937" s="405"/>
      <c r="AE937" s="405">
        <f>AA937*0.0775</f>
        <v>26188.799999999999</v>
      </c>
      <c r="AF937" s="424">
        <f t="shared" si="212"/>
        <v>364108.79999999999</v>
      </c>
      <c r="AG937" s="405" t="s">
        <v>47</v>
      </c>
      <c r="AH937" s="405"/>
      <c r="AI937" s="405">
        <v>60</v>
      </c>
      <c r="AJ937" s="406" t="s">
        <v>1681</v>
      </c>
      <c r="AK937" s="406" t="s">
        <v>50</v>
      </c>
      <c r="AL937" s="414" t="s">
        <v>1697</v>
      </c>
      <c r="AM937" s="405" t="s">
        <v>52</v>
      </c>
      <c r="AN937" s="361"/>
      <c r="AO937" s="405" t="s">
        <v>1073</v>
      </c>
      <c r="AP937" s="413"/>
      <c r="AQ937" s="405" t="s">
        <v>37</v>
      </c>
      <c r="AR937" s="405"/>
      <c r="AS937" s="404"/>
      <c r="AT937" s="404"/>
      <c r="AU937" s="409"/>
      <c r="AV937" s="402"/>
      <c r="AW937" s="402"/>
      <c r="AX937" s="402"/>
      <c r="AY937" s="402"/>
      <c r="AZ937" s="402"/>
      <c r="BA937" s="402"/>
      <c r="BB937" s="402"/>
      <c r="BC937" s="402"/>
    </row>
    <row r="938" spans="1:55">
      <c r="A938" s="426"/>
      <c r="B938" s="376">
        <v>44627</v>
      </c>
      <c r="C938" s="376">
        <v>44627</v>
      </c>
      <c r="D938" s="416" t="s">
        <v>86</v>
      </c>
      <c r="E938" s="405"/>
      <c r="F938" s="417"/>
      <c r="G938" s="359">
        <v>2022</v>
      </c>
      <c r="H938" s="405">
        <v>7</v>
      </c>
      <c r="I938" s="405"/>
      <c r="J938" s="406"/>
      <c r="K938" s="405" t="s">
        <v>1795</v>
      </c>
      <c r="L938" s="405" t="s">
        <v>1680</v>
      </c>
      <c r="M938" s="406">
        <v>44602</v>
      </c>
      <c r="N938" s="406">
        <v>44683</v>
      </c>
      <c r="O938" s="406"/>
      <c r="P938" s="406"/>
      <c r="Q938" s="406"/>
      <c r="R938" s="406"/>
      <c r="S938" s="405" t="s">
        <v>1520</v>
      </c>
      <c r="T938" s="405">
        <v>60</v>
      </c>
      <c r="U938" s="417"/>
      <c r="V938" s="405" t="s">
        <v>973</v>
      </c>
      <c r="W938" s="405">
        <v>400</v>
      </c>
      <c r="X938" s="382">
        <v>768</v>
      </c>
      <c r="Y938" s="365">
        <f t="shared" si="210"/>
        <v>307200</v>
      </c>
      <c r="Z938" s="497">
        <v>0.55000000000000004</v>
      </c>
      <c r="AA938" s="411">
        <f t="shared" si="209"/>
        <v>168960</v>
      </c>
      <c r="AB938" s="411"/>
      <c r="AC938" s="412">
        <f t="shared" si="211"/>
        <v>0</v>
      </c>
      <c r="AD938" s="405"/>
      <c r="AE938" s="405">
        <f>AA938*0.0825</f>
        <v>13939.2</v>
      </c>
      <c r="AF938" s="424">
        <f t="shared" si="212"/>
        <v>182899.20000000001</v>
      </c>
      <c r="AG938" s="405" t="s">
        <v>47</v>
      </c>
      <c r="AH938" s="405"/>
      <c r="AI938" s="405">
        <v>60</v>
      </c>
      <c r="AJ938" s="406" t="s">
        <v>1323</v>
      </c>
      <c r="AK938" s="406" t="s">
        <v>1136</v>
      </c>
      <c r="AL938" s="414" t="s">
        <v>1794</v>
      </c>
      <c r="AM938" s="405" t="s">
        <v>52</v>
      </c>
      <c r="AN938" s="361"/>
      <c r="AO938" s="405" t="s">
        <v>1073</v>
      </c>
      <c r="AP938" s="413"/>
      <c r="AQ938" s="405" t="s">
        <v>37</v>
      </c>
      <c r="AR938" s="405"/>
      <c r="AS938" s="404"/>
      <c r="AT938" s="404"/>
      <c r="AU938" s="409"/>
      <c r="AV938" s="402">
        <f>U938</f>
        <v>0</v>
      </c>
      <c r="AW938" s="402" cm="1">
        <f t="array" ref="AW938">SUM(MID(0&amp;AV938,LARGE(INDEX(ISNUMBER(--MID(AV938,ROW($1:$8),1))*ROW($1:$8),),ROW($1:$8))+1,1)*10^ROW($1:$8)/10)</f>
        <v>0</v>
      </c>
      <c r="AX938" s="402" t="e">
        <f>VLOOKUP($AW938,'Item Master Data'!$A:$F,3,FALSE)</f>
        <v>#N/A</v>
      </c>
      <c r="AY938" s="402" t="e">
        <f>VLOOKUP($AW938,'Item Master Data'!$A:$F,6,FALSE)</f>
        <v>#N/A</v>
      </c>
      <c r="AZ938" s="402" t="e">
        <f>X938/BA938</f>
        <v>#N/A</v>
      </c>
      <c r="BA938" s="402" t="e">
        <f>VLOOKUP(AW938,'Item Master Data'!$A:$G,7,FALSE)</f>
        <v>#N/A</v>
      </c>
      <c r="BB938" s="402"/>
      <c r="BC938" s="402" t="e">
        <f>W938-AY938</f>
        <v>#N/A</v>
      </c>
    </row>
    <row r="939" spans="1:55">
      <c r="A939" s="426"/>
      <c r="B939" s="376">
        <v>44627</v>
      </c>
      <c r="C939" s="376">
        <v>44627</v>
      </c>
      <c r="D939" s="416" t="s">
        <v>86</v>
      </c>
      <c r="E939" s="405"/>
      <c r="F939" s="417"/>
      <c r="G939" s="359">
        <v>2022</v>
      </c>
      <c r="H939" s="405">
        <v>7</v>
      </c>
      <c r="I939" s="405"/>
      <c r="J939" s="406"/>
      <c r="K939" s="405" t="s">
        <v>1755</v>
      </c>
      <c r="L939" s="405" t="s">
        <v>1680</v>
      </c>
      <c r="M939" s="406">
        <v>44602</v>
      </c>
      <c r="N939" s="406">
        <v>44683</v>
      </c>
      <c r="O939" s="406"/>
      <c r="P939" s="406"/>
      <c r="Q939" s="406"/>
      <c r="R939" s="406"/>
      <c r="S939" s="405" t="s">
        <v>1520</v>
      </c>
      <c r="T939" s="405">
        <v>60</v>
      </c>
      <c r="U939" s="417"/>
      <c r="V939" s="405" t="s">
        <v>973</v>
      </c>
      <c r="W939" s="405">
        <v>400</v>
      </c>
      <c r="X939" s="382">
        <v>768</v>
      </c>
      <c r="Y939" s="365">
        <f t="shared" si="210"/>
        <v>307200</v>
      </c>
      <c r="Z939" s="497">
        <v>0.55000000000000004</v>
      </c>
      <c r="AA939" s="411">
        <f t="shared" si="209"/>
        <v>168960</v>
      </c>
      <c r="AB939" s="411"/>
      <c r="AC939" s="412">
        <f t="shared" si="211"/>
        <v>0</v>
      </c>
      <c r="AD939" s="405"/>
      <c r="AE939" s="405">
        <f>AA939*0.0825</f>
        <v>13939.2</v>
      </c>
      <c r="AF939" s="424">
        <f t="shared" si="212"/>
        <v>182899.20000000001</v>
      </c>
      <c r="AG939" s="405" t="s">
        <v>47</v>
      </c>
      <c r="AH939" s="405"/>
      <c r="AI939" s="405">
        <v>60</v>
      </c>
      <c r="AJ939" s="406" t="s">
        <v>1741</v>
      </c>
      <c r="AK939" s="406" t="s">
        <v>1136</v>
      </c>
      <c r="AL939" s="414" t="s">
        <v>1742</v>
      </c>
      <c r="AM939" s="405" t="s">
        <v>52</v>
      </c>
      <c r="AN939" s="361"/>
      <c r="AO939" s="405" t="s">
        <v>1073</v>
      </c>
      <c r="AP939" s="413"/>
      <c r="AQ939" s="405" t="s">
        <v>37</v>
      </c>
      <c r="AR939" s="405"/>
      <c r="AS939" s="404"/>
      <c r="AT939" s="404"/>
      <c r="AU939" s="409"/>
      <c r="AV939" s="402"/>
      <c r="AW939" s="402"/>
      <c r="AX939" s="402"/>
      <c r="AY939" s="402"/>
      <c r="AZ939" s="402"/>
      <c r="BA939" s="402"/>
      <c r="BB939" s="402"/>
      <c r="BC939" s="402"/>
    </row>
    <row r="940" spans="1:55">
      <c r="A940" s="426"/>
      <c r="B940" s="376"/>
      <c r="C940" s="376"/>
      <c r="D940" s="416" t="s">
        <v>86</v>
      </c>
      <c r="E940" s="405"/>
      <c r="F940" s="417"/>
      <c r="G940" s="359">
        <v>2022</v>
      </c>
      <c r="H940" s="405">
        <v>6</v>
      </c>
      <c r="I940" s="405"/>
      <c r="J940" s="406"/>
      <c r="K940" s="405" t="s">
        <v>1801</v>
      </c>
      <c r="L940" s="405" t="s">
        <v>1764</v>
      </c>
      <c r="M940" s="406">
        <v>44575</v>
      </c>
      <c r="N940" s="406">
        <v>44725</v>
      </c>
      <c r="O940" s="406"/>
      <c r="P940" s="406"/>
      <c r="Q940" s="406"/>
      <c r="R940" s="406"/>
      <c r="S940" s="405" t="s">
        <v>88</v>
      </c>
      <c r="T940" s="405">
        <v>72</v>
      </c>
      <c r="U940" s="417">
        <v>49303156</v>
      </c>
      <c r="V940" s="405" t="s">
        <v>995</v>
      </c>
      <c r="W940" s="405">
        <v>480</v>
      </c>
      <c r="X940" s="382">
        <v>1914</v>
      </c>
      <c r="Y940" s="365">
        <f t="shared" si="210"/>
        <v>918720</v>
      </c>
      <c r="Z940" s="409">
        <f>228/480</f>
        <v>0.47499999999999998</v>
      </c>
      <c r="AA940" s="411">
        <f t="shared" si="209"/>
        <v>436392</v>
      </c>
      <c r="AB940" s="411"/>
      <c r="AC940" s="412">
        <f t="shared" si="211"/>
        <v>0</v>
      </c>
      <c r="AD940" s="405"/>
      <c r="AE940" s="405"/>
      <c r="AF940" s="424">
        <f t="shared" si="212"/>
        <v>436392</v>
      </c>
      <c r="AG940" s="405" t="s">
        <v>1069</v>
      </c>
      <c r="AH940" s="405"/>
      <c r="AI940" s="405">
        <v>60</v>
      </c>
      <c r="AJ940" s="406" t="s">
        <v>1760</v>
      </c>
      <c r="AK940" s="406" t="s">
        <v>50</v>
      </c>
      <c r="AL940" s="414">
        <v>92056</v>
      </c>
      <c r="AM940" s="405" t="s">
        <v>52</v>
      </c>
      <c r="AN940" s="361" t="s">
        <v>1516</v>
      </c>
      <c r="AO940" s="405" t="s">
        <v>1073</v>
      </c>
      <c r="AP940" s="413"/>
      <c r="AQ940" s="405" t="s">
        <v>37</v>
      </c>
      <c r="AR940" s="405"/>
      <c r="AS940" s="404" t="s">
        <v>1142</v>
      </c>
      <c r="AT940" s="404" t="s">
        <v>1073</v>
      </c>
      <c r="AU940" s="409"/>
      <c r="AV940" s="402"/>
      <c r="AW940" s="402"/>
      <c r="AX940" s="402"/>
      <c r="AY940" s="402"/>
      <c r="AZ940" s="402"/>
      <c r="BA940" s="402"/>
      <c r="BB940" s="402"/>
      <c r="BC940" s="402"/>
    </row>
    <row r="941" spans="1:55">
      <c r="A941" s="426"/>
      <c r="B941" s="376"/>
      <c r="C941" s="376">
        <v>44634</v>
      </c>
      <c r="D941" s="416" t="s">
        <v>86</v>
      </c>
      <c r="E941" s="405" t="s">
        <v>4548</v>
      </c>
      <c r="F941" s="417"/>
      <c r="G941" s="359">
        <v>2022</v>
      </c>
      <c r="H941" s="405">
        <v>6</v>
      </c>
      <c r="I941" s="405"/>
      <c r="J941" s="406"/>
      <c r="K941" s="405" t="s">
        <v>1859</v>
      </c>
      <c r="L941" s="405" t="s">
        <v>1764</v>
      </c>
      <c r="M941" s="406">
        <v>44593</v>
      </c>
      <c r="N941" s="406">
        <v>44713</v>
      </c>
      <c r="O941" s="406"/>
      <c r="P941" s="406"/>
      <c r="Q941" s="406"/>
      <c r="R941" s="406"/>
      <c r="S941" s="405" t="s">
        <v>88</v>
      </c>
      <c r="T941" s="405">
        <v>60</v>
      </c>
      <c r="U941" s="417"/>
      <c r="V941" s="405" t="s">
        <v>973</v>
      </c>
      <c r="W941" s="405">
        <v>400</v>
      </c>
      <c r="X941" s="382">
        <v>2304</v>
      </c>
      <c r="Y941" s="365">
        <f t="shared" si="210"/>
        <v>921600</v>
      </c>
      <c r="Z941" s="409">
        <f>240.4/400</f>
        <v>0.60099999999999998</v>
      </c>
      <c r="AA941" s="411">
        <f t="shared" si="209"/>
        <v>553881.59999999998</v>
      </c>
      <c r="AB941" s="411"/>
      <c r="AC941" s="412">
        <f t="shared" si="211"/>
        <v>0</v>
      </c>
      <c r="AD941" s="405"/>
      <c r="AE941" s="405"/>
      <c r="AF941" s="424">
        <f t="shared" si="212"/>
        <v>553881.59999999998</v>
      </c>
      <c r="AG941" s="405" t="s">
        <v>1069</v>
      </c>
      <c r="AH941" s="405"/>
      <c r="AI941" s="405">
        <v>60</v>
      </c>
      <c r="AJ941" s="406" t="s">
        <v>1760</v>
      </c>
      <c r="AK941" s="406" t="s">
        <v>50</v>
      </c>
      <c r="AL941" s="414" t="s">
        <v>1800</v>
      </c>
      <c r="AM941" s="405" t="s">
        <v>52</v>
      </c>
      <c r="AN941" s="361"/>
      <c r="AO941" s="405" t="s">
        <v>1073</v>
      </c>
      <c r="AP941" s="413"/>
      <c r="AQ941" s="405" t="s">
        <v>37</v>
      </c>
      <c r="AR941" s="405" t="s">
        <v>1798</v>
      </c>
      <c r="AS941" s="404"/>
      <c r="AT941" s="404"/>
      <c r="AU941" s="409"/>
      <c r="AV941" s="402"/>
      <c r="AW941" s="402"/>
      <c r="AX941" s="402"/>
      <c r="AY941" s="402"/>
      <c r="AZ941" s="402"/>
      <c r="BA941" s="402"/>
      <c r="BB941" s="402"/>
      <c r="BC941" s="402"/>
    </row>
    <row r="942" spans="1:55">
      <c r="A942" s="426"/>
      <c r="B942" s="376"/>
      <c r="C942" s="376"/>
      <c r="D942" s="416" t="s">
        <v>86</v>
      </c>
      <c r="E942" s="405" t="s">
        <v>4273</v>
      </c>
      <c r="F942" s="417"/>
      <c r="G942" s="359">
        <v>2022</v>
      </c>
      <c r="H942" s="405">
        <v>6</v>
      </c>
      <c r="I942" s="405"/>
      <c r="J942" s="406"/>
      <c r="K942" s="405" t="s">
        <v>4274</v>
      </c>
      <c r="L942" s="405" t="s">
        <v>1764</v>
      </c>
      <c r="M942" s="406">
        <v>44662</v>
      </c>
      <c r="N942" s="406">
        <v>44713</v>
      </c>
      <c r="O942" s="406"/>
      <c r="P942" s="406"/>
      <c r="Q942" s="406"/>
      <c r="R942" s="406"/>
      <c r="S942" s="405" t="s">
        <v>88</v>
      </c>
      <c r="T942" s="405">
        <v>72</v>
      </c>
      <c r="U942" s="417"/>
      <c r="V942" s="405" t="s">
        <v>995</v>
      </c>
      <c r="W942" s="405">
        <v>480</v>
      </c>
      <c r="X942" s="382">
        <v>1914</v>
      </c>
      <c r="Y942" s="365">
        <f t="shared" si="210"/>
        <v>918720</v>
      </c>
      <c r="Z942" s="409">
        <f>268.8/480</f>
        <v>0.56000000000000005</v>
      </c>
      <c r="AA942" s="411">
        <f t="shared" si="209"/>
        <v>514483.20000000007</v>
      </c>
      <c r="AB942" s="411"/>
      <c r="AC942" s="412">
        <f t="shared" si="211"/>
        <v>0</v>
      </c>
      <c r="AD942" s="405"/>
      <c r="AE942" s="405"/>
      <c r="AF942" s="424">
        <f t="shared" si="212"/>
        <v>514483.20000000007</v>
      </c>
      <c r="AG942" s="405" t="s">
        <v>1069</v>
      </c>
      <c r="AH942" s="405"/>
      <c r="AI942" s="405">
        <v>60</v>
      </c>
      <c r="AJ942" s="406" t="s">
        <v>1760</v>
      </c>
      <c r="AK942" s="406" t="s">
        <v>50</v>
      </c>
      <c r="AL942" s="414" t="s">
        <v>1800</v>
      </c>
      <c r="AM942" s="405" t="s">
        <v>52</v>
      </c>
      <c r="AN942" s="361"/>
      <c r="AO942" s="405" t="s">
        <v>1073</v>
      </c>
      <c r="AP942" s="413"/>
      <c r="AQ942" s="405" t="s">
        <v>37</v>
      </c>
      <c r="AR942" s="405"/>
      <c r="AS942" s="404"/>
      <c r="AT942" s="404"/>
      <c r="AU942" s="409"/>
      <c r="AV942" s="402">
        <f>U942</f>
        <v>0</v>
      </c>
      <c r="AW942" s="402" cm="1">
        <f t="array" ref="AW942">SUM(MID(0&amp;AV942,LARGE(INDEX(ISNUMBER(--MID(AV942,ROW($1:$8),1))*ROW($1:$8),),ROW($1:$8))+1,1)*10^ROW($1:$8)/10)</f>
        <v>0</v>
      </c>
      <c r="AX942" s="402" t="e">
        <f>VLOOKUP($AW942,'Item Master Data'!$A:$F,3,FALSE)</f>
        <v>#N/A</v>
      </c>
      <c r="AY942" s="402" t="e">
        <f>VLOOKUP($AW942,'Item Master Data'!$A:$F,6,FALSE)</f>
        <v>#N/A</v>
      </c>
      <c r="AZ942" s="402" t="e">
        <f>X942/BA942</f>
        <v>#N/A</v>
      </c>
      <c r="BA942" s="402" t="e">
        <f>VLOOKUP(AW942,'Item Master Data'!$A:$G,7,FALSE)</f>
        <v>#N/A</v>
      </c>
      <c r="BB942" s="402"/>
      <c r="BC942" s="402" t="e">
        <f>W942-AY942</f>
        <v>#N/A</v>
      </c>
    </row>
    <row r="943" spans="1:55">
      <c r="A943" s="426">
        <v>15</v>
      </c>
      <c r="B943" s="376">
        <v>44676</v>
      </c>
      <c r="C943" s="376">
        <v>44676</v>
      </c>
      <c r="D943" s="416" t="s">
        <v>86</v>
      </c>
      <c r="E943" s="405"/>
      <c r="F943" s="417"/>
      <c r="G943" s="359">
        <v>2022</v>
      </c>
      <c r="H943" s="405">
        <v>6</v>
      </c>
      <c r="I943" s="405"/>
      <c r="J943" s="406"/>
      <c r="K943" s="405" t="s">
        <v>1765</v>
      </c>
      <c r="L943" s="405" t="s">
        <v>1759</v>
      </c>
      <c r="M943" s="406">
        <v>44490</v>
      </c>
      <c r="N943" s="406">
        <v>44651</v>
      </c>
      <c r="O943" s="406">
        <v>44679</v>
      </c>
      <c r="P943" s="406"/>
      <c r="Q943" s="406"/>
      <c r="R943" s="406"/>
      <c r="S943" s="405" t="s">
        <v>88</v>
      </c>
      <c r="T943" s="405">
        <v>60</v>
      </c>
      <c r="U943" s="417"/>
      <c r="V943" s="405" t="s">
        <v>986</v>
      </c>
      <c r="W943" s="405">
        <v>360</v>
      </c>
      <c r="X943" s="382">
        <v>3072</v>
      </c>
      <c r="Y943" s="365">
        <f t="shared" si="210"/>
        <v>1105920</v>
      </c>
      <c r="Z943" s="409">
        <f>219.96/360</f>
        <v>0.61099999999999999</v>
      </c>
      <c r="AA943" s="411">
        <f t="shared" si="209"/>
        <v>675717.12</v>
      </c>
      <c r="AB943" s="411"/>
      <c r="AC943" s="412">
        <v>0</v>
      </c>
      <c r="AD943" s="405"/>
      <c r="AE943" s="405"/>
      <c r="AF943" s="424">
        <v>566261.76000000013</v>
      </c>
      <c r="AG943" s="405" t="s">
        <v>1069</v>
      </c>
      <c r="AH943" s="405"/>
      <c r="AI943" s="405">
        <v>60</v>
      </c>
      <c r="AJ943" s="406" t="s">
        <v>1760</v>
      </c>
      <c r="AK943" s="406" t="s">
        <v>50</v>
      </c>
      <c r="AL943" s="414">
        <v>92056</v>
      </c>
      <c r="AM943" s="405" t="s">
        <v>52</v>
      </c>
      <c r="AN943" s="361" t="s">
        <v>50</v>
      </c>
      <c r="AO943" s="405" t="s">
        <v>1073</v>
      </c>
      <c r="AP943" s="413" t="s">
        <v>38</v>
      </c>
      <c r="AQ943" s="405" t="s">
        <v>37</v>
      </c>
      <c r="AR943" s="405"/>
      <c r="AS943" s="404" t="s">
        <v>1142</v>
      </c>
      <c r="AT943" s="404" t="s">
        <v>1073</v>
      </c>
      <c r="AU943" s="409"/>
      <c r="AV943" s="402"/>
      <c r="AW943" s="402"/>
      <c r="AX943" s="402"/>
      <c r="AY943" s="402"/>
      <c r="AZ943" s="402"/>
      <c r="BA943" s="402"/>
      <c r="BB943" s="402"/>
      <c r="BC943" s="402"/>
    </row>
    <row r="944" spans="1:55">
      <c r="A944" s="426">
        <v>23</v>
      </c>
      <c r="B944" s="376">
        <v>44665</v>
      </c>
      <c r="C944" s="376">
        <v>44665</v>
      </c>
      <c r="D944" s="416" t="s">
        <v>86</v>
      </c>
      <c r="E944" s="405" t="s">
        <v>4550</v>
      </c>
      <c r="F944" s="417"/>
      <c r="G944" s="359">
        <v>2022</v>
      </c>
      <c r="H944" s="405">
        <v>6</v>
      </c>
      <c r="I944" s="405"/>
      <c r="J944" s="406"/>
      <c r="K944" s="405" t="s">
        <v>1858</v>
      </c>
      <c r="L944" s="405" t="s">
        <v>1759</v>
      </c>
      <c r="M944" s="406">
        <v>44561</v>
      </c>
      <c r="N944" s="406">
        <v>44683</v>
      </c>
      <c r="O944" s="406">
        <v>44714</v>
      </c>
      <c r="P944" s="406" t="s">
        <v>1654</v>
      </c>
      <c r="Q944" s="406"/>
      <c r="R944" s="406"/>
      <c r="S944" s="405" t="s">
        <v>88</v>
      </c>
      <c r="T944" s="405">
        <v>60</v>
      </c>
      <c r="U944" s="417"/>
      <c r="V944" s="405" t="s">
        <v>986</v>
      </c>
      <c r="W944" s="405">
        <v>360</v>
      </c>
      <c r="X944" s="382">
        <v>3072</v>
      </c>
      <c r="Y944" s="365">
        <f t="shared" si="210"/>
        <v>1105920</v>
      </c>
      <c r="Z944" s="409">
        <f>219.96/360</f>
        <v>0.61099999999999999</v>
      </c>
      <c r="AA944" s="411">
        <f t="shared" si="209"/>
        <v>675717.12</v>
      </c>
      <c r="AB944" s="411"/>
      <c r="AC944" s="412">
        <v>0</v>
      </c>
      <c r="AD944" s="405"/>
      <c r="AE944" s="405"/>
      <c r="AF944" s="424">
        <f t="shared" ref="AF944:AF971" si="214">AE944+AD944+AA944</f>
        <v>675717.12</v>
      </c>
      <c r="AG944" s="405" t="s">
        <v>1069</v>
      </c>
      <c r="AH944" s="405"/>
      <c r="AI944" s="405">
        <v>60</v>
      </c>
      <c r="AJ944" s="406" t="s">
        <v>1760</v>
      </c>
      <c r="AK944" s="406" t="s">
        <v>50</v>
      </c>
      <c r="AL944" s="414">
        <v>92056</v>
      </c>
      <c r="AM944" s="405" t="s">
        <v>52</v>
      </c>
      <c r="AN944" s="361" t="s">
        <v>50</v>
      </c>
      <c r="AO944" s="405" t="s">
        <v>1073</v>
      </c>
      <c r="AP944" s="413" t="s">
        <v>38</v>
      </c>
      <c r="AQ944" s="405" t="s">
        <v>37</v>
      </c>
      <c r="AR944" s="405"/>
      <c r="AS944" s="404" t="s">
        <v>1142</v>
      </c>
      <c r="AT944" s="404" t="s">
        <v>1073</v>
      </c>
      <c r="AU944" s="409"/>
      <c r="AV944" s="402">
        <f>U944</f>
        <v>0</v>
      </c>
      <c r="AW944" s="402" cm="1">
        <f t="array" ref="AW944">SUM(MID(0&amp;AV944,LARGE(INDEX(ISNUMBER(--MID(AV944,ROW($1:$8),1))*ROW($1:$8),),ROW($1:$8))+1,1)*10^ROW($1:$8)/10)</f>
        <v>0</v>
      </c>
      <c r="AX944" s="402" t="e">
        <f>VLOOKUP($AW944,'Item Master Data'!$A:$F,3,FALSE)</f>
        <v>#N/A</v>
      </c>
      <c r="AY944" s="402" t="e">
        <f>VLOOKUP($AW944,'Item Master Data'!$A:$F,6,FALSE)</f>
        <v>#N/A</v>
      </c>
      <c r="AZ944" s="402" t="e">
        <f>X944/BA944</f>
        <v>#N/A</v>
      </c>
      <c r="BA944" s="402" t="e">
        <f>VLOOKUP(AW944,'Item Master Data'!$A:$G,7,FALSE)</f>
        <v>#N/A</v>
      </c>
      <c r="BB944" s="402"/>
      <c r="BC944" s="402" t="e">
        <f>W944-AY944</f>
        <v>#N/A</v>
      </c>
    </row>
    <row r="945" spans="1:55">
      <c r="A945" s="426">
        <v>22</v>
      </c>
      <c r="B945" s="376">
        <v>44665</v>
      </c>
      <c r="C945" s="376">
        <v>44665</v>
      </c>
      <c r="D945" s="416" t="s">
        <v>86</v>
      </c>
      <c r="E945" s="405"/>
      <c r="F945" s="417"/>
      <c r="G945" s="359">
        <v>2022</v>
      </c>
      <c r="H945" s="405">
        <v>6</v>
      </c>
      <c r="I945" s="405"/>
      <c r="J945" s="406"/>
      <c r="K945" s="405" t="s">
        <v>1860</v>
      </c>
      <c r="L945" s="405" t="s">
        <v>1759</v>
      </c>
      <c r="M945" s="406">
        <v>44561</v>
      </c>
      <c r="N945" s="406">
        <v>44697</v>
      </c>
      <c r="O945" s="406">
        <v>44728</v>
      </c>
      <c r="P945" s="406" t="s">
        <v>1654</v>
      </c>
      <c r="Q945" s="406"/>
      <c r="R945" s="406"/>
      <c r="S945" s="405" t="s">
        <v>88</v>
      </c>
      <c r="T945" s="405">
        <v>60</v>
      </c>
      <c r="U945" s="417"/>
      <c r="V945" s="405" t="s">
        <v>973</v>
      </c>
      <c r="W945" s="405">
        <v>400</v>
      </c>
      <c r="X945" s="382">
        <v>2304</v>
      </c>
      <c r="Y945" s="365">
        <f t="shared" si="210"/>
        <v>921600</v>
      </c>
      <c r="Z945" s="409">
        <f>260/400</f>
        <v>0.65</v>
      </c>
      <c r="AA945" s="411">
        <f t="shared" si="209"/>
        <v>599040</v>
      </c>
      <c r="AB945" s="411"/>
      <c r="AC945" s="412">
        <v>0</v>
      </c>
      <c r="AD945" s="405"/>
      <c r="AE945" s="405"/>
      <c r="AF945" s="424">
        <f t="shared" si="214"/>
        <v>599040</v>
      </c>
      <c r="AG945" s="405" t="s">
        <v>1069</v>
      </c>
      <c r="AH945" s="405"/>
      <c r="AI945" s="405">
        <v>60</v>
      </c>
      <c r="AJ945" s="406" t="s">
        <v>1760</v>
      </c>
      <c r="AK945" s="406" t="s">
        <v>50</v>
      </c>
      <c r="AL945" s="414">
        <v>92056</v>
      </c>
      <c r="AM945" s="405" t="s">
        <v>52</v>
      </c>
      <c r="AN945" s="361" t="s">
        <v>50</v>
      </c>
      <c r="AO945" s="405" t="s">
        <v>1073</v>
      </c>
      <c r="AP945" s="413" t="s">
        <v>38</v>
      </c>
      <c r="AQ945" s="405" t="s">
        <v>37</v>
      </c>
      <c r="AR945" s="405"/>
      <c r="AS945" s="404" t="s">
        <v>1142</v>
      </c>
      <c r="AT945" s="404" t="s">
        <v>1073</v>
      </c>
      <c r="AU945" s="409"/>
      <c r="AV945" s="402">
        <f>U945</f>
        <v>0</v>
      </c>
      <c r="AW945" s="402" cm="1">
        <f t="array" ref="AW945">SUM(MID(0&amp;AV945,LARGE(INDEX(ISNUMBER(--MID(AV945,ROW($1:$8),1))*ROW($1:$8),),ROW($1:$8))+1,1)*10^ROW($1:$8)/10)</f>
        <v>0</v>
      </c>
      <c r="AX945" s="402" t="e">
        <f>VLOOKUP($AW945,'Item Master Data'!$A:$F,3,FALSE)</f>
        <v>#N/A</v>
      </c>
      <c r="AY945" s="402" t="e">
        <f>VLOOKUP($AW945,'Item Master Data'!$A:$F,6,FALSE)</f>
        <v>#N/A</v>
      </c>
      <c r="AZ945" s="402" t="e">
        <f>X945/BA945</f>
        <v>#N/A</v>
      </c>
      <c r="BA945" s="402" t="e">
        <f>VLOOKUP(AW945,'Item Master Data'!$A:$G,7,FALSE)</f>
        <v>#N/A</v>
      </c>
      <c r="BB945" s="402"/>
      <c r="BC945" s="402" t="e">
        <f>W945-AY945</f>
        <v>#N/A</v>
      </c>
    </row>
    <row r="946" spans="1:55">
      <c r="A946" s="426"/>
      <c r="B946" s="376">
        <v>44665</v>
      </c>
      <c r="C946" s="376">
        <v>44665</v>
      </c>
      <c r="D946" s="416" t="s">
        <v>86</v>
      </c>
      <c r="E946" s="405" t="s">
        <v>4269</v>
      </c>
      <c r="F946" s="417"/>
      <c r="G946" s="359">
        <v>2022</v>
      </c>
      <c r="H946" s="405">
        <v>6</v>
      </c>
      <c r="I946" s="405"/>
      <c r="J946" s="406"/>
      <c r="K946" s="405" t="s">
        <v>1884</v>
      </c>
      <c r="L946" s="405" t="s">
        <v>1759</v>
      </c>
      <c r="M946" s="406">
        <v>44561</v>
      </c>
      <c r="N946" s="406">
        <v>44713</v>
      </c>
      <c r="O946" s="406"/>
      <c r="P946" s="406"/>
      <c r="Q946" s="406"/>
      <c r="R946" s="406"/>
      <c r="S946" s="405" t="s">
        <v>88</v>
      </c>
      <c r="T946" s="405">
        <v>72</v>
      </c>
      <c r="U946" s="417"/>
      <c r="V946" s="405" t="s">
        <v>1100</v>
      </c>
      <c r="W946" s="405">
        <v>480</v>
      </c>
      <c r="X946" s="382">
        <v>638</v>
      </c>
      <c r="Y946" s="365">
        <f t="shared" si="210"/>
        <v>306240</v>
      </c>
      <c r="Z946" s="409">
        <f>228/480</f>
        <v>0.47499999999999998</v>
      </c>
      <c r="AA946" s="411">
        <f t="shared" si="209"/>
        <v>145464</v>
      </c>
      <c r="AB946" s="411"/>
      <c r="AC946" s="412">
        <f>AB946*Y946</f>
        <v>0</v>
      </c>
      <c r="AD946" s="405"/>
      <c r="AE946" s="405"/>
      <c r="AF946" s="424">
        <f t="shared" si="214"/>
        <v>145464</v>
      </c>
      <c r="AG946" s="405" t="s">
        <v>1069</v>
      </c>
      <c r="AH946" s="405"/>
      <c r="AI946" s="405">
        <v>60</v>
      </c>
      <c r="AJ946" s="406" t="s">
        <v>1760</v>
      </c>
      <c r="AK946" s="406" t="s">
        <v>50</v>
      </c>
      <c r="AL946" s="414">
        <v>92056</v>
      </c>
      <c r="AM946" s="405" t="s">
        <v>52</v>
      </c>
      <c r="AN946" s="361" t="s">
        <v>50</v>
      </c>
      <c r="AO946" s="405" t="s">
        <v>1073</v>
      </c>
      <c r="AP946" s="413" t="s">
        <v>38</v>
      </c>
      <c r="AQ946" s="405" t="s">
        <v>37</v>
      </c>
      <c r="AR946" s="405"/>
      <c r="AS946" s="404" t="s">
        <v>1142</v>
      </c>
      <c r="AT946" s="404" t="s">
        <v>1073</v>
      </c>
      <c r="AU946" s="409"/>
      <c r="AV946" s="402">
        <f>U946</f>
        <v>0</v>
      </c>
      <c r="AW946" s="402" cm="1">
        <f t="array" ref="AW946">SUM(MID(0&amp;AV946,LARGE(INDEX(ISNUMBER(--MID(AV946,ROW($1:$8),1))*ROW($1:$8),),ROW($1:$8))+1,1)*10^ROW($1:$8)/10)</f>
        <v>0</v>
      </c>
      <c r="AX946" s="402" t="e">
        <f>VLOOKUP($AW946,'Item Master Data'!$A:$F,3,FALSE)</f>
        <v>#N/A</v>
      </c>
      <c r="AY946" s="402" t="e">
        <f>VLOOKUP($AW946,'Item Master Data'!$A:$F,6,FALSE)</f>
        <v>#N/A</v>
      </c>
      <c r="AZ946" s="402" t="e">
        <f>X946/BA946</f>
        <v>#N/A</v>
      </c>
      <c r="BA946" s="402" t="e">
        <f>VLOOKUP(AW946,'Item Master Data'!$A:$G,7,FALSE)</f>
        <v>#N/A</v>
      </c>
      <c r="BB946" s="402"/>
      <c r="BC946" s="402" t="e">
        <f>W946-AY946</f>
        <v>#N/A</v>
      </c>
    </row>
    <row r="947" spans="1:55">
      <c r="A947" s="426"/>
      <c r="B947" s="376"/>
      <c r="C947" s="376"/>
      <c r="D947" s="416" t="s">
        <v>86</v>
      </c>
      <c r="E947" s="405" t="s">
        <v>4269</v>
      </c>
      <c r="F947" s="417"/>
      <c r="G947" s="359">
        <v>2022</v>
      </c>
      <c r="H947" s="405">
        <v>6</v>
      </c>
      <c r="I947" s="405"/>
      <c r="J947" s="406"/>
      <c r="K947" s="405">
        <v>1200</v>
      </c>
      <c r="L947" s="405" t="s">
        <v>1556</v>
      </c>
      <c r="M947" s="406">
        <v>44585</v>
      </c>
      <c r="N947" s="406">
        <v>44713</v>
      </c>
      <c r="O947" s="406"/>
      <c r="P947" s="406"/>
      <c r="Q947" s="406"/>
      <c r="R947" s="406"/>
      <c r="S947" s="405" t="s">
        <v>1510</v>
      </c>
      <c r="T947" s="405">
        <v>72</v>
      </c>
      <c r="U947" s="417"/>
      <c r="V947" s="405" t="s">
        <v>1002</v>
      </c>
      <c r="W947" s="405">
        <v>480</v>
      </c>
      <c r="X947" s="382">
        <v>1276</v>
      </c>
      <c r="Y947" s="365">
        <f t="shared" si="210"/>
        <v>612480</v>
      </c>
      <c r="Z947" s="409">
        <f>237.6/480</f>
        <v>0.495</v>
      </c>
      <c r="AA947" s="411">
        <f t="shared" si="209"/>
        <v>303177.59999999998</v>
      </c>
      <c r="AB947" s="411"/>
      <c r="AC947" s="412">
        <f>AB947*Y947</f>
        <v>0</v>
      </c>
      <c r="AD947" s="405"/>
      <c r="AE947" s="405"/>
      <c r="AF947" s="424">
        <f t="shared" si="214"/>
        <v>303177.59999999998</v>
      </c>
      <c r="AG947" s="405" t="s">
        <v>1069</v>
      </c>
      <c r="AH947" s="405">
        <v>100</v>
      </c>
      <c r="AI947" s="405">
        <v>0</v>
      </c>
      <c r="AJ947" s="406" t="s">
        <v>1558</v>
      </c>
      <c r="AK947" s="406" t="s">
        <v>50</v>
      </c>
      <c r="AL947" s="414">
        <v>92010</v>
      </c>
      <c r="AM947" s="405" t="s">
        <v>52</v>
      </c>
      <c r="AN947" s="361"/>
      <c r="AO947" s="405" t="s">
        <v>1073</v>
      </c>
      <c r="AP947" s="413"/>
      <c r="AQ947" s="405" t="s">
        <v>37</v>
      </c>
      <c r="AR947" s="405"/>
      <c r="AS947" s="404"/>
      <c r="AT947" s="404"/>
      <c r="AU947" s="409"/>
      <c r="AV947" s="402">
        <f>U947</f>
        <v>0</v>
      </c>
      <c r="AW947" s="402" cm="1">
        <f t="array" ref="AW947">SUM(MID(0&amp;AV947,LARGE(INDEX(ISNUMBER(--MID(AV947,ROW($1:$8),1))*ROW($1:$8),),ROW($1:$8))+1,1)*10^ROW($1:$8)/10)</f>
        <v>0</v>
      </c>
      <c r="AX947" s="402" t="e">
        <f>VLOOKUP($AW947,'Item Master Data'!$A:$F,3,FALSE)</f>
        <v>#N/A</v>
      </c>
      <c r="AY947" s="402" t="e">
        <f>VLOOKUP($AW947,'Item Master Data'!$A:$F,6,FALSE)</f>
        <v>#N/A</v>
      </c>
      <c r="AZ947" s="402" t="e">
        <f>X947/BA947</f>
        <v>#N/A</v>
      </c>
      <c r="BA947" s="402" t="e">
        <f>VLOOKUP(AW947,'Item Master Data'!$A:$G,7,FALSE)</f>
        <v>#N/A</v>
      </c>
      <c r="BB947" s="402"/>
      <c r="BC947" s="402" t="e">
        <f>W947-AY947</f>
        <v>#N/A</v>
      </c>
    </row>
    <row r="948" spans="1:55">
      <c r="A948" s="426"/>
      <c r="B948" s="376"/>
      <c r="C948" s="376"/>
      <c r="D948" s="416" t="s">
        <v>86</v>
      </c>
      <c r="E948" s="405"/>
      <c r="F948" s="417" t="s">
        <v>1318</v>
      </c>
      <c r="G948" s="359">
        <v>2022</v>
      </c>
      <c r="H948" s="405">
        <v>6</v>
      </c>
      <c r="I948" s="405" t="s">
        <v>4437</v>
      </c>
      <c r="J948" s="406"/>
      <c r="K948" s="405" t="s">
        <v>4040</v>
      </c>
      <c r="L948" s="405" t="s">
        <v>4039</v>
      </c>
      <c r="M948" s="406">
        <v>44664</v>
      </c>
      <c r="N948" s="406">
        <v>44727</v>
      </c>
      <c r="O948" s="406"/>
      <c r="P948" s="406" t="s">
        <v>4438</v>
      </c>
      <c r="Q948" s="406"/>
      <c r="R948" s="406"/>
      <c r="S948" s="405" t="s">
        <v>88</v>
      </c>
      <c r="T948" s="405">
        <v>72</v>
      </c>
      <c r="U948" s="417">
        <v>49303156</v>
      </c>
      <c r="V948" s="405" t="s">
        <v>995</v>
      </c>
      <c r="W948" s="405">
        <v>480</v>
      </c>
      <c r="X948" s="382">
        <v>14993</v>
      </c>
      <c r="Y948" s="365">
        <f t="shared" si="210"/>
        <v>7196640</v>
      </c>
      <c r="Z948" s="409">
        <f>264/480</f>
        <v>0.55000000000000004</v>
      </c>
      <c r="AA948" s="411">
        <f t="shared" si="209"/>
        <v>3958152.0000000005</v>
      </c>
      <c r="AB948" s="411"/>
      <c r="AC948" s="412">
        <f>AB948*Y948</f>
        <v>0</v>
      </c>
      <c r="AD948" s="405"/>
      <c r="AE948" s="405">
        <f>AA948*0.0775</f>
        <v>306756.78000000003</v>
      </c>
      <c r="AF948" s="424">
        <f t="shared" si="214"/>
        <v>4264908.78</v>
      </c>
      <c r="AG948" s="405" t="s">
        <v>1069</v>
      </c>
      <c r="AH948" s="405">
        <v>100</v>
      </c>
      <c r="AI948" s="405">
        <v>0</v>
      </c>
      <c r="AJ948" s="406" t="s">
        <v>1584</v>
      </c>
      <c r="AK948" s="406" t="s">
        <v>1913</v>
      </c>
      <c r="AL948" s="414">
        <v>95834</v>
      </c>
      <c r="AM948" s="405" t="s">
        <v>52</v>
      </c>
      <c r="AN948" s="361" t="s">
        <v>1516</v>
      </c>
      <c r="AO948" s="405" t="s">
        <v>1073</v>
      </c>
      <c r="AP948" s="413"/>
      <c r="AQ948" s="405" t="s">
        <v>37</v>
      </c>
      <c r="AR948" s="405"/>
      <c r="AS948" s="404" t="s">
        <v>1142</v>
      </c>
      <c r="AT948" s="404" t="s">
        <v>1073</v>
      </c>
      <c r="AU948" s="409"/>
      <c r="AV948" s="402"/>
      <c r="AW948" s="402"/>
      <c r="AX948" s="402"/>
      <c r="AY948" s="402"/>
      <c r="AZ948" s="402"/>
      <c r="BA948" s="402"/>
      <c r="BB948" s="402"/>
      <c r="BC948" s="402"/>
    </row>
    <row r="949" spans="1:55">
      <c r="A949" s="426"/>
      <c r="B949" s="376">
        <v>44693</v>
      </c>
      <c r="C949" s="376">
        <v>44691</v>
      </c>
      <c r="D949" s="416" t="s">
        <v>86</v>
      </c>
      <c r="E949" s="405" t="s">
        <v>4916</v>
      </c>
      <c r="F949" s="417" t="s">
        <v>1318</v>
      </c>
      <c r="G949" s="359">
        <v>2022</v>
      </c>
      <c r="H949" s="405">
        <v>6</v>
      </c>
      <c r="I949" s="405"/>
      <c r="J949" s="406"/>
      <c r="K949" s="405" t="s">
        <v>4642</v>
      </c>
      <c r="L949" s="405" t="s">
        <v>4730</v>
      </c>
      <c r="M949" s="406">
        <v>44683</v>
      </c>
      <c r="N949" s="406">
        <v>44683</v>
      </c>
      <c r="O949" s="406"/>
      <c r="P949" s="406"/>
      <c r="Q949" s="406"/>
      <c r="R949" s="406"/>
      <c r="S949" s="405" t="s">
        <v>88</v>
      </c>
      <c r="T949" s="405">
        <v>72</v>
      </c>
      <c r="U949" s="417"/>
      <c r="V949" s="405" t="s">
        <v>995</v>
      </c>
      <c r="W949" s="405">
        <v>480</v>
      </c>
      <c r="X949" s="382">
        <v>492</v>
      </c>
      <c r="Y949" s="365">
        <f t="shared" si="210"/>
        <v>236160</v>
      </c>
      <c r="Z949" s="409">
        <f>288/480</f>
        <v>0.6</v>
      </c>
      <c r="AA949" s="411">
        <f t="shared" si="209"/>
        <v>141696</v>
      </c>
      <c r="AB949" s="411"/>
      <c r="AC949" s="412">
        <f>AB949*Y949</f>
        <v>0</v>
      </c>
      <c r="AD949" s="405"/>
      <c r="AE949" s="405">
        <f>AA949*0.08375</f>
        <v>11867.04</v>
      </c>
      <c r="AF949" s="424">
        <f t="shared" si="214"/>
        <v>153563.04</v>
      </c>
      <c r="AG949" s="405" t="s">
        <v>1069</v>
      </c>
      <c r="AH949" s="405">
        <v>10</v>
      </c>
      <c r="AI949" s="405">
        <v>30</v>
      </c>
      <c r="AJ949" s="406" t="s">
        <v>4643</v>
      </c>
      <c r="AK949" s="406" t="s">
        <v>1913</v>
      </c>
      <c r="AL949" s="414">
        <v>94589</v>
      </c>
      <c r="AM949" s="405" t="s">
        <v>52</v>
      </c>
      <c r="AN949" s="361"/>
      <c r="AO949" s="405" t="s">
        <v>1073</v>
      </c>
      <c r="AP949" s="413"/>
      <c r="AQ949" s="405" t="s">
        <v>1083</v>
      </c>
      <c r="AR949" s="405"/>
      <c r="AS949" s="404" t="s">
        <v>1142</v>
      </c>
      <c r="AT949" s="404" t="s">
        <v>1073</v>
      </c>
      <c r="AU949" s="409"/>
      <c r="AV949" s="402">
        <f t="shared" ref="AV949:AV955" si="215">U949</f>
        <v>0</v>
      </c>
      <c r="AW949" s="402" cm="1">
        <f t="array" ref="AW949">SUM(MID(0&amp;AV949,LARGE(INDEX(ISNUMBER(--MID(AV949,ROW($1:$8),1))*ROW($1:$8),),ROW($1:$8))+1,1)*10^ROW($1:$8)/10)</f>
        <v>0</v>
      </c>
      <c r="AX949" s="402" t="e">
        <f>VLOOKUP($AW949,'Item Master Data'!$A:$F,3,FALSE)</f>
        <v>#N/A</v>
      </c>
      <c r="AY949" s="402" t="e">
        <f>VLOOKUP($AW949,'Item Master Data'!$A:$F,6,FALSE)</f>
        <v>#N/A</v>
      </c>
      <c r="AZ949" s="402" t="e">
        <f t="shared" ref="AZ949:AZ955" si="216">X949/BA949</f>
        <v>#N/A</v>
      </c>
      <c r="BA949" s="402" t="e">
        <f>VLOOKUP(AW949,'Item Master Data'!$A:$G,7,FALSE)</f>
        <v>#N/A</v>
      </c>
      <c r="BB949" s="402"/>
      <c r="BC949" s="402" t="e">
        <f t="shared" ref="BC949:BC955" si="217">W949-AY949</f>
        <v>#N/A</v>
      </c>
    </row>
    <row r="950" spans="1:55">
      <c r="A950" s="426"/>
      <c r="B950" s="376"/>
      <c r="C950" s="376"/>
      <c r="D950" s="416" t="s">
        <v>86</v>
      </c>
      <c r="E950" s="405" t="s">
        <v>4917</v>
      </c>
      <c r="F950" s="417"/>
      <c r="G950" s="359">
        <v>2022</v>
      </c>
      <c r="H950" s="405">
        <v>6</v>
      </c>
      <c r="I950" s="405"/>
      <c r="J950" s="406"/>
      <c r="K950" s="405">
        <v>32</v>
      </c>
      <c r="L950" s="405" t="s">
        <v>4918</v>
      </c>
      <c r="M950" s="406">
        <v>44687</v>
      </c>
      <c r="N950" s="406">
        <v>44687</v>
      </c>
      <c r="O950" s="406"/>
      <c r="P950" s="406" t="s">
        <v>4917</v>
      </c>
      <c r="Q950" s="406"/>
      <c r="R950" s="406"/>
      <c r="S950" s="405" t="s">
        <v>88</v>
      </c>
      <c r="T950" s="405">
        <v>72</v>
      </c>
      <c r="U950" s="417"/>
      <c r="V950" s="405" t="s">
        <v>1068</v>
      </c>
      <c r="W950" s="405">
        <v>480</v>
      </c>
      <c r="X950" s="382">
        <v>290</v>
      </c>
      <c r="Y950" s="365">
        <f t="shared" si="210"/>
        <v>139200</v>
      </c>
      <c r="Z950" s="409">
        <f>312/480</f>
        <v>0.65</v>
      </c>
      <c r="AA950" s="411">
        <f t="shared" si="209"/>
        <v>90480</v>
      </c>
      <c r="AB950" s="411"/>
      <c r="AC950" s="412">
        <f>AB950*Y950</f>
        <v>0</v>
      </c>
      <c r="AD950" s="405"/>
      <c r="AE950" s="511">
        <f>AA950*0.0775</f>
        <v>7012.2</v>
      </c>
      <c r="AF950" s="424">
        <f t="shared" si="214"/>
        <v>97492.2</v>
      </c>
      <c r="AG950" s="405" t="s">
        <v>1069</v>
      </c>
      <c r="AH950" s="405">
        <v>100</v>
      </c>
      <c r="AI950" s="405"/>
      <c r="AJ950" s="406" t="s">
        <v>4919</v>
      </c>
      <c r="AK950" s="406" t="s">
        <v>1913</v>
      </c>
      <c r="AL950" s="414" t="s">
        <v>4920</v>
      </c>
      <c r="AM950" s="405" t="s">
        <v>52</v>
      </c>
      <c r="AN950" s="361"/>
      <c r="AO950" s="405" t="s">
        <v>1073</v>
      </c>
      <c r="AP950" s="413"/>
      <c r="AQ950" s="405" t="s">
        <v>37</v>
      </c>
      <c r="AR950" s="405"/>
      <c r="AS950" s="404" t="s">
        <v>1142</v>
      </c>
      <c r="AT950" s="404" t="s">
        <v>1073</v>
      </c>
      <c r="AU950" s="409"/>
      <c r="AV950" s="402">
        <f t="shared" si="215"/>
        <v>0</v>
      </c>
      <c r="AW950" s="402" cm="1">
        <f t="array" ref="AW950">SUM(MID(0&amp;AV950,LARGE(INDEX(ISNUMBER(--MID(AV950,ROW($1:$8),1))*ROW($1:$8),),ROW($1:$8))+1,1)*10^ROW($1:$8)/10)</f>
        <v>0</v>
      </c>
      <c r="AX950" s="402" t="e">
        <f>VLOOKUP($AW950,'Item Master Data'!$A:$F,3,FALSE)</f>
        <v>#N/A</v>
      </c>
      <c r="AY950" s="402" t="e">
        <f>VLOOKUP($AW950,'Item Master Data'!$A:$F,6,FALSE)</f>
        <v>#N/A</v>
      </c>
      <c r="AZ950" s="402" t="e">
        <f t="shared" si="216"/>
        <v>#N/A</v>
      </c>
      <c r="BA950" s="402" t="e">
        <f>VLOOKUP(AW950,'Item Master Data'!$A:$G,7,FALSE)</f>
        <v>#N/A</v>
      </c>
      <c r="BB950" s="402"/>
      <c r="BC950" s="402" t="e">
        <f t="shared" si="217"/>
        <v>#N/A</v>
      </c>
    </row>
    <row r="951" spans="1:55">
      <c r="A951" s="426" t="s">
        <v>4585</v>
      </c>
      <c r="B951" s="376"/>
      <c r="C951" s="376"/>
      <c r="D951" s="416" t="s">
        <v>86</v>
      </c>
      <c r="E951" s="405" t="s">
        <v>4377</v>
      </c>
      <c r="F951" s="417"/>
      <c r="G951" s="359">
        <v>2022</v>
      </c>
      <c r="H951" s="405">
        <v>7</v>
      </c>
      <c r="I951" s="405"/>
      <c r="J951" s="406"/>
      <c r="K951" s="405" t="s">
        <v>1565</v>
      </c>
      <c r="L951" s="405" t="s">
        <v>1561</v>
      </c>
      <c r="M951" s="406">
        <v>44546</v>
      </c>
      <c r="N951" s="406">
        <v>44620</v>
      </c>
      <c r="O951" s="406">
        <v>44648</v>
      </c>
      <c r="P951" s="406" t="s">
        <v>1641</v>
      </c>
      <c r="Q951" s="406" t="s">
        <v>4588</v>
      </c>
      <c r="R951" s="406"/>
      <c r="S951" s="405" t="s">
        <v>88</v>
      </c>
      <c r="T951" s="405">
        <v>60</v>
      </c>
      <c r="U951" s="417" t="s">
        <v>1237</v>
      </c>
      <c r="V951" s="405" t="s">
        <v>973</v>
      </c>
      <c r="W951" s="405">
        <v>400</v>
      </c>
      <c r="X951" s="382">
        <v>768</v>
      </c>
      <c r="Y951" s="365">
        <f t="shared" si="210"/>
        <v>307200</v>
      </c>
      <c r="Z951" s="409">
        <f>220/400</f>
        <v>0.55000000000000004</v>
      </c>
      <c r="AA951" s="411">
        <f t="shared" si="209"/>
        <v>168960</v>
      </c>
      <c r="AB951" s="411"/>
      <c r="AC951" s="412"/>
      <c r="AD951" s="405"/>
      <c r="AE951" s="405"/>
      <c r="AF951" s="424">
        <f t="shared" si="214"/>
        <v>168960</v>
      </c>
      <c r="AG951" s="405" t="s">
        <v>1069</v>
      </c>
      <c r="AH951" s="405"/>
      <c r="AI951" s="405">
        <v>60</v>
      </c>
      <c r="AJ951" s="406" t="s">
        <v>1563</v>
      </c>
      <c r="AK951" s="406" t="s">
        <v>50</v>
      </c>
      <c r="AL951" s="414">
        <v>93305</v>
      </c>
      <c r="AM951" s="405" t="s">
        <v>52</v>
      </c>
      <c r="AN951" s="361" t="s">
        <v>50</v>
      </c>
      <c r="AO951" s="405" t="s">
        <v>1073</v>
      </c>
      <c r="AP951" s="413" t="s">
        <v>92</v>
      </c>
      <c r="AQ951" s="405" t="s">
        <v>37</v>
      </c>
      <c r="AR951" s="405" t="s">
        <v>1499</v>
      </c>
      <c r="AS951" s="404"/>
      <c r="AT951" s="404"/>
      <c r="AU951" s="409">
        <v>0.45500000000000002</v>
      </c>
      <c r="AV951" s="402" t="str">
        <f t="shared" si="215"/>
        <v>30390456H</v>
      </c>
      <c r="AW951" s="402" cm="1">
        <f t="array" ref="AW951">SUM(MID(0&amp;AV951,LARGE(INDEX(ISNUMBER(--MID(AV951,ROW($1:$8),1))*ROW($1:$8),),ROW($1:$8))+1,1)*10^ROW($1:$8)/10)</f>
        <v>30390456</v>
      </c>
      <c r="AX951" s="402" t="str">
        <f>VLOOKUP($AW951,'Item Master Data'!$A:$F,3,FALSE)</f>
        <v>Q.PEAK DUO BLK ML G10+</v>
      </c>
      <c r="AY951" s="402">
        <f>VLOOKUP($AW951,'Item Master Data'!$A:$F,6,FALSE)</f>
        <v>400</v>
      </c>
      <c r="AZ951" s="402">
        <f t="shared" si="216"/>
        <v>24</v>
      </c>
      <c r="BA951" s="402">
        <f>VLOOKUP(AW951,'Item Master Data'!$A:$G,7,FALSE)</f>
        <v>32</v>
      </c>
      <c r="BB951" s="402"/>
      <c r="BC951" s="402">
        <f t="shared" si="217"/>
        <v>0</v>
      </c>
    </row>
    <row r="952" spans="1:55">
      <c r="A952" s="426"/>
      <c r="B952" s="376"/>
      <c r="C952" s="376"/>
      <c r="D952" s="416" t="s">
        <v>86</v>
      </c>
      <c r="E952" s="405"/>
      <c r="F952" s="417"/>
      <c r="G952" s="359">
        <v>2022</v>
      </c>
      <c r="H952" s="405">
        <v>7</v>
      </c>
      <c r="I952" s="405"/>
      <c r="J952" s="406"/>
      <c r="K952" s="405" t="s">
        <v>1540</v>
      </c>
      <c r="L952" s="405" t="s">
        <v>1514</v>
      </c>
      <c r="M952" s="406">
        <v>44595</v>
      </c>
      <c r="N952" s="406">
        <v>44718</v>
      </c>
      <c r="O952" s="406">
        <v>44748</v>
      </c>
      <c r="P952" s="406"/>
      <c r="Q952" s="406"/>
      <c r="R952" s="406"/>
      <c r="S952" s="405" t="s">
        <v>88</v>
      </c>
      <c r="T952" s="405">
        <v>60</v>
      </c>
      <c r="U952" s="417">
        <v>49204132</v>
      </c>
      <c r="V952" s="405" t="s">
        <v>1192</v>
      </c>
      <c r="W952" s="405">
        <v>360</v>
      </c>
      <c r="X952" s="382">
        <v>832</v>
      </c>
      <c r="Y952" s="365">
        <f t="shared" si="210"/>
        <v>299520</v>
      </c>
      <c r="Z952" s="409">
        <f>298.8/360</f>
        <v>0.83000000000000007</v>
      </c>
      <c r="AA952" s="411">
        <f t="shared" si="209"/>
        <v>248601.60000000003</v>
      </c>
      <c r="AB952" s="411"/>
      <c r="AC952" s="412">
        <v>0</v>
      </c>
      <c r="AD952" s="405"/>
      <c r="AE952" s="405"/>
      <c r="AF952" s="424">
        <f t="shared" si="214"/>
        <v>248601.60000000003</v>
      </c>
      <c r="AG952" s="405" t="s">
        <v>1069</v>
      </c>
      <c r="AH952" s="405"/>
      <c r="AI952" s="405">
        <v>60</v>
      </c>
      <c r="AJ952" s="406" t="s">
        <v>1515</v>
      </c>
      <c r="AK952" s="406" t="s">
        <v>1136</v>
      </c>
      <c r="AL952" s="414">
        <v>92806</v>
      </c>
      <c r="AM952" s="405" t="s">
        <v>52</v>
      </c>
      <c r="AN952" s="361"/>
      <c r="AO952" s="405" t="s">
        <v>1073</v>
      </c>
      <c r="AP952" s="413" t="s">
        <v>92</v>
      </c>
      <c r="AQ952" s="405" t="s">
        <v>37</v>
      </c>
      <c r="AR952" s="405" t="s">
        <v>1188</v>
      </c>
      <c r="AS952" s="404" t="s">
        <v>1392</v>
      </c>
      <c r="AT952" s="404"/>
      <c r="AU952" s="409">
        <f>180/360</f>
        <v>0.5</v>
      </c>
      <c r="AV952" s="402">
        <f t="shared" si="215"/>
        <v>49204132</v>
      </c>
      <c r="AW952" s="402" cm="1">
        <f t="array" ref="AW952">SUM(MID(0&amp;AV952,LARGE(INDEX(ISNUMBER(--MID(AV952,ROW($1:$8),1))*ROW($1:$8),),ROW($1:$8))+1,1)*10^ROW($1:$8)/10)</f>
        <v>49204132</v>
      </c>
      <c r="AX952" s="402" t="str">
        <f>VLOOKUP($AW952,'Item Master Data'!$A:$F,3,FALSE)</f>
        <v>Q.PEAK DUO BLK G10+/AC</v>
      </c>
      <c r="AY952" s="402">
        <f>VLOOKUP($AW952,'Item Master Data'!$A:$F,6,FALSE)</f>
        <v>360</v>
      </c>
      <c r="AZ952" s="402">
        <f t="shared" si="216"/>
        <v>32</v>
      </c>
      <c r="BA952" s="402">
        <f>VLOOKUP(AW952,'Item Master Data'!$A:$G,7,FALSE)</f>
        <v>26</v>
      </c>
      <c r="BB952" s="402"/>
      <c r="BC952" s="402">
        <f t="shared" si="217"/>
        <v>0</v>
      </c>
    </row>
    <row r="953" spans="1:55">
      <c r="A953" s="426"/>
      <c r="B953" s="376">
        <v>44642</v>
      </c>
      <c r="C953" s="376">
        <v>44642</v>
      </c>
      <c r="D953" s="416" t="s">
        <v>86</v>
      </c>
      <c r="E953" s="405" t="s">
        <v>4272</v>
      </c>
      <c r="F953" s="417"/>
      <c r="G953" s="359">
        <v>2022</v>
      </c>
      <c r="H953" s="405">
        <v>7</v>
      </c>
      <c r="I953" s="405"/>
      <c r="J953" s="406"/>
      <c r="K953" s="405" t="s">
        <v>1553</v>
      </c>
      <c r="L953" s="405" t="s">
        <v>1514</v>
      </c>
      <c r="M953" s="406">
        <v>44641</v>
      </c>
      <c r="N953" s="406">
        <v>44747</v>
      </c>
      <c r="O953" s="406"/>
      <c r="P953" s="406"/>
      <c r="Q953" s="406"/>
      <c r="R953" s="406"/>
      <c r="S953" s="405" t="s">
        <v>88</v>
      </c>
      <c r="T953" s="405">
        <v>72</v>
      </c>
      <c r="U953" s="417"/>
      <c r="V953" s="405" t="s">
        <v>1103</v>
      </c>
      <c r="W953" s="405">
        <v>485</v>
      </c>
      <c r="X953" s="382">
        <v>638</v>
      </c>
      <c r="Y953" s="365">
        <f t="shared" si="210"/>
        <v>309430</v>
      </c>
      <c r="Z953" s="409">
        <f>244.93/485</f>
        <v>0.50501030927835056</v>
      </c>
      <c r="AA953" s="411">
        <f t="shared" si="209"/>
        <v>156265.34000000003</v>
      </c>
      <c r="AB953" s="411"/>
      <c r="AC953" s="412">
        <v>0</v>
      </c>
      <c r="AD953" s="405"/>
      <c r="AE953" s="405"/>
      <c r="AF953" s="424">
        <f t="shared" si="214"/>
        <v>156265.34000000003</v>
      </c>
      <c r="AG953" s="405" t="s">
        <v>1069</v>
      </c>
      <c r="AH953" s="405"/>
      <c r="AI953" s="405">
        <v>60</v>
      </c>
      <c r="AJ953" s="406" t="s">
        <v>1515</v>
      </c>
      <c r="AK953" s="406" t="s">
        <v>50</v>
      </c>
      <c r="AL953" s="414" t="s">
        <v>1529</v>
      </c>
      <c r="AM953" s="405" t="s">
        <v>52</v>
      </c>
      <c r="AN953" s="361" t="s">
        <v>50</v>
      </c>
      <c r="AO953" s="405" t="s">
        <v>1073</v>
      </c>
      <c r="AP953" s="413" t="s">
        <v>38</v>
      </c>
      <c r="AQ953" s="405" t="s">
        <v>37</v>
      </c>
      <c r="AR953" s="405"/>
      <c r="AS953" s="404" t="s">
        <v>1072</v>
      </c>
      <c r="AT953" s="404"/>
      <c r="AU953" s="409">
        <v>0.52</v>
      </c>
      <c r="AV953" s="402">
        <f t="shared" si="215"/>
        <v>0</v>
      </c>
      <c r="AW953" s="402" cm="1">
        <f t="array" ref="AW953">SUM(MID(0&amp;AV953,LARGE(INDEX(ISNUMBER(--MID(AV953,ROW($1:$8),1))*ROW($1:$8),),ROW($1:$8))+1,1)*10^ROW($1:$8)/10)</f>
        <v>0</v>
      </c>
      <c r="AX953" s="402" t="e">
        <f>VLOOKUP($AW953,'Item Master Data'!$A:$F,3,FALSE)</f>
        <v>#N/A</v>
      </c>
      <c r="AY953" s="402" t="e">
        <f>VLOOKUP($AW953,'Item Master Data'!$A:$F,6,FALSE)</f>
        <v>#N/A</v>
      </c>
      <c r="AZ953" s="402" t="e">
        <f t="shared" si="216"/>
        <v>#N/A</v>
      </c>
      <c r="BA953" s="402" t="e">
        <f>VLOOKUP(AW953,'Item Master Data'!$A:$G,7,FALSE)</f>
        <v>#N/A</v>
      </c>
      <c r="BB953" s="402"/>
      <c r="BC953" s="402" t="e">
        <f t="shared" si="217"/>
        <v>#N/A</v>
      </c>
    </row>
    <row r="954" spans="1:55">
      <c r="A954" s="426"/>
      <c r="B954" s="376">
        <v>44628</v>
      </c>
      <c r="C954" s="376">
        <v>44628</v>
      </c>
      <c r="D954" s="416" t="s">
        <v>86</v>
      </c>
      <c r="E954" s="405" t="s">
        <v>4222</v>
      </c>
      <c r="F954" s="417"/>
      <c r="G954" s="359">
        <v>2022</v>
      </c>
      <c r="H954" s="405">
        <v>7</v>
      </c>
      <c r="I954" s="405"/>
      <c r="J954" s="406"/>
      <c r="K954" s="405" t="s">
        <v>1600</v>
      </c>
      <c r="L954" s="405" t="s">
        <v>1588</v>
      </c>
      <c r="M954" s="406">
        <v>44568</v>
      </c>
      <c r="N954" s="406">
        <v>44652</v>
      </c>
      <c r="O954" s="406"/>
      <c r="P954" s="406"/>
      <c r="Q954" s="406"/>
      <c r="R954" s="406"/>
      <c r="S954" s="405" t="s">
        <v>1510</v>
      </c>
      <c r="T954" s="405">
        <v>60</v>
      </c>
      <c r="U954" s="417">
        <v>49204132</v>
      </c>
      <c r="V954" s="405" t="s">
        <v>1192</v>
      </c>
      <c r="W954" s="405">
        <v>360</v>
      </c>
      <c r="X954" s="382">
        <v>676</v>
      </c>
      <c r="Y954" s="365">
        <f t="shared" si="210"/>
        <v>243360</v>
      </c>
      <c r="Z954" s="409">
        <f>298.8/360</f>
        <v>0.83000000000000007</v>
      </c>
      <c r="AA954" s="411">
        <f t="shared" si="209"/>
        <v>201988.80000000002</v>
      </c>
      <c r="AB954" s="411"/>
      <c r="AC954" s="412">
        <v>0</v>
      </c>
      <c r="AD954" s="405"/>
      <c r="AE954" s="405"/>
      <c r="AF954" s="424">
        <f t="shared" si="214"/>
        <v>201988.80000000002</v>
      </c>
      <c r="AG954" s="405" t="s">
        <v>1069</v>
      </c>
      <c r="AH954" s="405"/>
      <c r="AI954" s="405">
        <v>60</v>
      </c>
      <c r="AJ954" s="406" t="s">
        <v>1589</v>
      </c>
      <c r="AK954" s="406" t="s">
        <v>50</v>
      </c>
      <c r="AL954" s="414">
        <v>91311</v>
      </c>
      <c r="AM954" s="405" t="s">
        <v>52</v>
      </c>
      <c r="AN954" s="361" t="s">
        <v>1516</v>
      </c>
      <c r="AO954" s="405" t="s">
        <v>1073</v>
      </c>
      <c r="AP954" s="413"/>
      <c r="AQ954" s="405" t="s">
        <v>37</v>
      </c>
      <c r="AR954" s="405"/>
      <c r="AS954" s="404"/>
      <c r="AT954" s="404"/>
      <c r="AU954" s="409">
        <v>0.72</v>
      </c>
      <c r="AV954" s="402">
        <f t="shared" si="215"/>
        <v>49204132</v>
      </c>
      <c r="AW954" s="402" cm="1">
        <f t="array" ref="AW954">SUM(MID(0&amp;AV954,LARGE(INDEX(ISNUMBER(--MID(AV954,ROW($1:$8),1))*ROW($1:$8),),ROW($1:$8))+1,1)*10^ROW($1:$8)/10)</f>
        <v>49204132</v>
      </c>
      <c r="AX954" s="402" t="str">
        <f>VLOOKUP($AW954,'Item Master Data'!$A:$F,3,FALSE)</f>
        <v>Q.PEAK DUO BLK G10+/AC</v>
      </c>
      <c r="AY954" s="402">
        <f>VLOOKUP($AW954,'Item Master Data'!$A:$F,6,FALSE)</f>
        <v>360</v>
      </c>
      <c r="AZ954" s="402">
        <f t="shared" si="216"/>
        <v>26</v>
      </c>
      <c r="BA954" s="402">
        <f>VLOOKUP(AW954,'Item Master Data'!$A:$G,7,FALSE)</f>
        <v>26</v>
      </c>
      <c r="BB954" s="402"/>
      <c r="BC954" s="402">
        <f t="shared" si="217"/>
        <v>0</v>
      </c>
    </row>
    <row r="955" spans="1:55">
      <c r="A955" s="426"/>
      <c r="B955" s="376">
        <v>44628</v>
      </c>
      <c r="C955" s="376">
        <v>44628</v>
      </c>
      <c r="D955" s="416" t="s">
        <v>86</v>
      </c>
      <c r="E955" s="405"/>
      <c r="F955" s="417"/>
      <c r="G955" s="359">
        <v>2022</v>
      </c>
      <c r="H955" s="405">
        <v>7</v>
      </c>
      <c r="I955" s="405"/>
      <c r="J955" s="406"/>
      <c r="K955" s="405" t="s">
        <v>1594</v>
      </c>
      <c r="L955" s="405" t="s">
        <v>1588</v>
      </c>
      <c r="M955" s="406">
        <v>44568</v>
      </c>
      <c r="N955" s="406">
        <v>44743</v>
      </c>
      <c r="O955" s="406"/>
      <c r="P955" s="406"/>
      <c r="Q955" s="406"/>
      <c r="R955" s="406"/>
      <c r="S955" s="405" t="s">
        <v>1510</v>
      </c>
      <c r="T955" s="405">
        <v>60</v>
      </c>
      <c r="U955" s="417">
        <v>49204132</v>
      </c>
      <c r="V955" s="405" t="s">
        <v>1192</v>
      </c>
      <c r="W955" s="405">
        <v>360</v>
      </c>
      <c r="X955" s="382">
        <v>676</v>
      </c>
      <c r="Y955" s="365">
        <f t="shared" si="210"/>
        <v>243360</v>
      </c>
      <c r="Z955" s="409">
        <f>298.8/360</f>
        <v>0.83000000000000007</v>
      </c>
      <c r="AA955" s="411">
        <f t="shared" si="209"/>
        <v>201988.80000000002</v>
      </c>
      <c r="AB955" s="411"/>
      <c r="AC955" s="412">
        <v>0</v>
      </c>
      <c r="AD955" s="405"/>
      <c r="AE955" s="405"/>
      <c r="AF955" s="424">
        <f t="shared" si="214"/>
        <v>201988.80000000002</v>
      </c>
      <c r="AG955" s="405" t="s">
        <v>1069</v>
      </c>
      <c r="AH955" s="405"/>
      <c r="AI955" s="405">
        <v>60</v>
      </c>
      <c r="AJ955" s="406" t="s">
        <v>1589</v>
      </c>
      <c r="AK955" s="406" t="s">
        <v>50</v>
      </c>
      <c r="AL955" s="414">
        <v>91311</v>
      </c>
      <c r="AM955" s="405" t="s">
        <v>52</v>
      </c>
      <c r="AN955" s="361" t="s">
        <v>1071</v>
      </c>
      <c r="AO955" s="405" t="s">
        <v>1073</v>
      </c>
      <c r="AP955" s="413"/>
      <c r="AQ955" s="405" t="s">
        <v>37</v>
      </c>
      <c r="AR955" s="405"/>
      <c r="AS955" s="404"/>
      <c r="AT955" s="404"/>
      <c r="AU955" s="409">
        <v>0.72</v>
      </c>
      <c r="AV955" s="402">
        <f t="shared" si="215"/>
        <v>49204132</v>
      </c>
      <c r="AW955" s="402" cm="1">
        <f t="array" ref="AW955">SUM(MID(0&amp;AV955,LARGE(INDEX(ISNUMBER(--MID(AV955,ROW($1:$8),1))*ROW($1:$8),),ROW($1:$8))+1,1)*10^ROW($1:$8)/10)</f>
        <v>49204132</v>
      </c>
      <c r="AX955" s="402" t="str">
        <f>VLOOKUP($AW955,'Item Master Data'!$A:$F,3,FALSE)</f>
        <v>Q.PEAK DUO BLK G10+/AC</v>
      </c>
      <c r="AY955" s="402">
        <f>VLOOKUP($AW955,'Item Master Data'!$A:$F,6,FALSE)</f>
        <v>360</v>
      </c>
      <c r="AZ955" s="402">
        <f t="shared" si="216"/>
        <v>26</v>
      </c>
      <c r="BA955" s="402">
        <f>VLOOKUP(AW955,'Item Master Data'!$A:$G,7,FALSE)</f>
        <v>26</v>
      </c>
      <c r="BB955" s="402"/>
      <c r="BC955" s="402">
        <f t="shared" si="217"/>
        <v>0</v>
      </c>
    </row>
    <row r="956" spans="1:55">
      <c r="A956" s="426"/>
      <c r="B956" s="376"/>
      <c r="C956" s="376"/>
      <c r="D956" s="416" t="s">
        <v>86</v>
      </c>
      <c r="E956" s="405"/>
      <c r="F956" s="417"/>
      <c r="G956" s="359">
        <v>2022</v>
      </c>
      <c r="H956" s="405">
        <v>7</v>
      </c>
      <c r="I956" s="405"/>
      <c r="J956" s="406"/>
      <c r="K956" s="405" t="s">
        <v>1625</v>
      </c>
      <c r="L956" s="405" t="s">
        <v>1603</v>
      </c>
      <c r="M956" s="406">
        <v>44574</v>
      </c>
      <c r="N956" s="406">
        <v>44682</v>
      </c>
      <c r="O956" s="406">
        <v>44749</v>
      </c>
      <c r="P956" s="406"/>
      <c r="Q956" s="406"/>
      <c r="R956" s="406"/>
      <c r="S956" s="405" t="s">
        <v>1520</v>
      </c>
      <c r="T956" s="405">
        <v>60</v>
      </c>
      <c r="U956" s="417"/>
      <c r="V956" s="405" t="s">
        <v>986</v>
      </c>
      <c r="W956" s="405">
        <v>360</v>
      </c>
      <c r="X956" s="382">
        <v>1536</v>
      </c>
      <c r="Y956" s="365">
        <f t="shared" si="210"/>
        <v>552960</v>
      </c>
      <c r="Z956" s="409">
        <f>180/360</f>
        <v>0.5</v>
      </c>
      <c r="AA956" s="411">
        <f t="shared" si="209"/>
        <v>276480</v>
      </c>
      <c r="AB956" s="411"/>
      <c r="AC956" s="412">
        <f>AB956*Y956</f>
        <v>0</v>
      </c>
      <c r="AD956" s="405"/>
      <c r="AE956" s="405"/>
      <c r="AF956" s="424">
        <f t="shared" si="214"/>
        <v>276480</v>
      </c>
      <c r="AG956" s="405" t="s">
        <v>1069</v>
      </c>
      <c r="AH956" s="405"/>
      <c r="AI956" s="405">
        <v>60</v>
      </c>
      <c r="AJ956" s="406" t="s">
        <v>1613</v>
      </c>
      <c r="AK956" s="406" t="s">
        <v>50</v>
      </c>
      <c r="AL956" s="414" t="s">
        <v>1614</v>
      </c>
      <c r="AM956" s="405" t="s">
        <v>52</v>
      </c>
      <c r="AN956" s="361" t="s">
        <v>1071</v>
      </c>
      <c r="AO956" s="405" t="s">
        <v>1073</v>
      </c>
      <c r="AP956" s="413"/>
      <c r="AQ956" s="405" t="s">
        <v>37</v>
      </c>
      <c r="AR956" s="405" t="s">
        <v>1188</v>
      </c>
      <c r="AS956" s="404" t="s">
        <v>1392</v>
      </c>
      <c r="AT956" s="404"/>
      <c r="AU956" s="409">
        <f>180/360</f>
        <v>0.5</v>
      </c>
      <c r="AV956" s="402"/>
      <c r="AW956" s="402"/>
      <c r="AX956" s="402"/>
      <c r="AY956" s="402"/>
      <c r="AZ956" s="402"/>
      <c r="BA956" s="402"/>
      <c r="BB956" s="402"/>
      <c r="BC956" s="402"/>
    </row>
    <row r="957" spans="1:55">
      <c r="A957" s="426"/>
      <c r="B957" s="376">
        <v>44589</v>
      </c>
      <c r="C957" s="376">
        <v>44589</v>
      </c>
      <c r="D957" s="416" t="s">
        <v>86</v>
      </c>
      <c r="E957" s="405"/>
      <c r="F957" s="417" t="s">
        <v>87</v>
      </c>
      <c r="G957" s="359">
        <v>2022</v>
      </c>
      <c r="H957" s="405">
        <v>7</v>
      </c>
      <c r="I957" s="405"/>
      <c r="J957" s="406"/>
      <c r="K957" s="405" t="s">
        <v>1663</v>
      </c>
      <c r="L957" s="405" t="s">
        <v>1608</v>
      </c>
      <c r="M957" s="406">
        <v>44924</v>
      </c>
      <c r="N957" s="406">
        <v>44771</v>
      </c>
      <c r="O957" s="406"/>
      <c r="P957" s="406"/>
      <c r="Q957" s="406"/>
      <c r="R957" s="406"/>
      <c r="S957" s="405" t="s">
        <v>88</v>
      </c>
      <c r="T957" s="405">
        <v>72</v>
      </c>
      <c r="U957" s="417">
        <v>49303156</v>
      </c>
      <c r="V957" s="405" t="s">
        <v>1068</v>
      </c>
      <c r="W957" s="405">
        <v>480</v>
      </c>
      <c r="X957" s="382">
        <v>638</v>
      </c>
      <c r="Y957" s="365">
        <f t="shared" si="210"/>
        <v>306240</v>
      </c>
      <c r="Z957" s="409">
        <f>225.6/480</f>
        <v>0.47</v>
      </c>
      <c r="AA957" s="411">
        <f t="shared" si="209"/>
        <v>143932.79999999999</v>
      </c>
      <c r="AB957" s="411"/>
      <c r="AC957" s="412">
        <v>0</v>
      </c>
      <c r="AD957" s="405"/>
      <c r="AE957" s="405"/>
      <c r="AF957" s="424">
        <f t="shared" si="214"/>
        <v>143932.79999999999</v>
      </c>
      <c r="AG957" s="405" t="s">
        <v>1069</v>
      </c>
      <c r="AH957" s="405"/>
      <c r="AI957" s="405">
        <v>60</v>
      </c>
      <c r="AJ957" s="406" t="s">
        <v>1616</v>
      </c>
      <c r="AK957" s="406" t="s">
        <v>50</v>
      </c>
      <c r="AL957" s="414">
        <v>93703</v>
      </c>
      <c r="AM957" s="405" t="s">
        <v>52</v>
      </c>
      <c r="AN957" s="361" t="s">
        <v>1516</v>
      </c>
      <c r="AO957" s="405" t="s">
        <v>1073</v>
      </c>
      <c r="AP957" s="413"/>
      <c r="AQ957" s="405" t="s">
        <v>1083</v>
      </c>
      <c r="AR957" s="405"/>
      <c r="AS957" s="404" t="s">
        <v>1392</v>
      </c>
      <c r="AT957" s="404"/>
      <c r="AU957" s="409"/>
      <c r="AV957" s="402"/>
      <c r="AW957" s="402"/>
      <c r="AX957" s="402"/>
      <c r="AY957" s="402"/>
      <c r="AZ957" s="402"/>
      <c r="BA957" s="402"/>
      <c r="BB957" s="402"/>
      <c r="BC957" s="402"/>
    </row>
    <row r="958" spans="1:55">
      <c r="A958" s="426"/>
      <c r="B958" s="376">
        <v>44635</v>
      </c>
      <c r="C958" s="376">
        <v>44636</v>
      </c>
      <c r="D958" s="416" t="s">
        <v>86</v>
      </c>
      <c r="E958" s="405"/>
      <c r="F958" s="417"/>
      <c r="G958" s="359">
        <v>2022</v>
      </c>
      <c r="H958" s="405">
        <v>7</v>
      </c>
      <c r="I958" s="405"/>
      <c r="J958" s="406"/>
      <c r="K958" s="405" t="s">
        <v>1664</v>
      </c>
      <c r="L958" s="405" t="s">
        <v>1608</v>
      </c>
      <c r="M958" s="406">
        <v>44587</v>
      </c>
      <c r="N958" s="406">
        <v>44768</v>
      </c>
      <c r="O958" s="406"/>
      <c r="P958" s="406"/>
      <c r="Q958" s="406"/>
      <c r="R958" s="406"/>
      <c r="S958" s="405" t="s">
        <v>1510</v>
      </c>
      <c r="T958" s="405">
        <v>60</v>
      </c>
      <c r="U958" s="417"/>
      <c r="V958" s="405" t="s">
        <v>986</v>
      </c>
      <c r="W958" s="405">
        <v>360</v>
      </c>
      <c r="X958" s="382">
        <v>1664</v>
      </c>
      <c r="Y958" s="365">
        <f t="shared" si="210"/>
        <v>599040</v>
      </c>
      <c r="Z958" s="409">
        <v>0.5</v>
      </c>
      <c r="AA958" s="411">
        <f t="shared" si="209"/>
        <v>299520</v>
      </c>
      <c r="AB958" s="411"/>
      <c r="AC958" s="412">
        <v>0</v>
      </c>
      <c r="AD958" s="405"/>
      <c r="AE958" s="405"/>
      <c r="AF958" s="424">
        <f t="shared" si="214"/>
        <v>299520</v>
      </c>
      <c r="AG958" s="405" t="s">
        <v>1069</v>
      </c>
      <c r="AH958" s="405"/>
      <c r="AI958" s="405">
        <v>60</v>
      </c>
      <c r="AJ958" s="406" t="s">
        <v>1616</v>
      </c>
      <c r="AK958" s="406" t="s">
        <v>50</v>
      </c>
      <c r="AL958" s="414" t="s">
        <v>1617</v>
      </c>
      <c r="AM958" s="405" t="s">
        <v>52</v>
      </c>
      <c r="AN958" s="361"/>
      <c r="AO958" s="405" t="s">
        <v>1073</v>
      </c>
      <c r="AP958" s="413"/>
      <c r="AQ958" s="405" t="s">
        <v>37</v>
      </c>
      <c r="AR958" s="405" t="s">
        <v>1188</v>
      </c>
      <c r="AS958" s="404" t="s">
        <v>1392</v>
      </c>
      <c r="AT958" s="404"/>
      <c r="AU958" s="409">
        <v>0.5</v>
      </c>
      <c r="AV958" s="402">
        <f>U958</f>
        <v>0</v>
      </c>
      <c r="AW958" s="402" cm="1">
        <f t="array" ref="AW958">SUM(MID(0&amp;AV958,LARGE(INDEX(ISNUMBER(--MID(AV958,ROW($1:$8),1))*ROW($1:$8),),ROW($1:$8))+1,1)*10^ROW($1:$8)/10)</f>
        <v>0</v>
      </c>
      <c r="AX958" s="402" t="e">
        <f>VLOOKUP($AW958,'Item Master Data'!$A:$F,3,FALSE)</f>
        <v>#N/A</v>
      </c>
      <c r="AY958" s="402" t="e">
        <f>VLOOKUP($AW958,'Item Master Data'!$A:$F,6,FALSE)</f>
        <v>#N/A</v>
      </c>
      <c r="AZ958" s="402" t="e">
        <f>X958/BA958</f>
        <v>#N/A</v>
      </c>
      <c r="BA958" s="402" t="e">
        <f>VLOOKUP(AW958,'Item Master Data'!$A:$G,7,FALSE)</f>
        <v>#N/A</v>
      </c>
      <c r="BB958" s="402"/>
      <c r="BC958" s="402" t="e">
        <f>W958-AY958</f>
        <v>#N/A</v>
      </c>
    </row>
    <row r="959" spans="1:55">
      <c r="A959" s="426"/>
      <c r="B959" s="376">
        <v>44638</v>
      </c>
      <c r="C959" s="376">
        <v>44638</v>
      </c>
      <c r="D959" s="416" t="s">
        <v>86</v>
      </c>
      <c r="E959" s="405"/>
      <c r="F959" s="417"/>
      <c r="G959" s="359">
        <v>2022</v>
      </c>
      <c r="H959" s="405">
        <v>7</v>
      </c>
      <c r="I959" s="405" t="s">
        <v>1498</v>
      </c>
      <c r="J959" s="406"/>
      <c r="K959" s="405" t="s">
        <v>1665</v>
      </c>
      <c r="L959" s="405" t="s">
        <v>1608</v>
      </c>
      <c r="M959" s="406">
        <v>44638</v>
      </c>
      <c r="N959" s="406">
        <v>44760</v>
      </c>
      <c r="O959" s="406"/>
      <c r="P959" s="406"/>
      <c r="Q959" s="406"/>
      <c r="R959" s="406"/>
      <c r="S959" s="405" t="s">
        <v>1510</v>
      </c>
      <c r="T959" s="405">
        <v>60</v>
      </c>
      <c r="U959" s="417"/>
      <c r="V959" s="405" t="s">
        <v>986</v>
      </c>
      <c r="W959" s="405">
        <v>360</v>
      </c>
      <c r="X959" s="382">
        <v>832</v>
      </c>
      <c r="Y959" s="365">
        <f t="shared" si="210"/>
        <v>299520</v>
      </c>
      <c r="Z959" s="409">
        <f>190.8/360</f>
        <v>0.53</v>
      </c>
      <c r="AA959" s="411">
        <f t="shared" si="209"/>
        <v>158745.60000000001</v>
      </c>
      <c r="AB959" s="411"/>
      <c r="AC959" s="412">
        <f>AB959*Y959</f>
        <v>0</v>
      </c>
      <c r="AD959" s="405"/>
      <c r="AE959" s="405"/>
      <c r="AF959" s="424">
        <f t="shared" si="214"/>
        <v>158745.60000000001</v>
      </c>
      <c r="AG959" s="405" t="s">
        <v>1069</v>
      </c>
      <c r="AH959" s="405"/>
      <c r="AI959" s="405">
        <v>60</v>
      </c>
      <c r="AJ959" s="406" t="s">
        <v>1616</v>
      </c>
      <c r="AK959" s="406" t="s">
        <v>50</v>
      </c>
      <c r="AL959" s="414" t="s">
        <v>1617</v>
      </c>
      <c r="AM959" s="405" t="s">
        <v>52</v>
      </c>
      <c r="AN959" s="361"/>
      <c r="AO959" s="405" t="s">
        <v>1073</v>
      </c>
      <c r="AP959" s="413"/>
      <c r="AQ959" s="405" t="s">
        <v>37</v>
      </c>
      <c r="AR959" s="405" t="s">
        <v>1188</v>
      </c>
      <c r="AS959" s="404" t="s">
        <v>1392</v>
      </c>
      <c r="AT959" s="404"/>
      <c r="AU959" s="409">
        <f>180/360</f>
        <v>0.5</v>
      </c>
      <c r="AV959" s="402"/>
      <c r="AW959" s="402"/>
      <c r="AX959" s="402"/>
      <c r="AY959" s="402"/>
      <c r="AZ959" s="402"/>
      <c r="BA959" s="402"/>
      <c r="BB959" s="402"/>
      <c r="BC959" s="402"/>
    </row>
    <row r="960" spans="1:55">
      <c r="A960" s="426"/>
      <c r="B960" s="376"/>
      <c r="C960" s="376"/>
      <c r="D960" s="416" t="s">
        <v>86</v>
      </c>
      <c r="E960" s="405" t="s">
        <v>1719</v>
      </c>
      <c r="F960" s="417"/>
      <c r="G960" s="359">
        <v>2022</v>
      </c>
      <c r="H960" s="405">
        <v>7</v>
      </c>
      <c r="I960" s="405"/>
      <c r="J960" s="406"/>
      <c r="K960" s="405" t="s">
        <v>1720</v>
      </c>
      <c r="L960" s="405" t="s">
        <v>1626</v>
      </c>
      <c r="M960" s="406">
        <v>44567</v>
      </c>
      <c r="N960" s="406">
        <v>44727</v>
      </c>
      <c r="O960" s="406"/>
      <c r="P960" s="406"/>
      <c r="Q960" s="406"/>
      <c r="R960" s="406"/>
      <c r="S960" s="405" t="s">
        <v>1510</v>
      </c>
      <c r="T960" s="405">
        <v>60</v>
      </c>
      <c r="U960" s="417"/>
      <c r="V960" s="405" t="s">
        <v>986</v>
      </c>
      <c r="W960" s="405">
        <v>360</v>
      </c>
      <c r="X960" s="382">
        <v>832</v>
      </c>
      <c r="Y960" s="365">
        <f t="shared" si="210"/>
        <v>299520</v>
      </c>
      <c r="Z960" s="409">
        <f>187.2/360</f>
        <v>0.52</v>
      </c>
      <c r="AA960" s="411">
        <f t="shared" si="209"/>
        <v>155750.39999999999</v>
      </c>
      <c r="AB960" s="411"/>
      <c r="AC960" s="412">
        <f>AB960*Y960</f>
        <v>0</v>
      </c>
      <c r="AD960" s="405"/>
      <c r="AE960" s="405"/>
      <c r="AF960" s="424">
        <f t="shared" si="214"/>
        <v>155750.39999999999</v>
      </c>
      <c r="AG960" s="405" t="s">
        <v>1069</v>
      </c>
      <c r="AH960" s="405"/>
      <c r="AI960" s="405">
        <v>60</v>
      </c>
      <c r="AJ960" s="406" t="s">
        <v>1628</v>
      </c>
      <c r="AK960" s="406" t="s">
        <v>1501</v>
      </c>
      <c r="AL960" s="414" t="s">
        <v>1629</v>
      </c>
      <c r="AM960" s="405" t="s">
        <v>52</v>
      </c>
      <c r="AN960" s="361" t="s">
        <v>1071</v>
      </c>
      <c r="AO960" s="405" t="s">
        <v>1073</v>
      </c>
      <c r="AP960" s="413"/>
      <c r="AQ960" s="405" t="s">
        <v>37</v>
      </c>
      <c r="AR960" s="405" t="s">
        <v>1632</v>
      </c>
      <c r="AS960" s="404" t="s">
        <v>1072</v>
      </c>
      <c r="AT960" s="404"/>
      <c r="AU960" s="409">
        <f>187.2/360</f>
        <v>0.52</v>
      </c>
      <c r="AV960" s="402">
        <f>U960</f>
        <v>0</v>
      </c>
      <c r="AW960" s="402" cm="1">
        <f t="array" ref="AW960">SUM(MID(0&amp;AV960,LARGE(INDEX(ISNUMBER(--MID(AV960,ROW($1:$8),1))*ROW($1:$8),),ROW($1:$8))+1,1)*10^ROW($1:$8)/10)</f>
        <v>0</v>
      </c>
      <c r="AX960" s="402" t="e">
        <f>VLOOKUP($AW960,'Item Master Data'!$A:$F,3,FALSE)</f>
        <v>#N/A</v>
      </c>
      <c r="AY960" s="402" t="e">
        <f>VLOOKUP($AW960,'Item Master Data'!$A:$F,6,FALSE)</f>
        <v>#N/A</v>
      </c>
      <c r="AZ960" s="402" t="e">
        <f>X960/BA960</f>
        <v>#N/A</v>
      </c>
      <c r="BA960" s="402" t="e">
        <f>VLOOKUP(AW960,'Item Master Data'!$A:$G,7,FALSE)</f>
        <v>#N/A</v>
      </c>
      <c r="BB960" s="402"/>
      <c r="BC960" s="402" t="e">
        <f>W960-AY960</f>
        <v>#N/A</v>
      </c>
    </row>
    <row r="961" spans="1:55">
      <c r="A961" s="426"/>
      <c r="B961" s="376"/>
      <c r="C961" s="376"/>
      <c r="D961" s="416" t="s">
        <v>86</v>
      </c>
      <c r="E961" s="405" t="s">
        <v>4270</v>
      </c>
      <c r="F961" s="417"/>
      <c r="G961" s="359">
        <v>2022</v>
      </c>
      <c r="H961" s="405">
        <v>7</v>
      </c>
      <c r="I961" s="405"/>
      <c r="J961" s="406"/>
      <c r="K961" s="405" t="s">
        <v>1727</v>
      </c>
      <c r="L961" s="405" t="s">
        <v>1626</v>
      </c>
      <c r="M961" s="406">
        <v>44658</v>
      </c>
      <c r="N961" s="406">
        <v>44771</v>
      </c>
      <c r="O961" s="406"/>
      <c r="P961" s="406"/>
      <c r="Q961" s="406"/>
      <c r="R961" s="406"/>
      <c r="S961" s="405" t="s">
        <v>1510</v>
      </c>
      <c r="T961" s="405">
        <v>72</v>
      </c>
      <c r="U961" s="417"/>
      <c r="V961" s="405" t="s">
        <v>1068</v>
      </c>
      <c r="W961" s="405">
        <v>480</v>
      </c>
      <c r="X961" s="382">
        <v>638</v>
      </c>
      <c r="Y961" s="365">
        <f t="shared" si="210"/>
        <v>306240</v>
      </c>
      <c r="Z961" s="409">
        <f>252/480</f>
        <v>0.52500000000000002</v>
      </c>
      <c r="AA961" s="411">
        <f t="shared" si="209"/>
        <v>160776</v>
      </c>
      <c r="AB961" s="411"/>
      <c r="AC961" s="412">
        <f>AB961*Y961</f>
        <v>0</v>
      </c>
      <c r="AD961" s="405"/>
      <c r="AE961" s="405"/>
      <c r="AF961" s="424">
        <f t="shared" si="214"/>
        <v>160776</v>
      </c>
      <c r="AG961" s="405" t="s">
        <v>1069</v>
      </c>
      <c r="AH961" s="405"/>
      <c r="AI961" s="405">
        <v>60</v>
      </c>
      <c r="AJ961" s="406" t="s">
        <v>1628</v>
      </c>
      <c r="AK961" s="406" t="s">
        <v>1501</v>
      </c>
      <c r="AL961" s="414" t="s">
        <v>1629</v>
      </c>
      <c r="AM961" s="405" t="s">
        <v>52</v>
      </c>
      <c r="AN961" s="361" t="s">
        <v>1071</v>
      </c>
      <c r="AO961" s="405" t="s">
        <v>1073</v>
      </c>
      <c r="AP961" s="413"/>
      <c r="AQ961" s="405" t="s">
        <v>37</v>
      </c>
      <c r="AR961" s="405" t="s">
        <v>1632</v>
      </c>
      <c r="AS961" s="404" t="s">
        <v>1072</v>
      </c>
      <c r="AT961" s="404"/>
      <c r="AU961" s="409">
        <f>187.2/360</f>
        <v>0.52</v>
      </c>
      <c r="AV961" s="402">
        <f>U961</f>
        <v>0</v>
      </c>
      <c r="AW961" s="402" cm="1">
        <f t="array" ref="AW961">SUM(MID(0&amp;AV961,LARGE(INDEX(ISNUMBER(--MID(AV961,ROW($1:$8),1))*ROW($1:$8),),ROW($1:$8))+1,1)*10^ROW($1:$8)/10)</f>
        <v>0</v>
      </c>
      <c r="AX961" s="402" t="e">
        <f>VLOOKUP($AW961,'Item Master Data'!$A:$F,3,FALSE)</f>
        <v>#N/A</v>
      </c>
      <c r="AY961" s="402" t="e">
        <f>VLOOKUP($AW961,'Item Master Data'!$A:$F,6,FALSE)</f>
        <v>#N/A</v>
      </c>
      <c r="AZ961" s="402" t="e">
        <f>X961/BA961</f>
        <v>#N/A</v>
      </c>
      <c r="BA961" s="402" t="e">
        <f>VLOOKUP(AW961,'Item Master Data'!$A:$G,7,FALSE)</f>
        <v>#N/A</v>
      </c>
      <c r="BB961" s="402"/>
      <c r="BC961" s="402" t="e">
        <f>W961-AY961</f>
        <v>#N/A</v>
      </c>
    </row>
    <row r="962" spans="1:55">
      <c r="A962" s="426"/>
      <c r="B962" s="376"/>
      <c r="C962" s="376"/>
      <c r="D962" s="416" t="s">
        <v>86</v>
      </c>
      <c r="E962" s="405"/>
      <c r="F962" s="417" t="s">
        <v>1139</v>
      </c>
      <c r="G962" s="359">
        <v>2022</v>
      </c>
      <c r="H962" s="405">
        <v>7</v>
      </c>
      <c r="I962" s="405"/>
      <c r="J962" s="406"/>
      <c r="K962" s="405" t="s">
        <v>1770</v>
      </c>
      <c r="L962" s="405" t="s">
        <v>1646</v>
      </c>
      <c r="M962" s="406">
        <v>44487</v>
      </c>
      <c r="N962" s="406">
        <v>44621</v>
      </c>
      <c r="O962" s="406"/>
      <c r="P962" s="406"/>
      <c r="Q962" s="406"/>
      <c r="R962" s="406"/>
      <c r="S962" s="405" t="s">
        <v>1510</v>
      </c>
      <c r="T962" s="405">
        <v>60</v>
      </c>
      <c r="U962" s="417">
        <v>49201132</v>
      </c>
      <c r="V962" s="405" t="s">
        <v>1557</v>
      </c>
      <c r="W962" s="405">
        <v>360</v>
      </c>
      <c r="X962" s="382">
        <v>832</v>
      </c>
      <c r="Y962" s="365">
        <f t="shared" si="210"/>
        <v>299520</v>
      </c>
      <c r="Z962" s="409">
        <f>190.8/360</f>
        <v>0.53</v>
      </c>
      <c r="AA962" s="411">
        <f t="shared" si="209"/>
        <v>158745.60000000001</v>
      </c>
      <c r="AB962" s="411"/>
      <c r="AC962" s="412">
        <f>AB962*Y962</f>
        <v>0</v>
      </c>
      <c r="AD962" s="405"/>
      <c r="AE962" s="405"/>
      <c r="AF962" s="424">
        <f t="shared" si="214"/>
        <v>158745.60000000001</v>
      </c>
      <c r="AG962" s="405" t="s">
        <v>1069</v>
      </c>
      <c r="AH962" s="405"/>
      <c r="AI962" s="405">
        <v>60</v>
      </c>
      <c r="AJ962" s="406" t="s">
        <v>1647</v>
      </c>
      <c r="AK962" s="406" t="s">
        <v>50</v>
      </c>
      <c r="AL962" s="414">
        <v>92507</v>
      </c>
      <c r="AM962" s="405" t="s">
        <v>52</v>
      </c>
      <c r="AN962" s="361" t="s">
        <v>1071</v>
      </c>
      <c r="AO962" s="405" t="s">
        <v>1073</v>
      </c>
      <c r="AP962" s="413"/>
      <c r="AQ962" s="405" t="s">
        <v>37</v>
      </c>
      <c r="AR962" s="405"/>
      <c r="AS962" s="404"/>
      <c r="AT962" s="404"/>
      <c r="AU962" s="409"/>
      <c r="AV962" s="402"/>
      <c r="AW962" s="402"/>
      <c r="AX962" s="402"/>
      <c r="AY962" s="402"/>
      <c r="AZ962" s="402"/>
      <c r="BA962" s="402"/>
      <c r="BB962" s="402"/>
      <c r="BC962" s="402"/>
    </row>
    <row r="963" spans="1:55">
      <c r="A963" s="426"/>
      <c r="B963" s="376"/>
      <c r="C963" s="376"/>
      <c r="D963" s="416" t="s">
        <v>86</v>
      </c>
      <c r="E963" s="405"/>
      <c r="F963" s="417"/>
      <c r="G963" s="359">
        <v>2022</v>
      </c>
      <c r="H963" s="405">
        <v>7</v>
      </c>
      <c r="I963" s="405" t="s">
        <v>1498</v>
      </c>
      <c r="J963" s="406"/>
      <c r="K963" s="405" t="s">
        <v>1776</v>
      </c>
      <c r="L963" s="405" t="s">
        <v>1646</v>
      </c>
      <c r="M963" s="406">
        <v>44510</v>
      </c>
      <c r="N963" s="406">
        <v>44718</v>
      </c>
      <c r="O963" s="406"/>
      <c r="P963" s="406"/>
      <c r="Q963" s="406"/>
      <c r="R963" s="406"/>
      <c r="S963" s="405" t="s">
        <v>1510</v>
      </c>
      <c r="T963" s="405">
        <v>60</v>
      </c>
      <c r="U963" s="417"/>
      <c r="V963" s="405" t="s">
        <v>973</v>
      </c>
      <c r="W963" s="405">
        <v>400</v>
      </c>
      <c r="X963" s="382">
        <v>768</v>
      </c>
      <c r="Y963" s="365">
        <f t="shared" si="210"/>
        <v>307200</v>
      </c>
      <c r="Z963" s="409">
        <f>220/400</f>
        <v>0.55000000000000004</v>
      </c>
      <c r="AA963" s="411">
        <f t="shared" si="209"/>
        <v>168960</v>
      </c>
      <c r="AB963" s="411"/>
      <c r="AC963" s="412">
        <v>0</v>
      </c>
      <c r="AD963" s="405"/>
      <c r="AE963" s="405"/>
      <c r="AF963" s="424">
        <f t="shared" si="214"/>
        <v>168960</v>
      </c>
      <c r="AG963" s="405" t="s">
        <v>1069</v>
      </c>
      <c r="AH963" s="405"/>
      <c r="AI963" s="405">
        <v>60</v>
      </c>
      <c r="AJ963" s="406" t="s">
        <v>1647</v>
      </c>
      <c r="AK963" s="406" t="s">
        <v>50</v>
      </c>
      <c r="AL963" s="414" t="s">
        <v>1648</v>
      </c>
      <c r="AM963" s="405" t="s">
        <v>52</v>
      </c>
      <c r="AN963" s="361" t="s">
        <v>50</v>
      </c>
      <c r="AO963" s="405" t="s">
        <v>1073</v>
      </c>
      <c r="AP963" s="413" t="s">
        <v>38</v>
      </c>
      <c r="AQ963" s="405" t="s">
        <v>37</v>
      </c>
      <c r="AR963" s="405" t="s">
        <v>1773</v>
      </c>
      <c r="AS963" s="404"/>
      <c r="AT963" s="404"/>
      <c r="AU963" s="409">
        <f>196/400</f>
        <v>0.49</v>
      </c>
      <c r="AV963" s="402">
        <f>U963</f>
        <v>0</v>
      </c>
      <c r="AW963" s="402" cm="1">
        <f t="array" ref="AW963">SUM(MID(0&amp;AV963,LARGE(INDEX(ISNUMBER(--MID(AV963,ROW($1:$8),1))*ROW($1:$8),),ROW($1:$8))+1,1)*10^ROW($1:$8)/10)</f>
        <v>0</v>
      </c>
      <c r="AX963" s="402" t="e">
        <f>VLOOKUP($AW963,'Item Master Data'!$A:$F,3,FALSE)</f>
        <v>#N/A</v>
      </c>
      <c r="AY963" s="402" t="e">
        <f>VLOOKUP($AW963,'Item Master Data'!$A:$F,6,FALSE)</f>
        <v>#N/A</v>
      </c>
      <c r="AZ963" s="402" t="e">
        <f>X963/BA963</f>
        <v>#N/A</v>
      </c>
      <c r="BA963" s="402" t="e">
        <f>VLOOKUP(AW963,'Item Master Data'!$A:$G,7,FALSE)</f>
        <v>#N/A</v>
      </c>
      <c r="BB963" s="402"/>
      <c r="BC963" s="402" t="e">
        <f>W963-AY963</f>
        <v>#N/A</v>
      </c>
    </row>
    <row r="964" spans="1:55">
      <c r="A964" s="426"/>
      <c r="B964" s="376">
        <v>44617</v>
      </c>
      <c r="C964" s="376">
        <v>44616</v>
      </c>
      <c r="D964" s="416" t="s">
        <v>86</v>
      </c>
      <c r="E964" s="405"/>
      <c r="F964" s="417"/>
      <c r="G964" s="359">
        <v>2022</v>
      </c>
      <c r="H964" s="405">
        <v>7</v>
      </c>
      <c r="I964" s="405"/>
      <c r="J964" s="406"/>
      <c r="K964" s="405" t="s">
        <v>1785</v>
      </c>
      <c r="L964" s="405" t="s">
        <v>1682</v>
      </c>
      <c r="M964" s="406">
        <v>44545</v>
      </c>
      <c r="N964" s="406">
        <v>44655</v>
      </c>
      <c r="O964" s="406">
        <v>44716</v>
      </c>
      <c r="P964" s="406"/>
      <c r="Q964" s="406"/>
      <c r="R964" s="406"/>
      <c r="S964" s="405" t="s">
        <v>1520</v>
      </c>
      <c r="T964" s="405">
        <v>60</v>
      </c>
      <c r="U964" s="417"/>
      <c r="V964" s="405" t="s">
        <v>986</v>
      </c>
      <c r="W964" s="405">
        <v>360</v>
      </c>
      <c r="X964" s="382">
        <v>3328</v>
      </c>
      <c r="Y964" s="365">
        <f t="shared" si="210"/>
        <v>1198080</v>
      </c>
      <c r="Z964" s="409">
        <f>190.8/360</f>
        <v>0.53</v>
      </c>
      <c r="AA964" s="411">
        <f t="shared" si="209"/>
        <v>634982.40000000002</v>
      </c>
      <c r="AB964" s="411"/>
      <c r="AC964" s="412">
        <f t="shared" ref="AC964:AC969" si="218">AB964*Y964</f>
        <v>0</v>
      </c>
      <c r="AD964" s="405"/>
      <c r="AE964" s="405"/>
      <c r="AF964" s="424">
        <f t="shared" si="214"/>
        <v>634982.40000000002</v>
      </c>
      <c r="AG964" s="405" t="s">
        <v>1069</v>
      </c>
      <c r="AH964" s="405"/>
      <c r="AI964" s="405">
        <v>60</v>
      </c>
      <c r="AJ964" s="406" t="s">
        <v>1584</v>
      </c>
      <c r="AK964" s="406" t="s">
        <v>50</v>
      </c>
      <c r="AL964" s="414">
        <v>95834</v>
      </c>
      <c r="AM964" s="405" t="s">
        <v>52</v>
      </c>
      <c r="AN964" s="361" t="s">
        <v>1071</v>
      </c>
      <c r="AO964" s="405" t="s">
        <v>1073</v>
      </c>
      <c r="AP964" s="413"/>
      <c r="AQ964" s="405" t="s">
        <v>37</v>
      </c>
      <c r="AR964" s="405"/>
      <c r="AS964" s="404"/>
      <c r="AT964" s="404"/>
      <c r="AU964" s="409">
        <f>180/360</f>
        <v>0.5</v>
      </c>
      <c r="AV964" s="402">
        <f>U964</f>
        <v>0</v>
      </c>
      <c r="AW964" s="402" cm="1">
        <f t="array" ref="AW964">SUM(MID(0&amp;AV964,LARGE(INDEX(ISNUMBER(--MID(AV964,ROW($1:$8),1))*ROW($1:$8),),ROW($1:$8))+1,1)*10^ROW($1:$8)/10)</f>
        <v>0</v>
      </c>
      <c r="AX964" s="402" t="e">
        <f>VLOOKUP($AW964,'Item Master Data'!$A:$F,3,FALSE)</f>
        <v>#N/A</v>
      </c>
      <c r="AY964" s="402" t="e">
        <f>VLOOKUP($AW964,'Item Master Data'!$A:$F,6,FALSE)</f>
        <v>#N/A</v>
      </c>
      <c r="AZ964" s="402" t="e">
        <f>X964/BA964</f>
        <v>#N/A</v>
      </c>
      <c r="BA964" s="402" t="e">
        <f>VLOOKUP(AW964,'Item Master Data'!$A:$G,7,FALSE)</f>
        <v>#N/A</v>
      </c>
      <c r="BB964" s="402"/>
      <c r="BC964" s="402" t="e">
        <f>W964-AY964</f>
        <v>#N/A</v>
      </c>
    </row>
    <row r="965" spans="1:55">
      <c r="A965" s="426"/>
      <c r="B965" s="376">
        <v>44617</v>
      </c>
      <c r="C965" s="376">
        <v>44616</v>
      </c>
      <c r="D965" s="416" t="s">
        <v>86</v>
      </c>
      <c r="E965" s="405"/>
      <c r="F965" s="417"/>
      <c r="G965" s="359">
        <v>2022</v>
      </c>
      <c r="H965" s="405">
        <v>7</v>
      </c>
      <c r="I965" s="405"/>
      <c r="J965" s="406"/>
      <c r="K965" s="405" t="s">
        <v>1803</v>
      </c>
      <c r="L965" s="405" t="s">
        <v>1682</v>
      </c>
      <c r="M965" s="406">
        <v>44545</v>
      </c>
      <c r="N965" s="406">
        <v>44704</v>
      </c>
      <c r="O965" s="406">
        <v>44765</v>
      </c>
      <c r="P965" s="406"/>
      <c r="Q965" s="406"/>
      <c r="R965" s="406"/>
      <c r="S965" s="405" t="s">
        <v>1520</v>
      </c>
      <c r="T965" s="405">
        <v>60</v>
      </c>
      <c r="U965" s="417"/>
      <c r="V965" s="405" t="s">
        <v>986</v>
      </c>
      <c r="W965" s="405">
        <v>360</v>
      </c>
      <c r="X965" s="382">
        <v>3328</v>
      </c>
      <c r="Y965" s="365">
        <f t="shared" si="210"/>
        <v>1198080</v>
      </c>
      <c r="Z965" s="409">
        <f>190.8/360</f>
        <v>0.53</v>
      </c>
      <c r="AA965" s="411">
        <f t="shared" si="209"/>
        <v>634982.40000000002</v>
      </c>
      <c r="AB965" s="411"/>
      <c r="AC965" s="412">
        <f t="shared" si="218"/>
        <v>0</v>
      </c>
      <c r="AD965" s="405"/>
      <c r="AE965" s="405"/>
      <c r="AF965" s="424">
        <f t="shared" si="214"/>
        <v>634982.40000000002</v>
      </c>
      <c r="AG965" s="405" t="s">
        <v>1069</v>
      </c>
      <c r="AH965" s="405"/>
      <c r="AI965" s="405">
        <v>60</v>
      </c>
      <c r="AJ965" s="406" t="s">
        <v>1584</v>
      </c>
      <c r="AK965" s="406" t="s">
        <v>50</v>
      </c>
      <c r="AL965" s="414">
        <v>95834</v>
      </c>
      <c r="AM965" s="405" t="s">
        <v>52</v>
      </c>
      <c r="AN965" s="361" t="s">
        <v>1071</v>
      </c>
      <c r="AO965" s="405" t="s">
        <v>1073</v>
      </c>
      <c r="AP965" s="413"/>
      <c r="AQ965" s="405" t="s">
        <v>37</v>
      </c>
      <c r="AR965" s="405" t="s">
        <v>1686</v>
      </c>
      <c r="AS965" s="404"/>
      <c r="AT965" s="404"/>
      <c r="AU965" s="409">
        <f>196/400</f>
        <v>0.49</v>
      </c>
      <c r="AV965" s="402"/>
      <c r="AW965" s="402"/>
      <c r="AX965" s="402"/>
      <c r="AY965" s="402"/>
      <c r="AZ965" s="402"/>
      <c r="BA965" s="402"/>
      <c r="BB965" s="402"/>
      <c r="BC965" s="402"/>
    </row>
    <row r="966" spans="1:55">
      <c r="A966" s="426"/>
      <c r="B966" s="376">
        <v>44617</v>
      </c>
      <c r="C966" s="376">
        <v>44616</v>
      </c>
      <c r="D966" s="416" t="s">
        <v>86</v>
      </c>
      <c r="E966" s="405"/>
      <c r="F966" s="417"/>
      <c r="G966" s="359">
        <v>2022</v>
      </c>
      <c r="H966" s="405">
        <v>7</v>
      </c>
      <c r="I966" s="405"/>
      <c r="J966" s="406"/>
      <c r="K966" s="405" t="s">
        <v>1804</v>
      </c>
      <c r="L966" s="405" t="s">
        <v>1682</v>
      </c>
      <c r="M966" s="406">
        <v>44545</v>
      </c>
      <c r="N966" s="406">
        <v>44704</v>
      </c>
      <c r="O966" s="406">
        <v>44765</v>
      </c>
      <c r="P966" s="406"/>
      <c r="Q966" s="406"/>
      <c r="R966" s="406"/>
      <c r="S966" s="405" t="s">
        <v>1520</v>
      </c>
      <c r="T966" s="405">
        <v>60</v>
      </c>
      <c r="U966" s="417"/>
      <c r="V966" s="405" t="s">
        <v>973</v>
      </c>
      <c r="W966" s="405">
        <v>400</v>
      </c>
      <c r="X966" s="382">
        <v>6144</v>
      </c>
      <c r="Y966" s="365">
        <f t="shared" si="210"/>
        <v>2457600</v>
      </c>
      <c r="Z966" s="409">
        <f>220/400</f>
        <v>0.55000000000000004</v>
      </c>
      <c r="AA966" s="411">
        <f t="shared" si="209"/>
        <v>1351680</v>
      </c>
      <c r="AB966" s="411"/>
      <c r="AC966" s="412">
        <f t="shared" si="218"/>
        <v>0</v>
      </c>
      <c r="AD966" s="405"/>
      <c r="AE966" s="405"/>
      <c r="AF966" s="424">
        <f t="shared" si="214"/>
        <v>1351680</v>
      </c>
      <c r="AG966" s="405" t="s">
        <v>1069</v>
      </c>
      <c r="AH966" s="405"/>
      <c r="AI966" s="405">
        <v>60</v>
      </c>
      <c r="AJ966" s="406" t="s">
        <v>1584</v>
      </c>
      <c r="AK966" s="406" t="s">
        <v>50</v>
      </c>
      <c r="AL966" s="414">
        <v>95834</v>
      </c>
      <c r="AM966" s="405" t="s">
        <v>52</v>
      </c>
      <c r="AN966" s="361" t="s">
        <v>1071</v>
      </c>
      <c r="AO966" s="405" t="s">
        <v>1073</v>
      </c>
      <c r="AP966" s="413"/>
      <c r="AQ966" s="405" t="s">
        <v>37</v>
      </c>
      <c r="AR966" s="405" t="s">
        <v>1686</v>
      </c>
      <c r="AS966" s="404"/>
      <c r="AT966" s="404"/>
      <c r="AU966" s="409">
        <f>196/400</f>
        <v>0.49</v>
      </c>
      <c r="AV966" s="402">
        <f>U966</f>
        <v>0</v>
      </c>
      <c r="AW966" s="402" cm="1">
        <f t="array" ref="AW966">SUM(MID(0&amp;AV966,LARGE(INDEX(ISNUMBER(--MID(AV966,ROW($1:$8),1))*ROW($1:$8),),ROW($1:$8))+1,1)*10^ROW($1:$8)/10)</f>
        <v>0</v>
      </c>
      <c r="AX966" s="402" t="e">
        <f>VLOOKUP($AW966,'Item Master Data'!$A:$F,3,FALSE)</f>
        <v>#N/A</v>
      </c>
      <c r="AY966" s="402" t="e">
        <f>VLOOKUP($AW966,'Item Master Data'!$A:$F,6,FALSE)</f>
        <v>#N/A</v>
      </c>
      <c r="AZ966" s="402" t="e">
        <f>X966/BA966</f>
        <v>#N/A</v>
      </c>
      <c r="BA966" s="402" t="e">
        <f>VLOOKUP(AW966,'Item Master Data'!$A:$G,7,FALSE)</f>
        <v>#N/A</v>
      </c>
      <c r="BB966" s="402"/>
      <c r="BC966" s="402" t="e">
        <f>W966-AY966</f>
        <v>#N/A</v>
      </c>
    </row>
    <row r="967" spans="1:55">
      <c r="A967" s="426"/>
      <c r="B967" s="376">
        <v>44617</v>
      </c>
      <c r="C967" s="376">
        <v>44616</v>
      </c>
      <c r="D967" s="416" t="s">
        <v>86</v>
      </c>
      <c r="E967" s="405"/>
      <c r="F967" s="417"/>
      <c r="G967" s="359">
        <v>2022</v>
      </c>
      <c r="H967" s="405">
        <v>7</v>
      </c>
      <c r="I967" s="405"/>
      <c r="J967" s="406"/>
      <c r="K967" s="405" t="s">
        <v>1805</v>
      </c>
      <c r="L967" s="405" t="s">
        <v>1682</v>
      </c>
      <c r="M967" s="406">
        <v>44575</v>
      </c>
      <c r="N967" s="406">
        <v>44715</v>
      </c>
      <c r="O967" s="406">
        <v>44745</v>
      </c>
      <c r="P967" s="406"/>
      <c r="Q967" s="406"/>
      <c r="R967" s="406"/>
      <c r="S967" s="405" t="s">
        <v>1520</v>
      </c>
      <c r="T967" s="405">
        <v>60</v>
      </c>
      <c r="U967" s="417"/>
      <c r="V967" s="405" t="s">
        <v>986</v>
      </c>
      <c r="W967" s="405">
        <v>360</v>
      </c>
      <c r="X967" s="382">
        <v>3328</v>
      </c>
      <c r="Y967" s="365">
        <f t="shared" si="210"/>
        <v>1198080</v>
      </c>
      <c r="Z967" s="409">
        <f>190.8/360</f>
        <v>0.53</v>
      </c>
      <c r="AA967" s="411">
        <f t="shared" si="209"/>
        <v>634982.40000000002</v>
      </c>
      <c r="AB967" s="411"/>
      <c r="AC967" s="412">
        <f t="shared" si="218"/>
        <v>0</v>
      </c>
      <c r="AD967" s="405"/>
      <c r="AE967" s="405"/>
      <c r="AF967" s="424">
        <f t="shared" si="214"/>
        <v>634982.40000000002</v>
      </c>
      <c r="AG967" s="405" t="s">
        <v>1069</v>
      </c>
      <c r="AH967" s="405"/>
      <c r="AI967" s="405">
        <v>60</v>
      </c>
      <c r="AJ967" s="406" t="s">
        <v>1584</v>
      </c>
      <c r="AK967" s="406" t="s">
        <v>50</v>
      </c>
      <c r="AL967" s="414">
        <v>95834</v>
      </c>
      <c r="AM967" s="405" t="s">
        <v>52</v>
      </c>
      <c r="AN967" s="361" t="s">
        <v>1071</v>
      </c>
      <c r="AO967" s="405" t="s">
        <v>1073</v>
      </c>
      <c r="AP967" s="413"/>
      <c r="AQ967" s="405" t="s">
        <v>37</v>
      </c>
      <c r="AR967" s="405"/>
      <c r="AS967" s="404"/>
      <c r="AT967" s="404"/>
      <c r="AU967" s="409">
        <f>180/360</f>
        <v>0.5</v>
      </c>
      <c r="AV967" s="402">
        <f>U967</f>
        <v>0</v>
      </c>
      <c r="AW967" s="402" cm="1">
        <f t="array" ref="AW967">SUM(MID(0&amp;AV967,LARGE(INDEX(ISNUMBER(--MID(AV967,ROW($1:$8),1))*ROW($1:$8),),ROW($1:$8))+1,1)*10^ROW($1:$8)/10)</f>
        <v>0</v>
      </c>
      <c r="AX967" s="402" t="e">
        <f>VLOOKUP($AW967,'Item Master Data'!$A:$F,3,FALSE)</f>
        <v>#N/A</v>
      </c>
      <c r="AY967" s="402" t="e">
        <f>VLOOKUP($AW967,'Item Master Data'!$A:$F,6,FALSE)</f>
        <v>#N/A</v>
      </c>
      <c r="AZ967" s="402" t="e">
        <f>X967/BA967</f>
        <v>#N/A</v>
      </c>
      <c r="BA967" s="402" t="e">
        <f>VLOOKUP(AW967,'Item Master Data'!$A:$G,7,FALSE)</f>
        <v>#N/A</v>
      </c>
      <c r="BB967" s="402"/>
      <c r="BC967" s="402" t="e">
        <f>W967-AY967</f>
        <v>#N/A</v>
      </c>
    </row>
    <row r="968" spans="1:55">
      <c r="A968" s="426"/>
      <c r="B968" s="376">
        <v>44617</v>
      </c>
      <c r="C968" s="376">
        <v>44616</v>
      </c>
      <c r="D968" s="416" t="s">
        <v>86</v>
      </c>
      <c r="E968" s="405"/>
      <c r="F968" s="417"/>
      <c r="G968" s="359">
        <v>2022</v>
      </c>
      <c r="H968" s="405">
        <v>7</v>
      </c>
      <c r="I968" s="405"/>
      <c r="J968" s="406"/>
      <c r="K968" s="405" t="s">
        <v>1806</v>
      </c>
      <c r="L968" s="405" t="s">
        <v>1682</v>
      </c>
      <c r="M968" s="406">
        <v>44575</v>
      </c>
      <c r="N968" s="406">
        <v>44715</v>
      </c>
      <c r="O968" s="406">
        <v>44745</v>
      </c>
      <c r="P968" s="406"/>
      <c r="Q968" s="406"/>
      <c r="R968" s="406"/>
      <c r="S968" s="405" t="s">
        <v>1520</v>
      </c>
      <c r="T968" s="405">
        <v>60</v>
      </c>
      <c r="U968" s="417"/>
      <c r="V968" s="405" t="s">
        <v>973</v>
      </c>
      <c r="W968" s="405">
        <v>400</v>
      </c>
      <c r="X968" s="382">
        <v>6144</v>
      </c>
      <c r="Y968" s="365">
        <f t="shared" si="210"/>
        <v>2457600</v>
      </c>
      <c r="Z968" s="409">
        <f>220/400</f>
        <v>0.55000000000000004</v>
      </c>
      <c r="AA968" s="411">
        <f t="shared" si="209"/>
        <v>1351680</v>
      </c>
      <c r="AB968" s="411"/>
      <c r="AC968" s="412">
        <f t="shared" si="218"/>
        <v>0</v>
      </c>
      <c r="AD968" s="405"/>
      <c r="AE968" s="405"/>
      <c r="AF968" s="424">
        <f t="shared" si="214"/>
        <v>1351680</v>
      </c>
      <c r="AG968" s="405" t="s">
        <v>1069</v>
      </c>
      <c r="AH968" s="405"/>
      <c r="AI968" s="405">
        <v>60</v>
      </c>
      <c r="AJ968" s="406" t="s">
        <v>1584</v>
      </c>
      <c r="AK968" s="406" t="s">
        <v>50</v>
      </c>
      <c r="AL968" s="414">
        <v>95834</v>
      </c>
      <c r="AM968" s="405" t="s">
        <v>52</v>
      </c>
      <c r="AN968" s="361" t="s">
        <v>1071</v>
      </c>
      <c r="AO968" s="405" t="s">
        <v>1073</v>
      </c>
      <c r="AP968" s="413"/>
      <c r="AQ968" s="405" t="s">
        <v>37</v>
      </c>
      <c r="AR968" s="405" t="s">
        <v>1686</v>
      </c>
      <c r="AS968" s="404"/>
      <c r="AT968" s="404"/>
      <c r="AU968" s="409">
        <f>196/400</f>
        <v>0.49</v>
      </c>
      <c r="AV968" s="402"/>
      <c r="AW968" s="402"/>
      <c r="AX968" s="402"/>
      <c r="AY968" s="402"/>
      <c r="AZ968" s="402"/>
      <c r="BA968" s="402"/>
      <c r="BB968" s="402"/>
      <c r="BC968" s="402"/>
    </row>
    <row r="969" spans="1:55">
      <c r="A969" s="426"/>
      <c r="B969" s="376">
        <v>44635</v>
      </c>
      <c r="C969" s="376">
        <v>44616</v>
      </c>
      <c r="D969" s="416" t="s">
        <v>86</v>
      </c>
      <c r="E969" s="405" t="s">
        <v>1385</v>
      </c>
      <c r="F969" s="417"/>
      <c r="G969" s="359">
        <v>2022</v>
      </c>
      <c r="H969" s="405">
        <v>7</v>
      </c>
      <c r="I969" s="405"/>
      <c r="J969" s="406"/>
      <c r="K969" s="405" t="s">
        <v>1815</v>
      </c>
      <c r="L969" s="405" t="s">
        <v>1682</v>
      </c>
      <c r="M969" s="406">
        <v>44631</v>
      </c>
      <c r="N969" s="406">
        <v>44747</v>
      </c>
      <c r="O969" s="406"/>
      <c r="P969" s="406"/>
      <c r="Q969" s="406"/>
      <c r="R969" s="406"/>
      <c r="S969" s="405" t="s">
        <v>1520</v>
      </c>
      <c r="T969" s="405">
        <v>72</v>
      </c>
      <c r="U969" s="417" t="s">
        <v>1816</v>
      </c>
      <c r="V969" s="405" t="s">
        <v>1730</v>
      </c>
      <c r="W969" s="405">
        <v>475</v>
      </c>
      <c r="X969" s="382">
        <v>600</v>
      </c>
      <c r="Y969" s="365">
        <f t="shared" si="210"/>
        <v>285000</v>
      </c>
      <c r="Z969" s="409">
        <f>237.5/475</f>
        <v>0.5</v>
      </c>
      <c r="AA969" s="411">
        <f t="shared" si="209"/>
        <v>142500</v>
      </c>
      <c r="AB969" s="411"/>
      <c r="AC969" s="412">
        <f t="shared" si="218"/>
        <v>0</v>
      </c>
      <c r="AD969" s="405"/>
      <c r="AE969" s="405"/>
      <c r="AF969" s="424">
        <f t="shared" si="214"/>
        <v>142500</v>
      </c>
      <c r="AG969" s="405" t="s">
        <v>1069</v>
      </c>
      <c r="AH969" s="405"/>
      <c r="AI969" s="405">
        <v>60</v>
      </c>
      <c r="AJ969" s="406" t="s">
        <v>1584</v>
      </c>
      <c r="AK969" s="406" t="s">
        <v>50</v>
      </c>
      <c r="AL969" s="414">
        <v>95834</v>
      </c>
      <c r="AM969" s="405" t="s">
        <v>52</v>
      </c>
      <c r="AN969" s="361" t="s">
        <v>1071</v>
      </c>
      <c r="AO969" s="405" t="s">
        <v>1073</v>
      </c>
      <c r="AP969" s="413"/>
      <c r="AQ969" s="405" t="s">
        <v>37</v>
      </c>
      <c r="AR969" s="405"/>
      <c r="AS969" s="404"/>
      <c r="AT969" s="404"/>
      <c r="AU969" s="409">
        <f>180/360</f>
        <v>0.5</v>
      </c>
      <c r="AV969" s="402" t="str">
        <f>U969</f>
        <v>CYB MODS</v>
      </c>
      <c r="AW969" s="402" cm="1">
        <f t="array" ref="AW969">SUM(MID(0&amp;AV969,LARGE(INDEX(ISNUMBER(--MID(AV969,ROW($1:$8),1))*ROW($1:$8),),ROW($1:$8))+1,1)*10^ROW($1:$8)/10)</f>
        <v>0</v>
      </c>
      <c r="AX969" s="402" t="e">
        <f>VLOOKUP($AW969,'Item Master Data'!$A:$F,3,FALSE)</f>
        <v>#N/A</v>
      </c>
      <c r="AY969" s="402" t="e">
        <f>VLOOKUP($AW969,'Item Master Data'!$A:$F,6,FALSE)</f>
        <v>#N/A</v>
      </c>
      <c r="AZ969" s="402" t="e">
        <f>X969/BA969</f>
        <v>#N/A</v>
      </c>
      <c r="BA969" s="402" t="e">
        <f>VLOOKUP(AW969,'Item Master Data'!$A:$G,7,FALSE)</f>
        <v>#N/A</v>
      </c>
      <c r="BB969" s="402"/>
      <c r="BC969" s="402" t="e">
        <f>W969-AY969</f>
        <v>#N/A</v>
      </c>
    </row>
    <row r="970" spans="1:55">
      <c r="A970" s="426"/>
      <c r="B970" s="376">
        <v>44642</v>
      </c>
      <c r="C970" s="376"/>
      <c r="D970" s="416" t="s">
        <v>86</v>
      </c>
      <c r="E970" s="405" t="s">
        <v>4992</v>
      </c>
      <c r="F970" s="417"/>
      <c r="G970" s="359">
        <v>2022</v>
      </c>
      <c r="H970" s="405">
        <v>7</v>
      </c>
      <c r="I970" s="405"/>
      <c r="J970" s="406"/>
      <c r="K970" s="405" t="s">
        <v>3035</v>
      </c>
      <c r="L970" s="405" t="s">
        <v>1517</v>
      </c>
      <c r="M970" s="406">
        <v>44571</v>
      </c>
      <c r="N970" s="406">
        <v>44741</v>
      </c>
      <c r="O970" s="406"/>
      <c r="P970" s="406"/>
      <c r="Q970" s="406"/>
      <c r="R970" s="406"/>
      <c r="S970" s="405" t="s">
        <v>88</v>
      </c>
      <c r="T970" s="405">
        <v>60</v>
      </c>
      <c r="U970" s="417"/>
      <c r="V970" s="405" t="s">
        <v>973</v>
      </c>
      <c r="W970" s="405">
        <v>400</v>
      </c>
      <c r="X970" s="382">
        <v>2240</v>
      </c>
      <c r="Y970" s="365">
        <f t="shared" si="210"/>
        <v>896000</v>
      </c>
      <c r="Z970" s="409">
        <f>220/400</f>
        <v>0.55000000000000004</v>
      </c>
      <c r="AA970" s="411">
        <f t="shared" si="209"/>
        <v>492800.00000000006</v>
      </c>
      <c r="AB970" s="411"/>
      <c r="AC970" s="412">
        <v>0</v>
      </c>
      <c r="AD970" s="405"/>
      <c r="AE970" s="405"/>
      <c r="AF970" s="424">
        <f t="shared" si="214"/>
        <v>492800.00000000006</v>
      </c>
      <c r="AG970" s="405" t="s">
        <v>1069</v>
      </c>
      <c r="AH970" s="405"/>
      <c r="AI970" s="405">
        <v>60</v>
      </c>
      <c r="AJ970" s="406" t="s">
        <v>1518</v>
      </c>
      <c r="AK970" s="406" t="s">
        <v>50</v>
      </c>
      <c r="AL970" s="414">
        <v>92126</v>
      </c>
      <c r="AM970" s="405" t="s">
        <v>52</v>
      </c>
      <c r="AN970" s="361"/>
      <c r="AO970" s="405" t="s">
        <v>1073</v>
      </c>
      <c r="AP970" s="413"/>
      <c r="AQ970" s="405" t="s">
        <v>37</v>
      </c>
      <c r="AR970" s="405"/>
      <c r="AS970" s="404" t="s">
        <v>1392</v>
      </c>
      <c r="AT970" s="404"/>
      <c r="AU970" s="409">
        <f>208/400</f>
        <v>0.52</v>
      </c>
      <c r="AV970" s="402">
        <f>U970</f>
        <v>0</v>
      </c>
      <c r="AW970" s="402" cm="1">
        <f t="array" ref="AW970">SUM(MID(0&amp;AV970,LARGE(INDEX(ISNUMBER(--MID(AV970,ROW($1:$8),1))*ROW($1:$8),),ROW($1:$8))+1,1)*10^ROW($1:$8)/10)</f>
        <v>0</v>
      </c>
      <c r="AX970" s="402" t="e">
        <f>VLOOKUP($AW970,'Item Master Data'!$A:$F,3,FALSE)</f>
        <v>#N/A</v>
      </c>
      <c r="AY970" s="402" t="e">
        <f>VLOOKUP($AW970,'Item Master Data'!$A:$F,6,FALSE)</f>
        <v>#N/A</v>
      </c>
      <c r="AZ970" s="402" t="e">
        <f>X970/BA970</f>
        <v>#N/A</v>
      </c>
      <c r="BA970" s="402" t="e">
        <f>VLOOKUP(AW970,'Item Master Data'!$A:$G,7,FALSE)</f>
        <v>#N/A</v>
      </c>
      <c r="BB970" s="402"/>
      <c r="BC970" s="402" t="e">
        <f>W970-AY970</f>
        <v>#N/A</v>
      </c>
    </row>
    <row r="971" spans="1:55">
      <c r="A971" s="426"/>
      <c r="B971" s="376"/>
      <c r="C971" s="376"/>
      <c r="D971" s="416" t="s">
        <v>86</v>
      </c>
      <c r="E971" s="405"/>
      <c r="F971" s="417" t="s">
        <v>87</v>
      </c>
      <c r="G971" s="359">
        <v>2022</v>
      </c>
      <c r="H971" s="405">
        <v>7</v>
      </c>
      <c r="I971" s="405"/>
      <c r="J971" s="406"/>
      <c r="K971" s="405" t="s">
        <v>1830</v>
      </c>
      <c r="L971" s="405" t="s">
        <v>1517</v>
      </c>
      <c r="M971" s="406">
        <v>44609</v>
      </c>
      <c r="N971" s="406">
        <v>44743</v>
      </c>
      <c r="O971" s="406"/>
      <c r="P971" s="406"/>
      <c r="Q971" s="406"/>
      <c r="R971" s="406"/>
      <c r="S971" s="405" t="s">
        <v>88</v>
      </c>
      <c r="T971" s="405">
        <v>72</v>
      </c>
      <c r="U971" s="417">
        <v>49303156</v>
      </c>
      <c r="V971" s="405" t="s">
        <v>1068</v>
      </c>
      <c r="W971" s="405">
        <v>480</v>
      </c>
      <c r="X971" s="382">
        <v>3190</v>
      </c>
      <c r="Y971" s="365">
        <f t="shared" si="210"/>
        <v>1531200</v>
      </c>
      <c r="Z971" s="409">
        <f>235.2/480</f>
        <v>0.49</v>
      </c>
      <c r="AA971" s="411">
        <f t="shared" si="209"/>
        <v>750288</v>
      </c>
      <c r="AB971" s="411"/>
      <c r="AC971" s="412">
        <f>AB971*Y971</f>
        <v>0</v>
      </c>
      <c r="AD971" s="405"/>
      <c r="AE971" s="405"/>
      <c r="AF971" s="424">
        <f t="shared" si="214"/>
        <v>750288</v>
      </c>
      <c r="AG971" s="405" t="s">
        <v>1069</v>
      </c>
      <c r="AH971" s="405"/>
      <c r="AI971" s="405">
        <v>60</v>
      </c>
      <c r="AJ971" s="406" t="s">
        <v>1518</v>
      </c>
      <c r="AK971" s="406" t="s">
        <v>50</v>
      </c>
      <c r="AL971" s="414">
        <v>92126</v>
      </c>
      <c r="AM971" s="405" t="s">
        <v>52</v>
      </c>
      <c r="AN971" s="361" t="s">
        <v>1516</v>
      </c>
      <c r="AO971" s="405" t="s">
        <v>1073</v>
      </c>
      <c r="AP971" s="413"/>
      <c r="AQ971" s="405" t="s">
        <v>37</v>
      </c>
      <c r="AR971" s="405"/>
      <c r="AS971" s="404" t="s">
        <v>1392</v>
      </c>
      <c r="AT971" s="404"/>
      <c r="AU971" s="409"/>
      <c r="AV971" s="402"/>
      <c r="AW971" s="402"/>
      <c r="AX971" s="402"/>
      <c r="AY971" s="402"/>
      <c r="AZ971" s="402"/>
      <c r="BA971" s="402"/>
      <c r="BB971" s="402"/>
      <c r="BC971" s="402"/>
    </row>
    <row r="972" spans="1:55">
      <c r="A972" s="426"/>
      <c r="B972" s="376">
        <v>44672</v>
      </c>
      <c r="C972" s="376">
        <v>44676</v>
      </c>
      <c r="D972" s="416" t="s">
        <v>86</v>
      </c>
      <c r="E972" s="405" t="s">
        <v>4223</v>
      </c>
      <c r="F972" s="417"/>
      <c r="G972" s="359">
        <v>2022</v>
      </c>
      <c r="H972" s="405">
        <v>7</v>
      </c>
      <c r="I972" s="405"/>
      <c r="J972" s="406"/>
      <c r="K972" s="405" t="s">
        <v>4224</v>
      </c>
      <c r="L972" s="405" t="s">
        <v>1517</v>
      </c>
      <c r="M972" s="406">
        <v>44666</v>
      </c>
      <c r="N972" s="406">
        <v>44757</v>
      </c>
      <c r="O972" s="406"/>
      <c r="P972" s="406"/>
      <c r="Q972" s="406"/>
      <c r="R972" s="406"/>
      <c r="S972" s="405" t="s">
        <v>88</v>
      </c>
      <c r="T972" s="405">
        <v>60</v>
      </c>
      <c r="U972" s="417"/>
      <c r="V972" s="405" t="s">
        <v>973</v>
      </c>
      <c r="W972" s="405">
        <v>400</v>
      </c>
      <c r="X972" s="382">
        <v>3072</v>
      </c>
      <c r="Y972" s="365">
        <f t="shared" si="210"/>
        <v>1228800</v>
      </c>
      <c r="Z972" s="409">
        <v>0.55000000000000004</v>
      </c>
      <c r="AA972" s="411">
        <f t="shared" si="209"/>
        <v>675840</v>
      </c>
      <c r="AB972" s="411"/>
      <c r="AC972" s="412">
        <v>0</v>
      </c>
      <c r="AD972" s="405"/>
      <c r="AE972" s="405"/>
      <c r="AF972" s="424">
        <f>+AE972+AD972+AA972</f>
        <v>675840</v>
      </c>
      <c r="AG972" s="405" t="s">
        <v>1069</v>
      </c>
      <c r="AH972" s="405"/>
      <c r="AI972" s="405">
        <v>60</v>
      </c>
      <c r="AJ972" s="406" t="s">
        <v>1518</v>
      </c>
      <c r="AK972" s="406" t="s">
        <v>50</v>
      </c>
      <c r="AL972" s="414">
        <v>92126</v>
      </c>
      <c r="AM972" s="405" t="s">
        <v>52</v>
      </c>
      <c r="AN972" s="361"/>
      <c r="AO972" s="405" t="s">
        <v>1073</v>
      </c>
      <c r="AP972" s="413"/>
      <c r="AQ972" s="405" t="s">
        <v>37</v>
      </c>
      <c r="AR972" s="405"/>
      <c r="AS972" s="404" t="s">
        <v>1392</v>
      </c>
      <c r="AT972" s="404"/>
      <c r="AU972" s="409">
        <v>0.52</v>
      </c>
      <c r="AV972" s="402">
        <f>U972</f>
        <v>0</v>
      </c>
      <c r="AW972" s="402" cm="1">
        <f t="array" ref="AW972">SUM(MID(0&amp;AV972,LARGE(INDEX(ISNUMBER(--MID(AV972,ROW($1:$8),1))*ROW($1:$8),),ROW($1:$8))+1,1)*10^ROW($1:$8)/10)</f>
        <v>0</v>
      </c>
      <c r="AX972" s="402" t="e">
        <f>VLOOKUP($AW972,'Item Master Data'!$A:$F,3,FALSE)</f>
        <v>#N/A</v>
      </c>
      <c r="AY972" s="402" t="e">
        <f>VLOOKUP($AW972,'Item Master Data'!$A:$F,6,FALSE)</f>
        <v>#N/A</v>
      </c>
      <c r="AZ972" s="402" t="e">
        <f>X972/BA972</f>
        <v>#N/A</v>
      </c>
      <c r="BA972" s="402" t="e">
        <f>VLOOKUP(AW972,'Item Master Data'!$A:$G,7,FALSE)</f>
        <v>#N/A</v>
      </c>
      <c r="BB972" s="402"/>
      <c r="BC972" s="402" t="e">
        <f>W972-AY972</f>
        <v>#N/A</v>
      </c>
    </row>
    <row r="973" spans="1:55">
      <c r="A973" s="426"/>
      <c r="B973" s="376"/>
      <c r="C973" s="376"/>
      <c r="D973" s="416" t="s">
        <v>86</v>
      </c>
      <c r="E973" s="405" t="s">
        <v>1728</v>
      </c>
      <c r="F973" s="417" t="s">
        <v>87</v>
      </c>
      <c r="G973" s="359">
        <v>2022</v>
      </c>
      <c r="H973" s="405">
        <v>7</v>
      </c>
      <c r="I973" s="405"/>
      <c r="J973" s="406"/>
      <c r="K973" s="405" t="s">
        <v>1851</v>
      </c>
      <c r="L973" s="405" t="s">
        <v>1723</v>
      </c>
      <c r="M973" s="406">
        <v>44586</v>
      </c>
      <c r="N973" s="406">
        <v>44747</v>
      </c>
      <c r="O973" s="406"/>
      <c r="P973" s="406"/>
      <c r="Q973" s="406"/>
      <c r="R973" s="406"/>
      <c r="S973" s="405" t="s">
        <v>1683</v>
      </c>
      <c r="T973" s="405">
        <v>72</v>
      </c>
      <c r="U973" s="417">
        <v>49303156</v>
      </c>
      <c r="V973" s="405" t="s">
        <v>1730</v>
      </c>
      <c r="W973" s="405">
        <v>480</v>
      </c>
      <c r="X973" s="382">
        <v>1160</v>
      </c>
      <c r="Y973" s="365">
        <f t="shared" si="210"/>
        <v>556800</v>
      </c>
      <c r="Z973" s="409">
        <f>232.75/480</f>
        <v>0.48489583333333336</v>
      </c>
      <c r="AA973" s="411">
        <f t="shared" si="209"/>
        <v>269990</v>
      </c>
      <c r="AB973" s="411"/>
      <c r="AC973" s="412">
        <v>0</v>
      </c>
      <c r="AD973" s="405"/>
      <c r="AE973" s="405"/>
      <c r="AF973" s="424">
        <v>275616</v>
      </c>
      <c r="AG973" s="405" t="s">
        <v>1069</v>
      </c>
      <c r="AH973" s="405"/>
      <c r="AI973" s="405">
        <v>60</v>
      </c>
      <c r="AJ973" s="406" t="s">
        <v>1724</v>
      </c>
      <c r="AK973" s="406" t="s">
        <v>50</v>
      </c>
      <c r="AL973" s="414">
        <v>95403</v>
      </c>
      <c r="AM973" s="405" t="s">
        <v>52</v>
      </c>
      <c r="AN973" s="361" t="s">
        <v>1516</v>
      </c>
      <c r="AO973" s="405" t="s">
        <v>1073</v>
      </c>
      <c r="AP973" s="413"/>
      <c r="AQ973" s="405" t="s">
        <v>37</v>
      </c>
      <c r="AR973" s="405"/>
      <c r="AS973" s="404" t="s">
        <v>1392</v>
      </c>
      <c r="AT973" s="404"/>
      <c r="AU973" s="409"/>
      <c r="AV973" s="402">
        <f>U973</f>
        <v>49303156</v>
      </c>
      <c r="AW973" s="402" cm="1">
        <f t="array" ref="AW973">SUM(MID(0&amp;AV973,LARGE(INDEX(ISNUMBER(--MID(AV973,ROW($1:$8),1))*ROW($1:$8),),ROW($1:$8))+1,1)*10^ROW($1:$8)/10)</f>
        <v>49303156</v>
      </c>
      <c r="AX973" s="402" t="str">
        <f>VLOOKUP($AW973,'Item Master Data'!$A:$F,3,FALSE)</f>
        <v>Q.PEAK DUO XL G10 BFG</v>
      </c>
      <c r="AY973" s="402">
        <f>VLOOKUP($AW973,'Item Master Data'!$A:$F,6,FALSE)</f>
        <v>480</v>
      </c>
      <c r="AZ973" s="402">
        <f>X973/BA973</f>
        <v>40</v>
      </c>
      <c r="BA973" s="402">
        <f>VLOOKUP(AW973,'Item Master Data'!$A:$G,7,FALSE)</f>
        <v>29</v>
      </c>
      <c r="BB973" s="402"/>
      <c r="BC973" s="402">
        <f>W973-AY973</f>
        <v>0</v>
      </c>
    </row>
    <row r="974" spans="1:55">
      <c r="A974" s="426"/>
      <c r="B974" s="376">
        <v>44627</v>
      </c>
      <c r="C974" s="376">
        <v>44627</v>
      </c>
      <c r="D974" s="416" t="s">
        <v>86</v>
      </c>
      <c r="E974" s="405"/>
      <c r="F974" s="417"/>
      <c r="G974" s="359">
        <v>2022</v>
      </c>
      <c r="H974" s="405">
        <v>7</v>
      </c>
      <c r="I974" s="405"/>
      <c r="J974" s="406"/>
      <c r="K974" s="405" t="s">
        <v>1874</v>
      </c>
      <c r="L974" s="405" t="s">
        <v>1519</v>
      </c>
      <c r="M974" s="406">
        <v>44615</v>
      </c>
      <c r="N974" s="406">
        <v>44743</v>
      </c>
      <c r="O974" s="406"/>
      <c r="P974" s="406"/>
      <c r="Q974" s="406"/>
      <c r="R974" s="406"/>
      <c r="S974" s="405" t="s">
        <v>1520</v>
      </c>
      <c r="T974" s="405">
        <v>60</v>
      </c>
      <c r="U974" s="417"/>
      <c r="V974" s="405" t="s">
        <v>973</v>
      </c>
      <c r="W974" s="405">
        <v>400</v>
      </c>
      <c r="X974" s="382">
        <v>3072</v>
      </c>
      <c r="Y974" s="365">
        <v>1228800</v>
      </c>
      <c r="Z974" s="409">
        <v>0.55000000000000004</v>
      </c>
      <c r="AA974" s="411">
        <v>675840</v>
      </c>
      <c r="AB974" s="411"/>
      <c r="AC974" s="412">
        <v>0</v>
      </c>
      <c r="AD974" s="405"/>
      <c r="AE974" s="405"/>
      <c r="AF974" s="424">
        <v>675840</v>
      </c>
      <c r="AG974" s="405" t="s">
        <v>1069</v>
      </c>
      <c r="AH974" s="405"/>
      <c r="AI974" s="405">
        <v>60</v>
      </c>
      <c r="AJ974" s="406" t="s">
        <v>1521</v>
      </c>
      <c r="AK974" s="406" t="s">
        <v>1522</v>
      </c>
      <c r="AL974" s="414" t="s">
        <v>1523</v>
      </c>
      <c r="AM974" s="405" t="s">
        <v>52</v>
      </c>
      <c r="AN974" s="361"/>
      <c r="AO974" s="405" t="s">
        <v>1073</v>
      </c>
      <c r="AP974" s="413"/>
      <c r="AQ974" s="405" t="s">
        <v>37</v>
      </c>
      <c r="AR974" s="405"/>
      <c r="AS974" s="404"/>
      <c r="AT974" s="404"/>
      <c r="AU974" s="409"/>
      <c r="AV974" s="402"/>
      <c r="AW974" s="402"/>
      <c r="AX974" s="402"/>
      <c r="AY974" s="402"/>
      <c r="AZ974" s="402"/>
      <c r="BA974" s="402"/>
      <c r="BB974" s="402"/>
      <c r="BC974" s="402"/>
    </row>
    <row r="975" spans="1:55">
      <c r="A975" s="426"/>
      <c r="B975" s="376">
        <v>44627</v>
      </c>
      <c r="C975" s="376">
        <v>44627</v>
      </c>
      <c r="D975" s="416" t="s">
        <v>86</v>
      </c>
      <c r="E975" s="405"/>
      <c r="F975" s="417"/>
      <c r="G975" s="359">
        <v>2022</v>
      </c>
      <c r="H975" s="405">
        <v>7</v>
      </c>
      <c r="I975" s="405"/>
      <c r="J975" s="406"/>
      <c r="K975" s="405" t="s">
        <v>1874</v>
      </c>
      <c r="L975" s="405" t="s">
        <v>1519</v>
      </c>
      <c r="M975" s="406">
        <v>44615</v>
      </c>
      <c r="N975" s="406">
        <v>44743</v>
      </c>
      <c r="O975" s="406"/>
      <c r="P975" s="406"/>
      <c r="Q975" s="406"/>
      <c r="R975" s="406"/>
      <c r="S975" s="405" t="s">
        <v>1520</v>
      </c>
      <c r="T975" s="405">
        <v>60</v>
      </c>
      <c r="U975" s="417"/>
      <c r="V975" s="405" t="s">
        <v>986</v>
      </c>
      <c r="W975" s="405">
        <v>360</v>
      </c>
      <c r="X975" s="382">
        <v>832</v>
      </c>
      <c r="Y975" s="365">
        <v>299520</v>
      </c>
      <c r="Z975" s="409">
        <v>0.53</v>
      </c>
      <c r="AA975" s="411">
        <v>158745.60000000001</v>
      </c>
      <c r="AB975" s="411"/>
      <c r="AC975" s="412">
        <v>0</v>
      </c>
      <c r="AD975" s="405"/>
      <c r="AE975" s="405"/>
      <c r="AF975" s="424">
        <v>158745.60000000001</v>
      </c>
      <c r="AG975" s="405" t="s">
        <v>1069</v>
      </c>
      <c r="AH975" s="405"/>
      <c r="AI975" s="405">
        <v>60</v>
      </c>
      <c r="AJ975" s="406" t="s">
        <v>1521</v>
      </c>
      <c r="AK975" s="406" t="s">
        <v>1522</v>
      </c>
      <c r="AL975" s="414" t="s">
        <v>1523</v>
      </c>
      <c r="AM975" s="405" t="s">
        <v>52</v>
      </c>
      <c r="AN975" s="361"/>
      <c r="AO975" s="405" t="s">
        <v>1073</v>
      </c>
      <c r="AP975" s="413"/>
      <c r="AQ975" s="405" t="s">
        <v>37</v>
      </c>
      <c r="AR975" s="405"/>
      <c r="AS975" s="404"/>
      <c r="AT975" s="404"/>
      <c r="AU975" s="409"/>
      <c r="AV975" s="402">
        <f>U975</f>
        <v>0</v>
      </c>
      <c r="AW975" s="402" cm="1">
        <f t="array" ref="AW975">SUM(MID(0&amp;AV975,LARGE(INDEX(ISNUMBER(--MID(AV975,ROW($1:$8),1))*ROW($1:$8),),ROW($1:$8))+1,1)*10^ROW($1:$8)/10)</f>
        <v>0</v>
      </c>
      <c r="AX975" s="402" t="e">
        <f>VLOOKUP($AW975,'Item Master Data'!$A:$F,3,FALSE)</f>
        <v>#N/A</v>
      </c>
      <c r="AY975" s="402" t="e">
        <f>VLOOKUP($AW975,'Item Master Data'!$A:$F,6,FALSE)</f>
        <v>#N/A</v>
      </c>
      <c r="AZ975" s="402" t="e">
        <f>X975/BA975</f>
        <v>#N/A</v>
      </c>
      <c r="BA975" s="402" t="e">
        <f>VLOOKUP(AW975,'Item Master Data'!$A:$G,7,FALSE)</f>
        <v>#N/A</v>
      </c>
      <c r="BB975" s="402"/>
      <c r="BC975" s="402" t="e">
        <f>W975-AY975</f>
        <v>#N/A</v>
      </c>
    </row>
    <row r="976" spans="1:55">
      <c r="A976" s="426"/>
      <c r="B976" s="376">
        <v>44607</v>
      </c>
      <c r="C976" s="376">
        <v>44607</v>
      </c>
      <c r="D976" s="416" t="s">
        <v>86</v>
      </c>
      <c r="E976" s="405"/>
      <c r="F976" s="417"/>
      <c r="G976" s="359">
        <v>2022</v>
      </c>
      <c r="H976" s="405">
        <v>7</v>
      </c>
      <c r="I976" s="405"/>
      <c r="J976" s="406"/>
      <c r="K976" s="405" t="s">
        <v>1896</v>
      </c>
      <c r="L976" s="405" t="s">
        <v>1525</v>
      </c>
      <c r="M976" s="406">
        <v>44530</v>
      </c>
      <c r="N976" s="406">
        <v>44746</v>
      </c>
      <c r="O976" s="406"/>
      <c r="P976" s="406"/>
      <c r="Q976" s="406"/>
      <c r="R976" s="406"/>
      <c r="S976" s="405" t="s">
        <v>1510</v>
      </c>
      <c r="T976" s="405">
        <v>60</v>
      </c>
      <c r="U976" s="417"/>
      <c r="V976" s="405" t="s">
        <v>986</v>
      </c>
      <c r="W976" s="405">
        <v>360</v>
      </c>
      <c r="X976" s="382">
        <v>768</v>
      </c>
      <c r="Y976" s="365">
        <f t="shared" ref="Y976:Y1019" si="219">W976*X976</f>
        <v>276480</v>
      </c>
      <c r="Z976" s="409">
        <f>190.8/360</f>
        <v>0.53</v>
      </c>
      <c r="AA976" s="411">
        <f t="shared" ref="AA976:AA1019" si="220">Z976*Y976</f>
        <v>146534.39999999999</v>
      </c>
      <c r="AB976" s="411"/>
      <c r="AC976" s="412">
        <f t="shared" ref="AC976:AC992" si="221">AB976*Y976</f>
        <v>0</v>
      </c>
      <c r="AD976" s="405"/>
      <c r="AE976" s="405"/>
      <c r="AF976" s="424">
        <f t="shared" ref="AF976:AF1015" si="222">AE976+AD976+AA976</f>
        <v>146534.39999999999</v>
      </c>
      <c r="AG976" s="405" t="s">
        <v>1069</v>
      </c>
      <c r="AH976" s="405"/>
      <c r="AI976" s="405">
        <v>60</v>
      </c>
      <c r="AJ976" s="406" t="s">
        <v>1779</v>
      </c>
      <c r="AK976" s="406" t="s">
        <v>50</v>
      </c>
      <c r="AL976" s="414">
        <v>93003</v>
      </c>
      <c r="AM976" s="405" t="s">
        <v>52</v>
      </c>
      <c r="AN976" s="361"/>
      <c r="AO976" s="405" t="s">
        <v>1073</v>
      </c>
      <c r="AP976" s="413" t="s">
        <v>38</v>
      </c>
      <c r="AQ976" s="405" t="s">
        <v>37</v>
      </c>
      <c r="AR976" s="405"/>
      <c r="AS976" s="404"/>
      <c r="AT976" s="404"/>
      <c r="AU976" s="409"/>
      <c r="AV976" s="402"/>
      <c r="AW976" s="402"/>
      <c r="AX976" s="402"/>
      <c r="AY976" s="402"/>
      <c r="AZ976" s="402"/>
      <c r="BA976" s="402"/>
      <c r="BB976" s="402"/>
      <c r="BC976" s="402"/>
    </row>
    <row r="977" spans="1:55">
      <c r="A977" s="426"/>
      <c r="B977" s="376"/>
      <c r="C977" s="376"/>
      <c r="D977" s="416" t="s">
        <v>86</v>
      </c>
      <c r="E977" s="405"/>
      <c r="F977" s="417"/>
      <c r="G977" s="359">
        <v>2022</v>
      </c>
      <c r="H977" s="405">
        <v>7</v>
      </c>
      <c r="I977" s="405"/>
      <c r="J977" s="406"/>
      <c r="K977" s="405" t="s">
        <v>1897</v>
      </c>
      <c r="L977" s="405" t="s">
        <v>1525</v>
      </c>
      <c r="M977" s="406">
        <v>44558</v>
      </c>
      <c r="N977" s="406">
        <v>44746</v>
      </c>
      <c r="O977" s="406"/>
      <c r="P977" s="406"/>
      <c r="Q977" s="406"/>
      <c r="R977" s="406"/>
      <c r="S977" s="405" t="s">
        <v>1510</v>
      </c>
      <c r="T977" s="405">
        <v>60</v>
      </c>
      <c r="U977" s="417"/>
      <c r="V977" s="405" t="s">
        <v>973</v>
      </c>
      <c r="W977" s="405">
        <v>400</v>
      </c>
      <c r="X977" s="382">
        <v>768</v>
      </c>
      <c r="Y977" s="365">
        <f t="shared" si="219"/>
        <v>307200</v>
      </c>
      <c r="Z977" s="409">
        <f>220/400</f>
        <v>0.55000000000000004</v>
      </c>
      <c r="AA977" s="411">
        <f t="shared" si="220"/>
        <v>168960</v>
      </c>
      <c r="AB977" s="411"/>
      <c r="AC977" s="412">
        <f t="shared" si="221"/>
        <v>0</v>
      </c>
      <c r="AD977" s="405"/>
      <c r="AE977" s="405"/>
      <c r="AF977" s="424">
        <f t="shared" si="222"/>
        <v>168960</v>
      </c>
      <c r="AG977" s="405" t="s">
        <v>1069</v>
      </c>
      <c r="AH977" s="405"/>
      <c r="AI977" s="405">
        <v>60</v>
      </c>
      <c r="AJ977" s="406" t="s">
        <v>1779</v>
      </c>
      <c r="AK977" s="406" t="s">
        <v>50</v>
      </c>
      <c r="AL977" s="414">
        <v>93003</v>
      </c>
      <c r="AM977" s="405" t="s">
        <v>52</v>
      </c>
      <c r="AN977" s="361" t="s">
        <v>1071</v>
      </c>
      <c r="AO977" s="405" t="s">
        <v>1073</v>
      </c>
      <c r="AP977" s="413"/>
      <c r="AQ977" s="405" t="s">
        <v>37</v>
      </c>
      <c r="AR977" s="405"/>
      <c r="AS977" s="404"/>
      <c r="AT977" s="404"/>
      <c r="AU977" s="409"/>
      <c r="AV977" s="402"/>
      <c r="AW977" s="402"/>
      <c r="AX977" s="402"/>
      <c r="AY977" s="402"/>
      <c r="AZ977" s="402"/>
      <c r="BA977" s="402"/>
      <c r="BB977" s="402"/>
      <c r="BC977" s="402"/>
    </row>
    <row r="978" spans="1:55">
      <c r="A978" s="426"/>
      <c r="B978" s="376"/>
      <c r="C978" s="376"/>
      <c r="D978" s="416" t="s">
        <v>86</v>
      </c>
      <c r="E978" s="405"/>
      <c r="F978" s="417" t="s">
        <v>1139</v>
      </c>
      <c r="G978" s="359">
        <v>2022</v>
      </c>
      <c r="H978" s="405">
        <v>7</v>
      </c>
      <c r="I978" s="405"/>
      <c r="J978" s="406"/>
      <c r="K978" s="405" t="s">
        <v>1688</v>
      </c>
      <c r="L978" s="405" t="s">
        <v>1680</v>
      </c>
      <c r="M978" s="406">
        <v>44498</v>
      </c>
      <c r="N978" s="406">
        <v>44593</v>
      </c>
      <c r="O978" s="406" t="s">
        <v>1689</v>
      </c>
      <c r="P978" s="406"/>
      <c r="Q978" s="406"/>
      <c r="R978" s="406"/>
      <c r="S978" s="405" t="s">
        <v>1520</v>
      </c>
      <c r="T978" s="405">
        <v>60</v>
      </c>
      <c r="U978" s="417" t="s">
        <v>1559</v>
      </c>
      <c r="V978" s="405" t="s">
        <v>973</v>
      </c>
      <c r="W978" s="405">
        <v>400</v>
      </c>
      <c r="X978" s="382">
        <v>768</v>
      </c>
      <c r="Y978" s="365">
        <f t="shared" si="219"/>
        <v>307200</v>
      </c>
      <c r="Z978" s="497">
        <v>0.55000000000000004</v>
      </c>
      <c r="AA978" s="411">
        <f t="shared" si="220"/>
        <v>168960</v>
      </c>
      <c r="AB978" s="411"/>
      <c r="AC978" s="412">
        <f t="shared" si="221"/>
        <v>0</v>
      </c>
      <c r="AD978" s="405"/>
      <c r="AE978" s="405">
        <f>AA978*0.0725</f>
        <v>12249.599999999999</v>
      </c>
      <c r="AF978" s="424">
        <f t="shared" si="222"/>
        <v>181209.60000000001</v>
      </c>
      <c r="AG978" s="405" t="s">
        <v>47</v>
      </c>
      <c r="AH978" s="405"/>
      <c r="AI978" s="405">
        <v>60</v>
      </c>
      <c r="AJ978" s="406" t="s">
        <v>1613</v>
      </c>
      <c r="AK978" s="406" t="s">
        <v>50</v>
      </c>
      <c r="AL978" s="414">
        <v>95928</v>
      </c>
      <c r="AM978" s="405" t="s">
        <v>52</v>
      </c>
      <c r="AN978" s="361" t="s">
        <v>50</v>
      </c>
      <c r="AO978" s="405" t="s">
        <v>1073</v>
      </c>
      <c r="AP978" s="413"/>
      <c r="AQ978" s="405" t="s">
        <v>37</v>
      </c>
      <c r="AR978" s="405"/>
      <c r="AS978" s="404" t="s">
        <v>1142</v>
      </c>
      <c r="AT978" s="404" t="s">
        <v>1073</v>
      </c>
      <c r="AU978" s="409"/>
      <c r="AV978" s="402" t="str">
        <f t="shared" ref="AV978:AV983" si="223">U978</f>
        <v>30390156H</v>
      </c>
      <c r="AW978" s="402" cm="1">
        <f t="array" ref="AW978">SUM(MID(0&amp;AV978,LARGE(INDEX(ISNUMBER(--MID(AV978,ROW($1:$8),1))*ROW($1:$8),),ROW($1:$8))+1,1)*10^ROW($1:$8)/10)</f>
        <v>30390156</v>
      </c>
      <c r="AX978" s="402" t="str">
        <f>VLOOKUP($AW978,'Item Master Data'!$A:$F,3,FALSE)</f>
        <v>Q.PEAK DUO BLK ML G10+</v>
      </c>
      <c r="AY978" s="402">
        <f>VLOOKUP($AW978,'Item Master Data'!$A:$F,6,FALSE)</f>
        <v>400</v>
      </c>
      <c r="AZ978" s="402">
        <f t="shared" ref="AZ978:AZ983" si="224">X978/BA978</f>
        <v>24</v>
      </c>
      <c r="BA978" s="402">
        <f>VLOOKUP(AW978,'Item Master Data'!$A:$G,7,FALSE)</f>
        <v>32</v>
      </c>
      <c r="BB978" s="402"/>
      <c r="BC978" s="402">
        <f t="shared" ref="BC978:BC983" si="225">W978-AY978</f>
        <v>0</v>
      </c>
    </row>
    <row r="979" spans="1:55">
      <c r="A979" s="426"/>
      <c r="B979" s="376"/>
      <c r="C979" s="376"/>
      <c r="D979" s="416" t="s">
        <v>86</v>
      </c>
      <c r="E979" s="405"/>
      <c r="F979" s="417" t="s">
        <v>1139</v>
      </c>
      <c r="G979" s="359">
        <v>2022</v>
      </c>
      <c r="H979" s="405">
        <v>7</v>
      </c>
      <c r="I979" s="405"/>
      <c r="J979" s="406"/>
      <c r="K979" s="405" t="s">
        <v>1690</v>
      </c>
      <c r="L979" s="405" t="s">
        <v>1680</v>
      </c>
      <c r="M979" s="406">
        <v>44498</v>
      </c>
      <c r="N979" s="406">
        <v>44621</v>
      </c>
      <c r="O979" s="406"/>
      <c r="P979" s="406" t="s">
        <v>4036</v>
      </c>
      <c r="Q979" s="406"/>
      <c r="R979" s="406"/>
      <c r="S979" s="405" t="s">
        <v>1520</v>
      </c>
      <c r="T979" s="405">
        <v>60</v>
      </c>
      <c r="U979" s="417"/>
      <c r="V979" s="405" t="s">
        <v>973</v>
      </c>
      <c r="W979" s="405">
        <v>400</v>
      </c>
      <c r="X979" s="382">
        <v>768</v>
      </c>
      <c r="Y979" s="365">
        <f t="shared" si="219"/>
        <v>307200</v>
      </c>
      <c r="Z979" s="497">
        <v>0.55000000000000004</v>
      </c>
      <c r="AA979" s="411">
        <f t="shared" si="220"/>
        <v>168960</v>
      </c>
      <c r="AB979" s="411"/>
      <c r="AC979" s="412">
        <f t="shared" si="221"/>
        <v>0</v>
      </c>
      <c r="AD979" s="405"/>
      <c r="AE979" s="405">
        <f>AA979*0.0725</f>
        <v>12249.599999999999</v>
      </c>
      <c r="AF979" s="424">
        <f t="shared" si="222"/>
        <v>181209.60000000001</v>
      </c>
      <c r="AG979" s="405" t="s">
        <v>47</v>
      </c>
      <c r="AH979" s="405"/>
      <c r="AI979" s="405">
        <v>60</v>
      </c>
      <c r="AJ979" s="406" t="s">
        <v>1613</v>
      </c>
      <c r="AK979" s="406" t="s">
        <v>50</v>
      </c>
      <c r="AL979" s="414">
        <v>95928</v>
      </c>
      <c r="AM979" s="405" t="s">
        <v>52</v>
      </c>
      <c r="AN979" s="361" t="s">
        <v>1071</v>
      </c>
      <c r="AO979" s="405" t="s">
        <v>1073</v>
      </c>
      <c r="AP979" s="413"/>
      <c r="AQ979" s="405" t="s">
        <v>37</v>
      </c>
      <c r="AR979" s="405"/>
      <c r="AS979" s="404" t="s">
        <v>1142</v>
      </c>
      <c r="AT979" s="404" t="s">
        <v>1073</v>
      </c>
      <c r="AU979" s="409"/>
      <c r="AV979" s="402">
        <f t="shared" si="223"/>
        <v>0</v>
      </c>
      <c r="AW979" s="402" cm="1">
        <f t="array" ref="AW979">SUM(MID(0&amp;AV979,LARGE(INDEX(ISNUMBER(--MID(AV979,ROW($1:$8),1))*ROW($1:$8),),ROW($1:$8))+1,1)*10^ROW($1:$8)/10)</f>
        <v>0</v>
      </c>
      <c r="AX979" s="402" t="e">
        <f>VLOOKUP($AW979,'Item Master Data'!$A:$F,3,FALSE)</f>
        <v>#N/A</v>
      </c>
      <c r="AY979" s="402" t="e">
        <f>VLOOKUP($AW979,'Item Master Data'!$A:$F,6,FALSE)</f>
        <v>#N/A</v>
      </c>
      <c r="AZ979" s="402" t="e">
        <f t="shared" si="224"/>
        <v>#N/A</v>
      </c>
      <c r="BA979" s="402" t="e">
        <f>VLOOKUP(AW979,'Item Master Data'!$A:$G,7,FALSE)</f>
        <v>#N/A</v>
      </c>
      <c r="BB979" s="402"/>
      <c r="BC979" s="402" t="e">
        <f t="shared" si="225"/>
        <v>#N/A</v>
      </c>
    </row>
    <row r="980" spans="1:55">
      <c r="A980" s="426"/>
      <c r="B980" s="376">
        <v>44627</v>
      </c>
      <c r="C980" s="376">
        <v>44627</v>
      </c>
      <c r="D980" s="416" t="s">
        <v>86</v>
      </c>
      <c r="E980" s="405"/>
      <c r="F980" s="417"/>
      <c r="G980" s="359">
        <v>2022</v>
      </c>
      <c r="H980" s="405">
        <v>7</v>
      </c>
      <c r="I980" s="405"/>
      <c r="J980" s="406"/>
      <c r="K980" s="405" t="s">
        <v>1788</v>
      </c>
      <c r="L980" s="405" t="s">
        <v>1680</v>
      </c>
      <c r="M980" s="406">
        <v>44602</v>
      </c>
      <c r="N980" s="406">
        <v>44714</v>
      </c>
      <c r="O980" s="406"/>
      <c r="P980" s="406"/>
      <c r="Q980" s="406"/>
      <c r="R980" s="406"/>
      <c r="S980" s="405" t="s">
        <v>1520</v>
      </c>
      <c r="T980" s="405">
        <v>60</v>
      </c>
      <c r="U980" s="417"/>
      <c r="V980" s="405" t="s">
        <v>973</v>
      </c>
      <c r="W980" s="405">
        <v>400</v>
      </c>
      <c r="X980" s="382">
        <v>1536</v>
      </c>
      <c r="Y980" s="365">
        <f t="shared" si="219"/>
        <v>614400</v>
      </c>
      <c r="Z980" s="497">
        <v>0.55000000000000004</v>
      </c>
      <c r="AA980" s="411">
        <f t="shared" si="220"/>
        <v>337920</v>
      </c>
      <c r="AB980" s="411"/>
      <c r="AC980" s="412">
        <f t="shared" si="221"/>
        <v>0</v>
      </c>
      <c r="AD980" s="405"/>
      <c r="AE980" s="405">
        <f>AA980*0.0875</f>
        <v>29567.999999999996</v>
      </c>
      <c r="AF980" s="424">
        <f t="shared" si="222"/>
        <v>367488</v>
      </c>
      <c r="AG980" s="405" t="s">
        <v>47</v>
      </c>
      <c r="AH980" s="405"/>
      <c r="AI980" s="405">
        <v>60</v>
      </c>
      <c r="AJ980" s="406" t="s">
        <v>1647</v>
      </c>
      <c r="AK980" s="406" t="s">
        <v>50</v>
      </c>
      <c r="AL980" s="414" t="s">
        <v>1648</v>
      </c>
      <c r="AM980" s="405" t="s">
        <v>52</v>
      </c>
      <c r="AN980" s="361"/>
      <c r="AO980" s="405" t="s">
        <v>1073</v>
      </c>
      <c r="AP980" s="413"/>
      <c r="AQ980" s="405" t="s">
        <v>37</v>
      </c>
      <c r="AR980" s="405"/>
      <c r="AS980" s="404"/>
      <c r="AT980" s="404"/>
      <c r="AU980" s="409"/>
      <c r="AV980" s="402">
        <f t="shared" si="223"/>
        <v>0</v>
      </c>
      <c r="AW980" s="402" cm="1">
        <f t="array" ref="AW980">SUM(MID(0&amp;AV980,LARGE(INDEX(ISNUMBER(--MID(AV980,ROW($1:$8),1))*ROW($1:$8),),ROW($1:$8))+1,1)*10^ROW($1:$8)/10)</f>
        <v>0</v>
      </c>
      <c r="AX980" s="402" t="e">
        <f>VLOOKUP($AW980,'Item Master Data'!$A:$F,3,FALSE)</f>
        <v>#N/A</v>
      </c>
      <c r="AY980" s="402" t="e">
        <f>VLOOKUP($AW980,'Item Master Data'!$A:$F,6,FALSE)</f>
        <v>#N/A</v>
      </c>
      <c r="AZ980" s="402" t="e">
        <f t="shared" si="224"/>
        <v>#N/A</v>
      </c>
      <c r="BA980" s="402" t="e">
        <f>VLOOKUP(AW980,'Item Master Data'!$A:$G,7,FALSE)</f>
        <v>#N/A</v>
      </c>
      <c r="BB980" s="402"/>
      <c r="BC980" s="402" t="e">
        <f t="shared" si="225"/>
        <v>#N/A</v>
      </c>
    </row>
    <row r="981" spans="1:55">
      <c r="A981" s="426"/>
      <c r="B981" s="376">
        <v>44627</v>
      </c>
      <c r="C981" s="376">
        <v>44627</v>
      </c>
      <c r="D981" s="416" t="s">
        <v>86</v>
      </c>
      <c r="E981" s="405"/>
      <c r="F981" s="417"/>
      <c r="G981" s="359">
        <v>2022</v>
      </c>
      <c r="H981" s="405">
        <v>7</v>
      </c>
      <c r="I981" s="405"/>
      <c r="J981" s="406"/>
      <c r="K981" s="405" t="s">
        <v>1789</v>
      </c>
      <c r="L981" s="405" t="s">
        <v>1680</v>
      </c>
      <c r="M981" s="406">
        <v>44602</v>
      </c>
      <c r="N981" s="406">
        <v>44714</v>
      </c>
      <c r="O981" s="406"/>
      <c r="P981" s="406"/>
      <c r="Q981" s="406"/>
      <c r="R981" s="406"/>
      <c r="S981" s="405" t="s">
        <v>1520</v>
      </c>
      <c r="T981" s="405">
        <v>60</v>
      </c>
      <c r="U981" s="417"/>
      <c r="V981" s="405" t="s">
        <v>973</v>
      </c>
      <c r="W981" s="405">
        <v>400</v>
      </c>
      <c r="X981" s="382">
        <v>1536</v>
      </c>
      <c r="Y981" s="365">
        <f t="shared" si="219"/>
        <v>614400</v>
      </c>
      <c r="Z981" s="497">
        <v>0.55000000000000004</v>
      </c>
      <c r="AA981" s="411">
        <f t="shared" si="220"/>
        <v>337920</v>
      </c>
      <c r="AB981" s="411"/>
      <c r="AC981" s="412">
        <f t="shared" si="221"/>
        <v>0</v>
      </c>
      <c r="AD981" s="405"/>
      <c r="AE981" s="405">
        <f>AA981*0.0725</f>
        <v>24499.199999999997</v>
      </c>
      <c r="AF981" s="424">
        <f t="shared" si="222"/>
        <v>362419.20000000001</v>
      </c>
      <c r="AG981" s="405" t="s">
        <v>47</v>
      </c>
      <c r="AH981" s="405"/>
      <c r="AI981" s="405">
        <v>60</v>
      </c>
      <c r="AJ981" s="406" t="s">
        <v>1573</v>
      </c>
      <c r="AK981" s="406" t="s">
        <v>50</v>
      </c>
      <c r="AL981" s="414" t="s">
        <v>1700</v>
      </c>
      <c r="AM981" s="405" t="s">
        <v>52</v>
      </c>
      <c r="AN981" s="361"/>
      <c r="AO981" s="405" t="s">
        <v>1073</v>
      </c>
      <c r="AP981" s="413"/>
      <c r="AQ981" s="405" t="s">
        <v>37</v>
      </c>
      <c r="AR981" s="405"/>
      <c r="AS981" s="404"/>
      <c r="AT981" s="404"/>
      <c r="AU981" s="409"/>
      <c r="AV981" s="402">
        <f t="shared" si="223"/>
        <v>0</v>
      </c>
      <c r="AW981" s="402" cm="1">
        <f t="array" ref="AW981">SUM(MID(0&amp;AV981,LARGE(INDEX(ISNUMBER(--MID(AV981,ROW($1:$8),1))*ROW($1:$8),),ROW($1:$8))+1,1)*10^ROW($1:$8)/10)</f>
        <v>0</v>
      </c>
      <c r="AX981" s="402" t="e">
        <f>VLOOKUP($AW981,'Item Master Data'!$A:$F,3,FALSE)</f>
        <v>#N/A</v>
      </c>
      <c r="AY981" s="402" t="e">
        <f>VLOOKUP($AW981,'Item Master Data'!$A:$F,6,FALSE)</f>
        <v>#N/A</v>
      </c>
      <c r="AZ981" s="402" t="e">
        <f t="shared" si="224"/>
        <v>#N/A</v>
      </c>
      <c r="BA981" s="402" t="e">
        <f>VLOOKUP(AW981,'Item Master Data'!$A:$G,7,FALSE)</f>
        <v>#N/A</v>
      </c>
      <c r="BB981" s="402"/>
      <c r="BC981" s="402" t="e">
        <f t="shared" si="225"/>
        <v>#N/A</v>
      </c>
    </row>
    <row r="982" spans="1:55">
      <c r="A982" s="426"/>
      <c r="B982" s="376">
        <v>44627</v>
      </c>
      <c r="C982" s="376">
        <v>44627</v>
      </c>
      <c r="D982" s="416" t="s">
        <v>86</v>
      </c>
      <c r="E982" s="405"/>
      <c r="F982" s="417"/>
      <c r="G982" s="359">
        <v>2022</v>
      </c>
      <c r="H982" s="405">
        <v>7</v>
      </c>
      <c r="I982" s="405"/>
      <c r="J982" s="406"/>
      <c r="K982" s="405" t="s">
        <v>1790</v>
      </c>
      <c r="L982" s="405" t="s">
        <v>1680</v>
      </c>
      <c r="M982" s="406">
        <v>44602</v>
      </c>
      <c r="N982" s="406">
        <v>44714</v>
      </c>
      <c r="O982" s="406"/>
      <c r="P982" s="406"/>
      <c r="Q982" s="406"/>
      <c r="R982" s="406"/>
      <c r="S982" s="405" t="s">
        <v>1520</v>
      </c>
      <c r="T982" s="405">
        <v>60</v>
      </c>
      <c r="U982" s="417"/>
      <c r="V982" s="405" t="s">
        <v>973</v>
      </c>
      <c r="W982" s="405">
        <v>400</v>
      </c>
      <c r="X982" s="382">
        <v>2304</v>
      </c>
      <c r="Y982" s="365">
        <f t="shared" si="219"/>
        <v>921600</v>
      </c>
      <c r="Z982" s="497">
        <v>0.55000000000000004</v>
      </c>
      <c r="AA982" s="411">
        <f t="shared" si="220"/>
        <v>506880.00000000006</v>
      </c>
      <c r="AB982" s="411"/>
      <c r="AC982" s="412">
        <f t="shared" si="221"/>
        <v>0</v>
      </c>
      <c r="AD982" s="405"/>
      <c r="AE982" s="405">
        <f>AA982*0.0835</f>
        <v>42324.48000000001</v>
      </c>
      <c r="AF982" s="424">
        <f t="shared" si="222"/>
        <v>549204.4800000001</v>
      </c>
      <c r="AG982" s="405" t="s">
        <v>47</v>
      </c>
      <c r="AH982" s="405"/>
      <c r="AI982" s="405">
        <v>60</v>
      </c>
      <c r="AJ982" s="406" t="s">
        <v>1616</v>
      </c>
      <c r="AK982" s="406" t="s">
        <v>50</v>
      </c>
      <c r="AL982" s="414" t="s">
        <v>1702</v>
      </c>
      <c r="AM982" s="405" t="s">
        <v>52</v>
      </c>
      <c r="AN982" s="361"/>
      <c r="AO982" s="405" t="s">
        <v>1073</v>
      </c>
      <c r="AP982" s="413"/>
      <c r="AQ982" s="405" t="s">
        <v>37</v>
      </c>
      <c r="AR982" s="405"/>
      <c r="AS982" s="404"/>
      <c r="AT982" s="404"/>
      <c r="AU982" s="409"/>
      <c r="AV982" s="402">
        <f t="shared" si="223"/>
        <v>0</v>
      </c>
      <c r="AW982" s="402" cm="1">
        <f t="array" ref="AW982">SUM(MID(0&amp;AV982,LARGE(INDEX(ISNUMBER(--MID(AV982,ROW($1:$8),1))*ROW($1:$8),),ROW($1:$8))+1,1)*10^ROW($1:$8)/10)</f>
        <v>0</v>
      </c>
      <c r="AX982" s="402" t="e">
        <f>VLOOKUP($AW982,'Item Master Data'!$A:$F,3,FALSE)</f>
        <v>#N/A</v>
      </c>
      <c r="AY982" s="402" t="e">
        <f>VLOOKUP($AW982,'Item Master Data'!$A:$F,6,FALSE)</f>
        <v>#N/A</v>
      </c>
      <c r="AZ982" s="402" t="e">
        <f t="shared" si="224"/>
        <v>#N/A</v>
      </c>
      <c r="BA982" s="402" t="e">
        <f>VLOOKUP(AW982,'Item Master Data'!$A:$G,7,FALSE)</f>
        <v>#N/A</v>
      </c>
      <c r="BB982" s="402"/>
      <c r="BC982" s="402" t="e">
        <f t="shared" si="225"/>
        <v>#N/A</v>
      </c>
    </row>
    <row r="983" spans="1:55">
      <c r="A983" s="426"/>
      <c r="B983" s="376">
        <v>44627</v>
      </c>
      <c r="C983" s="376">
        <v>44627</v>
      </c>
      <c r="D983" s="416" t="s">
        <v>86</v>
      </c>
      <c r="E983" s="405"/>
      <c r="F983" s="417"/>
      <c r="G983" s="359">
        <v>2022</v>
      </c>
      <c r="H983" s="405">
        <v>7</v>
      </c>
      <c r="I983" s="405"/>
      <c r="J983" s="406"/>
      <c r="K983" s="405" t="s">
        <v>1791</v>
      </c>
      <c r="L983" s="405" t="s">
        <v>1680</v>
      </c>
      <c r="M983" s="406">
        <v>44602</v>
      </c>
      <c r="N983" s="406">
        <v>44714</v>
      </c>
      <c r="O983" s="406"/>
      <c r="P983" s="406"/>
      <c r="Q983" s="406"/>
      <c r="R983" s="406"/>
      <c r="S983" s="405" t="s">
        <v>1520</v>
      </c>
      <c r="T983" s="405">
        <v>60</v>
      </c>
      <c r="U983" s="417"/>
      <c r="V983" s="405" t="s">
        <v>973</v>
      </c>
      <c r="W983" s="405">
        <v>400</v>
      </c>
      <c r="X983" s="382">
        <v>2304</v>
      </c>
      <c r="Y983" s="365">
        <f t="shared" si="219"/>
        <v>921600</v>
      </c>
      <c r="Z983" s="497">
        <v>0.55000000000000004</v>
      </c>
      <c r="AA983" s="411">
        <f t="shared" si="220"/>
        <v>506880.00000000006</v>
      </c>
      <c r="AB983" s="411"/>
      <c r="AC983" s="412">
        <f t="shared" si="221"/>
        <v>0</v>
      </c>
      <c r="AD983" s="405"/>
      <c r="AE983" s="405">
        <f>AA983*0.0725</f>
        <v>36748.800000000003</v>
      </c>
      <c r="AF983" s="424">
        <f t="shared" si="222"/>
        <v>543628.80000000005</v>
      </c>
      <c r="AG983" s="405" t="s">
        <v>47</v>
      </c>
      <c r="AH983" s="405"/>
      <c r="AI983" s="405">
        <v>60</v>
      </c>
      <c r="AJ983" s="406" t="s">
        <v>1613</v>
      </c>
      <c r="AK983" s="406" t="s">
        <v>50</v>
      </c>
      <c r="AL983" s="414" t="s">
        <v>1614</v>
      </c>
      <c r="AM983" s="405" t="s">
        <v>52</v>
      </c>
      <c r="AN983" s="361"/>
      <c r="AO983" s="405" t="s">
        <v>1073</v>
      </c>
      <c r="AP983" s="413"/>
      <c r="AQ983" s="405" t="s">
        <v>37</v>
      </c>
      <c r="AR983" s="405"/>
      <c r="AS983" s="404"/>
      <c r="AT983" s="404"/>
      <c r="AU983" s="409"/>
      <c r="AV983" s="402">
        <f t="shared" si="223"/>
        <v>0</v>
      </c>
      <c r="AW983" s="402" cm="1">
        <f t="array" ref="AW983">SUM(MID(0&amp;AV983,LARGE(INDEX(ISNUMBER(--MID(AV983,ROW($1:$8),1))*ROW($1:$8),),ROW($1:$8))+1,1)*10^ROW($1:$8)/10)</f>
        <v>0</v>
      </c>
      <c r="AX983" s="402" t="e">
        <f>VLOOKUP($AW983,'Item Master Data'!$A:$F,3,FALSE)</f>
        <v>#N/A</v>
      </c>
      <c r="AY983" s="402" t="e">
        <f>VLOOKUP($AW983,'Item Master Data'!$A:$F,6,FALSE)</f>
        <v>#N/A</v>
      </c>
      <c r="AZ983" s="402" t="e">
        <f t="shared" si="224"/>
        <v>#N/A</v>
      </c>
      <c r="BA983" s="402" t="e">
        <f>VLOOKUP(AW983,'Item Master Data'!$A:$G,7,FALSE)</f>
        <v>#N/A</v>
      </c>
      <c r="BB983" s="402"/>
      <c r="BC983" s="402" t="e">
        <f t="shared" si="225"/>
        <v>#N/A</v>
      </c>
    </row>
    <row r="984" spans="1:55">
      <c r="A984" s="426"/>
      <c r="B984" s="376">
        <v>44627</v>
      </c>
      <c r="C984" s="376">
        <v>44627</v>
      </c>
      <c r="D984" s="416" t="s">
        <v>86</v>
      </c>
      <c r="E984" s="405"/>
      <c r="F984" s="417"/>
      <c r="G984" s="359">
        <v>2022</v>
      </c>
      <c r="H984" s="405">
        <v>7</v>
      </c>
      <c r="I984" s="405"/>
      <c r="J984" s="406"/>
      <c r="K984" s="405" t="s">
        <v>1792</v>
      </c>
      <c r="L984" s="405" t="s">
        <v>1680</v>
      </c>
      <c r="M984" s="406">
        <v>44602</v>
      </c>
      <c r="N984" s="406">
        <v>44718</v>
      </c>
      <c r="O984" s="406"/>
      <c r="P984" s="406"/>
      <c r="Q984" s="406"/>
      <c r="R984" s="406"/>
      <c r="S984" s="405" t="s">
        <v>1520</v>
      </c>
      <c r="T984" s="405">
        <v>60</v>
      </c>
      <c r="U984" s="417"/>
      <c r="V984" s="405" t="s">
        <v>973</v>
      </c>
      <c r="W984" s="405">
        <v>400</v>
      </c>
      <c r="X984" s="382">
        <v>1536</v>
      </c>
      <c r="Y984" s="365">
        <f t="shared" si="219"/>
        <v>614400</v>
      </c>
      <c r="Z984" s="497">
        <v>0.55000000000000004</v>
      </c>
      <c r="AA984" s="411">
        <f t="shared" si="220"/>
        <v>337920</v>
      </c>
      <c r="AB984" s="411"/>
      <c r="AC984" s="412">
        <f t="shared" si="221"/>
        <v>0</v>
      </c>
      <c r="AD984" s="405"/>
      <c r="AE984" s="405">
        <f>AA984*0.1025</f>
        <v>34636.799999999996</v>
      </c>
      <c r="AF984" s="424">
        <f t="shared" si="222"/>
        <v>372556.79999999999</v>
      </c>
      <c r="AG984" s="405" t="s">
        <v>47</v>
      </c>
      <c r="AH984" s="405"/>
      <c r="AI984" s="405">
        <v>60</v>
      </c>
      <c r="AJ984" s="406" t="s">
        <v>1692</v>
      </c>
      <c r="AK984" s="406" t="s">
        <v>50</v>
      </c>
      <c r="AL984" s="414" t="s">
        <v>1748</v>
      </c>
      <c r="AM984" s="405" t="s">
        <v>52</v>
      </c>
      <c r="AN984" s="361"/>
      <c r="AO984" s="405" t="s">
        <v>1073</v>
      </c>
      <c r="AP984" s="413"/>
      <c r="AQ984" s="405" t="s">
        <v>37</v>
      </c>
      <c r="AR984" s="405"/>
      <c r="AS984" s="404"/>
      <c r="AT984" s="404"/>
      <c r="AU984" s="409"/>
      <c r="AV984" s="402"/>
      <c r="AW984" s="402"/>
      <c r="AX984" s="402"/>
      <c r="AY984" s="402"/>
      <c r="AZ984" s="402"/>
      <c r="BA984" s="402"/>
      <c r="BB984" s="402"/>
      <c r="BC984" s="402"/>
    </row>
    <row r="985" spans="1:55">
      <c r="A985" s="426"/>
      <c r="B985" s="376">
        <v>44627</v>
      </c>
      <c r="C985" s="376">
        <v>44627</v>
      </c>
      <c r="D985" s="416" t="s">
        <v>86</v>
      </c>
      <c r="E985" s="405"/>
      <c r="F985" s="417"/>
      <c r="G985" s="359">
        <v>2022</v>
      </c>
      <c r="H985" s="405">
        <v>7</v>
      </c>
      <c r="I985" s="405"/>
      <c r="J985" s="406"/>
      <c r="K985" s="405" t="s">
        <v>4830</v>
      </c>
      <c r="L985" s="405" t="s">
        <v>1680</v>
      </c>
      <c r="M985" s="406">
        <v>44602</v>
      </c>
      <c r="N985" s="406">
        <v>44714</v>
      </c>
      <c r="O985" s="406"/>
      <c r="P985" s="406"/>
      <c r="Q985" s="406"/>
      <c r="R985" s="406"/>
      <c r="S985" s="405" t="s">
        <v>1520</v>
      </c>
      <c r="T985" s="405">
        <v>60</v>
      </c>
      <c r="U985" s="417"/>
      <c r="V985" s="405" t="s">
        <v>973</v>
      </c>
      <c r="W985" s="405">
        <v>400</v>
      </c>
      <c r="X985" s="382">
        <v>768</v>
      </c>
      <c r="Y985" s="365">
        <f t="shared" si="219"/>
        <v>307200</v>
      </c>
      <c r="Z985" s="497">
        <v>0.55000000000000004</v>
      </c>
      <c r="AA985" s="411">
        <f t="shared" si="220"/>
        <v>168960</v>
      </c>
      <c r="AB985" s="411"/>
      <c r="AC985" s="412">
        <f t="shared" si="221"/>
        <v>0</v>
      </c>
      <c r="AD985" s="405"/>
      <c r="AE985" s="405">
        <f>AA985*0.0825</f>
        <v>13939.2</v>
      </c>
      <c r="AF985" s="424">
        <f t="shared" si="222"/>
        <v>182899.20000000001</v>
      </c>
      <c r="AG985" s="405" t="s">
        <v>47</v>
      </c>
      <c r="AH985" s="405"/>
      <c r="AI985" s="405">
        <v>60</v>
      </c>
      <c r="AJ985" s="406" t="s">
        <v>1751</v>
      </c>
      <c r="AK985" s="406" t="s">
        <v>1136</v>
      </c>
      <c r="AL985" s="414" t="s">
        <v>1752</v>
      </c>
      <c r="AM985" s="405" t="s">
        <v>52</v>
      </c>
      <c r="AN985" s="361"/>
      <c r="AO985" s="405" t="s">
        <v>1073</v>
      </c>
      <c r="AP985" s="413"/>
      <c r="AQ985" s="405" t="s">
        <v>37</v>
      </c>
      <c r="AR985" s="405"/>
      <c r="AS985" s="404"/>
      <c r="AT985" s="404"/>
      <c r="AU985" s="409"/>
      <c r="AV985" s="402"/>
      <c r="AW985" s="402"/>
      <c r="AX985" s="402"/>
      <c r="AY985" s="402"/>
      <c r="AZ985" s="402"/>
      <c r="BA985" s="402"/>
      <c r="BB985" s="402"/>
      <c r="BC985" s="402"/>
    </row>
    <row r="986" spans="1:55">
      <c r="A986" s="426"/>
      <c r="B986" s="376">
        <v>44627</v>
      </c>
      <c r="C986" s="376">
        <v>44627</v>
      </c>
      <c r="D986" s="416" t="s">
        <v>86</v>
      </c>
      <c r="E986" s="405"/>
      <c r="F986" s="417"/>
      <c r="G986" s="359">
        <v>2022</v>
      </c>
      <c r="H986" s="405">
        <v>8</v>
      </c>
      <c r="I986" s="405"/>
      <c r="J986" s="406"/>
      <c r="K986" s="405" t="s">
        <v>4833</v>
      </c>
      <c r="L986" s="405" t="s">
        <v>1680</v>
      </c>
      <c r="M986" s="406">
        <v>44602</v>
      </c>
      <c r="N986" s="406">
        <v>44714</v>
      </c>
      <c r="O986" s="406"/>
      <c r="P986" s="406"/>
      <c r="Q986" s="406"/>
      <c r="R986" s="406"/>
      <c r="S986" s="405" t="s">
        <v>1520</v>
      </c>
      <c r="T986" s="405">
        <v>60</v>
      </c>
      <c r="U986" s="417"/>
      <c r="V986" s="405" t="s">
        <v>973</v>
      </c>
      <c r="W986" s="405">
        <v>400</v>
      </c>
      <c r="X986" s="382">
        <v>2304</v>
      </c>
      <c r="Y986" s="365">
        <f t="shared" si="219"/>
        <v>921600</v>
      </c>
      <c r="Z986" s="497">
        <v>0.55000000000000004</v>
      </c>
      <c r="AA986" s="411">
        <f t="shared" si="220"/>
        <v>506880.00000000006</v>
      </c>
      <c r="AB986" s="411"/>
      <c r="AC986" s="412">
        <f t="shared" si="221"/>
        <v>0</v>
      </c>
      <c r="AD986" s="405"/>
      <c r="AE986" s="405">
        <f>AA986*0.0825</f>
        <v>41817.600000000006</v>
      </c>
      <c r="AF986" s="424">
        <f t="shared" si="222"/>
        <v>548697.60000000009</v>
      </c>
      <c r="AG986" s="405" t="s">
        <v>47</v>
      </c>
      <c r="AH986" s="405"/>
      <c r="AI986" s="405">
        <v>60</v>
      </c>
      <c r="AJ986" s="406" t="s">
        <v>1751</v>
      </c>
      <c r="AK986" s="406" t="s">
        <v>1136</v>
      </c>
      <c r="AL986" s="414" t="s">
        <v>1752</v>
      </c>
      <c r="AM986" s="405" t="s">
        <v>52</v>
      </c>
      <c r="AN986" s="361"/>
      <c r="AO986" s="405" t="s">
        <v>1073</v>
      </c>
      <c r="AP986" s="413"/>
      <c r="AQ986" s="405" t="s">
        <v>37</v>
      </c>
      <c r="AR986" s="405"/>
      <c r="AS986" s="404"/>
      <c r="AT986" s="404"/>
      <c r="AU986" s="409"/>
      <c r="AV986" s="402">
        <f>U986</f>
        <v>0</v>
      </c>
      <c r="AW986" s="402" cm="1">
        <f t="array" ref="AW986">SUM(MID(0&amp;AV986,LARGE(INDEX(ISNUMBER(--MID(AV986,ROW($1:$8),1))*ROW($1:$8),),ROW($1:$8))+1,1)*10^ROW($1:$8)/10)</f>
        <v>0</v>
      </c>
      <c r="AX986" s="402" t="e">
        <f>VLOOKUP($AW986,'Item Master Data'!$A:$F,3,FALSE)</f>
        <v>#N/A</v>
      </c>
      <c r="AY986" s="402" t="e">
        <f>VLOOKUP($AW986,'Item Master Data'!$A:$F,6,FALSE)</f>
        <v>#N/A</v>
      </c>
      <c r="AZ986" s="402" t="e">
        <f>X986/BA986</f>
        <v>#N/A</v>
      </c>
      <c r="BA986" s="402" t="e">
        <f>VLOOKUP(AW986,'Item Master Data'!$A:$G,7,FALSE)</f>
        <v>#N/A</v>
      </c>
      <c r="BB986" s="402"/>
      <c r="BC986" s="402" t="e">
        <f>W986-AY986</f>
        <v>#N/A</v>
      </c>
    </row>
    <row r="987" spans="1:55">
      <c r="A987" s="426"/>
      <c r="B987" s="376">
        <v>44627</v>
      </c>
      <c r="C987" s="376">
        <v>44627</v>
      </c>
      <c r="D987" s="416" t="s">
        <v>86</v>
      </c>
      <c r="E987" s="405"/>
      <c r="F987" s="417"/>
      <c r="G987" s="359">
        <v>2022</v>
      </c>
      <c r="H987" s="405">
        <v>8</v>
      </c>
      <c r="I987" s="405"/>
      <c r="J987" s="406"/>
      <c r="K987" s="405" t="s">
        <v>4832</v>
      </c>
      <c r="L987" s="405" t="s">
        <v>1680</v>
      </c>
      <c r="M987" s="406">
        <v>44602</v>
      </c>
      <c r="N987" s="406">
        <v>44718</v>
      </c>
      <c r="O987" s="406"/>
      <c r="P987" s="406"/>
      <c r="Q987" s="406"/>
      <c r="R987" s="406"/>
      <c r="S987" s="405" t="s">
        <v>1520</v>
      </c>
      <c r="T987" s="405">
        <v>60</v>
      </c>
      <c r="U987" s="417"/>
      <c r="V987" s="405" t="s">
        <v>973</v>
      </c>
      <c r="W987" s="405">
        <v>400</v>
      </c>
      <c r="X987" s="382">
        <v>1536</v>
      </c>
      <c r="Y987" s="365">
        <f t="shared" si="219"/>
        <v>614400</v>
      </c>
      <c r="Z987" s="497">
        <v>0.55000000000000004</v>
      </c>
      <c r="AA987" s="411">
        <f t="shared" si="220"/>
        <v>337920</v>
      </c>
      <c r="AB987" s="411"/>
      <c r="AC987" s="412">
        <f t="shared" si="221"/>
        <v>0</v>
      </c>
      <c r="AD987" s="405"/>
      <c r="AE987" s="405">
        <f>AA987*0.0825</f>
        <v>27878.400000000001</v>
      </c>
      <c r="AF987" s="424">
        <f t="shared" si="222"/>
        <v>365798.40000000002</v>
      </c>
      <c r="AG987" s="405" t="s">
        <v>47</v>
      </c>
      <c r="AH987" s="405"/>
      <c r="AI987" s="405">
        <v>60</v>
      </c>
      <c r="AJ987" s="406" t="s">
        <v>1323</v>
      </c>
      <c r="AK987" s="406" t="s">
        <v>1136</v>
      </c>
      <c r="AL987" s="414" t="s">
        <v>1794</v>
      </c>
      <c r="AM987" s="405" t="s">
        <v>52</v>
      </c>
      <c r="AN987" s="361"/>
      <c r="AO987" s="405" t="s">
        <v>1073</v>
      </c>
      <c r="AP987" s="413"/>
      <c r="AQ987" s="405" t="s">
        <v>37</v>
      </c>
      <c r="AR987" s="405"/>
      <c r="AS987" s="404"/>
      <c r="AT987" s="404"/>
      <c r="AU987" s="409"/>
      <c r="AV987" s="402">
        <f>U987</f>
        <v>0</v>
      </c>
      <c r="AW987" s="402" cm="1">
        <f t="array" ref="AW987">SUM(MID(0&amp;AV987,LARGE(INDEX(ISNUMBER(--MID(AV987,ROW($1:$8),1))*ROW($1:$8),),ROW($1:$8))+1,1)*10^ROW($1:$8)/10)</f>
        <v>0</v>
      </c>
      <c r="AX987" s="402" t="e">
        <f>VLOOKUP($AW987,'Item Master Data'!$A:$F,3,FALSE)</f>
        <v>#N/A</v>
      </c>
      <c r="AY987" s="402" t="e">
        <f>VLOOKUP($AW987,'Item Master Data'!$A:$F,6,FALSE)</f>
        <v>#N/A</v>
      </c>
      <c r="AZ987" s="402" t="e">
        <f>X987/BA987</f>
        <v>#N/A</v>
      </c>
      <c r="BA987" s="402" t="e">
        <f>VLOOKUP(AW987,'Item Master Data'!$A:$G,7,FALSE)</f>
        <v>#N/A</v>
      </c>
      <c r="BB987" s="402"/>
      <c r="BC987" s="402" t="e">
        <f>W987-AY987</f>
        <v>#N/A</v>
      </c>
    </row>
    <row r="988" spans="1:55">
      <c r="A988" s="426"/>
      <c r="B988" s="376">
        <v>44627</v>
      </c>
      <c r="C988" s="376">
        <v>44627</v>
      </c>
      <c r="D988" s="416" t="s">
        <v>86</v>
      </c>
      <c r="E988" s="405"/>
      <c r="F988" s="417"/>
      <c r="G988" s="359">
        <v>2022</v>
      </c>
      <c r="H988" s="405">
        <v>8</v>
      </c>
      <c r="I988" s="405"/>
      <c r="J988" s="406"/>
      <c r="K988" s="405" t="s">
        <v>1796</v>
      </c>
      <c r="L988" s="405" t="s">
        <v>1680</v>
      </c>
      <c r="M988" s="406">
        <v>44602</v>
      </c>
      <c r="N988" s="406">
        <v>44718</v>
      </c>
      <c r="O988" s="406"/>
      <c r="P988" s="406"/>
      <c r="Q988" s="406"/>
      <c r="R988" s="406"/>
      <c r="S988" s="405" t="s">
        <v>1520</v>
      </c>
      <c r="T988" s="405">
        <v>60</v>
      </c>
      <c r="U988" s="417"/>
      <c r="V988" s="405" t="s">
        <v>973</v>
      </c>
      <c r="W988" s="405">
        <v>400</v>
      </c>
      <c r="X988" s="382">
        <v>1536</v>
      </c>
      <c r="Y988" s="365">
        <f t="shared" si="219"/>
        <v>614400</v>
      </c>
      <c r="Z988" s="497">
        <v>0.55000000000000004</v>
      </c>
      <c r="AA988" s="411">
        <f t="shared" si="220"/>
        <v>337920</v>
      </c>
      <c r="AB988" s="411"/>
      <c r="AC988" s="412">
        <f t="shared" si="221"/>
        <v>0</v>
      </c>
      <c r="AD988" s="405"/>
      <c r="AE988" s="405">
        <f>AA988*0.0825</f>
        <v>27878.400000000001</v>
      </c>
      <c r="AF988" s="424">
        <f t="shared" si="222"/>
        <v>365798.40000000002</v>
      </c>
      <c r="AG988" s="405" t="s">
        <v>47</v>
      </c>
      <c r="AH988" s="405"/>
      <c r="AI988" s="405">
        <v>60</v>
      </c>
      <c r="AJ988" s="406" t="s">
        <v>1741</v>
      </c>
      <c r="AK988" s="406" t="s">
        <v>1136</v>
      </c>
      <c r="AL988" s="414" t="s">
        <v>1742</v>
      </c>
      <c r="AM988" s="405" t="s">
        <v>52</v>
      </c>
      <c r="AN988" s="361"/>
      <c r="AO988" s="405" t="s">
        <v>1073</v>
      </c>
      <c r="AP988" s="413"/>
      <c r="AQ988" s="405" t="s">
        <v>37</v>
      </c>
      <c r="AR988" s="405"/>
      <c r="AS988" s="404"/>
      <c r="AT988" s="404"/>
      <c r="AU988" s="409"/>
      <c r="AV988" s="402">
        <f>U988</f>
        <v>0</v>
      </c>
      <c r="AW988" s="402" cm="1">
        <f t="array" ref="AW988">SUM(MID(0&amp;AV988,LARGE(INDEX(ISNUMBER(--MID(AV988,ROW($1:$8),1))*ROW($1:$8),),ROW($1:$8))+1,1)*10^ROW($1:$8)/10)</f>
        <v>0</v>
      </c>
      <c r="AX988" s="402" t="e">
        <f>VLOOKUP($AW988,'Item Master Data'!$A:$F,3,FALSE)</f>
        <v>#N/A</v>
      </c>
      <c r="AY988" s="402" t="e">
        <f>VLOOKUP($AW988,'Item Master Data'!$A:$F,6,FALSE)</f>
        <v>#N/A</v>
      </c>
      <c r="AZ988" s="402" t="e">
        <f>X988/BA988</f>
        <v>#N/A</v>
      </c>
      <c r="BA988" s="402" t="e">
        <f>VLOOKUP(AW988,'Item Master Data'!$A:$G,7,FALSE)</f>
        <v>#N/A</v>
      </c>
      <c r="BB988" s="402"/>
      <c r="BC988" s="402" t="e">
        <f>W988-AY988</f>
        <v>#N/A</v>
      </c>
    </row>
    <row r="989" spans="1:55">
      <c r="A989" s="426"/>
      <c r="B989" s="376"/>
      <c r="C989" s="376"/>
      <c r="D989" s="416" t="s">
        <v>86</v>
      </c>
      <c r="E989" s="405" t="s">
        <v>1756</v>
      </c>
      <c r="F989" s="417" t="s">
        <v>87</v>
      </c>
      <c r="G989" s="359">
        <v>2022</v>
      </c>
      <c r="H989" s="405">
        <v>7</v>
      </c>
      <c r="I989" s="405"/>
      <c r="J989" s="406"/>
      <c r="K989" s="405" t="s">
        <v>1757</v>
      </c>
      <c r="L989" s="405" t="s">
        <v>1528</v>
      </c>
      <c r="M989" s="406">
        <v>44509</v>
      </c>
      <c r="N989" s="406">
        <v>44734</v>
      </c>
      <c r="O989" s="406">
        <v>44703</v>
      </c>
      <c r="P989" s="406"/>
      <c r="Q989" s="406"/>
      <c r="R989" s="406"/>
      <c r="S989" s="405" t="s">
        <v>88</v>
      </c>
      <c r="T989" s="405">
        <v>72</v>
      </c>
      <c r="U989" s="417"/>
      <c r="V989" s="405" t="s">
        <v>1002</v>
      </c>
      <c r="W989" s="405">
        <v>480</v>
      </c>
      <c r="X989" s="382">
        <v>1276</v>
      </c>
      <c r="Y989" s="365">
        <f t="shared" si="219"/>
        <v>612480</v>
      </c>
      <c r="Z989" s="409">
        <f>228/480</f>
        <v>0.47499999999999998</v>
      </c>
      <c r="AA989" s="411">
        <f t="shared" si="220"/>
        <v>290928</v>
      </c>
      <c r="AB989" s="411"/>
      <c r="AC989" s="412">
        <f t="shared" si="221"/>
        <v>0</v>
      </c>
      <c r="AD989" s="405"/>
      <c r="AE989" s="405"/>
      <c r="AF989" s="424">
        <f t="shared" si="222"/>
        <v>290928</v>
      </c>
      <c r="AG989" s="405" t="s">
        <v>1069</v>
      </c>
      <c r="AH989" s="405"/>
      <c r="AI989" s="405">
        <v>60</v>
      </c>
      <c r="AJ989" s="406" t="s">
        <v>1289</v>
      </c>
      <c r="AK989" s="406" t="s">
        <v>1082</v>
      </c>
      <c r="AL989" s="414">
        <v>8110</v>
      </c>
      <c r="AM989" s="405" t="s">
        <v>52</v>
      </c>
      <c r="AN989" s="361" t="s">
        <v>1082</v>
      </c>
      <c r="AO989" s="405" t="s">
        <v>1073</v>
      </c>
      <c r="AP989" s="413"/>
      <c r="AQ989" s="405" t="s">
        <v>37</v>
      </c>
      <c r="AR989" s="405"/>
      <c r="AS989" s="404" t="s">
        <v>1142</v>
      </c>
      <c r="AT989" s="404" t="s">
        <v>1073</v>
      </c>
      <c r="AU989" s="409"/>
      <c r="AV989" s="402">
        <f>U989</f>
        <v>0</v>
      </c>
      <c r="AW989" s="402" cm="1">
        <f t="array" ref="AW989">SUM(MID(0&amp;AV989,LARGE(INDEX(ISNUMBER(--MID(AV989,ROW($1:$8),1))*ROW($1:$8),),ROW($1:$8))+1,1)*10^ROW($1:$8)/10)</f>
        <v>0</v>
      </c>
      <c r="AX989" s="402" t="e">
        <f>VLOOKUP($AW989,'Item Master Data'!$A:$F,3,FALSE)</f>
        <v>#N/A</v>
      </c>
      <c r="AY989" s="402" t="e">
        <f>VLOOKUP($AW989,'Item Master Data'!$A:$F,6,FALSE)</f>
        <v>#N/A</v>
      </c>
      <c r="AZ989" s="402" t="e">
        <f>X989/BA989</f>
        <v>#N/A</v>
      </c>
      <c r="BA989" s="402" t="e">
        <f>VLOOKUP(AW989,'Item Master Data'!$A:$G,7,FALSE)</f>
        <v>#N/A</v>
      </c>
      <c r="BB989" s="402"/>
      <c r="BC989" s="402" t="e">
        <f>W989-AY989</f>
        <v>#N/A</v>
      </c>
    </row>
    <row r="990" spans="1:55">
      <c r="A990" s="426"/>
      <c r="B990" s="376"/>
      <c r="C990" s="376"/>
      <c r="D990" s="416" t="s">
        <v>86</v>
      </c>
      <c r="E990" s="405" t="s">
        <v>1756</v>
      </c>
      <c r="F990" s="417" t="s">
        <v>87</v>
      </c>
      <c r="G990" s="359">
        <v>2022</v>
      </c>
      <c r="H990" s="405">
        <v>7</v>
      </c>
      <c r="I990" s="405"/>
      <c r="J990" s="406"/>
      <c r="K990" s="405" t="s">
        <v>1797</v>
      </c>
      <c r="L990" s="405" t="s">
        <v>1528</v>
      </c>
      <c r="M990" s="406">
        <v>44509</v>
      </c>
      <c r="N990" s="406">
        <v>44699</v>
      </c>
      <c r="O990" s="406">
        <v>44730</v>
      </c>
      <c r="P990" s="406"/>
      <c r="Q990" s="406"/>
      <c r="R990" s="406"/>
      <c r="S990" s="405" t="s">
        <v>88</v>
      </c>
      <c r="T990" s="405">
        <v>72</v>
      </c>
      <c r="U990" s="417"/>
      <c r="V990" s="405" t="s">
        <v>1002</v>
      </c>
      <c r="W990" s="405">
        <v>480</v>
      </c>
      <c r="X990" s="382">
        <v>1276</v>
      </c>
      <c r="Y990" s="365">
        <f t="shared" si="219"/>
        <v>612480</v>
      </c>
      <c r="Z990" s="409">
        <f>228/480</f>
        <v>0.47499999999999998</v>
      </c>
      <c r="AA990" s="411">
        <f t="shared" si="220"/>
        <v>290928</v>
      </c>
      <c r="AB990" s="411"/>
      <c r="AC990" s="412">
        <f t="shared" si="221"/>
        <v>0</v>
      </c>
      <c r="AD990" s="405"/>
      <c r="AE990" s="405"/>
      <c r="AF990" s="424">
        <f t="shared" si="222"/>
        <v>290928</v>
      </c>
      <c r="AG990" s="405" t="s">
        <v>1069</v>
      </c>
      <c r="AH990" s="405"/>
      <c r="AI990" s="405">
        <v>60</v>
      </c>
      <c r="AJ990" s="406" t="s">
        <v>1289</v>
      </c>
      <c r="AK990" s="406" t="s">
        <v>1082</v>
      </c>
      <c r="AL990" s="414">
        <v>8110</v>
      </c>
      <c r="AM990" s="405" t="s">
        <v>52</v>
      </c>
      <c r="AN990" s="361" t="s">
        <v>1082</v>
      </c>
      <c r="AO990" s="405" t="s">
        <v>1073</v>
      </c>
      <c r="AP990" s="413"/>
      <c r="AQ990" s="405" t="s">
        <v>37</v>
      </c>
      <c r="AR990" s="405"/>
      <c r="AS990" s="404" t="s">
        <v>1142</v>
      </c>
      <c r="AT990" s="404" t="s">
        <v>1073</v>
      </c>
      <c r="AU990" s="409"/>
      <c r="AV990" s="402"/>
      <c r="AW990" s="402"/>
      <c r="AX990" s="402"/>
      <c r="AY990" s="402"/>
      <c r="AZ990" s="402"/>
      <c r="BA990" s="402"/>
      <c r="BB990" s="402"/>
      <c r="BC990" s="402"/>
    </row>
    <row r="991" spans="1:55">
      <c r="A991" s="426"/>
      <c r="B991" s="376"/>
      <c r="C991" s="376">
        <v>44634</v>
      </c>
      <c r="D991" s="416" t="s">
        <v>86</v>
      </c>
      <c r="E991" s="405" t="s">
        <v>4269</v>
      </c>
      <c r="F991" s="417"/>
      <c r="G991" s="359">
        <v>2022</v>
      </c>
      <c r="H991" s="405">
        <v>7</v>
      </c>
      <c r="I991" s="405"/>
      <c r="J991" s="406"/>
      <c r="K991" s="405" t="s">
        <v>1864</v>
      </c>
      <c r="L991" s="405" t="s">
        <v>1764</v>
      </c>
      <c r="M991" s="406">
        <v>44630</v>
      </c>
      <c r="N991" s="406">
        <v>44743</v>
      </c>
      <c r="O991" s="406"/>
      <c r="P991" s="406"/>
      <c r="Q991" s="406"/>
      <c r="R991" s="406"/>
      <c r="S991" s="405" t="s">
        <v>88</v>
      </c>
      <c r="T991" s="405">
        <v>72</v>
      </c>
      <c r="U991" s="417"/>
      <c r="V991" s="405" t="s">
        <v>1002</v>
      </c>
      <c r="W991" s="405">
        <v>480</v>
      </c>
      <c r="X991" s="382">
        <v>2552</v>
      </c>
      <c r="Y991" s="365">
        <f t="shared" si="219"/>
        <v>1224960</v>
      </c>
      <c r="Z991" s="409">
        <f>228/480</f>
        <v>0.47499999999999998</v>
      </c>
      <c r="AA991" s="411">
        <f t="shared" si="220"/>
        <v>581856</v>
      </c>
      <c r="AB991" s="411"/>
      <c r="AC991" s="412">
        <f t="shared" si="221"/>
        <v>0</v>
      </c>
      <c r="AD991" s="405"/>
      <c r="AE991" s="405"/>
      <c r="AF991" s="424">
        <f t="shared" si="222"/>
        <v>581856</v>
      </c>
      <c r="AG991" s="405" t="s">
        <v>1069</v>
      </c>
      <c r="AH991" s="405"/>
      <c r="AI991" s="405">
        <v>60</v>
      </c>
      <c r="AJ991" s="406" t="s">
        <v>1760</v>
      </c>
      <c r="AK991" s="406" t="s">
        <v>50</v>
      </c>
      <c r="AL991" s="414" t="s">
        <v>1800</v>
      </c>
      <c r="AM991" s="405" t="s">
        <v>52</v>
      </c>
      <c r="AN991" s="361"/>
      <c r="AO991" s="405" t="s">
        <v>1073</v>
      </c>
      <c r="AP991" s="413"/>
      <c r="AQ991" s="405" t="s">
        <v>37</v>
      </c>
      <c r="AR991" s="405"/>
      <c r="AS991" s="404"/>
      <c r="AT991" s="404"/>
      <c r="AU991" s="409"/>
      <c r="AV991" s="402">
        <f>U991</f>
        <v>0</v>
      </c>
      <c r="AW991" s="402" cm="1">
        <f t="array" ref="AW991">SUM(MID(0&amp;AV991,LARGE(INDEX(ISNUMBER(--MID(AV991,ROW($1:$8),1))*ROW($1:$8),),ROW($1:$8))+1,1)*10^ROW($1:$8)/10)</f>
        <v>0</v>
      </c>
      <c r="AX991" s="402" t="e">
        <f>VLOOKUP($AW991,'Item Master Data'!$A:$F,3,FALSE)</f>
        <v>#N/A</v>
      </c>
      <c r="AY991" s="402" t="e">
        <f>VLOOKUP($AW991,'Item Master Data'!$A:$F,6,FALSE)</f>
        <v>#N/A</v>
      </c>
      <c r="AZ991" s="402" t="e">
        <f>X991/BA991</f>
        <v>#N/A</v>
      </c>
      <c r="BA991" s="402" t="e">
        <f>VLOOKUP(AW991,'Item Master Data'!$A:$G,7,FALSE)</f>
        <v>#N/A</v>
      </c>
      <c r="BB991" s="402"/>
      <c r="BC991" s="402" t="e">
        <f>W991-AY991</f>
        <v>#N/A</v>
      </c>
    </row>
    <row r="992" spans="1:55">
      <c r="A992" s="426"/>
      <c r="B992" s="376"/>
      <c r="C992" s="376"/>
      <c r="D992" s="416" t="s">
        <v>86</v>
      </c>
      <c r="E992" s="405" t="s">
        <v>4273</v>
      </c>
      <c r="F992" s="417"/>
      <c r="G992" s="359">
        <v>2022</v>
      </c>
      <c r="H992" s="405">
        <v>7</v>
      </c>
      <c r="I992" s="405"/>
      <c r="J992" s="406"/>
      <c r="K992" s="405" t="s">
        <v>4275</v>
      </c>
      <c r="L992" s="405" t="s">
        <v>1764</v>
      </c>
      <c r="M992" s="406">
        <v>44662</v>
      </c>
      <c r="N992" s="406">
        <v>44743</v>
      </c>
      <c r="O992" s="406"/>
      <c r="P992" s="406"/>
      <c r="Q992" s="406"/>
      <c r="R992" s="406"/>
      <c r="S992" s="405" t="s">
        <v>88</v>
      </c>
      <c r="T992" s="405">
        <v>72</v>
      </c>
      <c r="U992" s="417"/>
      <c r="V992" s="405" t="s">
        <v>995</v>
      </c>
      <c r="W992" s="405">
        <v>480</v>
      </c>
      <c r="X992" s="382">
        <v>1914</v>
      </c>
      <c r="Y992" s="365">
        <f t="shared" si="219"/>
        <v>918720</v>
      </c>
      <c r="Z992" s="409">
        <f>268.8/480</f>
        <v>0.56000000000000005</v>
      </c>
      <c r="AA992" s="411">
        <f t="shared" si="220"/>
        <v>514483.20000000007</v>
      </c>
      <c r="AB992" s="411"/>
      <c r="AC992" s="412">
        <f t="shared" si="221"/>
        <v>0</v>
      </c>
      <c r="AD992" s="405"/>
      <c r="AE992" s="405"/>
      <c r="AF992" s="424">
        <f t="shared" si="222"/>
        <v>514483.20000000007</v>
      </c>
      <c r="AG992" s="405" t="s">
        <v>1069</v>
      </c>
      <c r="AH992" s="405"/>
      <c r="AI992" s="405">
        <v>60</v>
      </c>
      <c r="AJ992" s="406" t="s">
        <v>1760</v>
      </c>
      <c r="AK992" s="406" t="s">
        <v>50</v>
      </c>
      <c r="AL992" s="414" t="s">
        <v>1800</v>
      </c>
      <c r="AM992" s="405" t="s">
        <v>52</v>
      </c>
      <c r="AN992" s="361"/>
      <c r="AO992" s="405" t="s">
        <v>1073</v>
      </c>
      <c r="AP992" s="413"/>
      <c r="AQ992" s="405" t="s">
        <v>37</v>
      </c>
      <c r="AR992" s="405"/>
      <c r="AS992" s="404"/>
      <c r="AT992" s="404"/>
      <c r="AU992" s="409"/>
      <c r="AV992" s="402">
        <f>U992</f>
        <v>0</v>
      </c>
      <c r="AW992" s="402" cm="1">
        <f t="array" ref="AW992">SUM(MID(0&amp;AV992,LARGE(INDEX(ISNUMBER(--MID(AV992,ROW($1:$8),1))*ROW($1:$8),),ROW($1:$8))+1,1)*10^ROW($1:$8)/10)</f>
        <v>0</v>
      </c>
      <c r="AX992" s="402" t="e">
        <f>VLOOKUP($AW992,'Item Master Data'!$A:$F,3,FALSE)</f>
        <v>#N/A</v>
      </c>
      <c r="AY992" s="402" t="e">
        <f>VLOOKUP($AW992,'Item Master Data'!$A:$F,6,FALSE)</f>
        <v>#N/A</v>
      </c>
      <c r="AZ992" s="402" t="e">
        <f>X992/BA992</f>
        <v>#N/A</v>
      </c>
      <c r="BA992" s="402" t="e">
        <f>VLOOKUP(AW992,'Item Master Data'!$A:$G,7,FALSE)</f>
        <v>#N/A</v>
      </c>
      <c r="BB992" s="402"/>
      <c r="BC992" s="402" t="e">
        <f>W992-AY992</f>
        <v>#N/A</v>
      </c>
    </row>
    <row r="993" spans="1:55">
      <c r="A993" s="426">
        <v>27</v>
      </c>
      <c r="B993" s="376">
        <v>44665</v>
      </c>
      <c r="C993" s="376">
        <v>44665</v>
      </c>
      <c r="D993" s="416" t="s">
        <v>86</v>
      </c>
      <c r="E993" s="405"/>
      <c r="F993" s="417"/>
      <c r="G993" s="359">
        <v>2022</v>
      </c>
      <c r="H993" s="405">
        <v>7</v>
      </c>
      <c r="I993" s="405"/>
      <c r="J993" s="406"/>
      <c r="K993" s="405" t="s">
        <v>1862</v>
      </c>
      <c r="L993" s="405" t="s">
        <v>1759</v>
      </c>
      <c r="M993" s="406">
        <v>44561</v>
      </c>
      <c r="N993" s="406">
        <v>44739</v>
      </c>
      <c r="O993" s="406">
        <v>44769</v>
      </c>
      <c r="P993" s="406"/>
      <c r="Q993" s="406"/>
      <c r="R993" s="406"/>
      <c r="S993" s="405" t="s">
        <v>88</v>
      </c>
      <c r="T993" s="405">
        <v>60</v>
      </c>
      <c r="U993" s="417"/>
      <c r="V993" s="405" t="s">
        <v>986</v>
      </c>
      <c r="W993" s="405">
        <v>360</v>
      </c>
      <c r="X993" s="382">
        <v>3072</v>
      </c>
      <c r="Y993" s="365">
        <f t="shared" si="219"/>
        <v>1105920</v>
      </c>
      <c r="Z993" s="409">
        <f>192.6/360</f>
        <v>0.53500000000000003</v>
      </c>
      <c r="AA993" s="411">
        <f t="shared" si="220"/>
        <v>591667.20000000007</v>
      </c>
      <c r="AB993" s="411"/>
      <c r="AC993" s="412">
        <v>0</v>
      </c>
      <c r="AD993" s="405"/>
      <c r="AE993" s="405"/>
      <c r="AF993" s="424">
        <f t="shared" si="222"/>
        <v>591667.20000000007</v>
      </c>
      <c r="AG993" s="405" t="s">
        <v>1069</v>
      </c>
      <c r="AH993" s="405"/>
      <c r="AI993" s="405">
        <v>60</v>
      </c>
      <c r="AJ993" s="406" t="s">
        <v>1760</v>
      </c>
      <c r="AK993" s="406" t="s">
        <v>50</v>
      </c>
      <c r="AL993" s="414">
        <v>92056</v>
      </c>
      <c r="AM993" s="405" t="s">
        <v>52</v>
      </c>
      <c r="AN993" s="361" t="s">
        <v>50</v>
      </c>
      <c r="AO993" s="405" t="s">
        <v>1073</v>
      </c>
      <c r="AP993" s="413" t="s">
        <v>38</v>
      </c>
      <c r="AQ993" s="405" t="s">
        <v>37</v>
      </c>
      <c r="AR993" s="405"/>
      <c r="AS993" s="404" t="s">
        <v>1142</v>
      </c>
      <c r="AT993" s="404" t="s">
        <v>1073</v>
      </c>
      <c r="AU993" s="409"/>
      <c r="AV993" s="402">
        <f>U993</f>
        <v>0</v>
      </c>
      <c r="AW993" s="402" cm="1">
        <f t="array" ref="AW993">SUM(MID(0&amp;AV993,LARGE(INDEX(ISNUMBER(--MID(AV993,ROW($1:$8),1))*ROW($1:$8),),ROW($1:$8))+1,1)*10^ROW($1:$8)/10)</f>
        <v>0</v>
      </c>
      <c r="AX993" s="402" t="e">
        <f>VLOOKUP($AW993,'Item Master Data'!$A:$F,3,FALSE)</f>
        <v>#N/A</v>
      </c>
      <c r="AY993" s="402" t="e">
        <f>VLOOKUP($AW993,'Item Master Data'!$A:$F,6,FALSE)</f>
        <v>#N/A</v>
      </c>
      <c r="AZ993" s="402" t="e">
        <f>X993/BA993</f>
        <v>#N/A</v>
      </c>
      <c r="BA993" s="402" t="e">
        <f>VLOOKUP(AW993,'Item Master Data'!$A:$G,7,FALSE)</f>
        <v>#N/A</v>
      </c>
      <c r="BB993" s="402"/>
      <c r="BC993" s="402" t="e">
        <f>W993-AY993</f>
        <v>#N/A</v>
      </c>
    </row>
    <row r="994" spans="1:55">
      <c r="A994" s="426">
        <v>27</v>
      </c>
      <c r="B994" s="376">
        <v>44665</v>
      </c>
      <c r="C994" s="376">
        <v>44665</v>
      </c>
      <c r="D994" s="416" t="s">
        <v>86</v>
      </c>
      <c r="E994" s="405"/>
      <c r="F994" s="417"/>
      <c r="G994" s="359">
        <v>2022</v>
      </c>
      <c r="H994" s="405">
        <v>7</v>
      </c>
      <c r="I994" s="405"/>
      <c r="J994" s="406"/>
      <c r="K994" s="405" t="s">
        <v>1863</v>
      </c>
      <c r="L994" s="405" t="s">
        <v>1759</v>
      </c>
      <c r="M994" s="406">
        <v>44561</v>
      </c>
      <c r="N994" s="406">
        <v>44739</v>
      </c>
      <c r="O994" s="406">
        <v>44769</v>
      </c>
      <c r="P994" s="406"/>
      <c r="Q994" s="406"/>
      <c r="R994" s="406"/>
      <c r="S994" s="405" t="s">
        <v>88</v>
      </c>
      <c r="T994" s="405">
        <v>60</v>
      </c>
      <c r="U994" s="417"/>
      <c r="V994" s="405" t="s">
        <v>973</v>
      </c>
      <c r="W994" s="405">
        <v>400</v>
      </c>
      <c r="X994" s="382">
        <v>3072</v>
      </c>
      <c r="Y994" s="365">
        <f t="shared" si="219"/>
        <v>1228800</v>
      </c>
      <c r="Z994" s="409">
        <v>0.55500000000000005</v>
      </c>
      <c r="AA994" s="411">
        <f t="shared" si="220"/>
        <v>681984.00000000012</v>
      </c>
      <c r="AB994" s="411"/>
      <c r="AC994" s="412">
        <v>0</v>
      </c>
      <c r="AD994" s="405"/>
      <c r="AE994" s="405"/>
      <c r="AF994" s="424">
        <f t="shared" si="222"/>
        <v>681984.00000000012</v>
      </c>
      <c r="AG994" s="405" t="s">
        <v>1069</v>
      </c>
      <c r="AH994" s="405"/>
      <c r="AI994" s="405">
        <v>60</v>
      </c>
      <c r="AJ994" s="406" t="s">
        <v>1760</v>
      </c>
      <c r="AK994" s="406" t="s">
        <v>50</v>
      </c>
      <c r="AL994" s="414">
        <v>92056</v>
      </c>
      <c r="AM994" s="405" t="s">
        <v>52</v>
      </c>
      <c r="AN994" s="361" t="s">
        <v>50</v>
      </c>
      <c r="AO994" s="405" t="s">
        <v>1073</v>
      </c>
      <c r="AP994" s="413" t="s">
        <v>38</v>
      </c>
      <c r="AQ994" s="405" t="s">
        <v>37</v>
      </c>
      <c r="AR994" s="405"/>
      <c r="AS994" s="404" t="s">
        <v>1142</v>
      </c>
      <c r="AT994" s="404" t="s">
        <v>1073</v>
      </c>
      <c r="AU994" s="409"/>
      <c r="AV994" s="402">
        <f>U994</f>
        <v>0</v>
      </c>
      <c r="AW994" s="402" cm="1">
        <f t="array" ref="AW994">SUM(MID(0&amp;AV994,LARGE(INDEX(ISNUMBER(--MID(AV994,ROW($1:$8),1))*ROW($1:$8),),ROW($1:$8))+1,1)*10^ROW($1:$8)/10)</f>
        <v>0</v>
      </c>
      <c r="AX994" s="402" t="e">
        <f>VLOOKUP($AW994,'Item Master Data'!$A:$F,3,FALSE)</f>
        <v>#N/A</v>
      </c>
      <c r="AY994" s="402" t="e">
        <f>VLOOKUP($AW994,'Item Master Data'!$A:$F,6,FALSE)</f>
        <v>#N/A</v>
      </c>
      <c r="AZ994" s="402" t="e">
        <f>X994/BA994</f>
        <v>#N/A</v>
      </c>
      <c r="BA994" s="402" t="e">
        <f>VLOOKUP(AW994,'Item Master Data'!$A:$G,7,FALSE)</f>
        <v>#N/A</v>
      </c>
      <c r="BB994" s="402"/>
      <c r="BC994" s="402" t="e">
        <f>W994-AY994</f>
        <v>#N/A</v>
      </c>
    </row>
    <row r="995" spans="1:55">
      <c r="A995" s="426"/>
      <c r="B995" s="376"/>
      <c r="C995" s="376"/>
      <c r="D995" s="416" t="s">
        <v>86</v>
      </c>
      <c r="E995" s="405" t="s">
        <v>4269</v>
      </c>
      <c r="F995" s="417"/>
      <c r="G995" s="359">
        <v>2022</v>
      </c>
      <c r="H995" s="405">
        <v>7</v>
      </c>
      <c r="I995" s="405"/>
      <c r="J995" s="406"/>
      <c r="K995" s="405">
        <v>1201</v>
      </c>
      <c r="L995" s="405" t="s">
        <v>1556</v>
      </c>
      <c r="M995" s="406">
        <v>44585</v>
      </c>
      <c r="N995" s="406">
        <v>44746</v>
      </c>
      <c r="O995" s="406"/>
      <c r="P995" s="406"/>
      <c r="Q995" s="406"/>
      <c r="R995" s="406"/>
      <c r="S995" s="405" t="s">
        <v>1510</v>
      </c>
      <c r="T995" s="405">
        <v>72</v>
      </c>
      <c r="U995" s="417"/>
      <c r="V995" s="405" t="s">
        <v>1002</v>
      </c>
      <c r="W995" s="405">
        <v>480</v>
      </c>
      <c r="X995" s="382">
        <v>1276</v>
      </c>
      <c r="Y995" s="365">
        <f t="shared" si="219"/>
        <v>612480</v>
      </c>
      <c r="Z995" s="409">
        <f>237.6/480</f>
        <v>0.495</v>
      </c>
      <c r="AA995" s="411">
        <f t="shared" si="220"/>
        <v>303177.59999999998</v>
      </c>
      <c r="AB995" s="411"/>
      <c r="AC995" s="412">
        <f>AB995*Y995</f>
        <v>0</v>
      </c>
      <c r="AD995" s="405"/>
      <c r="AE995" s="405"/>
      <c r="AF995" s="424">
        <f t="shared" si="222"/>
        <v>303177.59999999998</v>
      </c>
      <c r="AG995" s="405" t="s">
        <v>1069</v>
      </c>
      <c r="AH995" s="405">
        <v>100</v>
      </c>
      <c r="AI995" s="405">
        <v>0</v>
      </c>
      <c r="AJ995" s="406" t="s">
        <v>1558</v>
      </c>
      <c r="AK995" s="406" t="s">
        <v>50</v>
      </c>
      <c r="AL995" s="414">
        <v>92010</v>
      </c>
      <c r="AM995" s="405" t="s">
        <v>52</v>
      </c>
      <c r="AN995" s="361"/>
      <c r="AO995" s="405" t="s">
        <v>1073</v>
      </c>
      <c r="AP995" s="413"/>
      <c r="AQ995" s="405" t="s">
        <v>37</v>
      </c>
      <c r="AR995" s="405"/>
      <c r="AS995" s="404"/>
      <c r="AT995" s="404"/>
      <c r="AU995" s="409"/>
      <c r="AV995" s="402"/>
      <c r="AW995" s="402"/>
      <c r="AX995" s="402"/>
      <c r="AY995" s="402"/>
      <c r="AZ995" s="402"/>
      <c r="BA995" s="402"/>
      <c r="BB995" s="402"/>
      <c r="BC995" s="402"/>
    </row>
    <row r="996" spans="1:55">
      <c r="A996" s="426"/>
      <c r="B996" s="376"/>
      <c r="C996" s="376"/>
      <c r="D996" s="416" t="s">
        <v>86</v>
      </c>
      <c r="E996" s="405"/>
      <c r="F996" s="417" t="s">
        <v>1318</v>
      </c>
      <c r="G996" s="359">
        <v>2022</v>
      </c>
      <c r="H996" s="405">
        <v>7</v>
      </c>
      <c r="I996" s="405" t="s">
        <v>4439</v>
      </c>
      <c r="J996" s="406"/>
      <c r="K996" s="405" t="s">
        <v>4038</v>
      </c>
      <c r="L996" s="405" t="s">
        <v>4039</v>
      </c>
      <c r="M996" s="406">
        <v>44664</v>
      </c>
      <c r="N996" s="406">
        <v>44750</v>
      </c>
      <c r="O996" s="406"/>
      <c r="P996" s="406" t="s">
        <v>4440</v>
      </c>
      <c r="Q996" s="406"/>
      <c r="R996" s="406"/>
      <c r="S996" s="405" t="s">
        <v>88</v>
      </c>
      <c r="T996" s="405">
        <v>72</v>
      </c>
      <c r="U996" s="417">
        <v>49303156</v>
      </c>
      <c r="V996" s="405" t="s">
        <v>995</v>
      </c>
      <c r="W996" s="405">
        <v>480</v>
      </c>
      <c r="X996" s="382">
        <v>5834</v>
      </c>
      <c r="Y996" s="365">
        <f t="shared" si="219"/>
        <v>2800320</v>
      </c>
      <c r="Z996" s="409">
        <f>264/480</f>
        <v>0.55000000000000004</v>
      </c>
      <c r="AA996" s="411">
        <f t="shared" si="220"/>
        <v>1540176.0000000002</v>
      </c>
      <c r="AB996" s="411"/>
      <c r="AC996" s="412">
        <f>AB996*Y996</f>
        <v>0</v>
      </c>
      <c r="AD996" s="405"/>
      <c r="AE996" s="405">
        <f>AA996*0.0775</f>
        <v>119363.64000000001</v>
      </c>
      <c r="AF996" s="424">
        <f t="shared" si="222"/>
        <v>1659539.6400000001</v>
      </c>
      <c r="AG996" s="405" t="s">
        <v>1069</v>
      </c>
      <c r="AH996" s="405">
        <v>100</v>
      </c>
      <c r="AI996" s="405">
        <v>0</v>
      </c>
      <c r="AJ996" s="406" t="s">
        <v>1584</v>
      </c>
      <c r="AK996" s="406" t="s">
        <v>1913</v>
      </c>
      <c r="AL996" s="414">
        <v>95834</v>
      </c>
      <c r="AM996" s="405" t="s">
        <v>52</v>
      </c>
      <c r="AN996" s="361" t="s">
        <v>1516</v>
      </c>
      <c r="AO996" s="405" t="s">
        <v>1073</v>
      </c>
      <c r="AP996" s="413"/>
      <c r="AQ996" s="405" t="s">
        <v>37</v>
      </c>
      <c r="AR996" s="405"/>
      <c r="AS996" s="404" t="s">
        <v>1142</v>
      </c>
      <c r="AT996" s="404" t="s">
        <v>1073</v>
      </c>
      <c r="AU996" s="409"/>
      <c r="AV996" s="402">
        <f>U996</f>
        <v>49303156</v>
      </c>
      <c r="AW996" s="402" cm="1">
        <f t="array" ref="AW996">SUM(MID(0&amp;AV996,LARGE(INDEX(ISNUMBER(--MID(AV996,ROW($1:$8),1))*ROW($1:$8),),ROW($1:$8))+1,1)*10^ROW($1:$8)/10)</f>
        <v>49303156</v>
      </c>
      <c r="AX996" s="402" t="str">
        <f>VLOOKUP($AW996,'Item Master Data'!$A:$F,3,FALSE)</f>
        <v>Q.PEAK DUO XL G10 BFG</v>
      </c>
      <c r="AY996" s="402">
        <f>VLOOKUP($AW996,'Item Master Data'!$A:$F,6,FALSE)</f>
        <v>480</v>
      </c>
      <c r="AZ996" s="402">
        <f>X996/BA996</f>
        <v>201.17241379310346</v>
      </c>
      <c r="BA996" s="402">
        <f>VLOOKUP(AW996,'Item Master Data'!$A:$G,7,FALSE)</f>
        <v>29</v>
      </c>
      <c r="BB996" s="402"/>
      <c r="BC996" s="402">
        <f>W996-AY996</f>
        <v>0</v>
      </c>
    </row>
    <row r="997" spans="1:55">
      <c r="A997" s="426"/>
      <c r="B997" s="376">
        <v>44627</v>
      </c>
      <c r="C997" s="376">
        <v>44628</v>
      </c>
      <c r="D997" s="416" t="s">
        <v>86</v>
      </c>
      <c r="E997" s="405" t="s">
        <v>4594</v>
      </c>
      <c r="F997" s="417"/>
      <c r="G997" s="359">
        <v>2022</v>
      </c>
      <c r="H997" s="405">
        <v>7</v>
      </c>
      <c r="I997" s="405"/>
      <c r="J997" s="406"/>
      <c r="K997" s="405" t="s">
        <v>4595</v>
      </c>
      <c r="L997" s="405" t="s">
        <v>1517</v>
      </c>
      <c r="M997" s="406">
        <v>44593</v>
      </c>
      <c r="N997" s="406">
        <v>44696</v>
      </c>
      <c r="O997" s="406" t="s">
        <v>1236</v>
      </c>
      <c r="P997" s="406"/>
      <c r="Q997" s="406"/>
      <c r="R997" s="406"/>
      <c r="S997" s="405" t="s">
        <v>88</v>
      </c>
      <c r="T997" s="405">
        <v>60</v>
      </c>
      <c r="U997" s="417">
        <v>49201132</v>
      </c>
      <c r="V997" s="405" t="s">
        <v>986</v>
      </c>
      <c r="W997" s="405">
        <v>360</v>
      </c>
      <c r="X997" s="382">
        <v>768</v>
      </c>
      <c r="Y997" s="365">
        <f t="shared" si="219"/>
        <v>276480</v>
      </c>
      <c r="Z997" s="409">
        <f>190.8/360</f>
        <v>0.53</v>
      </c>
      <c r="AA997" s="411">
        <f t="shared" si="220"/>
        <v>146534.39999999999</v>
      </c>
      <c r="AB997" s="411"/>
      <c r="AC997" s="412">
        <v>0</v>
      </c>
      <c r="AD997" s="405"/>
      <c r="AE997" s="405"/>
      <c r="AF997" s="424">
        <f t="shared" si="222"/>
        <v>146534.39999999999</v>
      </c>
      <c r="AG997" s="405" t="s">
        <v>1069</v>
      </c>
      <c r="AH997" s="405"/>
      <c r="AI997" s="405">
        <v>60</v>
      </c>
      <c r="AJ997" s="406" t="s">
        <v>1518</v>
      </c>
      <c r="AK997" s="406" t="s">
        <v>50</v>
      </c>
      <c r="AL997" s="414">
        <v>92126</v>
      </c>
      <c r="AM997" s="405" t="s">
        <v>52</v>
      </c>
      <c r="AN997" s="361" t="s">
        <v>1071</v>
      </c>
      <c r="AO997" s="405" t="s">
        <v>1073</v>
      </c>
      <c r="AP997" s="413"/>
      <c r="AQ997" s="405" t="s">
        <v>37</v>
      </c>
      <c r="AR997" s="405" t="s">
        <v>1188</v>
      </c>
      <c r="AS997" s="404" t="s">
        <v>1392</v>
      </c>
      <c r="AT997" s="404"/>
      <c r="AU997" s="409">
        <f>180/360</f>
        <v>0.5</v>
      </c>
      <c r="AV997" s="402">
        <f>U997</f>
        <v>49201132</v>
      </c>
      <c r="AW997" s="402" cm="1">
        <f t="array" ref="AW997">SUM(MID(0&amp;AV997,LARGE(INDEX(ISNUMBER(--MID(AV997,ROW($1:$8),1))*ROW($1:$8),),ROW($1:$8))+1,1)*10^ROW($1:$8)/10)</f>
        <v>49201132</v>
      </c>
      <c r="AX997" s="402" t="str">
        <f>VLOOKUP($AW997,'Item Master Data'!$A:$F,3,FALSE)</f>
        <v>Q.PEAK DUO BLK G10+</v>
      </c>
      <c r="AY997" s="402">
        <f>VLOOKUP($AW997,'Item Master Data'!$A:$F,6,FALSE)</f>
        <v>360</v>
      </c>
      <c r="AZ997" s="402">
        <f>X997/BA997</f>
        <v>24</v>
      </c>
      <c r="BA997" s="402">
        <f>VLOOKUP(AW997,'Item Master Data'!$A:$G,7,FALSE)</f>
        <v>32</v>
      </c>
      <c r="BB997" s="402"/>
      <c r="BC997" s="402">
        <f>W997-AY997</f>
        <v>0</v>
      </c>
    </row>
    <row r="998" spans="1:55">
      <c r="A998" s="426"/>
      <c r="B998" s="376"/>
      <c r="C998" s="376"/>
      <c r="D998" s="416" t="s">
        <v>86</v>
      </c>
      <c r="E998" s="405"/>
      <c r="F998" s="417"/>
      <c r="G998" s="359">
        <v>2022</v>
      </c>
      <c r="H998" s="405">
        <v>7</v>
      </c>
      <c r="I998" s="405"/>
      <c r="J998" s="406"/>
      <c r="K998" s="405" t="s">
        <v>4731</v>
      </c>
      <c r="L998" s="405" t="s">
        <v>1561</v>
      </c>
      <c r="M998" s="406">
        <v>44687</v>
      </c>
      <c r="N998" s="406">
        <v>44747</v>
      </c>
      <c r="O998" s="406"/>
      <c r="P998" s="406"/>
      <c r="Q998" s="406"/>
      <c r="R998" s="406"/>
      <c r="S998" s="405" t="s">
        <v>88</v>
      </c>
      <c r="T998" s="405">
        <v>72</v>
      </c>
      <c r="U998" s="417"/>
      <c r="V998" s="405" t="s">
        <v>995</v>
      </c>
      <c r="W998" s="405">
        <v>480</v>
      </c>
      <c r="X998" s="382">
        <v>1276</v>
      </c>
      <c r="Y998" s="365">
        <f t="shared" si="219"/>
        <v>612480</v>
      </c>
      <c r="Z998" s="409">
        <f>285.6/480</f>
        <v>0.59500000000000008</v>
      </c>
      <c r="AA998" s="411">
        <f t="shared" si="220"/>
        <v>364425.60000000003</v>
      </c>
      <c r="AB998" s="411"/>
      <c r="AC998" s="412"/>
      <c r="AD998" s="405"/>
      <c r="AE998" s="405"/>
      <c r="AF998" s="424">
        <f t="shared" si="222"/>
        <v>364425.60000000003</v>
      </c>
      <c r="AG998" s="405" t="s">
        <v>1069</v>
      </c>
      <c r="AH998" s="405"/>
      <c r="AI998" s="405">
        <v>60</v>
      </c>
      <c r="AJ998" s="406" t="s">
        <v>1563</v>
      </c>
      <c r="AK998" s="406" t="s">
        <v>50</v>
      </c>
      <c r="AL998" s="414">
        <v>93305</v>
      </c>
      <c r="AM998" s="405" t="s">
        <v>52</v>
      </c>
      <c r="AN998" s="361" t="s">
        <v>1071</v>
      </c>
      <c r="AO998" s="405" t="s">
        <v>1073</v>
      </c>
      <c r="AP998" s="413"/>
      <c r="AQ998" s="405" t="s">
        <v>37</v>
      </c>
      <c r="AR998" s="405" t="s">
        <v>1499</v>
      </c>
      <c r="AS998" s="404"/>
      <c r="AT998" s="404"/>
      <c r="AU998" s="409">
        <v>0.45500000000000002</v>
      </c>
      <c r="AV998" s="402">
        <f>U998</f>
        <v>0</v>
      </c>
      <c r="AW998" s="402" cm="1">
        <f t="array" ref="AW998">SUM(MID(0&amp;AV998,LARGE(INDEX(ISNUMBER(--MID(AV998,ROW($1:$8),1))*ROW($1:$8),),ROW($1:$8))+1,1)*10^ROW($1:$8)/10)</f>
        <v>0</v>
      </c>
      <c r="AX998" s="402" t="e">
        <f>VLOOKUP($AW998,'Item Master Data'!$A:$F,3,FALSE)</f>
        <v>#N/A</v>
      </c>
      <c r="AY998" s="402" t="e">
        <f>VLOOKUP($AW998,'Item Master Data'!$A:$F,6,FALSE)</f>
        <v>#N/A</v>
      </c>
      <c r="AZ998" s="402" t="e">
        <f>X998/BA998</f>
        <v>#N/A</v>
      </c>
      <c r="BA998" s="402" t="e">
        <f>VLOOKUP(AW998,'Item Master Data'!$A:$G,7,FALSE)</f>
        <v>#N/A</v>
      </c>
      <c r="BB998" s="402"/>
      <c r="BC998" s="402" t="e">
        <f>W998-AY998</f>
        <v>#N/A</v>
      </c>
    </row>
    <row r="999" spans="1:55">
      <c r="A999" s="426"/>
      <c r="B999" s="376"/>
      <c r="C999" s="376"/>
      <c r="D999" s="416" t="s">
        <v>86</v>
      </c>
      <c r="E999" s="405"/>
      <c r="F999" s="417"/>
      <c r="G999" s="359">
        <v>2022</v>
      </c>
      <c r="H999" s="405">
        <v>8</v>
      </c>
      <c r="I999" s="405"/>
      <c r="J999" s="406"/>
      <c r="K999" s="405" t="s">
        <v>1542</v>
      </c>
      <c r="L999" s="405" t="s">
        <v>1514</v>
      </c>
      <c r="M999" s="406">
        <v>44595</v>
      </c>
      <c r="N999" s="406">
        <v>44747</v>
      </c>
      <c r="O999" s="406">
        <v>44778</v>
      </c>
      <c r="P999" s="406"/>
      <c r="Q999" s="406"/>
      <c r="R999" s="406"/>
      <c r="S999" s="405" t="s">
        <v>88</v>
      </c>
      <c r="T999" s="405">
        <v>60</v>
      </c>
      <c r="U999" s="417"/>
      <c r="V999" s="405" t="s">
        <v>986</v>
      </c>
      <c r="W999" s="405">
        <v>360</v>
      </c>
      <c r="X999" s="382">
        <v>1664</v>
      </c>
      <c r="Y999" s="365">
        <f t="shared" si="219"/>
        <v>599040</v>
      </c>
      <c r="Z999" s="409">
        <f>190.8/360</f>
        <v>0.53</v>
      </c>
      <c r="AA999" s="411">
        <f t="shared" si="220"/>
        <v>317491.20000000001</v>
      </c>
      <c r="AB999" s="411"/>
      <c r="AC999" s="412">
        <v>0</v>
      </c>
      <c r="AD999" s="405"/>
      <c r="AE999" s="405"/>
      <c r="AF999" s="424">
        <f t="shared" si="222"/>
        <v>317491.20000000001</v>
      </c>
      <c r="AG999" s="405" t="s">
        <v>1069</v>
      </c>
      <c r="AH999" s="405"/>
      <c r="AI999" s="405">
        <v>60</v>
      </c>
      <c r="AJ999" s="406" t="s">
        <v>1515</v>
      </c>
      <c r="AK999" s="406" t="s">
        <v>1136</v>
      </c>
      <c r="AL999" s="414">
        <v>92806</v>
      </c>
      <c r="AM999" s="405" t="s">
        <v>52</v>
      </c>
      <c r="AN999" s="361"/>
      <c r="AO999" s="405" t="s">
        <v>1073</v>
      </c>
      <c r="AP999" s="413" t="s">
        <v>92</v>
      </c>
      <c r="AQ999" s="405" t="s">
        <v>37</v>
      </c>
      <c r="AR999" s="405" t="s">
        <v>1188</v>
      </c>
      <c r="AS999" s="404" t="s">
        <v>1392</v>
      </c>
      <c r="AT999" s="404"/>
      <c r="AU999" s="409">
        <f>180/360</f>
        <v>0.5</v>
      </c>
      <c r="AV999" s="402">
        <f>U999</f>
        <v>0</v>
      </c>
      <c r="AW999" s="402" cm="1">
        <f t="array" ref="AW999">SUM(MID(0&amp;AV999,LARGE(INDEX(ISNUMBER(--MID(AV999,ROW($1:$8),1))*ROW($1:$8),),ROW($1:$8))+1,1)*10^ROW($1:$8)/10)</f>
        <v>0</v>
      </c>
      <c r="AX999" s="402" t="e">
        <f>VLOOKUP($AW999,'Item Master Data'!$A:$F,3,FALSE)</f>
        <v>#N/A</v>
      </c>
      <c r="AY999" s="402" t="e">
        <f>VLOOKUP($AW999,'Item Master Data'!$A:$F,6,FALSE)</f>
        <v>#N/A</v>
      </c>
      <c r="AZ999" s="402" t="e">
        <f>X999/BA999</f>
        <v>#N/A</v>
      </c>
      <c r="BA999" s="402" t="e">
        <f>VLOOKUP(AW999,'Item Master Data'!$A:$G,7,FALSE)</f>
        <v>#N/A</v>
      </c>
      <c r="BB999" s="402"/>
      <c r="BC999" s="402" t="e">
        <f>W999-AY999</f>
        <v>#N/A</v>
      </c>
    </row>
    <row r="1000" spans="1:55">
      <c r="A1000" s="426"/>
      <c r="B1000" s="376"/>
      <c r="C1000" s="376"/>
      <c r="D1000" s="416" t="s">
        <v>86</v>
      </c>
      <c r="E1000" s="405"/>
      <c r="F1000" s="417"/>
      <c r="G1000" s="359">
        <v>2022</v>
      </c>
      <c r="H1000" s="405">
        <v>8</v>
      </c>
      <c r="I1000" s="405"/>
      <c r="J1000" s="406"/>
      <c r="K1000" s="405" t="s">
        <v>1542</v>
      </c>
      <c r="L1000" s="405" t="s">
        <v>1514</v>
      </c>
      <c r="M1000" s="406">
        <v>44595</v>
      </c>
      <c r="N1000" s="406">
        <v>44747</v>
      </c>
      <c r="O1000" s="406">
        <v>44778</v>
      </c>
      <c r="P1000" s="406"/>
      <c r="Q1000" s="406"/>
      <c r="R1000" s="406"/>
      <c r="S1000" s="405" t="s">
        <v>88</v>
      </c>
      <c r="T1000" s="405">
        <v>60</v>
      </c>
      <c r="U1000" s="417"/>
      <c r="V1000" s="405" t="s">
        <v>973</v>
      </c>
      <c r="W1000" s="405">
        <v>400</v>
      </c>
      <c r="X1000" s="382">
        <v>768</v>
      </c>
      <c r="Y1000" s="365">
        <f t="shared" si="219"/>
        <v>307200</v>
      </c>
      <c r="Z1000" s="409">
        <f>220/400</f>
        <v>0.55000000000000004</v>
      </c>
      <c r="AA1000" s="411">
        <f t="shared" si="220"/>
        <v>168960</v>
      </c>
      <c r="AB1000" s="411"/>
      <c r="AC1000" s="412">
        <v>0</v>
      </c>
      <c r="AD1000" s="405"/>
      <c r="AE1000" s="405"/>
      <c r="AF1000" s="424">
        <f t="shared" si="222"/>
        <v>168960</v>
      </c>
      <c r="AG1000" s="405" t="s">
        <v>1069</v>
      </c>
      <c r="AH1000" s="405"/>
      <c r="AI1000" s="405">
        <v>60</v>
      </c>
      <c r="AJ1000" s="406" t="s">
        <v>1515</v>
      </c>
      <c r="AK1000" s="406" t="s">
        <v>1136</v>
      </c>
      <c r="AL1000" s="414">
        <v>92806</v>
      </c>
      <c r="AM1000" s="405" t="s">
        <v>52</v>
      </c>
      <c r="AN1000" s="361"/>
      <c r="AO1000" s="405" t="s">
        <v>1073</v>
      </c>
      <c r="AP1000" s="413" t="s">
        <v>92</v>
      </c>
      <c r="AQ1000" s="405" t="s">
        <v>37</v>
      </c>
      <c r="AR1000" s="405" t="s">
        <v>1188</v>
      </c>
      <c r="AS1000" s="404" t="s">
        <v>1392</v>
      </c>
      <c r="AT1000" s="404"/>
      <c r="AU1000" s="409">
        <f>180/360</f>
        <v>0.5</v>
      </c>
      <c r="AV1000" s="402"/>
      <c r="AW1000" s="402"/>
      <c r="AX1000" s="402"/>
      <c r="AY1000" s="402"/>
      <c r="AZ1000" s="402"/>
      <c r="BA1000" s="402"/>
      <c r="BB1000" s="402"/>
      <c r="BC1000" s="402"/>
    </row>
    <row r="1001" spans="1:55">
      <c r="A1001" s="426"/>
      <c r="B1001" s="376"/>
      <c r="C1001" s="376"/>
      <c r="D1001" s="416" t="s">
        <v>86</v>
      </c>
      <c r="E1001" s="405"/>
      <c r="F1001" s="417"/>
      <c r="G1001" s="359">
        <v>2022</v>
      </c>
      <c r="H1001" s="405">
        <v>8</v>
      </c>
      <c r="I1001" s="405"/>
      <c r="J1001" s="406"/>
      <c r="K1001" s="405" t="s">
        <v>1543</v>
      </c>
      <c r="L1001" s="405" t="s">
        <v>1514</v>
      </c>
      <c r="M1001" s="406">
        <v>44595</v>
      </c>
      <c r="N1001" s="406">
        <v>44781</v>
      </c>
      <c r="O1001" s="406"/>
      <c r="P1001" s="406"/>
      <c r="Q1001" s="406"/>
      <c r="R1001" s="406"/>
      <c r="S1001" s="405" t="s">
        <v>88</v>
      </c>
      <c r="T1001" s="405">
        <v>60</v>
      </c>
      <c r="U1001" s="417"/>
      <c r="V1001" s="405" t="s">
        <v>986</v>
      </c>
      <c r="W1001" s="405">
        <v>360</v>
      </c>
      <c r="X1001" s="382">
        <v>1664</v>
      </c>
      <c r="Y1001" s="365">
        <f t="shared" si="219"/>
        <v>599040</v>
      </c>
      <c r="Z1001" s="409">
        <f>190.8/360</f>
        <v>0.53</v>
      </c>
      <c r="AA1001" s="411">
        <f t="shared" si="220"/>
        <v>317491.20000000001</v>
      </c>
      <c r="AB1001" s="411"/>
      <c r="AC1001" s="412">
        <v>0</v>
      </c>
      <c r="AD1001" s="405"/>
      <c r="AE1001" s="405"/>
      <c r="AF1001" s="424">
        <f t="shared" si="222"/>
        <v>317491.20000000001</v>
      </c>
      <c r="AG1001" s="405" t="s">
        <v>1069</v>
      </c>
      <c r="AH1001" s="405"/>
      <c r="AI1001" s="405">
        <v>60</v>
      </c>
      <c r="AJ1001" s="406" t="s">
        <v>1515</v>
      </c>
      <c r="AK1001" s="406" t="s">
        <v>1136</v>
      </c>
      <c r="AL1001" s="414">
        <v>92806</v>
      </c>
      <c r="AM1001" s="405" t="s">
        <v>52</v>
      </c>
      <c r="AN1001" s="361"/>
      <c r="AO1001" s="405" t="s">
        <v>1073</v>
      </c>
      <c r="AP1001" s="413" t="s">
        <v>92</v>
      </c>
      <c r="AQ1001" s="405" t="s">
        <v>37</v>
      </c>
      <c r="AR1001" s="405" t="s">
        <v>1188</v>
      </c>
      <c r="AS1001" s="404" t="s">
        <v>1392</v>
      </c>
      <c r="AT1001" s="404"/>
      <c r="AU1001" s="409">
        <f>180/360</f>
        <v>0.5</v>
      </c>
      <c r="AV1001" s="402"/>
      <c r="AW1001" s="402"/>
      <c r="AX1001" s="402"/>
      <c r="AY1001" s="402"/>
      <c r="AZ1001" s="402"/>
      <c r="BA1001" s="402"/>
      <c r="BB1001" s="402"/>
      <c r="BC1001" s="402"/>
    </row>
    <row r="1002" spans="1:55">
      <c r="A1002" s="426"/>
      <c r="B1002" s="376"/>
      <c r="C1002" s="376"/>
      <c r="D1002" s="416" t="s">
        <v>86</v>
      </c>
      <c r="E1002" s="405"/>
      <c r="F1002" s="417"/>
      <c r="G1002" s="359">
        <v>2022</v>
      </c>
      <c r="H1002" s="405">
        <v>8</v>
      </c>
      <c r="I1002" s="405"/>
      <c r="J1002" s="406"/>
      <c r="K1002" s="405" t="s">
        <v>1543</v>
      </c>
      <c r="L1002" s="405" t="s">
        <v>1514</v>
      </c>
      <c r="M1002" s="406">
        <v>44595</v>
      </c>
      <c r="N1002" s="406">
        <v>44781</v>
      </c>
      <c r="O1002" s="406"/>
      <c r="P1002" s="406"/>
      <c r="Q1002" s="406"/>
      <c r="R1002" s="406"/>
      <c r="S1002" s="405" t="s">
        <v>88</v>
      </c>
      <c r="T1002" s="405">
        <v>60</v>
      </c>
      <c r="U1002" s="417"/>
      <c r="V1002" s="405" t="s">
        <v>973</v>
      </c>
      <c r="W1002" s="405">
        <v>400</v>
      </c>
      <c r="X1002" s="382">
        <v>1536</v>
      </c>
      <c r="Y1002" s="365">
        <f t="shared" si="219"/>
        <v>614400</v>
      </c>
      <c r="Z1002" s="409">
        <f>220/400</f>
        <v>0.55000000000000004</v>
      </c>
      <c r="AA1002" s="411">
        <f t="shared" si="220"/>
        <v>337920</v>
      </c>
      <c r="AB1002" s="411"/>
      <c r="AC1002" s="412">
        <v>0</v>
      </c>
      <c r="AD1002" s="405"/>
      <c r="AE1002" s="405"/>
      <c r="AF1002" s="424">
        <f t="shared" si="222"/>
        <v>337920</v>
      </c>
      <c r="AG1002" s="405" t="s">
        <v>1069</v>
      </c>
      <c r="AH1002" s="405"/>
      <c r="AI1002" s="405">
        <v>60</v>
      </c>
      <c r="AJ1002" s="406" t="s">
        <v>1515</v>
      </c>
      <c r="AK1002" s="406" t="s">
        <v>1136</v>
      </c>
      <c r="AL1002" s="414">
        <v>92806</v>
      </c>
      <c r="AM1002" s="405" t="s">
        <v>52</v>
      </c>
      <c r="AN1002" s="361"/>
      <c r="AO1002" s="405" t="s">
        <v>1073</v>
      </c>
      <c r="AP1002" s="413" t="s">
        <v>92</v>
      </c>
      <c r="AQ1002" s="405" t="s">
        <v>37</v>
      </c>
      <c r="AR1002" s="405" t="s">
        <v>1188</v>
      </c>
      <c r="AS1002" s="404" t="s">
        <v>1392</v>
      </c>
      <c r="AT1002" s="404"/>
      <c r="AU1002" s="409">
        <f>180/360</f>
        <v>0.5</v>
      </c>
      <c r="AV1002" s="402">
        <f>U1002</f>
        <v>0</v>
      </c>
      <c r="AW1002" s="402" cm="1">
        <f t="array" ref="AW1002">SUM(MID(0&amp;AV1002,LARGE(INDEX(ISNUMBER(--MID(AV1002,ROW($1:$8),1))*ROW($1:$8),),ROW($1:$8))+1,1)*10^ROW($1:$8)/10)</f>
        <v>0</v>
      </c>
      <c r="AX1002" s="402" t="e">
        <f>VLOOKUP($AW1002,'Item Master Data'!$A:$F,3,FALSE)</f>
        <v>#N/A</v>
      </c>
      <c r="AY1002" s="402" t="e">
        <f>VLOOKUP($AW1002,'Item Master Data'!$A:$F,6,FALSE)</f>
        <v>#N/A</v>
      </c>
      <c r="AZ1002" s="402" t="e">
        <f>X1002/BA1002</f>
        <v>#N/A</v>
      </c>
      <c r="BA1002" s="402" t="e">
        <f>VLOOKUP(AW1002,'Item Master Data'!$A:$G,7,FALSE)</f>
        <v>#N/A</v>
      </c>
      <c r="BB1002" s="402"/>
      <c r="BC1002" s="402" t="e">
        <f>W1002-AY1002</f>
        <v>#N/A</v>
      </c>
    </row>
    <row r="1003" spans="1:55">
      <c r="A1003" s="426"/>
      <c r="B1003" s="376"/>
      <c r="C1003" s="376"/>
      <c r="D1003" s="416" t="s">
        <v>86</v>
      </c>
      <c r="E1003" s="405"/>
      <c r="F1003" s="417"/>
      <c r="G1003" s="359">
        <v>2022</v>
      </c>
      <c r="H1003" s="405">
        <v>8</v>
      </c>
      <c r="I1003" s="405"/>
      <c r="J1003" s="406"/>
      <c r="K1003" s="405" t="s">
        <v>1541</v>
      </c>
      <c r="L1003" s="405" t="s">
        <v>1514</v>
      </c>
      <c r="M1003" s="406">
        <v>44595</v>
      </c>
      <c r="N1003" s="406">
        <v>44747</v>
      </c>
      <c r="O1003" s="406">
        <v>44778</v>
      </c>
      <c r="P1003" s="406"/>
      <c r="Q1003" s="406"/>
      <c r="R1003" s="406"/>
      <c r="S1003" s="405" t="s">
        <v>88</v>
      </c>
      <c r="T1003" s="405">
        <v>60</v>
      </c>
      <c r="U1003" s="417">
        <v>49204132</v>
      </c>
      <c r="V1003" s="405" t="s">
        <v>1192</v>
      </c>
      <c r="W1003" s="405">
        <v>360</v>
      </c>
      <c r="X1003" s="382">
        <v>832</v>
      </c>
      <c r="Y1003" s="365">
        <f t="shared" si="219"/>
        <v>299520</v>
      </c>
      <c r="Z1003" s="409">
        <f>298.8/360</f>
        <v>0.83000000000000007</v>
      </c>
      <c r="AA1003" s="411">
        <f t="shared" si="220"/>
        <v>248601.60000000003</v>
      </c>
      <c r="AB1003" s="411"/>
      <c r="AC1003" s="412">
        <v>0</v>
      </c>
      <c r="AD1003" s="405"/>
      <c r="AE1003" s="405"/>
      <c r="AF1003" s="424">
        <f t="shared" si="222"/>
        <v>248601.60000000003</v>
      </c>
      <c r="AG1003" s="405" t="s">
        <v>1069</v>
      </c>
      <c r="AH1003" s="405"/>
      <c r="AI1003" s="405">
        <v>60</v>
      </c>
      <c r="AJ1003" s="406" t="s">
        <v>1515</v>
      </c>
      <c r="AK1003" s="406" t="s">
        <v>1136</v>
      </c>
      <c r="AL1003" s="414">
        <v>92806</v>
      </c>
      <c r="AM1003" s="405" t="s">
        <v>52</v>
      </c>
      <c r="AN1003" s="361"/>
      <c r="AO1003" s="405" t="s">
        <v>1073</v>
      </c>
      <c r="AP1003" s="413" t="s">
        <v>92</v>
      </c>
      <c r="AQ1003" s="405" t="s">
        <v>37</v>
      </c>
      <c r="AR1003" s="405" t="s">
        <v>1188</v>
      </c>
      <c r="AS1003" s="404" t="s">
        <v>1392</v>
      </c>
      <c r="AT1003" s="404"/>
      <c r="AU1003" s="409">
        <f>180/360</f>
        <v>0.5</v>
      </c>
      <c r="AV1003" s="402">
        <f>U1003</f>
        <v>49204132</v>
      </c>
      <c r="AW1003" s="402" cm="1">
        <f t="array" ref="AW1003">SUM(MID(0&amp;AV1003,LARGE(INDEX(ISNUMBER(--MID(AV1003,ROW($1:$8),1))*ROW($1:$8),),ROW($1:$8))+1,1)*10^ROW($1:$8)/10)</f>
        <v>49204132</v>
      </c>
      <c r="AX1003" s="402" t="str">
        <f>VLOOKUP($AW1003,'Item Master Data'!$A:$F,3,FALSE)</f>
        <v>Q.PEAK DUO BLK G10+/AC</v>
      </c>
      <c r="AY1003" s="402">
        <f>VLOOKUP($AW1003,'Item Master Data'!$A:$F,6,FALSE)</f>
        <v>360</v>
      </c>
      <c r="AZ1003" s="402">
        <f>X1003/BA1003</f>
        <v>32</v>
      </c>
      <c r="BA1003" s="402">
        <f>VLOOKUP(AW1003,'Item Master Data'!$A:$G,7,FALSE)</f>
        <v>26</v>
      </c>
      <c r="BB1003" s="402"/>
      <c r="BC1003" s="402">
        <f>W1003-AY1003</f>
        <v>0</v>
      </c>
    </row>
    <row r="1004" spans="1:55">
      <c r="A1004" s="426"/>
      <c r="B1004" s="376"/>
      <c r="C1004" s="376"/>
      <c r="D1004" s="416" t="s">
        <v>86</v>
      </c>
      <c r="E1004" s="405" t="s">
        <v>4272</v>
      </c>
      <c r="F1004" s="417"/>
      <c r="G1004" s="359">
        <v>2022</v>
      </c>
      <c r="H1004" s="405">
        <v>8</v>
      </c>
      <c r="I1004" s="405"/>
      <c r="J1004" s="406"/>
      <c r="K1004" s="405" t="s">
        <v>1532</v>
      </c>
      <c r="L1004" s="405" t="s">
        <v>1514</v>
      </c>
      <c r="M1004" s="406">
        <v>44617</v>
      </c>
      <c r="N1004" s="406">
        <v>44774</v>
      </c>
      <c r="O1004" s="406"/>
      <c r="P1004" s="406"/>
      <c r="Q1004" s="406"/>
      <c r="R1004" s="406"/>
      <c r="S1004" s="405" t="s">
        <v>88</v>
      </c>
      <c r="T1004" s="405">
        <v>72</v>
      </c>
      <c r="U1004" s="417"/>
      <c r="V1004" s="405" t="s">
        <v>1103</v>
      </c>
      <c r="W1004" s="405">
        <v>485</v>
      </c>
      <c r="X1004" s="382">
        <v>638</v>
      </c>
      <c r="Y1004" s="365">
        <f t="shared" si="219"/>
        <v>309430</v>
      </c>
      <c r="Z1004" s="409">
        <f>244.93/485</f>
        <v>0.50501030927835056</v>
      </c>
      <c r="AA1004" s="411">
        <f t="shared" si="220"/>
        <v>156265.34000000003</v>
      </c>
      <c r="AB1004" s="411"/>
      <c r="AC1004" s="412">
        <v>0</v>
      </c>
      <c r="AD1004" s="405"/>
      <c r="AE1004" s="405"/>
      <c r="AF1004" s="424">
        <f t="shared" si="222"/>
        <v>156265.34000000003</v>
      </c>
      <c r="AG1004" s="405" t="s">
        <v>1069</v>
      </c>
      <c r="AH1004" s="405"/>
      <c r="AI1004" s="405">
        <v>60</v>
      </c>
      <c r="AJ1004" s="406" t="s">
        <v>1515</v>
      </c>
      <c r="AK1004" s="406" t="s">
        <v>50</v>
      </c>
      <c r="AL1004" s="414" t="s">
        <v>1529</v>
      </c>
      <c r="AM1004" s="405" t="s">
        <v>52</v>
      </c>
      <c r="AN1004" s="361" t="s">
        <v>50</v>
      </c>
      <c r="AO1004" s="405" t="s">
        <v>1073</v>
      </c>
      <c r="AP1004" s="413" t="s">
        <v>38</v>
      </c>
      <c r="AQ1004" s="405" t="s">
        <v>37</v>
      </c>
      <c r="AR1004" s="405"/>
      <c r="AS1004" s="404" t="s">
        <v>1072</v>
      </c>
      <c r="AT1004" s="404"/>
      <c r="AU1004" s="409">
        <v>0.52</v>
      </c>
      <c r="AV1004" s="402">
        <f>U1004</f>
        <v>0</v>
      </c>
      <c r="AW1004" s="402" cm="1">
        <f t="array" ref="AW1004">SUM(MID(0&amp;AV1004,LARGE(INDEX(ISNUMBER(--MID(AV1004,ROW($1:$8),1))*ROW($1:$8),),ROW($1:$8))+1,1)*10^ROW($1:$8)/10)</f>
        <v>0</v>
      </c>
      <c r="AX1004" s="402" t="e">
        <f>VLOOKUP($AW1004,'Item Master Data'!$A:$F,3,FALSE)</f>
        <v>#N/A</v>
      </c>
      <c r="AY1004" s="402" t="e">
        <f>VLOOKUP($AW1004,'Item Master Data'!$A:$F,6,FALSE)</f>
        <v>#N/A</v>
      </c>
      <c r="AZ1004" s="402" t="e">
        <f>X1004/BA1004</f>
        <v>#N/A</v>
      </c>
      <c r="BA1004" s="402" t="e">
        <f>VLOOKUP(AW1004,'Item Master Data'!$A:$G,7,FALSE)</f>
        <v>#N/A</v>
      </c>
      <c r="BB1004" s="402"/>
      <c r="BC1004" s="402" t="e">
        <f>W1004-AY1004</f>
        <v>#N/A</v>
      </c>
    </row>
    <row r="1005" spans="1:55">
      <c r="A1005" s="426"/>
      <c r="B1005" s="376">
        <v>44628</v>
      </c>
      <c r="C1005" s="376">
        <v>44628</v>
      </c>
      <c r="D1005" s="416" t="s">
        <v>86</v>
      </c>
      <c r="E1005" s="405"/>
      <c r="F1005" s="417"/>
      <c r="G1005" s="359">
        <v>2022</v>
      </c>
      <c r="H1005" s="405">
        <v>8</v>
      </c>
      <c r="I1005" s="405"/>
      <c r="J1005" s="406"/>
      <c r="K1005" s="405" t="s">
        <v>1595</v>
      </c>
      <c r="L1005" s="405" t="s">
        <v>1588</v>
      </c>
      <c r="M1005" s="406">
        <v>44568</v>
      </c>
      <c r="N1005" s="406">
        <v>44774</v>
      </c>
      <c r="O1005" s="406"/>
      <c r="P1005" s="406"/>
      <c r="Q1005" s="406"/>
      <c r="R1005" s="406"/>
      <c r="S1005" s="405" t="s">
        <v>1510</v>
      </c>
      <c r="T1005" s="405">
        <v>60</v>
      </c>
      <c r="U1005" s="417">
        <v>49204132</v>
      </c>
      <c r="V1005" s="405" t="s">
        <v>1192</v>
      </c>
      <c r="W1005" s="405">
        <v>360</v>
      </c>
      <c r="X1005" s="382">
        <v>676</v>
      </c>
      <c r="Y1005" s="365">
        <f t="shared" si="219"/>
        <v>243360</v>
      </c>
      <c r="Z1005" s="409">
        <f>298.8/360</f>
        <v>0.83000000000000007</v>
      </c>
      <c r="AA1005" s="411">
        <f t="shared" si="220"/>
        <v>201988.80000000002</v>
      </c>
      <c r="AB1005" s="411"/>
      <c r="AC1005" s="412">
        <v>0</v>
      </c>
      <c r="AD1005" s="405"/>
      <c r="AE1005" s="405"/>
      <c r="AF1005" s="424">
        <f t="shared" si="222"/>
        <v>201988.80000000002</v>
      </c>
      <c r="AG1005" s="405" t="s">
        <v>1069</v>
      </c>
      <c r="AH1005" s="405"/>
      <c r="AI1005" s="405">
        <v>60</v>
      </c>
      <c r="AJ1005" s="406" t="s">
        <v>1589</v>
      </c>
      <c r="AK1005" s="406" t="s">
        <v>50</v>
      </c>
      <c r="AL1005" s="414">
        <v>91311</v>
      </c>
      <c r="AM1005" s="405" t="s">
        <v>52</v>
      </c>
      <c r="AN1005" s="361" t="s">
        <v>1071</v>
      </c>
      <c r="AO1005" s="405" t="s">
        <v>1073</v>
      </c>
      <c r="AP1005" s="413"/>
      <c r="AQ1005" s="405" t="s">
        <v>37</v>
      </c>
      <c r="AR1005" s="405"/>
      <c r="AS1005" s="404"/>
      <c r="AT1005" s="404"/>
      <c r="AU1005" s="409">
        <v>0.72</v>
      </c>
      <c r="AV1005" s="402">
        <f>U1005</f>
        <v>49204132</v>
      </c>
      <c r="AW1005" s="402" cm="1">
        <f t="array" ref="AW1005">SUM(MID(0&amp;AV1005,LARGE(INDEX(ISNUMBER(--MID(AV1005,ROW($1:$8),1))*ROW($1:$8),),ROW($1:$8))+1,1)*10^ROW($1:$8)/10)</f>
        <v>49204132</v>
      </c>
      <c r="AX1005" s="402" t="str">
        <f>VLOOKUP($AW1005,'Item Master Data'!$A:$F,3,FALSE)</f>
        <v>Q.PEAK DUO BLK G10+/AC</v>
      </c>
      <c r="AY1005" s="402">
        <f>VLOOKUP($AW1005,'Item Master Data'!$A:$F,6,FALSE)</f>
        <v>360</v>
      </c>
      <c r="AZ1005" s="402">
        <f>X1005/BA1005</f>
        <v>26</v>
      </c>
      <c r="BA1005" s="402">
        <f>VLOOKUP(AW1005,'Item Master Data'!$A:$G,7,FALSE)</f>
        <v>26</v>
      </c>
      <c r="BB1005" s="402"/>
      <c r="BC1005" s="402">
        <f>W1005-AY1005</f>
        <v>0</v>
      </c>
    </row>
    <row r="1006" spans="1:55">
      <c r="A1006" s="426"/>
      <c r="B1006" s="376">
        <v>44589</v>
      </c>
      <c r="C1006" s="376">
        <v>44589</v>
      </c>
      <c r="D1006" s="416" t="s">
        <v>86</v>
      </c>
      <c r="E1006" s="405"/>
      <c r="F1006" s="417" t="s">
        <v>87</v>
      </c>
      <c r="G1006" s="359">
        <v>2022</v>
      </c>
      <c r="H1006" s="405">
        <v>8</v>
      </c>
      <c r="I1006" s="405"/>
      <c r="J1006" s="406"/>
      <c r="K1006" s="405" t="s">
        <v>1667</v>
      </c>
      <c r="L1006" s="405" t="s">
        <v>1608</v>
      </c>
      <c r="M1006" s="406">
        <v>44924</v>
      </c>
      <c r="N1006" s="406">
        <v>44802</v>
      </c>
      <c r="O1006" s="406"/>
      <c r="P1006" s="406"/>
      <c r="Q1006" s="406"/>
      <c r="R1006" s="406"/>
      <c r="S1006" s="405" t="s">
        <v>88</v>
      </c>
      <c r="T1006" s="405">
        <v>72</v>
      </c>
      <c r="U1006" s="417">
        <v>49303156</v>
      </c>
      <c r="V1006" s="405" t="s">
        <v>1068</v>
      </c>
      <c r="W1006" s="405">
        <v>480</v>
      </c>
      <c r="X1006" s="382">
        <v>1276</v>
      </c>
      <c r="Y1006" s="365">
        <f t="shared" si="219"/>
        <v>612480</v>
      </c>
      <c r="Z1006" s="409">
        <f>225.6/480</f>
        <v>0.47</v>
      </c>
      <c r="AA1006" s="411">
        <f t="shared" si="220"/>
        <v>287865.59999999998</v>
      </c>
      <c r="AB1006" s="411"/>
      <c r="AC1006" s="412">
        <v>0</v>
      </c>
      <c r="AD1006" s="405"/>
      <c r="AE1006" s="405"/>
      <c r="AF1006" s="424">
        <f t="shared" si="222"/>
        <v>287865.59999999998</v>
      </c>
      <c r="AG1006" s="405" t="s">
        <v>1069</v>
      </c>
      <c r="AH1006" s="405"/>
      <c r="AI1006" s="405">
        <v>60</v>
      </c>
      <c r="AJ1006" s="406" t="s">
        <v>1616</v>
      </c>
      <c r="AK1006" s="406" t="s">
        <v>50</v>
      </c>
      <c r="AL1006" s="414">
        <v>93703</v>
      </c>
      <c r="AM1006" s="405" t="s">
        <v>52</v>
      </c>
      <c r="AN1006" s="361" t="s">
        <v>1516</v>
      </c>
      <c r="AO1006" s="405" t="s">
        <v>1073</v>
      </c>
      <c r="AP1006" s="413"/>
      <c r="AQ1006" s="405" t="s">
        <v>1083</v>
      </c>
      <c r="AR1006" s="405"/>
      <c r="AS1006" s="404" t="s">
        <v>1392</v>
      </c>
      <c r="AT1006" s="404"/>
      <c r="AU1006" s="409"/>
      <c r="AV1006" s="402"/>
      <c r="AW1006" s="402"/>
      <c r="AX1006" s="402"/>
      <c r="AY1006" s="402"/>
      <c r="AZ1006" s="402"/>
      <c r="BA1006" s="402"/>
      <c r="BB1006" s="402"/>
      <c r="BC1006" s="402"/>
    </row>
    <row r="1007" spans="1:55">
      <c r="A1007" s="426"/>
      <c r="B1007" s="376">
        <v>44635</v>
      </c>
      <c r="C1007" s="376">
        <v>44636</v>
      </c>
      <c r="D1007" s="416" t="s">
        <v>86</v>
      </c>
      <c r="E1007" s="405"/>
      <c r="F1007" s="417"/>
      <c r="G1007" s="359">
        <v>2022</v>
      </c>
      <c r="H1007" s="405">
        <v>8</v>
      </c>
      <c r="I1007" s="405"/>
      <c r="J1007" s="406"/>
      <c r="K1007" s="405" t="s">
        <v>1666</v>
      </c>
      <c r="L1007" s="405" t="s">
        <v>1608</v>
      </c>
      <c r="M1007" s="406">
        <v>44587</v>
      </c>
      <c r="N1007" s="406">
        <v>44799</v>
      </c>
      <c r="O1007" s="406"/>
      <c r="P1007" s="406"/>
      <c r="Q1007" s="406"/>
      <c r="R1007" s="406"/>
      <c r="S1007" s="405" t="s">
        <v>1510</v>
      </c>
      <c r="T1007" s="405">
        <v>60</v>
      </c>
      <c r="U1007" s="417"/>
      <c r="V1007" s="405" t="s">
        <v>986</v>
      </c>
      <c r="W1007" s="405">
        <v>360</v>
      </c>
      <c r="X1007" s="382">
        <v>1664</v>
      </c>
      <c r="Y1007" s="365">
        <f t="shared" si="219"/>
        <v>599040</v>
      </c>
      <c r="Z1007" s="409">
        <v>0.5</v>
      </c>
      <c r="AA1007" s="411">
        <f t="shared" si="220"/>
        <v>299520</v>
      </c>
      <c r="AB1007" s="411"/>
      <c r="AC1007" s="412">
        <v>0</v>
      </c>
      <c r="AD1007" s="405"/>
      <c r="AE1007" s="405"/>
      <c r="AF1007" s="424">
        <f t="shared" si="222"/>
        <v>299520</v>
      </c>
      <c r="AG1007" s="405" t="s">
        <v>1069</v>
      </c>
      <c r="AH1007" s="405"/>
      <c r="AI1007" s="405">
        <v>60</v>
      </c>
      <c r="AJ1007" s="406" t="s">
        <v>1616</v>
      </c>
      <c r="AK1007" s="406" t="s">
        <v>50</v>
      </c>
      <c r="AL1007" s="414" t="s">
        <v>1617</v>
      </c>
      <c r="AM1007" s="405" t="s">
        <v>52</v>
      </c>
      <c r="AN1007" s="361"/>
      <c r="AO1007" s="405" t="s">
        <v>1073</v>
      </c>
      <c r="AP1007" s="413"/>
      <c r="AQ1007" s="405" t="s">
        <v>37</v>
      </c>
      <c r="AR1007" s="405" t="s">
        <v>1188</v>
      </c>
      <c r="AS1007" s="404" t="s">
        <v>1392</v>
      </c>
      <c r="AT1007" s="404"/>
      <c r="AU1007" s="409">
        <v>0.5</v>
      </c>
      <c r="AV1007" s="402">
        <f t="shared" ref="AV1007:AV1016" si="226">U1007</f>
        <v>0</v>
      </c>
      <c r="AW1007" s="402" cm="1">
        <f t="array" ref="AW1007">SUM(MID(0&amp;AV1007,LARGE(INDEX(ISNUMBER(--MID(AV1007,ROW($1:$8),1))*ROW($1:$8),),ROW($1:$8))+1,1)*10^ROW($1:$8)/10)</f>
        <v>0</v>
      </c>
      <c r="AX1007" s="402" t="e">
        <f>VLOOKUP($AW1007,'Item Master Data'!$A:$F,3,FALSE)</f>
        <v>#N/A</v>
      </c>
      <c r="AY1007" s="402" t="e">
        <f>VLOOKUP($AW1007,'Item Master Data'!$A:$F,6,FALSE)</f>
        <v>#N/A</v>
      </c>
      <c r="AZ1007" s="402" t="e">
        <f t="shared" ref="AZ1007:AZ1016" si="227">X1007/BA1007</f>
        <v>#N/A</v>
      </c>
      <c r="BA1007" s="402" t="e">
        <f>VLOOKUP(AW1007,'Item Master Data'!$A:$G,7,FALSE)</f>
        <v>#N/A</v>
      </c>
      <c r="BB1007" s="402"/>
      <c r="BC1007" s="402" t="e">
        <f t="shared" ref="BC1007:BC1016" si="228">W1007-AY1007</f>
        <v>#N/A</v>
      </c>
    </row>
    <row r="1008" spans="1:55">
      <c r="A1008" s="426"/>
      <c r="B1008" s="376">
        <v>44638</v>
      </c>
      <c r="C1008" s="376">
        <v>44638</v>
      </c>
      <c r="D1008" s="416" t="s">
        <v>86</v>
      </c>
      <c r="E1008" s="405"/>
      <c r="F1008" s="417"/>
      <c r="G1008" s="359">
        <v>2022</v>
      </c>
      <c r="H1008" s="405">
        <v>8</v>
      </c>
      <c r="I1008" s="405" t="s">
        <v>1498</v>
      </c>
      <c r="J1008" s="406"/>
      <c r="K1008" s="405" t="s">
        <v>1668</v>
      </c>
      <c r="L1008" s="405" t="s">
        <v>1608</v>
      </c>
      <c r="M1008" s="406">
        <v>44638</v>
      </c>
      <c r="N1008" s="406">
        <v>44791</v>
      </c>
      <c r="O1008" s="406"/>
      <c r="P1008" s="406"/>
      <c r="Q1008" s="406"/>
      <c r="R1008" s="406"/>
      <c r="S1008" s="405" t="s">
        <v>1510</v>
      </c>
      <c r="T1008" s="405">
        <v>60</v>
      </c>
      <c r="U1008" s="417"/>
      <c r="V1008" s="405" t="s">
        <v>986</v>
      </c>
      <c r="W1008" s="405">
        <v>360</v>
      </c>
      <c r="X1008" s="382">
        <v>832</v>
      </c>
      <c r="Y1008" s="365">
        <f t="shared" si="219"/>
        <v>299520</v>
      </c>
      <c r="Z1008" s="409">
        <f>190.8/360</f>
        <v>0.53</v>
      </c>
      <c r="AA1008" s="411">
        <f t="shared" si="220"/>
        <v>158745.60000000001</v>
      </c>
      <c r="AB1008" s="411"/>
      <c r="AC1008" s="412">
        <f t="shared" ref="AC1008:AC1015" si="229">AB1008*Y1008</f>
        <v>0</v>
      </c>
      <c r="AD1008" s="405"/>
      <c r="AE1008" s="405"/>
      <c r="AF1008" s="424">
        <f t="shared" si="222"/>
        <v>158745.60000000001</v>
      </c>
      <c r="AG1008" s="405" t="s">
        <v>1069</v>
      </c>
      <c r="AH1008" s="405"/>
      <c r="AI1008" s="405">
        <v>60</v>
      </c>
      <c r="AJ1008" s="406" t="s">
        <v>1616</v>
      </c>
      <c r="AK1008" s="406" t="s">
        <v>50</v>
      </c>
      <c r="AL1008" s="414" t="s">
        <v>1617</v>
      </c>
      <c r="AM1008" s="405" t="s">
        <v>52</v>
      </c>
      <c r="AN1008" s="361"/>
      <c r="AO1008" s="405" t="s">
        <v>1073</v>
      </c>
      <c r="AP1008" s="413"/>
      <c r="AQ1008" s="405" t="s">
        <v>37</v>
      </c>
      <c r="AR1008" s="405" t="s">
        <v>1188</v>
      </c>
      <c r="AS1008" s="404" t="s">
        <v>1392</v>
      </c>
      <c r="AT1008" s="404"/>
      <c r="AU1008" s="409">
        <f t="shared" ref="AU1008:AU1013" si="230">180/360</f>
        <v>0.5</v>
      </c>
      <c r="AV1008" s="402">
        <f t="shared" si="226"/>
        <v>0</v>
      </c>
      <c r="AW1008" s="402" cm="1">
        <f t="array" ref="AW1008">SUM(MID(0&amp;AV1008,LARGE(INDEX(ISNUMBER(--MID(AV1008,ROW($1:$8),1))*ROW($1:$8),),ROW($1:$8))+1,1)*10^ROW($1:$8)/10)</f>
        <v>0</v>
      </c>
      <c r="AX1008" s="402" t="e">
        <f>VLOOKUP($AW1008,'Item Master Data'!$A:$F,3,FALSE)</f>
        <v>#N/A</v>
      </c>
      <c r="AY1008" s="402" t="e">
        <f>VLOOKUP($AW1008,'Item Master Data'!$A:$F,6,FALSE)</f>
        <v>#N/A</v>
      </c>
      <c r="AZ1008" s="402" t="e">
        <f t="shared" si="227"/>
        <v>#N/A</v>
      </c>
      <c r="BA1008" s="402" t="e">
        <f>VLOOKUP(AW1008,'Item Master Data'!$A:$G,7,FALSE)</f>
        <v>#N/A</v>
      </c>
      <c r="BB1008" s="402"/>
      <c r="BC1008" s="402" t="e">
        <f t="shared" si="228"/>
        <v>#N/A</v>
      </c>
    </row>
    <row r="1009" spans="1:55">
      <c r="A1009" s="426"/>
      <c r="B1009" s="376">
        <v>44617</v>
      </c>
      <c r="C1009" s="376">
        <v>44616</v>
      </c>
      <c r="D1009" s="416" t="s">
        <v>86</v>
      </c>
      <c r="E1009" s="405"/>
      <c r="F1009" s="417"/>
      <c r="G1009" s="359">
        <v>2022</v>
      </c>
      <c r="H1009" s="405">
        <v>8</v>
      </c>
      <c r="I1009" s="405"/>
      <c r="J1009" s="406"/>
      <c r="K1009" s="405" t="s">
        <v>1807</v>
      </c>
      <c r="L1009" s="405" t="s">
        <v>1682</v>
      </c>
      <c r="M1009" s="406">
        <v>44589</v>
      </c>
      <c r="N1009" s="406">
        <v>44747</v>
      </c>
      <c r="O1009" s="406">
        <v>44778</v>
      </c>
      <c r="P1009" s="406"/>
      <c r="Q1009" s="406"/>
      <c r="R1009" s="406"/>
      <c r="S1009" s="405" t="s">
        <v>1520</v>
      </c>
      <c r="T1009" s="405">
        <v>60</v>
      </c>
      <c r="U1009" s="417"/>
      <c r="V1009" s="405" t="s">
        <v>986</v>
      </c>
      <c r="W1009" s="405">
        <v>360</v>
      </c>
      <c r="X1009" s="382">
        <v>4160</v>
      </c>
      <c r="Y1009" s="365">
        <f t="shared" si="219"/>
        <v>1497600</v>
      </c>
      <c r="Z1009" s="409">
        <f>190.8/360</f>
        <v>0.53</v>
      </c>
      <c r="AA1009" s="411">
        <f t="shared" si="220"/>
        <v>793728</v>
      </c>
      <c r="AB1009" s="411"/>
      <c r="AC1009" s="412">
        <f t="shared" si="229"/>
        <v>0</v>
      </c>
      <c r="AD1009" s="405"/>
      <c r="AE1009" s="405"/>
      <c r="AF1009" s="424">
        <f t="shared" si="222"/>
        <v>793728</v>
      </c>
      <c r="AG1009" s="405" t="s">
        <v>1069</v>
      </c>
      <c r="AH1009" s="405"/>
      <c r="AI1009" s="405">
        <v>60</v>
      </c>
      <c r="AJ1009" s="406" t="s">
        <v>1584</v>
      </c>
      <c r="AK1009" s="406" t="s">
        <v>50</v>
      </c>
      <c r="AL1009" s="414">
        <v>95834</v>
      </c>
      <c r="AM1009" s="405" t="s">
        <v>52</v>
      </c>
      <c r="AN1009" s="361" t="s">
        <v>1071</v>
      </c>
      <c r="AO1009" s="405" t="s">
        <v>1073</v>
      </c>
      <c r="AP1009" s="413"/>
      <c r="AQ1009" s="405" t="s">
        <v>37</v>
      </c>
      <c r="AR1009" s="405"/>
      <c r="AS1009" s="404"/>
      <c r="AT1009" s="404"/>
      <c r="AU1009" s="409">
        <f t="shared" si="230"/>
        <v>0.5</v>
      </c>
      <c r="AV1009" s="402">
        <f t="shared" si="226"/>
        <v>0</v>
      </c>
      <c r="AW1009" s="402" cm="1">
        <f t="array" ref="AW1009">SUM(MID(0&amp;AV1009,LARGE(INDEX(ISNUMBER(--MID(AV1009,ROW($1:$8),1))*ROW($1:$8),),ROW($1:$8))+1,1)*10^ROW($1:$8)/10)</f>
        <v>0</v>
      </c>
      <c r="AX1009" s="402" t="e">
        <f>VLOOKUP($AW1009,'Item Master Data'!$A:$F,3,FALSE)</f>
        <v>#N/A</v>
      </c>
      <c r="AY1009" s="402" t="e">
        <f>VLOOKUP($AW1009,'Item Master Data'!$A:$F,6,FALSE)</f>
        <v>#N/A</v>
      </c>
      <c r="AZ1009" s="402" t="e">
        <f t="shared" si="227"/>
        <v>#N/A</v>
      </c>
      <c r="BA1009" s="402" t="e">
        <f>VLOOKUP(AW1009,'Item Master Data'!$A:$G,7,FALSE)</f>
        <v>#N/A</v>
      </c>
      <c r="BB1009" s="402"/>
      <c r="BC1009" s="402" t="e">
        <f t="shared" si="228"/>
        <v>#N/A</v>
      </c>
    </row>
    <row r="1010" spans="1:55">
      <c r="A1010" s="426"/>
      <c r="B1010" s="376">
        <v>44617</v>
      </c>
      <c r="C1010" s="376">
        <v>44616</v>
      </c>
      <c r="D1010" s="416" t="s">
        <v>86</v>
      </c>
      <c r="E1010" s="405"/>
      <c r="F1010" s="417"/>
      <c r="G1010" s="359">
        <v>2022</v>
      </c>
      <c r="H1010" s="405">
        <v>8</v>
      </c>
      <c r="I1010" s="405"/>
      <c r="J1010" s="406"/>
      <c r="K1010" s="405" t="s">
        <v>1807</v>
      </c>
      <c r="L1010" s="405" t="s">
        <v>1682</v>
      </c>
      <c r="M1010" s="406">
        <v>44589</v>
      </c>
      <c r="N1010" s="406">
        <v>44747</v>
      </c>
      <c r="O1010" s="406">
        <v>44778</v>
      </c>
      <c r="P1010" s="406"/>
      <c r="Q1010" s="406"/>
      <c r="R1010" s="406"/>
      <c r="S1010" s="405" t="s">
        <v>1520</v>
      </c>
      <c r="T1010" s="405">
        <v>60</v>
      </c>
      <c r="U1010" s="417"/>
      <c r="V1010" s="405" t="s">
        <v>973</v>
      </c>
      <c r="W1010" s="405">
        <v>400</v>
      </c>
      <c r="X1010" s="382">
        <v>6144</v>
      </c>
      <c r="Y1010" s="365">
        <f t="shared" si="219"/>
        <v>2457600</v>
      </c>
      <c r="Z1010" s="409">
        <f>220/400</f>
        <v>0.55000000000000004</v>
      </c>
      <c r="AA1010" s="411">
        <f t="shared" si="220"/>
        <v>1351680</v>
      </c>
      <c r="AB1010" s="411"/>
      <c r="AC1010" s="412">
        <f t="shared" si="229"/>
        <v>0</v>
      </c>
      <c r="AD1010" s="405"/>
      <c r="AE1010" s="405"/>
      <c r="AF1010" s="424">
        <f t="shared" si="222"/>
        <v>1351680</v>
      </c>
      <c r="AG1010" s="405" t="s">
        <v>1069</v>
      </c>
      <c r="AH1010" s="405"/>
      <c r="AI1010" s="405">
        <v>60</v>
      </c>
      <c r="AJ1010" s="406" t="s">
        <v>1584</v>
      </c>
      <c r="AK1010" s="406" t="s">
        <v>50</v>
      </c>
      <c r="AL1010" s="414">
        <v>95834</v>
      </c>
      <c r="AM1010" s="405" t="s">
        <v>52</v>
      </c>
      <c r="AN1010" s="361" t="s">
        <v>1071</v>
      </c>
      <c r="AO1010" s="405" t="s">
        <v>1073</v>
      </c>
      <c r="AP1010" s="413"/>
      <c r="AQ1010" s="405" t="s">
        <v>37</v>
      </c>
      <c r="AR1010" s="405"/>
      <c r="AS1010" s="404"/>
      <c r="AT1010" s="404"/>
      <c r="AU1010" s="409">
        <f t="shared" si="230"/>
        <v>0.5</v>
      </c>
      <c r="AV1010" s="402">
        <f t="shared" si="226"/>
        <v>0</v>
      </c>
      <c r="AW1010" s="402" cm="1">
        <f t="array" ref="AW1010">SUM(MID(0&amp;AV1010,LARGE(INDEX(ISNUMBER(--MID(AV1010,ROW($1:$8),1))*ROW($1:$8),),ROW($1:$8))+1,1)*10^ROW($1:$8)/10)</f>
        <v>0</v>
      </c>
      <c r="AX1010" s="402" t="e">
        <f>VLOOKUP($AW1010,'Item Master Data'!$A:$F,3,FALSE)</f>
        <v>#N/A</v>
      </c>
      <c r="AY1010" s="402" t="e">
        <f>VLOOKUP($AW1010,'Item Master Data'!$A:$F,6,FALSE)</f>
        <v>#N/A</v>
      </c>
      <c r="AZ1010" s="402" t="e">
        <f t="shared" si="227"/>
        <v>#N/A</v>
      </c>
      <c r="BA1010" s="402" t="e">
        <f>VLOOKUP(AW1010,'Item Master Data'!$A:$G,7,FALSE)</f>
        <v>#N/A</v>
      </c>
      <c r="BB1010" s="402"/>
      <c r="BC1010" s="402" t="e">
        <f t="shared" si="228"/>
        <v>#N/A</v>
      </c>
    </row>
    <row r="1011" spans="1:55">
      <c r="A1011" s="426"/>
      <c r="B1011" s="376">
        <v>44617</v>
      </c>
      <c r="C1011" s="376">
        <v>44616</v>
      </c>
      <c r="D1011" s="416" t="s">
        <v>86</v>
      </c>
      <c r="E1011" s="405"/>
      <c r="F1011" s="417"/>
      <c r="G1011" s="359">
        <v>2022</v>
      </c>
      <c r="H1011" s="405">
        <v>8</v>
      </c>
      <c r="I1011" s="405"/>
      <c r="J1011" s="406"/>
      <c r="K1011" s="405" t="s">
        <v>1808</v>
      </c>
      <c r="L1011" s="405" t="s">
        <v>1682</v>
      </c>
      <c r="M1011" s="406">
        <v>44589</v>
      </c>
      <c r="N1011" s="406">
        <v>44776</v>
      </c>
      <c r="O1011" s="406"/>
      <c r="P1011" s="406"/>
      <c r="Q1011" s="406"/>
      <c r="R1011" s="406"/>
      <c r="S1011" s="405" t="s">
        <v>1520</v>
      </c>
      <c r="T1011" s="405">
        <v>60</v>
      </c>
      <c r="U1011" s="417"/>
      <c r="V1011" s="405" t="s">
        <v>986</v>
      </c>
      <c r="W1011" s="405">
        <v>360</v>
      </c>
      <c r="X1011" s="382">
        <v>4160</v>
      </c>
      <c r="Y1011" s="365">
        <f t="shared" si="219"/>
        <v>1497600</v>
      </c>
      <c r="Z1011" s="409">
        <f>190.8/360</f>
        <v>0.53</v>
      </c>
      <c r="AA1011" s="411">
        <f t="shared" si="220"/>
        <v>793728</v>
      </c>
      <c r="AB1011" s="411"/>
      <c r="AC1011" s="412">
        <f t="shared" si="229"/>
        <v>0</v>
      </c>
      <c r="AD1011" s="405"/>
      <c r="AE1011" s="405"/>
      <c r="AF1011" s="424">
        <f t="shared" si="222"/>
        <v>793728</v>
      </c>
      <c r="AG1011" s="405" t="s">
        <v>1069</v>
      </c>
      <c r="AH1011" s="405"/>
      <c r="AI1011" s="405">
        <v>60</v>
      </c>
      <c r="AJ1011" s="406" t="s">
        <v>1584</v>
      </c>
      <c r="AK1011" s="406" t="s">
        <v>50</v>
      </c>
      <c r="AL1011" s="414">
        <v>95834</v>
      </c>
      <c r="AM1011" s="405" t="s">
        <v>52</v>
      </c>
      <c r="AN1011" s="361" t="s">
        <v>1071</v>
      </c>
      <c r="AO1011" s="405" t="s">
        <v>1073</v>
      </c>
      <c r="AP1011" s="413"/>
      <c r="AQ1011" s="405" t="s">
        <v>37</v>
      </c>
      <c r="AR1011" s="405"/>
      <c r="AS1011" s="404"/>
      <c r="AT1011" s="404"/>
      <c r="AU1011" s="409">
        <f t="shared" si="230"/>
        <v>0.5</v>
      </c>
      <c r="AV1011" s="402">
        <f t="shared" si="226"/>
        <v>0</v>
      </c>
      <c r="AW1011" s="402" cm="1">
        <f t="array" ref="AW1011">SUM(MID(0&amp;AV1011,LARGE(INDEX(ISNUMBER(--MID(AV1011,ROW($1:$8),1))*ROW($1:$8),),ROW($1:$8))+1,1)*10^ROW($1:$8)/10)</f>
        <v>0</v>
      </c>
      <c r="AX1011" s="402" t="e">
        <f>VLOOKUP($AW1011,'Item Master Data'!$A:$F,3,FALSE)</f>
        <v>#N/A</v>
      </c>
      <c r="AY1011" s="402" t="e">
        <f>VLOOKUP($AW1011,'Item Master Data'!$A:$F,6,FALSE)</f>
        <v>#N/A</v>
      </c>
      <c r="AZ1011" s="402" t="e">
        <f t="shared" si="227"/>
        <v>#N/A</v>
      </c>
      <c r="BA1011" s="402" t="e">
        <f>VLOOKUP(AW1011,'Item Master Data'!$A:$G,7,FALSE)</f>
        <v>#N/A</v>
      </c>
      <c r="BB1011" s="402"/>
      <c r="BC1011" s="402" t="e">
        <f t="shared" si="228"/>
        <v>#N/A</v>
      </c>
    </row>
    <row r="1012" spans="1:55">
      <c r="A1012" s="426"/>
      <c r="B1012" s="376">
        <v>44617</v>
      </c>
      <c r="C1012" s="376">
        <v>44616</v>
      </c>
      <c r="D1012" s="416" t="s">
        <v>86</v>
      </c>
      <c r="E1012" s="405"/>
      <c r="F1012" s="417"/>
      <c r="G1012" s="359">
        <v>2022</v>
      </c>
      <c r="H1012" s="405">
        <v>8</v>
      </c>
      <c r="I1012" s="405"/>
      <c r="J1012" s="406"/>
      <c r="K1012" s="405" t="s">
        <v>1808</v>
      </c>
      <c r="L1012" s="405" t="s">
        <v>1682</v>
      </c>
      <c r="M1012" s="406">
        <v>44589</v>
      </c>
      <c r="N1012" s="406">
        <v>44776</v>
      </c>
      <c r="O1012" s="406"/>
      <c r="P1012" s="406"/>
      <c r="Q1012" s="406"/>
      <c r="R1012" s="406"/>
      <c r="S1012" s="405" t="s">
        <v>1520</v>
      </c>
      <c r="T1012" s="405">
        <v>60</v>
      </c>
      <c r="U1012" s="417"/>
      <c r="V1012" s="405" t="s">
        <v>973</v>
      </c>
      <c r="W1012" s="405">
        <v>400</v>
      </c>
      <c r="X1012" s="382">
        <v>6144</v>
      </c>
      <c r="Y1012" s="365">
        <f t="shared" si="219"/>
        <v>2457600</v>
      </c>
      <c r="Z1012" s="409">
        <f>220/400</f>
        <v>0.55000000000000004</v>
      </c>
      <c r="AA1012" s="411">
        <f t="shared" si="220"/>
        <v>1351680</v>
      </c>
      <c r="AB1012" s="411"/>
      <c r="AC1012" s="412">
        <f t="shared" si="229"/>
        <v>0</v>
      </c>
      <c r="AD1012" s="405"/>
      <c r="AE1012" s="405"/>
      <c r="AF1012" s="424">
        <f t="shared" si="222"/>
        <v>1351680</v>
      </c>
      <c r="AG1012" s="405" t="s">
        <v>1069</v>
      </c>
      <c r="AH1012" s="405"/>
      <c r="AI1012" s="405">
        <v>60</v>
      </c>
      <c r="AJ1012" s="406" t="s">
        <v>1584</v>
      </c>
      <c r="AK1012" s="406" t="s">
        <v>50</v>
      </c>
      <c r="AL1012" s="414">
        <v>95834</v>
      </c>
      <c r="AM1012" s="405" t="s">
        <v>52</v>
      </c>
      <c r="AN1012" s="361" t="s">
        <v>1071</v>
      </c>
      <c r="AO1012" s="405" t="s">
        <v>1073</v>
      </c>
      <c r="AP1012" s="413"/>
      <c r="AQ1012" s="405" t="s">
        <v>37</v>
      </c>
      <c r="AR1012" s="405"/>
      <c r="AS1012" s="404"/>
      <c r="AT1012" s="404"/>
      <c r="AU1012" s="409">
        <f t="shared" si="230"/>
        <v>0.5</v>
      </c>
      <c r="AV1012" s="402">
        <f t="shared" si="226"/>
        <v>0</v>
      </c>
      <c r="AW1012" s="402" cm="1">
        <f t="array" ref="AW1012">SUM(MID(0&amp;AV1012,LARGE(INDEX(ISNUMBER(--MID(AV1012,ROW($1:$8),1))*ROW($1:$8),),ROW($1:$8))+1,1)*10^ROW($1:$8)/10)</f>
        <v>0</v>
      </c>
      <c r="AX1012" s="402" t="e">
        <f>VLOOKUP($AW1012,'Item Master Data'!$A:$F,3,FALSE)</f>
        <v>#N/A</v>
      </c>
      <c r="AY1012" s="402" t="e">
        <f>VLOOKUP($AW1012,'Item Master Data'!$A:$F,6,FALSE)</f>
        <v>#N/A</v>
      </c>
      <c r="AZ1012" s="402" t="e">
        <f t="shared" si="227"/>
        <v>#N/A</v>
      </c>
      <c r="BA1012" s="402" t="e">
        <f>VLOOKUP(AW1012,'Item Master Data'!$A:$G,7,FALSE)</f>
        <v>#N/A</v>
      </c>
      <c r="BB1012" s="402"/>
      <c r="BC1012" s="402" t="e">
        <f t="shared" si="228"/>
        <v>#N/A</v>
      </c>
    </row>
    <row r="1013" spans="1:55">
      <c r="A1013" s="426"/>
      <c r="B1013" s="376">
        <v>44635</v>
      </c>
      <c r="C1013" s="376">
        <v>44616</v>
      </c>
      <c r="D1013" s="416" t="s">
        <v>86</v>
      </c>
      <c r="E1013" s="405" t="s">
        <v>1385</v>
      </c>
      <c r="F1013" s="417"/>
      <c r="G1013" s="359">
        <v>2022</v>
      </c>
      <c r="H1013" s="405">
        <v>8</v>
      </c>
      <c r="I1013" s="405"/>
      <c r="J1013" s="406"/>
      <c r="K1013" s="405" t="s">
        <v>1817</v>
      </c>
      <c r="L1013" s="405" t="s">
        <v>1682</v>
      </c>
      <c r="M1013" s="406">
        <v>44631</v>
      </c>
      <c r="N1013" s="406">
        <v>44795</v>
      </c>
      <c r="O1013" s="406"/>
      <c r="P1013" s="406"/>
      <c r="Q1013" s="406"/>
      <c r="R1013" s="406"/>
      <c r="S1013" s="405" t="s">
        <v>1520</v>
      </c>
      <c r="T1013" s="405">
        <v>72</v>
      </c>
      <c r="U1013" s="417" t="s">
        <v>1816</v>
      </c>
      <c r="V1013" s="405" t="s">
        <v>1730</v>
      </c>
      <c r="W1013" s="405">
        <v>475</v>
      </c>
      <c r="X1013" s="382">
        <v>600</v>
      </c>
      <c r="Y1013" s="365">
        <f t="shared" si="219"/>
        <v>285000</v>
      </c>
      <c r="Z1013" s="409">
        <f>237.5/475</f>
        <v>0.5</v>
      </c>
      <c r="AA1013" s="411">
        <f t="shared" si="220"/>
        <v>142500</v>
      </c>
      <c r="AB1013" s="411"/>
      <c r="AC1013" s="412">
        <f t="shared" si="229"/>
        <v>0</v>
      </c>
      <c r="AD1013" s="405"/>
      <c r="AE1013" s="405"/>
      <c r="AF1013" s="424">
        <f t="shared" si="222"/>
        <v>142500</v>
      </c>
      <c r="AG1013" s="405" t="s">
        <v>1069</v>
      </c>
      <c r="AH1013" s="405"/>
      <c r="AI1013" s="405">
        <v>60</v>
      </c>
      <c r="AJ1013" s="406" t="s">
        <v>1584</v>
      </c>
      <c r="AK1013" s="406" t="s">
        <v>50</v>
      </c>
      <c r="AL1013" s="414">
        <v>95834</v>
      </c>
      <c r="AM1013" s="405" t="s">
        <v>52</v>
      </c>
      <c r="AN1013" s="361" t="s">
        <v>1071</v>
      </c>
      <c r="AO1013" s="405" t="s">
        <v>1073</v>
      </c>
      <c r="AP1013" s="413"/>
      <c r="AQ1013" s="405" t="s">
        <v>37</v>
      </c>
      <c r="AR1013" s="405"/>
      <c r="AS1013" s="404"/>
      <c r="AT1013" s="404"/>
      <c r="AU1013" s="409">
        <f t="shared" si="230"/>
        <v>0.5</v>
      </c>
      <c r="AV1013" s="402" t="str">
        <f t="shared" si="226"/>
        <v>CYB MODS</v>
      </c>
      <c r="AW1013" s="402" cm="1">
        <f t="array" ref="AW1013">SUM(MID(0&amp;AV1013,LARGE(INDEX(ISNUMBER(--MID(AV1013,ROW($1:$8),1))*ROW($1:$8),),ROW($1:$8))+1,1)*10^ROW($1:$8)/10)</f>
        <v>0</v>
      </c>
      <c r="AX1013" s="402" t="e">
        <f>VLOOKUP($AW1013,'Item Master Data'!$A:$F,3,FALSE)</f>
        <v>#N/A</v>
      </c>
      <c r="AY1013" s="402" t="e">
        <f>VLOOKUP($AW1013,'Item Master Data'!$A:$F,6,FALSE)</f>
        <v>#N/A</v>
      </c>
      <c r="AZ1013" s="402" t="e">
        <f t="shared" si="227"/>
        <v>#N/A</v>
      </c>
      <c r="BA1013" s="402" t="e">
        <f>VLOOKUP(AW1013,'Item Master Data'!$A:$G,7,FALSE)</f>
        <v>#N/A</v>
      </c>
      <c r="BB1013" s="402"/>
      <c r="BC1013" s="402" t="e">
        <f t="shared" si="228"/>
        <v>#N/A</v>
      </c>
    </row>
    <row r="1014" spans="1:55">
      <c r="A1014" s="426"/>
      <c r="B1014" s="376"/>
      <c r="C1014" s="376"/>
      <c r="D1014" s="416" t="s">
        <v>86</v>
      </c>
      <c r="E1014" s="405"/>
      <c r="F1014" s="417" t="s">
        <v>87</v>
      </c>
      <c r="G1014" s="359">
        <v>2022</v>
      </c>
      <c r="H1014" s="405">
        <v>8</v>
      </c>
      <c r="I1014" s="405"/>
      <c r="J1014" s="406"/>
      <c r="K1014" s="405" t="s">
        <v>1831</v>
      </c>
      <c r="L1014" s="405" t="s">
        <v>1517</v>
      </c>
      <c r="M1014" s="406">
        <v>44609</v>
      </c>
      <c r="N1014" s="406">
        <v>44774</v>
      </c>
      <c r="O1014" s="406"/>
      <c r="P1014" s="406"/>
      <c r="Q1014" s="406"/>
      <c r="R1014" s="406"/>
      <c r="S1014" s="405" t="s">
        <v>88</v>
      </c>
      <c r="T1014" s="405">
        <v>72</v>
      </c>
      <c r="U1014" s="417">
        <v>49303156</v>
      </c>
      <c r="V1014" s="405" t="s">
        <v>1068</v>
      </c>
      <c r="W1014" s="405">
        <v>480</v>
      </c>
      <c r="X1014" s="382">
        <v>2552</v>
      </c>
      <c r="Y1014" s="365">
        <f t="shared" si="219"/>
        <v>1224960</v>
      </c>
      <c r="Z1014" s="409">
        <f>235.2/480</f>
        <v>0.49</v>
      </c>
      <c r="AA1014" s="411">
        <f t="shared" si="220"/>
        <v>600230.40000000002</v>
      </c>
      <c r="AB1014" s="411"/>
      <c r="AC1014" s="412">
        <f t="shared" si="229"/>
        <v>0</v>
      </c>
      <c r="AD1014" s="405"/>
      <c r="AE1014" s="405"/>
      <c r="AF1014" s="424">
        <f t="shared" si="222"/>
        <v>600230.40000000002</v>
      </c>
      <c r="AG1014" s="405" t="s">
        <v>1069</v>
      </c>
      <c r="AH1014" s="405"/>
      <c r="AI1014" s="405">
        <v>60</v>
      </c>
      <c r="AJ1014" s="406" t="s">
        <v>1518</v>
      </c>
      <c r="AK1014" s="406" t="s">
        <v>50</v>
      </c>
      <c r="AL1014" s="414">
        <v>92126</v>
      </c>
      <c r="AM1014" s="405" t="s">
        <v>52</v>
      </c>
      <c r="AN1014" s="361" t="s">
        <v>1516</v>
      </c>
      <c r="AO1014" s="405" t="s">
        <v>1073</v>
      </c>
      <c r="AP1014" s="413"/>
      <c r="AQ1014" s="405" t="s">
        <v>37</v>
      </c>
      <c r="AR1014" s="405"/>
      <c r="AS1014" s="404" t="s">
        <v>1392</v>
      </c>
      <c r="AT1014" s="404"/>
      <c r="AU1014" s="409"/>
      <c r="AV1014" s="402">
        <f t="shared" si="226"/>
        <v>49303156</v>
      </c>
      <c r="AW1014" s="402" cm="1">
        <f t="array" ref="AW1014">SUM(MID(0&amp;AV1014,LARGE(INDEX(ISNUMBER(--MID(AV1014,ROW($1:$8),1))*ROW($1:$8),),ROW($1:$8))+1,1)*10^ROW($1:$8)/10)</f>
        <v>49303156</v>
      </c>
      <c r="AX1014" s="402" t="str">
        <f>VLOOKUP($AW1014,'Item Master Data'!$A:$F,3,FALSE)</f>
        <v>Q.PEAK DUO XL G10 BFG</v>
      </c>
      <c r="AY1014" s="402">
        <f>VLOOKUP($AW1014,'Item Master Data'!$A:$F,6,FALSE)</f>
        <v>480</v>
      </c>
      <c r="AZ1014" s="402">
        <f t="shared" si="227"/>
        <v>88</v>
      </c>
      <c r="BA1014" s="402">
        <f>VLOOKUP(AW1014,'Item Master Data'!$A:$G,7,FALSE)</f>
        <v>29</v>
      </c>
      <c r="BB1014" s="402"/>
      <c r="BC1014" s="402">
        <f t="shared" si="228"/>
        <v>0</v>
      </c>
    </row>
    <row r="1015" spans="1:55">
      <c r="A1015" s="426"/>
      <c r="B1015" s="376">
        <v>44679</v>
      </c>
      <c r="C1015" s="376">
        <v>44679</v>
      </c>
      <c r="D1015" s="416" t="s">
        <v>86</v>
      </c>
      <c r="E1015" s="405"/>
      <c r="F1015" s="417" t="s">
        <v>87</v>
      </c>
      <c r="G1015" s="359">
        <v>2022</v>
      </c>
      <c r="H1015" s="405">
        <v>8</v>
      </c>
      <c r="I1015" s="405"/>
      <c r="J1015" s="406"/>
      <c r="K1015" s="405" t="s">
        <v>1900</v>
      </c>
      <c r="L1015" s="405" t="s">
        <v>1517</v>
      </c>
      <c r="M1015" s="406">
        <v>44658</v>
      </c>
      <c r="N1015" s="406">
        <v>44780</v>
      </c>
      <c r="O1015" s="406"/>
      <c r="P1015" s="406"/>
      <c r="Q1015" s="406"/>
      <c r="R1015" s="406"/>
      <c r="S1015" s="405" t="s">
        <v>88</v>
      </c>
      <c r="T1015" s="405">
        <v>72</v>
      </c>
      <c r="U1015" s="417"/>
      <c r="V1015" s="405" t="s">
        <v>1068</v>
      </c>
      <c r="W1015" s="405">
        <v>480</v>
      </c>
      <c r="X1015" s="382">
        <v>6380</v>
      </c>
      <c r="Y1015" s="365">
        <f t="shared" si="219"/>
        <v>3062400</v>
      </c>
      <c r="Z1015" s="409">
        <f>235.2/480</f>
        <v>0.49</v>
      </c>
      <c r="AA1015" s="411">
        <f t="shared" si="220"/>
        <v>1500576</v>
      </c>
      <c r="AB1015" s="411"/>
      <c r="AC1015" s="412">
        <f t="shared" si="229"/>
        <v>0</v>
      </c>
      <c r="AD1015" s="405"/>
      <c r="AE1015" s="405"/>
      <c r="AF1015" s="424">
        <f t="shared" si="222"/>
        <v>1500576</v>
      </c>
      <c r="AG1015" s="405" t="s">
        <v>1069</v>
      </c>
      <c r="AH1015" s="405"/>
      <c r="AI1015" s="405">
        <v>60</v>
      </c>
      <c r="AJ1015" s="406" t="s">
        <v>1518</v>
      </c>
      <c r="AK1015" s="406" t="s">
        <v>50</v>
      </c>
      <c r="AL1015" s="414">
        <v>92126</v>
      </c>
      <c r="AM1015" s="405" t="s">
        <v>52</v>
      </c>
      <c r="AN1015" s="361" t="s">
        <v>50</v>
      </c>
      <c r="AO1015" s="405" t="s">
        <v>1073</v>
      </c>
      <c r="AP1015" s="413" t="s">
        <v>92</v>
      </c>
      <c r="AQ1015" s="405" t="s">
        <v>37</v>
      </c>
      <c r="AR1015" s="405"/>
      <c r="AS1015" s="404" t="s">
        <v>1392</v>
      </c>
      <c r="AT1015" s="404"/>
      <c r="AU1015" s="409"/>
      <c r="AV1015" s="402">
        <f t="shared" si="226"/>
        <v>0</v>
      </c>
      <c r="AW1015" s="402" cm="1">
        <f t="array" ref="AW1015">SUM(MID(0&amp;AV1015,LARGE(INDEX(ISNUMBER(--MID(AV1015,ROW($1:$8),1))*ROW($1:$8),),ROW($1:$8))+1,1)*10^ROW($1:$8)/10)</f>
        <v>0</v>
      </c>
      <c r="AX1015" s="402" t="e">
        <f>VLOOKUP($AW1015,'Item Master Data'!$A:$F,3,FALSE)</f>
        <v>#N/A</v>
      </c>
      <c r="AY1015" s="402" t="e">
        <f>VLOOKUP($AW1015,'Item Master Data'!$A:$F,6,FALSE)</f>
        <v>#N/A</v>
      </c>
      <c r="AZ1015" s="402" t="e">
        <f t="shared" si="227"/>
        <v>#N/A</v>
      </c>
      <c r="BA1015" s="402" t="e">
        <f>VLOOKUP(AW1015,'Item Master Data'!$A:$G,7,FALSE)</f>
        <v>#N/A</v>
      </c>
      <c r="BB1015" s="402"/>
      <c r="BC1015" s="402" t="e">
        <f t="shared" si="228"/>
        <v>#N/A</v>
      </c>
    </row>
    <row r="1016" spans="1:55">
      <c r="A1016" s="426"/>
      <c r="B1016" s="376">
        <v>44672</v>
      </c>
      <c r="C1016" s="376">
        <v>44676</v>
      </c>
      <c r="D1016" s="416" t="s">
        <v>86</v>
      </c>
      <c r="E1016" s="405" t="s">
        <v>4223</v>
      </c>
      <c r="F1016" s="417"/>
      <c r="G1016" s="359">
        <v>2022</v>
      </c>
      <c r="H1016" s="405">
        <v>8</v>
      </c>
      <c r="I1016" s="405"/>
      <c r="J1016" s="406"/>
      <c r="K1016" s="405" t="s">
        <v>4224</v>
      </c>
      <c r="L1016" s="405" t="s">
        <v>1517</v>
      </c>
      <c r="M1016" s="406">
        <v>44666</v>
      </c>
      <c r="N1016" s="406">
        <v>44788</v>
      </c>
      <c r="O1016" s="406"/>
      <c r="P1016" s="406"/>
      <c r="Q1016" s="406"/>
      <c r="R1016" s="406"/>
      <c r="S1016" s="405" t="s">
        <v>88</v>
      </c>
      <c r="T1016" s="405">
        <v>60</v>
      </c>
      <c r="U1016" s="417"/>
      <c r="V1016" s="405" t="s">
        <v>973</v>
      </c>
      <c r="W1016" s="405">
        <v>400</v>
      </c>
      <c r="X1016" s="382">
        <v>4608</v>
      </c>
      <c r="Y1016" s="365">
        <f t="shared" si="219"/>
        <v>1843200</v>
      </c>
      <c r="Z1016" s="409">
        <v>0.55000000000000004</v>
      </c>
      <c r="AA1016" s="411">
        <f t="shared" si="220"/>
        <v>1013760.0000000001</v>
      </c>
      <c r="AB1016" s="411"/>
      <c r="AC1016" s="412">
        <v>0</v>
      </c>
      <c r="AD1016" s="405"/>
      <c r="AE1016" s="405"/>
      <c r="AF1016" s="424">
        <f>+AE1016+AD1016+AA1016</f>
        <v>1013760.0000000001</v>
      </c>
      <c r="AG1016" s="405" t="s">
        <v>1069</v>
      </c>
      <c r="AH1016" s="405"/>
      <c r="AI1016" s="405">
        <v>60</v>
      </c>
      <c r="AJ1016" s="406" t="s">
        <v>1518</v>
      </c>
      <c r="AK1016" s="406" t="s">
        <v>50</v>
      </c>
      <c r="AL1016" s="414">
        <v>92126</v>
      </c>
      <c r="AM1016" s="405" t="s">
        <v>52</v>
      </c>
      <c r="AN1016" s="361"/>
      <c r="AO1016" s="405" t="s">
        <v>1073</v>
      </c>
      <c r="AP1016" s="413"/>
      <c r="AQ1016" s="405" t="s">
        <v>37</v>
      </c>
      <c r="AR1016" s="405"/>
      <c r="AS1016" s="404" t="s">
        <v>1392</v>
      </c>
      <c r="AT1016" s="404"/>
      <c r="AU1016" s="409">
        <v>0.52</v>
      </c>
      <c r="AV1016" s="402">
        <f t="shared" si="226"/>
        <v>0</v>
      </c>
      <c r="AW1016" s="402" cm="1">
        <f t="array" ref="AW1016">SUM(MID(0&amp;AV1016,LARGE(INDEX(ISNUMBER(--MID(AV1016,ROW($1:$8),1))*ROW($1:$8),),ROW($1:$8))+1,1)*10^ROW($1:$8)/10)</f>
        <v>0</v>
      </c>
      <c r="AX1016" s="402" t="e">
        <f>VLOOKUP($AW1016,'Item Master Data'!$A:$F,3,FALSE)</f>
        <v>#N/A</v>
      </c>
      <c r="AY1016" s="402" t="e">
        <f>VLOOKUP($AW1016,'Item Master Data'!$A:$F,6,FALSE)</f>
        <v>#N/A</v>
      </c>
      <c r="AZ1016" s="402" t="e">
        <f t="shared" si="227"/>
        <v>#N/A</v>
      </c>
      <c r="BA1016" s="402" t="e">
        <f>VLOOKUP(AW1016,'Item Master Data'!$A:$G,7,FALSE)</f>
        <v>#N/A</v>
      </c>
      <c r="BB1016" s="402"/>
      <c r="BC1016" s="402" t="e">
        <f t="shared" si="228"/>
        <v>#N/A</v>
      </c>
    </row>
    <row r="1017" spans="1:55">
      <c r="A1017" s="426"/>
      <c r="B1017" s="376">
        <v>44607</v>
      </c>
      <c r="C1017" s="376">
        <v>44607</v>
      </c>
      <c r="D1017" s="416" t="s">
        <v>86</v>
      </c>
      <c r="E1017" s="405"/>
      <c r="F1017" s="417"/>
      <c r="G1017" s="359">
        <v>2022</v>
      </c>
      <c r="H1017" s="405">
        <v>8</v>
      </c>
      <c r="I1017" s="405"/>
      <c r="J1017" s="406"/>
      <c r="K1017" s="405" t="s">
        <v>1841</v>
      </c>
      <c r="L1017" s="405" t="s">
        <v>1711</v>
      </c>
      <c r="M1017" s="406">
        <v>44607</v>
      </c>
      <c r="N1017" s="406">
        <v>44781</v>
      </c>
      <c r="O1017" s="406"/>
      <c r="P1017" s="406"/>
      <c r="Q1017" s="406"/>
      <c r="R1017" s="406"/>
      <c r="S1017" s="405" t="s">
        <v>1510</v>
      </c>
      <c r="T1017" s="405">
        <v>60</v>
      </c>
      <c r="U1017" s="417">
        <v>49204132</v>
      </c>
      <c r="V1017" s="405" t="s">
        <v>1192</v>
      </c>
      <c r="W1017" s="405">
        <v>360</v>
      </c>
      <c r="X1017" s="382">
        <v>728</v>
      </c>
      <c r="Y1017" s="365">
        <f t="shared" si="219"/>
        <v>262080</v>
      </c>
      <c r="Z1017" s="409">
        <f>298.8/360</f>
        <v>0.83000000000000007</v>
      </c>
      <c r="AA1017" s="411">
        <f t="shared" si="220"/>
        <v>217526.40000000002</v>
      </c>
      <c r="AB1017" s="411"/>
      <c r="AC1017" s="412">
        <f>AB1017*Y1017</f>
        <v>0</v>
      </c>
      <c r="AD1017" s="405"/>
      <c r="AE1017" s="405"/>
      <c r="AF1017" s="424">
        <f>AE1017+AD1017+AA1017</f>
        <v>217526.40000000002</v>
      </c>
      <c r="AG1017" s="405" t="s">
        <v>1069</v>
      </c>
      <c r="AH1017" s="405"/>
      <c r="AI1017" s="405">
        <v>60</v>
      </c>
      <c r="AJ1017" s="406" t="s">
        <v>1712</v>
      </c>
      <c r="AK1017" s="406" t="s">
        <v>50</v>
      </c>
      <c r="AL1017" s="414" t="s">
        <v>1713</v>
      </c>
      <c r="AM1017" s="405" t="s">
        <v>52</v>
      </c>
      <c r="AN1017" s="361"/>
      <c r="AO1017" s="405" t="s">
        <v>1073</v>
      </c>
      <c r="AP1017" s="413"/>
      <c r="AQ1017" s="405" t="s">
        <v>37</v>
      </c>
      <c r="AR1017" s="405"/>
      <c r="AS1017" s="404"/>
      <c r="AT1017" s="404"/>
      <c r="AU1017" s="409">
        <f>180/360</f>
        <v>0.5</v>
      </c>
      <c r="AV1017" s="402"/>
      <c r="AW1017" s="402"/>
      <c r="AX1017" s="402"/>
      <c r="AY1017" s="402"/>
      <c r="AZ1017" s="402"/>
      <c r="BA1017" s="402"/>
      <c r="BB1017" s="402"/>
      <c r="BC1017" s="402"/>
    </row>
    <row r="1018" spans="1:55">
      <c r="A1018" s="426"/>
      <c r="B1018" s="376">
        <v>44659</v>
      </c>
      <c r="C1018" s="376">
        <v>44659</v>
      </c>
      <c r="D1018" s="416" t="s">
        <v>86</v>
      </c>
      <c r="E1018" s="405"/>
      <c r="F1018" s="417" t="s">
        <v>87</v>
      </c>
      <c r="G1018" s="359">
        <v>2022</v>
      </c>
      <c r="H1018" s="405">
        <v>8</v>
      </c>
      <c r="I1018" s="405"/>
      <c r="J1018" s="406"/>
      <c r="K1018" s="405" t="s">
        <v>1901</v>
      </c>
      <c r="L1018" s="405" t="s">
        <v>1711</v>
      </c>
      <c r="M1018" s="406">
        <v>44658</v>
      </c>
      <c r="N1018" s="406">
        <v>44780</v>
      </c>
      <c r="O1018" s="406"/>
      <c r="P1018" s="406"/>
      <c r="Q1018" s="406"/>
      <c r="R1018" s="406"/>
      <c r="S1018" s="405" t="s">
        <v>1510</v>
      </c>
      <c r="T1018" s="405">
        <v>72</v>
      </c>
      <c r="U1018" s="417">
        <v>49303156</v>
      </c>
      <c r="V1018" s="405" t="s">
        <v>1068</v>
      </c>
      <c r="W1018" s="405">
        <v>480</v>
      </c>
      <c r="X1018" s="382">
        <v>1914</v>
      </c>
      <c r="Y1018" s="365">
        <f t="shared" si="219"/>
        <v>918720</v>
      </c>
      <c r="Z1018" s="409">
        <f>240/480</f>
        <v>0.5</v>
      </c>
      <c r="AA1018" s="411">
        <f t="shared" si="220"/>
        <v>459360</v>
      </c>
      <c r="AB1018" s="411"/>
      <c r="AC1018" s="412">
        <f>AB1018*Y1018</f>
        <v>0</v>
      </c>
      <c r="AD1018" s="405"/>
      <c r="AE1018" s="405"/>
      <c r="AF1018" s="424">
        <f>AE1018+AD1018+AA1018</f>
        <v>459360</v>
      </c>
      <c r="AG1018" s="405" t="s">
        <v>1069</v>
      </c>
      <c r="AH1018" s="405"/>
      <c r="AI1018" s="405">
        <v>60</v>
      </c>
      <c r="AJ1018" s="406" t="s">
        <v>1712</v>
      </c>
      <c r="AK1018" s="406" t="s">
        <v>50</v>
      </c>
      <c r="AL1018" s="414" t="s">
        <v>1713</v>
      </c>
      <c r="AM1018" s="405" t="s">
        <v>52</v>
      </c>
      <c r="AN1018" s="361" t="s">
        <v>1516</v>
      </c>
      <c r="AO1018" s="405" t="s">
        <v>1073</v>
      </c>
      <c r="AP1018" s="413"/>
      <c r="AQ1018" s="405" t="s">
        <v>37</v>
      </c>
      <c r="AR1018" s="405"/>
      <c r="AS1018" s="404"/>
      <c r="AT1018" s="404"/>
      <c r="AU1018" s="409"/>
      <c r="AV1018" s="402">
        <f>U1018</f>
        <v>49303156</v>
      </c>
      <c r="AW1018" s="402" cm="1">
        <f t="array" ref="AW1018">SUM(MID(0&amp;AV1018,LARGE(INDEX(ISNUMBER(--MID(AV1018,ROW($1:$8),1))*ROW($1:$8),),ROW($1:$8))+1,1)*10^ROW($1:$8)/10)</f>
        <v>49303156</v>
      </c>
      <c r="AX1018" s="402" t="str">
        <f>VLOOKUP($AW1018,'Item Master Data'!$A:$F,3,FALSE)</f>
        <v>Q.PEAK DUO XL G10 BFG</v>
      </c>
      <c r="AY1018" s="402">
        <f>VLOOKUP($AW1018,'Item Master Data'!$A:$F,6,FALSE)</f>
        <v>480</v>
      </c>
      <c r="AZ1018" s="402">
        <f>X1018/BA1018</f>
        <v>66</v>
      </c>
      <c r="BA1018" s="402">
        <f>VLOOKUP(AW1018,'Item Master Data'!$A:$G,7,FALSE)</f>
        <v>29</v>
      </c>
      <c r="BB1018" s="402"/>
      <c r="BC1018" s="402">
        <f>W1018-AY1018</f>
        <v>0</v>
      </c>
    </row>
    <row r="1019" spans="1:55">
      <c r="A1019" s="426"/>
      <c r="B1019" s="376"/>
      <c r="C1019" s="376"/>
      <c r="D1019" s="416" t="s">
        <v>86</v>
      </c>
      <c r="E1019" s="405" t="s">
        <v>1728</v>
      </c>
      <c r="F1019" s="417" t="s">
        <v>87</v>
      </c>
      <c r="G1019" s="359">
        <v>2022</v>
      </c>
      <c r="H1019" s="405">
        <v>8</v>
      </c>
      <c r="I1019" s="405"/>
      <c r="J1019" s="406"/>
      <c r="K1019" s="405" t="s">
        <v>1852</v>
      </c>
      <c r="L1019" s="405" t="s">
        <v>1723</v>
      </c>
      <c r="M1019" s="406">
        <v>44586</v>
      </c>
      <c r="N1019" s="406">
        <v>44774</v>
      </c>
      <c r="O1019" s="406"/>
      <c r="P1019" s="406"/>
      <c r="Q1019" s="406"/>
      <c r="R1019" s="406"/>
      <c r="S1019" s="405" t="s">
        <v>1683</v>
      </c>
      <c r="T1019" s="405">
        <v>72</v>
      </c>
      <c r="U1019" s="417">
        <v>49303156</v>
      </c>
      <c r="V1019" s="405" t="s">
        <v>1730</v>
      </c>
      <c r="W1019" s="405">
        <v>480</v>
      </c>
      <c r="X1019" s="382">
        <v>1160</v>
      </c>
      <c r="Y1019" s="365">
        <f t="shared" si="219"/>
        <v>556800</v>
      </c>
      <c r="Z1019" s="409">
        <f>232.75/480</f>
        <v>0.48489583333333336</v>
      </c>
      <c r="AA1019" s="411">
        <f t="shared" si="220"/>
        <v>269990</v>
      </c>
      <c r="AB1019" s="411"/>
      <c r="AC1019" s="412">
        <v>0</v>
      </c>
      <c r="AD1019" s="405"/>
      <c r="AE1019" s="405"/>
      <c r="AF1019" s="424">
        <v>275616</v>
      </c>
      <c r="AG1019" s="405" t="s">
        <v>1069</v>
      </c>
      <c r="AH1019" s="405"/>
      <c r="AI1019" s="405">
        <v>60</v>
      </c>
      <c r="AJ1019" s="406" t="s">
        <v>1724</v>
      </c>
      <c r="AK1019" s="406" t="s">
        <v>50</v>
      </c>
      <c r="AL1019" s="414">
        <v>95403</v>
      </c>
      <c r="AM1019" s="405" t="s">
        <v>52</v>
      </c>
      <c r="AN1019" s="361" t="s">
        <v>1516</v>
      </c>
      <c r="AO1019" s="405" t="s">
        <v>1073</v>
      </c>
      <c r="AP1019" s="413"/>
      <c r="AQ1019" s="405" t="s">
        <v>37</v>
      </c>
      <c r="AR1019" s="405"/>
      <c r="AS1019" s="404" t="s">
        <v>1392</v>
      </c>
      <c r="AT1019" s="404"/>
      <c r="AU1019" s="409"/>
      <c r="AV1019" s="402">
        <f>U1019</f>
        <v>49303156</v>
      </c>
      <c r="AW1019" s="402" cm="1">
        <f t="array" ref="AW1019">SUM(MID(0&amp;AV1019,LARGE(INDEX(ISNUMBER(--MID(AV1019,ROW($1:$8),1))*ROW($1:$8),),ROW($1:$8))+1,1)*10^ROW($1:$8)/10)</f>
        <v>49303156</v>
      </c>
      <c r="AX1019" s="402" t="str">
        <f>VLOOKUP($AW1019,'Item Master Data'!$A:$F,3,FALSE)</f>
        <v>Q.PEAK DUO XL G10 BFG</v>
      </c>
      <c r="AY1019" s="402">
        <f>VLOOKUP($AW1019,'Item Master Data'!$A:$F,6,FALSE)</f>
        <v>480</v>
      </c>
      <c r="AZ1019" s="402">
        <f>X1019/BA1019</f>
        <v>40</v>
      </c>
      <c r="BA1019" s="402">
        <f>VLOOKUP(AW1019,'Item Master Data'!$A:$G,7,FALSE)</f>
        <v>29</v>
      </c>
      <c r="BB1019" s="402"/>
      <c r="BC1019" s="402">
        <f>W1019-AY1019</f>
        <v>0</v>
      </c>
    </row>
    <row r="1020" spans="1:55">
      <c r="A1020" s="426"/>
      <c r="B1020" s="376">
        <v>44627</v>
      </c>
      <c r="C1020" s="376">
        <v>44627</v>
      </c>
      <c r="D1020" s="416" t="s">
        <v>86</v>
      </c>
      <c r="E1020" s="405"/>
      <c r="F1020" s="417"/>
      <c r="G1020" s="359">
        <v>2022</v>
      </c>
      <c r="H1020" s="405">
        <v>8</v>
      </c>
      <c r="I1020" s="405"/>
      <c r="J1020" s="406"/>
      <c r="K1020" s="405" t="s">
        <v>1875</v>
      </c>
      <c r="L1020" s="405" t="s">
        <v>1519</v>
      </c>
      <c r="M1020" s="406">
        <v>44615</v>
      </c>
      <c r="N1020" s="406">
        <v>44774</v>
      </c>
      <c r="O1020" s="406"/>
      <c r="P1020" s="406"/>
      <c r="Q1020" s="406"/>
      <c r="R1020" s="406"/>
      <c r="S1020" s="405" t="s">
        <v>1520</v>
      </c>
      <c r="T1020" s="405">
        <v>60</v>
      </c>
      <c r="U1020" s="417"/>
      <c r="V1020" s="405" t="s">
        <v>973</v>
      </c>
      <c r="W1020" s="405">
        <v>400</v>
      </c>
      <c r="X1020" s="382">
        <v>3840</v>
      </c>
      <c r="Y1020" s="365">
        <v>1536000</v>
      </c>
      <c r="Z1020" s="409">
        <v>0.55000000000000004</v>
      </c>
      <c r="AA1020" s="411">
        <v>844800.00000000012</v>
      </c>
      <c r="AB1020" s="411"/>
      <c r="AC1020" s="412">
        <v>0</v>
      </c>
      <c r="AD1020" s="405"/>
      <c r="AE1020" s="405"/>
      <c r="AF1020" s="424">
        <v>844800.00000000012</v>
      </c>
      <c r="AG1020" s="405" t="s">
        <v>1069</v>
      </c>
      <c r="AH1020" s="405"/>
      <c r="AI1020" s="405">
        <v>60</v>
      </c>
      <c r="AJ1020" s="406" t="s">
        <v>1521</v>
      </c>
      <c r="AK1020" s="406" t="s">
        <v>1522</v>
      </c>
      <c r="AL1020" s="414" t="s">
        <v>1523</v>
      </c>
      <c r="AM1020" s="405" t="s">
        <v>52</v>
      </c>
      <c r="AN1020" s="361"/>
      <c r="AO1020" s="405" t="s">
        <v>1073</v>
      </c>
      <c r="AP1020" s="413"/>
      <c r="AQ1020" s="405" t="s">
        <v>37</v>
      </c>
      <c r="AR1020" s="405"/>
      <c r="AS1020" s="404"/>
      <c r="AT1020" s="404"/>
      <c r="AU1020" s="409"/>
      <c r="AV1020" s="402"/>
      <c r="AW1020" s="402"/>
      <c r="AX1020" s="402"/>
      <c r="AY1020" s="402"/>
      <c r="AZ1020" s="402"/>
      <c r="BA1020" s="402"/>
      <c r="BB1020" s="402"/>
      <c r="BC1020" s="402"/>
    </row>
    <row r="1021" spans="1:55">
      <c r="A1021" s="426"/>
      <c r="B1021" s="376">
        <v>44627</v>
      </c>
      <c r="C1021" s="376">
        <v>44627</v>
      </c>
      <c r="D1021" s="416" t="s">
        <v>86</v>
      </c>
      <c r="E1021" s="405"/>
      <c r="F1021" s="417"/>
      <c r="G1021" s="359">
        <v>2022</v>
      </c>
      <c r="H1021" s="405">
        <v>8</v>
      </c>
      <c r="I1021" s="405"/>
      <c r="J1021" s="406"/>
      <c r="K1021" s="405" t="s">
        <v>1875</v>
      </c>
      <c r="L1021" s="405" t="s">
        <v>1519</v>
      </c>
      <c r="M1021" s="406">
        <v>44615</v>
      </c>
      <c r="N1021" s="406">
        <v>44774</v>
      </c>
      <c r="O1021" s="406"/>
      <c r="P1021" s="406"/>
      <c r="Q1021" s="406"/>
      <c r="R1021" s="406"/>
      <c r="S1021" s="405" t="s">
        <v>1520</v>
      </c>
      <c r="T1021" s="405">
        <v>60</v>
      </c>
      <c r="U1021" s="417"/>
      <c r="V1021" s="405" t="s">
        <v>986</v>
      </c>
      <c r="W1021" s="405">
        <v>360</v>
      </c>
      <c r="X1021" s="382">
        <v>832</v>
      </c>
      <c r="Y1021" s="365">
        <v>299520</v>
      </c>
      <c r="Z1021" s="409">
        <v>0.53</v>
      </c>
      <c r="AA1021" s="411">
        <v>158745.60000000001</v>
      </c>
      <c r="AB1021" s="411"/>
      <c r="AC1021" s="412">
        <v>0</v>
      </c>
      <c r="AD1021" s="405"/>
      <c r="AE1021" s="405"/>
      <c r="AF1021" s="424">
        <v>158745.60000000001</v>
      </c>
      <c r="AG1021" s="405" t="s">
        <v>1069</v>
      </c>
      <c r="AH1021" s="405"/>
      <c r="AI1021" s="405">
        <v>60</v>
      </c>
      <c r="AJ1021" s="406" t="s">
        <v>1521</v>
      </c>
      <c r="AK1021" s="406" t="s">
        <v>1522</v>
      </c>
      <c r="AL1021" s="414" t="s">
        <v>1523</v>
      </c>
      <c r="AM1021" s="405" t="s">
        <v>52</v>
      </c>
      <c r="AN1021" s="361"/>
      <c r="AO1021" s="405" t="s">
        <v>1073</v>
      </c>
      <c r="AP1021" s="413"/>
      <c r="AQ1021" s="405" t="s">
        <v>37</v>
      </c>
      <c r="AR1021" s="405"/>
      <c r="AS1021" s="404"/>
      <c r="AT1021" s="404"/>
      <c r="AU1021" s="409"/>
      <c r="AV1021" s="402"/>
      <c r="AW1021" s="402"/>
      <c r="AX1021" s="402"/>
      <c r="AY1021" s="402"/>
      <c r="AZ1021" s="402"/>
      <c r="BA1021" s="402"/>
      <c r="BB1021" s="402"/>
      <c r="BC1021" s="402"/>
    </row>
    <row r="1022" spans="1:55">
      <c r="A1022" s="426"/>
      <c r="B1022" s="376"/>
      <c r="C1022" s="376">
        <v>44634</v>
      </c>
      <c r="D1022" s="416" t="s">
        <v>86</v>
      </c>
      <c r="E1022" s="405" t="s">
        <v>4269</v>
      </c>
      <c r="F1022" s="417"/>
      <c r="G1022" s="359">
        <v>2022</v>
      </c>
      <c r="H1022" s="405">
        <v>8</v>
      </c>
      <c r="I1022" s="405"/>
      <c r="J1022" s="406"/>
      <c r="K1022" s="405" t="s">
        <v>1865</v>
      </c>
      <c r="L1022" s="405" t="s">
        <v>1764</v>
      </c>
      <c r="M1022" s="406">
        <v>44630</v>
      </c>
      <c r="N1022" s="406">
        <v>44774</v>
      </c>
      <c r="O1022" s="406"/>
      <c r="P1022" s="406"/>
      <c r="Q1022" s="406"/>
      <c r="R1022" s="406"/>
      <c r="S1022" s="405" t="s">
        <v>88</v>
      </c>
      <c r="T1022" s="405">
        <v>72</v>
      </c>
      <c r="U1022" s="417"/>
      <c r="V1022" s="405" t="s">
        <v>1002</v>
      </c>
      <c r="W1022" s="405">
        <v>480</v>
      </c>
      <c r="X1022" s="382">
        <v>2552</v>
      </c>
      <c r="Y1022" s="365">
        <f t="shared" ref="Y1022:Y1043" si="231">W1022*X1022</f>
        <v>1224960</v>
      </c>
      <c r="Z1022" s="409">
        <f>228/480</f>
        <v>0.47499999999999998</v>
      </c>
      <c r="AA1022" s="411">
        <f t="shared" ref="AA1022:AA1043" si="232">Z1022*Y1022</f>
        <v>581856</v>
      </c>
      <c r="AB1022" s="411"/>
      <c r="AC1022" s="412">
        <f>AB1022*Y1022</f>
        <v>0</v>
      </c>
      <c r="AD1022" s="405"/>
      <c r="AE1022" s="405"/>
      <c r="AF1022" s="424">
        <f t="shared" ref="AF1022:AF1040" si="233">AE1022+AD1022+AA1022</f>
        <v>581856</v>
      </c>
      <c r="AG1022" s="405" t="s">
        <v>1069</v>
      </c>
      <c r="AH1022" s="405"/>
      <c r="AI1022" s="405">
        <v>60</v>
      </c>
      <c r="AJ1022" s="406" t="s">
        <v>1760</v>
      </c>
      <c r="AK1022" s="406" t="s">
        <v>50</v>
      </c>
      <c r="AL1022" s="414" t="s">
        <v>1800</v>
      </c>
      <c r="AM1022" s="405" t="s">
        <v>52</v>
      </c>
      <c r="AN1022" s="361"/>
      <c r="AO1022" s="405" t="s">
        <v>1073</v>
      </c>
      <c r="AP1022" s="413"/>
      <c r="AQ1022" s="405" t="s">
        <v>37</v>
      </c>
      <c r="AR1022" s="405"/>
      <c r="AS1022" s="404"/>
      <c r="AT1022" s="404"/>
      <c r="AU1022" s="409"/>
      <c r="AV1022" s="402"/>
      <c r="AW1022" s="402"/>
      <c r="AX1022" s="402"/>
      <c r="AY1022" s="402"/>
      <c r="AZ1022" s="402"/>
      <c r="BA1022" s="402"/>
      <c r="BB1022" s="402"/>
      <c r="BC1022" s="402"/>
    </row>
    <row r="1023" spans="1:55">
      <c r="A1023" s="426"/>
      <c r="B1023" s="376"/>
      <c r="C1023" s="376"/>
      <c r="D1023" s="416" t="s">
        <v>86</v>
      </c>
      <c r="E1023" s="405" t="s">
        <v>4273</v>
      </c>
      <c r="F1023" s="417"/>
      <c r="G1023" s="359">
        <v>2022</v>
      </c>
      <c r="H1023" s="405">
        <v>8</v>
      </c>
      <c r="I1023" s="405"/>
      <c r="J1023" s="406"/>
      <c r="K1023" s="405" t="s">
        <v>4277</v>
      </c>
      <c r="L1023" s="405" t="s">
        <v>1764</v>
      </c>
      <c r="M1023" s="406">
        <v>44662</v>
      </c>
      <c r="N1023" s="406">
        <v>44774</v>
      </c>
      <c r="O1023" s="406"/>
      <c r="P1023" s="406"/>
      <c r="Q1023" s="406"/>
      <c r="R1023" s="406"/>
      <c r="S1023" s="405" t="s">
        <v>88</v>
      </c>
      <c r="T1023" s="405">
        <v>72</v>
      </c>
      <c r="U1023" s="417"/>
      <c r="V1023" s="405" t="s">
        <v>995</v>
      </c>
      <c r="W1023" s="405">
        <v>480</v>
      </c>
      <c r="X1023" s="382">
        <v>1914</v>
      </c>
      <c r="Y1023" s="365">
        <f t="shared" si="231"/>
        <v>918720</v>
      </c>
      <c r="Z1023" s="409">
        <f>268.8/480</f>
        <v>0.56000000000000005</v>
      </c>
      <c r="AA1023" s="411">
        <f t="shared" si="232"/>
        <v>514483.20000000007</v>
      </c>
      <c r="AB1023" s="411"/>
      <c r="AC1023" s="412">
        <f>AB1023*Y1023</f>
        <v>0</v>
      </c>
      <c r="AD1023" s="405"/>
      <c r="AE1023" s="405"/>
      <c r="AF1023" s="424">
        <f t="shared" si="233"/>
        <v>514483.20000000007</v>
      </c>
      <c r="AG1023" s="405" t="s">
        <v>1069</v>
      </c>
      <c r="AH1023" s="405"/>
      <c r="AI1023" s="405">
        <v>60</v>
      </c>
      <c r="AJ1023" s="406" t="s">
        <v>1760</v>
      </c>
      <c r="AK1023" s="406" t="s">
        <v>50</v>
      </c>
      <c r="AL1023" s="414" t="s">
        <v>1800</v>
      </c>
      <c r="AM1023" s="405" t="s">
        <v>52</v>
      </c>
      <c r="AN1023" s="361"/>
      <c r="AO1023" s="405" t="s">
        <v>1073</v>
      </c>
      <c r="AP1023" s="413"/>
      <c r="AQ1023" s="405" t="s">
        <v>37</v>
      </c>
      <c r="AR1023" s="405"/>
      <c r="AS1023" s="404"/>
      <c r="AT1023" s="404"/>
      <c r="AU1023" s="409"/>
      <c r="AV1023" s="402">
        <f>U1023</f>
        <v>0</v>
      </c>
      <c r="AW1023" s="402" cm="1">
        <f t="array" ref="AW1023">SUM(MID(0&amp;AV1023,LARGE(INDEX(ISNUMBER(--MID(AV1023,ROW($1:$8),1))*ROW($1:$8),),ROW($1:$8))+1,1)*10^ROW($1:$8)/10)</f>
        <v>0</v>
      </c>
      <c r="AX1023" s="402" t="e">
        <f>VLOOKUP($AW1023,'Item Master Data'!$A:$F,3,FALSE)</f>
        <v>#N/A</v>
      </c>
      <c r="AY1023" s="402" t="e">
        <f>VLOOKUP($AW1023,'Item Master Data'!$A:$F,6,FALSE)</f>
        <v>#N/A</v>
      </c>
      <c r="AZ1023" s="402" t="e">
        <f>X1023/BA1023</f>
        <v>#N/A</v>
      </c>
      <c r="BA1023" s="402" t="e">
        <f>VLOOKUP(AW1023,'Item Master Data'!$A:$G,7,FALSE)</f>
        <v>#N/A</v>
      </c>
      <c r="BB1023" s="402"/>
      <c r="BC1023" s="402" t="e">
        <f>W1023-AY1023</f>
        <v>#N/A</v>
      </c>
    </row>
    <row r="1024" spans="1:55">
      <c r="A1024" s="426"/>
      <c r="B1024" s="376"/>
      <c r="C1024" s="376"/>
      <c r="D1024" s="416" t="s">
        <v>86</v>
      </c>
      <c r="E1024" s="405" t="s">
        <v>4278</v>
      </c>
      <c r="F1024" s="417"/>
      <c r="G1024" s="359">
        <v>2022</v>
      </c>
      <c r="H1024" s="405">
        <v>8</v>
      </c>
      <c r="I1024" s="405"/>
      <c r="J1024" s="406"/>
      <c r="K1024" s="405" t="s">
        <v>4277</v>
      </c>
      <c r="L1024" s="405" t="s">
        <v>1764</v>
      </c>
      <c r="M1024" s="406">
        <v>44662</v>
      </c>
      <c r="N1024" s="406">
        <v>44774</v>
      </c>
      <c r="O1024" s="406"/>
      <c r="P1024" s="406"/>
      <c r="Q1024" s="406"/>
      <c r="R1024" s="406"/>
      <c r="S1024" s="405" t="s">
        <v>88</v>
      </c>
      <c r="T1024" s="405">
        <v>72</v>
      </c>
      <c r="U1024" s="417"/>
      <c r="V1024" s="405" t="s">
        <v>1895</v>
      </c>
      <c r="W1024" s="405">
        <v>580</v>
      </c>
      <c r="X1024" s="382">
        <v>992</v>
      </c>
      <c r="Y1024" s="365">
        <f t="shared" si="231"/>
        <v>575360</v>
      </c>
      <c r="Z1024" s="409">
        <f>336.4/580</f>
        <v>0.57999999999999996</v>
      </c>
      <c r="AA1024" s="411">
        <f t="shared" si="232"/>
        <v>333708.79999999999</v>
      </c>
      <c r="AB1024" s="411"/>
      <c r="AC1024" s="412">
        <f>AB1024*Y1024</f>
        <v>0</v>
      </c>
      <c r="AD1024" s="405"/>
      <c r="AE1024" s="405"/>
      <c r="AF1024" s="424">
        <f t="shared" si="233"/>
        <v>333708.79999999999</v>
      </c>
      <c r="AG1024" s="405" t="s">
        <v>1069</v>
      </c>
      <c r="AH1024" s="405"/>
      <c r="AI1024" s="405">
        <v>60</v>
      </c>
      <c r="AJ1024" s="406" t="s">
        <v>1760</v>
      </c>
      <c r="AK1024" s="406" t="s">
        <v>50</v>
      </c>
      <c r="AL1024" s="414" t="s">
        <v>1800</v>
      </c>
      <c r="AM1024" s="405" t="s">
        <v>52</v>
      </c>
      <c r="AN1024" s="361"/>
      <c r="AO1024" s="405" t="s">
        <v>1073</v>
      </c>
      <c r="AP1024" s="413"/>
      <c r="AQ1024" s="405" t="s">
        <v>37</v>
      </c>
      <c r="AR1024" s="405"/>
      <c r="AS1024" s="404"/>
      <c r="AT1024" s="404"/>
      <c r="AU1024" s="409"/>
      <c r="AV1024" s="402">
        <f>U1024</f>
        <v>0</v>
      </c>
      <c r="AW1024" s="402" cm="1">
        <f t="array" ref="AW1024">SUM(MID(0&amp;AV1024,LARGE(INDEX(ISNUMBER(--MID(AV1024,ROW($1:$8),1))*ROW($1:$8),),ROW($1:$8))+1,1)*10^ROW($1:$8)/10)</f>
        <v>0</v>
      </c>
      <c r="AX1024" s="402" t="e">
        <f>VLOOKUP($AW1024,'Item Master Data'!$A:$F,3,FALSE)</f>
        <v>#N/A</v>
      </c>
      <c r="AY1024" s="402" t="e">
        <f>VLOOKUP($AW1024,'Item Master Data'!$A:$F,6,FALSE)</f>
        <v>#N/A</v>
      </c>
      <c r="AZ1024" s="402" t="e">
        <f>X1024/BA1024</f>
        <v>#N/A</v>
      </c>
      <c r="BA1024" s="402" t="e">
        <f>VLOOKUP(AW1024,'Item Master Data'!$A:$G,7,FALSE)</f>
        <v>#N/A</v>
      </c>
      <c r="BB1024" s="402"/>
      <c r="BC1024" s="402" t="e">
        <f>W1024-AY1024</f>
        <v>#N/A</v>
      </c>
    </row>
    <row r="1025" spans="1:55">
      <c r="A1025" s="426"/>
      <c r="B1025" s="376"/>
      <c r="C1025" s="376"/>
      <c r="D1025" s="416" t="s">
        <v>86</v>
      </c>
      <c r="E1025" s="405" t="s">
        <v>4269</v>
      </c>
      <c r="F1025" s="417"/>
      <c r="G1025" s="359">
        <v>2022</v>
      </c>
      <c r="H1025" s="405">
        <v>8</v>
      </c>
      <c r="I1025" s="405"/>
      <c r="J1025" s="406"/>
      <c r="K1025" s="405">
        <v>1202</v>
      </c>
      <c r="L1025" s="405" t="s">
        <v>1556</v>
      </c>
      <c r="M1025" s="406">
        <v>44585</v>
      </c>
      <c r="N1025" s="406">
        <v>44774</v>
      </c>
      <c r="O1025" s="406"/>
      <c r="P1025" s="406"/>
      <c r="Q1025" s="406"/>
      <c r="R1025" s="406"/>
      <c r="S1025" s="405" t="s">
        <v>1510</v>
      </c>
      <c r="T1025" s="405">
        <v>72</v>
      </c>
      <c r="U1025" s="417"/>
      <c r="V1025" s="405" t="s">
        <v>1002</v>
      </c>
      <c r="W1025" s="405">
        <v>480</v>
      </c>
      <c r="X1025" s="382">
        <v>1276</v>
      </c>
      <c r="Y1025" s="365">
        <f t="shared" si="231"/>
        <v>612480</v>
      </c>
      <c r="Z1025" s="409">
        <f>237.6/480</f>
        <v>0.495</v>
      </c>
      <c r="AA1025" s="411">
        <f t="shared" si="232"/>
        <v>303177.59999999998</v>
      </c>
      <c r="AB1025" s="411"/>
      <c r="AC1025" s="412">
        <f>AB1025*Y1025</f>
        <v>0</v>
      </c>
      <c r="AD1025" s="405"/>
      <c r="AE1025" s="405"/>
      <c r="AF1025" s="424">
        <f t="shared" si="233"/>
        <v>303177.59999999998</v>
      </c>
      <c r="AG1025" s="405" t="s">
        <v>1069</v>
      </c>
      <c r="AH1025" s="405">
        <v>100</v>
      </c>
      <c r="AI1025" s="405">
        <v>0</v>
      </c>
      <c r="AJ1025" s="406" t="s">
        <v>1558</v>
      </c>
      <c r="AK1025" s="406" t="s">
        <v>50</v>
      </c>
      <c r="AL1025" s="414">
        <v>92010</v>
      </c>
      <c r="AM1025" s="405" t="s">
        <v>52</v>
      </c>
      <c r="AN1025" s="361"/>
      <c r="AO1025" s="405" t="s">
        <v>1073</v>
      </c>
      <c r="AP1025" s="413"/>
      <c r="AQ1025" s="405" t="s">
        <v>37</v>
      </c>
      <c r="AR1025" s="405"/>
      <c r="AS1025" s="404"/>
      <c r="AT1025" s="404"/>
      <c r="AU1025" s="409"/>
      <c r="AV1025" s="402"/>
      <c r="AW1025" s="402"/>
      <c r="AX1025" s="402"/>
      <c r="AY1025" s="402"/>
      <c r="AZ1025" s="402"/>
      <c r="BA1025" s="402"/>
      <c r="BB1025" s="402"/>
      <c r="BC1025" s="402"/>
    </row>
    <row r="1026" spans="1:55">
      <c r="A1026" s="426"/>
      <c r="B1026" s="376"/>
      <c r="C1026" s="376"/>
      <c r="D1026" s="416" t="s">
        <v>86</v>
      </c>
      <c r="E1026" s="405"/>
      <c r="F1026" s="417"/>
      <c r="G1026" s="359">
        <v>2022</v>
      </c>
      <c r="H1026" s="405">
        <v>8</v>
      </c>
      <c r="I1026" s="405"/>
      <c r="J1026" s="406"/>
      <c r="K1026" s="405" t="s">
        <v>4732</v>
      </c>
      <c r="L1026" s="405" t="s">
        <v>1561</v>
      </c>
      <c r="M1026" s="406">
        <v>44687</v>
      </c>
      <c r="N1026" s="406">
        <v>44778</v>
      </c>
      <c r="O1026" s="406"/>
      <c r="P1026" s="406"/>
      <c r="Q1026" s="406"/>
      <c r="R1026" s="406"/>
      <c r="S1026" s="405" t="s">
        <v>88</v>
      </c>
      <c r="T1026" s="405">
        <v>72</v>
      </c>
      <c r="U1026" s="417"/>
      <c r="V1026" s="405" t="s">
        <v>995</v>
      </c>
      <c r="W1026" s="405">
        <v>480</v>
      </c>
      <c r="X1026" s="382">
        <v>1276</v>
      </c>
      <c r="Y1026" s="365">
        <f t="shared" si="231"/>
        <v>612480</v>
      </c>
      <c r="Z1026" s="409">
        <f>285.6/480</f>
        <v>0.59500000000000008</v>
      </c>
      <c r="AA1026" s="411">
        <f t="shared" si="232"/>
        <v>364425.60000000003</v>
      </c>
      <c r="AB1026" s="411"/>
      <c r="AC1026" s="412"/>
      <c r="AD1026" s="405"/>
      <c r="AE1026" s="405"/>
      <c r="AF1026" s="424">
        <f t="shared" si="233"/>
        <v>364425.60000000003</v>
      </c>
      <c r="AG1026" s="405" t="s">
        <v>1069</v>
      </c>
      <c r="AH1026" s="405"/>
      <c r="AI1026" s="405">
        <v>60</v>
      </c>
      <c r="AJ1026" s="406" t="s">
        <v>1563</v>
      </c>
      <c r="AK1026" s="406" t="s">
        <v>50</v>
      </c>
      <c r="AL1026" s="414">
        <v>93305</v>
      </c>
      <c r="AM1026" s="405" t="s">
        <v>52</v>
      </c>
      <c r="AN1026" s="361" t="s">
        <v>1071</v>
      </c>
      <c r="AO1026" s="405" t="s">
        <v>1073</v>
      </c>
      <c r="AP1026" s="413"/>
      <c r="AQ1026" s="405" t="s">
        <v>37</v>
      </c>
      <c r="AR1026" s="405" t="s">
        <v>1499</v>
      </c>
      <c r="AS1026" s="404"/>
      <c r="AT1026" s="404"/>
      <c r="AU1026" s="409">
        <v>0.45500000000000002</v>
      </c>
      <c r="AV1026" s="402"/>
      <c r="AW1026" s="402"/>
      <c r="AX1026" s="402"/>
      <c r="AY1026" s="402"/>
      <c r="AZ1026" s="402"/>
      <c r="BA1026" s="402"/>
      <c r="BB1026" s="402"/>
      <c r="BC1026" s="402"/>
    </row>
    <row r="1027" spans="1:55">
      <c r="A1027" s="426"/>
      <c r="B1027" s="376"/>
      <c r="C1027" s="376"/>
      <c r="D1027" s="416" t="s">
        <v>86</v>
      </c>
      <c r="E1027" s="405"/>
      <c r="F1027" s="417"/>
      <c r="G1027" s="359">
        <v>2022</v>
      </c>
      <c r="H1027" s="405">
        <v>9</v>
      </c>
      <c r="I1027" s="405"/>
      <c r="J1027" s="406"/>
      <c r="K1027" s="405" t="s">
        <v>4733</v>
      </c>
      <c r="L1027" s="405" t="s">
        <v>1561</v>
      </c>
      <c r="M1027" s="406">
        <v>44687</v>
      </c>
      <c r="N1027" s="406">
        <v>44809</v>
      </c>
      <c r="O1027" s="406"/>
      <c r="P1027" s="406"/>
      <c r="Q1027" s="406"/>
      <c r="R1027" s="406"/>
      <c r="S1027" s="405" t="s">
        <v>88</v>
      </c>
      <c r="T1027" s="405">
        <v>72</v>
      </c>
      <c r="U1027" s="417"/>
      <c r="V1027" s="405" t="s">
        <v>995</v>
      </c>
      <c r="W1027" s="405">
        <v>480</v>
      </c>
      <c r="X1027" s="382">
        <v>1276</v>
      </c>
      <c r="Y1027" s="365">
        <f t="shared" si="231"/>
        <v>612480</v>
      </c>
      <c r="Z1027" s="409">
        <f>285.6/480</f>
        <v>0.59500000000000008</v>
      </c>
      <c r="AA1027" s="411">
        <f t="shared" si="232"/>
        <v>364425.60000000003</v>
      </c>
      <c r="AB1027" s="411"/>
      <c r="AC1027" s="412"/>
      <c r="AD1027" s="405"/>
      <c r="AE1027" s="405"/>
      <c r="AF1027" s="424">
        <f t="shared" si="233"/>
        <v>364425.60000000003</v>
      </c>
      <c r="AG1027" s="405" t="s">
        <v>1069</v>
      </c>
      <c r="AH1027" s="405"/>
      <c r="AI1027" s="405">
        <v>60</v>
      </c>
      <c r="AJ1027" s="406" t="s">
        <v>1563</v>
      </c>
      <c r="AK1027" s="406" t="s">
        <v>50</v>
      </c>
      <c r="AL1027" s="414">
        <v>93305</v>
      </c>
      <c r="AM1027" s="405" t="s">
        <v>52</v>
      </c>
      <c r="AN1027" s="361" t="s">
        <v>1071</v>
      </c>
      <c r="AO1027" s="405" t="s">
        <v>1073</v>
      </c>
      <c r="AP1027" s="413"/>
      <c r="AQ1027" s="405" t="s">
        <v>37</v>
      </c>
      <c r="AR1027" s="405" t="s">
        <v>1499</v>
      </c>
      <c r="AS1027" s="404"/>
      <c r="AT1027" s="404"/>
      <c r="AU1027" s="409">
        <v>0.45500000000000002</v>
      </c>
      <c r="AV1027" s="402"/>
      <c r="AW1027" s="402"/>
      <c r="AX1027" s="402"/>
      <c r="AY1027" s="402"/>
      <c r="AZ1027" s="402"/>
      <c r="BA1027" s="402"/>
      <c r="BB1027" s="402"/>
      <c r="BC1027" s="402"/>
    </row>
    <row r="1028" spans="1:55">
      <c r="A1028" s="426"/>
      <c r="B1028" s="376"/>
      <c r="C1028" s="376"/>
      <c r="D1028" s="416" t="s">
        <v>86</v>
      </c>
      <c r="E1028" s="405"/>
      <c r="F1028" s="417"/>
      <c r="G1028" s="359">
        <v>2022</v>
      </c>
      <c r="H1028" s="405">
        <v>9</v>
      </c>
      <c r="I1028" s="405"/>
      <c r="J1028" s="406"/>
      <c r="K1028" s="405" t="s">
        <v>1545</v>
      </c>
      <c r="L1028" s="405" t="s">
        <v>1514</v>
      </c>
      <c r="M1028" s="406">
        <v>44595</v>
      </c>
      <c r="N1028" s="406">
        <v>44809</v>
      </c>
      <c r="O1028" s="406"/>
      <c r="P1028" s="406"/>
      <c r="Q1028" s="406"/>
      <c r="R1028" s="406"/>
      <c r="S1028" s="405" t="s">
        <v>88</v>
      </c>
      <c r="T1028" s="405">
        <v>60</v>
      </c>
      <c r="U1028" s="417"/>
      <c r="V1028" s="405" t="s">
        <v>986</v>
      </c>
      <c r="W1028" s="405">
        <v>360</v>
      </c>
      <c r="X1028" s="382">
        <v>1664</v>
      </c>
      <c r="Y1028" s="365">
        <f t="shared" si="231"/>
        <v>599040</v>
      </c>
      <c r="Z1028" s="409">
        <f>190.8/360</f>
        <v>0.53</v>
      </c>
      <c r="AA1028" s="411">
        <f t="shared" si="232"/>
        <v>317491.20000000001</v>
      </c>
      <c r="AB1028" s="411"/>
      <c r="AC1028" s="412">
        <v>0</v>
      </c>
      <c r="AD1028" s="405"/>
      <c r="AE1028" s="405"/>
      <c r="AF1028" s="424">
        <f t="shared" si="233"/>
        <v>317491.20000000001</v>
      </c>
      <c r="AG1028" s="405" t="s">
        <v>1069</v>
      </c>
      <c r="AH1028" s="405"/>
      <c r="AI1028" s="405">
        <v>60</v>
      </c>
      <c r="AJ1028" s="406" t="s">
        <v>1515</v>
      </c>
      <c r="AK1028" s="406" t="s">
        <v>1136</v>
      </c>
      <c r="AL1028" s="414">
        <v>92806</v>
      </c>
      <c r="AM1028" s="405" t="s">
        <v>52</v>
      </c>
      <c r="AN1028" s="361"/>
      <c r="AO1028" s="405" t="s">
        <v>1073</v>
      </c>
      <c r="AP1028" s="413" t="s">
        <v>92</v>
      </c>
      <c r="AQ1028" s="405" t="s">
        <v>37</v>
      </c>
      <c r="AR1028" s="405" t="s">
        <v>1188</v>
      </c>
      <c r="AS1028" s="404" t="s">
        <v>1392</v>
      </c>
      <c r="AT1028" s="404"/>
      <c r="AU1028" s="409">
        <f>180/360</f>
        <v>0.5</v>
      </c>
      <c r="AV1028" s="402">
        <f>U1028</f>
        <v>0</v>
      </c>
      <c r="AW1028" s="402" cm="1">
        <f t="array" ref="AW1028">SUM(MID(0&amp;AV1028,LARGE(INDEX(ISNUMBER(--MID(AV1028,ROW($1:$8),1))*ROW($1:$8),),ROW($1:$8))+1,1)*10^ROW($1:$8)/10)</f>
        <v>0</v>
      </c>
      <c r="AX1028" s="402" t="e">
        <f>VLOOKUP($AW1028,'Item Master Data'!$A:$F,3,FALSE)</f>
        <v>#N/A</v>
      </c>
      <c r="AY1028" s="402" t="e">
        <f>VLOOKUP($AW1028,'Item Master Data'!$A:$F,6,FALSE)</f>
        <v>#N/A</v>
      </c>
      <c r="AZ1028" s="402" t="e">
        <f>X1028/BA1028</f>
        <v>#N/A</v>
      </c>
      <c r="BA1028" s="402" t="e">
        <f>VLOOKUP(AW1028,'Item Master Data'!$A:$G,7,FALSE)</f>
        <v>#N/A</v>
      </c>
      <c r="BB1028" s="402"/>
      <c r="BC1028" s="402" t="e">
        <f>W1028-AY1028</f>
        <v>#N/A</v>
      </c>
    </row>
    <row r="1029" spans="1:55">
      <c r="A1029" s="426"/>
      <c r="B1029" s="376"/>
      <c r="C1029" s="376"/>
      <c r="D1029" s="416" t="s">
        <v>86</v>
      </c>
      <c r="E1029" s="405"/>
      <c r="F1029" s="417"/>
      <c r="G1029" s="359">
        <v>2022</v>
      </c>
      <c r="H1029" s="405">
        <v>9</v>
      </c>
      <c r="I1029" s="405"/>
      <c r="J1029" s="406"/>
      <c r="K1029" s="405" t="s">
        <v>1545</v>
      </c>
      <c r="L1029" s="405" t="s">
        <v>1514</v>
      </c>
      <c r="M1029" s="406">
        <v>44595</v>
      </c>
      <c r="N1029" s="406">
        <v>44809</v>
      </c>
      <c r="O1029" s="406"/>
      <c r="P1029" s="406"/>
      <c r="Q1029" s="406"/>
      <c r="R1029" s="406"/>
      <c r="S1029" s="405" t="s">
        <v>88</v>
      </c>
      <c r="T1029" s="405">
        <v>60</v>
      </c>
      <c r="U1029" s="417"/>
      <c r="V1029" s="405" t="s">
        <v>973</v>
      </c>
      <c r="W1029" s="405">
        <v>400</v>
      </c>
      <c r="X1029" s="382">
        <v>1536</v>
      </c>
      <c r="Y1029" s="365">
        <f t="shared" si="231"/>
        <v>614400</v>
      </c>
      <c r="Z1029" s="409">
        <f>220/400</f>
        <v>0.55000000000000004</v>
      </c>
      <c r="AA1029" s="411">
        <f t="shared" si="232"/>
        <v>337920</v>
      </c>
      <c r="AB1029" s="411"/>
      <c r="AC1029" s="412">
        <v>0</v>
      </c>
      <c r="AD1029" s="405"/>
      <c r="AE1029" s="405"/>
      <c r="AF1029" s="424">
        <f t="shared" si="233"/>
        <v>337920</v>
      </c>
      <c r="AG1029" s="405" t="s">
        <v>1069</v>
      </c>
      <c r="AH1029" s="405"/>
      <c r="AI1029" s="405">
        <v>60</v>
      </c>
      <c r="AJ1029" s="406" t="s">
        <v>1515</v>
      </c>
      <c r="AK1029" s="406" t="s">
        <v>1136</v>
      </c>
      <c r="AL1029" s="414">
        <v>92806</v>
      </c>
      <c r="AM1029" s="405" t="s">
        <v>52</v>
      </c>
      <c r="AN1029" s="361"/>
      <c r="AO1029" s="405" t="s">
        <v>1073</v>
      </c>
      <c r="AP1029" s="413" t="s">
        <v>92</v>
      </c>
      <c r="AQ1029" s="405" t="s">
        <v>37</v>
      </c>
      <c r="AR1029" s="405" t="s">
        <v>1188</v>
      </c>
      <c r="AS1029" s="404" t="s">
        <v>1392</v>
      </c>
      <c r="AT1029" s="404"/>
      <c r="AU1029" s="409">
        <f>180/360</f>
        <v>0.5</v>
      </c>
      <c r="AV1029" s="402">
        <f>U1029</f>
        <v>0</v>
      </c>
      <c r="AW1029" s="402" cm="1">
        <f t="array" ref="AW1029">SUM(MID(0&amp;AV1029,LARGE(INDEX(ISNUMBER(--MID(AV1029,ROW($1:$8),1))*ROW($1:$8),),ROW($1:$8))+1,1)*10^ROW($1:$8)/10)</f>
        <v>0</v>
      </c>
      <c r="AX1029" s="402" t="e">
        <f>VLOOKUP($AW1029,'Item Master Data'!$A:$F,3,FALSE)</f>
        <v>#N/A</v>
      </c>
      <c r="AY1029" s="402" t="e">
        <f>VLOOKUP($AW1029,'Item Master Data'!$A:$F,6,FALSE)</f>
        <v>#N/A</v>
      </c>
      <c r="AZ1029" s="402" t="e">
        <f>X1029/BA1029</f>
        <v>#N/A</v>
      </c>
      <c r="BA1029" s="402" t="e">
        <f>VLOOKUP(AW1029,'Item Master Data'!$A:$G,7,FALSE)</f>
        <v>#N/A</v>
      </c>
      <c r="BB1029" s="402"/>
      <c r="BC1029" s="402" t="e">
        <f>W1029-AY1029</f>
        <v>#N/A</v>
      </c>
    </row>
    <row r="1030" spans="1:55">
      <c r="A1030" s="426"/>
      <c r="B1030" s="376"/>
      <c r="C1030" s="376"/>
      <c r="D1030" s="416" t="s">
        <v>86</v>
      </c>
      <c r="E1030" s="405"/>
      <c r="F1030" s="417"/>
      <c r="G1030" s="359">
        <v>2022</v>
      </c>
      <c r="H1030" s="405">
        <v>9</v>
      </c>
      <c r="I1030" s="405"/>
      <c r="J1030" s="406"/>
      <c r="K1030" s="405" t="s">
        <v>1544</v>
      </c>
      <c r="L1030" s="405" t="s">
        <v>1514</v>
      </c>
      <c r="M1030" s="406">
        <v>44595</v>
      </c>
      <c r="N1030" s="406">
        <v>44781</v>
      </c>
      <c r="O1030" s="406">
        <v>44812</v>
      </c>
      <c r="P1030" s="406"/>
      <c r="Q1030" s="406"/>
      <c r="R1030" s="406"/>
      <c r="S1030" s="405" t="s">
        <v>88</v>
      </c>
      <c r="T1030" s="405">
        <v>60</v>
      </c>
      <c r="U1030" s="417">
        <v>49204132</v>
      </c>
      <c r="V1030" s="405" t="s">
        <v>1192</v>
      </c>
      <c r="W1030" s="405">
        <v>360</v>
      </c>
      <c r="X1030" s="382">
        <v>832</v>
      </c>
      <c r="Y1030" s="365">
        <f t="shared" si="231"/>
        <v>299520</v>
      </c>
      <c r="Z1030" s="409">
        <f>298.8/360</f>
        <v>0.83000000000000007</v>
      </c>
      <c r="AA1030" s="411">
        <f t="shared" si="232"/>
        <v>248601.60000000003</v>
      </c>
      <c r="AB1030" s="411"/>
      <c r="AC1030" s="412">
        <v>0</v>
      </c>
      <c r="AD1030" s="405"/>
      <c r="AE1030" s="405"/>
      <c r="AF1030" s="424">
        <f t="shared" si="233"/>
        <v>248601.60000000003</v>
      </c>
      <c r="AG1030" s="405" t="s">
        <v>1069</v>
      </c>
      <c r="AH1030" s="405"/>
      <c r="AI1030" s="405">
        <v>60</v>
      </c>
      <c r="AJ1030" s="406" t="s">
        <v>1515</v>
      </c>
      <c r="AK1030" s="406" t="s">
        <v>1136</v>
      </c>
      <c r="AL1030" s="414">
        <v>92806</v>
      </c>
      <c r="AM1030" s="405" t="s">
        <v>52</v>
      </c>
      <c r="AN1030" s="361"/>
      <c r="AO1030" s="405" t="s">
        <v>1073</v>
      </c>
      <c r="AP1030" s="413" t="s">
        <v>92</v>
      </c>
      <c r="AQ1030" s="405" t="s">
        <v>37</v>
      </c>
      <c r="AR1030" s="405" t="s">
        <v>1188</v>
      </c>
      <c r="AS1030" s="404" t="s">
        <v>1392</v>
      </c>
      <c r="AT1030" s="404"/>
      <c r="AU1030" s="409">
        <f>180/360</f>
        <v>0.5</v>
      </c>
      <c r="AV1030" s="402">
        <f>U1030</f>
        <v>49204132</v>
      </c>
      <c r="AW1030" s="402" cm="1">
        <f t="array" ref="AW1030">SUM(MID(0&amp;AV1030,LARGE(INDEX(ISNUMBER(--MID(AV1030,ROW($1:$8),1))*ROW($1:$8),),ROW($1:$8))+1,1)*10^ROW($1:$8)/10)</f>
        <v>49204132</v>
      </c>
      <c r="AX1030" s="402" t="str">
        <f>VLOOKUP($AW1030,'Item Master Data'!$A:$F,3,FALSE)</f>
        <v>Q.PEAK DUO BLK G10+/AC</v>
      </c>
      <c r="AY1030" s="402">
        <f>VLOOKUP($AW1030,'Item Master Data'!$A:$F,6,FALSE)</f>
        <v>360</v>
      </c>
      <c r="AZ1030" s="402">
        <f>X1030/BA1030</f>
        <v>32</v>
      </c>
      <c r="BA1030" s="402">
        <f>VLOOKUP(AW1030,'Item Master Data'!$A:$G,7,FALSE)</f>
        <v>26</v>
      </c>
      <c r="BB1030" s="402"/>
      <c r="BC1030" s="402">
        <f>W1030-AY1030</f>
        <v>0</v>
      </c>
    </row>
    <row r="1031" spans="1:55">
      <c r="A1031" s="426"/>
      <c r="B1031" s="376">
        <v>44642</v>
      </c>
      <c r="C1031" s="376">
        <v>44642</v>
      </c>
      <c r="D1031" s="416" t="s">
        <v>86</v>
      </c>
      <c r="E1031" s="405" t="s">
        <v>4272</v>
      </c>
      <c r="F1031" s="417"/>
      <c r="G1031" s="359">
        <v>2022</v>
      </c>
      <c r="H1031" s="405">
        <v>9</v>
      </c>
      <c r="I1031" s="405"/>
      <c r="J1031" s="406"/>
      <c r="K1031" s="405" t="s">
        <v>1554</v>
      </c>
      <c r="L1031" s="405" t="s">
        <v>1514</v>
      </c>
      <c r="M1031" s="406">
        <v>44641</v>
      </c>
      <c r="N1031" s="406">
        <v>44809</v>
      </c>
      <c r="O1031" s="406"/>
      <c r="P1031" s="406"/>
      <c r="Q1031" s="406"/>
      <c r="R1031" s="406"/>
      <c r="S1031" s="405" t="s">
        <v>88</v>
      </c>
      <c r="T1031" s="405">
        <v>72</v>
      </c>
      <c r="U1031" s="417"/>
      <c r="V1031" s="405" t="s">
        <v>1103</v>
      </c>
      <c r="W1031" s="405">
        <v>485</v>
      </c>
      <c r="X1031" s="382">
        <v>638</v>
      </c>
      <c r="Y1031" s="365">
        <f t="shared" si="231"/>
        <v>309430</v>
      </c>
      <c r="Z1031" s="409">
        <f>244.93/485</f>
        <v>0.50501030927835056</v>
      </c>
      <c r="AA1031" s="411">
        <f t="shared" si="232"/>
        <v>156265.34000000003</v>
      </c>
      <c r="AB1031" s="411"/>
      <c r="AC1031" s="412">
        <v>0</v>
      </c>
      <c r="AD1031" s="405"/>
      <c r="AE1031" s="405"/>
      <c r="AF1031" s="424">
        <f t="shared" si="233"/>
        <v>156265.34000000003</v>
      </c>
      <c r="AG1031" s="405" t="s">
        <v>1069</v>
      </c>
      <c r="AH1031" s="405"/>
      <c r="AI1031" s="405">
        <v>60</v>
      </c>
      <c r="AJ1031" s="406" t="s">
        <v>1515</v>
      </c>
      <c r="AK1031" s="406" t="s">
        <v>50</v>
      </c>
      <c r="AL1031" s="414" t="s">
        <v>1529</v>
      </c>
      <c r="AM1031" s="405" t="s">
        <v>52</v>
      </c>
      <c r="AN1031" s="361" t="s">
        <v>50</v>
      </c>
      <c r="AO1031" s="405" t="s">
        <v>1073</v>
      </c>
      <c r="AP1031" s="413" t="s">
        <v>38</v>
      </c>
      <c r="AQ1031" s="405" t="s">
        <v>37</v>
      </c>
      <c r="AR1031" s="405"/>
      <c r="AS1031" s="404" t="s">
        <v>1072</v>
      </c>
      <c r="AT1031" s="404"/>
      <c r="AU1031" s="409">
        <v>0.52</v>
      </c>
      <c r="AV1031" s="402"/>
      <c r="AW1031" s="402"/>
      <c r="AX1031" s="402"/>
      <c r="AY1031" s="402"/>
      <c r="AZ1031" s="402"/>
      <c r="BA1031" s="402"/>
      <c r="BB1031" s="402"/>
      <c r="BC1031" s="402"/>
    </row>
    <row r="1032" spans="1:55">
      <c r="A1032" s="426"/>
      <c r="B1032" s="376">
        <v>44628</v>
      </c>
      <c r="C1032" s="376">
        <v>44628</v>
      </c>
      <c r="D1032" s="416" t="s">
        <v>86</v>
      </c>
      <c r="E1032" s="405"/>
      <c r="F1032" s="417"/>
      <c r="G1032" s="359">
        <v>2022</v>
      </c>
      <c r="H1032" s="405">
        <v>9</v>
      </c>
      <c r="I1032" s="405"/>
      <c r="J1032" s="406"/>
      <c r="K1032" s="405" t="s">
        <v>1596</v>
      </c>
      <c r="L1032" s="405" t="s">
        <v>1588</v>
      </c>
      <c r="M1032" s="406">
        <v>44568</v>
      </c>
      <c r="N1032" s="406">
        <v>44805</v>
      </c>
      <c r="O1032" s="406"/>
      <c r="P1032" s="406"/>
      <c r="Q1032" s="406"/>
      <c r="R1032" s="406"/>
      <c r="S1032" s="405" t="s">
        <v>1510</v>
      </c>
      <c r="T1032" s="405">
        <v>60</v>
      </c>
      <c r="U1032" s="417">
        <v>49204132</v>
      </c>
      <c r="V1032" s="405" t="s">
        <v>1192</v>
      </c>
      <c r="W1032" s="405">
        <v>360</v>
      </c>
      <c r="X1032" s="382">
        <v>676</v>
      </c>
      <c r="Y1032" s="365">
        <f t="shared" si="231"/>
        <v>243360</v>
      </c>
      <c r="Z1032" s="409">
        <f>298.8/360</f>
        <v>0.83000000000000007</v>
      </c>
      <c r="AA1032" s="411">
        <f t="shared" si="232"/>
        <v>201988.80000000002</v>
      </c>
      <c r="AB1032" s="411"/>
      <c r="AC1032" s="412">
        <v>0</v>
      </c>
      <c r="AD1032" s="405"/>
      <c r="AE1032" s="405"/>
      <c r="AF1032" s="424">
        <f t="shared" si="233"/>
        <v>201988.80000000002</v>
      </c>
      <c r="AG1032" s="405" t="s">
        <v>1069</v>
      </c>
      <c r="AH1032" s="405"/>
      <c r="AI1032" s="405">
        <v>60</v>
      </c>
      <c r="AJ1032" s="406" t="s">
        <v>1589</v>
      </c>
      <c r="AK1032" s="406" t="s">
        <v>50</v>
      </c>
      <c r="AL1032" s="414">
        <v>91311</v>
      </c>
      <c r="AM1032" s="405" t="s">
        <v>52</v>
      </c>
      <c r="AN1032" s="361" t="s">
        <v>1071</v>
      </c>
      <c r="AO1032" s="405" t="s">
        <v>1073</v>
      </c>
      <c r="AP1032" s="413"/>
      <c r="AQ1032" s="405" t="s">
        <v>37</v>
      </c>
      <c r="AR1032" s="405"/>
      <c r="AS1032" s="404"/>
      <c r="AT1032" s="404"/>
      <c r="AU1032" s="409">
        <v>0.72</v>
      </c>
      <c r="AV1032" s="402"/>
      <c r="AW1032" s="402"/>
      <c r="AX1032" s="402"/>
      <c r="AY1032" s="402"/>
      <c r="AZ1032" s="402"/>
      <c r="BA1032" s="402"/>
      <c r="BB1032" s="402"/>
      <c r="BC1032" s="402"/>
    </row>
    <row r="1033" spans="1:55">
      <c r="A1033" s="426"/>
      <c r="B1033" s="376">
        <v>44589</v>
      </c>
      <c r="C1033" s="376">
        <v>44589</v>
      </c>
      <c r="D1033" s="416" t="s">
        <v>86</v>
      </c>
      <c r="E1033" s="405"/>
      <c r="F1033" s="417" t="s">
        <v>87</v>
      </c>
      <c r="G1033" s="359">
        <v>2022</v>
      </c>
      <c r="H1033" s="405">
        <v>9</v>
      </c>
      <c r="I1033" s="405"/>
      <c r="J1033" s="406"/>
      <c r="K1033" s="405" t="s">
        <v>1669</v>
      </c>
      <c r="L1033" s="405" t="s">
        <v>1608</v>
      </c>
      <c r="M1033" s="406">
        <v>44924</v>
      </c>
      <c r="N1033" s="406">
        <v>44833</v>
      </c>
      <c r="O1033" s="406"/>
      <c r="P1033" s="406"/>
      <c r="Q1033" s="406"/>
      <c r="R1033" s="406"/>
      <c r="S1033" s="405" t="s">
        <v>88</v>
      </c>
      <c r="T1033" s="405">
        <v>72</v>
      </c>
      <c r="U1033" s="417">
        <v>49303156</v>
      </c>
      <c r="V1033" s="405" t="s">
        <v>1068</v>
      </c>
      <c r="W1033" s="405">
        <v>480</v>
      </c>
      <c r="X1033" s="382">
        <v>638</v>
      </c>
      <c r="Y1033" s="365">
        <f t="shared" si="231"/>
        <v>306240</v>
      </c>
      <c r="Z1033" s="409">
        <f>225.6/480</f>
        <v>0.47</v>
      </c>
      <c r="AA1033" s="411">
        <f t="shared" si="232"/>
        <v>143932.79999999999</v>
      </c>
      <c r="AB1033" s="411"/>
      <c r="AC1033" s="412">
        <v>0</v>
      </c>
      <c r="AD1033" s="405"/>
      <c r="AE1033" s="405"/>
      <c r="AF1033" s="424">
        <f t="shared" si="233"/>
        <v>143932.79999999999</v>
      </c>
      <c r="AG1033" s="405" t="s">
        <v>1069</v>
      </c>
      <c r="AH1033" s="405"/>
      <c r="AI1033" s="405">
        <v>60</v>
      </c>
      <c r="AJ1033" s="406" t="s">
        <v>1616</v>
      </c>
      <c r="AK1033" s="406" t="s">
        <v>50</v>
      </c>
      <c r="AL1033" s="414">
        <v>93703</v>
      </c>
      <c r="AM1033" s="405" t="s">
        <v>52</v>
      </c>
      <c r="AN1033" s="361" t="s">
        <v>1516</v>
      </c>
      <c r="AO1033" s="405" t="s">
        <v>1073</v>
      </c>
      <c r="AP1033" s="413"/>
      <c r="AQ1033" s="405" t="s">
        <v>1083</v>
      </c>
      <c r="AR1033" s="405"/>
      <c r="AS1033" s="404" t="s">
        <v>1392</v>
      </c>
      <c r="AT1033" s="404"/>
      <c r="AU1033" s="409"/>
      <c r="AV1033" s="402">
        <f>U1033</f>
        <v>49303156</v>
      </c>
      <c r="AW1033" s="402" cm="1">
        <f t="array" ref="AW1033">SUM(MID(0&amp;AV1033,LARGE(INDEX(ISNUMBER(--MID(AV1033,ROW($1:$8),1))*ROW($1:$8),),ROW($1:$8))+1,1)*10^ROW($1:$8)/10)</f>
        <v>49303156</v>
      </c>
      <c r="AX1033" s="402" t="str">
        <f>VLOOKUP($AW1033,'Item Master Data'!$A:$F,3,FALSE)</f>
        <v>Q.PEAK DUO XL G10 BFG</v>
      </c>
      <c r="AY1033" s="402">
        <f>VLOOKUP($AW1033,'Item Master Data'!$A:$F,6,FALSE)</f>
        <v>480</v>
      </c>
      <c r="AZ1033" s="402">
        <f>X1033/BA1033</f>
        <v>22</v>
      </c>
      <c r="BA1033" s="402">
        <f>VLOOKUP(AW1033,'Item Master Data'!$A:$G,7,FALSE)</f>
        <v>29</v>
      </c>
      <c r="BB1033" s="402"/>
      <c r="BC1033" s="402">
        <f>W1033-AY1033</f>
        <v>0</v>
      </c>
    </row>
    <row r="1034" spans="1:55">
      <c r="A1034" s="426"/>
      <c r="B1034" s="376">
        <v>44635</v>
      </c>
      <c r="C1034" s="376">
        <v>44636</v>
      </c>
      <c r="D1034" s="416" t="s">
        <v>86</v>
      </c>
      <c r="E1034" s="405"/>
      <c r="F1034" s="417"/>
      <c r="G1034" s="359">
        <v>2022</v>
      </c>
      <c r="H1034" s="405">
        <v>9</v>
      </c>
      <c r="I1034" s="405"/>
      <c r="J1034" s="406"/>
      <c r="K1034" s="405" t="s">
        <v>1670</v>
      </c>
      <c r="L1034" s="405" t="s">
        <v>1608</v>
      </c>
      <c r="M1034" s="406">
        <v>44587</v>
      </c>
      <c r="N1034" s="406">
        <v>44830</v>
      </c>
      <c r="O1034" s="406"/>
      <c r="P1034" s="406"/>
      <c r="Q1034" s="406"/>
      <c r="R1034" s="406"/>
      <c r="S1034" s="405" t="s">
        <v>1510</v>
      </c>
      <c r="T1034" s="405">
        <v>60</v>
      </c>
      <c r="U1034" s="417"/>
      <c r="V1034" s="405" t="s">
        <v>986</v>
      </c>
      <c r="W1034" s="405">
        <v>360</v>
      </c>
      <c r="X1034" s="382">
        <v>1664</v>
      </c>
      <c r="Y1034" s="365">
        <f t="shared" si="231"/>
        <v>599040</v>
      </c>
      <c r="Z1034" s="409">
        <v>0.5</v>
      </c>
      <c r="AA1034" s="411">
        <f t="shared" si="232"/>
        <v>299520</v>
      </c>
      <c r="AB1034" s="411"/>
      <c r="AC1034" s="412">
        <v>0</v>
      </c>
      <c r="AD1034" s="405"/>
      <c r="AE1034" s="405"/>
      <c r="AF1034" s="424">
        <f t="shared" si="233"/>
        <v>299520</v>
      </c>
      <c r="AG1034" s="405" t="s">
        <v>1069</v>
      </c>
      <c r="AH1034" s="405"/>
      <c r="AI1034" s="405">
        <v>60</v>
      </c>
      <c r="AJ1034" s="406" t="s">
        <v>1616</v>
      </c>
      <c r="AK1034" s="406" t="s">
        <v>50</v>
      </c>
      <c r="AL1034" s="414" t="s">
        <v>1617</v>
      </c>
      <c r="AM1034" s="405" t="s">
        <v>52</v>
      </c>
      <c r="AN1034" s="361"/>
      <c r="AO1034" s="405" t="s">
        <v>1073</v>
      </c>
      <c r="AP1034" s="413"/>
      <c r="AQ1034" s="405" t="s">
        <v>37</v>
      </c>
      <c r="AR1034" s="405" t="s">
        <v>1188</v>
      </c>
      <c r="AS1034" s="404" t="s">
        <v>1392</v>
      </c>
      <c r="AT1034" s="404"/>
      <c r="AU1034" s="409">
        <v>0.5</v>
      </c>
      <c r="AV1034" s="402">
        <f>U1034</f>
        <v>0</v>
      </c>
      <c r="AW1034" s="402" cm="1">
        <f t="array" ref="AW1034">SUM(MID(0&amp;AV1034,LARGE(INDEX(ISNUMBER(--MID(AV1034,ROW($1:$8),1))*ROW($1:$8),),ROW($1:$8))+1,1)*10^ROW($1:$8)/10)</f>
        <v>0</v>
      </c>
      <c r="AX1034" s="402" t="e">
        <f>VLOOKUP($AW1034,'Item Master Data'!$A:$F,3,FALSE)</f>
        <v>#N/A</v>
      </c>
      <c r="AY1034" s="402" t="e">
        <f>VLOOKUP($AW1034,'Item Master Data'!$A:$F,6,FALSE)</f>
        <v>#N/A</v>
      </c>
      <c r="AZ1034" s="402" t="e">
        <f>X1034/BA1034</f>
        <v>#N/A</v>
      </c>
      <c r="BA1034" s="402" t="e">
        <f>VLOOKUP(AW1034,'Item Master Data'!$A:$G,7,FALSE)</f>
        <v>#N/A</v>
      </c>
      <c r="BB1034" s="402"/>
      <c r="BC1034" s="402" t="e">
        <f>W1034-AY1034</f>
        <v>#N/A</v>
      </c>
    </row>
    <row r="1035" spans="1:55">
      <c r="A1035" s="426"/>
      <c r="B1035" s="376"/>
      <c r="C1035" s="376"/>
      <c r="D1035" s="416" t="s">
        <v>86</v>
      </c>
      <c r="E1035" s="405" t="s">
        <v>4269</v>
      </c>
      <c r="F1035" s="417"/>
      <c r="G1035" s="359">
        <v>2022</v>
      </c>
      <c r="H1035" s="405">
        <v>9</v>
      </c>
      <c r="I1035" s="405"/>
      <c r="J1035" s="406"/>
      <c r="K1035" s="405" t="s">
        <v>1721</v>
      </c>
      <c r="L1035" s="405" t="s">
        <v>1626</v>
      </c>
      <c r="M1035" s="406">
        <v>44586</v>
      </c>
      <c r="N1035" s="406">
        <v>44805</v>
      </c>
      <c r="O1035" s="406"/>
      <c r="P1035" s="406"/>
      <c r="Q1035" s="406"/>
      <c r="R1035" s="406"/>
      <c r="S1035" s="405" t="s">
        <v>1510</v>
      </c>
      <c r="T1035" s="405">
        <v>72</v>
      </c>
      <c r="U1035" s="417" t="s">
        <v>1102</v>
      </c>
      <c r="V1035" s="405" t="s">
        <v>1103</v>
      </c>
      <c r="W1035" s="405">
        <v>485</v>
      </c>
      <c r="X1035" s="382">
        <v>638</v>
      </c>
      <c r="Y1035" s="365">
        <f t="shared" si="231"/>
        <v>309430</v>
      </c>
      <c r="Z1035" s="409">
        <f>240.08/485</f>
        <v>0.49501030927835055</v>
      </c>
      <c r="AA1035" s="411">
        <f t="shared" si="232"/>
        <v>153171.04</v>
      </c>
      <c r="AB1035" s="411"/>
      <c r="AC1035" s="412">
        <f t="shared" ref="AC1035:AC1040" si="234">AB1035*Y1035</f>
        <v>0</v>
      </c>
      <c r="AD1035" s="405"/>
      <c r="AE1035" s="405"/>
      <c r="AF1035" s="424">
        <f t="shared" si="233"/>
        <v>153171.04</v>
      </c>
      <c r="AG1035" s="405" t="s">
        <v>1069</v>
      </c>
      <c r="AH1035" s="405"/>
      <c r="AI1035" s="405">
        <v>60</v>
      </c>
      <c r="AJ1035" s="406" t="s">
        <v>1722</v>
      </c>
      <c r="AK1035" s="406" t="s">
        <v>50</v>
      </c>
      <c r="AL1035" s="414">
        <v>90221</v>
      </c>
      <c r="AM1035" s="405" t="s">
        <v>52</v>
      </c>
      <c r="AN1035" s="361"/>
      <c r="AO1035" s="405" t="s">
        <v>1073</v>
      </c>
      <c r="AP1035" s="413"/>
      <c r="AQ1035" s="405" t="s">
        <v>37</v>
      </c>
      <c r="AR1035" s="405"/>
      <c r="AS1035" s="404"/>
      <c r="AT1035" s="404"/>
      <c r="AU1035" s="409"/>
      <c r="AV1035" s="402"/>
      <c r="AW1035" s="402"/>
      <c r="AX1035" s="402"/>
      <c r="AY1035" s="402"/>
      <c r="AZ1035" s="402"/>
      <c r="BA1035" s="402"/>
      <c r="BB1035" s="402"/>
      <c r="BC1035" s="402"/>
    </row>
    <row r="1036" spans="1:55">
      <c r="A1036" s="426"/>
      <c r="B1036" s="376">
        <v>44617</v>
      </c>
      <c r="C1036" s="376">
        <v>44616</v>
      </c>
      <c r="D1036" s="416" t="s">
        <v>86</v>
      </c>
      <c r="E1036" s="405"/>
      <c r="F1036" s="417"/>
      <c r="G1036" s="359">
        <v>2022</v>
      </c>
      <c r="H1036" s="405">
        <v>9</v>
      </c>
      <c r="I1036" s="405"/>
      <c r="J1036" s="406"/>
      <c r="K1036" s="405" t="s">
        <v>1809</v>
      </c>
      <c r="L1036" s="405" t="s">
        <v>1682</v>
      </c>
      <c r="M1036" s="406">
        <v>44589</v>
      </c>
      <c r="N1036" s="406">
        <v>44809</v>
      </c>
      <c r="O1036" s="406"/>
      <c r="P1036" s="406"/>
      <c r="Q1036" s="406"/>
      <c r="R1036" s="406"/>
      <c r="S1036" s="405" t="s">
        <v>1520</v>
      </c>
      <c r="T1036" s="405">
        <v>60</v>
      </c>
      <c r="U1036" s="417"/>
      <c r="V1036" s="405" t="s">
        <v>986</v>
      </c>
      <c r="W1036" s="405">
        <v>360</v>
      </c>
      <c r="X1036" s="382">
        <v>4160</v>
      </c>
      <c r="Y1036" s="365">
        <f t="shared" si="231"/>
        <v>1497600</v>
      </c>
      <c r="Z1036" s="409">
        <f>190.8/360</f>
        <v>0.53</v>
      </c>
      <c r="AA1036" s="411">
        <f t="shared" si="232"/>
        <v>793728</v>
      </c>
      <c r="AB1036" s="411"/>
      <c r="AC1036" s="412">
        <f t="shared" si="234"/>
        <v>0</v>
      </c>
      <c r="AD1036" s="405"/>
      <c r="AE1036" s="405"/>
      <c r="AF1036" s="424">
        <f t="shared" si="233"/>
        <v>793728</v>
      </c>
      <c r="AG1036" s="405" t="s">
        <v>1069</v>
      </c>
      <c r="AH1036" s="405"/>
      <c r="AI1036" s="405">
        <v>60</v>
      </c>
      <c r="AJ1036" s="406" t="s">
        <v>1584</v>
      </c>
      <c r="AK1036" s="406" t="s">
        <v>50</v>
      </c>
      <c r="AL1036" s="414">
        <v>95834</v>
      </c>
      <c r="AM1036" s="405" t="s">
        <v>52</v>
      </c>
      <c r="AN1036" s="361" t="s">
        <v>1071</v>
      </c>
      <c r="AO1036" s="405" t="s">
        <v>1073</v>
      </c>
      <c r="AP1036" s="413"/>
      <c r="AQ1036" s="405" t="s">
        <v>37</v>
      </c>
      <c r="AR1036" s="405"/>
      <c r="AS1036" s="404"/>
      <c r="AT1036" s="404"/>
      <c r="AU1036" s="409">
        <f>180/360</f>
        <v>0.5</v>
      </c>
      <c r="AV1036" s="402"/>
      <c r="AW1036" s="402"/>
      <c r="AX1036" s="402"/>
      <c r="AY1036" s="402"/>
      <c r="AZ1036" s="402"/>
      <c r="BA1036" s="402"/>
      <c r="BB1036" s="402"/>
      <c r="BC1036" s="402"/>
    </row>
    <row r="1037" spans="1:55">
      <c r="A1037" s="426"/>
      <c r="B1037" s="376">
        <v>44617</v>
      </c>
      <c r="C1037" s="376">
        <v>44616</v>
      </c>
      <c r="D1037" s="416" t="s">
        <v>86</v>
      </c>
      <c r="E1037" s="405"/>
      <c r="F1037" s="417"/>
      <c r="G1037" s="359">
        <v>2022</v>
      </c>
      <c r="H1037" s="405">
        <v>9</v>
      </c>
      <c r="I1037" s="405"/>
      <c r="J1037" s="406"/>
      <c r="K1037" s="405" t="s">
        <v>1809</v>
      </c>
      <c r="L1037" s="405" t="s">
        <v>1682</v>
      </c>
      <c r="M1037" s="406">
        <v>44589</v>
      </c>
      <c r="N1037" s="406">
        <v>44809</v>
      </c>
      <c r="O1037" s="406"/>
      <c r="P1037" s="406"/>
      <c r="Q1037" s="406"/>
      <c r="R1037" s="406"/>
      <c r="S1037" s="405" t="s">
        <v>1520</v>
      </c>
      <c r="T1037" s="405">
        <v>60</v>
      </c>
      <c r="U1037" s="417"/>
      <c r="V1037" s="405" t="s">
        <v>973</v>
      </c>
      <c r="W1037" s="405">
        <v>400</v>
      </c>
      <c r="X1037" s="382">
        <v>6144</v>
      </c>
      <c r="Y1037" s="365">
        <f t="shared" si="231"/>
        <v>2457600</v>
      </c>
      <c r="Z1037" s="409">
        <f>220/400</f>
        <v>0.55000000000000004</v>
      </c>
      <c r="AA1037" s="411">
        <f t="shared" si="232"/>
        <v>1351680</v>
      </c>
      <c r="AB1037" s="411"/>
      <c r="AC1037" s="412">
        <f t="shared" si="234"/>
        <v>0</v>
      </c>
      <c r="AD1037" s="405"/>
      <c r="AE1037" s="405"/>
      <c r="AF1037" s="424">
        <f t="shared" si="233"/>
        <v>1351680</v>
      </c>
      <c r="AG1037" s="405" t="s">
        <v>1069</v>
      </c>
      <c r="AH1037" s="405"/>
      <c r="AI1037" s="405">
        <v>60</v>
      </c>
      <c r="AJ1037" s="406" t="s">
        <v>1584</v>
      </c>
      <c r="AK1037" s="406" t="s">
        <v>50</v>
      </c>
      <c r="AL1037" s="414">
        <v>95834</v>
      </c>
      <c r="AM1037" s="405" t="s">
        <v>52</v>
      </c>
      <c r="AN1037" s="361" t="s">
        <v>1071</v>
      </c>
      <c r="AO1037" s="405" t="s">
        <v>1073</v>
      </c>
      <c r="AP1037" s="413"/>
      <c r="AQ1037" s="405" t="s">
        <v>37</v>
      </c>
      <c r="AR1037" s="405"/>
      <c r="AS1037" s="404"/>
      <c r="AT1037" s="404"/>
      <c r="AU1037" s="409">
        <f>180/360</f>
        <v>0.5</v>
      </c>
      <c r="AV1037" s="402"/>
      <c r="AW1037" s="402"/>
      <c r="AX1037" s="402"/>
      <c r="AY1037" s="402"/>
      <c r="AZ1037" s="402"/>
      <c r="BA1037" s="402"/>
      <c r="BB1037" s="402"/>
      <c r="BC1037" s="402"/>
    </row>
    <row r="1038" spans="1:55">
      <c r="A1038" s="426"/>
      <c r="B1038" s="376">
        <v>44635</v>
      </c>
      <c r="C1038" s="376">
        <v>44616</v>
      </c>
      <c r="D1038" s="416" t="s">
        <v>86</v>
      </c>
      <c r="E1038" s="405" t="s">
        <v>1385</v>
      </c>
      <c r="F1038" s="417"/>
      <c r="G1038" s="359">
        <v>2022</v>
      </c>
      <c r="H1038" s="405">
        <v>9</v>
      </c>
      <c r="I1038" s="405"/>
      <c r="J1038" s="406"/>
      <c r="K1038" s="405" t="s">
        <v>1818</v>
      </c>
      <c r="L1038" s="405" t="s">
        <v>1682</v>
      </c>
      <c r="M1038" s="406">
        <v>44631</v>
      </c>
      <c r="N1038" s="406">
        <v>44823</v>
      </c>
      <c r="O1038" s="406"/>
      <c r="P1038" s="406"/>
      <c r="Q1038" s="406"/>
      <c r="R1038" s="406"/>
      <c r="S1038" s="405" t="s">
        <v>1520</v>
      </c>
      <c r="T1038" s="405">
        <v>72</v>
      </c>
      <c r="U1038" s="417" t="s">
        <v>1816</v>
      </c>
      <c r="V1038" s="405" t="s">
        <v>1730</v>
      </c>
      <c r="W1038" s="405">
        <v>475</v>
      </c>
      <c r="X1038" s="382">
        <v>600</v>
      </c>
      <c r="Y1038" s="365">
        <f t="shared" si="231"/>
        <v>285000</v>
      </c>
      <c r="Z1038" s="409">
        <f>237.5/475</f>
        <v>0.5</v>
      </c>
      <c r="AA1038" s="411">
        <f t="shared" si="232"/>
        <v>142500</v>
      </c>
      <c r="AB1038" s="411"/>
      <c r="AC1038" s="412">
        <f t="shared" si="234"/>
        <v>0</v>
      </c>
      <c r="AD1038" s="405"/>
      <c r="AE1038" s="405"/>
      <c r="AF1038" s="424">
        <f t="shared" si="233"/>
        <v>142500</v>
      </c>
      <c r="AG1038" s="405" t="s">
        <v>1069</v>
      </c>
      <c r="AH1038" s="405"/>
      <c r="AI1038" s="405">
        <v>60</v>
      </c>
      <c r="AJ1038" s="406" t="s">
        <v>1584</v>
      </c>
      <c r="AK1038" s="406" t="s">
        <v>50</v>
      </c>
      <c r="AL1038" s="414">
        <v>95834</v>
      </c>
      <c r="AM1038" s="405" t="s">
        <v>52</v>
      </c>
      <c r="AN1038" s="361" t="s">
        <v>1071</v>
      </c>
      <c r="AO1038" s="405" t="s">
        <v>1073</v>
      </c>
      <c r="AP1038" s="413"/>
      <c r="AQ1038" s="405" t="s">
        <v>37</v>
      </c>
      <c r="AR1038" s="405"/>
      <c r="AS1038" s="404"/>
      <c r="AT1038" s="404"/>
      <c r="AU1038" s="409">
        <f>180/360</f>
        <v>0.5</v>
      </c>
      <c r="AV1038" s="402" t="str">
        <f t="shared" ref="AV1038:AV1057" si="235">U1038</f>
        <v>CYB MODS</v>
      </c>
      <c r="AW1038" s="402" cm="1">
        <f t="array" ref="AW1038">SUM(MID(0&amp;AV1038,LARGE(INDEX(ISNUMBER(--MID(AV1038,ROW($1:$8),1))*ROW($1:$8),),ROW($1:$8))+1,1)*10^ROW($1:$8)/10)</f>
        <v>0</v>
      </c>
      <c r="AX1038" s="402" t="e">
        <f>VLOOKUP($AW1038,'Item Master Data'!$A:$F,3,FALSE)</f>
        <v>#N/A</v>
      </c>
      <c r="AY1038" s="402" t="e">
        <f>VLOOKUP($AW1038,'Item Master Data'!$A:$F,6,FALSE)</f>
        <v>#N/A</v>
      </c>
      <c r="AZ1038" s="402" t="e">
        <f t="shared" ref="AZ1038:AZ1057" si="236">X1038/BA1038</f>
        <v>#N/A</v>
      </c>
      <c r="BA1038" s="402" t="e">
        <f>VLOOKUP(AW1038,'Item Master Data'!$A:$G,7,FALSE)</f>
        <v>#N/A</v>
      </c>
      <c r="BB1038" s="402"/>
      <c r="BC1038" s="402" t="e">
        <f t="shared" ref="BC1038:BC1057" si="237">W1038-AY1038</f>
        <v>#N/A</v>
      </c>
    </row>
    <row r="1039" spans="1:55">
      <c r="A1039" s="426"/>
      <c r="B1039" s="376">
        <v>44607</v>
      </c>
      <c r="C1039" s="376">
        <v>44607</v>
      </c>
      <c r="D1039" s="416" t="s">
        <v>86</v>
      </c>
      <c r="E1039" s="405" t="s">
        <v>4269</v>
      </c>
      <c r="F1039" s="417" t="s">
        <v>87</v>
      </c>
      <c r="G1039" s="359">
        <v>2022</v>
      </c>
      <c r="H1039" s="405">
        <v>9</v>
      </c>
      <c r="I1039" s="405"/>
      <c r="J1039" s="406"/>
      <c r="K1039" s="405" t="s">
        <v>1832</v>
      </c>
      <c r="L1039" s="405" t="s">
        <v>1517</v>
      </c>
      <c r="M1039" s="406">
        <v>44596</v>
      </c>
      <c r="N1039" s="406">
        <v>44805</v>
      </c>
      <c r="O1039" s="406"/>
      <c r="P1039" s="406"/>
      <c r="Q1039" s="406"/>
      <c r="R1039" s="406"/>
      <c r="S1039" s="405" t="s">
        <v>88</v>
      </c>
      <c r="T1039" s="405">
        <v>72</v>
      </c>
      <c r="U1039" s="417" t="s">
        <v>1102</v>
      </c>
      <c r="V1039" s="405" t="s">
        <v>1103</v>
      </c>
      <c r="W1039" s="405">
        <v>485</v>
      </c>
      <c r="X1039" s="382">
        <v>2552</v>
      </c>
      <c r="Y1039" s="365">
        <f t="shared" si="231"/>
        <v>1237720</v>
      </c>
      <c r="Z1039" s="409">
        <f>240.08/485</f>
        <v>0.49501030927835055</v>
      </c>
      <c r="AA1039" s="411">
        <f t="shared" si="232"/>
        <v>612684.16</v>
      </c>
      <c r="AB1039" s="411"/>
      <c r="AC1039" s="412">
        <f t="shared" si="234"/>
        <v>0</v>
      </c>
      <c r="AD1039" s="405"/>
      <c r="AE1039" s="405"/>
      <c r="AF1039" s="424">
        <f t="shared" si="233"/>
        <v>612684.16</v>
      </c>
      <c r="AG1039" s="405" t="s">
        <v>1069</v>
      </c>
      <c r="AH1039" s="405"/>
      <c r="AI1039" s="405">
        <v>60</v>
      </c>
      <c r="AJ1039" s="406" t="s">
        <v>1518</v>
      </c>
      <c r="AK1039" s="406" t="s">
        <v>50</v>
      </c>
      <c r="AL1039" s="414">
        <v>92126</v>
      </c>
      <c r="AM1039" s="405" t="s">
        <v>52</v>
      </c>
      <c r="AN1039" s="361" t="s">
        <v>50</v>
      </c>
      <c r="AO1039" s="405" t="s">
        <v>1073</v>
      </c>
      <c r="AP1039" s="413" t="s">
        <v>92</v>
      </c>
      <c r="AQ1039" s="405" t="s">
        <v>37</v>
      </c>
      <c r="AR1039" s="405"/>
      <c r="AS1039" s="404" t="s">
        <v>1392</v>
      </c>
      <c r="AT1039" s="404"/>
      <c r="AU1039" s="409"/>
      <c r="AV1039" s="402" t="str">
        <f t="shared" si="235"/>
        <v>TBD</v>
      </c>
      <c r="AW1039" s="402" cm="1">
        <f t="array" ref="AW1039">SUM(MID(0&amp;AV1039,LARGE(INDEX(ISNUMBER(--MID(AV1039,ROW($1:$8),1))*ROW($1:$8),),ROW($1:$8))+1,1)*10^ROW($1:$8)/10)</f>
        <v>0</v>
      </c>
      <c r="AX1039" s="402" t="e">
        <f>VLOOKUP($AW1039,'Item Master Data'!$A:$F,3,FALSE)</f>
        <v>#N/A</v>
      </c>
      <c r="AY1039" s="402" t="e">
        <f>VLOOKUP($AW1039,'Item Master Data'!$A:$F,6,FALSE)</f>
        <v>#N/A</v>
      </c>
      <c r="AZ1039" s="402" t="e">
        <f t="shared" si="236"/>
        <v>#N/A</v>
      </c>
      <c r="BA1039" s="402" t="e">
        <f>VLOOKUP(AW1039,'Item Master Data'!$A:$G,7,FALSE)</f>
        <v>#N/A</v>
      </c>
      <c r="BB1039" s="402"/>
      <c r="BC1039" s="402" t="e">
        <f t="shared" si="237"/>
        <v>#N/A</v>
      </c>
    </row>
    <row r="1040" spans="1:55">
      <c r="A1040" s="426"/>
      <c r="B1040" s="376">
        <v>44679</v>
      </c>
      <c r="C1040" s="376">
        <v>44679</v>
      </c>
      <c r="D1040" s="416" t="s">
        <v>86</v>
      </c>
      <c r="E1040" s="405"/>
      <c r="F1040" s="417" t="s">
        <v>87</v>
      </c>
      <c r="G1040" s="359">
        <v>2022</v>
      </c>
      <c r="H1040" s="405">
        <v>9</v>
      </c>
      <c r="I1040" s="405"/>
      <c r="J1040" s="406"/>
      <c r="K1040" s="405" t="s">
        <v>1900</v>
      </c>
      <c r="L1040" s="405" t="s">
        <v>1517</v>
      </c>
      <c r="M1040" s="406">
        <v>44658</v>
      </c>
      <c r="N1040" s="406">
        <v>44811</v>
      </c>
      <c r="O1040" s="406"/>
      <c r="P1040" s="406"/>
      <c r="Q1040" s="406"/>
      <c r="R1040" s="406"/>
      <c r="S1040" s="405" t="s">
        <v>88</v>
      </c>
      <c r="T1040" s="405">
        <v>72</v>
      </c>
      <c r="U1040" s="417"/>
      <c r="V1040" s="405" t="s">
        <v>1068</v>
      </c>
      <c r="W1040" s="405">
        <v>480</v>
      </c>
      <c r="X1040" s="382">
        <v>10208</v>
      </c>
      <c r="Y1040" s="365">
        <f t="shared" si="231"/>
        <v>4899840</v>
      </c>
      <c r="Z1040" s="409">
        <f>235.2/480</f>
        <v>0.49</v>
      </c>
      <c r="AA1040" s="411">
        <f t="shared" si="232"/>
        <v>2400921.6000000001</v>
      </c>
      <c r="AB1040" s="411"/>
      <c r="AC1040" s="412">
        <f t="shared" si="234"/>
        <v>0</v>
      </c>
      <c r="AD1040" s="405"/>
      <c r="AE1040" s="405"/>
      <c r="AF1040" s="424">
        <f t="shared" si="233"/>
        <v>2400921.6000000001</v>
      </c>
      <c r="AG1040" s="405" t="s">
        <v>1069</v>
      </c>
      <c r="AH1040" s="405"/>
      <c r="AI1040" s="405">
        <v>60</v>
      </c>
      <c r="AJ1040" s="406" t="s">
        <v>1518</v>
      </c>
      <c r="AK1040" s="406" t="s">
        <v>50</v>
      </c>
      <c r="AL1040" s="414">
        <v>92126</v>
      </c>
      <c r="AM1040" s="405" t="s">
        <v>52</v>
      </c>
      <c r="AN1040" s="361" t="s">
        <v>50</v>
      </c>
      <c r="AO1040" s="405" t="s">
        <v>1073</v>
      </c>
      <c r="AP1040" s="413" t="s">
        <v>92</v>
      </c>
      <c r="AQ1040" s="405" t="s">
        <v>37</v>
      </c>
      <c r="AR1040" s="405"/>
      <c r="AS1040" s="404" t="s">
        <v>1392</v>
      </c>
      <c r="AT1040" s="404"/>
      <c r="AU1040" s="409"/>
      <c r="AV1040" s="402">
        <f t="shared" si="235"/>
        <v>0</v>
      </c>
      <c r="AW1040" s="402" cm="1">
        <f t="array" ref="AW1040">SUM(MID(0&amp;AV1040,LARGE(INDEX(ISNUMBER(--MID(AV1040,ROW($1:$8),1))*ROW($1:$8),),ROW($1:$8))+1,1)*10^ROW($1:$8)/10)</f>
        <v>0</v>
      </c>
      <c r="AX1040" s="402" t="e">
        <f>VLOOKUP($AW1040,'Item Master Data'!$A:$F,3,FALSE)</f>
        <v>#N/A</v>
      </c>
      <c r="AY1040" s="402" t="e">
        <f>VLOOKUP($AW1040,'Item Master Data'!$A:$F,6,FALSE)</f>
        <v>#N/A</v>
      </c>
      <c r="AZ1040" s="402" t="e">
        <f t="shared" si="236"/>
        <v>#N/A</v>
      </c>
      <c r="BA1040" s="402" t="e">
        <f>VLOOKUP(AW1040,'Item Master Data'!$A:$G,7,FALSE)</f>
        <v>#N/A</v>
      </c>
      <c r="BB1040" s="402"/>
      <c r="BC1040" s="402" t="e">
        <f t="shared" si="237"/>
        <v>#N/A</v>
      </c>
    </row>
    <row r="1041" spans="1:55">
      <c r="A1041" s="426"/>
      <c r="B1041" s="376">
        <v>44672</v>
      </c>
      <c r="C1041" s="376">
        <v>44676</v>
      </c>
      <c r="D1041" s="416" t="s">
        <v>86</v>
      </c>
      <c r="E1041" s="405" t="s">
        <v>4223</v>
      </c>
      <c r="F1041" s="417"/>
      <c r="G1041" s="359">
        <v>2022</v>
      </c>
      <c r="H1041" s="405">
        <v>9</v>
      </c>
      <c r="I1041" s="405"/>
      <c r="J1041" s="406"/>
      <c r="K1041" s="405" t="s">
        <v>4224</v>
      </c>
      <c r="L1041" s="405" t="s">
        <v>1517</v>
      </c>
      <c r="M1041" s="406">
        <v>44666</v>
      </c>
      <c r="N1041" s="406">
        <v>44819</v>
      </c>
      <c r="O1041" s="406"/>
      <c r="P1041" s="406"/>
      <c r="Q1041" s="406"/>
      <c r="R1041" s="406"/>
      <c r="S1041" s="405" t="s">
        <v>88</v>
      </c>
      <c r="T1041" s="405">
        <v>60</v>
      </c>
      <c r="U1041" s="417"/>
      <c r="V1041" s="405" t="s">
        <v>973</v>
      </c>
      <c r="W1041" s="405">
        <v>400</v>
      </c>
      <c r="X1041" s="382">
        <v>4608</v>
      </c>
      <c r="Y1041" s="365">
        <f t="shared" si="231"/>
        <v>1843200</v>
      </c>
      <c r="Z1041" s="409">
        <v>0.55000000000000004</v>
      </c>
      <c r="AA1041" s="411">
        <f t="shared" si="232"/>
        <v>1013760.0000000001</v>
      </c>
      <c r="AB1041" s="411"/>
      <c r="AC1041" s="412">
        <v>0</v>
      </c>
      <c r="AD1041" s="405"/>
      <c r="AE1041" s="405"/>
      <c r="AF1041" s="424">
        <f>+AE1041+AD1041+AA1041</f>
        <v>1013760.0000000001</v>
      </c>
      <c r="AG1041" s="405" t="s">
        <v>1069</v>
      </c>
      <c r="AH1041" s="405"/>
      <c r="AI1041" s="405">
        <v>60</v>
      </c>
      <c r="AJ1041" s="406" t="s">
        <v>1518</v>
      </c>
      <c r="AK1041" s="406" t="s">
        <v>50</v>
      </c>
      <c r="AL1041" s="414">
        <v>92126</v>
      </c>
      <c r="AM1041" s="405" t="s">
        <v>52</v>
      </c>
      <c r="AN1041" s="361"/>
      <c r="AO1041" s="405" t="s">
        <v>1073</v>
      </c>
      <c r="AP1041" s="413"/>
      <c r="AQ1041" s="405" t="s">
        <v>37</v>
      </c>
      <c r="AR1041" s="405"/>
      <c r="AS1041" s="404" t="s">
        <v>1392</v>
      </c>
      <c r="AT1041" s="404"/>
      <c r="AU1041" s="409">
        <v>0.52</v>
      </c>
      <c r="AV1041" s="402">
        <f t="shared" si="235"/>
        <v>0</v>
      </c>
      <c r="AW1041" s="402" cm="1">
        <f t="array" ref="AW1041">SUM(MID(0&amp;AV1041,LARGE(INDEX(ISNUMBER(--MID(AV1041,ROW($1:$8),1))*ROW($1:$8),),ROW($1:$8))+1,1)*10^ROW($1:$8)/10)</f>
        <v>0</v>
      </c>
      <c r="AX1041" s="402" t="e">
        <f>VLOOKUP($AW1041,'Item Master Data'!$A:$F,3,FALSE)</f>
        <v>#N/A</v>
      </c>
      <c r="AY1041" s="402" t="e">
        <f>VLOOKUP($AW1041,'Item Master Data'!$A:$F,6,FALSE)</f>
        <v>#N/A</v>
      </c>
      <c r="AZ1041" s="402" t="e">
        <f t="shared" si="236"/>
        <v>#N/A</v>
      </c>
      <c r="BA1041" s="402" t="e">
        <f>VLOOKUP(AW1041,'Item Master Data'!$A:$G,7,FALSE)</f>
        <v>#N/A</v>
      </c>
      <c r="BB1041" s="402"/>
      <c r="BC1041" s="402" t="e">
        <f t="shared" si="237"/>
        <v>#N/A</v>
      </c>
    </row>
    <row r="1042" spans="1:55">
      <c r="A1042" s="426"/>
      <c r="B1042" s="376">
        <v>44607</v>
      </c>
      <c r="C1042" s="376">
        <v>44607</v>
      </c>
      <c r="D1042" s="416" t="s">
        <v>86</v>
      </c>
      <c r="E1042" s="405"/>
      <c r="F1042" s="417"/>
      <c r="G1042" s="359">
        <v>2022</v>
      </c>
      <c r="H1042" s="405">
        <v>9</v>
      </c>
      <c r="I1042" s="405"/>
      <c r="J1042" s="406"/>
      <c r="K1042" s="405" t="s">
        <v>1842</v>
      </c>
      <c r="L1042" s="405" t="s">
        <v>1711</v>
      </c>
      <c r="M1042" s="406">
        <v>44607</v>
      </c>
      <c r="N1042" s="406">
        <v>44816</v>
      </c>
      <c r="O1042" s="406"/>
      <c r="P1042" s="406"/>
      <c r="Q1042" s="406"/>
      <c r="R1042" s="406"/>
      <c r="S1042" s="405" t="s">
        <v>1510</v>
      </c>
      <c r="T1042" s="405">
        <v>60</v>
      </c>
      <c r="U1042" s="417">
        <v>49204132</v>
      </c>
      <c r="V1042" s="405" t="s">
        <v>1192</v>
      </c>
      <c r="W1042" s="405">
        <v>360</v>
      </c>
      <c r="X1042" s="382">
        <v>728</v>
      </c>
      <c r="Y1042" s="365">
        <f t="shared" si="231"/>
        <v>262080</v>
      </c>
      <c r="Z1042" s="409">
        <f>298.8/360</f>
        <v>0.83000000000000007</v>
      </c>
      <c r="AA1042" s="411">
        <f t="shared" si="232"/>
        <v>217526.40000000002</v>
      </c>
      <c r="AB1042" s="411"/>
      <c r="AC1042" s="412">
        <f>AB1042*Y1042</f>
        <v>0</v>
      </c>
      <c r="AD1042" s="405"/>
      <c r="AE1042" s="405"/>
      <c r="AF1042" s="424">
        <f>AE1042+AD1042+AA1042</f>
        <v>217526.40000000002</v>
      </c>
      <c r="AG1042" s="405" t="s">
        <v>1069</v>
      </c>
      <c r="AH1042" s="405"/>
      <c r="AI1042" s="405">
        <v>60</v>
      </c>
      <c r="AJ1042" s="406" t="s">
        <v>1712</v>
      </c>
      <c r="AK1042" s="406" t="s">
        <v>50</v>
      </c>
      <c r="AL1042" s="414" t="s">
        <v>1713</v>
      </c>
      <c r="AM1042" s="405" t="s">
        <v>52</v>
      </c>
      <c r="AN1042" s="361"/>
      <c r="AO1042" s="405" t="s">
        <v>1073</v>
      </c>
      <c r="AP1042" s="413"/>
      <c r="AQ1042" s="405" t="s">
        <v>37</v>
      </c>
      <c r="AR1042" s="405"/>
      <c r="AS1042" s="404"/>
      <c r="AT1042" s="404"/>
      <c r="AU1042" s="409">
        <f>180/360</f>
        <v>0.5</v>
      </c>
      <c r="AV1042" s="402">
        <f t="shared" si="235"/>
        <v>49204132</v>
      </c>
      <c r="AW1042" s="402" cm="1">
        <f t="array" ref="AW1042">SUM(MID(0&amp;AV1042,LARGE(INDEX(ISNUMBER(--MID(AV1042,ROW($1:$8),1))*ROW($1:$8),),ROW($1:$8))+1,1)*10^ROW($1:$8)/10)</f>
        <v>49204132</v>
      </c>
      <c r="AX1042" s="402" t="str">
        <f>VLOOKUP($AW1042,'Item Master Data'!$A:$F,3,FALSE)</f>
        <v>Q.PEAK DUO BLK G10+/AC</v>
      </c>
      <c r="AY1042" s="402">
        <f>VLOOKUP($AW1042,'Item Master Data'!$A:$F,6,FALSE)</f>
        <v>360</v>
      </c>
      <c r="AZ1042" s="402">
        <f t="shared" si="236"/>
        <v>28</v>
      </c>
      <c r="BA1042" s="402">
        <f>VLOOKUP(AW1042,'Item Master Data'!$A:$G,7,FALSE)</f>
        <v>26</v>
      </c>
      <c r="BB1042" s="402"/>
      <c r="BC1042" s="402">
        <f t="shared" si="237"/>
        <v>0</v>
      </c>
    </row>
    <row r="1043" spans="1:55">
      <c r="A1043" s="426"/>
      <c r="B1043" s="376"/>
      <c r="C1043" s="376"/>
      <c r="D1043" s="416" t="s">
        <v>86</v>
      </c>
      <c r="E1043" s="405" t="s">
        <v>1728</v>
      </c>
      <c r="F1043" s="417" t="s">
        <v>87</v>
      </c>
      <c r="G1043" s="359">
        <v>2022</v>
      </c>
      <c r="H1043" s="405">
        <v>9</v>
      </c>
      <c r="I1043" s="405"/>
      <c r="J1043" s="406"/>
      <c r="K1043" s="405" t="s">
        <v>1853</v>
      </c>
      <c r="L1043" s="405" t="s">
        <v>1723</v>
      </c>
      <c r="M1043" s="406">
        <v>44614</v>
      </c>
      <c r="N1043" s="406">
        <v>44805</v>
      </c>
      <c r="O1043" s="406"/>
      <c r="P1043" s="406"/>
      <c r="Q1043" s="406"/>
      <c r="R1043" s="406"/>
      <c r="S1043" s="405" t="s">
        <v>1683</v>
      </c>
      <c r="T1043" s="405">
        <v>72</v>
      </c>
      <c r="U1043" s="417">
        <v>49303156</v>
      </c>
      <c r="V1043" s="405" t="s">
        <v>1730</v>
      </c>
      <c r="W1043" s="405">
        <v>480</v>
      </c>
      <c r="X1043" s="382">
        <v>1160</v>
      </c>
      <c r="Y1043" s="365">
        <f t="shared" si="231"/>
        <v>556800</v>
      </c>
      <c r="Z1043" s="409">
        <f>232.75/480</f>
        <v>0.48489583333333336</v>
      </c>
      <c r="AA1043" s="411">
        <f t="shared" si="232"/>
        <v>269990</v>
      </c>
      <c r="AB1043" s="411"/>
      <c r="AC1043" s="412">
        <v>0</v>
      </c>
      <c r="AD1043" s="405"/>
      <c r="AE1043" s="405"/>
      <c r="AF1043" s="424">
        <v>275616</v>
      </c>
      <c r="AG1043" s="405" t="s">
        <v>1069</v>
      </c>
      <c r="AH1043" s="405"/>
      <c r="AI1043" s="405">
        <v>60</v>
      </c>
      <c r="AJ1043" s="406" t="s">
        <v>1724</v>
      </c>
      <c r="AK1043" s="406" t="s">
        <v>50</v>
      </c>
      <c r="AL1043" s="414">
        <v>95403</v>
      </c>
      <c r="AM1043" s="405" t="s">
        <v>52</v>
      </c>
      <c r="AN1043" s="361" t="s">
        <v>1516</v>
      </c>
      <c r="AO1043" s="405" t="s">
        <v>1073</v>
      </c>
      <c r="AP1043" s="413"/>
      <c r="AQ1043" s="405" t="s">
        <v>37</v>
      </c>
      <c r="AR1043" s="405"/>
      <c r="AS1043" s="404" t="s">
        <v>1392</v>
      </c>
      <c r="AT1043" s="404"/>
      <c r="AU1043" s="409"/>
      <c r="AV1043" s="402">
        <f t="shared" si="235"/>
        <v>49303156</v>
      </c>
      <c r="AW1043" s="402" cm="1">
        <f t="array" ref="AW1043">SUM(MID(0&amp;AV1043,LARGE(INDEX(ISNUMBER(--MID(AV1043,ROW($1:$8),1))*ROW($1:$8),),ROW($1:$8))+1,1)*10^ROW($1:$8)/10)</f>
        <v>49303156</v>
      </c>
      <c r="AX1043" s="402" t="str">
        <f>VLOOKUP($AW1043,'Item Master Data'!$A:$F,3,FALSE)</f>
        <v>Q.PEAK DUO XL G10 BFG</v>
      </c>
      <c r="AY1043" s="402">
        <f>VLOOKUP($AW1043,'Item Master Data'!$A:$F,6,FALSE)</f>
        <v>480</v>
      </c>
      <c r="AZ1043" s="402">
        <f t="shared" si="236"/>
        <v>40</v>
      </c>
      <c r="BA1043" s="402">
        <f>VLOOKUP(AW1043,'Item Master Data'!$A:$G,7,FALSE)</f>
        <v>29</v>
      </c>
      <c r="BB1043" s="402"/>
      <c r="BC1043" s="402">
        <f t="shared" si="237"/>
        <v>0</v>
      </c>
    </row>
    <row r="1044" spans="1:55">
      <c r="A1044" s="426"/>
      <c r="B1044" s="376">
        <v>44627</v>
      </c>
      <c r="C1044" s="376">
        <v>44627</v>
      </c>
      <c r="D1044" s="416" t="s">
        <v>86</v>
      </c>
      <c r="E1044" s="405"/>
      <c r="F1044" s="417"/>
      <c r="G1044" s="359">
        <v>2022</v>
      </c>
      <c r="H1044" s="405">
        <v>9</v>
      </c>
      <c r="I1044" s="405"/>
      <c r="J1044" s="406"/>
      <c r="K1044" s="405" t="s">
        <v>1874</v>
      </c>
      <c r="L1044" s="405" t="s">
        <v>1519</v>
      </c>
      <c r="M1044" s="406">
        <v>44615</v>
      </c>
      <c r="N1044" s="406">
        <v>44805</v>
      </c>
      <c r="O1044" s="406"/>
      <c r="P1044" s="406"/>
      <c r="Q1044" s="406"/>
      <c r="R1044" s="406"/>
      <c r="S1044" s="405" t="s">
        <v>1520</v>
      </c>
      <c r="T1044" s="405">
        <v>60</v>
      </c>
      <c r="U1044" s="417"/>
      <c r="V1044" s="405" t="s">
        <v>973</v>
      </c>
      <c r="W1044" s="405">
        <v>400</v>
      </c>
      <c r="X1044" s="382">
        <v>3840</v>
      </c>
      <c r="Y1044" s="365">
        <v>1536000</v>
      </c>
      <c r="Z1044" s="409">
        <v>0.55000000000000004</v>
      </c>
      <c r="AA1044" s="411">
        <v>844800.00000000012</v>
      </c>
      <c r="AB1044" s="411"/>
      <c r="AC1044" s="412">
        <v>0</v>
      </c>
      <c r="AD1044" s="405"/>
      <c r="AE1044" s="405"/>
      <c r="AF1044" s="424">
        <v>844800.00000000012</v>
      </c>
      <c r="AG1044" s="405" t="s">
        <v>1069</v>
      </c>
      <c r="AH1044" s="405"/>
      <c r="AI1044" s="405">
        <v>60</v>
      </c>
      <c r="AJ1044" s="406" t="s">
        <v>1521</v>
      </c>
      <c r="AK1044" s="406" t="s">
        <v>1522</v>
      </c>
      <c r="AL1044" s="414" t="s">
        <v>1523</v>
      </c>
      <c r="AM1044" s="405" t="s">
        <v>52</v>
      </c>
      <c r="AN1044" s="361"/>
      <c r="AO1044" s="405" t="s">
        <v>1073</v>
      </c>
      <c r="AP1044" s="413"/>
      <c r="AQ1044" s="405" t="s">
        <v>37</v>
      </c>
      <c r="AR1044" s="405"/>
      <c r="AS1044" s="404"/>
      <c r="AT1044" s="404"/>
      <c r="AU1044" s="409"/>
      <c r="AV1044" s="402">
        <f t="shared" si="235"/>
        <v>0</v>
      </c>
      <c r="AW1044" s="402" cm="1">
        <f t="array" ref="AW1044">SUM(MID(0&amp;AV1044,LARGE(INDEX(ISNUMBER(--MID(AV1044,ROW($1:$8),1))*ROW($1:$8),),ROW($1:$8))+1,1)*10^ROW($1:$8)/10)</f>
        <v>0</v>
      </c>
      <c r="AX1044" s="402" t="e">
        <f>VLOOKUP($AW1044,'Item Master Data'!$A:$F,3,FALSE)</f>
        <v>#N/A</v>
      </c>
      <c r="AY1044" s="402" t="e">
        <f>VLOOKUP($AW1044,'Item Master Data'!$A:$F,6,FALSE)</f>
        <v>#N/A</v>
      </c>
      <c r="AZ1044" s="402" t="e">
        <f t="shared" si="236"/>
        <v>#N/A</v>
      </c>
      <c r="BA1044" s="402" t="e">
        <f>VLOOKUP(AW1044,'Item Master Data'!$A:$G,7,FALSE)</f>
        <v>#N/A</v>
      </c>
      <c r="BB1044" s="402"/>
      <c r="BC1044" s="402" t="e">
        <f t="shared" si="237"/>
        <v>#N/A</v>
      </c>
    </row>
    <row r="1045" spans="1:55">
      <c r="A1045" s="426"/>
      <c r="B1045" s="376">
        <v>44627</v>
      </c>
      <c r="C1045" s="376">
        <v>44627</v>
      </c>
      <c r="D1045" s="416" t="s">
        <v>86</v>
      </c>
      <c r="E1045" s="405"/>
      <c r="F1045" s="417"/>
      <c r="G1045" s="359">
        <v>2022</v>
      </c>
      <c r="H1045" s="405">
        <v>9</v>
      </c>
      <c r="I1045" s="405"/>
      <c r="J1045" s="406"/>
      <c r="K1045" s="405" t="s">
        <v>1874</v>
      </c>
      <c r="L1045" s="405" t="s">
        <v>1519</v>
      </c>
      <c r="M1045" s="406">
        <v>44615</v>
      </c>
      <c r="N1045" s="406">
        <v>44805</v>
      </c>
      <c r="O1045" s="406"/>
      <c r="P1045" s="406"/>
      <c r="Q1045" s="406"/>
      <c r="R1045" s="406"/>
      <c r="S1045" s="405" t="s">
        <v>1520</v>
      </c>
      <c r="T1045" s="405">
        <v>60</v>
      </c>
      <c r="U1045" s="417"/>
      <c r="V1045" s="405" t="s">
        <v>986</v>
      </c>
      <c r="W1045" s="405">
        <v>360</v>
      </c>
      <c r="X1045" s="382">
        <v>832</v>
      </c>
      <c r="Y1045" s="365">
        <v>299520</v>
      </c>
      <c r="Z1045" s="409">
        <v>0.53</v>
      </c>
      <c r="AA1045" s="411">
        <v>158745.60000000001</v>
      </c>
      <c r="AB1045" s="411"/>
      <c r="AC1045" s="412">
        <v>0</v>
      </c>
      <c r="AD1045" s="405"/>
      <c r="AE1045" s="405"/>
      <c r="AF1045" s="424">
        <v>158745.60000000001</v>
      </c>
      <c r="AG1045" s="405" t="s">
        <v>1069</v>
      </c>
      <c r="AH1045" s="405"/>
      <c r="AI1045" s="405">
        <v>60</v>
      </c>
      <c r="AJ1045" s="406" t="s">
        <v>1521</v>
      </c>
      <c r="AK1045" s="406" t="s">
        <v>1522</v>
      </c>
      <c r="AL1045" s="414" t="s">
        <v>1523</v>
      </c>
      <c r="AM1045" s="405" t="s">
        <v>52</v>
      </c>
      <c r="AN1045" s="361"/>
      <c r="AO1045" s="405" t="s">
        <v>1073</v>
      </c>
      <c r="AP1045" s="413"/>
      <c r="AQ1045" s="405" t="s">
        <v>37</v>
      </c>
      <c r="AR1045" s="405"/>
      <c r="AS1045" s="404"/>
      <c r="AT1045" s="404"/>
      <c r="AU1045" s="409"/>
      <c r="AV1045" s="402">
        <f t="shared" si="235"/>
        <v>0</v>
      </c>
      <c r="AW1045" s="402" cm="1">
        <f t="array" ref="AW1045">SUM(MID(0&amp;AV1045,LARGE(INDEX(ISNUMBER(--MID(AV1045,ROW($1:$8),1))*ROW($1:$8),),ROW($1:$8))+1,1)*10^ROW($1:$8)/10)</f>
        <v>0</v>
      </c>
      <c r="AX1045" s="402" t="e">
        <f>VLOOKUP($AW1045,'Item Master Data'!$A:$F,3,FALSE)</f>
        <v>#N/A</v>
      </c>
      <c r="AY1045" s="402" t="e">
        <f>VLOOKUP($AW1045,'Item Master Data'!$A:$F,6,FALSE)</f>
        <v>#N/A</v>
      </c>
      <c r="AZ1045" s="402" t="e">
        <f t="shared" si="236"/>
        <v>#N/A</v>
      </c>
      <c r="BA1045" s="402" t="e">
        <f>VLOOKUP(AW1045,'Item Master Data'!$A:$G,7,FALSE)</f>
        <v>#N/A</v>
      </c>
      <c r="BB1045" s="402"/>
      <c r="BC1045" s="402" t="e">
        <f t="shared" si="237"/>
        <v>#N/A</v>
      </c>
    </row>
    <row r="1046" spans="1:55">
      <c r="A1046" s="426"/>
      <c r="B1046" s="376"/>
      <c r="C1046" s="376">
        <v>44634</v>
      </c>
      <c r="D1046" s="416" t="s">
        <v>86</v>
      </c>
      <c r="E1046" s="405" t="s">
        <v>4269</v>
      </c>
      <c r="F1046" s="417"/>
      <c r="G1046" s="359">
        <v>2022</v>
      </c>
      <c r="H1046" s="405">
        <v>9</v>
      </c>
      <c r="I1046" s="405"/>
      <c r="J1046" s="406"/>
      <c r="K1046" s="405" t="s">
        <v>1866</v>
      </c>
      <c r="L1046" s="405" t="s">
        <v>1764</v>
      </c>
      <c r="M1046" s="406">
        <v>44630</v>
      </c>
      <c r="N1046" s="406">
        <v>44805</v>
      </c>
      <c r="O1046" s="406"/>
      <c r="P1046" s="406"/>
      <c r="Q1046" s="406"/>
      <c r="R1046" s="406"/>
      <c r="S1046" s="405" t="s">
        <v>88</v>
      </c>
      <c r="T1046" s="405">
        <v>72</v>
      </c>
      <c r="U1046" s="417"/>
      <c r="V1046" s="405" t="s">
        <v>1002</v>
      </c>
      <c r="W1046" s="405">
        <v>480</v>
      </c>
      <c r="X1046" s="382">
        <v>2552</v>
      </c>
      <c r="Y1046" s="365">
        <f t="shared" ref="Y1046:Y1061" si="238">W1046*X1046</f>
        <v>1224960</v>
      </c>
      <c r="Z1046" s="409">
        <f>228/480</f>
        <v>0.47499999999999998</v>
      </c>
      <c r="AA1046" s="411">
        <f t="shared" ref="AA1046:AA1061" si="239">Z1046*Y1046</f>
        <v>581856</v>
      </c>
      <c r="AB1046" s="411"/>
      <c r="AC1046" s="412">
        <f>AB1046*Y1046</f>
        <v>0</v>
      </c>
      <c r="AD1046" s="405"/>
      <c r="AE1046" s="405"/>
      <c r="AF1046" s="424">
        <f t="shared" ref="AF1046:AF1059" si="240">AE1046+AD1046+AA1046</f>
        <v>581856</v>
      </c>
      <c r="AG1046" s="405" t="s">
        <v>1069</v>
      </c>
      <c r="AH1046" s="405"/>
      <c r="AI1046" s="405">
        <v>60</v>
      </c>
      <c r="AJ1046" s="406" t="s">
        <v>1760</v>
      </c>
      <c r="AK1046" s="406" t="s">
        <v>50</v>
      </c>
      <c r="AL1046" s="414" t="s">
        <v>1800</v>
      </c>
      <c r="AM1046" s="405" t="s">
        <v>52</v>
      </c>
      <c r="AN1046" s="361"/>
      <c r="AO1046" s="405" t="s">
        <v>1073</v>
      </c>
      <c r="AP1046" s="413"/>
      <c r="AQ1046" s="405" t="s">
        <v>37</v>
      </c>
      <c r="AR1046" s="405"/>
      <c r="AS1046" s="404"/>
      <c r="AT1046" s="404"/>
      <c r="AU1046" s="409"/>
      <c r="AV1046" s="402">
        <f t="shared" si="235"/>
        <v>0</v>
      </c>
      <c r="AW1046" s="402" cm="1">
        <f t="array" ref="AW1046">SUM(MID(0&amp;AV1046,LARGE(INDEX(ISNUMBER(--MID(AV1046,ROW($1:$8),1))*ROW($1:$8),),ROW($1:$8))+1,1)*10^ROW($1:$8)/10)</f>
        <v>0</v>
      </c>
      <c r="AX1046" s="402" t="e">
        <f>VLOOKUP($AW1046,'Item Master Data'!$A:$F,3,FALSE)</f>
        <v>#N/A</v>
      </c>
      <c r="AY1046" s="402" t="e">
        <f>VLOOKUP($AW1046,'Item Master Data'!$A:$F,6,FALSE)</f>
        <v>#N/A</v>
      </c>
      <c r="AZ1046" s="402" t="e">
        <f t="shared" si="236"/>
        <v>#N/A</v>
      </c>
      <c r="BA1046" s="402" t="e">
        <f>VLOOKUP(AW1046,'Item Master Data'!$A:$G,7,FALSE)</f>
        <v>#N/A</v>
      </c>
      <c r="BB1046" s="402"/>
      <c r="BC1046" s="402" t="e">
        <f t="shared" si="237"/>
        <v>#N/A</v>
      </c>
    </row>
    <row r="1047" spans="1:55">
      <c r="A1047" s="426"/>
      <c r="B1047" s="376"/>
      <c r="C1047" s="376"/>
      <c r="D1047" s="416" t="s">
        <v>86</v>
      </c>
      <c r="E1047" s="405" t="s">
        <v>4273</v>
      </c>
      <c r="F1047" s="417"/>
      <c r="G1047" s="359">
        <v>2022</v>
      </c>
      <c r="H1047" s="405">
        <v>9</v>
      </c>
      <c r="I1047" s="405"/>
      <c r="J1047" s="406"/>
      <c r="K1047" s="405" t="s">
        <v>4279</v>
      </c>
      <c r="L1047" s="405" t="s">
        <v>1764</v>
      </c>
      <c r="M1047" s="406">
        <v>44662</v>
      </c>
      <c r="N1047" s="406">
        <v>44805</v>
      </c>
      <c r="O1047" s="406"/>
      <c r="P1047" s="406"/>
      <c r="Q1047" s="406"/>
      <c r="R1047" s="406"/>
      <c r="S1047" s="405" t="s">
        <v>88</v>
      </c>
      <c r="T1047" s="405">
        <v>72</v>
      </c>
      <c r="U1047" s="417"/>
      <c r="V1047" s="405" t="s">
        <v>995</v>
      </c>
      <c r="W1047" s="405">
        <v>480</v>
      </c>
      <c r="X1047" s="382">
        <v>1914</v>
      </c>
      <c r="Y1047" s="365">
        <f t="shared" si="238"/>
        <v>918720</v>
      </c>
      <c r="Z1047" s="409">
        <f>268.8/480</f>
        <v>0.56000000000000005</v>
      </c>
      <c r="AA1047" s="411">
        <f t="shared" si="239"/>
        <v>514483.20000000007</v>
      </c>
      <c r="AB1047" s="411"/>
      <c r="AC1047" s="412">
        <f>AB1047*Y1047</f>
        <v>0</v>
      </c>
      <c r="AD1047" s="405"/>
      <c r="AE1047" s="405"/>
      <c r="AF1047" s="424">
        <f t="shared" si="240"/>
        <v>514483.20000000007</v>
      </c>
      <c r="AG1047" s="405" t="s">
        <v>1069</v>
      </c>
      <c r="AH1047" s="405"/>
      <c r="AI1047" s="405">
        <v>60</v>
      </c>
      <c r="AJ1047" s="406" t="s">
        <v>1760</v>
      </c>
      <c r="AK1047" s="406" t="s">
        <v>50</v>
      </c>
      <c r="AL1047" s="414" t="s">
        <v>1800</v>
      </c>
      <c r="AM1047" s="405" t="s">
        <v>52</v>
      </c>
      <c r="AN1047" s="361"/>
      <c r="AO1047" s="405" t="s">
        <v>1073</v>
      </c>
      <c r="AP1047" s="413"/>
      <c r="AQ1047" s="405" t="s">
        <v>37</v>
      </c>
      <c r="AR1047" s="405"/>
      <c r="AS1047" s="404"/>
      <c r="AT1047" s="404"/>
      <c r="AU1047" s="409"/>
      <c r="AV1047" s="402">
        <f t="shared" si="235"/>
        <v>0</v>
      </c>
      <c r="AW1047" s="402" cm="1">
        <f t="array" ref="AW1047">SUM(MID(0&amp;AV1047,LARGE(INDEX(ISNUMBER(--MID(AV1047,ROW($1:$8),1))*ROW($1:$8),),ROW($1:$8))+1,1)*10^ROW($1:$8)/10)</f>
        <v>0</v>
      </c>
      <c r="AX1047" s="402" t="e">
        <f>VLOOKUP($AW1047,'Item Master Data'!$A:$F,3,FALSE)</f>
        <v>#N/A</v>
      </c>
      <c r="AY1047" s="402" t="e">
        <f>VLOOKUP($AW1047,'Item Master Data'!$A:$F,6,FALSE)</f>
        <v>#N/A</v>
      </c>
      <c r="AZ1047" s="402" t="e">
        <f t="shared" si="236"/>
        <v>#N/A</v>
      </c>
      <c r="BA1047" s="402" t="e">
        <f>VLOOKUP(AW1047,'Item Master Data'!$A:$G,7,FALSE)</f>
        <v>#N/A</v>
      </c>
      <c r="BB1047" s="402"/>
      <c r="BC1047" s="402" t="e">
        <f t="shared" si="237"/>
        <v>#N/A</v>
      </c>
    </row>
    <row r="1048" spans="1:55">
      <c r="A1048" s="426"/>
      <c r="B1048" s="376"/>
      <c r="C1048" s="376"/>
      <c r="D1048" s="416" t="s">
        <v>86</v>
      </c>
      <c r="E1048" s="405" t="s">
        <v>4278</v>
      </c>
      <c r="F1048" s="417"/>
      <c r="G1048" s="359">
        <v>2022</v>
      </c>
      <c r="H1048" s="405">
        <v>9</v>
      </c>
      <c r="I1048" s="405"/>
      <c r="J1048" s="406"/>
      <c r="K1048" s="405" t="s">
        <v>4279</v>
      </c>
      <c r="L1048" s="405" t="s">
        <v>1764</v>
      </c>
      <c r="M1048" s="406">
        <v>44662</v>
      </c>
      <c r="N1048" s="406">
        <v>44805</v>
      </c>
      <c r="O1048" s="406"/>
      <c r="P1048" s="406"/>
      <c r="Q1048" s="406"/>
      <c r="R1048" s="406"/>
      <c r="S1048" s="405" t="s">
        <v>88</v>
      </c>
      <c r="T1048" s="405">
        <v>72</v>
      </c>
      <c r="U1048" s="417"/>
      <c r="V1048" s="405" t="s">
        <v>1895</v>
      </c>
      <c r="W1048" s="405">
        <v>580</v>
      </c>
      <c r="X1048" s="382">
        <v>992</v>
      </c>
      <c r="Y1048" s="365">
        <f t="shared" si="238"/>
        <v>575360</v>
      </c>
      <c r="Z1048" s="409">
        <f>336.4/580</f>
        <v>0.57999999999999996</v>
      </c>
      <c r="AA1048" s="411">
        <f t="shared" si="239"/>
        <v>333708.79999999999</v>
      </c>
      <c r="AB1048" s="411"/>
      <c r="AC1048" s="412">
        <f>AB1048*Y1048</f>
        <v>0</v>
      </c>
      <c r="AD1048" s="405"/>
      <c r="AE1048" s="405"/>
      <c r="AF1048" s="424">
        <f t="shared" si="240"/>
        <v>333708.79999999999</v>
      </c>
      <c r="AG1048" s="405" t="s">
        <v>1069</v>
      </c>
      <c r="AH1048" s="405"/>
      <c r="AI1048" s="405">
        <v>60</v>
      </c>
      <c r="AJ1048" s="406" t="s">
        <v>1760</v>
      </c>
      <c r="AK1048" s="406" t="s">
        <v>50</v>
      </c>
      <c r="AL1048" s="414" t="s">
        <v>1800</v>
      </c>
      <c r="AM1048" s="405" t="s">
        <v>52</v>
      </c>
      <c r="AN1048" s="361"/>
      <c r="AO1048" s="405" t="s">
        <v>1073</v>
      </c>
      <c r="AP1048" s="413"/>
      <c r="AQ1048" s="405" t="s">
        <v>37</v>
      </c>
      <c r="AR1048" s="405"/>
      <c r="AS1048" s="404"/>
      <c r="AT1048" s="404"/>
      <c r="AU1048" s="409"/>
      <c r="AV1048" s="402">
        <f t="shared" si="235"/>
        <v>0</v>
      </c>
      <c r="AW1048" s="402" cm="1">
        <f t="array" ref="AW1048">SUM(MID(0&amp;AV1048,LARGE(INDEX(ISNUMBER(--MID(AV1048,ROW($1:$8),1))*ROW($1:$8),),ROW($1:$8))+1,1)*10^ROW($1:$8)/10)</f>
        <v>0</v>
      </c>
      <c r="AX1048" s="402" t="e">
        <f>VLOOKUP($AW1048,'Item Master Data'!$A:$F,3,FALSE)</f>
        <v>#N/A</v>
      </c>
      <c r="AY1048" s="402" t="e">
        <f>VLOOKUP($AW1048,'Item Master Data'!$A:$F,6,FALSE)</f>
        <v>#N/A</v>
      </c>
      <c r="AZ1048" s="402" t="e">
        <f t="shared" si="236"/>
        <v>#N/A</v>
      </c>
      <c r="BA1048" s="402" t="e">
        <f>VLOOKUP(AW1048,'Item Master Data'!$A:$G,7,FALSE)</f>
        <v>#N/A</v>
      </c>
      <c r="BB1048" s="402"/>
      <c r="BC1048" s="402" t="e">
        <f t="shared" si="237"/>
        <v>#N/A</v>
      </c>
    </row>
    <row r="1049" spans="1:55">
      <c r="A1049" s="426"/>
      <c r="B1049" s="376"/>
      <c r="C1049" s="376"/>
      <c r="D1049" s="416" t="s">
        <v>86</v>
      </c>
      <c r="E1049" s="405" t="s">
        <v>4269</v>
      </c>
      <c r="F1049" s="417"/>
      <c r="G1049" s="359">
        <v>2022</v>
      </c>
      <c r="H1049" s="405">
        <v>9</v>
      </c>
      <c r="I1049" s="405"/>
      <c r="J1049" s="406"/>
      <c r="K1049" s="405">
        <v>1203</v>
      </c>
      <c r="L1049" s="405" t="s">
        <v>1556</v>
      </c>
      <c r="M1049" s="406">
        <v>44585</v>
      </c>
      <c r="N1049" s="406">
        <v>44805</v>
      </c>
      <c r="O1049" s="406"/>
      <c r="P1049" s="406"/>
      <c r="Q1049" s="406"/>
      <c r="R1049" s="406"/>
      <c r="S1049" s="405" t="s">
        <v>1510</v>
      </c>
      <c r="T1049" s="405">
        <v>72</v>
      </c>
      <c r="U1049" s="417"/>
      <c r="V1049" s="405" t="s">
        <v>1002</v>
      </c>
      <c r="W1049" s="405">
        <v>480</v>
      </c>
      <c r="X1049" s="382">
        <v>1914</v>
      </c>
      <c r="Y1049" s="365">
        <f t="shared" si="238"/>
        <v>918720</v>
      </c>
      <c r="Z1049" s="409">
        <f>237.6/480</f>
        <v>0.495</v>
      </c>
      <c r="AA1049" s="411">
        <f t="shared" si="239"/>
        <v>454766.4</v>
      </c>
      <c r="AB1049" s="411"/>
      <c r="AC1049" s="412">
        <f>AB1049*Y1049</f>
        <v>0</v>
      </c>
      <c r="AD1049" s="405"/>
      <c r="AE1049" s="405"/>
      <c r="AF1049" s="424">
        <f t="shared" si="240"/>
        <v>454766.4</v>
      </c>
      <c r="AG1049" s="405" t="s">
        <v>1069</v>
      </c>
      <c r="AH1049" s="405">
        <v>100</v>
      </c>
      <c r="AI1049" s="405">
        <v>0</v>
      </c>
      <c r="AJ1049" s="406" t="s">
        <v>1558</v>
      </c>
      <c r="AK1049" s="406" t="s">
        <v>50</v>
      </c>
      <c r="AL1049" s="414">
        <v>92010</v>
      </c>
      <c r="AM1049" s="405" t="s">
        <v>52</v>
      </c>
      <c r="AN1049" s="361"/>
      <c r="AO1049" s="405" t="s">
        <v>1073</v>
      </c>
      <c r="AP1049" s="413"/>
      <c r="AQ1049" s="405" t="s">
        <v>37</v>
      </c>
      <c r="AR1049" s="405"/>
      <c r="AS1049" s="404"/>
      <c r="AT1049" s="404"/>
      <c r="AU1049" s="409"/>
      <c r="AV1049" s="402">
        <f t="shared" si="235"/>
        <v>0</v>
      </c>
      <c r="AW1049" s="402" cm="1">
        <f t="array" ref="AW1049">SUM(MID(0&amp;AV1049,LARGE(INDEX(ISNUMBER(--MID(AV1049,ROW($1:$8),1))*ROW($1:$8),),ROW($1:$8))+1,1)*10^ROW($1:$8)/10)</f>
        <v>0</v>
      </c>
      <c r="AX1049" s="402" t="e">
        <f>VLOOKUP($AW1049,'Item Master Data'!$A:$F,3,FALSE)</f>
        <v>#N/A</v>
      </c>
      <c r="AY1049" s="402" t="e">
        <f>VLOOKUP($AW1049,'Item Master Data'!$A:$F,6,FALSE)</f>
        <v>#N/A</v>
      </c>
      <c r="AZ1049" s="402" t="e">
        <f t="shared" si="236"/>
        <v>#N/A</v>
      </c>
      <c r="BA1049" s="402" t="e">
        <f>VLOOKUP(AW1049,'Item Master Data'!$A:$G,7,FALSE)</f>
        <v>#N/A</v>
      </c>
      <c r="BB1049" s="402"/>
      <c r="BC1049" s="402" t="e">
        <f t="shared" si="237"/>
        <v>#N/A</v>
      </c>
    </row>
    <row r="1050" spans="1:55">
      <c r="A1050" s="426"/>
      <c r="B1050" s="376"/>
      <c r="C1050" s="376"/>
      <c r="D1050" s="416" t="s">
        <v>86</v>
      </c>
      <c r="E1050" s="405"/>
      <c r="F1050" s="417"/>
      <c r="G1050" s="359">
        <v>2022</v>
      </c>
      <c r="H1050" s="405">
        <v>10</v>
      </c>
      <c r="I1050" s="405"/>
      <c r="J1050" s="406"/>
      <c r="K1050" s="405" t="s">
        <v>1547</v>
      </c>
      <c r="L1050" s="405" t="s">
        <v>1514</v>
      </c>
      <c r="M1050" s="406">
        <v>44595</v>
      </c>
      <c r="N1050" s="406">
        <v>44837</v>
      </c>
      <c r="O1050" s="406"/>
      <c r="P1050" s="406"/>
      <c r="Q1050" s="406"/>
      <c r="R1050" s="406"/>
      <c r="S1050" s="405" t="s">
        <v>88</v>
      </c>
      <c r="T1050" s="405">
        <v>60</v>
      </c>
      <c r="U1050" s="417"/>
      <c r="V1050" s="405" t="s">
        <v>986</v>
      </c>
      <c r="W1050" s="405">
        <v>360</v>
      </c>
      <c r="X1050" s="382">
        <v>1664</v>
      </c>
      <c r="Y1050" s="365">
        <f t="shared" si="238"/>
        <v>599040</v>
      </c>
      <c r="Z1050" s="409">
        <f>190.8/360</f>
        <v>0.53</v>
      </c>
      <c r="AA1050" s="411">
        <f t="shared" si="239"/>
        <v>317491.20000000001</v>
      </c>
      <c r="AB1050" s="411"/>
      <c r="AC1050" s="412">
        <v>0</v>
      </c>
      <c r="AD1050" s="405"/>
      <c r="AE1050" s="405"/>
      <c r="AF1050" s="424">
        <f t="shared" si="240"/>
        <v>317491.20000000001</v>
      </c>
      <c r="AG1050" s="405" t="s">
        <v>1069</v>
      </c>
      <c r="AH1050" s="405"/>
      <c r="AI1050" s="405">
        <v>60</v>
      </c>
      <c r="AJ1050" s="406" t="s">
        <v>1515</v>
      </c>
      <c r="AK1050" s="406" t="s">
        <v>1136</v>
      </c>
      <c r="AL1050" s="414">
        <v>92806</v>
      </c>
      <c r="AM1050" s="405" t="s">
        <v>52</v>
      </c>
      <c r="AN1050" s="361"/>
      <c r="AO1050" s="405" t="s">
        <v>1073</v>
      </c>
      <c r="AP1050" s="413" t="s">
        <v>92</v>
      </c>
      <c r="AQ1050" s="405" t="s">
        <v>37</v>
      </c>
      <c r="AR1050" s="405" t="s">
        <v>1188</v>
      </c>
      <c r="AS1050" s="404" t="s">
        <v>1392</v>
      </c>
      <c r="AT1050" s="404"/>
      <c r="AU1050" s="409">
        <f>180/360</f>
        <v>0.5</v>
      </c>
      <c r="AV1050" s="402">
        <f t="shared" si="235"/>
        <v>0</v>
      </c>
      <c r="AW1050" s="402" cm="1">
        <f t="array" ref="AW1050">SUM(MID(0&amp;AV1050,LARGE(INDEX(ISNUMBER(--MID(AV1050,ROW($1:$8),1))*ROW($1:$8),),ROW($1:$8))+1,1)*10^ROW($1:$8)/10)</f>
        <v>0</v>
      </c>
      <c r="AX1050" s="402" t="e">
        <f>VLOOKUP($AW1050,'Item Master Data'!$A:$F,3,FALSE)</f>
        <v>#N/A</v>
      </c>
      <c r="AY1050" s="402" t="e">
        <f>VLOOKUP($AW1050,'Item Master Data'!$A:$F,6,FALSE)</f>
        <v>#N/A</v>
      </c>
      <c r="AZ1050" s="402" t="e">
        <f t="shared" si="236"/>
        <v>#N/A</v>
      </c>
      <c r="BA1050" s="402" t="e">
        <f>VLOOKUP(AW1050,'Item Master Data'!$A:$G,7,FALSE)</f>
        <v>#N/A</v>
      </c>
      <c r="BB1050" s="402"/>
      <c r="BC1050" s="402" t="e">
        <f t="shared" si="237"/>
        <v>#N/A</v>
      </c>
    </row>
    <row r="1051" spans="1:55">
      <c r="A1051" s="426"/>
      <c r="B1051" s="376"/>
      <c r="C1051" s="376"/>
      <c r="D1051" s="416" t="s">
        <v>86</v>
      </c>
      <c r="E1051" s="405"/>
      <c r="F1051" s="417"/>
      <c r="G1051" s="359">
        <v>2022</v>
      </c>
      <c r="H1051" s="405">
        <v>10</v>
      </c>
      <c r="I1051" s="405"/>
      <c r="J1051" s="406"/>
      <c r="K1051" s="405" t="s">
        <v>1547</v>
      </c>
      <c r="L1051" s="405" t="s">
        <v>1514</v>
      </c>
      <c r="M1051" s="406">
        <v>44595</v>
      </c>
      <c r="N1051" s="406">
        <v>44837</v>
      </c>
      <c r="O1051" s="406"/>
      <c r="P1051" s="406"/>
      <c r="Q1051" s="406"/>
      <c r="R1051" s="406"/>
      <c r="S1051" s="405" t="s">
        <v>88</v>
      </c>
      <c r="T1051" s="405">
        <v>60</v>
      </c>
      <c r="U1051" s="417"/>
      <c r="V1051" s="405" t="s">
        <v>973</v>
      </c>
      <c r="W1051" s="405">
        <v>400</v>
      </c>
      <c r="X1051" s="382">
        <v>1536</v>
      </c>
      <c r="Y1051" s="365">
        <f t="shared" si="238"/>
        <v>614400</v>
      </c>
      <c r="Z1051" s="409">
        <f>220/400</f>
        <v>0.55000000000000004</v>
      </c>
      <c r="AA1051" s="411">
        <f t="shared" si="239"/>
        <v>337920</v>
      </c>
      <c r="AB1051" s="411"/>
      <c r="AC1051" s="412">
        <v>0</v>
      </c>
      <c r="AD1051" s="405"/>
      <c r="AE1051" s="405"/>
      <c r="AF1051" s="424">
        <f t="shared" si="240"/>
        <v>337920</v>
      </c>
      <c r="AG1051" s="405" t="s">
        <v>1069</v>
      </c>
      <c r="AH1051" s="405"/>
      <c r="AI1051" s="405">
        <v>60</v>
      </c>
      <c r="AJ1051" s="406" t="s">
        <v>1515</v>
      </c>
      <c r="AK1051" s="406" t="s">
        <v>1136</v>
      </c>
      <c r="AL1051" s="414">
        <v>92806</v>
      </c>
      <c r="AM1051" s="405" t="s">
        <v>52</v>
      </c>
      <c r="AN1051" s="361"/>
      <c r="AO1051" s="405" t="s">
        <v>1073</v>
      </c>
      <c r="AP1051" s="413" t="s">
        <v>92</v>
      </c>
      <c r="AQ1051" s="405" t="s">
        <v>37</v>
      </c>
      <c r="AR1051" s="405" t="s">
        <v>1188</v>
      </c>
      <c r="AS1051" s="404" t="s">
        <v>1392</v>
      </c>
      <c r="AT1051" s="404"/>
      <c r="AU1051" s="409">
        <f>180/360</f>
        <v>0.5</v>
      </c>
      <c r="AV1051" s="402">
        <f t="shared" si="235"/>
        <v>0</v>
      </c>
      <c r="AW1051" s="402" cm="1">
        <f t="array" ref="AW1051">SUM(MID(0&amp;AV1051,LARGE(INDEX(ISNUMBER(--MID(AV1051,ROW($1:$8),1))*ROW($1:$8),),ROW($1:$8))+1,1)*10^ROW($1:$8)/10)</f>
        <v>0</v>
      </c>
      <c r="AX1051" s="402" t="e">
        <f>VLOOKUP($AW1051,'Item Master Data'!$A:$F,3,FALSE)</f>
        <v>#N/A</v>
      </c>
      <c r="AY1051" s="402" t="e">
        <f>VLOOKUP($AW1051,'Item Master Data'!$A:$F,6,FALSE)</f>
        <v>#N/A</v>
      </c>
      <c r="AZ1051" s="402" t="e">
        <f t="shared" si="236"/>
        <v>#N/A</v>
      </c>
      <c r="BA1051" s="402" t="e">
        <f>VLOOKUP(AW1051,'Item Master Data'!$A:$G,7,FALSE)</f>
        <v>#N/A</v>
      </c>
      <c r="BB1051" s="402"/>
      <c r="BC1051" s="402" t="e">
        <f t="shared" si="237"/>
        <v>#N/A</v>
      </c>
    </row>
    <row r="1052" spans="1:55">
      <c r="A1052" s="426"/>
      <c r="B1052" s="376"/>
      <c r="C1052" s="376"/>
      <c r="D1052" s="416" t="s">
        <v>86</v>
      </c>
      <c r="E1052" s="405"/>
      <c r="F1052" s="417"/>
      <c r="G1052" s="359">
        <v>2022</v>
      </c>
      <c r="H1052" s="405">
        <v>10</v>
      </c>
      <c r="I1052" s="405"/>
      <c r="J1052" s="406"/>
      <c r="K1052" s="405" t="s">
        <v>1546</v>
      </c>
      <c r="L1052" s="405" t="s">
        <v>1514</v>
      </c>
      <c r="M1052" s="406">
        <v>44595</v>
      </c>
      <c r="N1052" s="406">
        <v>44809</v>
      </c>
      <c r="O1052" s="406">
        <v>44839</v>
      </c>
      <c r="P1052" s="406"/>
      <c r="Q1052" s="406"/>
      <c r="R1052" s="406"/>
      <c r="S1052" s="405" t="s">
        <v>88</v>
      </c>
      <c r="T1052" s="405">
        <v>60</v>
      </c>
      <c r="U1052" s="417">
        <v>49204132</v>
      </c>
      <c r="V1052" s="405" t="s">
        <v>1192</v>
      </c>
      <c r="W1052" s="405">
        <v>360</v>
      </c>
      <c r="X1052" s="382">
        <v>832</v>
      </c>
      <c r="Y1052" s="365">
        <f t="shared" si="238"/>
        <v>299520</v>
      </c>
      <c r="Z1052" s="409">
        <f>298.8/360</f>
        <v>0.83000000000000007</v>
      </c>
      <c r="AA1052" s="411">
        <f t="shared" si="239"/>
        <v>248601.60000000003</v>
      </c>
      <c r="AB1052" s="411"/>
      <c r="AC1052" s="412">
        <v>0</v>
      </c>
      <c r="AD1052" s="405"/>
      <c r="AE1052" s="405"/>
      <c r="AF1052" s="424">
        <f t="shared" si="240"/>
        <v>248601.60000000003</v>
      </c>
      <c r="AG1052" s="405" t="s">
        <v>1069</v>
      </c>
      <c r="AH1052" s="405"/>
      <c r="AI1052" s="405">
        <v>60</v>
      </c>
      <c r="AJ1052" s="406" t="s">
        <v>1515</v>
      </c>
      <c r="AK1052" s="406" t="s">
        <v>1136</v>
      </c>
      <c r="AL1052" s="414">
        <v>92806</v>
      </c>
      <c r="AM1052" s="405" t="s">
        <v>52</v>
      </c>
      <c r="AN1052" s="361"/>
      <c r="AO1052" s="405" t="s">
        <v>1073</v>
      </c>
      <c r="AP1052" s="413" t="s">
        <v>92</v>
      </c>
      <c r="AQ1052" s="405" t="s">
        <v>37</v>
      </c>
      <c r="AR1052" s="405" t="s">
        <v>1188</v>
      </c>
      <c r="AS1052" s="404" t="s">
        <v>1392</v>
      </c>
      <c r="AT1052" s="404"/>
      <c r="AU1052" s="409">
        <f>180/360</f>
        <v>0.5</v>
      </c>
      <c r="AV1052" s="402">
        <f t="shared" si="235"/>
        <v>49204132</v>
      </c>
      <c r="AW1052" s="402" cm="1">
        <f t="array" ref="AW1052">SUM(MID(0&amp;AV1052,LARGE(INDEX(ISNUMBER(--MID(AV1052,ROW($1:$8),1))*ROW($1:$8),),ROW($1:$8))+1,1)*10^ROW($1:$8)/10)</f>
        <v>49204132</v>
      </c>
      <c r="AX1052" s="402" t="str">
        <f>VLOOKUP($AW1052,'Item Master Data'!$A:$F,3,FALSE)</f>
        <v>Q.PEAK DUO BLK G10+/AC</v>
      </c>
      <c r="AY1052" s="402">
        <f>VLOOKUP($AW1052,'Item Master Data'!$A:$F,6,FALSE)</f>
        <v>360</v>
      </c>
      <c r="AZ1052" s="402">
        <f t="shared" si="236"/>
        <v>32</v>
      </c>
      <c r="BA1052" s="402">
        <f>VLOOKUP(AW1052,'Item Master Data'!$A:$G,7,FALSE)</f>
        <v>26</v>
      </c>
      <c r="BB1052" s="402"/>
      <c r="BC1052" s="402">
        <f t="shared" si="237"/>
        <v>0</v>
      </c>
    </row>
    <row r="1053" spans="1:55">
      <c r="A1053" s="426"/>
      <c r="B1053" s="376"/>
      <c r="C1053" s="376"/>
      <c r="D1053" s="416" t="s">
        <v>86</v>
      </c>
      <c r="E1053" s="405" t="s">
        <v>4272</v>
      </c>
      <c r="F1053" s="417"/>
      <c r="G1053" s="359">
        <v>2022</v>
      </c>
      <c r="H1053" s="405">
        <v>10</v>
      </c>
      <c r="I1053" s="405"/>
      <c r="J1053" s="406"/>
      <c r="K1053" s="405" t="s">
        <v>1533</v>
      </c>
      <c r="L1053" s="405" t="s">
        <v>1514</v>
      </c>
      <c r="M1053" s="406">
        <v>44617</v>
      </c>
      <c r="N1053" s="406">
        <v>44857</v>
      </c>
      <c r="O1053" s="406"/>
      <c r="P1053" s="406"/>
      <c r="Q1053" s="406"/>
      <c r="R1053" s="406"/>
      <c r="S1053" s="405" t="s">
        <v>88</v>
      </c>
      <c r="T1053" s="405">
        <v>72</v>
      </c>
      <c r="U1053" s="417"/>
      <c r="V1053" s="405" t="s">
        <v>1103</v>
      </c>
      <c r="W1053" s="405">
        <v>485</v>
      </c>
      <c r="X1053" s="382">
        <v>638</v>
      </c>
      <c r="Y1053" s="365">
        <f t="shared" si="238"/>
        <v>309430</v>
      </c>
      <c r="Z1053" s="409">
        <f>244.93/485</f>
        <v>0.50501030927835056</v>
      </c>
      <c r="AA1053" s="411">
        <f t="shared" si="239"/>
        <v>156265.34000000003</v>
      </c>
      <c r="AB1053" s="411"/>
      <c r="AC1053" s="412">
        <v>0</v>
      </c>
      <c r="AD1053" s="405"/>
      <c r="AE1053" s="405"/>
      <c r="AF1053" s="424">
        <f t="shared" si="240"/>
        <v>156265.34000000003</v>
      </c>
      <c r="AG1053" s="405" t="s">
        <v>1069</v>
      </c>
      <c r="AH1053" s="405"/>
      <c r="AI1053" s="405">
        <v>60</v>
      </c>
      <c r="AJ1053" s="406" t="s">
        <v>1515</v>
      </c>
      <c r="AK1053" s="406" t="s">
        <v>50</v>
      </c>
      <c r="AL1053" s="414" t="s">
        <v>1529</v>
      </c>
      <c r="AM1053" s="405" t="s">
        <v>52</v>
      </c>
      <c r="AN1053" s="361" t="s">
        <v>50</v>
      </c>
      <c r="AO1053" s="405" t="s">
        <v>1073</v>
      </c>
      <c r="AP1053" s="413" t="s">
        <v>38</v>
      </c>
      <c r="AQ1053" s="405" t="s">
        <v>37</v>
      </c>
      <c r="AR1053" s="405"/>
      <c r="AS1053" s="404" t="s">
        <v>1072</v>
      </c>
      <c r="AT1053" s="404"/>
      <c r="AU1053" s="409">
        <v>0.52</v>
      </c>
      <c r="AV1053" s="402">
        <f t="shared" si="235"/>
        <v>0</v>
      </c>
      <c r="AW1053" s="402" cm="1">
        <f t="array" ref="AW1053">SUM(MID(0&amp;AV1053,LARGE(INDEX(ISNUMBER(--MID(AV1053,ROW($1:$8),1))*ROW($1:$8),),ROW($1:$8))+1,1)*10^ROW($1:$8)/10)</f>
        <v>0</v>
      </c>
      <c r="AX1053" s="402" t="e">
        <f>VLOOKUP($AW1053,'Item Master Data'!$A:$F,3,FALSE)</f>
        <v>#N/A</v>
      </c>
      <c r="AY1053" s="402" t="e">
        <f>VLOOKUP($AW1053,'Item Master Data'!$A:$F,6,FALSE)</f>
        <v>#N/A</v>
      </c>
      <c r="AZ1053" s="402" t="e">
        <f t="shared" si="236"/>
        <v>#N/A</v>
      </c>
      <c r="BA1053" s="402" t="e">
        <f>VLOOKUP(AW1053,'Item Master Data'!$A:$G,7,FALSE)</f>
        <v>#N/A</v>
      </c>
      <c r="BB1053" s="402"/>
      <c r="BC1053" s="402" t="e">
        <f t="shared" si="237"/>
        <v>#N/A</v>
      </c>
    </row>
    <row r="1054" spans="1:55">
      <c r="A1054" s="426"/>
      <c r="B1054" s="376">
        <v>44628</v>
      </c>
      <c r="C1054" s="376">
        <v>44628</v>
      </c>
      <c r="D1054" s="416" t="s">
        <v>86</v>
      </c>
      <c r="E1054" s="405"/>
      <c r="F1054" s="417"/>
      <c r="G1054" s="359">
        <v>2022</v>
      </c>
      <c r="H1054" s="405">
        <v>10</v>
      </c>
      <c r="I1054" s="405"/>
      <c r="J1054" s="406"/>
      <c r="K1054" s="405" t="s">
        <v>1597</v>
      </c>
      <c r="L1054" s="405" t="s">
        <v>1588</v>
      </c>
      <c r="M1054" s="406">
        <v>44568</v>
      </c>
      <c r="N1054" s="406">
        <v>44835</v>
      </c>
      <c r="O1054" s="406"/>
      <c r="P1054" s="406"/>
      <c r="Q1054" s="406"/>
      <c r="R1054" s="406"/>
      <c r="S1054" s="405" t="s">
        <v>1510</v>
      </c>
      <c r="T1054" s="405">
        <v>60</v>
      </c>
      <c r="U1054" s="417">
        <v>49204132</v>
      </c>
      <c r="V1054" s="405" t="s">
        <v>1192</v>
      </c>
      <c r="W1054" s="405">
        <v>360</v>
      </c>
      <c r="X1054" s="382">
        <v>676</v>
      </c>
      <c r="Y1054" s="365">
        <f t="shared" si="238"/>
        <v>243360</v>
      </c>
      <c r="Z1054" s="409">
        <f>298.8/360</f>
        <v>0.83000000000000007</v>
      </c>
      <c r="AA1054" s="411">
        <f t="shared" si="239"/>
        <v>201988.80000000002</v>
      </c>
      <c r="AB1054" s="411"/>
      <c r="AC1054" s="412">
        <v>0</v>
      </c>
      <c r="AD1054" s="405"/>
      <c r="AE1054" s="405"/>
      <c r="AF1054" s="424">
        <f t="shared" si="240"/>
        <v>201988.80000000002</v>
      </c>
      <c r="AG1054" s="405" t="s">
        <v>1069</v>
      </c>
      <c r="AH1054" s="405"/>
      <c r="AI1054" s="405">
        <v>60</v>
      </c>
      <c r="AJ1054" s="406" t="s">
        <v>1589</v>
      </c>
      <c r="AK1054" s="406" t="s">
        <v>50</v>
      </c>
      <c r="AL1054" s="414">
        <v>91311</v>
      </c>
      <c r="AM1054" s="405" t="s">
        <v>52</v>
      </c>
      <c r="AN1054" s="361" t="s">
        <v>1071</v>
      </c>
      <c r="AO1054" s="405" t="s">
        <v>1073</v>
      </c>
      <c r="AP1054" s="413"/>
      <c r="AQ1054" s="405" t="s">
        <v>37</v>
      </c>
      <c r="AR1054" s="405"/>
      <c r="AS1054" s="404"/>
      <c r="AT1054" s="404"/>
      <c r="AU1054" s="409">
        <v>0.72</v>
      </c>
      <c r="AV1054" s="402">
        <f t="shared" si="235"/>
        <v>49204132</v>
      </c>
      <c r="AW1054" s="402" cm="1">
        <f t="array" ref="AW1054">SUM(MID(0&amp;AV1054,LARGE(INDEX(ISNUMBER(--MID(AV1054,ROW($1:$8),1))*ROW($1:$8),),ROW($1:$8))+1,1)*10^ROW($1:$8)/10)</f>
        <v>49204132</v>
      </c>
      <c r="AX1054" s="402" t="str">
        <f>VLOOKUP($AW1054,'Item Master Data'!$A:$F,3,FALSE)</f>
        <v>Q.PEAK DUO BLK G10+/AC</v>
      </c>
      <c r="AY1054" s="402">
        <f>VLOOKUP($AW1054,'Item Master Data'!$A:$F,6,FALSE)</f>
        <v>360</v>
      </c>
      <c r="AZ1054" s="402">
        <f t="shared" si="236"/>
        <v>26</v>
      </c>
      <c r="BA1054" s="402">
        <f>VLOOKUP(AW1054,'Item Master Data'!$A:$G,7,FALSE)</f>
        <v>26</v>
      </c>
      <c r="BB1054" s="402"/>
      <c r="BC1054" s="402">
        <f t="shared" si="237"/>
        <v>0</v>
      </c>
    </row>
    <row r="1055" spans="1:55">
      <c r="A1055" s="426"/>
      <c r="B1055" s="376">
        <v>44589</v>
      </c>
      <c r="C1055" s="376">
        <v>44589</v>
      </c>
      <c r="D1055" s="416" t="s">
        <v>86</v>
      </c>
      <c r="E1055" s="405"/>
      <c r="F1055" s="417" t="s">
        <v>87</v>
      </c>
      <c r="G1055" s="359">
        <v>2022</v>
      </c>
      <c r="H1055" s="405">
        <v>10</v>
      </c>
      <c r="I1055" s="405"/>
      <c r="J1055" s="406"/>
      <c r="K1055" s="405" t="s">
        <v>1671</v>
      </c>
      <c r="L1055" s="405" t="s">
        <v>1608</v>
      </c>
      <c r="M1055" s="406">
        <v>44924</v>
      </c>
      <c r="N1055" s="406">
        <v>44863</v>
      </c>
      <c r="O1055" s="406"/>
      <c r="P1055" s="406"/>
      <c r="Q1055" s="406"/>
      <c r="R1055" s="406"/>
      <c r="S1055" s="405" t="s">
        <v>88</v>
      </c>
      <c r="T1055" s="405">
        <v>72</v>
      </c>
      <c r="U1055" s="417">
        <v>49303156</v>
      </c>
      <c r="V1055" s="405" t="s">
        <v>1068</v>
      </c>
      <c r="W1055" s="405">
        <v>480</v>
      </c>
      <c r="X1055" s="382">
        <v>1276</v>
      </c>
      <c r="Y1055" s="365">
        <f t="shared" si="238"/>
        <v>612480</v>
      </c>
      <c r="Z1055" s="409">
        <f>225.6/480</f>
        <v>0.47</v>
      </c>
      <c r="AA1055" s="411">
        <f t="shared" si="239"/>
        <v>287865.59999999998</v>
      </c>
      <c r="AB1055" s="411"/>
      <c r="AC1055" s="412">
        <v>0</v>
      </c>
      <c r="AD1055" s="405"/>
      <c r="AE1055" s="405"/>
      <c r="AF1055" s="424">
        <f t="shared" si="240"/>
        <v>287865.59999999998</v>
      </c>
      <c r="AG1055" s="405" t="s">
        <v>1069</v>
      </c>
      <c r="AH1055" s="405"/>
      <c r="AI1055" s="405">
        <v>60</v>
      </c>
      <c r="AJ1055" s="406" t="s">
        <v>1616</v>
      </c>
      <c r="AK1055" s="406" t="s">
        <v>50</v>
      </c>
      <c r="AL1055" s="414">
        <v>93703</v>
      </c>
      <c r="AM1055" s="405" t="s">
        <v>52</v>
      </c>
      <c r="AN1055" s="361" t="s">
        <v>1516</v>
      </c>
      <c r="AO1055" s="405" t="s">
        <v>1073</v>
      </c>
      <c r="AP1055" s="413"/>
      <c r="AQ1055" s="405" t="s">
        <v>1083</v>
      </c>
      <c r="AR1055" s="405"/>
      <c r="AS1055" s="404" t="s">
        <v>1392</v>
      </c>
      <c r="AT1055" s="404"/>
      <c r="AU1055" s="409"/>
      <c r="AV1055" s="402">
        <f t="shared" si="235"/>
        <v>49303156</v>
      </c>
      <c r="AW1055" s="402" cm="1">
        <f t="array" ref="AW1055">SUM(MID(0&amp;AV1055,LARGE(INDEX(ISNUMBER(--MID(AV1055,ROW($1:$8),1))*ROW($1:$8),),ROW($1:$8))+1,1)*10^ROW($1:$8)/10)</f>
        <v>49303156</v>
      </c>
      <c r="AX1055" s="402" t="str">
        <f>VLOOKUP($AW1055,'Item Master Data'!$A:$F,3,FALSE)</f>
        <v>Q.PEAK DUO XL G10 BFG</v>
      </c>
      <c r="AY1055" s="402">
        <f>VLOOKUP($AW1055,'Item Master Data'!$A:$F,6,FALSE)</f>
        <v>480</v>
      </c>
      <c r="AZ1055" s="402">
        <f t="shared" si="236"/>
        <v>44</v>
      </c>
      <c r="BA1055" s="402">
        <f>VLOOKUP(AW1055,'Item Master Data'!$A:$G,7,FALSE)</f>
        <v>29</v>
      </c>
      <c r="BB1055" s="402"/>
      <c r="BC1055" s="402">
        <f t="shared" si="237"/>
        <v>0</v>
      </c>
    </row>
    <row r="1056" spans="1:55">
      <c r="A1056" s="426"/>
      <c r="B1056" s="376">
        <v>44617</v>
      </c>
      <c r="C1056" s="376">
        <v>44616</v>
      </c>
      <c r="D1056" s="416" t="s">
        <v>86</v>
      </c>
      <c r="E1056" s="405"/>
      <c r="F1056" s="417"/>
      <c r="G1056" s="359">
        <v>2022</v>
      </c>
      <c r="H1056" s="405">
        <v>10</v>
      </c>
      <c r="I1056" s="405"/>
      <c r="J1056" s="406"/>
      <c r="K1056" s="405" t="s">
        <v>1810</v>
      </c>
      <c r="L1056" s="405" t="s">
        <v>1682</v>
      </c>
      <c r="M1056" s="406">
        <v>44589</v>
      </c>
      <c r="N1056" s="406">
        <v>44837</v>
      </c>
      <c r="O1056" s="406"/>
      <c r="P1056" s="406"/>
      <c r="Q1056" s="406"/>
      <c r="R1056" s="406"/>
      <c r="S1056" s="405" t="s">
        <v>1520</v>
      </c>
      <c r="T1056" s="405">
        <v>60</v>
      </c>
      <c r="U1056" s="417"/>
      <c r="V1056" s="405" t="s">
        <v>986</v>
      </c>
      <c r="W1056" s="405">
        <v>360</v>
      </c>
      <c r="X1056" s="382">
        <v>4992</v>
      </c>
      <c r="Y1056" s="365">
        <f t="shared" si="238"/>
        <v>1797120</v>
      </c>
      <c r="Z1056" s="409">
        <f>190.8/360</f>
        <v>0.53</v>
      </c>
      <c r="AA1056" s="411">
        <f t="shared" si="239"/>
        <v>952473.60000000009</v>
      </c>
      <c r="AB1056" s="411"/>
      <c r="AC1056" s="412">
        <f>AB1056*Y1056</f>
        <v>0</v>
      </c>
      <c r="AD1056" s="405"/>
      <c r="AE1056" s="405"/>
      <c r="AF1056" s="424">
        <f t="shared" si="240"/>
        <v>952473.60000000009</v>
      </c>
      <c r="AG1056" s="405" t="s">
        <v>1069</v>
      </c>
      <c r="AH1056" s="405"/>
      <c r="AI1056" s="405">
        <v>60</v>
      </c>
      <c r="AJ1056" s="406" t="s">
        <v>1584</v>
      </c>
      <c r="AK1056" s="406" t="s">
        <v>50</v>
      </c>
      <c r="AL1056" s="414">
        <v>95834</v>
      </c>
      <c r="AM1056" s="405" t="s">
        <v>52</v>
      </c>
      <c r="AN1056" s="361" t="s">
        <v>1071</v>
      </c>
      <c r="AO1056" s="405" t="s">
        <v>1073</v>
      </c>
      <c r="AP1056" s="413"/>
      <c r="AQ1056" s="405" t="s">
        <v>37</v>
      </c>
      <c r="AR1056" s="405"/>
      <c r="AS1056" s="404"/>
      <c r="AT1056" s="404"/>
      <c r="AU1056" s="409">
        <f>180/360</f>
        <v>0.5</v>
      </c>
      <c r="AV1056" s="402">
        <f t="shared" si="235"/>
        <v>0</v>
      </c>
      <c r="AW1056" s="402" cm="1">
        <f t="array" ref="AW1056">SUM(MID(0&amp;AV1056,LARGE(INDEX(ISNUMBER(--MID(AV1056,ROW($1:$8),1))*ROW($1:$8),),ROW($1:$8))+1,1)*10^ROW($1:$8)/10)</f>
        <v>0</v>
      </c>
      <c r="AX1056" s="402" t="e">
        <f>VLOOKUP($AW1056,'Item Master Data'!$A:$F,3,FALSE)</f>
        <v>#N/A</v>
      </c>
      <c r="AY1056" s="402" t="e">
        <f>VLOOKUP($AW1056,'Item Master Data'!$A:$F,6,FALSE)</f>
        <v>#N/A</v>
      </c>
      <c r="AZ1056" s="402" t="e">
        <f t="shared" si="236"/>
        <v>#N/A</v>
      </c>
      <c r="BA1056" s="402" t="e">
        <f>VLOOKUP(AW1056,'Item Master Data'!$A:$G,7,FALSE)</f>
        <v>#N/A</v>
      </c>
      <c r="BB1056" s="402"/>
      <c r="BC1056" s="402" t="e">
        <f t="shared" si="237"/>
        <v>#N/A</v>
      </c>
    </row>
    <row r="1057" spans="1:55">
      <c r="A1057" s="426"/>
      <c r="B1057" s="376">
        <v>44617</v>
      </c>
      <c r="C1057" s="376">
        <v>44616</v>
      </c>
      <c r="D1057" s="416" t="s">
        <v>86</v>
      </c>
      <c r="E1057" s="405"/>
      <c r="F1057" s="417"/>
      <c r="G1057" s="359">
        <v>2022</v>
      </c>
      <c r="H1057" s="405">
        <v>10</v>
      </c>
      <c r="I1057" s="405"/>
      <c r="J1057" s="406"/>
      <c r="K1057" s="405" t="s">
        <v>1810</v>
      </c>
      <c r="L1057" s="405" t="s">
        <v>1682</v>
      </c>
      <c r="M1057" s="406">
        <v>44589</v>
      </c>
      <c r="N1057" s="406">
        <v>44837</v>
      </c>
      <c r="O1057" s="406"/>
      <c r="P1057" s="406"/>
      <c r="Q1057" s="406"/>
      <c r="R1057" s="406"/>
      <c r="S1057" s="405" t="s">
        <v>1520</v>
      </c>
      <c r="T1057" s="405">
        <v>60</v>
      </c>
      <c r="U1057" s="417"/>
      <c r="V1057" s="405" t="s">
        <v>973</v>
      </c>
      <c r="W1057" s="405">
        <v>400</v>
      </c>
      <c r="X1057" s="382">
        <v>6144</v>
      </c>
      <c r="Y1057" s="365">
        <f t="shared" si="238"/>
        <v>2457600</v>
      </c>
      <c r="Z1057" s="409">
        <f>220/400</f>
        <v>0.55000000000000004</v>
      </c>
      <c r="AA1057" s="411">
        <f t="shared" si="239"/>
        <v>1351680</v>
      </c>
      <c r="AB1057" s="411"/>
      <c r="AC1057" s="412">
        <f>AB1057*Y1057</f>
        <v>0</v>
      </c>
      <c r="AD1057" s="405"/>
      <c r="AE1057" s="405"/>
      <c r="AF1057" s="424">
        <f t="shared" si="240"/>
        <v>1351680</v>
      </c>
      <c r="AG1057" s="405" t="s">
        <v>1069</v>
      </c>
      <c r="AH1057" s="405"/>
      <c r="AI1057" s="405">
        <v>60</v>
      </c>
      <c r="AJ1057" s="406" t="s">
        <v>1584</v>
      </c>
      <c r="AK1057" s="406" t="s">
        <v>50</v>
      </c>
      <c r="AL1057" s="414">
        <v>95834</v>
      </c>
      <c r="AM1057" s="405" t="s">
        <v>52</v>
      </c>
      <c r="AN1057" s="361" t="s">
        <v>1071</v>
      </c>
      <c r="AO1057" s="405" t="s">
        <v>1073</v>
      </c>
      <c r="AP1057" s="413"/>
      <c r="AQ1057" s="405" t="s">
        <v>37</v>
      </c>
      <c r="AR1057" s="405"/>
      <c r="AS1057" s="404"/>
      <c r="AT1057" s="404"/>
      <c r="AU1057" s="409">
        <f>180/360</f>
        <v>0.5</v>
      </c>
      <c r="AV1057" s="402">
        <f t="shared" si="235"/>
        <v>0</v>
      </c>
      <c r="AW1057" s="402" cm="1">
        <f t="array" ref="AW1057">SUM(MID(0&amp;AV1057,LARGE(INDEX(ISNUMBER(--MID(AV1057,ROW($1:$8),1))*ROW($1:$8),),ROW($1:$8))+1,1)*10^ROW($1:$8)/10)</f>
        <v>0</v>
      </c>
      <c r="AX1057" s="402" t="e">
        <f>VLOOKUP($AW1057,'Item Master Data'!$A:$F,3,FALSE)</f>
        <v>#N/A</v>
      </c>
      <c r="AY1057" s="402" t="e">
        <f>VLOOKUP($AW1057,'Item Master Data'!$A:$F,6,FALSE)</f>
        <v>#N/A</v>
      </c>
      <c r="AZ1057" s="402" t="e">
        <f t="shared" si="236"/>
        <v>#N/A</v>
      </c>
      <c r="BA1057" s="402" t="e">
        <f>VLOOKUP(AW1057,'Item Master Data'!$A:$G,7,FALSE)</f>
        <v>#N/A</v>
      </c>
      <c r="BB1057" s="402"/>
      <c r="BC1057" s="402" t="e">
        <f t="shared" si="237"/>
        <v>#N/A</v>
      </c>
    </row>
    <row r="1058" spans="1:55">
      <c r="A1058" s="426"/>
      <c r="B1058" s="376">
        <v>44607</v>
      </c>
      <c r="C1058" s="376">
        <v>44607</v>
      </c>
      <c r="D1058" s="416" t="s">
        <v>86</v>
      </c>
      <c r="E1058" s="405" t="s">
        <v>4269</v>
      </c>
      <c r="F1058" s="417" t="s">
        <v>87</v>
      </c>
      <c r="G1058" s="359">
        <v>2022</v>
      </c>
      <c r="H1058" s="405">
        <v>10</v>
      </c>
      <c r="I1058" s="405"/>
      <c r="J1058" s="406"/>
      <c r="K1058" s="405" t="s">
        <v>1833</v>
      </c>
      <c r="L1058" s="405" t="s">
        <v>1517</v>
      </c>
      <c r="M1058" s="406">
        <v>44596</v>
      </c>
      <c r="N1058" s="406">
        <v>44835</v>
      </c>
      <c r="O1058" s="406"/>
      <c r="P1058" s="406"/>
      <c r="Q1058" s="406"/>
      <c r="R1058" s="406"/>
      <c r="S1058" s="405" t="s">
        <v>88</v>
      </c>
      <c r="T1058" s="405">
        <v>72</v>
      </c>
      <c r="U1058" s="417" t="s">
        <v>1102</v>
      </c>
      <c r="V1058" s="405" t="s">
        <v>1103</v>
      </c>
      <c r="W1058" s="405">
        <v>485</v>
      </c>
      <c r="X1058" s="382">
        <v>2552</v>
      </c>
      <c r="Y1058" s="365">
        <f t="shared" si="238"/>
        <v>1237720</v>
      </c>
      <c r="Z1058" s="409">
        <f>240.08/485</f>
        <v>0.49501030927835055</v>
      </c>
      <c r="AA1058" s="411">
        <f t="shared" si="239"/>
        <v>612684.16</v>
      </c>
      <c r="AB1058" s="411"/>
      <c r="AC1058" s="412">
        <f>AB1058*Y1058</f>
        <v>0</v>
      </c>
      <c r="AD1058" s="405"/>
      <c r="AE1058" s="405"/>
      <c r="AF1058" s="424">
        <f t="shared" si="240"/>
        <v>612684.16</v>
      </c>
      <c r="AG1058" s="405" t="s">
        <v>1069</v>
      </c>
      <c r="AH1058" s="405"/>
      <c r="AI1058" s="405">
        <v>60</v>
      </c>
      <c r="AJ1058" s="406" t="s">
        <v>1518</v>
      </c>
      <c r="AK1058" s="406" t="s">
        <v>50</v>
      </c>
      <c r="AL1058" s="414">
        <v>92126</v>
      </c>
      <c r="AM1058" s="405" t="s">
        <v>52</v>
      </c>
      <c r="AN1058" s="361" t="s">
        <v>50</v>
      </c>
      <c r="AO1058" s="405" t="s">
        <v>1073</v>
      </c>
      <c r="AP1058" s="413" t="s">
        <v>92</v>
      </c>
      <c r="AQ1058" s="405" t="s">
        <v>37</v>
      </c>
      <c r="AR1058" s="405"/>
      <c r="AS1058" s="404" t="s">
        <v>1392</v>
      </c>
      <c r="AT1058" s="404"/>
      <c r="AU1058" s="409"/>
      <c r="AV1058" s="402"/>
      <c r="AW1058" s="402"/>
      <c r="AX1058" s="402"/>
      <c r="AY1058" s="402"/>
      <c r="AZ1058" s="402"/>
      <c r="BA1058" s="402"/>
      <c r="BB1058" s="402"/>
      <c r="BC1058" s="402"/>
    </row>
    <row r="1059" spans="1:55">
      <c r="A1059" s="426"/>
      <c r="B1059" s="376">
        <v>44679</v>
      </c>
      <c r="C1059" s="376">
        <v>44679</v>
      </c>
      <c r="D1059" s="416" t="s">
        <v>86</v>
      </c>
      <c r="E1059" s="405"/>
      <c r="F1059" s="417" t="s">
        <v>87</v>
      </c>
      <c r="G1059" s="359">
        <v>2022</v>
      </c>
      <c r="H1059" s="405">
        <v>10</v>
      </c>
      <c r="I1059" s="405"/>
      <c r="J1059" s="406"/>
      <c r="K1059" s="405" t="s">
        <v>1900</v>
      </c>
      <c r="L1059" s="405" t="s">
        <v>1517</v>
      </c>
      <c r="M1059" s="406">
        <v>44658</v>
      </c>
      <c r="N1059" s="406">
        <v>44841</v>
      </c>
      <c r="O1059" s="406"/>
      <c r="P1059" s="406"/>
      <c r="Q1059" s="406"/>
      <c r="R1059" s="406"/>
      <c r="S1059" s="405" t="s">
        <v>88</v>
      </c>
      <c r="T1059" s="405">
        <v>72</v>
      </c>
      <c r="U1059" s="417"/>
      <c r="V1059" s="405" t="s">
        <v>1068</v>
      </c>
      <c r="W1059" s="405">
        <v>480</v>
      </c>
      <c r="X1059" s="382">
        <v>8294</v>
      </c>
      <c r="Y1059" s="365">
        <f t="shared" si="238"/>
        <v>3981120</v>
      </c>
      <c r="Z1059" s="409">
        <f>235.2/480</f>
        <v>0.49</v>
      </c>
      <c r="AA1059" s="411">
        <f t="shared" si="239"/>
        <v>1950748.8</v>
      </c>
      <c r="AB1059" s="411"/>
      <c r="AC1059" s="412">
        <f>AB1059*Y1059</f>
        <v>0</v>
      </c>
      <c r="AD1059" s="405"/>
      <c r="AE1059" s="405"/>
      <c r="AF1059" s="424">
        <f t="shared" si="240"/>
        <v>1950748.8</v>
      </c>
      <c r="AG1059" s="405" t="s">
        <v>1069</v>
      </c>
      <c r="AH1059" s="405"/>
      <c r="AI1059" s="405">
        <v>60</v>
      </c>
      <c r="AJ1059" s="406" t="s">
        <v>1518</v>
      </c>
      <c r="AK1059" s="406" t="s">
        <v>50</v>
      </c>
      <c r="AL1059" s="414">
        <v>92126</v>
      </c>
      <c r="AM1059" s="405" t="s">
        <v>52</v>
      </c>
      <c r="AN1059" s="361" t="s">
        <v>50</v>
      </c>
      <c r="AO1059" s="405" t="s">
        <v>1073</v>
      </c>
      <c r="AP1059" s="413" t="s">
        <v>92</v>
      </c>
      <c r="AQ1059" s="405" t="s">
        <v>37</v>
      </c>
      <c r="AR1059" s="405"/>
      <c r="AS1059" s="404" t="s">
        <v>1392</v>
      </c>
      <c r="AT1059" s="404"/>
      <c r="AU1059" s="409"/>
      <c r="AV1059" s="402">
        <f t="shared" ref="AV1059:AV1064" si="241">U1059</f>
        <v>0</v>
      </c>
      <c r="AW1059" s="402" cm="1">
        <f t="array" ref="AW1059">SUM(MID(0&amp;AV1059,LARGE(INDEX(ISNUMBER(--MID(AV1059,ROW($1:$8),1))*ROW($1:$8),),ROW($1:$8))+1,1)*10^ROW($1:$8)/10)</f>
        <v>0</v>
      </c>
      <c r="AX1059" s="402" t="e">
        <f>VLOOKUP($AW1059,'Item Master Data'!$A:$F,3,FALSE)</f>
        <v>#N/A</v>
      </c>
      <c r="AY1059" s="402" t="e">
        <f>VLOOKUP($AW1059,'Item Master Data'!$A:$F,6,FALSE)</f>
        <v>#N/A</v>
      </c>
      <c r="AZ1059" s="402" t="e">
        <f t="shared" ref="AZ1059:AZ1064" si="242">X1059/BA1059</f>
        <v>#N/A</v>
      </c>
      <c r="BA1059" s="402" t="e">
        <f>VLOOKUP(AW1059,'Item Master Data'!$A:$G,7,FALSE)</f>
        <v>#N/A</v>
      </c>
      <c r="BB1059" s="402"/>
      <c r="BC1059" s="402" t="e">
        <f t="shared" ref="BC1059:BC1064" si="243">W1059-AY1059</f>
        <v>#N/A</v>
      </c>
    </row>
    <row r="1060" spans="1:55">
      <c r="A1060" s="426"/>
      <c r="B1060" s="376">
        <v>44676</v>
      </c>
      <c r="C1060" s="376">
        <v>44676</v>
      </c>
      <c r="D1060" s="416" t="s">
        <v>86</v>
      </c>
      <c r="E1060" s="405" t="s">
        <v>4223</v>
      </c>
      <c r="F1060" s="417"/>
      <c r="G1060" s="359">
        <v>2022</v>
      </c>
      <c r="H1060" s="405">
        <v>10</v>
      </c>
      <c r="I1060" s="405"/>
      <c r="J1060" s="406"/>
      <c r="K1060" s="405" t="s">
        <v>4225</v>
      </c>
      <c r="L1060" s="405" t="s">
        <v>1517</v>
      </c>
      <c r="M1060" s="406">
        <v>44671</v>
      </c>
      <c r="N1060" s="406">
        <v>44835</v>
      </c>
      <c r="O1060" s="406"/>
      <c r="P1060" s="406"/>
      <c r="Q1060" s="406"/>
      <c r="R1060" s="406"/>
      <c r="S1060" s="405" t="s">
        <v>88</v>
      </c>
      <c r="T1060" s="405">
        <v>60</v>
      </c>
      <c r="U1060" s="417"/>
      <c r="V1060" s="405" t="s">
        <v>973</v>
      </c>
      <c r="W1060" s="405">
        <v>400</v>
      </c>
      <c r="X1060" s="382">
        <v>4608</v>
      </c>
      <c r="Y1060" s="365">
        <f t="shared" si="238"/>
        <v>1843200</v>
      </c>
      <c r="Z1060" s="409">
        <v>0.55000000000000004</v>
      </c>
      <c r="AA1060" s="411">
        <f t="shared" si="239"/>
        <v>1013760.0000000001</v>
      </c>
      <c r="AB1060" s="411"/>
      <c r="AC1060" s="412">
        <v>0</v>
      </c>
      <c r="AD1060" s="405"/>
      <c r="AE1060" s="405"/>
      <c r="AF1060" s="424">
        <f>+AE1060+AD1060+AA1060</f>
        <v>1013760.0000000001</v>
      </c>
      <c r="AG1060" s="405" t="s">
        <v>1069</v>
      </c>
      <c r="AH1060" s="405"/>
      <c r="AI1060" s="405">
        <v>60</v>
      </c>
      <c r="AJ1060" s="406" t="s">
        <v>1518</v>
      </c>
      <c r="AK1060" s="406" t="s">
        <v>50</v>
      </c>
      <c r="AL1060" s="414">
        <v>92126</v>
      </c>
      <c r="AM1060" s="405" t="s">
        <v>52</v>
      </c>
      <c r="AN1060" s="361"/>
      <c r="AO1060" s="405" t="s">
        <v>1073</v>
      </c>
      <c r="AP1060" s="413"/>
      <c r="AQ1060" s="405" t="s">
        <v>37</v>
      </c>
      <c r="AR1060" s="405"/>
      <c r="AS1060" s="404" t="s">
        <v>1392</v>
      </c>
      <c r="AT1060" s="404"/>
      <c r="AU1060" s="409">
        <v>0.52</v>
      </c>
      <c r="AV1060" s="402">
        <f t="shared" si="241"/>
        <v>0</v>
      </c>
      <c r="AW1060" s="402" cm="1">
        <f t="array" ref="AW1060">SUM(MID(0&amp;AV1060,LARGE(INDEX(ISNUMBER(--MID(AV1060,ROW($1:$8),1))*ROW($1:$8),),ROW($1:$8))+1,1)*10^ROW($1:$8)/10)</f>
        <v>0</v>
      </c>
      <c r="AX1060" s="402" t="e">
        <f>VLOOKUP($AW1060,'Item Master Data'!$A:$F,3,FALSE)</f>
        <v>#N/A</v>
      </c>
      <c r="AY1060" s="402" t="e">
        <f>VLOOKUP($AW1060,'Item Master Data'!$A:$F,6,FALSE)</f>
        <v>#N/A</v>
      </c>
      <c r="AZ1060" s="402" t="e">
        <f t="shared" si="242"/>
        <v>#N/A</v>
      </c>
      <c r="BA1060" s="402" t="e">
        <f>VLOOKUP(AW1060,'Item Master Data'!$A:$G,7,FALSE)</f>
        <v>#N/A</v>
      </c>
      <c r="BB1060" s="402"/>
      <c r="BC1060" s="402" t="e">
        <f t="shared" si="243"/>
        <v>#N/A</v>
      </c>
    </row>
    <row r="1061" spans="1:55">
      <c r="A1061" s="426"/>
      <c r="B1061" s="376"/>
      <c r="C1061" s="376"/>
      <c r="D1061" s="416" t="s">
        <v>86</v>
      </c>
      <c r="E1061" s="405" t="s">
        <v>1728</v>
      </c>
      <c r="F1061" s="417" t="s">
        <v>87</v>
      </c>
      <c r="G1061" s="359">
        <v>2022</v>
      </c>
      <c r="H1061" s="405">
        <v>10</v>
      </c>
      <c r="I1061" s="405"/>
      <c r="J1061" s="406"/>
      <c r="K1061" s="405" t="s">
        <v>1854</v>
      </c>
      <c r="L1061" s="405" t="s">
        <v>1723</v>
      </c>
      <c r="M1061" s="406">
        <v>44621</v>
      </c>
      <c r="N1061" s="406">
        <v>44835</v>
      </c>
      <c r="O1061" s="406"/>
      <c r="P1061" s="406"/>
      <c r="Q1061" s="406"/>
      <c r="R1061" s="406"/>
      <c r="S1061" s="405" t="s">
        <v>1683</v>
      </c>
      <c r="T1061" s="405">
        <v>72</v>
      </c>
      <c r="U1061" s="417">
        <v>49303156</v>
      </c>
      <c r="V1061" s="405" t="s">
        <v>1730</v>
      </c>
      <c r="W1061" s="405">
        <v>480</v>
      </c>
      <c r="X1061" s="382">
        <v>1160</v>
      </c>
      <c r="Y1061" s="365">
        <f t="shared" si="238"/>
        <v>556800</v>
      </c>
      <c r="Z1061" s="409">
        <f>232.75/480</f>
        <v>0.48489583333333336</v>
      </c>
      <c r="AA1061" s="411">
        <f t="shared" si="239"/>
        <v>269990</v>
      </c>
      <c r="AB1061" s="411"/>
      <c r="AC1061" s="412">
        <f>AB1061*Y1061</f>
        <v>0</v>
      </c>
      <c r="AD1061" s="405"/>
      <c r="AE1061" s="405"/>
      <c r="AF1061" s="424">
        <f>AE1061+AD1061+AA1061</f>
        <v>269990</v>
      </c>
      <c r="AG1061" s="405" t="s">
        <v>1069</v>
      </c>
      <c r="AH1061" s="405"/>
      <c r="AI1061" s="405">
        <v>60</v>
      </c>
      <c r="AJ1061" s="406" t="s">
        <v>1724</v>
      </c>
      <c r="AK1061" s="406" t="s">
        <v>50</v>
      </c>
      <c r="AL1061" s="414">
        <v>95403</v>
      </c>
      <c r="AM1061" s="405" t="s">
        <v>52</v>
      </c>
      <c r="AN1061" s="361" t="s">
        <v>1516</v>
      </c>
      <c r="AO1061" s="405" t="s">
        <v>1073</v>
      </c>
      <c r="AP1061" s="413"/>
      <c r="AQ1061" s="405" t="s">
        <v>37</v>
      </c>
      <c r="AR1061" s="405"/>
      <c r="AS1061" s="404" t="s">
        <v>1392</v>
      </c>
      <c r="AT1061" s="404"/>
      <c r="AU1061" s="409"/>
      <c r="AV1061" s="402">
        <f t="shared" si="241"/>
        <v>49303156</v>
      </c>
      <c r="AW1061" s="402" cm="1">
        <f t="array" ref="AW1061">SUM(MID(0&amp;AV1061,LARGE(INDEX(ISNUMBER(--MID(AV1061,ROW($1:$8),1))*ROW($1:$8),),ROW($1:$8))+1,1)*10^ROW($1:$8)/10)</f>
        <v>49303156</v>
      </c>
      <c r="AX1061" s="402" t="str">
        <f>VLOOKUP($AW1061,'Item Master Data'!$A:$F,3,FALSE)</f>
        <v>Q.PEAK DUO XL G10 BFG</v>
      </c>
      <c r="AY1061" s="402">
        <f>VLOOKUP($AW1061,'Item Master Data'!$A:$F,6,FALSE)</f>
        <v>480</v>
      </c>
      <c r="AZ1061" s="402">
        <f t="shared" si="242"/>
        <v>40</v>
      </c>
      <c r="BA1061" s="402">
        <f>VLOOKUP(AW1061,'Item Master Data'!$A:$G,7,FALSE)</f>
        <v>29</v>
      </c>
      <c r="BB1061" s="402"/>
      <c r="BC1061" s="402">
        <f t="shared" si="243"/>
        <v>0</v>
      </c>
    </row>
    <row r="1062" spans="1:55">
      <c r="A1062" s="426"/>
      <c r="B1062" s="376">
        <v>44627</v>
      </c>
      <c r="C1062" s="376">
        <v>44627</v>
      </c>
      <c r="D1062" s="416" t="s">
        <v>86</v>
      </c>
      <c r="E1062" s="405"/>
      <c r="F1062" s="417"/>
      <c r="G1062" s="359">
        <v>2022</v>
      </c>
      <c r="H1062" s="405">
        <v>10</v>
      </c>
      <c r="I1062" s="405"/>
      <c r="J1062" s="406"/>
      <c r="K1062" s="405" t="s">
        <v>1876</v>
      </c>
      <c r="L1062" s="405" t="s">
        <v>1519</v>
      </c>
      <c r="M1062" s="406">
        <v>44615</v>
      </c>
      <c r="N1062" s="406">
        <v>44835</v>
      </c>
      <c r="O1062" s="406"/>
      <c r="P1062" s="406"/>
      <c r="Q1062" s="406"/>
      <c r="R1062" s="406"/>
      <c r="S1062" s="405" t="s">
        <v>1520</v>
      </c>
      <c r="T1062" s="405">
        <v>60</v>
      </c>
      <c r="U1062" s="417"/>
      <c r="V1062" s="405" t="s">
        <v>973</v>
      </c>
      <c r="W1062" s="405">
        <v>400</v>
      </c>
      <c r="X1062" s="382">
        <v>4608</v>
      </c>
      <c r="Y1062" s="365">
        <v>1843200</v>
      </c>
      <c r="Z1062" s="409">
        <v>0.55000000000000004</v>
      </c>
      <c r="AA1062" s="411">
        <v>1013760.0000000001</v>
      </c>
      <c r="AB1062" s="411"/>
      <c r="AC1062" s="412">
        <v>0</v>
      </c>
      <c r="AD1062" s="405"/>
      <c r="AE1062" s="405"/>
      <c r="AF1062" s="424">
        <v>1013760.0000000001</v>
      </c>
      <c r="AG1062" s="405" t="s">
        <v>1069</v>
      </c>
      <c r="AH1062" s="405"/>
      <c r="AI1062" s="405">
        <v>60</v>
      </c>
      <c r="AJ1062" s="406" t="s">
        <v>1521</v>
      </c>
      <c r="AK1062" s="406" t="s">
        <v>1522</v>
      </c>
      <c r="AL1062" s="414" t="s">
        <v>1523</v>
      </c>
      <c r="AM1062" s="405" t="s">
        <v>52</v>
      </c>
      <c r="AN1062" s="361"/>
      <c r="AO1062" s="405" t="s">
        <v>1073</v>
      </c>
      <c r="AP1062" s="413"/>
      <c r="AQ1062" s="405" t="s">
        <v>37</v>
      </c>
      <c r="AR1062" s="405"/>
      <c r="AS1062" s="404"/>
      <c r="AT1062" s="404"/>
      <c r="AU1062" s="409"/>
      <c r="AV1062" s="402">
        <f t="shared" si="241"/>
        <v>0</v>
      </c>
      <c r="AW1062" s="402" cm="1">
        <f t="array" ref="AW1062">SUM(MID(0&amp;AV1062,LARGE(INDEX(ISNUMBER(--MID(AV1062,ROW($1:$8),1))*ROW($1:$8),),ROW($1:$8))+1,1)*10^ROW($1:$8)/10)</f>
        <v>0</v>
      </c>
      <c r="AX1062" s="402" t="e">
        <f>VLOOKUP($AW1062,'Item Master Data'!$A:$F,3,FALSE)</f>
        <v>#N/A</v>
      </c>
      <c r="AY1062" s="402" t="e">
        <f>VLOOKUP($AW1062,'Item Master Data'!$A:$F,6,FALSE)</f>
        <v>#N/A</v>
      </c>
      <c r="AZ1062" s="402" t="e">
        <f t="shared" si="242"/>
        <v>#N/A</v>
      </c>
      <c r="BA1062" s="402" t="e">
        <f>VLOOKUP(AW1062,'Item Master Data'!$A:$G,7,FALSE)</f>
        <v>#N/A</v>
      </c>
      <c r="BB1062" s="402"/>
      <c r="BC1062" s="402" t="e">
        <f t="shared" si="243"/>
        <v>#N/A</v>
      </c>
    </row>
    <row r="1063" spans="1:55">
      <c r="A1063" s="426"/>
      <c r="B1063" s="376">
        <v>44627</v>
      </c>
      <c r="C1063" s="376">
        <v>44627</v>
      </c>
      <c r="D1063" s="416" t="s">
        <v>86</v>
      </c>
      <c r="E1063" s="405"/>
      <c r="F1063" s="417"/>
      <c r="G1063" s="359">
        <v>2022</v>
      </c>
      <c r="H1063" s="405">
        <v>10</v>
      </c>
      <c r="I1063" s="405"/>
      <c r="J1063" s="406"/>
      <c r="K1063" s="405" t="s">
        <v>1876</v>
      </c>
      <c r="L1063" s="405" t="s">
        <v>1519</v>
      </c>
      <c r="M1063" s="406">
        <v>44615</v>
      </c>
      <c r="N1063" s="406">
        <v>44835</v>
      </c>
      <c r="O1063" s="406"/>
      <c r="P1063" s="406"/>
      <c r="Q1063" s="406"/>
      <c r="R1063" s="406"/>
      <c r="S1063" s="405" t="s">
        <v>1520</v>
      </c>
      <c r="T1063" s="405">
        <v>60</v>
      </c>
      <c r="U1063" s="417"/>
      <c r="V1063" s="405" t="s">
        <v>986</v>
      </c>
      <c r="W1063" s="405">
        <v>360</v>
      </c>
      <c r="X1063" s="382">
        <v>832</v>
      </c>
      <c r="Y1063" s="365">
        <v>299520</v>
      </c>
      <c r="Z1063" s="409">
        <v>0.53</v>
      </c>
      <c r="AA1063" s="411">
        <v>158745.60000000001</v>
      </c>
      <c r="AB1063" s="411"/>
      <c r="AC1063" s="412">
        <v>0</v>
      </c>
      <c r="AD1063" s="405"/>
      <c r="AE1063" s="405"/>
      <c r="AF1063" s="424">
        <v>158745.60000000001</v>
      </c>
      <c r="AG1063" s="405" t="s">
        <v>1069</v>
      </c>
      <c r="AH1063" s="405"/>
      <c r="AI1063" s="405">
        <v>60</v>
      </c>
      <c r="AJ1063" s="406" t="s">
        <v>1521</v>
      </c>
      <c r="AK1063" s="406" t="s">
        <v>1522</v>
      </c>
      <c r="AL1063" s="414" t="s">
        <v>1523</v>
      </c>
      <c r="AM1063" s="405" t="s">
        <v>52</v>
      </c>
      <c r="AN1063" s="361"/>
      <c r="AO1063" s="405" t="s">
        <v>1073</v>
      </c>
      <c r="AP1063" s="413"/>
      <c r="AQ1063" s="405" t="s">
        <v>37</v>
      </c>
      <c r="AR1063" s="405"/>
      <c r="AS1063" s="404"/>
      <c r="AT1063" s="404"/>
      <c r="AU1063" s="409"/>
      <c r="AV1063" s="402">
        <f t="shared" si="241"/>
        <v>0</v>
      </c>
      <c r="AW1063" s="402" cm="1">
        <f t="array" ref="AW1063">SUM(MID(0&amp;AV1063,LARGE(INDEX(ISNUMBER(--MID(AV1063,ROW($1:$8),1))*ROW($1:$8),),ROW($1:$8))+1,1)*10^ROW($1:$8)/10)</f>
        <v>0</v>
      </c>
      <c r="AX1063" s="402" t="e">
        <f>VLOOKUP($AW1063,'Item Master Data'!$A:$F,3,FALSE)</f>
        <v>#N/A</v>
      </c>
      <c r="AY1063" s="402" t="e">
        <f>VLOOKUP($AW1063,'Item Master Data'!$A:$F,6,FALSE)</f>
        <v>#N/A</v>
      </c>
      <c r="AZ1063" s="402" t="e">
        <f t="shared" si="242"/>
        <v>#N/A</v>
      </c>
      <c r="BA1063" s="402" t="e">
        <f>VLOOKUP(AW1063,'Item Master Data'!$A:$G,7,FALSE)</f>
        <v>#N/A</v>
      </c>
      <c r="BB1063" s="402"/>
      <c r="BC1063" s="402" t="e">
        <f t="shared" si="243"/>
        <v>#N/A</v>
      </c>
    </row>
    <row r="1064" spans="1:55">
      <c r="A1064" s="426"/>
      <c r="B1064" s="376"/>
      <c r="C1064" s="376"/>
      <c r="D1064" s="416" t="s">
        <v>86</v>
      </c>
      <c r="E1064" s="405" t="s">
        <v>4273</v>
      </c>
      <c r="F1064" s="417"/>
      <c r="G1064" s="359">
        <v>2022</v>
      </c>
      <c r="H1064" s="405">
        <v>10</v>
      </c>
      <c r="I1064" s="405"/>
      <c r="J1064" s="406"/>
      <c r="K1064" s="405" t="s">
        <v>4280</v>
      </c>
      <c r="L1064" s="405" t="s">
        <v>1764</v>
      </c>
      <c r="M1064" s="406">
        <v>44662</v>
      </c>
      <c r="N1064" s="406">
        <v>44835</v>
      </c>
      <c r="O1064" s="406"/>
      <c r="P1064" s="406"/>
      <c r="Q1064" s="406"/>
      <c r="R1064" s="406"/>
      <c r="S1064" s="405" t="s">
        <v>88</v>
      </c>
      <c r="T1064" s="405">
        <v>72</v>
      </c>
      <c r="U1064" s="417"/>
      <c r="V1064" s="405" t="s">
        <v>995</v>
      </c>
      <c r="W1064" s="405">
        <v>480</v>
      </c>
      <c r="X1064" s="382">
        <v>2552</v>
      </c>
      <c r="Y1064" s="365">
        <f t="shared" ref="Y1064:Y1081" si="244">W1064*X1064</f>
        <v>1224960</v>
      </c>
      <c r="Z1064" s="409">
        <f>268.8/480</f>
        <v>0.56000000000000005</v>
      </c>
      <c r="AA1064" s="411">
        <f t="shared" ref="AA1064:AA1081" si="245">Z1064*Y1064</f>
        <v>685977.60000000009</v>
      </c>
      <c r="AB1064" s="411"/>
      <c r="AC1064" s="412">
        <f>AB1064*Y1064</f>
        <v>0</v>
      </c>
      <c r="AD1064" s="405"/>
      <c r="AE1064" s="405"/>
      <c r="AF1064" s="424">
        <f t="shared" ref="AF1064:AF1078" si="246">AE1064+AD1064+AA1064</f>
        <v>685977.60000000009</v>
      </c>
      <c r="AG1064" s="405" t="s">
        <v>1069</v>
      </c>
      <c r="AH1064" s="405"/>
      <c r="AI1064" s="405">
        <v>60</v>
      </c>
      <c r="AJ1064" s="406" t="s">
        <v>1760</v>
      </c>
      <c r="AK1064" s="406" t="s">
        <v>50</v>
      </c>
      <c r="AL1064" s="414" t="s">
        <v>1800</v>
      </c>
      <c r="AM1064" s="405" t="s">
        <v>52</v>
      </c>
      <c r="AN1064" s="361"/>
      <c r="AO1064" s="405" t="s">
        <v>1073</v>
      </c>
      <c r="AP1064" s="413"/>
      <c r="AQ1064" s="405" t="s">
        <v>37</v>
      </c>
      <c r="AR1064" s="405"/>
      <c r="AS1064" s="404"/>
      <c r="AT1064" s="404"/>
      <c r="AU1064" s="409"/>
      <c r="AV1064" s="402">
        <f t="shared" si="241"/>
        <v>0</v>
      </c>
      <c r="AW1064" s="402" cm="1">
        <f t="array" ref="AW1064">SUM(MID(0&amp;AV1064,LARGE(INDEX(ISNUMBER(--MID(AV1064,ROW($1:$8),1))*ROW($1:$8),),ROW($1:$8))+1,1)*10^ROW($1:$8)/10)</f>
        <v>0</v>
      </c>
      <c r="AX1064" s="402" t="e">
        <f>VLOOKUP($AW1064,'Item Master Data'!$A:$F,3,FALSE)</f>
        <v>#N/A</v>
      </c>
      <c r="AY1064" s="402" t="e">
        <f>VLOOKUP($AW1064,'Item Master Data'!$A:$F,6,FALSE)</f>
        <v>#N/A</v>
      </c>
      <c r="AZ1064" s="402" t="e">
        <f t="shared" si="242"/>
        <v>#N/A</v>
      </c>
      <c r="BA1064" s="402" t="e">
        <f>VLOOKUP(AW1064,'Item Master Data'!$A:$G,7,FALSE)</f>
        <v>#N/A</v>
      </c>
      <c r="BB1064" s="402"/>
      <c r="BC1064" s="402" t="e">
        <f t="shared" si="243"/>
        <v>#N/A</v>
      </c>
    </row>
    <row r="1065" spans="1:55">
      <c r="A1065" s="426"/>
      <c r="B1065" s="376"/>
      <c r="C1065" s="376"/>
      <c r="D1065" s="416" t="s">
        <v>86</v>
      </c>
      <c r="E1065" s="405" t="s">
        <v>4278</v>
      </c>
      <c r="F1065" s="417"/>
      <c r="G1065" s="359">
        <v>2022</v>
      </c>
      <c r="H1065" s="405">
        <v>10</v>
      </c>
      <c r="I1065" s="405"/>
      <c r="J1065" s="406"/>
      <c r="K1065" s="405" t="s">
        <v>4280</v>
      </c>
      <c r="L1065" s="405" t="s">
        <v>1764</v>
      </c>
      <c r="M1065" s="406">
        <v>44662</v>
      </c>
      <c r="N1065" s="406">
        <v>44835</v>
      </c>
      <c r="O1065" s="406"/>
      <c r="P1065" s="406"/>
      <c r="Q1065" s="406"/>
      <c r="R1065" s="406"/>
      <c r="S1065" s="405" t="s">
        <v>88</v>
      </c>
      <c r="T1065" s="405">
        <v>72</v>
      </c>
      <c r="U1065" s="417"/>
      <c r="V1065" s="405" t="s">
        <v>1895</v>
      </c>
      <c r="W1065" s="405">
        <v>580</v>
      </c>
      <c r="X1065" s="382">
        <v>992</v>
      </c>
      <c r="Y1065" s="365">
        <f t="shared" si="244"/>
        <v>575360</v>
      </c>
      <c r="Z1065" s="409">
        <f>336.4/580</f>
        <v>0.57999999999999996</v>
      </c>
      <c r="AA1065" s="411">
        <f t="shared" si="245"/>
        <v>333708.79999999999</v>
      </c>
      <c r="AB1065" s="411"/>
      <c r="AC1065" s="412">
        <f>AB1065*Y1065</f>
        <v>0</v>
      </c>
      <c r="AD1065" s="405"/>
      <c r="AE1065" s="405"/>
      <c r="AF1065" s="424">
        <f t="shared" si="246"/>
        <v>333708.79999999999</v>
      </c>
      <c r="AG1065" s="405" t="s">
        <v>1069</v>
      </c>
      <c r="AH1065" s="405"/>
      <c r="AI1065" s="405">
        <v>60</v>
      </c>
      <c r="AJ1065" s="406" t="s">
        <v>1760</v>
      </c>
      <c r="AK1065" s="406" t="s">
        <v>50</v>
      </c>
      <c r="AL1065" s="414" t="s">
        <v>1800</v>
      </c>
      <c r="AM1065" s="405" t="s">
        <v>52</v>
      </c>
      <c r="AN1065" s="361"/>
      <c r="AO1065" s="405" t="s">
        <v>1073</v>
      </c>
      <c r="AP1065" s="413"/>
      <c r="AQ1065" s="405" t="s">
        <v>37</v>
      </c>
      <c r="AR1065" s="405"/>
      <c r="AS1065" s="404"/>
      <c r="AT1065" s="404"/>
      <c r="AU1065" s="409"/>
      <c r="AV1065" s="402"/>
      <c r="AW1065" s="402"/>
      <c r="AX1065" s="402"/>
      <c r="AY1065" s="402"/>
      <c r="AZ1065" s="402"/>
      <c r="BA1065" s="402"/>
      <c r="BB1065" s="402"/>
      <c r="BC1065" s="402"/>
    </row>
    <row r="1066" spans="1:55">
      <c r="A1066" s="426"/>
      <c r="B1066" s="376"/>
      <c r="C1066" s="376"/>
      <c r="D1066" s="416" t="s">
        <v>86</v>
      </c>
      <c r="E1066" s="405" t="s">
        <v>4269</v>
      </c>
      <c r="F1066" s="417"/>
      <c r="G1066" s="359">
        <v>2022</v>
      </c>
      <c r="H1066" s="405">
        <v>10</v>
      </c>
      <c r="I1066" s="405"/>
      <c r="J1066" s="406"/>
      <c r="K1066" s="405">
        <v>1204</v>
      </c>
      <c r="L1066" s="405" t="s">
        <v>1556</v>
      </c>
      <c r="M1066" s="406">
        <v>44585</v>
      </c>
      <c r="N1066" s="406">
        <v>44837</v>
      </c>
      <c r="O1066" s="406"/>
      <c r="P1066" s="406"/>
      <c r="Q1066" s="406"/>
      <c r="R1066" s="406"/>
      <c r="S1066" s="405" t="s">
        <v>1510</v>
      </c>
      <c r="T1066" s="405">
        <v>72</v>
      </c>
      <c r="U1066" s="417"/>
      <c r="V1066" s="405" t="s">
        <v>1002</v>
      </c>
      <c r="W1066" s="405">
        <v>480</v>
      </c>
      <c r="X1066" s="382">
        <v>1914</v>
      </c>
      <c r="Y1066" s="365">
        <f t="shared" si="244"/>
        <v>918720</v>
      </c>
      <c r="Z1066" s="409">
        <f>237.6/480</f>
        <v>0.495</v>
      </c>
      <c r="AA1066" s="411">
        <f t="shared" si="245"/>
        <v>454766.4</v>
      </c>
      <c r="AB1066" s="411"/>
      <c r="AC1066" s="412">
        <f>AB1066*Y1066</f>
        <v>0</v>
      </c>
      <c r="AD1066" s="405"/>
      <c r="AE1066" s="405"/>
      <c r="AF1066" s="424">
        <f t="shared" si="246"/>
        <v>454766.4</v>
      </c>
      <c r="AG1066" s="405" t="s">
        <v>1069</v>
      </c>
      <c r="AH1066" s="405">
        <v>100</v>
      </c>
      <c r="AI1066" s="405">
        <v>0</v>
      </c>
      <c r="AJ1066" s="406" t="s">
        <v>1558</v>
      </c>
      <c r="AK1066" s="406" t="s">
        <v>50</v>
      </c>
      <c r="AL1066" s="414">
        <v>92010</v>
      </c>
      <c r="AM1066" s="405" t="s">
        <v>52</v>
      </c>
      <c r="AN1066" s="361"/>
      <c r="AO1066" s="405" t="s">
        <v>1073</v>
      </c>
      <c r="AP1066" s="413"/>
      <c r="AQ1066" s="405" t="s">
        <v>37</v>
      </c>
      <c r="AR1066" s="405"/>
      <c r="AS1066" s="404"/>
      <c r="AT1066" s="404"/>
      <c r="AU1066" s="409"/>
      <c r="AV1066" s="402">
        <f>U1066</f>
        <v>0</v>
      </c>
      <c r="AW1066" s="402" cm="1">
        <f t="array" ref="AW1066">SUM(MID(0&amp;AV1066,LARGE(INDEX(ISNUMBER(--MID(AV1066,ROW($1:$8),1))*ROW($1:$8),),ROW($1:$8))+1,1)*10^ROW($1:$8)/10)</f>
        <v>0</v>
      </c>
      <c r="AX1066" s="402" t="e">
        <f>VLOOKUP($AW1066,'Item Master Data'!$A:$F,3,FALSE)</f>
        <v>#N/A</v>
      </c>
      <c r="AY1066" s="402" t="e">
        <f>VLOOKUP($AW1066,'Item Master Data'!$A:$F,6,FALSE)</f>
        <v>#N/A</v>
      </c>
      <c r="AZ1066" s="402" t="e">
        <f>X1066/BA1066</f>
        <v>#N/A</v>
      </c>
      <c r="BA1066" s="402" t="e">
        <f>VLOOKUP(AW1066,'Item Master Data'!$A:$G,7,FALSE)</f>
        <v>#N/A</v>
      </c>
      <c r="BB1066" s="402"/>
      <c r="BC1066" s="402" t="e">
        <f>W1066-AY1066</f>
        <v>#N/A</v>
      </c>
    </row>
    <row r="1067" spans="1:55">
      <c r="A1067" s="426"/>
      <c r="B1067" s="376"/>
      <c r="C1067" s="376"/>
      <c r="D1067" s="416" t="s">
        <v>86</v>
      </c>
      <c r="E1067" s="405" t="s">
        <v>4644</v>
      </c>
      <c r="F1067" s="417"/>
      <c r="G1067" s="359">
        <v>2022</v>
      </c>
      <c r="H1067" s="405">
        <v>10</v>
      </c>
      <c r="I1067" s="405"/>
      <c r="J1067" s="406"/>
      <c r="K1067" s="405">
        <v>38</v>
      </c>
      <c r="L1067" s="405" t="s">
        <v>4645</v>
      </c>
      <c r="M1067" s="406">
        <v>44685</v>
      </c>
      <c r="N1067" s="406">
        <v>44837</v>
      </c>
      <c r="O1067" s="406"/>
      <c r="P1067" s="406"/>
      <c r="Q1067" s="406"/>
      <c r="R1067" s="406"/>
      <c r="S1067" s="405" t="s">
        <v>1510</v>
      </c>
      <c r="T1067" s="405">
        <v>72</v>
      </c>
      <c r="U1067" s="417"/>
      <c r="V1067" s="405" t="s">
        <v>1108</v>
      </c>
      <c r="W1067" s="405">
        <v>580</v>
      </c>
      <c r="X1067" s="382">
        <v>960</v>
      </c>
      <c r="Y1067" s="365">
        <f t="shared" si="244"/>
        <v>556800</v>
      </c>
      <c r="Z1067" s="409">
        <f>371.2/580</f>
        <v>0.64</v>
      </c>
      <c r="AA1067" s="411">
        <f t="shared" si="245"/>
        <v>356352</v>
      </c>
      <c r="AB1067" s="411"/>
      <c r="AC1067" s="412">
        <f>AB1067*Y1067</f>
        <v>0</v>
      </c>
      <c r="AD1067" s="405"/>
      <c r="AE1067" s="405"/>
      <c r="AF1067" s="424">
        <f t="shared" si="246"/>
        <v>356352</v>
      </c>
      <c r="AG1067" s="405" t="s">
        <v>47</v>
      </c>
      <c r="AH1067" s="405">
        <v>100</v>
      </c>
      <c r="AI1067" s="405">
        <v>0</v>
      </c>
      <c r="AJ1067" s="406" t="s">
        <v>4646</v>
      </c>
      <c r="AK1067" s="406" t="s">
        <v>50</v>
      </c>
      <c r="AL1067" s="414" t="s">
        <v>4647</v>
      </c>
      <c r="AM1067" s="405" t="s">
        <v>52</v>
      </c>
      <c r="AN1067" s="361"/>
      <c r="AO1067" s="405" t="s">
        <v>1073</v>
      </c>
      <c r="AP1067" s="413"/>
      <c r="AQ1067" s="405" t="s">
        <v>37</v>
      </c>
      <c r="AR1067" s="405"/>
      <c r="AS1067" s="404"/>
      <c r="AT1067" s="404"/>
      <c r="AU1067" s="409"/>
      <c r="AV1067" s="402"/>
      <c r="AW1067" s="402"/>
      <c r="AX1067" s="402"/>
      <c r="AY1067" s="402"/>
      <c r="AZ1067" s="402"/>
      <c r="BA1067" s="402"/>
      <c r="BB1067" s="402"/>
      <c r="BC1067" s="402"/>
    </row>
    <row r="1068" spans="1:55">
      <c r="A1068" s="426"/>
      <c r="B1068" s="376"/>
      <c r="C1068" s="376"/>
      <c r="D1068" s="416" t="s">
        <v>86</v>
      </c>
      <c r="E1068" s="405"/>
      <c r="F1068" s="417"/>
      <c r="G1068" s="359">
        <v>2022</v>
      </c>
      <c r="H1068" s="405">
        <v>11</v>
      </c>
      <c r="I1068" s="405"/>
      <c r="J1068" s="406"/>
      <c r="K1068" s="405" t="s">
        <v>1550</v>
      </c>
      <c r="L1068" s="405" t="s">
        <v>1514</v>
      </c>
      <c r="M1068" s="406">
        <v>44595</v>
      </c>
      <c r="N1068" s="406">
        <v>44872</v>
      </c>
      <c r="O1068" s="406"/>
      <c r="P1068" s="406"/>
      <c r="Q1068" s="406"/>
      <c r="R1068" s="406"/>
      <c r="S1068" s="405" t="s">
        <v>88</v>
      </c>
      <c r="T1068" s="405">
        <v>60</v>
      </c>
      <c r="U1068" s="417"/>
      <c r="V1068" s="405" t="s">
        <v>986</v>
      </c>
      <c r="W1068" s="405">
        <v>360</v>
      </c>
      <c r="X1068" s="382">
        <v>1664</v>
      </c>
      <c r="Y1068" s="365">
        <f t="shared" si="244"/>
        <v>599040</v>
      </c>
      <c r="Z1068" s="409">
        <f>190.8/360</f>
        <v>0.53</v>
      </c>
      <c r="AA1068" s="411">
        <f t="shared" si="245"/>
        <v>317491.20000000001</v>
      </c>
      <c r="AB1068" s="411"/>
      <c r="AC1068" s="412">
        <v>0</v>
      </c>
      <c r="AD1068" s="405"/>
      <c r="AE1068" s="405"/>
      <c r="AF1068" s="424">
        <f t="shared" si="246"/>
        <v>317491.20000000001</v>
      </c>
      <c r="AG1068" s="405" t="s">
        <v>1069</v>
      </c>
      <c r="AH1068" s="405"/>
      <c r="AI1068" s="405">
        <v>60</v>
      </c>
      <c r="AJ1068" s="406" t="s">
        <v>1515</v>
      </c>
      <c r="AK1068" s="406" t="s">
        <v>1136</v>
      </c>
      <c r="AL1068" s="414">
        <v>92806</v>
      </c>
      <c r="AM1068" s="405" t="s">
        <v>52</v>
      </c>
      <c r="AN1068" s="361"/>
      <c r="AO1068" s="405" t="s">
        <v>1073</v>
      </c>
      <c r="AP1068" s="413" t="s">
        <v>92</v>
      </c>
      <c r="AQ1068" s="405" t="s">
        <v>37</v>
      </c>
      <c r="AR1068" s="405" t="s">
        <v>1188</v>
      </c>
      <c r="AS1068" s="404" t="s">
        <v>1392</v>
      </c>
      <c r="AT1068" s="404"/>
      <c r="AU1068" s="409">
        <f>180/360</f>
        <v>0.5</v>
      </c>
      <c r="AV1068" s="402"/>
      <c r="AW1068" s="402"/>
      <c r="AX1068" s="402"/>
      <c r="AY1068" s="402"/>
      <c r="AZ1068" s="402"/>
      <c r="BA1068" s="402"/>
      <c r="BB1068" s="402"/>
      <c r="BC1068" s="402"/>
    </row>
    <row r="1069" spans="1:55">
      <c r="A1069" s="426"/>
      <c r="B1069" s="376"/>
      <c r="C1069" s="376"/>
      <c r="D1069" s="416" t="s">
        <v>86</v>
      </c>
      <c r="E1069" s="405"/>
      <c r="F1069" s="417"/>
      <c r="G1069" s="359">
        <v>2022</v>
      </c>
      <c r="H1069" s="405">
        <v>11</v>
      </c>
      <c r="I1069" s="405"/>
      <c r="J1069" s="406"/>
      <c r="K1069" s="405" t="s">
        <v>1550</v>
      </c>
      <c r="L1069" s="405" t="s">
        <v>1514</v>
      </c>
      <c r="M1069" s="406">
        <v>44595</v>
      </c>
      <c r="N1069" s="406">
        <v>44872</v>
      </c>
      <c r="O1069" s="406"/>
      <c r="P1069" s="406"/>
      <c r="Q1069" s="406"/>
      <c r="R1069" s="406"/>
      <c r="S1069" s="405" t="s">
        <v>88</v>
      </c>
      <c r="T1069" s="405">
        <v>60</v>
      </c>
      <c r="U1069" s="417"/>
      <c r="V1069" s="405" t="s">
        <v>973</v>
      </c>
      <c r="W1069" s="405">
        <v>400</v>
      </c>
      <c r="X1069" s="382">
        <v>1536</v>
      </c>
      <c r="Y1069" s="365">
        <f t="shared" si="244"/>
        <v>614400</v>
      </c>
      <c r="Z1069" s="409">
        <f>220/400</f>
        <v>0.55000000000000004</v>
      </c>
      <c r="AA1069" s="411">
        <f t="shared" si="245"/>
        <v>337920</v>
      </c>
      <c r="AB1069" s="411"/>
      <c r="AC1069" s="412">
        <v>0</v>
      </c>
      <c r="AD1069" s="405"/>
      <c r="AE1069" s="405"/>
      <c r="AF1069" s="424">
        <f t="shared" si="246"/>
        <v>337920</v>
      </c>
      <c r="AG1069" s="405" t="s">
        <v>1069</v>
      </c>
      <c r="AH1069" s="405"/>
      <c r="AI1069" s="405">
        <v>60</v>
      </c>
      <c r="AJ1069" s="406" t="s">
        <v>1515</v>
      </c>
      <c r="AK1069" s="406" t="s">
        <v>1136</v>
      </c>
      <c r="AL1069" s="414">
        <v>92806</v>
      </c>
      <c r="AM1069" s="405" t="s">
        <v>52</v>
      </c>
      <c r="AN1069" s="361"/>
      <c r="AO1069" s="405" t="s">
        <v>1073</v>
      </c>
      <c r="AP1069" s="413" t="s">
        <v>92</v>
      </c>
      <c r="AQ1069" s="405" t="s">
        <v>37</v>
      </c>
      <c r="AR1069" s="405" t="s">
        <v>1188</v>
      </c>
      <c r="AS1069" s="404" t="s">
        <v>1392</v>
      </c>
      <c r="AT1069" s="404"/>
      <c r="AU1069" s="409">
        <f>180/360</f>
        <v>0.5</v>
      </c>
      <c r="AV1069" s="402"/>
      <c r="AW1069" s="402"/>
      <c r="AX1069" s="402"/>
      <c r="AY1069" s="402"/>
      <c r="AZ1069" s="402"/>
      <c r="BA1069" s="402"/>
      <c r="BB1069" s="402"/>
      <c r="BC1069" s="402"/>
    </row>
    <row r="1070" spans="1:55">
      <c r="A1070" s="426"/>
      <c r="B1070" s="376"/>
      <c r="C1070" s="376"/>
      <c r="D1070" s="416" t="s">
        <v>86</v>
      </c>
      <c r="E1070" s="405"/>
      <c r="F1070" s="417"/>
      <c r="G1070" s="359">
        <v>2022</v>
      </c>
      <c r="H1070" s="405">
        <v>11</v>
      </c>
      <c r="I1070" s="405"/>
      <c r="J1070" s="406"/>
      <c r="K1070" s="405" t="s">
        <v>1548</v>
      </c>
      <c r="L1070" s="405" t="s">
        <v>1514</v>
      </c>
      <c r="M1070" s="406">
        <v>44595</v>
      </c>
      <c r="N1070" s="406">
        <v>44837</v>
      </c>
      <c r="O1070" s="406">
        <v>44868</v>
      </c>
      <c r="P1070" s="406"/>
      <c r="Q1070" s="406"/>
      <c r="R1070" s="406"/>
      <c r="S1070" s="405" t="s">
        <v>88</v>
      </c>
      <c r="T1070" s="405">
        <v>60</v>
      </c>
      <c r="U1070" s="417">
        <v>49204132</v>
      </c>
      <c r="V1070" s="405" t="s">
        <v>1192</v>
      </c>
      <c r="W1070" s="405">
        <v>360</v>
      </c>
      <c r="X1070" s="382">
        <v>832</v>
      </c>
      <c r="Y1070" s="365">
        <f t="shared" si="244"/>
        <v>299520</v>
      </c>
      <c r="Z1070" s="409">
        <f>298.8/360</f>
        <v>0.83000000000000007</v>
      </c>
      <c r="AA1070" s="411">
        <f t="shared" si="245"/>
        <v>248601.60000000003</v>
      </c>
      <c r="AB1070" s="411"/>
      <c r="AC1070" s="412">
        <v>0</v>
      </c>
      <c r="AD1070" s="405"/>
      <c r="AE1070" s="405"/>
      <c r="AF1070" s="424">
        <f t="shared" si="246"/>
        <v>248601.60000000003</v>
      </c>
      <c r="AG1070" s="405" t="s">
        <v>1069</v>
      </c>
      <c r="AH1070" s="405"/>
      <c r="AI1070" s="405">
        <v>60</v>
      </c>
      <c r="AJ1070" s="406" t="s">
        <v>1515</v>
      </c>
      <c r="AK1070" s="406" t="s">
        <v>1136</v>
      </c>
      <c r="AL1070" s="414">
        <v>92806</v>
      </c>
      <c r="AM1070" s="405" t="s">
        <v>52</v>
      </c>
      <c r="AN1070" s="361"/>
      <c r="AO1070" s="405" t="s">
        <v>1073</v>
      </c>
      <c r="AP1070" s="413" t="s">
        <v>92</v>
      </c>
      <c r="AQ1070" s="405" t="s">
        <v>37</v>
      </c>
      <c r="AR1070" s="405" t="s">
        <v>1188</v>
      </c>
      <c r="AS1070" s="404" t="s">
        <v>1392</v>
      </c>
      <c r="AT1070" s="404"/>
      <c r="AU1070" s="409">
        <f>180/360</f>
        <v>0.5</v>
      </c>
      <c r="AV1070" s="402"/>
      <c r="AW1070" s="402"/>
      <c r="AX1070" s="402"/>
      <c r="AY1070" s="402"/>
      <c r="AZ1070" s="402"/>
      <c r="BA1070" s="402"/>
      <c r="BB1070" s="402"/>
      <c r="BC1070" s="402"/>
    </row>
    <row r="1071" spans="1:55">
      <c r="A1071" s="426"/>
      <c r="B1071" s="376"/>
      <c r="C1071" s="376"/>
      <c r="D1071" s="416" t="s">
        <v>86</v>
      </c>
      <c r="E1071" s="405"/>
      <c r="F1071" s="417"/>
      <c r="G1071" s="359">
        <v>2022</v>
      </c>
      <c r="H1071" s="405">
        <v>11</v>
      </c>
      <c r="I1071" s="405"/>
      <c r="J1071" s="406"/>
      <c r="K1071" s="405" t="s">
        <v>1549</v>
      </c>
      <c r="L1071" s="405" t="s">
        <v>1514</v>
      </c>
      <c r="M1071" s="406">
        <v>44595</v>
      </c>
      <c r="N1071" s="406">
        <v>44872</v>
      </c>
      <c r="O1071" s="406"/>
      <c r="P1071" s="406"/>
      <c r="Q1071" s="406"/>
      <c r="R1071" s="406"/>
      <c r="S1071" s="405" t="s">
        <v>88</v>
      </c>
      <c r="T1071" s="405">
        <v>60</v>
      </c>
      <c r="U1071" s="417">
        <v>49204132</v>
      </c>
      <c r="V1071" s="405" t="s">
        <v>1192</v>
      </c>
      <c r="W1071" s="405">
        <v>360</v>
      </c>
      <c r="X1071" s="382">
        <v>832</v>
      </c>
      <c r="Y1071" s="365">
        <f t="shared" si="244"/>
        <v>299520</v>
      </c>
      <c r="Z1071" s="409">
        <f>298.8/360</f>
        <v>0.83000000000000007</v>
      </c>
      <c r="AA1071" s="411">
        <f t="shared" si="245"/>
        <v>248601.60000000003</v>
      </c>
      <c r="AB1071" s="411"/>
      <c r="AC1071" s="412">
        <v>0</v>
      </c>
      <c r="AD1071" s="405"/>
      <c r="AE1071" s="405"/>
      <c r="AF1071" s="424">
        <f t="shared" si="246"/>
        <v>248601.60000000003</v>
      </c>
      <c r="AG1071" s="405" t="s">
        <v>1069</v>
      </c>
      <c r="AH1071" s="405"/>
      <c r="AI1071" s="405">
        <v>60</v>
      </c>
      <c r="AJ1071" s="406" t="s">
        <v>1515</v>
      </c>
      <c r="AK1071" s="406" t="s">
        <v>1136</v>
      </c>
      <c r="AL1071" s="414">
        <v>92806</v>
      </c>
      <c r="AM1071" s="405" t="s">
        <v>52</v>
      </c>
      <c r="AN1071" s="361"/>
      <c r="AO1071" s="405" t="s">
        <v>1073</v>
      </c>
      <c r="AP1071" s="413" t="s">
        <v>92</v>
      </c>
      <c r="AQ1071" s="405" t="s">
        <v>37</v>
      </c>
      <c r="AR1071" s="405" t="s">
        <v>1188</v>
      </c>
      <c r="AS1071" s="404" t="s">
        <v>1392</v>
      </c>
      <c r="AT1071" s="404"/>
      <c r="AU1071" s="409">
        <f>180/360</f>
        <v>0.5</v>
      </c>
      <c r="AV1071" s="402"/>
      <c r="AW1071" s="402"/>
      <c r="AX1071" s="402"/>
      <c r="AY1071" s="402"/>
      <c r="AZ1071" s="402"/>
      <c r="BA1071" s="402"/>
      <c r="BB1071" s="402"/>
      <c r="BC1071" s="402"/>
    </row>
    <row r="1072" spans="1:55">
      <c r="A1072" s="426"/>
      <c r="B1072" s="376">
        <v>44642</v>
      </c>
      <c r="C1072" s="376">
        <v>44642</v>
      </c>
      <c r="D1072" s="416" t="s">
        <v>86</v>
      </c>
      <c r="E1072" s="405" t="s">
        <v>4272</v>
      </c>
      <c r="F1072" s="417"/>
      <c r="G1072" s="359">
        <v>2022</v>
      </c>
      <c r="H1072" s="405">
        <v>11</v>
      </c>
      <c r="I1072" s="405"/>
      <c r="J1072" s="406"/>
      <c r="K1072" s="405" t="s">
        <v>1555</v>
      </c>
      <c r="L1072" s="405" t="s">
        <v>1514</v>
      </c>
      <c r="M1072" s="406">
        <v>44641</v>
      </c>
      <c r="N1072" s="406">
        <v>44867</v>
      </c>
      <c r="O1072" s="406"/>
      <c r="P1072" s="406"/>
      <c r="Q1072" s="406"/>
      <c r="R1072" s="406"/>
      <c r="S1072" s="405" t="s">
        <v>88</v>
      </c>
      <c r="T1072" s="405">
        <v>72</v>
      </c>
      <c r="U1072" s="417"/>
      <c r="V1072" s="405" t="s">
        <v>1103</v>
      </c>
      <c r="W1072" s="405">
        <v>485</v>
      </c>
      <c r="X1072" s="382">
        <v>638</v>
      </c>
      <c r="Y1072" s="365">
        <f t="shared" si="244"/>
        <v>309430</v>
      </c>
      <c r="Z1072" s="409">
        <f>244.93/485</f>
        <v>0.50501030927835056</v>
      </c>
      <c r="AA1072" s="411">
        <f t="shared" si="245"/>
        <v>156265.34000000003</v>
      </c>
      <c r="AB1072" s="411"/>
      <c r="AC1072" s="412">
        <v>0</v>
      </c>
      <c r="AD1072" s="405"/>
      <c r="AE1072" s="405"/>
      <c r="AF1072" s="424">
        <f t="shared" si="246"/>
        <v>156265.34000000003</v>
      </c>
      <c r="AG1072" s="405" t="s">
        <v>1069</v>
      </c>
      <c r="AH1072" s="405"/>
      <c r="AI1072" s="405">
        <v>60</v>
      </c>
      <c r="AJ1072" s="406" t="s">
        <v>1515</v>
      </c>
      <c r="AK1072" s="406" t="s">
        <v>50</v>
      </c>
      <c r="AL1072" s="414" t="s">
        <v>1529</v>
      </c>
      <c r="AM1072" s="405" t="s">
        <v>52</v>
      </c>
      <c r="AN1072" s="361" t="s">
        <v>50</v>
      </c>
      <c r="AO1072" s="405" t="s">
        <v>1073</v>
      </c>
      <c r="AP1072" s="413" t="s">
        <v>38</v>
      </c>
      <c r="AQ1072" s="405" t="s">
        <v>37</v>
      </c>
      <c r="AR1072" s="405"/>
      <c r="AS1072" s="404" t="s">
        <v>1072</v>
      </c>
      <c r="AT1072" s="404"/>
      <c r="AU1072" s="409">
        <v>0.52</v>
      </c>
      <c r="AV1072" s="402"/>
      <c r="AW1072" s="402"/>
      <c r="AX1072" s="402"/>
      <c r="AY1072" s="402"/>
      <c r="AZ1072" s="402"/>
      <c r="BA1072" s="402"/>
      <c r="BB1072" s="402"/>
      <c r="BC1072" s="402"/>
    </row>
    <row r="1073" spans="1:55">
      <c r="A1073" s="426"/>
      <c r="B1073" s="376">
        <v>44628</v>
      </c>
      <c r="C1073" s="376">
        <v>44628</v>
      </c>
      <c r="D1073" s="416" t="s">
        <v>86</v>
      </c>
      <c r="E1073" s="405"/>
      <c r="F1073" s="417"/>
      <c r="G1073" s="359">
        <v>2022</v>
      </c>
      <c r="H1073" s="405">
        <v>11</v>
      </c>
      <c r="I1073" s="405"/>
      <c r="J1073" s="406"/>
      <c r="K1073" s="405" t="s">
        <v>1621</v>
      </c>
      <c r="L1073" s="405" t="s">
        <v>1588</v>
      </c>
      <c r="M1073" s="406">
        <v>44568</v>
      </c>
      <c r="N1073" s="406">
        <v>44866</v>
      </c>
      <c r="O1073" s="406"/>
      <c r="P1073" s="406"/>
      <c r="Q1073" s="406"/>
      <c r="R1073" s="406"/>
      <c r="S1073" s="405" t="s">
        <v>1510</v>
      </c>
      <c r="T1073" s="405">
        <v>60</v>
      </c>
      <c r="U1073" s="417">
        <v>49204132</v>
      </c>
      <c r="V1073" s="405" t="s">
        <v>1192</v>
      </c>
      <c r="W1073" s="405">
        <v>360</v>
      </c>
      <c r="X1073" s="382">
        <v>676</v>
      </c>
      <c r="Y1073" s="365">
        <f t="shared" si="244"/>
        <v>243360</v>
      </c>
      <c r="Z1073" s="409">
        <f>298.8/360</f>
        <v>0.83000000000000007</v>
      </c>
      <c r="AA1073" s="411">
        <f t="shared" si="245"/>
        <v>201988.80000000002</v>
      </c>
      <c r="AB1073" s="411"/>
      <c r="AC1073" s="412">
        <v>0</v>
      </c>
      <c r="AD1073" s="405"/>
      <c r="AE1073" s="405"/>
      <c r="AF1073" s="424">
        <f t="shared" si="246"/>
        <v>201988.80000000002</v>
      </c>
      <c r="AG1073" s="405" t="s">
        <v>1069</v>
      </c>
      <c r="AH1073" s="405"/>
      <c r="AI1073" s="405">
        <v>60</v>
      </c>
      <c r="AJ1073" s="406" t="s">
        <v>1589</v>
      </c>
      <c r="AK1073" s="406" t="s">
        <v>50</v>
      </c>
      <c r="AL1073" s="414">
        <v>91311</v>
      </c>
      <c r="AM1073" s="405" t="s">
        <v>52</v>
      </c>
      <c r="AN1073" s="361" t="s">
        <v>1071</v>
      </c>
      <c r="AO1073" s="405" t="s">
        <v>1073</v>
      </c>
      <c r="AP1073" s="413"/>
      <c r="AQ1073" s="405" t="s">
        <v>37</v>
      </c>
      <c r="AR1073" s="405"/>
      <c r="AS1073" s="404"/>
      <c r="AT1073" s="404"/>
      <c r="AU1073" s="409">
        <v>0.72</v>
      </c>
      <c r="AV1073" s="402">
        <f>U1073</f>
        <v>49204132</v>
      </c>
      <c r="AW1073" s="402" cm="1">
        <f t="array" ref="AW1073">SUM(MID(0&amp;AV1073,LARGE(INDEX(ISNUMBER(--MID(AV1073,ROW($1:$8),1))*ROW($1:$8),),ROW($1:$8))+1,1)*10^ROW($1:$8)/10)</f>
        <v>49204132</v>
      </c>
      <c r="AX1073" s="402" t="str">
        <f>VLOOKUP($AW1073,'Item Master Data'!$A:$F,3,FALSE)</f>
        <v>Q.PEAK DUO BLK G10+/AC</v>
      </c>
      <c r="AY1073" s="402">
        <f>VLOOKUP($AW1073,'Item Master Data'!$A:$F,6,FALSE)</f>
        <v>360</v>
      </c>
      <c r="AZ1073" s="402">
        <f>X1073/BA1073</f>
        <v>26</v>
      </c>
      <c r="BA1073" s="402">
        <f>VLOOKUP(AW1073,'Item Master Data'!$A:$G,7,FALSE)</f>
        <v>26</v>
      </c>
      <c r="BB1073" s="402"/>
      <c r="BC1073" s="402">
        <f>W1073-AY1073</f>
        <v>0</v>
      </c>
    </row>
    <row r="1074" spans="1:55">
      <c r="A1074" s="426"/>
      <c r="B1074" s="376">
        <v>44589</v>
      </c>
      <c r="C1074" s="376">
        <v>44589</v>
      </c>
      <c r="D1074" s="416" t="s">
        <v>86</v>
      </c>
      <c r="E1074" s="405"/>
      <c r="F1074" s="417" t="s">
        <v>87</v>
      </c>
      <c r="G1074" s="359">
        <v>2022</v>
      </c>
      <c r="H1074" s="405">
        <v>11</v>
      </c>
      <c r="I1074" s="405"/>
      <c r="J1074" s="406"/>
      <c r="K1074" s="405" t="s">
        <v>1672</v>
      </c>
      <c r="L1074" s="405" t="s">
        <v>1608</v>
      </c>
      <c r="M1074" s="406">
        <v>44924</v>
      </c>
      <c r="N1074" s="406">
        <v>44894</v>
      </c>
      <c r="O1074" s="406"/>
      <c r="P1074" s="406"/>
      <c r="Q1074" s="406"/>
      <c r="R1074" s="406"/>
      <c r="S1074" s="405" t="s">
        <v>88</v>
      </c>
      <c r="T1074" s="405">
        <v>72</v>
      </c>
      <c r="U1074" s="417">
        <v>49303156</v>
      </c>
      <c r="V1074" s="405" t="s">
        <v>1068</v>
      </c>
      <c r="W1074" s="405">
        <v>480</v>
      </c>
      <c r="X1074" s="382">
        <v>638</v>
      </c>
      <c r="Y1074" s="365">
        <f t="shared" si="244"/>
        <v>306240</v>
      </c>
      <c r="Z1074" s="409">
        <f>225.6/480</f>
        <v>0.47</v>
      </c>
      <c r="AA1074" s="411">
        <f t="shared" si="245"/>
        <v>143932.79999999999</v>
      </c>
      <c r="AB1074" s="411"/>
      <c r="AC1074" s="412">
        <v>0</v>
      </c>
      <c r="AD1074" s="405"/>
      <c r="AE1074" s="405"/>
      <c r="AF1074" s="424">
        <f t="shared" si="246"/>
        <v>143932.79999999999</v>
      </c>
      <c r="AG1074" s="405" t="s">
        <v>1069</v>
      </c>
      <c r="AH1074" s="405"/>
      <c r="AI1074" s="405">
        <v>60</v>
      </c>
      <c r="AJ1074" s="406" t="s">
        <v>1616</v>
      </c>
      <c r="AK1074" s="406" t="s">
        <v>50</v>
      </c>
      <c r="AL1074" s="414">
        <v>93703</v>
      </c>
      <c r="AM1074" s="405" t="s">
        <v>52</v>
      </c>
      <c r="AN1074" s="361" t="s">
        <v>1516</v>
      </c>
      <c r="AO1074" s="405" t="s">
        <v>1073</v>
      </c>
      <c r="AP1074" s="413"/>
      <c r="AQ1074" s="405" t="s">
        <v>1083</v>
      </c>
      <c r="AR1074" s="405"/>
      <c r="AS1074" s="404" t="s">
        <v>1392</v>
      </c>
      <c r="AT1074" s="404"/>
      <c r="AU1074" s="409"/>
      <c r="AV1074" s="402"/>
      <c r="AW1074" s="402"/>
      <c r="AX1074" s="402"/>
      <c r="AY1074" s="402"/>
      <c r="AZ1074" s="402"/>
      <c r="BA1074" s="402"/>
      <c r="BB1074" s="402"/>
      <c r="BC1074" s="402"/>
    </row>
    <row r="1075" spans="1:55">
      <c r="A1075" s="426"/>
      <c r="B1075" s="376">
        <v>44617</v>
      </c>
      <c r="C1075" s="376">
        <v>44616</v>
      </c>
      <c r="D1075" s="416" t="s">
        <v>86</v>
      </c>
      <c r="E1075" s="405"/>
      <c r="F1075" s="417"/>
      <c r="G1075" s="359">
        <v>2022</v>
      </c>
      <c r="H1075" s="405">
        <v>11</v>
      </c>
      <c r="I1075" s="405"/>
      <c r="J1075" s="406"/>
      <c r="K1075" s="405" t="s">
        <v>1813</v>
      </c>
      <c r="L1075" s="405" t="s">
        <v>1682</v>
      </c>
      <c r="M1075" s="406">
        <v>44589</v>
      </c>
      <c r="N1075" s="406">
        <v>44868</v>
      </c>
      <c r="O1075" s="406"/>
      <c r="P1075" s="406"/>
      <c r="Q1075" s="406"/>
      <c r="R1075" s="406"/>
      <c r="S1075" s="405" t="s">
        <v>1520</v>
      </c>
      <c r="T1075" s="405">
        <v>60</v>
      </c>
      <c r="U1075" s="417"/>
      <c r="V1075" s="405" t="s">
        <v>986</v>
      </c>
      <c r="W1075" s="405">
        <v>360</v>
      </c>
      <c r="X1075" s="382">
        <v>4992</v>
      </c>
      <c r="Y1075" s="365">
        <f t="shared" si="244"/>
        <v>1797120</v>
      </c>
      <c r="Z1075" s="409">
        <f>190.8/360</f>
        <v>0.53</v>
      </c>
      <c r="AA1075" s="411">
        <f t="shared" si="245"/>
        <v>952473.60000000009</v>
      </c>
      <c r="AB1075" s="411"/>
      <c r="AC1075" s="412">
        <f>AB1075*Y1075</f>
        <v>0</v>
      </c>
      <c r="AD1075" s="405"/>
      <c r="AE1075" s="405"/>
      <c r="AF1075" s="424">
        <f t="shared" si="246"/>
        <v>952473.60000000009</v>
      </c>
      <c r="AG1075" s="405" t="s">
        <v>1069</v>
      </c>
      <c r="AH1075" s="405"/>
      <c r="AI1075" s="405">
        <v>60</v>
      </c>
      <c r="AJ1075" s="406" t="s">
        <v>1584</v>
      </c>
      <c r="AK1075" s="406" t="s">
        <v>50</v>
      </c>
      <c r="AL1075" s="414">
        <v>95834</v>
      </c>
      <c r="AM1075" s="405" t="s">
        <v>52</v>
      </c>
      <c r="AN1075" s="361" t="s">
        <v>1071</v>
      </c>
      <c r="AO1075" s="405" t="s">
        <v>1073</v>
      </c>
      <c r="AP1075" s="413"/>
      <c r="AQ1075" s="405" t="s">
        <v>37</v>
      </c>
      <c r="AR1075" s="405"/>
      <c r="AS1075" s="404"/>
      <c r="AT1075" s="404"/>
      <c r="AU1075" s="409">
        <f>180/360</f>
        <v>0.5</v>
      </c>
      <c r="AV1075" s="402"/>
      <c r="AW1075" s="402"/>
      <c r="AX1075" s="402"/>
      <c r="AY1075" s="402"/>
      <c r="AZ1075" s="402"/>
      <c r="BA1075" s="402"/>
      <c r="BB1075" s="402"/>
      <c r="BC1075" s="402"/>
    </row>
    <row r="1076" spans="1:55">
      <c r="A1076" s="426"/>
      <c r="B1076" s="376">
        <v>44607</v>
      </c>
      <c r="C1076" s="376">
        <v>44607</v>
      </c>
      <c r="D1076" s="416" t="s">
        <v>86</v>
      </c>
      <c r="E1076" s="405" t="s">
        <v>4269</v>
      </c>
      <c r="F1076" s="417" t="s">
        <v>87</v>
      </c>
      <c r="G1076" s="359">
        <v>2022</v>
      </c>
      <c r="H1076" s="405">
        <v>11</v>
      </c>
      <c r="I1076" s="405"/>
      <c r="J1076" s="406"/>
      <c r="K1076" s="405" t="s">
        <v>1834</v>
      </c>
      <c r="L1076" s="405" t="s">
        <v>1517</v>
      </c>
      <c r="M1076" s="406">
        <v>44596</v>
      </c>
      <c r="N1076" s="406">
        <v>44870</v>
      </c>
      <c r="O1076" s="406"/>
      <c r="P1076" s="406"/>
      <c r="Q1076" s="406"/>
      <c r="R1076" s="406"/>
      <c r="S1076" s="405" t="s">
        <v>88</v>
      </c>
      <c r="T1076" s="405">
        <v>72</v>
      </c>
      <c r="U1076" s="417" t="s">
        <v>1102</v>
      </c>
      <c r="V1076" s="405" t="s">
        <v>1103</v>
      </c>
      <c r="W1076" s="405">
        <v>485</v>
      </c>
      <c r="X1076" s="382">
        <v>2552</v>
      </c>
      <c r="Y1076" s="365">
        <f t="shared" si="244"/>
        <v>1237720</v>
      </c>
      <c r="Z1076" s="409">
        <f>240.08/485</f>
        <v>0.49501030927835055</v>
      </c>
      <c r="AA1076" s="411">
        <f t="shared" si="245"/>
        <v>612684.16</v>
      </c>
      <c r="AB1076" s="411"/>
      <c r="AC1076" s="412">
        <f>AB1076*Y1076</f>
        <v>0</v>
      </c>
      <c r="AD1076" s="405"/>
      <c r="AE1076" s="405"/>
      <c r="AF1076" s="424">
        <f t="shared" si="246"/>
        <v>612684.16</v>
      </c>
      <c r="AG1076" s="405" t="s">
        <v>1069</v>
      </c>
      <c r="AH1076" s="405"/>
      <c r="AI1076" s="405">
        <v>60</v>
      </c>
      <c r="AJ1076" s="406" t="s">
        <v>1518</v>
      </c>
      <c r="AK1076" s="406" t="s">
        <v>50</v>
      </c>
      <c r="AL1076" s="414">
        <v>92126</v>
      </c>
      <c r="AM1076" s="405" t="s">
        <v>52</v>
      </c>
      <c r="AN1076" s="361" t="s">
        <v>50</v>
      </c>
      <c r="AO1076" s="405" t="s">
        <v>1073</v>
      </c>
      <c r="AP1076" s="413" t="s">
        <v>92</v>
      </c>
      <c r="AQ1076" s="405" t="s">
        <v>37</v>
      </c>
      <c r="AR1076" s="405"/>
      <c r="AS1076" s="404" t="s">
        <v>1392</v>
      </c>
      <c r="AT1076" s="404"/>
      <c r="AU1076" s="409"/>
      <c r="AV1076" s="402" t="str">
        <f>U1076</f>
        <v>TBD</v>
      </c>
      <c r="AW1076" s="402" cm="1">
        <f t="array" ref="AW1076">SUM(MID(0&amp;AV1076,LARGE(INDEX(ISNUMBER(--MID(AV1076,ROW($1:$8),1))*ROW($1:$8),),ROW($1:$8))+1,1)*10^ROW($1:$8)/10)</f>
        <v>0</v>
      </c>
      <c r="AX1076" s="402" t="e">
        <f>VLOOKUP($AW1076,'Item Master Data'!$A:$F,3,FALSE)</f>
        <v>#N/A</v>
      </c>
      <c r="AY1076" s="402" t="e">
        <f>VLOOKUP($AW1076,'Item Master Data'!$A:$F,6,FALSE)</f>
        <v>#N/A</v>
      </c>
      <c r="AZ1076" s="402" t="e">
        <f>X1076/BA1076</f>
        <v>#N/A</v>
      </c>
      <c r="BA1076" s="402" t="e">
        <f>VLOOKUP(AW1076,'Item Master Data'!$A:$G,7,FALSE)</f>
        <v>#N/A</v>
      </c>
      <c r="BB1076" s="402"/>
      <c r="BC1076" s="402" t="e">
        <f>W1076-AY1076</f>
        <v>#N/A</v>
      </c>
    </row>
    <row r="1077" spans="1:55">
      <c r="A1077" s="426"/>
      <c r="B1077" s="376">
        <v>44679</v>
      </c>
      <c r="C1077" s="376">
        <v>44679</v>
      </c>
      <c r="D1077" s="416" t="s">
        <v>86</v>
      </c>
      <c r="E1077" s="405"/>
      <c r="F1077" s="417" t="s">
        <v>87</v>
      </c>
      <c r="G1077" s="359">
        <v>2022</v>
      </c>
      <c r="H1077" s="405">
        <v>11</v>
      </c>
      <c r="I1077" s="405"/>
      <c r="J1077" s="406"/>
      <c r="K1077" s="405" t="s">
        <v>1900</v>
      </c>
      <c r="L1077" s="405" t="s">
        <v>1517</v>
      </c>
      <c r="M1077" s="406">
        <v>44658</v>
      </c>
      <c r="N1077" s="406">
        <v>44872</v>
      </c>
      <c r="O1077" s="406"/>
      <c r="P1077" s="406"/>
      <c r="Q1077" s="406"/>
      <c r="R1077" s="406"/>
      <c r="S1077" s="405" t="s">
        <v>88</v>
      </c>
      <c r="T1077" s="405">
        <v>72</v>
      </c>
      <c r="U1077" s="417"/>
      <c r="V1077" s="405" t="s">
        <v>1068</v>
      </c>
      <c r="W1077" s="405">
        <v>480</v>
      </c>
      <c r="X1077" s="382">
        <v>6380</v>
      </c>
      <c r="Y1077" s="365">
        <f t="shared" si="244"/>
        <v>3062400</v>
      </c>
      <c r="Z1077" s="409">
        <f>235.2/480</f>
        <v>0.49</v>
      </c>
      <c r="AA1077" s="411">
        <f t="shared" si="245"/>
        <v>1500576</v>
      </c>
      <c r="AB1077" s="411"/>
      <c r="AC1077" s="412">
        <f>AB1077*Y1077</f>
        <v>0</v>
      </c>
      <c r="AD1077" s="405"/>
      <c r="AE1077" s="405"/>
      <c r="AF1077" s="424">
        <f t="shared" si="246"/>
        <v>1500576</v>
      </c>
      <c r="AG1077" s="405" t="s">
        <v>1069</v>
      </c>
      <c r="AH1077" s="405"/>
      <c r="AI1077" s="405">
        <v>60</v>
      </c>
      <c r="AJ1077" s="406" t="s">
        <v>1518</v>
      </c>
      <c r="AK1077" s="406" t="s">
        <v>50</v>
      </c>
      <c r="AL1077" s="414">
        <v>92126</v>
      </c>
      <c r="AM1077" s="405" t="s">
        <v>52</v>
      </c>
      <c r="AN1077" s="361" t="s">
        <v>50</v>
      </c>
      <c r="AO1077" s="405" t="s">
        <v>1073</v>
      </c>
      <c r="AP1077" s="413" t="s">
        <v>92</v>
      </c>
      <c r="AQ1077" s="405" t="s">
        <v>37</v>
      </c>
      <c r="AR1077" s="405"/>
      <c r="AS1077" s="404" t="s">
        <v>1392</v>
      </c>
      <c r="AT1077" s="404"/>
      <c r="AU1077" s="409"/>
      <c r="AV1077" s="402">
        <f>U1077</f>
        <v>0</v>
      </c>
      <c r="AW1077" s="402" cm="1">
        <f t="array" ref="AW1077">SUM(MID(0&amp;AV1077,LARGE(INDEX(ISNUMBER(--MID(AV1077,ROW($1:$8),1))*ROW($1:$8),),ROW($1:$8))+1,1)*10^ROW($1:$8)/10)</f>
        <v>0</v>
      </c>
      <c r="AX1077" s="402" t="e">
        <f>VLOOKUP($AW1077,'Item Master Data'!$A:$F,3,FALSE)</f>
        <v>#N/A</v>
      </c>
      <c r="AY1077" s="402" t="e">
        <f>VLOOKUP($AW1077,'Item Master Data'!$A:$F,6,FALSE)</f>
        <v>#N/A</v>
      </c>
      <c r="AZ1077" s="402" t="e">
        <f>X1077/BA1077</f>
        <v>#N/A</v>
      </c>
      <c r="BA1077" s="402" t="e">
        <f>VLOOKUP(AW1077,'Item Master Data'!$A:$G,7,FALSE)</f>
        <v>#N/A</v>
      </c>
      <c r="BB1077" s="402"/>
      <c r="BC1077" s="402" t="e">
        <f>W1077-AY1077</f>
        <v>#N/A</v>
      </c>
    </row>
    <row r="1078" spans="1:55">
      <c r="A1078" s="426"/>
      <c r="B1078" s="376">
        <v>44679</v>
      </c>
      <c r="C1078" s="376">
        <v>44679</v>
      </c>
      <c r="D1078" s="416" t="s">
        <v>86</v>
      </c>
      <c r="E1078" s="405"/>
      <c r="F1078" s="417" t="s">
        <v>87</v>
      </c>
      <c r="G1078" s="359">
        <v>2022</v>
      </c>
      <c r="H1078" s="405">
        <v>11</v>
      </c>
      <c r="I1078" s="405"/>
      <c r="J1078" s="406"/>
      <c r="K1078" s="405" t="s">
        <v>1900</v>
      </c>
      <c r="L1078" s="405" t="s">
        <v>1517</v>
      </c>
      <c r="M1078" s="406">
        <v>44658</v>
      </c>
      <c r="N1078" s="406">
        <v>44902</v>
      </c>
      <c r="O1078" s="406"/>
      <c r="P1078" s="406"/>
      <c r="Q1078" s="406"/>
      <c r="R1078" s="406"/>
      <c r="S1078" s="405" t="s">
        <v>88</v>
      </c>
      <c r="T1078" s="405">
        <v>72</v>
      </c>
      <c r="U1078" s="417"/>
      <c r="V1078" s="405" t="s">
        <v>1068</v>
      </c>
      <c r="W1078" s="405">
        <v>480</v>
      </c>
      <c r="X1078" s="382">
        <v>7656</v>
      </c>
      <c r="Y1078" s="365">
        <f t="shared" si="244"/>
        <v>3674880</v>
      </c>
      <c r="Z1078" s="409">
        <f>235.2/480</f>
        <v>0.49</v>
      </c>
      <c r="AA1078" s="411">
        <f t="shared" si="245"/>
        <v>1800691.2</v>
      </c>
      <c r="AB1078" s="411"/>
      <c r="AC1078" s="412">
        <f>AB1078*Y1078</f>
        <v>0</v>
      </c>
      <c r="AD1078" s="405"/>
      <c r="AE1078" s="405"/>
      <c r="AF1078" s="424">
        <f t="shared" si="246"/>
        <v>1800691.2</v>
      </c>
      <c r="AG1078" s="405" t="s">
        <v>1069</v>
      </c>
      <c r="AH1078" s="405"/>
      <c r="AI1078" s="405">
        <v>60</v>
      </c>
      <c r="AJ1078" s="406" t="s">
        <v>1518</v>
      </c>
      <c r="AK1078" s="406" t="s">
        <v>50</v>
      </c>
      <c r="AL1078" s="414">
        <v>92126</v>
      </c>
      <c r="AM1078" s="405" t="s">
        <v>52</v>
      </c>
      <c r="AN1078" s="361" t="s">
        <v>50</v>
      </c>
      <c r="AO1078" s="405" t="s">
        <v>1073</v>
      </c>
      <c r="AP1078" s="413" t="s">
        <v>92</v>
      </c>
      <c r="AQ1078" s="405" t="s">
        <v>37</v>
      </c>
      <c r="AR1078" s="405"/>
      <c r="AS1078" s="404" t="s">
        <v>1392</v>
      </c>
      <c r="AT1078" s="404"/>
      <c r="AU1078" s="409"/>
      <c r="AV1078" s="402">
        <f>U1078</f>
        <v>0</v>
      </c>
      <c r="AW1078" s="402" cm="1">
        <f t="array" ref="AW1078">SUM(MID(0&amp;AV1078,LARGE(INDEX(ISNUMBER(--MID(AV1078,ROW($1:$8),1))*ROW($1:$8),),ROW($1:$8))+1,1)*10^ROW($1:$8)/10)</f>
        <v>0</v>
      </c>
      <c r="AX1078" s="402" t="e">
        <f>VLOOKUP($AW1078,'Item Master Data'!$A:$F,3,FALSE)</f>
        <v>#N/A</v>
      </c>
      <c r="AY1078" s="402" t="e">
        <f>VLOOKUP($AW1078,'Item Master Data'!$A:$F,6,FALSE)</f>
        <v>#N/A</v>
      </c>
      <c r="AZ1078" s="402" t="e">
        <f>X1078/BA1078</f>
        <v>#N/A</v>
      </c>
      <c r="BA1078" s="402" t="e">
        <f>VLOOKUP(AW1078,'Item Master Data'!$A:$G,7,FALSE)</f>
        <v>#N/A</v>
      </c>
      <c r="BB1078" s="402"/>
      <c r="BC1078" s="402" t="e">
        <f>W1078-AY1078</f>
        <v>#N/A</v>
      </c>
    </row>
    <row r="1079" spans="1:55">
      <c r="A1079" s="426"/>
      <c r="B1079" s="376">
        <v>44676</v>
      </c>
      <c r="C1079" s="376">
        <v>44676</v>
      </c>
      <c r="D1079" s="416" t="s">
        <v>86</v>
      </c>
      <c r="E1079" s="405" t="s">
        <v>4223</v>
      </c>
      <c r="F1079" s="417"/>
      <c r="G1079" s="359">
        <v>2022</v>
      </c>
      <c r="H1079" s="405">
        <v>11</v>
      </c>
      <c r="I1079" s="405"/>
      <c r="J1079" s="406"/>
      <c r="K1079" s="405" t="s">
        <v>4225</v>
      </c>
      <c r="L1079" s="405" t="s">
        <v>1517</v>
      </c>
      <c r="M1079" s="406">
        <v>44671</v>
      </c>
      <c r="N1079" s="406">
        <v>44866</v>
      </c>
      <c r="O1079" s="406"/>
      <c r="P1079" s="406"/>
      <c r="Q1079" s="406"/>
      <c r="R1079" s="406"/>
      <c r="S1079" s="405" t="s">
        <v>88</v>
      </c>
      <c r="T1079" s="405">
        <v>60</v>
      </c>
      <c r="U1079" s="417"/>
      <c r="V1079" s="405" t="s">
        <v>973</v>
      </c>
      <c r="W1079" s="405">
        <v>400</v>
      </c>
      <c r="X1079" s="382">
        <v>4608</v>
      </c>
      <c r="Y1079" s="365">
        <f t="shared" si="244"/>
        <v>1843200</v>
      </c>
      <c r="Z1079" s="409">
        <v>0.55000000000000004</v>
      </c>
      <c r="AA1079" s="411">
        <f t="shared" si="245"/>
        <v>1013760.0000000001</v>
      </c>
      <c r="AB1079" s="411"/>
      <c r="AC1079" s="412">
        <v>0</v>
      </c>
      <c r="AD1079" s="405"/>
      <c r="AE1079" s="405"/>
      <c r="AF1079" s="424">
        <f>+AE1079+AD1079+AA1079</f>
        <v>1013760.0000000001</v>
      </c>
      <c r="AG1079" s="405" t="s">
        <v>1069</v>
      </c>
      <c r="AH1079" s="405"/>
      <c r="AI1079" s="405">
        <v>60</v>
      </c>
      <c r="AJ1079" s="406" t="s">
        <v>1518</v>
      </c>
      <c r="AK1079" s="406" t="s">
        <v>50</v>
      </c>
      <c r="AL1079" s="414">
        <v>92126</v>
      </c>
      <c r="AM1079" s="405" t="s">
        <v>52</v>
      </c>
      <c r="AN1079" s="361"/>
      <c r="AO1079" s="405" t="s">
        <v>1073</v>
      </c>
      <c r="AP1079" s="413"/>
      <c r="AQ1079" s="405" t="s">
        <v>37</v>
      </c>
      <c r="AR1079" s="405"/>
      <c r="AS1079" s="404" t="s">
        <v>1392</v>
      </c>
      <c r="AT1079" s="404"/>
      <c r="AU1079" s="409">
        <v>0.52</v>
      </c>
      <c r="AV1079" s="402"/>
      <c r="AW1079" s="402"/>
      <c r="AX1079" s="402"/>
      <c r="AY1079" s="402"/>
      <c r="AZ1079" s="402"/>
      <c r="BA1079" s="402"/>
      <c r="BB1079" s="402"/>
      <c r="BC1079" s="402"/>
    </row>
    <row r="1080" spans="1:55">
      <c r="A1080" s="426"/>
      <c r="B1080" s="376">
        <v>44659</v>
      </c>
      <c r="C1080" s="376">
        <v>44659</v>
      </c>
      <c r="D1080" s="416" t="s">
        <v>86</v>
      </c>
      <c r="E1080" s="405"/>
      <c r="F1080" s="417" t="s">
        <v>87</v>
      </c>
      <c r="G1080" s="359">
        <v>2022</v>
      </c>
      <c r="H1080" s="405">
        <v>11</v>
      </c>
      <c r="I1080" s="405"/>
      <c r="J1080" s="406"/>
      <c r="K1080" s="405" t="s">
        <v>1901</v>
      </c>
      <c r="L1080" s="405" t="s">
        <v>1711</v>
      </c>
      <c r="M1080" s="406">
        <v>44658</v>
      </c>
      <c r="N1080" s="406">
        <v>44872</v>
      </c>
      <c r="O1080" s="406"/>
      <c r="P1080" s="406"/>
      <c r="Q1080" s="406"/>
      <c r="R1080" s="406"/>
      <c r="S1080" s="405" t="s">
        <v>1510</v>
      </c>
      <c r="T1080" s="405">
        <v>72</v>
      </c>
      <c r="U1080" s="417">
        <v>49303156</v>
      </c>
      <c r="V1080" s="405" t="s">
        <v>1068</v>
      </c>
      <c r="W1080" s="405">
        <v>480</v>
      </c>
      <c r="X1080" s="382">
        <v>1914</v>
      </c>
      <c r="Y1080" s="365">
        <f t="shared" si="244"/>
        <v>918720</v>
      </c>
      <c r="Z1080" s="409">
        <f>240/480</f>
        <v>0.5</v>
      </c>
      <c r="AA1080" s="411">
        <f t="shared" si="245"/>
        <v>459360</v>
      </c>
      <c r="AB1080" s="411"/>
      <c r="AC1080" s="412">
        <f>AB1080*Y1080</f>
        <v>0</v>
      </c>
      <c r="AD1080" s="405"/>
      <c r="AE1080" s="405"/>
      <c r="AF1080" s="424">
        <f>AE1080+AD1080+AA1080</f>
        <v>459360</v>
      </c>
      <c r="AG1080" s="405" t="s">
        <v>1069</v>
      </c>
      <c r="AH1080" s="405"/>
      <c r="AI1080" s="405">
        <v>60</v>
      </c>
      <c r="AJ1080" s="406" t="s">
        <v>1712</v>
      </c>
      <c r="AK1080" s="406" t="s">
        <v>50</v>
      </c>
      <c r="AL1080" s="414" t="s">
        <v>1713</v>
      </c>
      <c r="AM1080" s="405" t="s">
        <v>52</v>
      </c>
      <c r="AN1080" s="361" t="s">
        <v>1516</v>
      </c>
      <c r="AO1080" s="405" t="s">
        <v>1073</v>
      </c>
      <c r="AP1080" s="413"/>
      <c r="AQ1080" s="405" t="s">
        <v>37</v>
      </c>
      <c r="AR1080" s="405"/>
      <c r="AS1080" s="404"/>
      <c r="AT1080" s="404"/>
      <c r="AU1080" s="409"/>
      <c r="AV1080" s="402"/>
      <c r="AW1080" s="402"/>
      <c r="AX1080" s="402"/>
      <c r="AY1080" s="402"/>
      <c r="AZ1080" s="402"/>
      <c r="BA1080" s="402"/>
      <c r="BB1080" s="402"/>
      <c r="BC1080" s="402"/>
    </row>
    <row r="1081" spans="1:55">
      <c r="A1081" s="426"/>
      <c r="B1081" s="376"/>
      <c r="C1081" s="376"/>
      <c r="D1081" s="416" t="s">
        <v>86</v>
      </c>
      <c r="E1081" s="405" t="s">
        <v>1728</v>
      </c>
      <c r="F1081" s="417" t="s">
        <v>87</v>
      </c>
      <c r="G1081" s="359">
        <v>2022</v>
      </c>
      <c r="H1081" s="405">
        <v>11</v>
      </c>
      <c r="I1081" s="405"/>
      <c r="J1081" s="406"/>
      <c r="K1081" s="405" t="s">
        <v>1855</v>
      </c>
      <c r="L1081" s="405" t="s">
        <v>1723</v>
      </c>
      <c r="M1081" s="406">
        <v>44621</v>
      </c>
      <c r="N1081" s="406">
        <v>44866</v>
      </c>
      <c r="O1081" s="406"/>
      <c r="P1081" s="406"/>
      <c r="Q1081" s="406"/>
      <c r="R1081" s="406"/>
      <c r="S1081" s="405" t="s">
        <v>1683</v>
      </c>
      <c r="T1081" s="405">
        <v>72</v>
      </c>
      <c r="U1081" s="417">
        <v>49303156</v>
      </c>
      <c r="V1081" s="405" t="s">
        <v>1730</v>
      </c>
      <c r="W1081" s="405">
        <v>480</v>
      </c>
      <c r="X1081" s="382">
        <v>1160</v>
      </c>
      <c r="Y1081" s="365">
        <f t="shared" si="244"/>
        <v>556800</v>
      </c>
      <c r="Z1081" s="409">
        <f>232.75/480</f>
        <v>0.48489583333333336</v>
      </c>
      <c r="AA1081" s="411">
        <f t="shared" si="245"/>
        <v>269990</v>
      </c>
      <c r="AB1081" s="411"/>
      <c r="AC1081" s="412">
        <f>AB1081*Y1081</f>
        <v>0</v>
      </c>
      <c r="AD1081" s="405"/>
      <c r="AE1081" s="405"/>
      <c r="AF1081" s="424">
        <f>AE1081+AD1081+AA1081</f>
        <v>269990</v>
      </c>
      <c r="AG1081" s="405" t="s">
        <v>1069</v>
      </c>
      <c r="AH1081" s="405"/>
      <c r="AI1081" s="405">
        <v>60</v>
      </c>
      <c r="AJ1081" s="406" t="s">
        <v>1724</v>
      </c>
      <c r="AK1081" s="406" t="s">
        <v>50</v>
      </c>
      <c r="AL1081" s="414">
        <v>95403</v>
      </c>
      <c r="AM1081" s="405" t="s">
        <v>52</v>
      </c>
      <c r="AN1081" s="361" t="s">
        <v>1516</v>
      </c>
      <c r="AO1081" s="405" t="s">
        <v>1073</v>
      </c>
      <c r="AP1081" s="413"/>
      <c r="AQ1081" s="405" t="s">
        <v>37</v>
      </c>
      <c r="AR1081" s="405"/>
      <c r="AS1081" s="404" t="s">
        <v>1392</v>
      </c>
      <c r="AT1081" s="404"/>
      <c r="AU1081" s="409"/>
      <c r="AV1081" s="402">
        <f>U1081</f>
        <v>49303156</v>
      </c>
      <c r="AW1081" s="402" cm="1">
        <f t="array" ref="AW1081">SUM(MID(0&amp;AV1081,LARGE(INDEX(ISNUMBER(--MID(AV1081,ROW($1:$8),1))*ROW($1:$8),),ROW($1:$8))+1,1)*10^ROW($1:$8)/10)</f>
        <v>49303156</v>
      </c>
      <c r="AX1081" s="402" t="str">
        <f>VLOOKUP($AW1081,'Item Master Data'!$A:$F,3,FALSE)</f>
        <v>Q.PEAK DUO XL G10 BFG</v>
      </c>
      <c r="AY1081" s="402">
        <f>VLOOKUP($AW1081,'Item Master Data'!$A:$F,6,FALSE)</f>
        <v>480</v>
      </c>
      <c r="AZ1081" s="402">
        <f>X1081/BA1081</f>
        <v>40</v>
      </c>
      <c r="BA1081" s="402">
        <f>VLOOKUP(AW1081,'Item Master Data'!$A:$G,7,FALSE)</f>
        <v>29</v>
      </c>
      <c r="BB1081" s="402"/>
      <c r="BC1081" s="402">
        <f>W1081-AY1081</f>
        <v>0</v>
      </c>
    </row>
    <row r="1082" spans="1:55">
      <c r="A1082" s="426"/>
      <c r="B1082" s="376">
        <v>44627</v>
      </c>
      <c r="C1082" s="376">
        <v>44627</v>
      </c>
      <c r="D1082" s="416" t="s">
        <v>86</v>
      </c>
      <c r="E1082" s="405"/>
      <c r="F1082" s="417"/>
      <c r="G1082" s="359">
        <v>2022</v>
      </c>
      <c r="H1082" s="405">
        <v>11</v>
      </c>
      <c r="I1082" s="405"/>
      <c r="J1082" s="406"/>
      <c r="K1082" s="405" t="s">
        <v>1877</v>
      </c>
      <c r="L1082" s="405" t="s">
        <v>1519</v>
      </c>
      <c r="M1082" s="406">
        <v>44615</v>
      </c>
      <c r="N1082" s="406">
        <v>44866</v>
      </c>
      <c r="O1082" s="406"/>
      <c r="P1082" s="406"/>
      <c r="Q1082" s="406"/>
      <c r="R1082" s="406"/>
      <c r="S1082" s="405" t="s">
        <v>1520</v>
      </c>
      <c r="T1082" s="405">
        <v>60</v>
      </c>
      <c r="U1082" s="417"/>
      <c r="V1082" s="405" t="s">
        <v>973</v>
      </c>
      <c r="W1082" s="405">
        <v>400</v>
      </c>
      <c r="X1082" s="382">
        <v>4608</v>
      </c>
      <c r="Y1082" s="365">
        <v>1843200</v>
      </c>
      <c r="Z1082" s="409">
        <v>0.55000000000000004</v>
      </c>
      <c r="AA1082" s="411">
        <v>1013760.0000000001</v>
      </c>
      <c r="AB1082" s="411"/>
      <c r="AC1082" s="412">
        <v>0</v>
      </c>
      <c r="AD1082" s="405"/>
      <c r="AE1082" s="405"/>
      <c r="AF1082" s="424">
        <v>1013760.0000000001</v>
      </c>
      <c r="AG1082" s="405" t="s">
        <v>1069</v>
      </c>
      <c r="AH1082" s="405"/>
      <c r="AI1082" s="405">
        <v>60</v>
      </c>
      <c r="AJ1082" s="406" t="s">
        <v>1521</v>
      </c>
      <c r="AK1082" s="406" t="s">
        <v>1522</v>
      </c>
      <c r="AL1082" s="414" t="s">
        <v>1523</v>
      </c>
      <c r="AM1082" s="405" t="s">
        <v>52</v>
      </c>
      <c r="AN1082" s="361"/>
      <c r="AO1082" s="405" t="s">
        <v>1073</v>
      </c>
      <c r="AP1082" s="413"/>
      <c r="AQ1082" s="405" t="s">
        <v>37</v>
      </c>
      <c r="AR1082" s="405"/>
      <c r="AS1082" s="404"/>
      <c r="AT1082" s="404"/>
      <c r="AU1082" s="409"/>
      <c r="AV1082" s="402">
        <f>U1082</f>
        <v>0</v>
      </c>
      <c r="AW1082" s="402" cm="1">
        <f t="array" ref="AW1082">SUM(MID(0&amp;AV1082,LARGE(INDEX(ISNUMBER(--MID(AV1082,ROW($1:$8),1))*ROW($1:$8),),ROW($1:$8))+1,1)*10^ROW($1:$8)/10)</f>
        <v>0</v>
      </c>
      <c r="AX1082" s="402" t="e">
        <f>VLOOKUP($AW1082,'Item Master Data'!$A:$F,3,FALSE)</f>
        <v>#N/A</v>
      </c>
      <c r="AY1082" s="402" t="e">
        <f>VLOOKUP($AW1082,'Item Master Data'!$A:$F,6,FALSE)</f>
        <v>#N/A</v>
      </c>
      <c r="AZ1082" s="402" t="e">
        <f>X1082/BA1082</f>
        <v>#N/A</v>
      </c>
      <c r="BA1082" s="402" t="e">
        <f>VLOOKUP(AW1082,'Item Master Data'!$A:$G,7,FALSE)</f>
        <v>#N/A</v>
      </c>
      <c r="BB1082" s="402"/>
      <c r="BC1082" s="402" t="e">
        <f>W1082-AY1082</f>
        <v>#N/A</v>
      </c>
    </row>
    <row r="1083" spans="1:55">
      <c r="A1083" s="426"/>
      <c r="B1083" s="376">
        <v>44627</v>
      </c>
      <c r="C1083" s="376">
        <v>44627</v>
      </c>
      <c r="D1083" s="416" t="s">
        <v>86</v>
      </c>
      <c r="E1083" s="405"/>
      <c r="F1083" s="417"/>
      <c r="G1083" s="359">
        <v>2022</v>
      </c>
      <c r="H1083" s="405">
        <v>11</v>
      </c>
      <c r="I1083" s="405"/>
      <c r="J1083" s="406"/>
      <c r="K1083" s="405" t="s">
        <v>1877</v>
      </c>
      <c r="L1083" s="405" t="s">
        <v>1519</v>
      </c>
      <c r="M1083" s="406">
        <v>44615</v>
      </c>
      <c r="N1083" s="406">
        <v>44866</v>
      </c>
      <c r="O1083" s="406"/>
      <c r="P1083" s="406"/>
      <c r="Q1083" s="406"/>
      <c r="R1083" s="406"/>
      <c r="S1083" s="405" t="s">
        <v>1520</v>
      </c>
      <c r="T1083" s="405">
        <v>60</v>
      </c>
      <c r="U1083" s="417"/>
      <c r="V1083" s="405" t="s">
        <v>986</v>
      </c>
      <c r="W1083" s="405">
        <v>360</v>
      </c>
      <c r="X1083" s="382">
        <v>832</v>
      </c>
      <c r="Y1083" s="365">
        <v>299520</v>
      </c>
      <c r="Z1083" s="409">
        <v>0.53</v>
      </c>
      <c r="AA1083" s="411">
        <v>158745.60000000001</v>
      </c>
      <c r="AB1083" s="411"/>
      <c r="AC1083" s="412">
        <v>0</v>
      </c>
      <c r="AD1083" s="405"/>
      <c r="AE1083" s="405"/>
      <c r="AF1083" s="424">
        <v>158745.60000000001</v>
      </c>
      <c r="AG1083" s="405" t="s">
        <v>1069</v>
      </c>
      <c r="AH1083" s="405"/>
      <c r="AI1083" s="405">
        <v>60</v>
      </c>
      <c r="AJ1083" s="406" t="s">
        <v>1521</v>
      </c>
      <c r="AK1083" s="406" t="s">
        <v>1522</v>
      </c>
      <c r="AL1083" s="414" t="s">
        <v>1523</v>
      </c>
      <c r="AM1083" s="405" t="s">
        <v>52</v>
      </c>
      <c r="AN1083" s="361"/>
      <c r="AO1083" s="405" t="s">
        <v>1073</v>
      </c>
      <c r="AP1083" s="413"/>
      <c r="AQ1083" s="405" t="s">
        <v>37</v>
      </c>
      <c r="AR1083" s="405"/>
      <c r="AS1083" s="404"/>
      <c r="AT1083" s="404"/>
      <c r="AU1083" s="409"/>
      <c r="AV1083" s="402">
        <f>U1083</f>
        <v>0</v>
      </c>
      <c r="AW1083" s="402" cm="1">
        <f t="array" ref="AW1083">SUM(MID(0&amp;AV1083,LARGE(INDEX(ISNUMBER(--MID(AV1083,ROW($1:$8),1))*ROW($1:$8),),ROW($1:$8))+1,1)*10^ROW($1:$8)/10)</f>
        <v>0</v>
      </c>
      <c r="AX1083" s="402" t="e">
        <f>VLOOKUP($AW1083,'Item Master Data'!$A:$F,3,FALSE)</f>
        <v>#N/A</v>
      </c>
      <c r="AY1083" s="402" t="e">
        <f>VLOOKUP($AW1083,'Item Master Data'!$A:$F,6,FALSE)</f>
        <v>#N/A</v>
      </c>
      <c r="AZ1083" s="402" t="e">
        <f>X1083/BA1083</f>
        <v>#N/A</v>
      </c>
      <c r="BA1083" s="402" t="e">
        <f>VLOOKUP(AW1083,'Item Master Data'!$A:$G,7,FALSE)</f>
        <v>#N/A</v>
      </c>
      <c r="BB1083" s="402"/>
      <c r="BC1083" s="402" t="e">
        <f>W1083-AY1083</f>
        <v>#N/A</v>
      </c>
    </row>
    <row r="1084" spans="1:55">
      <c r="A1084" s="426"/>
      <c r="B1084" s="376"/>
      <c r="C1084" s="376"/>
      <c r="D1084" s="416" t="s">
        <v>86</v>
      </c>
      <c r="E1084" s="405" t="s">
        <v>4269</v>
      </c>
      <c r="F1084" s="417"/>
      <c r="G1084" s="359">
        <v>2022</v>
      </c>
      <c r="H1084" s="405">
        <v>11</v>
      </c>
      <c r="I1084" s="405"/>
      <c r="J1084" s="406"/>
      <c r="K1084" s="405">
        <v>1205</v>
      </c>
      <c r="L1084" s="405" t="s">
        <v>1556</v>
      </c>
      <c r="M1084" s="406">
        <v>44585</v>
      </c>
      <c r="N1084" s="406">
        <v>44866</v>
      </c>
      <c r="O1084" s="406"/>
      <c r="P1084" s="406"/>
      <c r="Q1084" s="406"/>
      <c r="R1084" s="406"/>
      <c r="S1084" s="405" t="s">
        <v>1510</v>
      </c>
      <c r="T1084" s="405">
        <v>72</v>
      </c>
      <c r="U1084" s="417"/>
      <c r="V1084" s="405" t="s">
        <v>1002</v>
      </c>
      <c r="W1084" s="405">
        <v>480</v>
      </c>
      <c r="X1084" s="382">
        <v>1276</v>
      </c>
      <c r="Y1084" s="365">
        <f t="shared" ref="Y1084:Y1095" si="247">W1084*X1084</f>
        <v>612480</v>
      </c>
      <c r="Z1084" s="409">
        <f>237.6/480</f>
        <v>0.495</v>
      </c>
      <c r="AA1084" s="411">
        <f t="shared" ref="AA1084:AA1095" si="248">Z1084*Y1084</f>
        <v>303177.59999999998</v>
      </c>
      <c r="AB1084" s="411"/>
      <c r="AC1084" s="412">
        <f>AB1084*Y1084</f>
        <v>0</v>
      </c>
      <c r="AD1084" s="405"/>
      <c r="AE1084" s="405"/>
      <c r="AF1084" s="424">
        <f t="shared" ref="AF1084:AF1093" si="249">AE1084+AD1084+AA1084</f>
        <v>303177.59999999998</v>
      </c>
      <c r="AG1084" s="405" t="s">
        <v>1069</v>
      </c>
      <c r="AH1084" s="405">
        <v>100</v>
      </c>
      <c r="AI1084" s="405">
        <v>0</v>
      </c>
      <c r="AJ1084" s="406" t="s">
        <v>1558</v>
      </c>
      <c r="AK1084" s="406" t="s">
        <v>50</v>
      </c>
      <c r="AL1084" s="414">
        <v>92010</v>
      </c>
      <c r="AM1084" s="405" t="s">
        <v>52</v>
      </c>
      <c r="AN1084" s="361"/>
      <c r="AO1084" s="405" t="s">
        <v>1073</v>
      </c>
      <c r="AP1084" s="413"/>
      <c r="AQ1084" s="405" t="s">
        <v>37</v>
      </c>
      <c r="AR1084" s="405"/>
      <c r="AS1084" s="404"/>
      <c r="AT1084" s="404"/>
      <c r="AU1084" s="409"/>
      <c r="AV1084" s="402">
        <f>U1084</f>
        <v>0</v>
      </c>
      <c r="AW1084" s="402" cm="1">
        <f t="array" ref="AW1084">SUM(MID(0&amp;AV1084,LARGE(INDEX(ISNUMBER(--MID(AV1084,ROW($1:$8),1))*ROW($1:$8),),ROW($1:$8))+1,1)*10^ROW($1:$8)/10)</f>
        <v>0</v>
      </c>
      <c r="AX1084" s="402" t="e">
        <f>VLOOKUP($AW1084,'Item Master Data'!$A:$F,3,FALSE)</f>
        <v>#N/A</v>
      </c>
      <c r="AY1084" s="402" t="e">
        <f>VLOOKUP($AW1084,'Item Master Data'!$A:$F,6,FALSE)</f>
        <v>#N/A</v>
      </c>
      <c r="AZ1084" s="402" t="e">
        <f>X1084/BA1084</f>
        <v>#N/A</v>
      </c>
      <c r="BA1084" s="402" t="e">
        <f>VLOOKUP(AW1084,'Item Master Data'!$A:$G,7,FALSE)</f>
        <v>#N/A</v>
      </c>
      <c r="BB1084" s="402"/>
      <c r="BC1084" s="402" t="e">
        <f>W1084-AY1084</f>
        <v>#N/A</v>
      </c>
    </row>
    <row r="1085" spans="1:55">
      <c r="A1085" s="426"/>
      <c r="B1085" s="376"/>
      <c r="C1085" s="376"/>
      <c r="D1085" s="416" t="s">
        <v>86</v>
      </c>
      <c r="E1085" s="405" t="s">
        <v>4269</v>
      </c>
      <c r="F1085" s="417"/>
      <c r="G1085" s="359">
        <v>2022</v>
      </c>
      <c r="H1085" s="405">
        <v>11</v>
      </c>
      <c r="I1085" s="405"/>
      <c r="J1085" s="406"/>
      <c r="K1085" s="405">
        <v>1206</v>
      </c>
      <c r="L1085" s="405" t="s">
        <v>1556</v>
      </c>
      <c r="M1085" s="406">
        <v>44585</v>
      </c>
      <c r="N1085" s="406">
        <v>44886</v>
      </c>
      <c r="O1085" s="406"/>
      <c r="P1085" s="406"/>
      <c r="Q1085" s="406"/>
      <c r="R1085" s="406"/>
      <c r="S1085" s="405" t="s">
        <v>1510</v>
      </c>
      <c r="T1085" s="405">
        <v>72</v>
      </c>
      <c r="U1085" s="417"/>
      <c r="V1085" s="405" t="s">
        <v>1002</v>
      </c>
      <c r="W1085" s="405">
        <v>480</v>
      </c>
      <c r="X1085" s="382">
        <v>1276</v>
      </c>
      <c r="Y1085" s="365">
        <f t="shared" si="247"/>
        <v>612480</v>
      </c>
      <c r="Z1085" s="409">
        <f>237.6/480</f>
        <v>0.495</v>
      </c>
      <c r="AA1085" s="411">
        <f t="shared" si="248"/>
        <v>303177.59999999998</v>
      </c>
      <c r="AB1085" s="411"/>
      <c r="AC1085" s="412">
        <f>AB1085*Y1085</f>
        <v>0</v>
      </c>
      <c r="AD1085" s="405"/>
      <c r="AE1085" s="405"/>
      <c r="AF1085" s="424">
        <f t="shared" si="249"/>
        <v>303177.59999999998</v>
      </c>
      <c r="AG1085" s="405" t="s">
        <v>1069</v>
      </c>
      <c r="AH1085" s="405">
        <v>100</v>
      </c>
      <c r="AI1085" s="405">
        <v>0</v>
      </c>
      <c r="AJ1085" s="406" t="s">
        <v>1558</v>
      </c>
      <c r="AK1085" s="406" t="s">
        <v>50</v>
      </c>
      <c r="AL1085" s="414">
        <v>92010</v>
      </c>
      <c r="AM1085" s="405" t="s">
        <v>52</v>
      </c>
      <c r="AN1085" s="361"/>
      <c r="AO1085" s="405" t="s">
        <v>1073</v>
      </c>
      <c r="AP1085" s="413"/>
      <c r="AQ1085" s="405" t="s">
        <v>37</v>
      </c>
      <c r="AR1085" s="405"/>
      <c r="AS1085" s="404"/>
      <c r="AT1085" s="404"/>
      <c r="AU1085" s="409"/>
      <c r="AV1085" s="402">
        <f>U1085</f>
        <v>0</v>
      </c>
      <c r="AW1085" s="402" cm="1">
        <f t="array" ref="AW1085">SUM(MID(0&amp;AV1085,LARGE(INDEX(ISNUMBER(--MID(AV1085,ROW($1:$8),1))*ROW($1:$8),),ROW($1:$8))+1,1)*10^ROW($1:$8)/10)</f>
        <v>0</v>
      </c>
      <c r="AX1085" s="402" t="e">
        <f>VLOOKUP($AW1085,'Item Master Data'!$A:$F,3,FALSE)</f>
        <v>#N/A</v>
      </c>
      <c r="AY1085" s="402" t="e">
        <f>VLOOKUP($AW1085,'Item Master Data'!$A:$F,6,FALSE)</f>
        <v>#N/A</v>
      </c>
      <c r="AZ1085" s="402" t="e">
        <f>X1085/BA1085</f>
        <v>#N/A</v>
      </c>
      <c r="BA1085" s="402" t="e">
        <f>VLOOKUP(AW1085,'Item Master Data'!$A:$G,7,FALSE)</f>
        <v>#N/A</v>
      </c>
      <c r="BB1085" s="402"/>
      <c r="BC1085" s="402" t="e">
        <f>W1085-AY1085</f>
        <v>#N/A</v>
      </c>
    </row>
    <row r="1086" spans="1:55">
      <c r="A1086" s="426"/>
      <c r="B1086" s="376"/>
      <c r="C1086" s="376"/>
      <c r="D1086" s="416" t="s">
        <v>86</v>
      </c>
      <c r="E1086" s="405"/>
      <c r="F1086" s="417"/>
      <c r="G1086" s="359">
        <v>2022</v>
      </c>
      <c r="H1086" s="405">
        <v>12</v>
      </c>
      <c r="I1086" s="405"/>
      <c r="J1086" s="406"/>
      <c r="K1086" s="405" t="s">
        <v>1552</v>
      </c>
      <c r="L1086" s="405" t="s">
        <v>1514</v>
      </c>
      <c r="M1086" s="406">
        <v>44595</v>
      </c>
      <c r="N1086" s="406">
        <v>44900</v>
      </c>
      <c r="O1086" s="406"/>
      <c r="P1086" s="406"/>
      <c r="Q1086" s="406"/>
      <c r="R1086" s="406"/>
      <c r="S1086" s="405" t="s">
        <v>88</v>
      </c>
      <c r="T1086" s="405">
        <v>60</v>
      </c>
      <c r="U1086" s="417"/>
      <c r="V1086" s="405" t="s">
        <v>986</v>
      </c>
      <c r="W1086" s="405">
        <v>360</v>
      </c>
      <c r="X1086" s="382">
        <v>1664</v>
      </c>
      <c r="Y1086" s="365">
        <f t="shared" si="247"/>
        <v>599040</v>
      </c>
      <c r="Z1086" s="409">
        <f>190.8/360</f>
        <v>0.53</v>
      </c>
      <c r="AA1086" s="411">
        <f t="shared" si="248"/>
        <v>317491.20000000001</v>
      </c>
      <c r="AB1086" s="411"/>
      <c r="AC1086" s="412">
        <v>0</v>
      </c>
      <c r="AD1086" s="405"/>
      <c r="AE1086" s="405"/>
      <c r="AF1086" s="424">
        <f t="shared" si="249"/>
        <v>317491.20000000001</v>
      </c>
      <c r="AG1086" s="405" t="s">
        <v>1069</v>
      </c>
      <c r="AH1086" s="405"/>
      <c r="AI1086" s="405">
        <v>60</v>
      </c>
      <c r="AJ1086" s="406" t="s">
        <v>1515</v>
      </c>
      <c r="AK1086" s="406" t="s">
        <v>1136</v>
      </c>
      <c r="AL1086" s="414">
        <v>92806</v>
      </c>
      <c r="AM1086" s="405" t="s">
        <v>52</v>
      </c>
      <c r="AN1086" s="361"/>
      <c r="AO1086" s="405" t="s">
        <v>1073</v>
      </c>
      <c r="AP1086" s="413" t="s">
        <v>92</v>
      </c>
      <c r="AQ1086" s="405" t="s">
        <v>37</v>
      </c>
      <c r="AR1086" s="405" t="s">
        <v>1188</v>
      </c>
      <c r="AS1086" s="404" t="s">
        <v>1392</v>
      </c>
      <c r="AT1086" s="404"/>
      <c r="AU1086" s="409">
        <f>180/360</f>
        <v>0.5</v>
      </c>
      <c r="AV1086" s="402"/>
      <c r="AW1086" s="402"/>
      <c r="AX1086" s="402"/>
      <c r="AY1086" s="402"/>
      <c r="AZ1086" s="402"/>
      <c r="BA1086" s="402"/>
      <c r="BB1086" s="402"/>
      <c r="BC1086" s="402"/>
    </row>
    <row r="1087" spans="1:55">
      <c r="A1087" s="426"/>
      <c r="B1087" s="376"/>
      <c r="C1087" s="376"/>
      <c r="D1087" s="416" t="s">
        <v>86</v>
      </c>
      <c r="E1087" s="405"/>
      <c r="F1087" s="417"/>
      <c r="G1087" s="359">
        <v>2022</v>
      </c>
      <c r="H1087" s="405">
        <v>12</v>
      </c>
      <c r="I1087" s="405"/>
      <c r="J1087" s="406"/>
      <c r="K1087" s="405" t="s">
        <v>1552</v>
      </c>
      <c r="L1087" s="405" t="s">
        <v>1514</v>
      </c>
      <c r="M1087" s="406">
        <v>44595</v>
      </c>
      <c r="N1087" s="406">
        <v>44900</v>
      </c>
      <c r="O1087" s="406"/>
      <c r="P1087" s="406"/>
      <c r="Q1087" s="406"/>
      <c r="R1087" s="406"/>
      <c r="S1087" s="405" t="s">
        <v>88</v>
      </c>
      <c r="T1087" s="405">
        <v>60</v>
      </c>
      <c r="U1087" s="417"/>
      <c r="V1087" s="405" t="s">
        <v>973</v>
      </c>
      <c r="W1087" s="405">
        <v>400</v>
      </c>
      <c r="X1087" s="382">
        <v>1536</v>
      </c>
      <c r="Y1087" s="365">
        <f t="shared" si="247"/>
        <v>614400</v>
      </c>
      <c r="Z1087" s="409">
        <f>220/400</f>
        <v>0.55000000000000004</v>
      </c>
      <c r="AA1087" s="411">
        <f t="shared" si="248"/>
        <v>337920</v>
      </c>
      <c r="AB1087" s="411"/>
      <c r="AC1087" s="412">
        <v>0</v>
      </c>
      <c r="AD1087" s="405"/>
      <c r="AE1087" s="405"/>
      <c r="AF1087" s="424">
        <f t="shared" si="249"/>
        <v>337920</v>
      </c>
      <c r="AG1087" s="405" t="s">
        <v>1069</v>
      </c>
      <c r="AH1087" s="405"/>
      <c r="AI1087" s="405">
        <v>60</v>
      </c>
      <c r="AJ1087" s="406" t="s">
        <v>1515</v>
      </c>
      <c r="AK1087" s="406" t="s">
        <v>1136</v>
      </c>
      <c r="AL1087" s="414">
        <v>92806</v>
      </c>
      <c r="AM1087" s="405" t="s">
        <v>52</v>
      </c>
      <c r="AN1087" s="361"/>
      <c r="AO1087" s="405" t="s">
        <v>1073</v>
      </c>
      <c r="AP1087" s="413" t="s">
        <v>92</v>
      </c>
      <c r="AQ1087" s="405" t="s">
        <v>37</v>
      </c>
      <c r="AR1087" s="405" t="s">
        <v>1188</v>
      </c>
      <c r="AS1087" s="404" t="s">
        <v>1392</v>
      </c>
      <c r="AT1087" s="404"/>
      <c r="AU1087" s="409">
        <f>180/360</f>
        <v>0.5</v>
      </c>
      <c r="AV1087" s="402">
        <f>U1087</f>
        <v>0</v>
      </c>
      <c r="AW1087" s="402" cm="1">
        <f t="array" ref="AW1087">SUM(MID(0&amp;AV1087,LARGE(INDEX(ISNUMBER(--MID(AV1087,ROW($1:$8),1))*ROW($1:$8),),ROW($1:$8))+1,1)*10^ROW($1:$8)/10)</f>
        <v>0</v>
      </c>
      <c r="AX1087" s="402" t="e">
        <f>VLOOKUP($AW1087,'Item Master Data'!$A:$F,3,FALSE)</f>
        <v>#N/A</v>
      </c>
      <c r="AY1087" s="402" t="e">
        <f>VLOOKUP($AW1087,'Item Master Data'!$A:$F,6,FALSE)</f>
        <v>#N/A</v>
      </c>
      <c r="AZ1087" s="402" t="e">
        <f>X1087/BA1087</f>
        <v>#N/A</v>
      </c>
      <c r="BA1087" s="402" t="e">
        <f>VLOOKUP(AW1087,'Item Master Data'!$A:$G,7,FALSE)</f>
        <v>#N/A</v>
      </c>
      <c r="BB1087" s="402"/>
      <c r="BC1087" s="402" t="e">
        <f>W1087-AY1087</f>
        <v>#N/A</v>
      </c>
    </row>
    <row r="1088" spans="1:55">
      <c r="A1088" s="426"/>
      <c r="B1088" s="376"/>
      <c r="C1088" s="376"/>
      <c r="D1088" s="416" t="s">
        <v>86</v>
      </c>
      <c r="E1088" s="405"/>
      <c r="F1088" s="417"/>
      <c r="G1088" s="359">
        <v>2022</v>
      </c>
      <c r="H1088" s="405">
        <v>12</v>
      </c>
      <c r="I1088" s="405"/>
      <c r="J1088" s="406"/>
      <c r="K1088" s="405" t="s">
        <v>1551</v>
      </c>
      <c r="L1088" s="405" t="s">
        <v>1514</v>
      </c>
      <c r="M1088" s="406">
        <v>44595</v>
      </c>
      <c r="N1088" s="406">
        <v>44900</v>
      </c>
      <c r="O1088" s="406"/>
      <c r="P1088" s="406"/>
      <c r="Q1088" s="406"/>
      <c r="R1088" s="406"/>
      <c r="S1088" s="405" t="s">
        <v>88</v>
      </c>
      <c r="T1088" s="405">
        <v>60</v>
      </c>
      <c r="U1088" s="417">
        <v>49204132</v>
      </c>
      <c r="V1088" s="405" t="s">
        <v>1192</v>
      </c>
      <c r="W1088" s="405">
        <v>360</v>
      </c>
      <c r="X1088" s="382">
        <v>832</v>
      </c>
      <c r="Y1088" s="365">
        <f t="shared" si="247"/>
        <v>299520</v>
      </c>
      <c r="Z1088" s="409">
        <f>298.8/360</f>
        <v>0.83000000000000007</v>
      </c>
      <c r="AA1088" s="411">
        <f t="shared" si="248"/>
        <v>248601.60000000003</v>
      </c>
      <c r="AB1088" s="411"/>
      <c r="AC1088" s="412">
        <v>0</v>
      </c>
      <c r="AD1088" s="405"/>
      <c r="AE1088" s="405"/>
      <c r="AF1088" s="424">
        <f t="shared" si="249"/>
        <v>248601.60000000003</v>
      </c>
      <c r="AG1088" s="405" t="s">
        <v>1069</v>
      </c>
      <c r="AH1088" s="405"/>
      <c r="AI1088" s="405">
        <v>60</v>
      </c>
      <c r="AJ1088" s="406" t="s">
        <v>1515</v>
      </c>
      <c r="AK1088" s="406" t="s">
        <v>1136</v>
      </c>
      <c r="AL1088" s="414">
        <v>92806</v>
      </c>
      <c r="AM1088" s="405" t="s">
        <v>52</v>
      </c>
      <c r="AN1088" s="361"/>
      <c r="AO1088" s="405" t="s">
        <v>1073</v>
      </c>
      <c r="AP1088" s="413" t="s">
        <v>92</v>
      </c>
      <c r="AQ1088" s="405" t="s">
        <v>37</v>
      </c>
      <c r="AR1088" s="405" t="s">
        <v>1188</v>
      </c>
      <c r="AS1088" s="404" t="s">
        <v>1392</v>
      </c>
      <c r="AT1088" s="404"/>
      <c r="AU1088" s="409">
        <f>180/360</f>
        <v>0.5</v>
      </c>
      <c r="AV1088" s="402">
        <f>U1088</f>
        <v>49204132</v>
      </c>
      <c r="AW1088" s="402" cm="1">
        <f t="array" ref="AW1088">SUM(MID(0&amp;AV1088,LARGE(INDEX(ISNUMBER(--MID(AV1088,ROW($1:$8),1))*ROW($1:$8),),ROW($1:$8))+1,1)*10^ROW($1:$8)/10)</f>
        <v>49204132</v>
      </c>
      <c r="AX1088" s="402" t="str">
        <f>VLOOKUP($AW1088,'Item Master Data'!$A:$F,3,FALSE)</f>
        <v>Q.PEAK DUO BLK G10+/AC</v>
      </c>
      <c r="AY1088" s="402">
        <f>VLOOKUP($AW1088,'Item Master Data'!$A:$F,6,FALSE)</f>
        <v>360</v>
      </c>
      <c r="AZ1088" s="402">
        <f>X1088/BA1088</f>
        <v>32</v>
      </c>
      <c r="BA1088" s="402">
        <f>VLOOKUP(AW1088,'Item Master Data'!$A:$G,7,FALSE)</f>
        <v>26</v>
      </c>
      <c r="BB1088" s="402"/>
      <c r="BC1088" s="402">
        <f>W1088-AY1088</f>
        <v>0</v>
      </c>
    </row>
    <row r="1089" spans="1:55">
      <c r="A1089" s="426"/>
      <c r="B1089" s="376"/>
      <c r="C1089" s="376"/>
      <c r="D1089" s="416" t="s">
        <v>86</v>
      </c>
      <c r="E1089" s="405" t="s">
        <v>4272</v>
      </c>
      <c r="F1089" s="417"/>
      <c r="G1089" s="359">
        <v>2022</v>
      </c>
      <c r="H1089" s="405">
        <v>12</v>
      </c>
      <c r="I1089" s="405"/>
      <c r="J1089" s="406"/>
      <c r="K1089" s="405" t="s">
        <v>1534</v>
      </c>
      <c r="L1089" s="405" t="s">
        <v>1514</v>
      </c>
      <c r="M1089" s="406">
        <v>44617</v>
      </c>
      <c r="N1089" s="406">
        <v>44896</v>
      </c>
      <c r="O1089" s="406"/>
      <c r="P1089" s="406"/>
      <c r="Q1089" s="406"/>
      <c r="R1089" s="406"/>
      <c r="S1089" s="405" t="s">
        <v>88</v>
      </c>
      <c r="T1089" s="405">
        <v>72</v>
      </c>
      <c r="U1089" s="417"/>
      <c r="V1089" s="405" t="s">
        <v>1103</v>
      </c>
      <c r="W1089" s="405">
        <v>485</v>
      </c>
      <c r="X1089" s="382">
        <v>638</v>
      </c>
      <c r="Y1089" s="365">
        <f t="shared" si="247"/>
        <v>309430</v>
      </c>
      <c r="Z1089" s="409">
        <f>244.93/485</f>
        <v>0.50501030927835056</v>
      </c>
      <c r="AA1089" s="411">
        <f t="shared" si="248"/>
        <v>156265.34000000003</v>
      </c>
      <c r="AB1089" s="411"/>
      <c r="AC1089" s="412">
        <v>0</v>
      </c>
      <c r="AD1089" s="405"/>
      <c r="AE1089" s="405"/>
      <c r="AF1089" s="424">
        <f t="shared" si="249"/>
        <v>156265.34000000003</v>
      </c>
      <c r="AG1089" s="405" t="s">
        <v>1069</v>
      </c>
      <c r="AH1089" s="405"/>
      <c r="AI1089" s="405">
        <v>60</v>
      </c>
      <c r="AJ1089" s="406" t="s">
        <v>1515</v>
      </c>
      <c r="AK1089" s="406" t="s">
        <v>50</v>
      </c>
      <c r="AL1089" s="414" t="s">
        <v>1529</v>
      </c>
      <c r="AM1089" s="405" t="s">
        <v>52</v>
      </c>
      <c r="AN1089" s="361" t="s">
        <v>50</v>
      </c>
      <c r="AO1089" s="405" t="s">
        <v>1073</v>
      </c>
      <c r="AP1089" s="413" t="s">
        <v>38</v>
      </c>
      <c r="AQ1089" s="405" t="s">
        <v>37</v>
      </c>
      <c r="AR1089" s="405"/>
      <c r="AS1089" s="404" t="s">
        <v>1072</v>
      </c>
      <c r="AT1089" s="404"/>
      <c r="AU1089" s="409">
        <v>0.52</v>
      </c>
      <c r="AV1089" s="402">
        <f>U1089</f>
        <v>0</v>
      </c>
      <c r="AW1089" s="402" cm="1">
        <f t="array" ref="AW1089">SUM(MID(0&amp;AV1089,LARGE(INDEX(ISNUMBER(--MID(AV1089,ROW($1:$8),1))*ROW($1:$8),),ROW($1:$8))+1,1)*10^ROW($1:$8)/10)</f>
        <v>0</v>
      </c>
      <c r="AX1089" s="402" t="e">
        <f>VLOOKUP($AW1089,'Item Master Data'!$A:$F,3,FALSE)</f>
        <v>#N/A</v>
      </c>
      <c r="AY1089" s="402" t="e">
        <f>VLOOKUP($AW1089,'Item Master Data'!$A:$F,6,FALSE)</f>
        <v>#N/A</v>
      </c>
      <c r="AZ1089" s="402" t="e">
        <f>X1089/BA1089</f>
        <v>#N/A</v>
      </c>
      <c r="BA1089" s="402" t="e">
        <f>VLOOKUP(AW1089,'Item Master Data'!$A:$G,7,FALSE)</f>
        <v>#N/A</v>
      </c>
      <c r="BB1089" s="402"/>
      <c r="BC1089" s="402" t="e">
        <f>W1089-AY1089</f>
        <v>#N/A</v>
      </c>
    </row>
    <row r="1090" spans="1:55">
      <c r="A1090" s="426"/>
      <c r="B1090" s="376">
        <v>44628</v>
      </c>
      <c r="C1090" s="376">
        <v>44628</v>
      </c>
      <c r="D1090" s="416" t="s">
        <v>86</v>
      </c>
      <c r="E1090" s="405"/>
      <c r="F1090" s="417"/>
      <c r="G1090" s="359">
        <v>2022</v>
      </c>
      <c r="H1090" s="405">
        <v>12</v>
      </c>
      <c r="I1090" s="405"/>
      <c r="J1090" s="406"/>
      <c r="K1090" s="405" t="s">
        <v>1622</v>
      </c>
      <c r="L1090" s="405" t="s">
        <v>1588</v>
      </c>
      <c r="M1090" s="406">
        <v>44568</v>
      </c>
      <c r="N1090" s="406">
        <v>44896</v>
      </c>
      <c r="O1090" s="406"/>
      <c r="P1090" s="406"/>
      <c r="Q1090" s="406"/>
      <c r="R1090" s="406"/>
      <c r="S1090" s="405" t="s">
        <v>1510</v>
      </c>
      <c r="T1090" s="405">
        <v>60</v>
      </c>
      <c r="U1090" s="417">
        <v>49204132</v>
      </c>
      <c r="V1090" s="405" t="s">
        <v>1192</v>
      </c>
      <c r="W1090" s="405">
        <v>360</v>
      </c>
      <c r="X1090" s="382">
        <v>676</v>
      </c>
      <c r="Y1090" s="365">
        <f t="shared" si="247"/>
        <v>243360</v>
      </c>
      <c r="Z1090" s="409">
        <f>298.8/360</f>
        <v>0.83000000000000007</v>
      </c>
      <c r="AA1090" s="411">
        <f t="shared" si="248"/>
        <v>201988.80000000002</v>
      </c>
      <c r="AB1090" s="411"/>
      <c r="AC1090" s="412">
        <v>0</v>
      </c>
      <c r="AD1090" s="405"/>
      <c r="AE1090" s="405"/>
      <c r="AF1090" s="424">
        <f t="shared" si="249"/>
        <v>201988.80000000002</v>
      </c>
      <c r="AG1090" s="405" t="s">
        <v>1069</v>
      </c>
      <c r="AH1090" s="405"/>
      <c r="AI1090" s="405">
        <v>60</v>
      </c>
      <c r="AJ1090" s="406" t="s">
        <v>1589</v>
      </c>
      <c r="AK1090" s="406" t="s">
        <v>50</v>
      </c>
      <c r="AL1090" s="414">
        <v>91311</v>
      </c>
      <c r="AM1090" s="405" t="s">
        <v>52</v>
      </c>
      <c r="AN1090" s="361" t="s">
        <v>1071</v>
      </c>
      <c r="AO1090" s="405" t="s">
        <v>1073</v>
      </c>
      <c r="AP1090" s="413"/>
      <c r="AQ1090" s="405" t="s">
        <v>37</v>
      </c>
      <c r="AR1090" s="405"/>
      <c r="AS1090" s="404"/>
      <c r="AT1090" s="404"/>
      <c r="AU1090" s="409">
        <v>0.72</v>
      </c>
      <c r="AV1090" s="402">
        <f>U1090</f>
        <v>49204132</v>
      </c>
      <c r="AW1090" s="402" cm="1">
        <f t="array" ref="AW1090">SUM(MID(0&amp;AV1090,LARGE(INDEX(ISNUMBER(--MID(AV1090,ROW($1:$8),1))*ROW($1:$8),),ROW($1:$8))+1,1)*10^ROW($1:$8)/10)</f>
        <v>49204132</v>
      </c>
      <c r="AX1090" s="402" t="str">
        <f>VLOOKUP($AW1090,'Item Master Data'!$A:$F,3,FALSE)</f>
        <v>Q.PEAK DUO BLK G10+/AC</v>
      </c>
      <c r="AY1090" s="402">
        <f>VLOOKUP($AW1090,'Item Master Data'!$A:$F,6,FALSE)</f>
        <v>360</v>
      </c>
      <c r="AZ1090" s="402">
        <f>X1090/BA1090</f>
        <v>26</v>
      </c>
      <c r="BA1090" s="402">
        <f>VLOOKUP(AW1090,'Item Master Data'!$A:$G,7,FALSE)</f>
        <v>26</v>
      </c>
      <c r="BB1090" s="402"/>
      <c r="BC1090" s="402">
        <f>W1090-AY1090</f>
        <v>0</v>
      </c>
    </row>
    <row r="1091" spans="1:55">
      <c r="A1091" s="426"/>
      <c r="B1091" s="376">
        <v>44589</v>
      </c>
      <c r="C1091" s="376">
        <v>44589</v>
      </c>
      <c r="D1091" s="416" t="s">
        <v>86</v>
      </c>
      <c r="E1091" s="405"/>
      <c r="F1091" s="417" t="s">
        <v>87</v>
      </c>
      <c r="G1091" s="359">
        <v>2022</v>
      </c>
      <c r="H1091" s="405">
        <v>12</v>
      </c>
      <c r="I1091" s="405"/>
      <c r="J1091" s="406"/>
      <c r="K1091" s="405" t="s">
        <v>1673</v>
      </c>
      <c r="L1091" s="405" t="s">
        <v>1608</v>
      </c>
      <c r="M1091" s="406">
        <v>44924</v>
      </c>
      <c r="N1091" s="406">
        <v>44924</v>
      </c>
      <c r="O1091" s="406"/>
      <c r="P1091" s="406"/>
      <c r="Q1091" s="406"/>
      <c r="R1091" s="406"/>
      <c r="S1091" s="405" t="s">
        <v>88</v>
      </c>
      <c r="T1091" s="405">
        <v>72</v>
      </c>
      <c r="U1091" s="417">
        <v>49303156</v>
      </c>
      <c r="V1091" s="405" t="s">
        <v>1068</v>
      </c>
      <c r="W1091" s="405">
        <v>480</v>
      </c>
      <c r="X1091" s="382">
        <v>1276</v>
      </c>
      <c r="Y1091" s="365">
        <f t="shared" si="247"/>
        <v>612480</v>
      </c>
      <c r="Z1091" s="409">
        <f>225.6/480</f>
        <v>0.47</v>
      </c>
      <c r="AA1091" s="411">
        <f t="shared" si="248"/>
        <v>287865.59999999998</v>
      </c>
      <c r="AB1091" s="411"/>
      <c r="AC1091" s="412">
        <v>0</v>
      </c>
      <c r="AD1091" s="405"/>
      <c r="AE1091" s="405"/>
      <c r="AF1091" s="424">
        <f t="shared" si="249"/>
        <v>287865.59999999998</v>
      </c>
      <c r="AG1091" s="405" t="s">
        <v>1069</v>
      </c>
      <c r="AH1091" s="405"/>
      <c r="AI1091" s="405">
        <v>60</v>
      </c>
      <c r="AJ1091" s="406" t="s">
        <v>1616</v>
      </c>
      <c r="AK1091" s="406" t="s">
        <v>50</v>
      </c>
      <c r="AL1091" s="414">
        <v>93703</v>
      </c>
      <c r="AM1091" s="405" t="s">
        <v>52</v>
      </c>
      <c r="AN1091" s="361" t="s">
        <v>1516</v>
      </c>
      <c r="AO1091" s="405" t="s">
        <v>1073</v>
      </c>
      <c r="AP1091" s="413"/>
      <c r="AQ1091" s="405" t="s">
        <v>1083</v>
      </c>
      <c r="AR1091" s="405"/>
      <c r="AS1091" s="404" t="s">
        <v>1392</v>
      </c>
      <c r="AT1091" s="404"/>
      <c r="AU1091" s="409"/>
      <c r="AV1091" s="402"/>
      <c r="AW1091" s="402"/>
      <c r="AX1091" s="402"/>
      <c r="AY1091" s="402"/>
      <c r="AZ1091" s="402"/>
      <c r="BA1091" s="402"/>
      <c r="BB1091" s="402"/>
      <c r="BC1091" s="402"/>
    </row>
    <row r="1092" spans="1:55">
      <c r="A1092" s="426"/>
      <c r="B1092" s="376">
        <v>44617</v>
      </c>
      <c r="C1092" s="376">
        <v>44616</v>
      </c>
      <c r="D1092" s="416" t="s">
        <v>86</v>
      </c>
      <c r="E1092" s="405"/>
      <c r="F1092" s="417"/>
      <c r="G1092" s="359">
        <v>2022</v>
      </c>
      <c r="H1092" s="405">
        <v>12</v>
      </c>
      <c r="I1092" s="405"/>
      <c r="J1092" s="406"/>
      <c r="K1092" s="405" t="s">
        <v>1814</v>
      </c>
      <c r="L1092" s="405" t="s">
        <v>1682</v>
      </c>
      <c r="M1092" s="406">
        <v>44589</v>
      </c>
      <c r="N1092" s="406">
        <v>44900</v>
      </c>
      <c r="O1092" s="406"/>
      <c r="P1092" s="406"/>
      <c r="Q1092" s="406"/>
      <c r="R1092" s="406"/>
      <c r="S1092" s="405" t="s">
        <v>1520</v>
      </c>
      <c r="T1092" s="405">
        <v>60</v>
      </c>
      <c r="U1092" s="417"/>
      <c r="V1092" s="405" t="s">
        <v>986</v>
      </c>
      <c r="W1092" s="405">
        <v>360</v>
      </c>
      <c r="X1092" s="382">
        <v>4992</v>
      </c>
      <c r="Y1092" s="365">
        <f t="shared" si="247"/>
        <v>1797120</v>
      </c>
      <c r="Z1092" s="409">
        <f>190.8/360</f>
        <v>0.53</v>
      </c>
      <c r="AA1092" s="411">
        <f t="shared" si="248"/>
        <v>952473.60000000009</v>
      </c>
      <c r="AB1092" s="411"/>
      <c r="AC1092" s="412">
        <f>AB1092*Y1092</f>
        <v>0</v>
      </c>
      <c r="AD1092" s="405"/>
      <c r="AE1092" s="405"/>
      <c r="AF1092" s="424">
        <f t="shared" si="249"/>
        <v>952473.60000000009</v>
      </c>
      <c r="AG1092" s="405" t="s">
        <v>1069</v>
      </c>
      <c r="AH1092" s="405"/>
      <c r="AI1092" s="405">
        <v>60</v>
      </c>
      <c r="AJ1092" s="406" t="s">
        <v>1584</v>
      </c>
      <c r="AK1092" s="406" t="s">
        <v>50</v>
      </c>
      <c r="AL1092" s="414">
        <v>95834</v>
      </c>
      <c r="AM1092" s="405" t="s">
        <v>52</v>
      </c>
      <c r="AN1092" s="361" t="s">
        <v>1071</v>
      </c>
      <c r="AO1092" s="405" t="s">
        <v>1073</v>
      </c>
      <c r="AP1092" s="413"/>
      <c r="AQ1092" s="405" t="s">
        <v>37</v>
      </c>
      <c r="AR1092" s="405"/>
      <c r="AS1092" s="404"/>
      <c r="AT1092" s="404"/>
      <c r="AU1092" s="409">
        <f>180/360</f>
        <v>0.5</v>
      </c>
      <c r="AV1092" s="402"/>
      <c r="AW1092" s="402"/>
      <c r="AX1092" s="402"/>
      <c r="AY1092" s="402"/>
      <c r="AZ1092" s="402"/>
      <c r="BA1092" s="402"/>
      <c r="BB1092" s="402"/>
      <c r="BC1092" s="402"/>
    </row>
    <row r="1093" spans="1:55">
      <c r="A1093" s="426"/>
      <c r="B1093" s="376">
        <v>44607</v>
      </c>
      <c r="C1093" s="376">
        <v>44607</v>
      </c>
      <c r="D1093" s="416" t="s">
        <v>86</v>
      </c>
      <c r="E1093" s="405" t="s">
        <v>4269</v>
      </c>
      <c r="F1093" s="417" t="s">
        <v>87</v>
      </c>
      <c r="G1093" s="359">
        <v>2022</v>
      </c>
      <c r="H1093" s="405">
        <v>12</v>
      </c>
      <c r="I1093" s="405"/>
      <c r="J1093" s="406"/>
      <c r="K1093" s="405" t="s">
        <v>1835</v>
      </c>
      <c r="L1093" s="405" t="s">
        <v>1517</v>
      </c>
      <c r="M1093" s="406">
        <v>44596</v>
      </c>
      <c r="N1093" s="406">
        <v>44900</v>
      </c>
      <c r="O1093" s="406"/>
      <c r="P1093" s="406"/>
      <c r="Q1093" s="406"/>
      <c r="R1093" s="406"/>
      <c r="S1093" s="405" t="s">
        <v>88</v>
      </c>
      <c r="T1093" s="405">
        <v>72</v>
      </c>
      <c r="U1093" s="417" t="s">
        <v>1102</v>
      </c>
      <c r="V1093" s="405" t="s">
        <v>1103</v>
      </c>
      <c r="W1093" s="405">
        <v>485</v>
      </c>
      <c r="X1093" s="382">
        <v>1914</v>
      </c>
      <c r="Y1093" s="365">
        <f t="shared" si="247"/>
        <v>928290</v>
      </c>
      <c r="Z1093" s="409">
        <f>240.08/485</f>
        <v>0.49501030927835055</v>
      </c>
      <c r="AA1093" s="411">
        <f t="shared" si="248"/>
        <v>459513.12000000005</v>
      </c>
      <c r="AB1093" s="411"/>
      <c r="AC1093" s="412">
        <f>AB1093*Y1093</f>
        <v>0</v>
      </c>
      <c r="AD1093" s="405"/>
      <c r="AE1093" s="405"/>
      <c r="AF1093" s="424">
        <f t="shared" si="249"/>
        <v>459513.12000000005</v>
      </c>
      <c r="AG1093" s="405" t="s">
        <v>1069</v>
      </c>
      <c r="AH1093" s="405"/>
      <c r="AI1093" s="405">
        <v>60</v>
      </c>
      <c r="AJ1093" s="406" t="s">
        <v>1518</v>
      </c>
      <c r="AK1093" s="406" t="s">
        <v>50</v>
      </c>
      <c r="AL1093" s="414">
        <v>92126</v>
      </c>
      <c r="AM1093" s="405" t="s">
        <v>52</v>
      </c>
      <c r="AN1093" s="361" t="s">
        <v>50</v>
      </c>
      <c r="AO1093" s="405" t="s">
        <v>1073</v>
      </c>
      <c r="AP1093" s="413" t="s">
        <v>92</v>
      </c>
      <c r="AQ1093" s="405" t="s">
        <v>37</v>
      </c>
      <c r="AR1093" s="405"/>
      <c r="AS1093" s="404" t="s">
        <v>1392</v>
      </c>
      <c r="AT1093" s="404"/>
      <c r="AU1093" s="409"/>
      <c r="AV1093" s="402"/>
      <c r="AW1093" s="402"/>
      <c r="AX1093" s="402"/>
      <c r="AY1093" s="402"/>
      <c r="AZ1093" s="402"/>
      <c r="BA1093" s="402"/>
      <c r="BB1093" s="402"/>
      <c r="BC1093" s="402"/>
    </row>
    <row r="1094" spans="1:55">
      <c r="A1094" s="426"/>
      <c r="B1094" s="376">
        <v>44676</v>
      </c>
      <c r="C1094" s="376">
        <v>44676</v>
      </c>
      <c r="D1094" s="416" t="s">
        <v>86</v>
      </c>
      <c r="E1094" s="405" t="s">
        <v>4223</v>
      </c>
      <c r="F1094" s="417"/>
      <c r="G1094" s="359">
        <v>2022</v>
      </c>
      <c r="H1094" s="405">
        <v>12</v>
      </c>
      <c r="I1094" s="405"/>
      <c r="J1094" s="406"/>
      <c r="K1094" s="405" t="s">
        <v>4225</v>
      </c>
      <c r="L1094" s="405" t="s">
        <v>1517</v>
      </c>
      <c r="M1094" s="406">
        <v>44671</v>
      </c>
      <c r="N1094" s="406">
        <v>44896</v>
      </c>
      <c r="O1094" s="406"/>
      <c r="P1094" s="406"/>
      <c r="Q1094" s="406"/>
      <c r="R1094" s="406"/>
      <c r="S1094" s="405" t="s">
        <v>88</v>
      </c>
      <c r="T1094" s="405">
        <v>60</v>
      </c>
      <c r="U1094" s="417"/>
      <c r="V1094" s="405" t="s">
        <v>973</v>
      </c>
      <c r="W1094" s="405">
        <v>400</v>
      </c>
      <c r="X1094" s="382">
        <v>4608</v>
      </c>
      <c r="Y1094" s="365">
        <f t="shared" si="247"/>
        <v>1843200</v>
      </c>
      <c r="Z1094" s="409">
        <v>0.55000000000000004</v>
      </c>
      <c r="AA1094" s="411">
        <f t="shared" si="248"/>
        <v>1013760.0000000001</v>
      </c>
      <c r="AB1094" s="411"/>
      <c r="AC1094" s="412">
        <v>0</v>
      </c>
      <c r="AD1094" s="405"/>
      <c r="AE1094" s="405"/>
      <c r="AF1094" s="424">
        <f>+AE1094+AD1094+AA1094</f>
        <v>1013760.0000000001</v>
      </c>
      <c r="AG1094" s="405" t="s">
        <v>1069</v>
      </c>
      <c r="AH1094" s="405"/>
      <c r="AI1094" s="405">
        <v>60</v>
      </c>
      <c r="AJ1094" s="406" t="s">
        <v>1518</v>
      </c>
      <c r="AK1094" s="406" t="s">
        <v>50</v>
      </c>
      <c r="AL1094" s="414">
        <v>92126</v>
      </c>
      <c r="AM1094" s="405" t="s">
        <v>52</v>
      </c>
      <c r="AN1094" s="361"/>
      <c r="AO1094" s="405" t="s">
        <v>1073</v>
      </c>
      <c r="AP1094" s="413"/>
      <c r="AQ1094" s="405" t="s">
        <v>37</v>
      </c>
      <c r="AR1094" s="405"/>
      <c r="AS1094" s="404" t="s">
        <v>1392</v>
      </c>
      <c r="AT1094" s="404"/>
      <c r="AU1094" s="409">
        <v>0.52</v>
      </c>
      <c r="AV1094" s="402">
        <f>U1094</f>
        <v>0</v>
      </c>
      <c r="AW1094" s="402" cm="1">
        <f t="array" ref="AW1094">SUM(MID(0&amp;AV1094,LARGE(INDEX(ISNUMBER(--MID(AV1094,ROW($1:$8),1))*ROW($1:$8),),ROW($1:$8))+1,1)*10^ROW($1:$8)/10)</f>
        <v>0</v>
      </c>
      <c r="AX1094" s="402" t="e">
        <f>VLOOKUP($AW1094,'Item Master Data'!$A:$F,3,FALSE)</f>
        <v>#N/A</v>
      </c>
      <c r="AY1094" s="402" t="e">
        <f>VLOOKUP($AW1094,'Item Master Data'!$A:$F,6,FALSE)</f>
        <v>#N/A</v>
      </c>
      <c r="AZ1094" s="402" t="e">
        <f>X1094/BA1094</f>
        <v>#N/A</v>
      </c>
      <c r="BA1094" s="402" t="e">
        <f>VLOOKUP(AW1094,'Item Master Data'!$A:$G,7,FALSE)</f>
        <v>#N/A</v>
      </c>
      <c r="BB1094" s="402"/>
      <c r="BC1094" s="402" t="e">
        <f>W1094-AY1094</f>
        <v>#N/A</v>
      </c>
    </row>
    <row r="1095" spans="1:55">
      <c r="A1095" s="426"/>
      <c r="B1095" s="376"/>
      <c r="C1095" s="376"/>
      <c r="D1095" s="416" t="s">
        <v>86</v>
      </c>
      <c r="E1095" s="405" t="s">
        <v>1728</v>
      </c>
      <c r="F1095" s="417" t="s">
        <v>87</v>
      </c>
      <c r="G1095" s="359">
        <v>2022</v>
      </c>
      <c r="H1095" s="405">
        <v>12</v>
      </c>
      <c r="I1095" s="405"/>
      <c r="J1095" s="406"/>
      <c r="K1095" s="405" t="s">
        <v>1856</v>
      </c>
      <c r="L1095" s="405" t="s">
        <v>1723</v>
      </c>
      <c r="M1095" s="406">
        <v>44621</v>
      </c>
      <c r="N1095" s="406">
        <v>44896</v>
      </c>
      <c r="O1095" s="406"/>
      <c r="P1095" s="406"/>
      <c r="Q1095" s="406"/>
      <c r="R1095" s="406"/>
      <c r="S1095" s="405" t="s">
        <v>1683</v>
      </c>
      <c r="T1095" s="405">
        <v>72</v>
      </c>
      <c r="U1095" s="417">
        <v>49303156</v>
      </c>
      <c r="V1095" s="405" t="s">
        <v>1730</v>
      </c>
      <c r="W1095" s="405">
        <v>480</v>
      </c>
      <c r="X1095" s="382">
        <v>1160</v>
      </c>
      <c r="Y1095" s="365">
        <f t="shared" si="247"/>
        <v>556800</v>
      </c>
      <c r="Z1095" s="409">
        <f>232.75/480</f>
        <v>0.48489583333333336</v>
      </c>
      <c r="AA1095" s="411">
        <f t="shared" si="248"/>
        <v>269990</v>
      </c>
      <c r="AB1095" s="411"/>
      <c r="AC1095" s="412">
        <f>AB1095*Y1095</f>
        <v>0</v>
      </c>
      <c r="AD1095" s="405"/>
      <c r="AE1095" s="405"/>
      <c r="AF1095" s="424">
        <f>AE1095+AD1095+AA1095</f>
        <v>269990</v>
      </c>
      <c r="AG1095" s="405" t="s">
        <v>1069</v>
      </c>
      <c r="AH1095" s="405"/>
      <c r="AI1095" s="405">
        <v>60</v>
      </c>
      <c r="AJ1095" s="406" t="s">
        <v>1724</v>
      </c>
      <c r="AK1095" s="406" t="s">
        <v>50</v>
      </c>
      <c r="AL1095" s="414">
        <v>95403</v>
      </c>
      <c r="AM1095" s="405" t="s">
        <v>52</v>
      </c>
      <c r="AN1095" s="361" t="s">
        <v>1516</v>
      </c>
      <c r="AO1095" s="405" t="s">
        <v>1073</v>
      </c>
      <c r="AP1095" s="413"/>
      <c r="AQ1095" s="405" t="s">
        <v>37</v>
      </c>
      <c r="AR1095" s="405"/>
      <c r="AS1095" s="404" t="s">
        <v>1392</v>
      </c>
      <c r="AT1095" s="404"/>
      <c r="AU1095" s="409"/>
      <c r="AV1095" s="402">
        <f>U1095</f>
        <v>49303156</v>
      </c>
      <c r="AW1095" s="402" cm="1">
        <f t="array" ref="AW1095">SUM(MID(0&amp;AV1095,LARGE(INDEX(ISNUMBER(--MID(AV1095,ROW($1:$8),1))*ROW($1:$8),),ROW($1:$8))+1,1)*10^ROW($1:$8)/10)</f>
        <v>49303156</v>
      </c>
      <c r="AX1095" s="402" t="str">
        <f>VLOOKUP($AW1095,'Item Master Data'!$A:$F,3,FALSE)</f>
        <v>Q.PEAK DUO XL G10 BFG</v>
      </c>
      <c r="AY1095" s="402">
        <f>VLOOKUP($AW1095,'Item Master Data'!$A:$F,6,FALSE)</f>
        <v>480</v>
      </c>
      <c r="AZ1095" s="402">
        <f>X1095/BA1095</f>
        <v>40</v>
      </c>
      <c r="BA1095" s="402">
        <f>VLOOKUP(AW1095,'Item Master Data'!$A:$G,7,FALSE)</f>
        <v>29</v>
      </c>
      <c r="BB1095" s="402"/>
      <c r="BC1095" s="402">
        <f>W1095-AY1095</f>
        <v>0</v>
      </c>
    </row>
    <row r="1096" spans="1:55">
      <c r="A1096" s="426"/>
      <c r="B1096" s="376">
        <v>44627</v>
      </c>
      <c r="C1096" s="376">
        <v>44627</v>
      </c>
      <c r="D1096" s="416" t="s">
        <v>86</v>
      </c>
      <c r="E1096" s="405"/>
      <c r="F1096" s="417"/>
      <c r="G1096" s="359">
        <v>2022</v>
      </c>
      <c r="H1096" s="405">
        <v>12</v>
      </c>
      <c r="I1096" s="405"/>
      <c r="J1096" s="406"/>
      <c r="K1096" s="405" t="s">
        <v>1878</v>
      </c>
      <c r="L1096" s="405" t="s">
        <v>1519</v>
      </c>
      <c r="M1096" s="406">
        <v>44615</v>
      </c>
      <c r="N1096" s="406">
        <v>44896</v>
      </c>
      <c r="O1096" s="406"/>
      <c r="P1096" s="406"/>
      <c r="Q1096" s="406"/>
      <c r="R1096" s="406"/>
      <c r="S1096" s="405" t="s">
        <v>1520</v>
      </c>
      <c r="T1096" s="405">
        <v>60</v>
      </c>
      <c r="U1096" s="417"/>
      <c r="V1096" s="405" t="s">
        <v>973</v>
      </c>
      <c r="W1096" s="405">
        <v>400</v>
      </c>
      <c r="X1096" s="382">
        <v>2304</v>
      </c>
      <c r="Y1096" s="365">
        <v>921600</v>
      </c>
      <c r="Z1096" s="409">
        <v>0.55000000000000004</v>
      </c>
      <c r="AA1096" s="411">
        <v>506880.00000000006</v>
      </c>
      <c r="AB1096" s="411"/>
      <c r="AC1096" s="412">
        <v>0</v>
      </c>
      <c r="AD1096" s="405"/>
      <c r="AE1096" s="405"/>
      <c r="AF1096" s="424">
        <v>506880.00000000006</v>
      </c>
      <c r="AG1096" s="405" t="s">
        <v>1069</v>
      </c>
      <c r="AH1096" s="405"/>
      <c r="AI1096" s="405">
        <v>60</v>
      </c>
      <c r="AJ1096" s="406" t="s">
        <v>1521</v>
      </c>
      <c r="AK1096" s="406" t="s">
        <v>1522</v>
      </c>
      <c r="AL1096" s="414" t="s">
        <v>1523</v>
      </c>
      <c r="AM1096" s="405" t="s">
        <v>52</v>
      </c>
      <c r="AN1096" s="361"/>
      <c r="AO1096" s="405" t="s">
        <v>1073</v>
      </c>
      <c r="AP1096" s="413"/>
      <c r="AQ1096" s="405" t="s">
        <v>37</v>
      </c>
      <c r="AR1096" s="405"/>
      <c r="AS1096" s="404"/>
      <c r="AT1096" s="404"/>
      <c r="AU1096" s="409"/>
      <c r="AV1096" s="402"/>
      <c r="AW1096" s="402"/>
      <c r="AX1096" s="402"/>
      <c r="AY1096" s="402"/>
      <c r="AZ1096" s="402"/>
      <c r="BA1096" s="402"/>
      <c r="BB1096" s="402"/>
      <c r="BC1096" s="402"/>
    </row>
    <row r="1097" spans="1:55">
      <c r="A1097" s="426"/>
      <c r="B1097" s="376">
        <v>44642</v>
      </c>
      <c r="C1097" s="376">
        <v>44642</v>
      </c>
      <c r="D1097" s="416" t="s">
        <v>86</v>
      </c>
      <c r="E1097" s="405"/>
      <c r="F1097" s="417"/>
      <c r="G1097" s="359">
        <v>2022</v>
      </c>
      <c r="H1097" s="359">
        <v>5</v>
      </c>
      <c r="I1097" s="405">
        <v>2005142</v>
      </c>
      <c r="J1097" s="406"/>
      <c r="K1097" s="405" t="s">
        <v>4338</v>
      </c>
      <c r="L1097" s="405" t="s">
        <v>1556</v>
      </c>
      <c r="M1097" s="406">
        <v>44566</v>
      </c>
      <c r="N1097" s="406">
        <v>44603</v>
      </c>
      <c r="O1097" s="406"/>
      <c r="P1097" s="406" t="s">
        <v>1890</v>
      </c>
      <c r="Q1097" s="406"/>
      <c r="R1097" s="406"/>
      <c r="S1097" s="405" t="s">
        <v>1510</v>
      </c>
      <c r="T1097" s="405">
        <v>60</v>
      </c>
      <c r="U1097" s="417" t="s">
        <v>1769</v>
      </c>
      <c r="V1097" s="405" t="s">
        <v>691</v>
      </c>
      <c r="W1097" s="405">
        <v>340</v>
      </c>
      <c r="X1097" s="382">
        <v>1722</v>
      </c>
      <c r="Y1097" s="365">
        <f>W1097*X1097</f>
        <v>585480</v>
      </c>
      <c r="Z1097" s="409">
        <f>158.1/340</f>
        <v>0.46499999999999997</v>
      </c>
      <c r="AA1097" s="411">
        <f>Z1097*Y1097</f>
        <v>272248.19999999995</v>
      </c>
      <c r="AB1097" s="411"/>
      <c r="AC1097" s="412">
        <f>AB1097*Y1097</f>
        <v>0</v>
      </c>
      <c r="AD1097" s="405"/>
      <c r="AE1097" s="405"/>
      <c r="AF1097" s="424">
        <f>AE1097+AD1097+AA1097</f>
        <v>272248.19999999995</v>
      </c>
      <c r="AG1097" s="405" t="s">
        <v>1069</v>
      </c>
      <c r="AH1097" s="405">
        <v>100</v>
      </c>
      <c r="AI1097" s="405">
        <v>0</v>
      </c>
      <c r="AJ1097" s="406" t="s">
        <v>1609</v>
      </c>
      <c r="AK1097" s="406" t="s">
        <v>50</v>
      </c>
      <c r="AL1097" s="414">
        <v>93291</v>
      </c>
      <c r="AM1097" s="405" t="s">
        <v>52</v>
      </c>
      <c r="AN1097" s="361" t="s">
        <v>50</v>
      </c>
      <c r="AO1097" s="405" t="s">
        <v>1073</v>
      </c>
      <c r="AP1097" s="413" t="s">
        <v>38</v>
      </c>
      <c r="AQ1097" s="405" t="s">
        <v>37</v>
      </c>
      <c r="AR1097" s="405" t="s">
        <v>1188</v>
      </c>
      <c r="AS1097" s="404"/>
      <c r="AT1097" s="330"/>
      <c r="AU1097" s="409">
        <f>158.1/340</f>
        <v>0.46499999999999997</v>
      </c>
      <c r="AV1097" s="402" t="str">
        <f>U1097</f>
        <v>30376609C</v>
      </c>
      <c r="AW1097" s="402" cm="1">
        <f t="array" ref="AW1097">SUM(MID(0&amp;AV1097,LARGE(INDEX(ISNUMBER(--MID(AV1097,ROW($1:$8),1))*ROW($1:$8),),ROW($1:$8))+1,1)*10^ROW($1:$8)/10)</f>
        <v>30376609</v>
      </c>
      <c r="AX1097" s="402" t="str">
        <f>VLOOKUP($AW1097,'Item Master Data'!$A:$F,3,FALSE)</f>
        <v>Q.PEAK DUO BLK G6+</v>
      </c>
      <c r="AY1097" s="402">
        <f>VLOOKUP($AW1097,'Item Master Data'!$A:$F,6,FALSE)</f>
        <v>340</v>
      </c>
      <c r="AZ1097" s="402">
        <f>X1097/BA1097</f>
        <v>53.8125</v>
      </c>
      <c r="BA1097" s="402">
        <f>VLOOKUP(AW1097,'Item Master Data'!$A:$G,7,FALSE)</f>
        <v>32</v>
      </c>
      <c r="BB1097" s="402"/>
      <c r="BC1097" s="402">
        <f>W1097-AY1097</f>
        <v>0</v>
      </c>
    </row>
    <row r="1098" spans="1:55">
      <c r="A1098" s="426"/>
      <c r="B1098" s="376"/>
      <c r="C1098" s="426"/>
      <c r="D1098" s="416" t="s">
        <v>86</v>
      </c>
      <c r="E1098" s="498"/>
      <c r="F1098" s="405"/>
      <c r="G1098" s="359">
        <v>2022</v>
      </c>
      <c r="H1098" s="359">
        <v>5</v>
      </c>
      <c r="I1098" s="405"/>
      <c r="J1098" s="406"/>
      <c r="K1098" s="405">
        <v>7667</v>
      </c>
      <c r="L1098" s="405" t="s">
        <v>3152</v>
      </c>
      <c r="M1098" s="406">
        <v>44686</v>
      </c>
      <c r="N1098" s="406">
        <v>44686</v>
      </c>
      <c r="O1098" s="406"/>
      <c r="P1098" s="329" t="s">
        <v>1368</v>
      </c>
      <c r="Q1098" s="406"/>
      <c r="R1098" s="406"/>
      <c r="S1098" s="405" t="s">
        <v>88</v>
      </c>
      <c r="T1098" s="405">
        <v>60</v>
      </c>
      <c r="U1098" s="405"/>
      <c r="V1098" s="417" t="s">
        <v>973</v>
      </c>
      <c r="W1098" s="405">
        <v>400</v>
      </c>
      <c r="X1098" s="382">
        <v>768</v>
      </c>
      <c r="Y1098" s="367">
        <f t="shared" ref="Y1098" si="250">W1098*X1098</f>
        <v>307200</v>
      </c>
      <c r="Z1098" s="409">
        <f>236/400</f>
        <v>0.59</v>
      </c>
      <c r="AA1098" s="410">
        <f t="shared" ref="AA1098" si="251">Z1098*Y1098</f>
        <v>181248</v>
      </c>
      <c r="AB1098" s="411"/>
      <c r="AC1098" s="412">
        <f t="shared" ref="AC1098" si="252">AB1098*Y1098</f>
        <v>0</v>
      </c>
      <c r="AD1098" s="405"/>
      <c r="AE1098" s="405"/>
      <c r="AF1098" s="424">
        <f t="shared" ref="AF1098" si="253">AE1098+AD1098+AA1098</f>
        <v>181248</v>
      </c>
      <c r="AG1098" s="405" t="s">
        <v>1069</v>
      </c>
      <c r="AH1098" s="405"/>
      <c r="AI1098" s="405">
        <v>30</v>
      </c>
      <c r="AJ1098" s="406" t="s">
        <v>4051</v>
      </c>
      <c r="AK1098" s="406" t="s">
        <v>1501</v>
      </c>
      <c r="AL1098" s="414" t="s">
        <v>4915</v>
      </c>
      <c r="AM1098" s="405" t="s">
        <v>52</v>
      </c>
      <c r="AN1098" s="361" t="s">
        <v>50</v>
      </c>
      <c r="AO1098" s="405" t="s">
        <v>1073</v>
      </c>
      <c r="AP1098" s="405"/>
      <c r="AQ1098" s="413" t="s">
        <v>37</v>
      </c>
      <c r="AR1098" s="405" t="s">
        <v>1188</v>
      </c>
      <c r="AS1098" s="404" t="s">
        <v>1392</v>
      </c>
      <c r="AT1098" s="330"/>
      <c r="AU1098" s="409">
        <f>208/400</f>
        <v>0.52</v>
      </c>
      <c r="AV1098" s="402">
        <f>U1098</f>
        <v>0</v>
      </c>
      <c r="AW1098" s="402" cm="1">
        <f t="array" ref="AW1098">SUM(MID(0&amp;AV1098,LARGE(INDEX(ISNUMBER(--MID(AV1098,ROW($1:$8),1))*ROW($1:$8),),ROW($1:$8))+1,1)*10^ROW($1:$8)/10)</f>
        <v>0</v>
      </c>
      <c r="AX1098" s="402" t="e">
        <f>VLOOKUP($AW1098,'Item Master Data'!$A:$F,3,FALSE)</f>
        <v>#N/A</v>
      </c>
      <c r="AY1098" s="402" t="e">
        <f>VLOOKUP($AW1098,'Item Master Data'!$A:$F,6,FALSE)</f>
        <v>#N/A</v>
      </c>
      <c r="AZ1098" s="402" t="e">
        <f>X1098/BA1098</f>
        <v>#N/A</v>
      </c>
      <c r="BA1098" s="402" t="e">
        <f>VLOOKUP(AW1098,'Item Master Data'!$A:$G,7,FALSE)</f>
        <v>#N/A</v>
      </c>
      <c r="BB1098" s="402"/>
      <c r="BC1098" s="402" t="e">
        <f>W1098-AY1098</f>
        <v>#N/A</v>
      </c>
    </row>
    <row r="1099" spans="1:55">
      <c r="A1099" s="426"/>
      <c r="B1099" s="376">
        <v>44635</v>
      </c>
      <c r="C1099" s="426"/>
      <c r="D1099" s="416" t="s">
        <v>86</v>
      </c>
      <c r="E1099" s="498" t="s">
        <v>3113</v>
      </c>
      <c r="F1099" s="405"/>
      <c r="G1099" s="359">
        <v>2022</v>
      </c>
      <c r="H1099" s="359">
        <v>5</v>
      </c>
      <c r="I1099" s="405"/>
      <c r="J1099" s="406"/>
      <c r="K1099" s="405">
        <v>101747</v>
      </c>
      <c r="L1099" s="405" t="s">
        <v>1888</v>
      </c>
      <c r="M1099" s="406">
        <v>44615</v>
      </c>
      <c r="N1099" s="406">
        <v>44682</v>
      </c>
      <c r="O1099" s="406"/>
      <c r="P1099" s="329"/>
      <c r="Q1099" s="406"/>
      <c r="R1099" s="406"/>
      <c r="S1099" s="405" t="s">
        <v>1510</v>
      </c>
      <c r="T1099" s="405">
        <v>60</v>
      </c>
      <c r="U1099" s="405" t="s">
        <v>1102</v>
      </c>
      <c r="V1099" s="417" t="s">
        <v>973</v>
      </c>
      <c r="W1099" s="405">
        <v>400</v>
      </c>
      <c r="X1099" s="382">
        <v>768</v>
      </c>
      <c r="Y1099" s="367">
        <f>W1099*X1099</f>
        <v>307200</v>
      </c>
      <c r="Z1099" s="409">
        <f>266/400</f>
        <v>0.66500000000000004</v>
      </c>
      <c r="AA1099" s="410">
        <f>Z1099*Y1099</f>
        <v>204288</v>
      </c>
      <c r="AB1099" s="411"/>
      <c r="AC1099" s="412">
        <f>AB1099*Y1099</f>
        <v>0</v>
      </c>
      <c r="AD1099" s="405"/>
      <c r="AE1099" s="405">
        <f>AA1099*0.0825</f>
        <v>16853.760000000002</v>
      </c>
      <c r="AF1099" s="424">
        <f>AE1099+AD1099+AA1099</f>
        <v>221141.76000000001</v>
      </c>
      <c r="AG1099" s="405" t="s">
        <v>1069</v>
      </c>
      <c r="AH1099" s="405">
        <v>100</v>
      </c>
      <c r="AI1099" s="405">
        <v>0</v>
      </c>
      <c r="AJ1099" s="406" t="s">
        <v>1760</v>
      </c>
      <c r="AK1099" s="406" t="s">
        <v>50</v>
      </c>
      <c r="AL1099" s="414">
        <v>92058</v>
      </c>
      <c r="AM1099" s="405" t="s">
        <v>52</v>
      </c>
      <c r="AN1099" s="361"/>
      <c r="AO1099" s="405" t="s">
        <v>1073</v>
      </c>
      <c r="AP1099" s="405"/>
      <c r="AQ1099" s="413" t="s">
        <v>37</v>
      </c>
      <c r="AR1099" s="405" t="s">
        <v>1188</v>
      </c>
      <c r="AS1099" s="404"/>
      <c r="AT1099" s="330"/>
      <c r="AU1099" s="409">
        <f>212/400</f>
        <v>0.53</v>
      </c>
      <c r="AV1099" s="402" t="str">
        <f>U1099</f>
        <v>TBD</v>
      </c>
      <c r="AW1099" s="402" cm="1">
        <f t="array" ref="AW1099">SUM(MID(0&amp;AV1099,LARGE(INDEX(ISNUMBER(--MID(AV1099,ROW($1:$8),1))*ROW($1:$8),),ROW($1:$8))+1,1)*10^ROW($1:$8)/10)</f>
        <v>0</v>
      </c>
      <c r="AX1099" s="402" t="e">
        <f>VLOOKUP($AW1099,'Item Master Data'!$A:$F,3,FALSE)</f>
        <v>#N/A</v>
      </c>
      <c r="AY1099" s="402" t="e">
        <f>VLOOKUP($AW1099,'Item Master Data'!$A:$F,6,FALSE)</f>
        <v>#N/A</v>
      </c>
      <c r="AZ1099" s="402" t="e">
        <f>X1099/BA1099</f>
        <v>#N/A</v>
      </c>
      <c r="BA1099" s="402" t="e">
        <f>VLOOKUP(AW1099,'Item Master Data'!$A:$G,7,FALSE)</f>
        <v>#N/A</v>
      </c>
      <c r="BB1099" s="402"/>
      <c r="BC1099" s="402" t="e">
        <f>W1099-AY1099</f>
        <v>#N/A</v>
      </c>
    </row>
    <row r="1100" spans="1:55">
      <c r="A1100" s="426" t="s">
        <v>4584</v>
      </c>
      <c r="B1100" s="376">
        <v>44635</v>
      </c>
      <c r="C1100" s="376">
        <v>44636</v>
      </c>
      <c r="D1100" s="416" t="s">
        <v>86</v>
      </c>
      <c r="E1100" s="405"/>
      <c r="F1100" s="417" t="s">
        <v>1139</v>
      </c>
      <c r="G1100" s="359">
        <v>2022</v>
      </c>
      <c r="H1100" s="359">
        <v>5</v>
      </c>
      <c r="I1100" s="405">
        <v>128603</v>
      </c>
      <c r="J1100" s="406">
        <v>44686</v>
      </c>
      <c r="K1100" s="405">
        <v>101492</v>
      </c>
      <c r="L1100" s="405" t="s">
        <v>1888</v>
      </c>
      <c r="M1100" s="406">
        <v>44481</v>
      </c>
      <c r="N1100" s="406">
        <v>44652</v>
      </c>
      <c r="O1100" s="406"/>
      <c r="P1100" s="406">
        <v>44678</v>
      </c>
      <c r="Q1100" s="406">
        <v>44686</v>
      </c>
      <c r="R1100" s="406">
        <v>44686</v>
      </c>
      <c r="S1100" s="405" t="s">
        <v>1510</v>
      </c>
      <c r="T1100" s="405">
        <v>60</v>
      </c>
      <c r="U1100" s="417" t="s">
        <v>1237</v>
      </c>
      <c r="V1100" s="405" t="s">
        <v>973</v>
      </c>
      <c r="W1100" s="405">
        <v>400</v>
      </c>
      <c r="X1100" s="382">
        <v>768</v>
      </c>
      <c r="Y1100" s="365">
        <f>W1100*X1100</f>
        <v>307200</v>
      </c>
      <c r="Z1100" s="409">
        <f>230/400</f>
        <v>0.57499999999999996</v>
      </c>
      <c r="AA1100" s="411">
        <f>Z1100*Y1100</f>
        <v>176640</v>
      </c>
      <c r="AB1100" s="411"/>
      <c r="AC1100" s="412">
        <f>AB1100*Y1100</f>
        <v>0</v>
      </c>
      <c r="AD1100" s="405"/>
      <c r="AE1100" s="405">
        <f>AA1100*0.0825</f>
        <v>14572.800000000001</v>
      </c>
      <c r="AF1100" s="424">
        <f>AE1100+AD1100+AA1100</f>
        <v>191212.79999999999</v>
      </c>
      <c r="AG1100" s="405" t="s">
        <v>1069</v>
      </c>
      <c r="AH1100" s="405">
        <v>100</v>
      </c>
      <c r="AI1100" s="405">
        <v>0</v>
      </c>
      <c r="AJ1100" s="406" t="s">
        <v>1760</v>
      </c>
      <c r="AK1100" s="406" t="s">
        <v>50</v>
      </c>
      <c r="AL1100" s="414">
        <v>92058</v>
      </c>
      <c r="AM1100" s="405" t="s">
        <v>52</v>
      </c>
      <c r="AN1100" s="361" t="s">
        <v>50</v>
      </c>
      <c r="AO1100" s="405" t="s">
        <v>1073</v>
      </c>
      <c r="AP1100" s="413" t="s">
        <v>92</v>
      </c>
      <c r="AQ1100" s="405" t="s">
        <v>37</v>
      </c>
      <c r="AR1100" s="405"/>
      <c r="AS1100" s="404" t="s">
        <v>1142</v>
      </c>
      <c r="AT1100" s="330" t="s">
        <v>1073</v>
      </c>
      <c r="AU1100" s="409"/>
      <c r="AV1100" s="402"/>
      <c r="AW1100" s="402"/>
      <c r="AX1100" s="402"/>
      <c r="AY1100" s="402"/>
      <c r="AZ1100" s="402"/>
      <c r="BA1100" s="402"/>
      <c r="BB1100" s="402"/>
      <c r="BC1100" s="402"/>
    </row>
    <row r="1101" spans="1:55">
      <c r="A1101" s="468" t="s">
        <v>4584</v>
      </c>
      <c r="B1101" s="445"/>
      <c r="C1101" s="445"/>
      <c r="D1101" s="416" t="s">
        <v>1914</v>
      </c>
      <c r="E1101" s="405"/>
      <c r="F1101" s="405"/>
      <c r="G1101" s="405">
        <v>2022</v>
      </c>
      <c r="H1101" s="373">
        <v>5</v>
      </c>
      <c r="I1101" s="405">
        <v>128518</v>
      </c>
      <c r="J1101" s="406">
        <v>44683</v>
      </c>
      <c r="K1101" s="414" t="s">
        <v>1971</v>
      </c>
      <c r="L1101" s="405" t="s">
        <v>1915</v>
      </c>
      <c r="M1101" s="418">
        <v>44456</v>
      </c>
      <c r="N1101" s="418">
        <v>44517</v>
      </c>
      <c r="O1101" s="418"/>
      <c r="P1101" s="406">
        <v>44665</v>
      </c>
      <c r="Q1101" s="406">
        <v>44673</v>
      </c>
      <c r="R1101" s="406">
        <v>44680</v>
      </c>
      <c r="S1101" s="405" t="s">
        <v>1443</v>
      </c>
      <c r="T1101" s="405">
        <v>60</v>
      </c>
      <c r="U1101" s="405" t="s">
        <v>1237</v>
      </c>
      <c r="V1101" s="405" t="s">
        <v>1970</v>
      </c>
      <c r="W1101" s="405">
        <v>400</v>
      </c>
      <c r="X1101" s="407">
        <v>4160</v>
      </c>
      <c r="Y1101" s="422">
        <f t="shared" ref="Y1101:Y1144" si="254">X1101*W1101</f>
        <v>1664000</v>
      </c>
      <c r="Z1101" s="409">
        <f>194/400</f>
        <v>0.48499999999999999</v>
      </c>
      <c r="AA1101" s="423">
        <f t="shared" ref="AA1101:AA1164" si="255">Z1101*Y1101</f>
        <v>807040</v>
      </c>
      <c r="AB1101" s="423"/>
      <c r="AC1101" s="412">
        <v>0</v>
      </c>
      <c r="AD1101" s="421"/>
      <c r="AE1101" s="413"/>
      <c r="AF1101" s="424">
        <f t="shared" ref="AF1101:AF1164" si="256">AA1101+AE1101</f>
        <v>807040</v>
      </c>
      <c r="AG1101" s="405" t="s">
        <v>47</v>
      </c>
      <c r="AH1101" s="405"/>
      <c r="AI1101" s="414" t="s">
        <v>1916</v>
      </c>
      <c r="AJ1101" s="405" t="s">
        <v>1919</v>
      </c>
      <c r="AK1101" s="425" t="s">
        <v>1292</v>
      </c>
      <c r="AL1101" s="405">
        <v>17402</v>
      </c>
      <c r="AM1101" s="405" t="s">
        <v>52</v>
      </c>
      <c r="AN1101" s="405" t="s">
        <v>50</v>
      </c>
      <c r="AO1101" s="405"/>
      <c r="AP1101" s="417" t="s">
        <v>38</v>
      </c>
      <c r="AQ1101" s="417" t="s">
        <v>37</v>
      </c>
      <c r="AR1101" s="417"/>
      <c r="AS1101" s="426"/>
      <c r="AT1101" s="426"/>
      <c r="AU1101" s="409"/>
      <c r="AV1101" s="402"/>
      <c r="AW1101" s="402"/>
      <c r="AX1101" s="402"/>
      <c r="AY1101" s="402"/>
      <c r="AZ1101" s="402"/>
      <c r="BA1101" s="402"/>
      <c r="BB1101" s="402"/>
      <c r="BC1101" s="402"/>
    </row>
    <row r="1102" spans="1:55">
      <c r="A1102" s="468" t="s">
        <v>4584</v>
      </c>
      <c r="B1102" s="445"/>
      <c r="C1102" s="445"/>
      <c r="D1102" s="416" t="s">
        <v>1914</v>
      </c>
      <c r="E1102" s="405"/>
      <c r="F1102" s="405"/>
      <c r="G1102" s="405">
        <v>2022</v>
      </c>
      <c r="H1102" s="373">
        <v>5</v>
      </c>
      <c r="I1102" s="405">
        <v>128518</v>
      </c>
      <c r="J1102" s="406">
        <v>44683</v>
      </c>
      <c r="K1102" s="414" t="s">
        <v>1971</v>
      </c>
      <c r="L1102" s="405" t="s">
        <v>1915</v>
      </c>
      <c r="M1102" s="418">
        <v>44456</v>
      </c>
      <c r="N1102" s="418">
        <v>44517</v>
      </c>
      <c r="O1102" s="418"/>
      <c r="P1102" s="406">
        <v>44665</v>
      </c>
      <c r="Q1102" s="406">
        <v>44673</v>
      </c>
      <c r="R1102" s="406">
        <v>44680</v>
      </c>
      <c r="S1102" s="405" t="s">
        <v>1443</v>
      </c>
      <c r="T1102" s="405">
        <v>60</v>
      </c>
      <c r="U1102" s="405" t="s">
        <v>1237</v>
      </c>
      <c r="V1102" s="405" t="s">
        <v>1970</v>
      </c>
      <c r="W1102" s="405">
        <v>400</v>
      </c>
      <c r="X1102" s="407">
        <v>832</v>
      </c>
      <c r="Y1102" s="422">
        <f t="shared" si="254"/>
        <v>332800</v>
      </c>
      <c r="Z1102" s="409">
        <f>194/400</f>
        <v>0.48499999999999999</v>
      </c>
      <c r="AA1102" s="423">
        <f t="shared" si="255"/>
        <v>161408</v>
      </c>
      <c r="AB1102" s="423"/>
      <c r="AC1102" s="412">
        <v>0</v>
      </c>
      <c r="AD1102" s="421"/>
      <c r="AE1102" s="413"/>
      <c r="AF1102" s="424">
        <f t="shared" si="256"/>
        <v>161408</v>
      </c>
      <c r="AG1102" s="405" t="s">
        <v>47</v>
      </c>
      <c r="AH1102" s="405"/>
      <c r="AI1102" s="414" t="s">
        <v>1916</v>
      </c>
      <c r="AJ1102" s="405" t="s">
        <v>1919</v>
      </c>
      <c r="AK1102" s="425" t="s">
        <v>1292</v>
      </c>
      <c r="AL1102" s="405">
        <v>17402</v>
      </c>
      <c r="AM1102" s="405" t="s">
        <v>52</v>
      </c>
      <c r="AN1102" s="405" t="s">
        <v>50</v>
      </c>
      <c r="AO1102" s="405"/>
      <c r="AP1102" s="417" t="s">
        <v>38</v>
      </c>
      <c r="AQ1102" s="417" t="s">
        <v>37</v>
      </c>
      <c r="AR1102" s="417"/>
      <c r="AS1102" s="426"/>
      <c r="AT1102" s="426"/>
      <c r="AU1102" s="409"/>
      <c r="AV1102" s="402" t="str">
        <f>U1102</f>
        <v>30390456H</v>
      </c>
      <c r="AW1102" s="402" cm="1">
        <f t="array" ref="AW1102">SUM(MID(0&amp;AV1102,LARGE(INDEX(ISNUMBER(--MID(AV1102,ROW($1:$8),1))*ROW($1:$8),),ROW($1:$8))+1,1)*10^ROW($1:$8)/10)</f>
        <v>30390456</v>
      </c>
      <c r="AX1102" s="402" t="str">
        <f>VLOOKUP($AW1102,'Item Master Data'!$A:$F,3,FALSE)</f>
        <v>Q.PEAK DUO BLK ML G10+</v>
      </c>
      <c r="AY1102" s="402">
        <f>VLOOKUP($AW1102,'Item Master Data'!$A:$F,6,FALSE)</f>
        <v>400</v>
      </c>
      <c r="AZ1102" s="402">
        <f>X1102/BA1102</f>
        <v>26</v>
      </c>
      <c r="BA1102" s="402">
        <f>VLOOKUP(AW1102,'Item Master Data'!$A:$G,7,FALSE)</f>
        <v>32</v>
      </c>
      <c r="BB1102" s="402"/>
      <c r="BC1102" s="402">
        <f>W1102-AY1102</f>
        <v>0</v>
      </c>
    </row>
    <row r="1103" spans="1:55">
      <c r="A1103" s="403"/>
      <c r="B1103" s="445">
        <v>44580</v>
      </c>
      <c r="C1103" s="445">
        <v>44615</v>
      </c>
      <c r="D1103" s="416" t="s">
        <v>1914</v>
      </c>
      <c r="E1103" s="405" t="s">
        <v>1972</v>
      </c>
      <c r="F1103" s="405"/>
      <c r="G1103" s="405">
        <v>2022</v>
      </c>
      <c r="H1103" s="405">
        <v>5</v>
      </c>
      <c r="I1103" s="416" t="s">
        <v>4230</v>
      </c>
      <c r="J1103" s="406"/>
      <c r="K1103" s="414" t="s">
        <v>1973</v>
      </c>
      <c r="L1103" s="405" t="s">
        <v>1915</v>
      </c>
      <c r="M1103" s="418">
        <v>44524</v>
      </c>
      <c r="N1103" s="418">
        <v>44600</v>
      </c>
      <c r="O1103" s="418"/>
      <c r="P1103" s="406">
        <v>44665</v>
      </c>
      <c r="Q1103" s="406">
        <v>44694</v>
      </c>
      <c r="R1103" s="406">
        <v>44699</v>
      </c>
      <c r="S1103" s="405" t="s">
        <v>1443</v>
      </c>
      <c r="T1103" s="405">
        <v>60</v>
      </c>
      <c r="U1103" s="405" t="s">
        <v>1918</v>
      </c>
      <c r="V1103" s="405" t="s">
        <v>691</v>
      </c>
      <c r="W1103" s="405">
        <v>340</v>
      </c>
      <c r="X1103" s="407">
        <v>1664</v>
      </c>
      <c r="Y1103" s="408">
        <f t="shared" si="254"/>
        <v>565760</v>
      </c>
      <c r="Z1103" s="409">
        <v>0.45</v>
      </c>
      <c r="AA1103" s="410">
        <f t="shared" si="255"/>
        <v>254592</v>
      </c>
      <c r="AB1103" s="411"/>
      <c r="AC1103" s="412">
        <v>0</v>
      </c>
      <c r="AD1103" s="421"/>
      <c r="AE1103" s="413"/>
      <c r="AF1103" s="424">
        <f t="shared" si="256"/>
        <v>254592</v>
      </c>
      <c r="AG1103" s="405" t="s">
        <v>47</v>
      </c>
      <c r="AH1103" s="405"/>
      <c r="AI1103" s="414" t="s">
        <v>1916</v>
      </c>
      <c r="AJ1103" s="405" t="s">
        <v>1449</v>
      </c>
      <c r="AK1103" s="425" t="s">
        <v>1070</v>
      </c>
      <c r="AL1103" s="405">
        <v>21075</v>
      </c>
      <c r="AM1103" s="405" t="s">
        <v>52</v>
      </c>
      <c r="AN1103" s="405" t="s">
        <v>50</v>
      </c>
      <c r="AO1103" s="405"/>
      <c r="AP1103" s="417" t="s">
        <v>92</v>
      </c>
      <c r="AQ1103" s="417" t="s">
        <v>37</v>
      </c>
      <c r="AR1103" s="417"/>
      <c r="AS1103" s="426"/>
      <c r="AT1103" s="426"/>
      <c r="AU1103" s="409"/>
      <c r="AV1103" s="402" t="str">
        <f>U1103</f>
        <v>30376909H</v>
      </c>
      <c r="AW1103" s="402" cm="1">
        <f t="array" ref="AW1103">SUM(MID(0&amp;AV1103,LARGE(INDEX(ISNUMBER(--MID(AV1103,ROW($1:$8),1))*ROW($1:$8),),ROW($1:$8))+1,1)*10^ROW($1:$8)/10)</f>
        <v>30376909</v>
      </c>
      <c r="AX1103" s="402" t="str">
        <f>VLOOKUP($AW1103,'Item Master Data'!$A:$F,3,FALSE)</f>
        <v>Q.PEAK DUO BLK G6+</v>
      </c>
      <c r="AY1103" s="402">
        <f>VLOOKUP($AW1103,'Item Master Data'!$A:$F,6,FALSE)</f>
        <v>340</v>
      </c>
      <c r="AZ1103" s="402">
        <f>X1103/BA1103</f>
        <v>52</v>
      </c>
      <c r="BA1103" s="402">
        <f>VLOOKUP(AW1103,'Item Master Data'!$A:$G,7,FALSE)</f>
        <v>32</v>
      </c>
      <c r="BB1103" s="402"/>
      <c r="BC1103" s="402">
        <f>W1103-AY1103</f>
        <v>0</v>
      </c>
    </row>
    <row r="1104" spans="1:55">
      <c r="A1104" s="403"/>
      <c r="B1104" s="445">
        <v>44580</v>
      </c>
      <c r="C1104" s="445">
        <v>44615</v>
      </c>
      <c r="D1104" s="416" t="s">
        <v>1914</v>
      </c>
      <c r="E1104" s="405"/>
      <c r="F1104" s="405"/>
      <c r="G1104" s="405">
        <v>2022</v>
      </c>
      <c r="H1104" s="405">
        <v>5</v>
      </c>
      <c r="I1104" s="416">
        <v>128563</v>
      </c>
      <c r="J1104" s="406">
        <v>44683</v>
      </c>
      <c r="K1104" s="414" t="s">
        <v>1974</v>
      </c>
      <c r="L1104" s="405" t="s">
        <v>1915</v>
      </c>
      <c r="M1104" s="418">
        <v>44524</v>
      </c>
      <c r="N1104" s="418">
        <v>44599</v>
      </c>
      <c r="O1104" s="418"/>
      <c r="P1104" s="406">
        <v>44665</v>
      </c>
      <c r="Q1104" s="406">
        <v>44680</v>
      </c>
      <c r="R1104" s="406">
        <v>44680</v>
      </c>
      <c r="S1104" s="405" t="s">
        <v>1443</v>
      </c>
      <c r="T1104" s="405">
        <v>60</v>
      </c>
      <c r="U1104" s="405" t="s">
        <v>1918</v>
      </c>
      <c r="V1104" s="405" t="s">
        <v>691</v>
      </c>
      <c r="W1104" s="405">
        <v>340</v>
      </c>
      <c r="X1104" s="407">
        <v>3202</v>
      </c>
      <c r="Y1104" s="408">
        <f t="shared" si="254"/>
        <v>1088680</v>
      </c>
      <c r="Z1104" s="409">
        <v>0.45</v>
      </c>
      <c r="AA1104" s="410">
        <f t="shared" si="255"/>
        <v>489906</v>
      </c>
      <c r="AB1104" s="411"/>
      <c r="AC1104" s="412">
        <v>0</v>
      </c>
      <c r="AD1104" s="421"/>
      <c r="AE1104" s="413"/>
      <c r="AF1104" s="424">
        <f t="shared" si="256"/>
        <v>489906</v>
      </c>
      <c r="AG1104" s="405" t="s">
        <v>47</v>
      </c>
      <c r="AH1104" s="405"/>
      <c r="AI1104" s="414" t="s">
        <v>1916</v>
      </c>
      <c r="AJ1104" s="405" t="s">
        <v>1917</v>
      </c>
      <c r="AK1104" s="425" t="s">
        <v>50</v>
      </c>
      <c r="AL1104" s="405">
        <v>91730</v>
      </c>
      <c r="AM1104" s="405" t="s">
        <v>52</v>
      </c>
      <c r="AN1104" s="405" t="s">
        <v>50</v>
      </c>
      <c r="AO1104" s="405"/>
      <c r="AP1104" s="417" t="s">
        <v>92</v>
      </c>
      <c r="AQ1104" s="417" t="s">
        <v>37</v>
      </c>
      <c r="AR1104" s="417"/>
      <c r="AS1104" s="426"/>
      <c r="AT1104" s="426"/>
      <c r="AU1104" s="409"/>
      <c r="AV1104" s="402"/>
      <c r="AW1104" s="402"/>
      <c r="AX1104" s="402"/>
      <c r="AY1104" s="402"/>
      <c r="AZ1104" s="402"/>
      <c r="BA1104" s="402"/>
      <c r="BB1104" s="402"/>
      <c r="BC1104" s="402"/>
    </row>
    <row r="1105" spans="1:55">
      <c r="A1105" s="403"/>
      <c r="B1105" s="445">
        <v>44580</v>
      </c>
      <c r="C1105" s="445">
        <v>44615</v>
      </c>
      <c r="D1105" s="416" t="s">
        <v>1914</v>
      </c>
      <c r="E1105" s="405"/>
      <c r="F1105" s="405"/>
      <c r="G1105" s="405">
        <v>2022</v>
      </c>
      <c r="H1105" s="405">
        <v>5</v>
      </c>
      <c r="I1105" s="416">
        <v>128563</v>
      </c>
      <c r="J1105" s="406">
        <v>44683</v>
      </c>
      <c r="K1105" s="414" t="s">
        <v>1974</v>
      </c>
      <c r="L1105" s="405" t="s">
        <v>1915</v>
      </c>
      <c r="M1105" s="418">
        <v>44524</v>
      </c>
      <c r="N1105" s="418">
        <v>44599</v>
      </c>
      <c r="O1105" s="418"/>
      <c r="P1105" s="406">
        <v>44665</v>
      </c>
      <c r="Q1105" s="406">
        <v>44680</v>
      </c>
      <c r="R1105" s="406">
        <v>44680</v>
      </c>
      <c r="S1105" s="405" t="s">
        <v>1443</v>
      </c>
      <c r="T1105" s="405">
        <v>60</v>
      </c>
      <c r="U1105" s="405" t="s">
        <v>4834</v>
      </c>
      <c r="V1105" s="405" t="s">
        <v>691</v>
      </c>
      <c r="W1105" s="405">
        <v>340</v>
      </c>
      <c r="X1105" s="407">
        <v>706</v>
      </c>
      <c r="Y1105" s="408">
        <f t="shared" si="254"/>
        <v>240040</v>
      </c>
      <c r="Z1105" s="409">
        <v>0.45</v>
      </c>
      <c r="AA1105" s="410">
        <f t="shared" si="255"/>
        <v>108018</v>
      </c>
      <c r="AB1105" s="411"/>
      <c r="AC1105" s="412">
        <v>0</v>
      </c>
      <c r="AD1105" s="421"/>
      <c r="AE1105" s="413"/>
      <c r="AF1105" s="424">
        <f t="shared" si="256"/>
        <v>108018</v>
      </c>
      <c r="AG1105" s="405" t="s">
        <v>47</v>
      </c>
      <c r="AH1105" s="405"/>
      <c r="AI1105" s="414" t="s">
        <v>1916</v>
      </c>
      <c r="AJ1105" s="405" t="s">
        <v>1917</v>
      </c>
      <c r="AK1105" s="425" t="s">
        <v>50</v>
      </c>
      <c r="AL1105" s="405">
        <v>91730</v>
      </c>
      <c r="AM1105" s="405" t="s">
        <v>52</v>
      </c>
      <c r="AN1105" s="405" t="s">
        <v>50</v>
      </c>
      <c r="AO1105" s="405"/>
      <c r="AP1105" s="417" t="s">
        <v>92</v>
      </c>
      <c r="AQ1105" s="417" t="s">
        <v>37</v>
      </c>
      <c r="AR1105" s="417"/>
      <c r="AS1105" s="426"/>
      <c r="AT1105" s="426"/>
      <c r="AU1105" s="409"/>
      <c r="AV1105" s="402"/>
      <c r="AW1105" s="402"/>
      <c r="AX1105" s="402"/>
      <c r="AY1105" s="402"/>
      <c r="AZ1105" s="402"/>
      <c r="BA1105" s="402"/>
      <c r="BB1105" s="402"/>
      <c r="BC1105" s="402"/>
    </row>
    <row r="1106" spans="1:55">
      <c r="A1106" s="403"/>
      <c r="B1106" s="445">
        <v>44580</v>
      </c>
      <c r="C1106" s="445">
        <v>44615</v>
      </c>
      <c r="D1106" s="416" t="s">
        <v>1914</v>
      </c>
      <c r="E1106" s="405"/>
      <c r="F1106" s="405"/>
      <c r="G1106" s="405">
        <v>2022</v>
      </c>
      <c r="H1106" s="405">
        <v>5</v>
      </c>
      <c r="I1106" s="416">
        <v>128563</v>
      </c>
      <c r="J1106" s="406">
        <v>44683</v>
      </c>
      <c r="K1106" s="414" t="s">
        <v>1974</v>
      </c>
      <c r="L1106" s="405" t="s">
        <v>1915</v>
      </c>
      <c r="M1106" s="418">
        <v>44524</v>
      </c>
      <c r="N1106" s="418">
        <v>44599</v>
      </c>
      <c r="O1106" s="418"/>
      <c r="P1106" s="406">
        <v>44665</v>
      </c>
      <c r="Q1106" s="406">
        <v>44680</v>
      </c>
      <c r="R1106" s="406">
        <v>44683</v>
      </c>
      <c r="S1106" s="405" t="s">
        <v>1443</v>
      </c>
      <c r="T1106" s="405">
        <v>60</v>
      </c>
      <c r="U1106" s="405" t="s">
        <v>1624</v>
      </c>
      <c r="V1106" s="405" t="s">
        <v>691</v>
      </c>
      <c r="W1106" s="405">
        <v>340</v>
      </c>
      <c r="X1106" s="407">
        <v>182</v>
      </c>
      <c r="Y1106" s="408">
        <f t="shared" si="254"/>
        <v>61880</v>
      </c>
      <c r="Z1106" s="409">
        <v>0.45</v>
      </c>
      <c r="AA1106" s="410">
        <f t="shared" si="255"/>
        <v>27846</v>
      </c>
      <c r="AB1106" s="411"/>
      <c r="AC1106" s="412">
        <v>0</v>
      </c>
      <c r="AD1106" s="421"/>
      <c r="AE1106" s="413"/>
      <c r="AF1106" s="424">
        <f t="shared" si="256"/>
        <v>27846</v>
      </c>
      <c r="AG1106" s="405" t="s">
        <v>47</v>
      </c>
      <c r="AH1106" s="405"/>
      <c r="AI1106" s="414" t="s">
        <v>1916</v>
      </c>
      <c r="AJ1106" s="405" t="s">
        <v>1917</v>
      </c>
      <c r="AK1106" s="425" t="s">
        <v>50</v>
      </c>
      <c r="AL1106" s="405">
        <v>91730</v>
      </c>
      <c r="AM1106" s="405" t="s">
        <v>52</v>
      </c>
      <c r="AN1106" s="405" t="s">
        <v>50</v>
      </c>
      <c r="AO1106" s="405"/>
      <c r="AP1106" s="417" t="s">
        <v>92</v>
      </c>
      <c r="AQ1106" s="417" t="s">
        <v>37</v>
      </c>
      <c r="AR1106" s="417"/>
      <c r="AS1106" s="426"/>
      <c r="AT1106" s="426"/>
      <c r="AU1106" s="409"/>
      <c r="AV1106" s="402"/>
      <c r="AW1106" s="402"/>
      <c r="AX1106" s="402"/>
      <c r="AY1106" s="402"/>
      <c r="AZ1106" s="402"/>
      <c r="BA1106" s="402"/>
      <c r="BB1106" s="402"/>
      <c r="BC1106" s="402"/>
    </row>
    <row r="1107" spans="1:55">
      <c r="A1107" s="403"/>
      <c r="B1107" s="445">
        <v>44580</v>
      </c>
      <c r="C1107" s="445">
        <v>44615</v>
      </c>
      <c r="D1107" s="416" t="s">
        <v>1914</v>
      </c>
      <c r="E1107" s="405"/>
      <c r="F1107" s="405"/>
      <c r="G1107" s="405">
        <v>2022</v>
      </c>
      <c r="H1107" s="405">
        <v>5</v>
      </c>
      <c r="I1107" s="416">
        <v>128563</v>
      </c>
      <c r="J1107" s="406">
        <v>44683</v>
      </c>
      <c r="K1107" s="414" t="s">
        <v>1974</v>
      </c>
      <c r="L1107" s="405" t="s">
        <v>1915</v>
      </c>
      <c r="M1107" s="418">
        <v>44524</v>
      </c>
      <c r="N1107" s="418">
        <v>44599</v>
      </c>
      <c r="O1107" s="418"/>
      <c r="P1107" s="406">
        <v>44665</v>
      </c>
      <c r="Q1107" s="406">
        <v>44680</v>
      </c>
      <c r="R1107" s="406">
        <v>44683</v>
      </c>
      <c r="S1107" s="405" t="s">
        <v>1443</v>
      </c>
      <c r="T1107" s="405">
        <v>60</v>
      </c>
      <c r="U1107" s="405" t="s">
        <v>1624</v>
      </c>
      <c r="V1107" s="405" t="s">
        <v>691</v>
      </c>
      <c r="W1107" s="405">
        <v>340</v>
      </c>
      <c r="X1107" s="407">
        <v>64</v>
      </c>
      <c r="Y1107" s="408">
        <f t="shared" si="254"/>
        <v>21760</v>
      </c>
      <c r="Z1107" s="409">
        <v>0.45</v>
      </c>
      <c r="AA1107" s="410">
        <f t="shared" si="255"/>
        <v>9792</v>
      </c>
      <c r="AB1107" s="411"/>
      <c r="AC1107" s="412">
        <v>0</v>
      </c>
      <c r="AD1107" s="421"/>
      <c r="AE1107" s="413"/>
      <c r="AF1107" s="424">
        <f t="shared" si="256"/>
        <v>9792</v>
      </c>
      <c r="AG1107" s="405" t="s">
        <v>47</v>
      </c>
      <c r="AH1107" s="405"/>
      <c r="AI1107" s="414" t="s">
        <v>1916</v>
      </c>
      <c r="AJ1107" s="405" t="s">
        <v>1917</v>
      </c>
      <c r="AK1107" s="425" t="s">
        <v>50</v>
      </c>
      <c r="AL1107" s="405">
        <v>91730</v>
      </c>
      <c r="AM1107" s="405" t="s">
        <v>52</v>
      </c>
      <c r="AN1107" s="405" t="s">
        <v>50</v>
      </c>
      <c r="AO1107" s="405"/>
      <c r="AP1107" s="417" t="s">
        <v>92</v>
      </c>
      <c r="AQ1107" s="417" t="s">
        <v>37</v>
      </c>
      <c r="AR1107" s="417"/>
      <c r="AS1107" s="426"/>
      <c r="AT1107" s="426"/>
      <c r="AU1107" s="409"/>
      <c r="AV1107" s="402"/>
      <c r="AW1107" s="402"/>
      <c r="AX1107" s="402"/>
      <c r="AY1107" s="402"/>
      <c r="AZ1107" s="402"/>
      <c r="BA1107" s="402"/>
      <c r="BB1107" s="402"/>
      <c r="BC1107" s="402"/>
    </row>
    <row r="1108" spans="1:55">
      <c r="A1108" s="403"/>
      <c r="B1108" s="445">
        <v>44580</v>
      </c>
      <c r="C1108" s="445">
        <v>44615</v>
      </c>
      <c r="D1108" s="416" t="s">
        <v>1914</v>
      </c>
      <c r="E1108" s="405"/>
      <c r="F1108" s="405"/>
      <c r="G1108" s="405">
        <v>2022</v>
      </c>
      <c r="H1108" s="405">
        <v>5</v>
      </c>
      <c r="I1108" s="416">
        <v>128563</v>
      </c>
      <c r="J1108" s="406">
        <v>44683</v>
      </c>
      <c r="K1108" s="414" t="s">
        <v>1974</v>
      </c>
      <c r="L1108" s="405" t="s">
        <v>1915</v>
      </c>
      <c r="M1108" s="418">
        <v>44524</v>
      </c>
      <c r="N1108" s="418">
        <v>44599</v>
      </c>
      <c r="O1108" s="418"/>
      <c r="P1108" s="406">
        <v>44665</v>
      </c>
      <c r="Q1108" s="406">
        <v>44680</v>
      </c>
      <c r="R1108" s="406">
        <v>44683</v>
      </c>
      <c r="S1108" s="405" t="s">
        <v>1443</v>
      </c>
      <c r="T1108" s="405">
        <v>60</v>
      </c>
      <c r="U1108" s="405" t="s">
        <v>1624</v>
      </c>
      <c r="V1108" s="405" t="s">
        <v>691</v>
      </c>
      <c r="W1108" s="405">
        <v>340</v>
      </c>
      <c r="X1108" s="407">
        <v>6</v>
      </c>
      <c r="Y1108" s="408">
        <f t="shared" si="254"/>
        <v>2040</v>
      </c>
      <c r="Z1108" s="409">
        <v>0.45</v>
      </c>
      <c r="AA1108" s="410">
        <f t="shared" si="255"/>
        <v>918</v>
      </c>
      <c r="AB1108" s="411"/>
      <c r="AC1108" s="412">
        <v>0</v>
      </c>
      <c r="AD1108" s="421"/>
      <c r="AE1108" s="413"/>
      <c r="AF1108" s="424">
        <f t="shared" si="256"/>
        <v>918</v>
      </c>
      <c r="AG1108" s="405" t="s">
        <v>47</v>
      </c>
      <c r="AH1108" s="405"/>
      <c r="AI1108" s="414" t="s">
        <v>1916</v>
      </c>
      <c r="AJ1108" s="405" t="s">
        <v>1917</v>
      </c>
      <c r="AK1108" s="425" t="s">
        <v>50</v>
      </c>
      <c r="AL1108" s="405">
        <v>91730</v>
      </c>
      <c r="AM1108" s="405" t="s">
        <v>52</v>
      </c>
      <c r="AN1108" s="405" t="s">
        <v>50</v>
      </c>
      <c r="AO1108" s="405"/>
      <c r="AP1108" s="417" t="s">
        <v>92</v>
      </c>
      <c r="AQ1108" s="417" t="s">
        <v>37</v>
      </c>
      <c r="AR1108" s="417"/>
      <c r="AS1108" s="426"/>
      <c r="AT1108" s="426"/>
      <c r="AU1108" s="409"/>
      <c r="AV1108" s="402"/>
      <c r="AW1108" s="402"/>
      <c r="AX1108" s="402"/>
      <c r="AY1108" s="402"/>
      <c r="AZ1108" s="402"/>
      <c r="BA1108" s="402"/>
      <c r="BB1108" s="402"/>
      <c r="BC1108" s="402"/>
    </row>
    <row r="1109" spans="1:55">
      <c r="A1109" s="403"/>
      <c r="B1109" s="445">
        <v>44580</v>
      </c>
      <c r="C1109" s="445">
        <v>44615</v>
      </c>
      <c r="D1109" s="416" t="s">
        <v>1914</v>
      </c>
      <c r="E1109" s="405"/>
      <c r="F1109" s="405"/>
      <c r="G1109" s="405">
        <v>2022</v>
      </c>
      <c r="H1109" s="405">
        <v>5</v>
      </c>
      <c r="I1109" s="416"/>
      <c r="J1109" s="406"/>
      <c r="K1109" s="414" t="s">
        <v>1921</v>
      </c>
      <c r="L1109" s="405" t="s">
        <v>1915</v>
      </c>
      <c r="M1109" s="418">
        <v>44524</v>
      </c>
      <c r="N1109" s="418">
        <v>44629</v>
      </c>
      <c r="O1109" s="418"/>
      <c r="P1109" s="406">
        <v>44628</v>
      </c>
      <c r="Q1109" s="406"/>
      <c r="R1109" s="406"/>
      <c r="S1109" s="405" t="s">
        <v>1443</v>
      </c>
      <c r="T1109" s="405">
        <v>60</v>
      </c>
      <c r="U1109" s="405" t="s">
        <v>1920</v>
      </c>
      <c r="V1109" s="405" t="s">
        <v>631</v>
      </c>
      <c r="W1109" s="405">
        <v>350</v>
      </c>
      <c r="X1109" s="407">
        <v>1664</v>
      </c>
      <c r="Y1109" s="408">
        <f t="shared" si="254"/>
        <v>582400</v>
      </c>
      <c r="Z1109" s="409">
        <f>157.5/350</f>
        <v>0.45</v>
      </c>
      <c r="AA1109" s="410">
        <f t="shared" si="255"/>
        <v>262080</v>
      </c>
      <c r="AB1109" s="411"/>
      <c r="AC1109" s="412">
        <f>AB1109*Y1109</f>
        <v>0</v>
      </c>
      <c r="AD1109" s="421"/>
      <c r="AE1109" s="413"/>
      <c r="AF1109" s="424">
        <f t="shared" si="256"/>
        <v>262080</v>
      </c>
      <c r="AG1109" s="405" t="s">
        <v>47</v>
      </c>
      <c r="AH1109" s="405"/>
      <c r="AI1109" s="414" t="s">
        <v>1916</v>
      </c>
      <c r="AJ1109" s="405" t="s">
        <v>1917</v>
      </c>
      <c r="AK1109" s="425" t="s">
        <v>50</v>
      </c>
      <c r="AL1109" s="405">
        <v>91730</v>
      </c>
      <c r="AM1109" s="405" t="s">
        <v>52</v>
      </c>
      <c r="AN1109" s="405" t="s">
        <v>50</v>
      </c>
      <c r="AO1109" s="405"/>
      <c r="AP1109" s="417" t="s">
        <v>92</v>
      </c>
      <c r="AQ1109" s="417" t="s">
        <v>37</v>
      </c>
      <c r="AR1109" s="417"/>
      <c r="AS1109" s="426"/>
      <c r="AT1109" s="426"/>
      <c r="AU1109" s="409"/>
      <c r="AV1109" s="402"/>
      <c r="AW1109" s="402"/>
      <c r="AX1109" s="402"/>
      <c r="AY1109" s="402"/>
      <c r="AZ1109" s="402"/>
      <c r="BA1109" s="402"/>
      <c r="BB1109" s="402"/>
      <c r="BC1109" s="402"/>
    </row>
    <row r="1110" spans="1:55">
      <c r="A1110" s="403"/>
      <c r="B1110" s="445">
        <v>44580</v>
      </c>
      <c r="C1110" s="445">
        <v>44615</v>
      </c>
      <c r="D1110" s="416" t="s">
        <v>1914</v>
      </c>
      <c r="E1110" s="405"/>
      <c r="F1110" s="405"/>
      <c r="G1110" s="405">
        <v>2022</v>
      </c>
      <c r="H1110" s="405">
        <v>5</v>
      </c>
      <c r="I1110" s="416"/>
      <c r="J1110" s="406"/>
      <c r="K1110" s="414" t="s">
        <v>2028</v>
      </c>
      <c r="L1110" s="405" t="s">
        <v>1915</v>
      </c>
      <c r="M1110" s="418">
        <v>44540</v>
      </c>
      <c r="N1110" s="418">
        <v>44666</v>
      </c>
      <c r="O1110" s="418"/>
      <c r="P1110" s="406">
        <v>44680</v>
      </c>
      <c r="Q1110" s="406"/>
      <c r="R1110" s="406"/>
      <c r="S1110" s="405" t="s">
        <v>1443</v>
      </c>
      <c r="T1110" s="405">
        <v>60</v>
      </c>
      <c r="U1110" s="405" t="s">
        <v>4451</v>
      </c>
      <c r="V1110" s="405" t="s">
        <v>967</v>
      </c>
      <c r="W1110" s="405">
        <v>410</v>
      </c>
      <c r="X1110" s="407">
        <v>4992</v>
      </c>
      <c r="Y1110" s="408">
        <f t="shared" si="254"/>
        <v>2046720</v>
      </c>
      <c r="Z1110" s="409">
        <f>192.7/410</f>
        <v>0.47</v>
      </c>
      <c r="AA1110" s="410">
        <f t="shared" si="255"/>
        <v>961958.39999999991</v>
      </c>
      <c r="AB1110" s="411"/>
      <c r="AC1110" s="412">
        <f>AB1110*Y1110</f>
        <v>0</v>
      </c>
      <c r="AD1110" s="421"/>
      <c r="AE1110" s="413"/>
      <c r="AF1110" s="424">
        <f t="shared" si="256"/>
        <v>961958.39999999991</v>
      </c>
      <c r="AG1110" s="405" t="s">
        <v>47</v>
      </c>
      <c r="AH1110" s="405"/>
      <c r="AI1110" s="414" t="s">
        <v>1916</v>
      </c>
      <c r="AJ1110" s="405" t="s">
        <v>1917</v>
      </c>
      <c r="AK1110" s="425" t="s">
        <v>50</v>
      </c>
      <c r="AL1110" s="405">
        <v>91730</v>
      </c>
      <c r="AM1110" s="405" t="s">
        <v>52</v>
      </c>
      <c r="AN1110" s="405" t="s">
        <v>50</v>
      </c>
      <c r="AO1110" s="405"/>
      <c r="AP1110" s="417" t="s">
        <v>92</v>
      </c>
      <c r="AQ1110" s="417" t="s">
        <v>37</v>
      </c>
      <c r="AR1110" s="417"/>
      <c r="AS1110" s="426"/>
      <c r="AT1110" s="426"/>
      <c r="AU1110" s="409"/>
      <c r="AV1110" s="402"/>
      <c r="AW1110" s="402"/>
      <c r="AX1110" s="402"/>
      <c r="AY1110" s="402"/>
      <c r="AZ1110" s="402"/>
      <c r="BA1110" s="402"/>
      <c r="BB1110" s="402"/>
      <c r="BC1110" s="402"/>
    </row>
    <row r="1111" spans="1:55">
      <c r="A1111" s="403" t="s">
        <v>4584</v>
      </c>
      <c r="B1111" s="445">
        <v>44580</v>
      </c>
      <c r="C1111" s="445">
        <v>44615</v>
      </c>
      <c r="D1111" s="416" t="s">
        <v>1914</v>
      </c>
      <c r="E1111" s="405"/>
      <c r="F1111" s="405"/>
      <c r="G1111" s="405">
        <v>2022</v>
      </c>
      <c r="H1111" s="405">
        <v>5</v>
      </c>
      <c r="I1111" s="416"/>
      <c r="J1111" s="406"/>
      <c r="K1111" s="414" t="s">
        <v>2025</v>
      </c>
      <c r="L1111" s="405" t="s">
        <v>1915</v>
      </c>
      <c r="M1111" s="418">
        <v>44540</v>
      </c>
      <c r="N1111" s="418">
        <v>44666</v>
      </c>
      <c r="O1111" s="418"/>
      <c r="P1111" s="406" t="s">
        <v>4449</v>
      </c>
      <c r="Q1111" s="406"/>
      <c r="R1111" s="406"/>
      <c r="S1111" s="405" t="s">
        <v>1443</v>
      </c>
      <c r="T1111" s="405">
        <v>60</v>
      </c>
      <c r="U1111" s="405" t="s">
        <v>1237</v>
      </c>
      <c r="V1111" s="405" t="s">
        <v>973</v>
      </c>
      <c r="W1111" s="405">
        <v>400</v>
      </c>
      <c r="X1111" s="407">
        <v>6656</v>
      </c>
      <c r="Y1111" s="408">
        <f t="shared" si="254"/>
        <v>2662400</v>
      </c>
      <c r="Z1111" s="409">
        <v>0.47</v>
      </c>
      <c r="AA1111" s="410">
        <f t="shared" si="255"/>
        <v>1251328</v>
      </c>
      <c r="AB1111" s="411"/>
      <c r="AC1111" s="412">
        <v>0</v>
      </c>
      <c r="AD1111" s="421"/>
      <c r="AE1111" s="413"/>
      <c r="AF1111" s="424">
        <f t="shared" si="256"/>
        <v>1251328</v>
      </c>
      <c r="AG1111" s="405" t="s">
        <v>47</v>
      </c>
      <c r="AH1111" s="405"/>
      <c r="AI1111" s="414" t="s">
        <v>1916</v>
      </c>
      <c r="AJ1111" s="405" t="s">
        <v>1917</v>
      </c>
      <c r="AK1111" s="425" t="s">
        <v>50</v>
      </c>
      <c r="AL1111" s="405">
        <v>91730</v>
      </c>
      <c r="AM1111" s="405" t="s">
        <v>52</v>
      </c>
      <c r="AN1111" s="405" t="s">
        <v>50</v>
      </c>
      <c r="AO1111" s="405"/>
      <c r="AP1111" s="417" t="s">
        <v>92</v>
      </c>
      <c r="AQ1111" s="417" t="s">
        <v>37</v>
      </c>
      <c r="AR1111" s="417"/>
      <c r="AS1111" s="426"/>
      <c r="AT1111" s="426"/>
      <c r="AU1111" s="409"/>
      <c r="AV1111" s="402"/>
      <c r="AW1111" s="402"/>
      <c r="AX1111" s="402"/>
      <c r="AY1111" s="402"/>
      <c r="AZ1111" s="402"/>
      <c r="BA1111" s="402"/>
      <c r="BB1111" s="402"/>
      <c r="BC1111" s="402"/>
    </row>
    <row r="1112" spans="1:55">
      <c r="A1112" s="403"/>
      <c r="B1112" s="445">
        <v>44580</v>
      </c>
      <c r="C1112" s="445">
        <v>44615</v>
      </c>
      <c r="D1112" s="416" t="s">
        <v>1914</v>
      </c>
      <c r="E1112" s="405" t="s">
        <v>4450</v>
      </c>
      <c r="F1112" s="405"/>
      <c r="G1112" s="405">
        <v>2022</v>
      </c>
      <c r="H1112" s="405">
        <v>5</v>
      </c>
      <c r="I1112" s="416"/>
      <c r="J1112" s="406"/>
      <c r="K1112" s="414" t="s">
        <v>2026</v>
      </c>
      <c r="L1112" s="405" t="s">
        <v>1915</v>
      </c>
      <c r="M1112" s="418">
        <v>44540</v>
      </c>
      <c r="N1112" s="418">
        <v>44662</v>
      </c>
      <c r="O1112" s="418"/>
      <c r="P1112" s="406" t="s">
        <v>4449</v>
      </c>
      <c r="Q1112" s="406"/>
      <c r="R1112" s="406"/>
      <c r="S1112" s="405" t="s">
        <v>1443</v>
      </c>
      <c r="T1112" s="405">
        <v>60</v>
      </c>
      <c r="U1112" s="405" t="s">
        <v>4451</v>
      </c>
      <c r="V1112" s="405" t="s">
        <v>967</v>
      </c>
      <c r="W1112" s="405">
        <v>410</v>
      </c>
      <c r="X1112" s="407">
        <v>6656</v>
      </c>
      <c r="Y1112" s="408">
        <f t="shared" si="254"/>
        <v>2728960</v>
      </c>
      <c r="Z1112" s="409">
        <f>192.7/410</f>
        <v>0.47</v>
      </c>
      <c r="AA1112" s="410">
        <f t="shared" si="255"/>
        <v>1282611.2</v>
      </c>
      <c r="AB1112" s="411"/>
      <c r="AC1112" s="412">
        <f>AB1112*Y1112</f>
        <v>0</v>
      </c>
      <c r="AD1112" s="421"/>
      <c r="AE1112" s="413"/>
      <c r="AF1112" s="424">
        <f t="shared" si="256"/>
        <v>1282611.2</v>
      </c>
      <c r="AG1112" s="405" t="s">
        <v>47</v>
      </c>
      <c r="AH1112" s="405"/>
      <c r="AI1112" s="414" t="s">
        <v>1916</v>
      </c>
      <c r="AJ1112" s="405" t="s">
        <v>1917</v>
      </c>
      <c r="AK1112" s="425" t="s">
        <v>50</v>
      </c>
      <c r="AL1112" s="405">
        <v>91730</v>
      </c>
      <c r="AM1112" s="405" t="s">
        <v>52</v>
      </c>
      <c r="AN1112" s="405" t="s">
        <v>50</v>
      </c>
      <c r="AO1112" s="405"/>
      <c r="AP1112" s="417" t="s">
        <v>92</v>
      </c>
      <c r="AQ1112" s="417" t="s">
        <v>37</v>
      </c>
      <c r="AR1112" s="417"/>
      <c r="AS1112" s="426"/>
      <c r="AT1112" s="426"/>
      <c r="AU1112" s="409"/>
      <c r="AV1112" s="402" t="str">
        <f t="shared" ref="AV1112:AV1137" si="257">U1112</f>
        <v>30385558H</v>
      </c>
      <c r="AW1112" s="402" cm="1">
        <f t="array" ref="AW1112">SUM(MID(0&amp;AV1112,LARGE(INDEX(ISNUMBER(--MID(AV1112,ROW($1:$8),1))*ROW($1:$8),),ROW($1:$8))+1,1)*10^ROW($1:$8)/10)</f>
        <v>30385558</v>
      </c>
      <c r="AX1112" s="402" t="str">
        <f>VLOOKUP($AW1112,'Item Master Data'!$A:$F,3,FALSE)</f>
        <v>Q.PEAK DUO ML G10+</v>
      </c>
      <c r="AY1112" s="402">
        <f>VLOOKUP($AW1112,'Item Master Data'!$A:$F,6,FALSE)</f>
        <v>410</v>
      </c>
      <c r="AZ1112" s="402">
        <f t="shared" ref="AZ1112:AZ1137" si="258">X1112/BA1112</f>
        <v>208</v>
      </c>
      <c r="BA1112" s="402">
        <f>VLOOKUP(AW1112,'Item Master Data'!$A:$G,7,FALSE)</f>
        <v>32</v>
      </c>
      <c r="BB1112" s="402"/>
      <c r="BC1112" s="402">
        <f t="shared" ref="BC1112:BC1137" si="259">W1112-AY1112</f>
        <v>0</v>
      </c>
    </row>
    <row r="1113" spans="1:55">
      <c r="A1113" s="403"/>
      <c r="B1113" s="445">
        <v>44580</v>
      </c>
      <c r="C1113" s="445">
        <v>44615</v>
      </c>
      <c r="D1113" s="416" t="s">
        <v>1914</v>
      </c>
      <c r="E1113" s="405" t="s">
        <v>4450</v>
      </c>
      <c r="F1113" s="405"/>
      <c r="G1113" s="405">
        <v>2022</v>
      </c>
      <c r="H1113" s="405">
        <v>5</v>
      </c>
      <c r="I1113" s="416"/>
      <c r="J1113" s="406"/>
      <c r="K1113" s="414" t="s">
        <v>2027</v>
      </c>
      <c r="L1113" s="405" t="s">
        <v>1915</v>
      </c>
      <c r="M1113" s="418">
        <v>44540</v>
      </c>
      <c r="N1113" s="418">
        <v>44664</v>
      </c>
      <c r="O1113" s="418"/>
      <c r="P1113" s="406" t="s">
        <v>4449</v>
      </c>
      <c r="Q1113" s="406"/>
      <c r="R1113" s="406"/>
      <c r="S1113" s="405" t="s">
        <v>1443</v>
      </c>
      <c r="T1113" s="405">
        <v>60</v>
      </c>
      <c r="U1113" s="405" t="s">
        <v>4451</v>
      </c>
      <c r="V1113" s="405" t="s">
        <v>967</v>
      </c>
      <c r="W1113" s="405">
        <v>410</v>
      </c>
      <c r="X1113" s="407">
        <v>6656</v>
      </c>
      <c r="Y1113" s="408">
        <f t="shared" si="254"/>
        <v>2728960</v>
      </c>
      <c r="Z1113" s="409">
        <f>192.7/410</f>
        <v>0.47</v>
      </c>
      <c r="AA1113" s="410">
        <f t="shared" si="255"/>
        <v>1282611.2</v>
      </c>
      <c r="AB1113" s="411"/>
      <c r="AC1113" s="412">
        <f>AB1113*Y1113</f>
        <v>0</v>
      </c>
      <c r="AD1113" s="421"/>
      <c r="AE1113" s="413"/>
      <c r="AF1113" s="424">
        <f t="shared" si="256"/>
        <v>1282611.2</v>
      </c>
      <c r="AG1113" s="405" t="s">
        <v>47</v>
      </c>
      <c r="AH1113" s="405"/>
      <c r="AI1113" s="414" t="s">
        <v>1916</v>
      </c>
      <c r="AJ1113" s="405" t="s">
        <v>1917</v>
      </c>
      <c r="AK1113" s="425" t="s">
        <v>50</v>
      </c>
      <c r="AL1113" s="405">
        <v>91730</v>
      </c>
      <c r="AM1113" s="405" t="s">
        <v>52</v>
      </c>
      <c r="AN1113" s="405" t="s">
        <v>50</v>
      </c>
      <c r="AO1113" s="405"/>
      <c r="AP1113" s="417" t="s">
        <v>92</v>
      </c>
      <c r="AQ1113" s="417" t="s">
        <v>37</v>
      </c>
      <c r="AR1113" s="417"/>
      <c r="AS1113" s="426"/>
      <c r="AT1113" s="426"/>
      <c r="AU1113" s="409"/>
      <c r="AV1113" s="402" t="str">
        <f t="shared" si="257"/>
        <v>30385558H</v>
      </c>
      <c r="AW1113" s="402" cm="1">
        <f t="array" ref="AW1113">SUM(MID(0&amp;AV1113,LARGE(INDEX(ISNUMBER(--MID(AV1113,ROW($1:$8),1))*ROW($1:$8),),ROW($1:$8))+1,1)*10^ROW($1:$8)/10)</f>
        <v>30385558</v>
      </c>
      <c r="AX1113" s="402" t="str">
        <f>VLOOKUP($AW1113,'Item Master Data'!$A:$F,3,FALSE)</f>
        <v>Q.PEAK DUO ML G10+</v>
      </c>
      <c r="AY1113" s="402">
        <f>VLOOKUP($AW1113,'Item Master Data'!$A:$F,6,FALSE)</f>
        <v>410</v>
      </c>
      <c r="AZ1113" s="402">
        <f t="shared" si="258"/>
        <v>208</v>
      </c>
      <c r="BA1113" s="402">
        <f>VLOOKUP(AW1113,'Item Master Data'!$A:$G,7,FALSE)</f>
        <v>32</v>
      </c>
      <c r="BB1113" s="402"/>
      <c r="BC1113" s="402">
        <f t="shared" si="259"/>
        <v>0</v>
      </c>
    </row>
    <row r="1114" spans="1:55">
      <c r="A1114" s="403"/>
      <c r="B1114" s="445">
        <v>44580</v>
      </c>
      <c r="C1114" s="445">
        <v>44615</v>
      </c>
      <c r="D1114" s="416" t="s">
        <v>1914</v>
      </c>
      <c r="E1114" s="405"/>
      <c r="F1114" s="405"/>
      <c r="G1114" s="405">
        <v>2022</v>
      </c>
      <c r="H1114" s="405">
        <v>5</v>
      </c>
      <c r="I1114" s="416">
        <v>128564</v>
      </c>
      <c r="J1114" s="406">
        <v>44683</v>
      </c>
      <c r="K1114" s="414" t="s">
        <v>1979</v>
      </c>
      <c r="L1114" s="405" t="s">
        <v>1915</v>
      </c>
      <c r="M1114" s="418">
        <v>44547</v>
      </c>
      <c r="N1114" s="418">
        <v>44637</v>
      </c>
      <c r="O1114" s="418"/>
      <c r="P1114" s="406">
        <v>44665</v>
      </c>
      <c r="Q1114" s="406">
        <v>44680</v>
      </c>
      <c r="R1114" s="406">
        <v>44680</v>
      </c>
      <c r="S1114" s="405" t="s">
        <v>1443</v>
      </c>
      <c r="T1114" s="405">
        <v>60</v>
      </c>
      <c r="U1114" s="405" t="s">
        <v>1922</v>
      </c>
      <c r="V1114" s="405" t="s">
        <v>970</v>
      </c>
      <c r="W1114" s="405">
        <v>410</v>
      </c>
      <c r="X1114" s="407">
        <v>896</v>
      </c>
      <c r="Y1114" s="408">
        <f t="shared" si="254"/>
        <v>367360</v>
      </c>
      <c r="Z1114" s="409">
        <f>192.7/410</f>
        <v>0.47</v>
      </c>
      <c r="AA1114" s="410">
        <f t="shared" si="255"/>
        <v>172659.19999999998</v>
      </c>
      <c r="AB1114" s="411"/>
      <c r="AC1114" s="412">
        <f>AB1114*Y1114</f>
        <v>0</v>
      </c>
      <c r="AD1114" s="421"/>
      <c r="AE1114" s="413"/>
      <c r="AF1114" s="424">
        <f t="shared" si="256"/>
        <v>172659.19999999998</v>
      </c>
      <c r="AG1114" s="405" t="s">
        <v>47</v>
      </c>
      <c r="AH1114" s="405"/>
      <c r="AI1114" s="414" t="s">
        <v>1916</v>
      </c>
      <c r="AJ1114" s="405" t="s">
        <v>1917</v>
      </c>
      <c r="AK1114" s="425" t="s">
        <v>50</v>
      </c>
      <c r="AL1114" s="405">
        <v>91730</v>
      </c>
      <c r="AM1114" s="405" t="s">
        <v>52</v>
      </c>
      <c r="AN1114" s="405" t="s">
        <v>50</v>
      </c>
      <c r="AO1114" s="405"/>
      <c r="AP1114" s="417" t="s">
        <v>92</v>
      </c>
      <c r="AQ1114" s="417" t="s">
        <v>37</v>
      </c>
      <c r="AR1114" s="417"/>
      <c r="AS1114" s="426"/>
      <c r="AT1114" s="426"/>
      <c r="AU1114" s="409"/>
      <c r="AV1114" s="402" t="str">
        <f t="shared" si="257"/>
        <v>30372158H</v>
      </c>
      <c r="AW1114" s="402" cm="1">
        <f t="array" ref="AW1114">SUM(MID(0&amp;AV1114,LARGE(INDEX(ISNUMBER(--MID(AV1114,ROW($1:$8),1))*ROW($1:$8),),ROW($1:$8))+1,1)*10^ROW($1:$8)/10)</f>
        <v>30372158</v>
      </c>
      <c r="AX1114" s="402" t="e">
        <f>VLOOKUP($AW1114,'Item Master Data'!$A:$F,3,FALSE)</f>
        <v>#N/A</v>
      </c>
      <c r="AY1114" s="402" t="e">
        <f>VLOOKUP($AW1114,'Item Master Data'!$A:$F,6,FALSE)</f>
        <v>#N/A</v>
      </c>
      <c r="AZ1114" s="402" t="e">
        <f t="shared" si="258"/>
        <v>#N/A</v>
      </c>
      <c r="BA1114" s="402" t="e">
        <f>VLOOKUP(AW1114,'Item Master Data'!$A:$G,7,FALSE)</f>
        <v>#N/A</v>
      </c>
      <c r="BB1114" s="402"/>
      <c r="BC1114" s="402" t="e">
        <f t="shared" si="259"/>
        <v>#N/A</v>
      </c>
    </row>
    <row r="1115" spans="1:55">
      <c r="A1115" s="403" t="s">
        <v>4584</v>
      </c>
      <c r="B1115" s="445">
        <v>44580</v>
      </c>
      <c r="C1115" s="445">
        <v>44615</v>
      </c>
      <c r="D1115" s="416" t="s">
        <v>1914</v>
      </c>
      <c r="E1115" s="405" t="s">
        <v>1972</v>
      </c>
      <c r="F1115" s="405"/>
      <c r="G1115" s="405">
        <v>2022</v>
      </c>
      <c r="H1115" s="405">
        <v>5</v>
      </c>
      <c r="I1115" s="416"/>
      <c r="J1115" s="406"/>
      <c r="K1115" s="414" t="s">
        <v>2029</v>
      </c>
      <c r="L1115" s="405" t="s">
        <v>1915</v>
      </c>
      <c r="M1115" s="418">
        <v>44540</v>
      </c>
      <c r="N1115" s="418">
        <v>44662</v>
      </c>
      <c r="O1115" s="418"/>
      <c r="P1115" s="406" t="s">
        <v>4449</v>
      </c>
      <c r="Q1115" s="406"/>
      <c r="R1115" s="406"/>
      <c r="S1115" s="405" t="s">
        <v>1443</v>
      </c>
      <c r="T1115" s="405">
        <v>60</v>
      </c>
      <c r="U1115" s="405" t="s">
        <v>1237</v>
      </c>
      <c r="V1115" s="405" t="s">
        <v>973</v>
      </c>
      <c r="W1115" s="405">
        <v>400</v>
      </c>
      <c r="X1115" s="407">
        <v>6656</v>
      </c>
      <c r="Y1115" s="408">
        <f t="shared" si="254"/>
        <v>2662400</v>
      </c>
      <c r="Z1115" s="409">
        <v>0.47</v>
      </c>
      <c r="AA1115" s="410">
        <f t="shared" si="255"/>
        <v>1251328</v>
      </c>
      <c r="AB1115" s="411"/>
      <c r="AC1115" s="412">
        <v>0</v>
      </c>
      <c r="AD1115" s="421"/>
      <c r="AE1115" s="413"/>
      <c r="AF1115" s="424">
        <f t="shared" si="256"/>
        <v>1251328</v>
      </c>
      <c r="AG1115" s="405" t="s">
        <v>47</v>
      </c>
      <c r="AH1115" s="405"/>
      <c r="AI1115" s="414" t="s">
        <v>1916</v>
      </c>
      <c r="AJ1115" s="405" t="s">
        <v>1449</v>
      </c>
      <c r="AK1115" s="425" t="s">
        <v>1070</v>
      </c>
      <c r="AL1115" s="405">
        <v>21075</v>
      </c>
      <c r="AM1115" s="405" t="s">
        <v>52</v>
      </c>
      <c r="AN1115" s="405" t="s">
        <v>1082</v>
      </c>
      <c r="AO1115" s="405"/>
      <c r="AP1115" s="417" t="s">
        <v>92</v>
      </c>
      <c r="AQ1115" s="417" t="s">
        <v>37</v>
      </c>
      <c r="AR1115" s="417"/>
      <c r="AS1115" s="426"/>
      <c r="AT1115" s="426"/>
      <c r="AU1115" s="409"/>
      <c r="AV1115" s="402" t="str">
        <f t="shared" si="257"/>
        <v>30390456H</v>
      </c>
      <c r="AW1115" s="402" cm="1">
        <f t="array" ref="AW1115">SUM(MID(0&amp;AV1115,LARGE(INDEX(ISNUMBER(--MID(AV1115,ROW($1:$8),1))*ROW($1:$8),),ROW($1:$8))+1,1)*10^ROW($1:$8)/10)</f>
        <v>30390456</v>
      </c>
      <c r="AX1115" s="402" t="str">
        <f>VLOOKUP($AW1115,'Item Master Data'!$A:$F,3,FALSE)</f>
        <v>Q.PEAK DUO BLK ML G10+</v>
      </c>
      <c r="AY1115" s="402">
        <f>VLOOKUP($AW1115,'Item Master Data'!$A:$F,6,FALSE)</f>
        <v>400</v>
      </c>
      <c r="AZ1115" s="402">
        <f t="shared" si="258"/>
        <v>208</v>
      </c>
      <c r="BA1115" s="402">
        <f>VLOOKUP(AW1115,'Item Master Data'!$A:$G,7,FALSE)</f>
        <v>32</v>
      </c>
      <c r="BB1115" s="402"/>
      <c r="BC1115" s="402">
        <f t="shared" si="259"/>
        <v>0</v>
      </c>
    </row>
    <row r="1116" spans="1:55">
      <c r="A1116" s="403" t="s">
        <v>4584</v>
      </c>
      <c r="B1116" s="445">
        <v>44580</v>
      </c>
      <c r="C1116" s="445">
        <v>44615</v>
      </c>
      <c r="D1116" s="416" t="s">
        <v>1914</v>
      </c>
      <c r="E1116" s="405" t="s">
        <v>1972</v>
      </c>
      <c r="F1116" s="405"/>
      <c r="G1116" s="405">
        <v>2022</v>
      </c>
      <c r="H1116" s="405">
        <v>5</v>
      </c>
      <c r="I1116" s="416"/>
      <c r="J1116" s="406"/>
      <c r="K1116" s="414" t="s">
        <v>4432</v>
      </c>
      <c r="L1116" s="405" t="s">
        <v>1915</v>
      </c>
      <c r="M1116" s="418">
        <v>44540</v>
      </c>
      <c r="N1116" s="418">
        <v>44664</v>
      </c>
      <c r="O1116" s="418"/>
      <c r="P1116" s="406" t="s">
        <v>4449</v>
      </c>
      <c r="Q1116" s="406"/>
      <c r="R1116" s="406"/>
      <c r="S1116" s="405" t="s">
        <v>1443</v>
      </c>
      <c r="T1116" s="405">
        <v>60</v>
      </c>
      <c r="U1116" s="405" t="s">
        <v>1559</v>
      </c>
      <c r="V1116" s="405" t="s">
        <v>973</v>
      </c>
      <c r="W1116" s="405">
        <v>400</v>
      </c>
      <c r="X1116" s="407">
        <v>4160</v>
      </c>
      <c r="Y1116" s="408">
        <f t="shared" si="254"/>
        <v>1664000</v>
      </c>
      <c r="Z1116" s="409">
        <v>0.47</v>
      </c>
      <c r="AA1116" s="410">
        <f t="shared" si="255"/>
        <v>782080</v>
      </c>
      <c r="AB1116" s="411"/>
      <c r="AC1116" s="412">
        <v>0</v>
      </c>
      <c r="AD1116" s="421"/>
      <c r="AE1116" s="413"/>
      <c r="AF1116" s="424">
        <f t="shared" si="256"/>
        <v>782080</v>
      </c>
      <c r="AG1116" s="405" t="s">
        <v>47</v>
      </c>
      <c r="AH1116" s="405"/>
      <c r="AI1116" s="414" t="s">
        <v>1916</v>
      </c>
      <c r="AJ1116" s="405" t="s">
        <v>1919</v>
      </c>
      <c r="AK1116" s="425" t="s">
        <v>1292</v>
      </c>
      <c r="AL1116" s="405">
        <v>17402</v>
      </c>
      <c r="AM1116" s="405" t="s">
        <v>52</v>
      </c>
      <c r="AN1116" s="405" t="s">
        <v>50</v>
      </c>
      <c r="AO1116" s="405"/>
      <c r="AP1116" s="417" t="s">
        <v>92</v>
      </c>
      <c r="AQ1116" s="417" t="s">
        <v>37</v>
      </c>
      <c r="AR1116" s="417"/>
      <c r="AS1116" s="426"/>
      <c r="AT1116" s="426"/>
      <c r="AU1116" s="409"/>
      <c r="AV1116" s="402" t="str">
        <f t="shared" si="257"/>
        <v>30390156H</v>
      </c>
      <c r="AW1116" s="402" cm="1">
        <f t="array" ref="AW1116">SUM(MID(0&amp;AV1116,LARGE(INDEX(ISNUMBER(--MID(AV1116,ROW($1:$8),1))*ROW($1:$8),),ROW($1:$8))+1,1)*10^ROW($1:$8)/10)</f>
        <v>30390156</v>
      </c>
      <c r="AX1116" s="402" t="str">
        <f>VLOOKUP($AW1116,'Item Master Data'!$A:$F,3,FALSE)</f>
        <v>Q.PEAK DUO BLK ML G10+</v>
      </c>
      <c r="AY1116" s="402">
        <f>VLOOKUP($AW1116,'Item Master Data'!$A:$F,6,FALSE)</f>
        <v>400</v>
      </c>
      <c r="AZ1116" s="402">
        <f t="shared" si="258"/>
        <v>130</v>
      </c>
      <c r="BA1116" s="402">
        <f>VLOOKUP(AW1116,'Item Master Data'!$A:$G,7,FALSE)</f>
        <v>32</v>
      </c>
      <c r="BB1116" s="402"/>
      <c r="BC1116" s="402">
        <f t="shared" si="259"/>
        <v>0</v>
      </c>
    </row>
    <row r="1117" spans="1:55">
      <c r="A1117" s="403"/>
      <c r="B1117" s="445">
        <v>44580</v>
      </c>
      <c r="C1117" s="445">
        <v>44615</v>
      </c>
      <c r="D1117" s="416" t="s">
        <v>1914</v>
      </c>
      <c r="E1117" s="405"/>
      <c r="F1117" s="405"/>
      <c r="G1117" s="405">
        <v>2022</v>
      </c>
      <c r="H1117" s="405">
        <v>5</v>
      </c>
      <c r="I1117" s="416">
        <v>128564</v>
      </c>
      <c r="J1117" s="406">
        <v>44683</v>
      </c>
      <c r="K1117" s="414" t="s">
        <v>1979</v>
      </c>
      <c r="L1117" s="405" t="s">
        <v>1915</v>
      </c>
      <c r="M1117" s="418">
        <v>44547</v>
      </c>
      <c r="N1117" s="418">
        <v>44637</v>
      </c>
      <c r="O1117" s="418"/>
      <c r="P1117" s="406">
        <v>44665</v>
      </c>
      <c r="Q1117" s="406">
        <v>44683</v>
      </c>
      <c r="R1117" s="406">
        <v>44683</v>
      </c>
      <c r="S1117" s="405" t="s">
        <v>1443</v>
      </c>
      <c r="T1117" s="405">
        <v>60</v>
      </c>
      <c r="U1117" s="405" t="s">
        <v>4835</v>
      </c>
      <c r="V1117" s="405" t="s">
        <v>970</v>
      </c>
      <c r="W1117" s="405">
        <v>410</v>
      </c>
      <c r="X1117" s="407">
        <v>768</v>
      </c>
      <c r="Y1117" s="408">
        <f t="shared" si="254"/>
        <v>314880</v>
      </c>
      <c r="Z1117" s="409">
        <f>192.7/410</f>
        <v>0.47</v>
      </c>
      <c r="AA1117" s="410">
        <f t="shared" si="255"/>
        <v>147993.60000000001</v>
      </c>
      <c r="AB1117" s="411"/>
      <c r="AC1117" s="412">
        <f>AB1117*Y1117</f>
        <v>0</v>
      </c>
      <c r="AD1117" s="421"/>
      <c r="AE1117" s="413"/>
      <c r="AF1117" s="424">
        <f t="shared" si="256"/>
        <v>147993.60000000001</v>
      </c>
      <c r="AG1117" s="405" t="s">
        <v>47</v>
      </c>
      <c r="AH1117" s="405"/>
      <c r="AI1117" s="414" t="s">
        <v>1916</v>
      </c>
      <c r="AJ1117" s="405" t="s">
        <v>1917</v>
      </c>
      <c r="AK1117" s="425" t="s">
        <v>50</v>
      </c>
      <c r="AL1117" s="405">
        <v>91730</v>
      </c>
      <c r="AM1117" s="405" t="s">
        <v>52</v>
      </c>
      <c r="AN1117" s="405" t="s">
        <v>50</v>
      </c>
      <c r="AO1117" s="405"/>
      <c r="AP1117" s="417" t="s">
        <v>92</v>
      </c>
      <c r="AQ1117" s="417" t="s">
        <v>37</v>
      </c>
      <c r="AR1117" s="417"/>
      <c r="AS1117" s="426"/>
      <c r="AT1117" s="426"/>
      <c r="AU1117" s="409"/>
      <c r="AV1117" s="402" t="str">
        <f t="shared" si="257"/>
        <v>30372158C</v>
      </c>
      <c r="AW1117" s="402" cm="1">
        <f t="array" ref="AW1117">SUM(MID(0&amp;AV1117,LARGE(INDEX(ISNUMBER(--MID(AV1117,ROW($1:$8),1))*ROW($1:$8),),ROW($1:$8))+1,1)*10^ROW($1:$8)/10)</f>
        <v>30372158</v>
      </c>
      <c r="AX1117" s="402" t="e">
        <f>VLOOKUP($AW1117,'Item Master Data'!$A:$F,3,FALSE)</f>
        <v>#N/A</v>
      </c>
      <c r="AY1117" s="402" t="e">
        <f>VLOOKUP($AW1117,'Item Master Data'!$A:$F,6,FALSE)</f>
        <v>#N/A</v>
      </c>
      <c r="AZ1117" s="402" t="e">
        <f t="shared" si="258"/>
        <v>#N/A</v>
      </c>
      <c r="BA1117" s="402" t="e">
        <f>VLOOKUP(AW1117,'Item Master Data'!$A:$G,7,FALSE)</f>
        <v>#N/A</v>
      </c>
      <c r="BB1117" s="402"/>
      <c r="BC1117" s="402" t="e">
        <f t="shared" si="259"/>
        <v>#N/A</v>
      </c>
    </row>
    <row r="1118" spans="1:55">
      <c r="A1118" s="403"/>
      <c r="B1118" s="445">
        <v>44580</v>
      </c>
      <c r="C1118" s="445">
        <v>44615</v>
      </c>
      <c r="D1118" s="416" t="s">
        <v>1914</v>
      </c>
      <c r="E1118" s="405"/>
      <c r="F1118" s="405"/>
      <c r="G1118" s="405">
        <v>2022</v>
      </c>
      <c r="H1118" s="405">
        <v>5</v>
      </c>
      <c r="I1118" s="416"/>
      <c r="J1118" s="406"/>
      <c r="K1118" s="414" t="s">
        <v>1979</v>
      </c>
      <c r="L1118" s="405" t="s">
        <v>1915</v>
      </c>
      <c r="M1118" s="418">
        <v>44547</v>
      </c>
      <c r="N1118" s="418">
        <v>44637</v>
      </c>
      <c r="O1118" s="418"/>
      <c r="P1118" s="406">
        <v>44665</v>
      </c>
      <c r="Q1118" s="406"/>
      <c r="R1118" s="406"/>
      <c r="S1118" s="405" t="s">
        <v>1443</v>
      </c>
      <c r="T1118" s="405">
        <v>60</v>
      </c>
      <c r="U1118" s="405" t="s">
        <v>1922</v>
      </c>
      <c r="V1118" s="405" t="s">
        <v>970</v>
      </c>
      <c r="W1118" s="405">
        <v>410</v>
      </c>
      <c r="X1118" s="407">
        <v>2496</v>
      </c>
      <c r="Y1118" s="408">
        <f t="shared" si="254"/>
        <v>1023360</v>
      </c>
      <c r="Z1118" s="409">
        <f>192.7/410</f>
        <v>0.47</v>
      </c>
      <c r="AA1118" s="410">
        <f t="shared" si="255"/>
        <v>480979.19999999995</v>
      </c>
      <c r="AB1118" s="411"/>
      <c r="AC1118" s="412">
        <f>AB1118*Y1118</f>
        <v>0</v>
      </c>
      <c r="AD1118" s="421"/>
      <c r="AE1118" s="413"/>
      <c r="AF1118" s="424">
        <f t="shared" si="256"/>
        <v>480979.19999999995</v>
      </c>
      <c r="AG1118" s="405" t="s">
        <v>47</v>
      </c>
      <c r="AH1118" s="405"/>
      <c r="AI1118" s="414" t="s">
        <v>1916</v>
      </c>
      <c r="AJ1118" s="405" t="s">
        <v>1917</v>
      </c>
      <c r="AK1118" s="425" t="s">
        <v>50</v>
      </c>
      <c r="AL1118" s="405">
        <v>91730</v>
      </c>
      <c r="AM1118" s="405" t="s">
        <v>52</v>
      </c>
      <c r="AN1118" s="405" t="s">
        <v>50</v>
      </c>
      <c r="AO1118" s="405"/>
      <c r="AP1118" s="417" t="s">
        <v>92</v>
      </c>
      <c r="AQ1118" s="417" t="s">
        <v>37</v>
      </c>
      <c r="AR1118" s="417"/>
      <c r="AS1118" s="426"/>
      <c r="AT1118" s="426"/>
      <c r="AU1118" s="409"/>
      <c r="AV1118" s="402" t="str">
        <f t="shared" si="257"/>
        <v>30372158H</v>
      </c>
      <c r="AW1118" s="402" cm="1">
        <f t="array" ref="AW1118">SUM(MID(0&amp;AV1118,LARGE(INDEX(ISNUMBER(--MID(AV1118,ROW($1:$8),1))*ROW($1:$8),),ROW($1:$8))+1,1)*10^ROW($1:$8)/10)</f>
        <v>30372158</v>
      </c>
      <c r="AX1118" s="402" t="e">
        <f>VLOOKUP($AW1118,'Item Master Data'!$A:$F,3,FALSE)</f>
        <v>#N/A</v>
      </c>
      <c r="AY1118" s="402" t="e">
        <f>VLOOKUP($AW1118,'Item Master Data'!$A:$F,6,FALSE)</f>
        <v>#N/A</v>
      </c>
      <c r="AZ1118" s="402" t="e">
        <f t="shared" si="258"/>
        <v>#N/A</v>
      </c>
      <c r="BA1118" s="402" t="e">
        <f>VLOOKUP(AW1118,'Item Master Data'!$A:$G,7,FALSE)</f>
        <v>#N/A</v>
      </c>
      <c r="BB1118" s="402"/>
      <c r="BC1118" s="402" t="e">
        <f t="shared" si="259"/>
        <v>#N/A</v>
      </c>
    </row>
    <row r="1119" spans="1:55">
      <c r="A1119" s="403"/>
      <c r="B1119" s="445">
        <v>44580</v>
      </c>
      <c r="C1119" s="445">
        <v>44615</v>
      </c>
      <c r="D1119" s="416" t="s">
        <v>1914</v>
      </c>
      <c r="E1119" s="405"/>
      <c r="F1119" s="405"/>
      <c r="G1119" s="405">
        <v>2022</v>
      </c>
      <c r="H1119" s="405">
        <v>6</v>
      </c>
      <c r="I1119" s="416"/>
      <c r="J1119" s="406"/>
      <c r="K1119" s="414" t="s">
        <v>2030</v>
      </c>
      <c r="L1119" s="405" t="s">
        <v>1915</v>
      </c>
      <c r="M1119" s="418">
        <v>44547</v>
      </c>
      <c r="N1119" s="418">
        <v>44637</v>
      </c>
      <c r="O1119" s="418"/>
      <c r="P1119" s="406" t="s">
        <v>4449</v>
      </c>
      <c r="Q1119" s="406"/>
      <c r="R1119" s="406"/>
      <c r="S1119" s="405" t="s">
        <v>1443</v>
      </c>
      <c r="T1119" s="405">
        <v>60</v>
      </c>
      <c r="U1119" s="405" t="s">
        <v>4451</v>
      </c>
      <c r="V1119" s="405" t="s">
        <v>970</v>
      </c>
      <c r="W1119" s="405">
        <v>410</v>
      </c>
      <c r="X1119" s="407">
        <v>1664</v>
      </c>
      <c r="Y1119" s="408">
        <f t="shared" si="254"/>
        <v>682240</v>
      </c>
      <c r="Z1119" s="409">
        <f>192.7/410</f>
        <v>0.47</v>
      </c>
      <c r="AA1119" s="410">
        <f t="shared" si="255"/>
        <v>320652.79999999999</v>
      </c>
      <c r="AB1119" s="411"/>
      <c r="AC1119" s="412">
        <f>AB1119*Y1119</f>
        <v>0</v>
      </c>
      <c r="AD1119" s="421"/>
      <c r="AE1119" s="413"/>
      <c r="AF1119" s="424">
        <f t="shared" si="256"/>
        <v>320652.79999999999</v>
      </c>
      <c r="AG1119" s="405" t="s">
        <v>47</v>
      </c>
      <c r="AH1119" s="405"/>
      <c r="AI1119" s="414" t="s">
        <v>1916</v>
      </c>
      <c r="AJ1119" s="405" t="s">
        <v>1917</v>
      </c>
      <c r="AK1119" s="425" t="s">
        <v>50</v>
      </c>
      <c r="AL1119" s="405">
        <v>91730</v>
      </c>
      <c r="AM1119" s="405" t="s">
        <v>52</v>
      </c>
      <c r="AN1119" s="405" t="s">
        <v>50</v>
      </c>
      <c r="AO1119" s="405"/>
      <c r="AP1119" s="417" t="s">
        <v>92</v>
      </c>
      <c r="AQ1119" s="417" t="s">
        <v>37</v>
      </c>
      <c r="AR1119" s="417"/>
      <c r="AS1119" s="426"/>
      <c r="AT1119" s="426"/>
      <c r="AU1119" s="409"/>
      <c r="AV1119" s="402" t="str">
        <f t="shared" si="257"/>
        <v>30385558H</v>
      </c>
      <c r="AW1119" s="402" cm="1">
        <f t="array" ref="AW1119">SUM(MID(0&amp;AV1119,LARGE(INDEX(ISNUMBER(--MID(AV1119,ROW($1:$8),1))*ROW($1:$8),),ROW($1:$8))+1,1)*10^ROW($1:$8)/10)</f>
        <v>30385558</v>
      </c>
      <c r="AX1119" s="402" t="str">
        <f>VLOOKUP($AW1119,'Item Master Data'!$A:$F,3,FALSE)</f>
        <v>Q.PEAK DUO ML G10+</v>
      </c>
      <c r="AY1119" s="402">
        <f>VLOOKUP($AW1119,'Item Master Data'!$A:$F,6,FALSE)</f>
        <v>410</v>
      </c>
      <c r="AZ1119" s="402">
        <f t="shared" si="258"/>
        <v>52</v>
      </c>
      <c r="BA1119" s="402">
        <f>VLOOKUP(AW1119,'Item Master Data'!$A:$G,7,FALSE)</f>
        <v>32</v>
      </c>
      <c r="BB1119" s="402"/>
      <c r="BC1119" s="402">
        <f t="shared" si="259"/>
        <v>0</v>
      </c>
    </row>
    <row r="1120" spans="1:55">
      <c r="A1120" s="403" t="s">
        <v>4584</v>
      </c>
      <c r="B1120" s="445"/>
      <c r="C1120" s="445"/>
      <c r="D1120" s="416" t="s">
        <v>1914</v>
      </c>
      <c r="E1120" s="405"/>
      <c r="F1120" s="405"/>
      <c r="G1120" s="405">
        <v>2022</v>
      </c>
      <c r="H1120" s="405">
        <v>5</v>
      </c>
      <c r="I1120" s="416" t="s">
        <v>4734</v>
      </c>
      <c r="J1120" s="406">
        <v>44687</v>
      </c>
      <c r="K1120" s="414" t="s">
        <v>2035</v>
      </c>
      <c r="L1120" s="405" t="s">
        <v>1926</v>
      </c>
      <c r="M1120" s="418">
        <v>44504</v>
      </c>
      <c r="N1120" s="418">
        <v>44652</v>
      </c>
      <c r="O1120" s="418"/>
      <c r="P1120" s="406">
        <v>44680</v>
      </c>
      <c r="Q1120" s="406">
        <v>44687</v>
      </c>
      <c r="R1120" s="406">
        <v>44690</v>
      </c>
      <c r="S1120" s="405" t="s">
        <v>1923</v>
      </c>
      <c r="T1120" s="405">
        <v>60</v>
      </c>
      <c r="U1120" s="405" t="s">
        <v>1559</v>
      </c>
      <c r="V1120" s="405" t="s">
        <v>973</v>
      </c>
      <c r="W1120" s="405">
        <v>400</v>
      </c>
      <c r="X1120" s="407">
        <v>832</v>
      </c>
      <c r="Y1120" s="408">
        <f t="shared" si="254"/>
        <v>332800</v>
      </c>
      <c r="Z1120" s="409">
        <v>0.55000000000000004</v>
      </c>
      <c r="AA1120" s="410">
        <f t="shared" si="255"/>
        <v>183040.00000000003</v>
      </c>
      <c r="AB1120" s="411"/>
      <c r="AC1120" s="412">
        <v>0</v>
      </c>
      <c r="AD1120" s="421"/>
      <c r="AE1120" s="413"/>
      <c r="AF1120" s="424">
        <f t="shared" si="256"/>
        <v>183040.00000000003</v>
      </c>
      <c r="AG1120" s="405" t="s">
        <v>1069</v>
      </c>
      <c r="AH1120" s="405"/>
      <c r="AI1120" s="414">
        <v>60</v>
      </c>
      <c r="AJ1120" s="405" t="s">
        <v>1927</v>
      </c>
      <c r="AK1120" s="425" t="s">
        <v>1136</v>
      </c>
      <c r="AL1120" s="405">
        <v>78744</v>
      </c>
      <c r="AM1120" s="405" t="s">
        <v>52</v>
      </c>
      <c r="AN1120" s="405" t="s">
        <v>50</v>
      </c>
      <c r="AO1120" s="405"/>
      <c r="AP1120" s="417" t="s">
        <v>38</v>
      </c>
      <c r="AQ1120" s="417"/>
      <c r="AR1120" s="417" t="s">
        <v>1925</v>
      </c>
      <c r="AS1120" s="426"/>
      <c r="AT1120" s="426"/>
      <c r="AU1120" s="409">
        <v>0.48</v>
      </c>
      <c r="AV1120" s="402" t="str">
        <f t="shared" si="257"/>
        <v>30390156H</v>
      </c>
      <c r="AW1120" s="402" cm="1">
        <f t="array" ref="AW1120">SUM(MID(0&amp;AV1120,LARGE(INDEX(ISNUMBER(--MID(AV1120,ROW($1:$8),1))*ROW($1:$8),),ROW($1:$8))+1,1)*10^ROW($1:$8)/10)</f>
        <v>30390156</v>
      </c>
      <c r="AX1120" s="402" t="str">
        <f>VLOOKUP($AW1120,'Item Master Data'!$A:$F,3,FALSE)</f>
        <v>Q.PEAK DUO BLK ML G10+</v>
      </c>
      <c r="AY1120" s="402">
        <f>VLOOKUP($AW1120,'Item Master Data'!$A:$F,6,FALSE)</f>
        <v>400</v>
      </c>
      <c r="AZ1120" s="402">
        <f t="shared" si="258"/>
        <v>26</v>
      </c>
      <c r="BA1120" s="402">
        <f>VLOOKUP(AW1120,'Item Master Data'!$A:$G,7,FALSE)</f>
        <v>32</v>
      </c>
      <c r="BB1120" s="402"/>
      <c r="BC1120" s="402">
        <f t="shared" si="259"/>
        <v>0</v>
      </c>
    </row>
    <row r="1121" spans="1:55">
      <c r="A1121" s="403" t="s">
        <v>4584</v>
      </c>
      <c r="B1121" s="445"/>
      <c r="C1121" s="445"/>
      <c r="D1121" s="416" t="s">
        <v>1914</v>
      </c>
      <c r="E1121" s="405" t="s">
        <v>4921</v>
      </c>
      <c r="F1121" s="405"/>
      <c r="G1121" s="405">
        <v>2022</v>
      </c>
      <c r="H1121" s="405">
        <v>5</v>
      </c>
      <c r="I1121" s="416"/>
      <c r="J1121" s="406"/>
      <c r="K1121" s="414" t="s">
        <v>2035</v>
      </c>
      <c r="L1121" s="405" t="s">
        <v>1926</v>
      </c>
      <c r="M1121" s="418">
        <v>44504</v>
      </c>
      <c r="N1121" s="418">
        <v>44652</v>
      </c>
      <c r="O1121" s="418"/>
      <c r="P1121" s="406">
        <v>44680</v>
      </c>
      <c r="Q1121" s="406">
        <v>44694</v>
      </c>
      <c r="R1121" s="406">
        <v>44697</v>
      </c>
      <c r="S1121" s="405" t="s">
        <v>1923</v>
      </c>
      <c r="T1121" s="405">
        <v>60</v>
      </c>
      <c r="U1121" s="405" t="s">
        <v>1559</v>
      </c>
      <c r="V1121" s="405" t="s">
        <v>973</v>
      </c>
      <c r="W1121" s="405">
        <v>400</v>
      </c>
      <c r="X1121" s="407">
        <f>1664-832</f>
        <v>832</v>
      </c>
      <c r="Y1121" s="408">
        <f t="shared" si="254"/>
        <v>332800</v>
      </c>
      <c r="Z1121" s="409">
        <v>0.55000000000000004</v>
      </c>
      <c r="AA1121" s="410">
        <f t="shared" si="255"/>
        <v>183040.00000000003</v>
      </c>
      <c r="AB1121" s="411"/>
      <c r="AC1121" s="412">
        <v>0</v>
      </c>
      <c r="AD1121" s="421"/>
      <c r="AE1121" s="413"/>
      <c r="AF1121" s="424">
        <f t="shared" si="256"/>
        <v>183040.00000000003</v>
      </c>
      <c r="AG1121" s="405" t="s">
        <v>1069</v>
      </c>
      <c r="AH1121" s="405"/>
      <c r="AI1121" s="414">
        <v>60</v>
      </c>
      <c r="AJ1121" s="405" t="s">
        <v>1927</v>
      </c>
      <c r="AK1121" s="425" t="s">
        <v>1136</v>
      </c>
      <c r="AL1121" s="405">
        <v>78744</v>
      </c>
      <c r="AM1121" s="405" t="s">
        <v>52</v>
      </c>
      <c r="AN1121" s="405" t="s">
        <v>50</v>
      </c>
      <c r="AO1121" s="405"/>
      <c r="AP1121" s="417" t="s">
        <v>38</v>
      </c>
      <c r="AQ1121" s="417"/>
      <c r="AR1121" s="417" t="s">
        <v>1925</v>
      </c>
      <c r="AS1121" s="426"/>
      <c r="AT1121" s="426"/>
      <c r="AU1121" s="409">
        <v>0.48</v>
      </c>
      <c r="AV1121" s="402" t="str">
        <f t="shared" si="257"/>
        <v>30390156H</v>
      </c>
      <c r="AW1121" s="402" cm="1">
        <f t="array" ref="AW1121">SUM(MID(0&amp;AV1121,LARGE(INDEX(ISNUMBER(--MID(AV1121,ROW($1:$8),1))*ROW($1:$8),),ROW($1:$8))+1,1)*10^ROW($1:$8)/10)</f>
        <v>30390156</v>
      </c>
      <c r="AX1121" s="402" t="str">
        <f>VLOOKUP($AW1121,'Item Master Data'!$A:$F,3,FALSE)</f>
        <v>Q.PEAK DUO BLK ML G10+</v>
      </c>
      <c r="AY1121" s="402">
        <f>VLOOKUP($AW1121,'Item Master Data'!$A:$F,6,FALSE)</f>
        <v>400</v>
      </c>
      <c r="AZ1121" s="402">
        <f t="shared" si="258"/>
        <v>26</v>
      </c>
      <c r="BA1121" s="402">
        <f>VLOOKUP(AW1121,'Item Master Data'!$A:$G,7,FALSE)</f>
        <v>32</v>
      </c>
      <c r="BB1121" s="402"/>
      <c r="BC1121" s="402">
        <f t="shared" si="259"/>
        <v>0</v>
      </c>
    </row>
    <row r="1122" spans="1:55">
      <c r="A1122" s="403" t="s">
        <v>4584</v>
      </c>
      <c r="B1122" s="445">
        <v>44508</v>
      </c>
      <c r="C1122" s="445">
        <v>44593</v>
      </c>
      <c r="D1122" s="416" t="s">
        <v>1914</v>
      </c>
      <c r="E1122" s="405"/>
      <c r="F1122" s="405"/>
      <c r="G1122" s="405">
        <v>2022</v>
      </c>
      <c r="H1122" s="405">
        <v>5</v>
      </c>
      <c r="I1122" s="416">
        <v>128519</v>
      </c>
      <c r="J1122" s="406">
        <v>44687</v>
      </c>
      <c r="K1122" s="414" t="s">
        <v>2032</v>
      </c>
      <c r="L1122" s="405" t="s">
        <v>1928</v>
      </c>
      <c r="M1122" s="418">
        <v>44505</v>
      </c>
      <c r="N1122" s="418">
        <v>44593</v>
      </c>
      <c r="O1122" s="418"/>
      <c r="P1122" s="406">
        <v>44680</v>
      </c>
      <c r="Q1122" s="406">
        <v>44687</v>
      </c>
      <c r="R1122" s="406">
        <v>44690</v>
      </c>
      <c r="S1122" s="405" t="s">
        <v>1923</v>
      </c>
      <c r="T1122" s="405">
        <v>60</v>
      </c>
      <c r="U1122" s="405" t="s">
        <v>1559</v>
      </c>
      <c r="V1122" s="405" t="s">
        <v>973</v>
      </c>
      <c r="W1122" s="405">
        <v>400</v>
      </c>
      <c r="X1122" s="407">
        <v>704</v>
      </c>
      <c r="Y1122" s="408">
        <f t="shared" si="254"/>
        <v>281600</v>
      </c>
      <c r="Z1122" s="409">
        <f>220/400</f>
        <v>0.55000000000000004</v>
      </c>
      <c r="AA1122" s="410">
        <f t="shared" si="255"/>
        <v>154880</v>
      </c>
      <c r="AB1122" s="411"/>
      <c r="AC1122" s="412">
        <v>0</v>
      </c>
      <c r="AD1122" s="421"/>
      <c r="AE1122" s="413"/>
      <c r="AF1122" s="424">
        <f t="shared" si="256"/>
        <v>154880</v>
      </c>
      <c r="AG1122" s="405" t="s">
        <v>1069</v>
      </c>
      <c r="AH1122" s="405"/>
      <c r="AI1122" s="414">
        <v>60</v>
      </c>
      <c r="AJ1122" s="405" t="s">
        <v>1929</v>
      </c>
      <c r="AK1122" s="425" t="s">
        <v>1930</v>
      </c>
      <c r="AL1122" s="405">
        <v>80223</v>
      </c>
      <c r="AM1122" s="405" t="s">
        <v>52</v>
      </c>
      <c r="AN1122" s="405" t="s">
        <v>50</v>
      </c>
      <c r="AO1122" s="405"/>
      <c r="AP1122" s="417" t="s">
        <v>38</v>
      </c>
      <c r="AQ1122" s="417"/>
      <c r="AR1122" s="417" t="s">
        <v>1925</v>
      </c>
      <c r="AS1122" s="426"/>
      <c r="AT1122" s="426"/>
      <c r="AU1122" s="409">
        <v>0.48</v>
      </c>
      <c r="AV1122" s="402" t="str">
        <f t="shared" si="257"/>
        <v>30390156H</v>
      </c>
      <c r="AW1122" s="402" cm="1">
        <f t="array" ref="AW1122">SUM(MID(0&amp;AV1122,LARGE(INDEX(ISNUMBER(--MID(AV1122,ROW($1:$8),1))*ROW($1:$8),),ROW($1:$8))+1,1)*10^ROW($1:$8)/10)</f>
        <v>30390156</v>
      </c>
      <c r="AX1122" s="402" t="str">
        <f>VLOOKUP($AW1122,'Item Master Data'!$A:$F,3,FALSE)</f>
        <v>Q.PEAK DUO BLK ML G10+</v>
      </c>
      <c r="AY1122" s="402">
        <f>VLOOKUP($AW1122,'Item Master Data'!$A:$F,6,FALSE)</f>
        <v>400</v>
      </c>
      <c r="AZ1122" s="402">
        <f t="shared" si="258"/>
        <v>22</v>
      </c>
      <c r="BA1122" s="402">
        <f>VLOOKUP(AW1122,'Item Master Data'!$A:$G,7,FALSE)</f>
        <v>32</v>
      </c>
      <c r="BB1122" s="402"/>
      <c r="BC1122" s="402">
        <f t="shared" si="259"/>
        <v>0</v>
      </c>
    </row>
    <row r="1123" spans="1:55">
      <c r="A1123" s="403" t="s">
        <v>4584</v>
      </c>
      <c r="B1123" s="445">
        <v>44508</v>
      </c>
      <c r="C1123" s="445">
        <v>44593</v>
      </c>
      <c r="D1123" s="416" t="s">
        <v>1914</v>
      </c>
      <c r="E1123" s="405" t="s">
        <v>4922</v>
      </c>
      <c r="F1123" s="405"/>
      <c r="G1123" s="405">
        <v>2022</v>
      </c>
      <c r="H1123" s="405">
        <v>5</v>
      </c>
      <c r="I1123" s="416"/>
      <c r="J1123" s="406"/>
      <c r="K1123" s="414" t="s">
        <v>2032</v>
      </c>
      <c r="L1123" s="405" t="s">
        <v>1928</v>
      </c>
      <c r="M1123" s="418">
        <v>44505</v>
      </c>
      <c r="N1123" s="418">
        <v>44593</v>
      </c>
      <c r="O1123" s="418"/>
      <c r="P1123" s="406">
        <v>44680</v>
      </c>
      <c r="Q1123" s="406">
        <v>44694</v>
      </c>
      <c r="R1123" s="406">
        <v>44697</v>
      </c>
      <c r="S1123" s="405" t="s">
        <v>1923</v>
      </c>
      <c r="T1123" s="405">
        <v>60</v>
      </c>
      <c r="U1123" s="405" t="s">
        <v>1559</v>
      </c>
      <c r="V1123" s="405" t="s">
        <v>973</v>
      </c>
      <c r="W1123" s="405">
        <v>400</v>
      </c>
      <c r="X1123" s="407">
        <f>1376-704</f>
        <v>672</v>
      </c>
      <c r="Y1123" s="408">
        <f t="shared" si="254"/>
        <v>268800</v>
      </c>
      <c r="Z1123" s="409">
        <f>220/400</f>
        <v>0.55000000000000004</v>
      </c>
      <c r="AA1123" s="410">
        <f t="shared" si="255"/>
        <v>147840</v>
      </c>
      <c r="AB1123" s="411"/>
      <c r="AC1123" s="412">
        <v>0</v>
      </c>
      <c r="AD1123" s="421"/>
      <c r="AE1123" s="413"/>
      <c r="AF1123" s="424">
        <f t="shared" si="256"/>
        <v>147840</v>
      </c>
      <c r="AG1123" s="405" t="s">
        <v>1069</v>
      </c>
      <c r="AH1123" s="405"/>
      <c r="AI1123" s="414">
        <v>60</v>
      </c>
      <c r="AJ1123" s="405" t="s">
        <v>1929</v>
      </c>
      <c r="AK1123" s="425" t="s">
        <v>1930</v>
      </c>
      <c r="AL1123" s="405">
        <v>80223</v>
      </c>
      <c r="AM1123" s="405" t="s">
        <v>52</v>
      </c>
      <c r="AN1123" s="405" t="s">
        <v>50</v>
      </c>
      <c r="AO1123" s="405"/>
      <c r="AP1123" s="417" t="s">
        <v>38</v>
      </c>
      <c r="AQ1123" s="417"/>
      <c r="AR1123" s="417" t="s">
        <v>1925</v>
      </c>
      <c r="AS1123" s="426"/>
      <c r="AT1123" s="426"/>
      <c r="AU1123" s="409">
        <v>0.48</v>
      </c>
      <c r="AV1123" s="402" t="str">
        <f t="shared" si="257"/>
        <v>30390156H</v>
      </c>
      <c r="AW1123" s="402" cm="1">
        <f t="array" ref="AW1123">SUM(MID(0&amp;AV1123,LARGE(INDEX(ISNUMBER(--MID(AV1123,ROW($1:$8),1))*ROW($1:$8),),ROW($1:$8))+1,1)*10^ROW($1:$8)/10)</f>
        <v>30390156</v>
      </c>
      <c r="AX1123" s="402" t="str">
        <f>VLOOKUP($AW1123,'Item Master Data'!$A:$F,3,FALSE)</f>
        <v>Q.PEAK DUO BLK ML G10+</v>
      </c>
      <c r="AY1123" s="402">
        <f>VLOOKUP($AW1123,'Item Master Data'!$A:$F,6,FALSE)</f>
        <v>400</v>
      </c>
      <c r="AZ1123" s="402">
        <f t="shared" si="258"/>
        <v>21</v>
      </c>
      <c r="BA1123" s="402">
        <f>VLOOKUP(AW1123,'Item Master Data'!$A:$G,7,FALSE)</f>
        <v>32</v>
      </c>
      <c r="BB1123" s="402"/>
      <c r="BC1123" s="402">
        <f t="shared" si="259"/>
        <v>0</v>
      </c>
    </row>
    <row r="1124" spans="1:55">
      <c r="A1124" s="403" t="s">
        <v>4584</v>
      </c>
      <c r="B1124" s="445"/>
      <c r="C1124" s="445"/>
      <c r="D1124" s="416" t="s">
        <v>1914</v>
      </c>
      <c r="E1124" s="405"/>
      <c r="F1124" s="405"/>
      <c r="G1124" s="405">
        <v>2022</v>
      </c>
      <c r="H1124" s="405">
        <v>5</v>
      </c>
      <c r="I1124" s="416">
        <v>128520</v>
      </c>
      <c r="J1124" s="406">
        <v>44687</v>
      </c>
      <c r="K1124" s="414" t="s">
        <v>2033</v>
      </c>
      <c r="L1124" s="405" t="s">
        <v>1931</v>
      </c>
      <c r="M1124" s="418">
        <v>44504</v>
      </c>
      <c r="N1124" s="418">
        <v>44627</v>
      </c>
      <c r="O1124" s="418" t="s">
        <v>1932</v>
      </c>
      <c r="P1124" s="406">
        <v>44680</v>
      </c>
      <c r="Q1124" s="406">
        <v>44687</v>
      </c>
      <c r="R1124" s="406">
        <v>44690</v>
      </c>
      <c r="S1124" s="405" t="s">
        <v>1443</v>
      </c>
      <c r="T1124" s="405">
        <v>60</v>
      </c>
      <c r="U1124" s="405" t="s">
        <v>1237</v>
      </c>
      <c r="V1124" s="405" t="s">
        <v>973</v>
      </c>
      <c r="W1124" s="405">
        <v>400</v>
      </c>
      <c r="X1124" s="407">
        <v>832</v>
      </c>
      <c r="Y1124" s="408">
        <f t="shared" si="254"/>
        <v>332800</v>
      </c>
      <c r="Z1124" s="409">
        <f>220/400</f>
        <v>0.55000000000000004</v>
      </c>
      <c r="AA1124" s="410">
        <f t="shared" si="255"/>
        <v>183040.00000000003</v>
      </c>
      <c r="AB1124" s="411"/>
      <c r="AC1124" s="412">
        <v>0</v>
      </c>
      <c r="AD1124" s="421"/>
      <c r="AE1124" s="413"/>
      <c r="AF1124" s="424">
        <f t="shared" si="256"/>
        <v>183040.00000000003</v>
      </c>
      <c r="AG1124" s="405" t="s">
        <v>1069</v>
      </c>
      <c r="AH1124" s="405"/>
      <c r="AI1124" s="414">
        <v>60</v>
      </c>
      <c r="AJ1124" s="405" t="s">
        <v>1933</v>
      </c>
      <c r="AK1124" s="425" t="s">
        <v>1328</v>
      </c>
      <c r="AL1124" s="405">
        <v>89118</v>
      </c>
      <c r="AM1124" s="405" t="s">
        <v>52</v>
      </c>
      <c r="AN1124" s="405" t="s">
        <v>50</v>
      </c>
      <c r="AO1124" s="405"/>
      <c r="AP1124" s="417" t="s">
        <v>38</v>
      </c>
      <c r="AQ1124" s="417" t="s">
        <v>37</v>
      </c>
      <c r="AR1124" s="417" t="s">
        <v>1934</v>
      </c>
      <c r="AS1124" s="426"/>
      <c r="AT1124" s="426"/>
      <c r="AU1124" s="409">
        <f>192/400</f>
        <v>0.48</v>
      </c>
      <c r="AV1124" s="402" t="str">
        <f t="shared" si="257"/>
        <v>30390456H</v>
      </c>
      <c r="AW1124" s="402" cm="1">
        <f t="array" ref="AW1124">SUM(MID(0&amp;AV1124,LARGE(INDEX(ISNUMBER(--MID(AV1124,ROW($1:$8),1))*ROW($1:$8),),ROW($1:$8))+1,1)*10^ROW($1:$8)/10)</f>
        <v>30390456</v>
      </c>
      <c r="AX1124" s="402" t="str">
        <f>VLOOKUP($AW1124,'Item Master Data'!$A:$F,3,FALSE)</f>
        <v>Q.PEAK DUO BLK ML G10+</v>
      </c>
      <c r="AY1124" s="402">
        <f>VLOOKUP($AW1124,'Item Master Data'!$A:$F,6,FALSE)</f>
        <v>400</v>
      </c>
      <c r="AZ1124" s="402">
        <f t="shared" si="258"/>
        <v>26</v>
      </c>
      <c r="BA1124" s="402">
        <f>VLOOKUP(AW1124,'Item Master Data'!$A:$G,7,FALSE)</f>
        <v>32</v>
      </c>
      <c r="BB1124" s="402"/>
      <c r="BC1124" s="402">
        <f t="shared" si="259"/>
        <v>0</v>
      </c>
    </row>
    <row r="1125" spans="1:55">
      <c r="A1125" s="403" t="s">
        <v>4585</v>
      </c>
      <c r="B1125" s="445"/>
      <c r="C1125" s="445"/>
      <c r="D1125" s="416" t="s">
        <v>1914</v>
      </c>
      <c r="E1125" s="405"/>
      <c r="F1125" s="405"/>
      <c r="G1125" s="405">
        <v>2022</v>
      </c>
      <c r="H1125" s="405">
        <v>6</v>
      </c>
      <c r="I1125" s="416"/>
      <c r="J1125" s="406"/>
      <c r="K1125" s="414" t="s">
        <v>2033</v>
      </c>
      <c r="L1125" s="405" t="s">
        <v>1931</v>
      </c>
      <c r="M1125" s="418">
        <v>44504</v>
      </c>
      <c r="N1125" s="418">
        <v>44627</v>
      </c>
      <c r="O1125" s="418" t="s">
        <v>1932</v>
      </c>
      <c r="P1125" s="406" t="s">
        <v>4596</v>
      </c>
      <c r="Q1125" s="406"/>
      <c r="R1125" s="406"/>
      <c r="S1125" s="405" t="s">
        <v>1443</v>
      </c>
      <c r="T1125" s="405">
        <v>60</v>
      </c>
      <c r="U1125" s="405" t="s">
        <v>1237</v>
      </c>
      <c r="V1125" s="405" t="s">
        <v>973</v>
      </c>
      <c r="W1125" s="405">
        <v>400</v>
      </c>
      <c r="X1125" s="407">
        <f>1664-832</f>
        <v>832</v>
      </c>
      <c r="Y1125" s="408">
        <f t="shared" si="254"/>
        <v>332800</v>
      </c>
      <c r="Z1125" s="409">
        <f>220/400</f>
        <v>0.55000000000000004</v>
      </c>
      <c r="AA1125" s="410">
        <f t="shared" si="255"/>
        <v>183040.00000000003</v>
      </c>
      <c r="AB1125" s="411"/>
      <c r="AC1125" s="412">
        <v>0</v>
      </c>
      <c r="AD1125" s="421"/>
      <c r="AE1125" s="413"/>
      <c r="AF1125" s="424">
        <f t="shared" si="256"/>
        <v>183040.00000000003</v>
      </c>
      <c r="AG1125" s="405" t="s">
        <v>1069</v>
      </c>
      <c r="AH1125" s="405"/>
      <c r="AI1125" s="414">
        <v>60</v>
      </c>
      <c r="AJ1125" s="405" t="s">
        <v>1933</v>
      </c>
      <c r="AK1125" s="425" t="s">
        <v>1328</v>
      </c>
      <c r="AL1125" s="405">
        <v>89118</v>
      </c>
      <c r="AM1125" s="405" t="s">
        <v>52</v>
      </c>
      <c r="AN1125" s="405" t="s">
        <v>50</v>
      </c>
      <c r="AO1125" s="405"/>
      <c r="AP1125" s="417" t="s">
        <v>38</v>
      </c>
      <c r="AQ1125" s="417" t="s">
        <v>37</v>
      </c>
      <c r="AR1125" s="417" t="s">
        <v>1934</v>
      </c>
      <c r="AS1125" s="426"/>
      <c r="AT1125" s="426"/>
      <c r="AU1125" s="409">
        <f>192/400</f>
        <v>0.48</v>
      </c>
      <c r="AV1125" s="402" t="str">
        <f t="shared" si="257"/>
        <v>30390456H</v>
      </c>
      <c r="AW1125" s="402" cm="1">
        <f t="array" ref="AW1125">SUM(MID(0&amp;AV1125,LARGE(INDEX(ISNUMBER(--MID(AV1125,ROW($1:$8),1))*ROW($1:$8),),ROW($1:$8))+1,1)*10^ROW($1:$8)/10)</f>
        <v>30390456</v>
      </c>
      <c r="AX1125" s="402" t="str">
        <f>VLOOKUP($AW1125,'Item Master Data'!$A:$F,3,FALSE)</f>
        <v>Q.PEAK DUO BLK ML G10+</v>
      </c>
      <c r="AY1125" s="402">
        <f>VLOOKUP($AW1125,'Item Master Data'!$A:$F,6,FALSE)</f>
        <v>400</v>
      </c>
      <c r="AZ1125" s="402">
        <f t="shared" si="258"/>
        <v>26</v>
      </c>
      <c r="BA1125" s="402">
        <f>VLOOKUP(AW1125,'Item Master Data'!$A:$G,7,FALSE)</f>
        <v>32</v>
      </c>
      <c r="BB1125" s="402"/>
      <c r="BC1125" s="402">
        <f t="shared" si="259"/>
        <v>0</v>
      </c>
    </row>
    <row r="1126" spans="1:55">
      <c r="A1126" s="403"/>
      <c r="B1126" s="445"/>
      <c r="C1126" s="445"/>
      <c r="D1126" s="416" t="s">
        <v>1914</v>
      </c>
      <c r="E1126" s="405"/>
      <c r="F1126" s="405" t="s">
        <v>1139</v>
      </c>
      <c r="G1126" s="405">
        <v>2022</v>
      </c>
      <c r="H1126" s="405">
        <v>6</v>
      </c>
      <c r="I1126" s="416"/>
      <c r="J1126" s="406"/>
      <c r="K1126" s="414" t="s">
        <v>2007</v>
      </c>
      <c r="L1126" s="405" t="s">
        <v>1931</v>
      </c>
      <c r="M1126" s="418">
        <v>44432</v>
      </c>
      <c r="N1126" s="418">
        <v>44531</v>
      </c>
      <c r="O1126" s="418"/>
      <c r="P1126" s="406" t="s">
        <v>1089</v>
      </c>
      <c r="Q1126" s="406"/>
      <c r="R1126" s="406"/>
      <c r="S1126" s="405" t="s">
        <v>1923</v>
      </c>
      <c r="T1126" s="405">
        <v>60</v>
      </c>
      <c r="U1126" s="405" t="s">
        <v>1975</v>
      </c>
      <c r="V1126" s="405" t="s">
        <v>691</v>
      </c>
      <c r="W1126" s="405">
        <v>340</v>
      </c>
      <c r="X1126" s="407">
        <v>832</v>
      </c>
      <c r="Y1126" s="408">
        <f t="shared" si="254"/>
        <v>282880</v>
      </c>
      <c r="Z1126" s="409">
        <v>0.45500000000000002</v>
      </c>
      <c r="AA1126" s="410">
        <f t="shared" si="255"/>
        <v>128710.40000000001</v>
      </c>
      <c r="AB1126" s="411"/>
      <c r="AC1126" s="412">
        <v>0</v>
      </c>
      <c r="AD1126" s="421"/>
      <c r="AE1126" s="413"/>
      <c r="AF1126" s="424">
        <f t="shared" si="256"/>
        <v>128710.40000000001</v>
      </c>
      <c r="AG1126" s="405" t="s">
        <v>1069</v>
      </c>
      <c r="AH1126" s="405"/>
      <c r="AI1126" s="414">
        <v>60</v>
      </c>
      <c r="AJ1126" s="405" t="s">
        <v>1933</v>
      </c>
      <c r="AK1126" s="425" t="s">
        <v>1328</v>
      </c>
      <c r="AL1126" s="405" t="s">
        <v>2008</v>
      </c>
      <c r="AM1126" s="405" t="s">
        <v>52</v>
      </c>
      <c r="AN1126" s="405" t="s">
        <v>50</v>
      </c>
      <c r="AO1126" s="405"/>
      <c r="AP1126" s="417" t="s">
        <v>38</v>
      </c>
      <c r="AQ1126" s="417"/>
      <c r="AR1126" s="417" t="s">
        <v>1925</v>
      </c>
      <c r="AS1126" s="426"/>
      <c r="AT1126" s="426"/>
      <c r="AU1126" s="409">
        <v>0.45500000000000002</v>
      </c>
      <c r="AV1126" s="402" t="str">
        <f t="shared" si="257"/>
        <v>30376609F</v>
      </c>
      <c r="AW1126" s="402" cm="1">
        <f t="array" ref="AW1126">SUM(MID(0&amp;AV1126,LARGE(INDEX(ISNUMBER(--MID(AV1126,ROW($1:$8),1))*ROW($1:$8),),ROW($1:$8))+1,1)*10^ROW($1:$8)/10)</f>
        <v>30376609</v>
      </c>
      <c r="AX1126" s="402" t="str">
        <f>VLOOKUP($AW1126,'Item Master Data'!$A:$F,3,FALSE)</f>
        <v>Q.PEAK DUO BLK G6+</v>
      </c>
      <c r="AY1126" s="402">
        <f>VLOOKUP($AW1126,'Item Master Data'!$A:$F,6,FALSE)</f>
        <v>340</v>
      </c>
      <c r="AZ1126" s="402">
        <f t="shared" si="258"/>
        <v>26</v>
      </c>
      <c r="BA1126" s="402">
        <f>VLOOKUP(AW1126,'Item Master Data'!$A:$G,7,FALSE)</f>
        <v>32</v>
      </c>
      <c r="BB1126" s="402"/>
      <c r="BC1126" s="402">
        <f t="shared" si="259"/>
        <v>0</v>
      </c>
    </row>
    <row r="1127" spans="1:55">
      <c r="A1127" s="403" t="s">
        <v>4584</v>
      </c>
      <c r="B1127" s="445"/>
      <c r="C1127" s="445"/>
      <c r="D1127" s="416" t="s">
        <v>1914</v>
      </c>
      <c r="E1127" s="405"/>
      <c r="F1127" s="405" t="s">
        <v>1139</v>
      </c>
      <c r="G1127" s="405">
        <v>2022</v>
      </c>
      <c r="H1127" s="405">
        <v>5</v>
      </c>
      <c r="I1127" s="416">
        <v>128521</v>
      </c>
      <c r="J1127" s="406">
        <v>44690</v>
      </c>
      <c r="K1127" s="414" t="s">
        <v>2037</v>
      </c>
      <c r="L1127" s="405" t="s">
        <v>1682</v>
      </c>
      <c r="M1127" s="418">
        <v>44505</v>
      </c>
      <c r="N1127" s="418">
        <v>44655</v>
      </c>
      <c r="O1127" s="418"/>
      <c r="P1127" s="406">
        <v>44680</v>
      </c>
      <c r="Q1127" s="406">
        <v>44690</v>
      </c>
      <c r="R1127" s="406">
        <v>44691</v>
      </c>
      <c r="S1127" s="405" t="s">
        <v>1923</v>
      </c>
      <c r="T1127" s="405">
        <v>60</v>
      </c>
      <c r="U1127" s="405" t="s">
        <v>1559</v>
      </c>
      <c r="V1127" s="405" t="s">
        <v>973</v>
      </c>
      <c r="W1127" s="405">
        <v>400</v>
      </c>
      <c r="X1127" s="407">
        <v>768</v>
      </c>
      <c r="Y1127" s="408">
        <f t="shared" si="254"/>
        <v>307200</v>
      </c>
      <c r="Z1127" s="409">
        <f>220/400</f>
        <v>0.55000000000000004</v>
      </c>
      <c r="AA1127" s="410">
        <f t="shared" si="255"/>
        <v>168960</v>
      </c>
      <c r="AB1127" s="411"/>
      <c r="AC1127" s="412">
        <v>0</v>
      </c>
      <c r="AD1127" s="421"/>
      <c r="AE1127" s="413"/>
      <c r="AF1127" s="424">
        <f t="shared" si="256"/>
        <v>168960</v>
      </c>
      <c r="AG1127" s="405" t="s">
        <v>1069</v>
      </c>
      <c r="AH1127" s="405">
        <v>0</v>
      </c>
      <c r="AI1127" s="414">
        <v>60</v>
      </c>
      <c r="AJ1127" s="405" t="s">
        <v>1684</v>
      </c>
      <c r="AK1127" s="425" t="s">
        <v>50</v>
      </c>
      <c r="AL1127" s="405" t="s">
        <v>1685</v>
      </c>
      <c r="AM1127" s="405" t="s">
        <v>52</v>
      </c>
      <c r="AN1127" s="405" t="s">
        <v>50</v>
      </c>
      <c r="AO1127" s="405"/>
      <c r="AP1127" s="417" t="s">
        <v>38</v>
      </c>
      <c r="AQ1127" s="417"/>
      <c r="AR1127" s="417" t="s">
        <v>1925</v>
      </c>
      <c r="AS1127" s="426"/>
      <c r="AT1127" s="426"/>
      <c r="AU1127" s="409">
        <v>0.48</v>
      </c>
      <c r="AV1127" s="402" t="str">
        <f t="shared" si="257"/>
        <v>30390156H</v>
      </c>
      <c r="AW1127" s="402" cm="1">
        <f t="array" ref="AW1127">SUM(MID(0&amp;AV1127,LARGE(INDEX(ISNUMBER(--MID(AV1127,ROW($1:$8),1))*ROW($1:$8),),ROW($1:$8))+1,1)*10^ROW($1:$8)/10)</f>
        <v>30390156</v>
      </c>
      <c r="AX1127" s="402" t="str">
        <f>VLOOKUP($AW1127,'Item Master Data'!$A:$F,3,FALSE)</f>
        <v>Q.PEAK DUO BLK ML G10+</v>
      </c>
      <c r="AY1127" s="402">
        <f>VLOOKUP($AW1127,'Item Master Data'!$A:$F,6,FALSE)</f>
        <v>400</v>
      </c>
      <c r="AZ1127" s="402">
        <f t="shared" si="258"/>
        <v>24</v>
      </c>
      <c r="BA1127" s="402">
        <f>VLOOKUP(AW1127,'Item Master Data'!$A:$G,7,FALSE)</f>
        <v>32</v>
      </c>
      <c r="BB1127" s="402"/>
      <c r="BC1127" s="402">
        <f t="shared" si="259"/>
        <v>0</v>
      </c>
    </row>
    <row r="1128" spans="1:55">
      <c r="A1128" s="403" t="s">
        <v>4584</v>
      </c>
      <c r="B1128" s="445"/>
      <c r="C1128" s="445"/>
      <c r="D1128" s="416" t="s">
        <v>1914</v>
      </c>
      <c r="E1128" s="405"/>
      <c r="F1128" s="405"/>
      <c r="G1128" s="405">
        <v>2022</v>
      </c>
      <c r="H1128" s="405">
        <v>5</v>
      </c>
      <c r="I1128" s="416">
        <v>128529</v>
      </c>
      <c r="J1128" s="406">
        <v>44685</v>
      </c>
      <c r="K1128" s="414" t="s">
        <v>1980</v>
      </c>
      <c r="L1128" s="405" t="s">
        <v>1936</v>
      </c>
      <c r="M1128" s="418">
        <v>44523</v>
      </c>
      <c r="N1128" s="418">
        <v>44563</v>
      </c>
      <c r="O1128" s="418"/>
      <c r="P1128" s="406">
        <v>44677</v>
      </c>
      <c r="Q1128" s="406">
        <v>44685</v>
      </c>
      <c r="R1128" s="406">
        <v>44690</v>
      </c>
      <c r="S1128" s="405" t="s">
        <v>1443</v>
      </c>
      <c r="T1128" s="405">
        <v>60</v>
      </c>
      <c r="U1128" s="405" t="s">
        <v>1559</v>
      </c>
      <c r="V1128" s="405" t="s">
        <v>973</v>
      </c>
      <c r="W1128" s="405">
        <v>400</v>
      </c>
      <c r="X1128" s="407">
        <v>384</v>
      </c>
      <c r="Y1128" s="408">
        <f t="shared" si="254"/>
        <v>153600</v>
      </c>
      <c r="Z1128" s="409">
        <f>222/400</f>
        <v>0.55500000000000005</v>
      </c>
      <c r="AA1128" s="410">
        <f t="shared" si="255"/>
        <v>85248.000000000015</v>
      </c>
      <c r="AB1128" s="411"/>
      <c r="AC1128" s="412">
        <v>0</v>
      </c>
      <c r="AD1128" s="421"/>
      <c r="AE1128" s="413"/>
      <c r="AF1128" s="424">
        <f t="shared" si="256"/>
        <v>85248.000000000015</v>
      </c>
      <c r="AG1128" s="405" t="s">
        <v>1069</v>
      </c>
      <c r="AH1128" s="405"/>
      <c r="AI1128" s="414" t="s">
        <v>1937</v>
      </c>
      <c r="AJ1128" s="405" t="s">
        <v>1981</v>
      </c>
      <c r="AK1128" s="425" t="s">
        <v>1081</v>
      </c>
      <c r="AL1128" s="405">
        <v>33605</v>
      </c>
      <c r="AM1128" s="405" t="s">
        <v>52</v>
      </c>
      <c r="AN1128" s="405" t="s">
        <v>50</v>
      </c>
      <c r="AO1128" s="405"/>
      <c r="AP1128" s="417" t="s">
        <v>38</v>
      </c>
      <c r="AQ1128" s="417" t="s">
        <v>37</v>
      </c>
      <c r="AR1128" s="417"/>
      <c r="AS1128" s="426"/>
      <c r="AT1128" s="426"/>
      <c r="AU1128" s="409"/>
      <c r="AV1128" s="402" t="str">
        <f t="shared" si="257"/>
        <v>30390156H</v>
      </c>
      <c r="AW1128" s="402" cm="1">
        <f t="array" ref="AW1128">SUM(MID(0&amp;AV1128,LARGE(INDEX(ISNUMBER(--MID(AV1128,ROW($1:$8),1))*ROW($1:$8),),ROW($1:$8))+1,1)*10^ROW($1:$8)/10)</f>
        <v>30390156</v>
      </c>
      <c r="AX1128" s="402" t="str">
        <f>VLOOKUP($AW1128,'Item Master Data'!$A:$F,3,FALSE)</f>
        <v>Q.PEAK DUO BLK ML G10+</v>
      </c>
      <c r="AY1128" s="402">
        <f>VLOOKUP($AW1128,'Item Master Data'!$A:$F,6,FALSE)</f>
        <v>400</v>
      </c>
      <c r="AZ1128" s="402">
        <f t="shared" si="258"/>
        <v>12</v>
      </c>
      <c r="BA1128" s="402">
        <f>VLOOKUP(AW1128,'Item Master Data'!$A:$G,7,FALSE)</f>
        <v>32</v>
      </c>
      <c r="BB1128" s="402"/>
      <c r="BC1128" s="402">
        <f t="shared" si="259"/>
        <v>0</v>
      </c>
    </row>
    <row r="1129" spans="1:55">
      <c r="A1129" s="403" t="s">
        <v>4584</v>
      </c>
      <c r="B1129" s="445"/>
      <c r="C1129" s="445"/>
      <c r="D1129" s="416" t="s">
        <v>1914</v>
      </c>
      <c r="E1129" s="405"/>
      <c r="F1129" s="405"/>
      <c r="G1129" s="405">
        <v>2022</v>
      </c>
      <c r="H1129" s="405">
        <v>5</v>
      </c>
      <c r="I1129" s="416">
        <v>128524</v>
      </c>
      <c r="J1129" s="406">
        <v>44687</v>
      </c>
      <c r="K1129" s="414" t="s">
        <v>4340</v>
      </c>
      <c r="L1129" s="405" t="s">
        <v>1936</v>
      </c>
      <c r="M1129" s="418">
        <v>44523</v>
      </c>
      <c r="N1129" s="418">
        <v>44622</v>
      </c>
      <c r="O1129" s="418"/>
      <c r="P1129" s="406">
        <v>44679</v>
      </c>
      <c r="Q1129" s="406">
        <v>44687</v>
      </c>
      <c r="R1129" s="406">
        <v>44690</v>
      </c>
      <c r="S1129" s="405" t="s">
        <v>1443</v>
      </c>
      <c r="T1129" s="405">
        <v>60</v>
      </c>
      <c r="U1129" s="405" t="s">
        <v>1237</v>
      </c>
      <c r="V1129" s="405" t="s">
        <v>973</v>
      </c>
      <c r="W1129" s="405">
        <v>400</v>
      </c>
      <c r="X1129" s="407">
        <v>832</v>
      </c>
      <c r="Y1129" s="408">
        <f t="shared" si="254"/>
        <v>332800</v>
      </c>
      <c r="Z1129" s="409">
        <v>0.55500000000000005</v>
      </c>
      <c r="AA1129" s="410">
        <f t="shared" si="255"/>
        <v>184704.00000000003</v>
      </c>
      <c r="AB1129" s="411"/>
      <c r="AC1129" s="412">
        <v>0</v>
      </c>
      <c r="AD1129" s="421"/>
      <c r="AE1129" s="413"/>
      <c r="AF1129" s="424">
        <f t="shared" si="256"/>
        <v>184704.00000000003</v>
      </c>
      <c r="AG1129" s="405" t="s">
        <v>1069</v>
      </c>
      <c r="AH1129" s="405"/>
      <c r="AI1129" s="414" t="s">
        <v>1937</v>
      </c>
      <c r="AJ1129" s="405" t="s">
        <v>1454</v>
      </c>
      <c r="AK1129" s="425" t="s">
        <v>1136</v>
      </c>
      <c r="AL1129" s="405">
        <v>78744</v>
      </c>
      <c r="AM1129" s="405" t="s">
        <v>52</v>
      </c>
      <c r="AN1129" s="405" t="s">
        <v>50</v>
      </c>
      <c r="AO1129" s="405"/>
      <c r="AP1129" s="417" t="s">
        <v>38</v>
      </c>
      <c r="AQ1129" s="417" t="s">
        <v>37</v>
      </c>
      <c r="AR1129" s="417"/>
      <c r="AS1129" s="426"/>
      <c r="AT1129" s="426"/>
      <c r="AU1129" s="409"/>
      <c r="AV1129" s="402" t="str">
        <f t="shared" si="257"/>
        <v>30390456H</v>
      </c>
      <c r="AW1129" s="402" cm="1">
        <f t="array" ref="AW1129">SUM(MID(0&amp;AV1129,LARGE(INDEX(ISNUMBER(--MID(AV1129,ROW($1:$8),1))*ROW($1:$8),),ROW($1:$8))+1,1)*10^ROW($1:$8)/10)</f>
        <v>30390456</v>
      </c>
      <c r="AX1129" s="402" t="str">
        <f>VLOOKUP($AW1129,'Item Master Data'!$A:$F,3,FALSE)</f>
        <v>Q.PEAK DUO BLK ML G10+</v>
      </c>
      <c r="AY1129" s="402">
        <f>VLOOKUP($AW1129,'Item Master Data'!$A:$F,6,FALSE)</f>
        <v>400</v>
      </c>
      <c r="AZ1129" s="402">
        <f t="shared" si="258"/>
        <v>26</v>
      </c>
      <c r="BA1129" s="402">
        <f>VLOOKUP(AW1129,'Item Master Data'!$A:$G,7,FALSE)</f>
        <v>32</v>
      </c>
      <c r="BB1129" s="402"/>
      <c r="BC1129" s="402">
        <f t="shared" si="259"/>
        <v>0</v>
      </c>
    </row>
    <row r="1130" spans="1:55">
      <c r="A1130" s="403" t="s">
        <v>4585</v>
      </c>
      <c r="B1130" s="445"/>
      <c r="C1130" s="445"/>
      <c r="D1130" s="416" t="s">
        <v>1914</v>
      </c>
      <c r="E1130" s="405"/>
      <c r="F1130" s="405"/>
      <c r="G1130" s="405">
        <v>2022</v>
      </c>
      <c r="H1130" s="405">
        <v>5</v>
      </c>
      <c r="I1130" s="416">
        <v>128525</v>
      </c>
      <c r="J1130" s="406">
        <v>44687</v>
      </c>
      <c r="K1130" s="414" t="s">
        <v>4343</v>
      </c>
      <c r="L1130" s="405" t="s">
        <v>1936</v>
      </c>
      <c r="M1130" s="418">
        <v>44523</v>
      </c>
      <c r="N1130" s="418">
        <v>44622</v>
      </c>
      <c r="O1130" s="418"/>
      <c r="P1130" s="406">
        <v>44679</v>
      </c>
      <c r="Q1130" s="406">
        <v>44687</v>
      </c>
      <c r="R1130" s="406">
        <v>44690</v>
      </c>
      <c r="S1130" s="405" t="s">
        <v>1443</v>
      </c>
      <c r="T1130" s="405">
        <v>60</v>
      </c>
      <c r="U1130" s="405" t="s">
        <v>1237</v>
      </c>
      <c r="V1130" s="405" t="s">
        <v>973</v>
      </c>
      <c r="W1130" s="405">
        <v>400</v>
      </c>
      <c r="X1130" s="407">
        <v>832</v>
      </c>
      <c r="Y1130" s="408">
        <f t="shared" si="254"/>
        <v>332800</v>
      </c>
      <c r="Z1130" s="409">
        <v>0.55500000000000005</v>
      </c>
      <c r="AA1130" s="410">
        <f t="shared" si="255"/>
        <v>184704.00000000003</v>
      </c>
      <c r="AB1130" s="411"/>
      <c r="AC1130" s="412">
        <v>0</v>
      </c>
      <c r="AD1130" s="421"/>
      <c r="AE1130" s="413"/>
      <c r="AF1130" s="424">
        <f t="shared" si="256"/>
        <v>184704.00000000003</v>
      </c>
      <c r="AG1130" s="405" t="s">
        <v>1069</v>
      </c>
      <c r="AH1130" s="405"/>
      <c r="AI1130" s="414" t="s">
        <v>1937</v>
      </c>
      <c r="AJ1130" s="405" t="s">
        <v>1944</v>
      </c>
      <c r="AK1130" s="425" t="s">
        <v>1136</v>
      </c>
      <c r="AL1130" s="405">
        <v>75061</v>
      </c>
      <c r="AM1130" s="405" t="s">
        <v>52</v>
      </c>
      <c r="AN1130" s="405" t="s">
        <v>50</v>
      </c>
      <c r="AO1130" s="405"/>
      <c r="AP1130" s="417" t="s">
        <v>38</v>
      </c>
      <c r="AQ1130" s="417" t="s">
        <v>37</v>
      </c>
      <c r="AR1130" s="417"/>
      <c r="AS1130" s="426"/>
      <c r="AT1130" s="426"/>
      <c r="AU1130" s="409"/>
      <c r="AV1130" s="402" t="str">
        <f t="shared" si="257"/>
        <v>30390456H</v>
      </c>
      <c r="AW1130" s="402" cm="1">
        <f t="array" ref="AW1130">SUM(MID(0&amp;AV1130,LARGE(INDEX(ISNUMBER(--MID(AV1130,ROW($1:$8),1))*ROW($1:$8),),ROW($1:$8))+1,1)*10^ROW($1:$8)/10)</f>
        <v>30390456</v>
      </c>
      <c r="AX1130" s="402" t="str">
        <f>VLOOKUP($AW1130,'Item Master Data'!$A:$F,3,FALSE)</f>
        <v>Q.PEAK DUO BLK ML G10+</v>
      </c>
      <c r="AY1130" s="402">
        <f>VLOOKUP($AW1130,'Item Master Data'!$A:$F,6,FALSE)</f>
        <v>400</v>
      </c>
      <c r="AZ1130" s="402">
        <f t="shared" si="258"/>
        <v>26</v>
      </c>
      <c r="BA1130" s="402">
        <f>VLOOKUP(AW1130,'Item Master Data'!$A:$G,7,FALSE)</f>
        <v>32</v>
      </c>
      <c r="BB1130" s="402"/>
      <c r="BC1130" s="402">
        <f t="shared" si="259"/>
        <v>0</v>
      </c>
    </row>
    <row r="1131" spans="1:55">
      <c r="A1131" s="403" t="s">
        <v>4585</v>
      </c>
      <c r="B1131" s="445"/>
      <c r="C1131" s="445"/>
      <c r="D1131" s="416" t="s">
        <v>1914</v>
      </c>
      <c r="E1131" s="405"/>
      <c r="F1131" s="405"/>
      <c r="G1131" s="405">
        <v>2022</v>
      </c>
      <c r="H1131" s="405">
        <v>5</v>
      </c>
      <c r="I1131" s="416">
        <v>128558</v>
      </c>
      <c r="J1131" s="406">
        <v>44690</v>
      </c>
      <c r="K1131" s="414" t="s">
        <v>4341</v>
      </c>
      <c r="L1131" s="405" t="s">
        <v>1936</v>
      </c>
      <c r="M1131" s="418">
        <v>44523</v>
      </c>
      <c r="N1131" s="418">
        <v>44622</v>
      </c>
      <c r="O1131" s="418"/>
      <c r="P1131" s="406">
        <v>44679</v>
      </c>
      <c r="Q1131" s="406">
        <v>44690</v>
      </c>
      <c r="R1131" s="406">
        <v>44690</v>
      </c>
      <c r="S1131" s="405" t="s">
        <v>1443</v>
      </c>
      <c r="T1131" s="405">
        <v>60</v>
      </c>
      <c r="U1131" s="405" t="s">
        <v>1237</v>
      </c>
      <c r="V1131" s="405" t="s">
        <v>973</v>
      </c>
      <c r="W1131" s="405">
        <v>400</v>
      </c>
      <c r="X1131" s="407">
        <v>832</v>
      </c>
      <c r="Y1131" s="408">
        <f t="shared" si="254"/>
        <v>332800</v>
      </c>
      <c r="Z1131" s="409">
        <v>0.55500000000000005</v>
      </c>
      <c r="AA1131" s="410">
        <f t="shared" si="255"/>
        <v>184704.00000000003</v>
      </c>
      <c r="AB1131" s="411"/>
      <c r="AC1131" s="412">
        <v>0</v>
      </c>
      <c r="AD1131" s="421"/>
      <c r="AE1131" s="413"/>
      <c r="AF1131" s="424">
        <f t="shared" si="256"/>
        <v>184704.00000000003</v>
      </c>
      <c r="AG1131" s="405" t="s">
        <v>1069</v>
      </c>
      <c r="AH1131" s="405"/>
      <c r="AI1131" s="414" t="s">
        <v>1937</v>
      </c>
      <c r="AJ1131" s="405" t="s">
        <v>1984</v>
      </c>
      <c r="AK1131" s="425" t="s">
        <v>1082</v>
      </c>
      <c r="AL1131" s="414" t="s">
        <v>4836</v>
      </c>
      <c r="AM1131" s="405" t="s">
        <v>52</v>
      </c>
      <c r="AN1131" s="405" t="s">
        <v>1082</v>
      </c>
      <c r="AO1131" s="405"/>
      <c r="AP1131" s="417" t="s">
        <v>38</v>
      </c>
      <c r="AQ1131" s="417" t="s">
        <v>37</v>
      </c>
      <c r="AR1131" s="417"/>
      <c r="AS1131" s="426"/>
      <c r="AT1131" s="426"/>
      <c r="AU1131" s="409"/>
      <c r="AV1131" s="402" t="str">
        <f t="shared" si="257"/>
        <v>30390456H</v>
      </c>
      <c r="AW1131" s="402" cm="1">
        <f t="array" ref="AW1131">SUM(MID(0&amp;AV1131,LARGE(INDEX(ISNUMBER(--MID(AV1131,ROW($1:$8),1))*ROW($1:$8),),ROW($1:$8))+1,1)*10^ROW($1:$8)/10)</f>
        <v>30390456</v>
      </c>
      <c r="AX1131" s="402" t="str">
        <f>VLOOKUP($AW1131,'Item Master Data'!$A:$F,3,FALSE)</f>
        <v>Q.PEAK DUO BLK ML G10+</v>
      </c>
      <c r="AY1131" s="402">
        <f>VLOOKUP($AW1131,'Item Master Data'!$A:$F,6,FALSE)</f>
        <v>400</v>
      </c>
      <c r="AZ1131" s="402">
        <f t="shared" si="258"/>
        <v>26</v>
      </c>
      <c r="BA1131" s="402">
        <f>VLOOKUP(AW1131,'Item Master Data'!$A:$G,7,FALSE)</f>
        <v>32</v>
      </c>
      <c r="BB1131" s="402"/>
      <c r="BC1131" s="402">
        <f t="shared" si="259"/>
        <v>0</v>
      </c>
    </row>
    <row r="1132" spans="1:55">
      <c r="A1132" s="403" t="s">
        <v>4584</v>
      </c>
      <c r="B1132" s="445"/>
      <c r="C1132" s="445"/>
      <c r="D1132" s="416" t="s">
        <v>1914</v>
      </c>
      <c r="E1132" s="405"/>
      <c r="F1132" s="405"/>
      <c r="G1132" s="405">
        <v>2022</v>
      </c>
      <c r="H1132" s="405">
        <v>5</v>
      </c>
      <c r="I1132" s="416">
        <v>128526</v>
      </c>
      <c r="J1132" s="406">
        <v>44685</v>
      </c>
      <c r="K1132" s="414" t="s">
        <v>4339</v>
      </c>
      <c r="L1132" s="405" t="s">
        <v>1936</v>
      </c>
      <c r="M1132" s="418">
        <v>44523</v>
      </c>
      <c r="N1132" s="418">
        <v>44622</v>
      </c>
      <c r="O1132" s="418"/>
      <c r="P1132" s="406">
        <v>44679</v>
      </c>
      <c r="Q1132" s="406">
        <v>44685</v>
      </c>
      <c r="R1132" s="406">
        <v>44686</v>
      </c>
      <c r="S1132" s="405" t="s">
        <v>1443</v>
      </c>
      <c r="T1132" s="405">
        <v>60</v>
      </c>
      <c r="U1132" s="405" t="s">
        <v>1237</v>
      </c>
      <c r="V1132" s="405" t="s">
        <v>973</v>
      </c>
      <c r="W1132" s="405">
        <v>400</v>
      </c>
      <c r="X1132" s="407">
        <v>832</v>
      </c>
      <c r="Y1132" s="408">
        <f t="shared" si="254"/>
        <v>332800</v>
      </c>
      <c r="Z1132" s="409">
        <v>0.55500000000000005</v>
      </c>
      <c r="AA1132" s="410">
        <f t="shared" si="255"/>
        <v>184704.00000000003</v>
      </c>
      <c r="AB1132" s="411"/>
      <c r="AC1132" s="412">
        <v>0</v>
      </c>
      <c r="AD1132" s="421"/>
      <c r="AE1132" s="413"/>
      <c r="AF1132" s="424">
        <f t="shared" si="256"/>
        <v>184704.00000000003</v>
      </c>
      <c r="AG1132" s="405" t="s">
        <v>1069</v>
      </c>
      <c r="AH1132" s="405"/>
      <c r="AI1132" s="414" t="s">
        <v>1937</v>
      </c>
      <c r="AJ1132" s="405" t="s">
        <v>1938</v>
      </c>
      <c r="AK1132" s="425" t="s">
        <v>50</v>
      </c>
      <c r="AL1132" s="405">
        <v>93065</v>
      </c>
      <c r="AM1132" s="405" t="s">
        <v>52</v>
      </c>
      <c r="AN1132" s="405" t="s">
        <v>50</v>
      </c>
      <c r="AO1132" s="405"/>
      <c r="AP1132" s="417" t="s">
        <v>38</v>
      </c>
      <c r="AQ1132" s="417" t="s">
        <v>37</v>
      </c>
      <c r="AR1132" s="417"/>
      <c r="AS1132" s="426"/>
      <c r="AT1132" s="426"/>
      <c r="AU1132" s="409"/>
      <c r="AV1132" s="402" t="str">
        <f t="shared" si="257"/>
        <v>30390456H</v>
      </c>
      <c r="AW1132" s="402" cm="1">
        <f t="array" ref="AW1132">SUM(MID(0&amp;AV1132,LARGE(INDEX(ISNUMBER(--MID(AV1132,ROW($1:$8),1))*ROW($1:$8),),ROW($1:$8))+1,1)*10^ROW($1:$8)/10)</f>
        <v>30390456</v>
      </c>
      <c r="AX1132" s="402" t="str">
        <f>VLOOKUP($AW1132,'Item Master Data'!$A:$F,3,FALSE)</f>
        <v>Q.PEAK DUO BLK ML G10+</v>
      </c>
      <c r="AY1132" s="402">
        <f>VLOOKUP($AW1132,'Item Master Data'!$A:$F,6,FALSE)</f>
        <v>400</v>
      </c>
      <c r="AZ1132" s="402">
        <f t="shared" si="258"/>
        <v>26</v>
      </c>
      <c r="BA1132" s="402">
        <f>VLOOKUP(AW1132,'Item Master Data'!$A:$G,7,FALSE)</f>
        <v>32</v>
      </c>
      <c r="BB1132" s="402"/>
      <c r="BC1132" s="402">
        <f t="shared" si="259"/>
        <v>0</v>
      </c>
    </row>
    <row r="1133" spans="1:55">
      <c r="A1133" s="403" t="s">
        <v>4585</v>
      </c>
      <c r="B1133" s="445"/>
      <c r="C1133" s="445"/>
      <c r="D1133" s="416" t="s">
        <v>1914</v>
      </c>
      <c r="E1133" s="405"/>
      <c r="F1133" s="405"/>
      <c r="G1133" s="405">
        <v>2022</v>
      </c>
      <c r="H1133" s="405">
        <v>5</v>
      </c>
      <c r="I1133" s="416">
        <v>128527</v>
      </c>
      <c r="J1133" s="406">
        <v>44685</v>
      </c>
      <c r="K1133" s="414" t="s">
        <v>4342</v>
      </c>
      <c r="L1133" s="405" t="s">
        <v>1936</v>
      </c>
      <c r="M1133" s="418">
        <v>44523</v>
      </c>
      <c r="N1133" s="418">
        <v>44622</v>
      </c>
      <c r="O1133" s="418"/>
      <c r="P1133" s="406">
        <v>44679</v>
      </c>
      <c r="Q1133" s="406">
        <v>44685</v>
      </c>
      <c r="R1133" s="406">
        <v>44687</v>
      </c>
      <c r="S1133" s="405" t="s">
        <v>1443</v>
      </c>
      <c r="T1133" s="405">
        <v>60</v>
      </c>
      <c r="U1133" s="405" t="s">
        <v>1237</v>
      </c>
      <c r="V1133" s="405" t="s">
        <v>973</v>
      </c>
      <c r="W1133" s="405">
        <v>400</v>
      </c>
      <c r="X1133" s="407">
        <v>832</v>
      </c>
      <c r="Y1133" s="408">
        <f t="shared" si="254"/>
        <v>332800</v>
      </c>
      <c r="Z1133" s="409">
        <v>0.55500000000000005</v>
      </c>
      <c r="AA1133" s="410">
        <f t="shared" si="255"/>
        <v>184704.00000000003</v>
      </c>
      <c r="AB1133" s="411"/>
      <c r="AC1133" s="412">
        <v>0</v>
      </c>
      <c r="AD1133" s="421"/>
      <c r="AE1133" s="413"/>
      <c r="AF1133" s="424">
        <f t="shared" si="256"/>
        <v>184704.00000000003</v>
      </c>
      <c r="AG1133" s="405" t="s">
        <v>1069</v>
      </c>
      <c r="AH1133" s="405"/>
      <c r="AI1133" s="414" t="s">
        <v>1937</v>
      </c>
      <c r="AJ1133" s="405" t="s">
        <v>1981</v>
      </c>
      <c r="AK1133" s="425" t="s">
        <v>1081</v>
      </c>
      <c r="AL1133" s="405">
        <v>33605</v>
      </c>
      <c r="AM1133" s="405" t="s">
        <v>52</v>
      </c>
      <c r="AN1133" s="405" t="s">
        <v>1082</v>
      </c>
      <c r="AO1133" s="405"/>
      <c r="AP1133" s="417" t="s">
        <v>38</v>
      </c>
      <c r="AQ1133" s="417" t="s">
        <v>37</v>
      </c>
      <c r="AR1133" s="417"/>
      <c r="AS1133" s="426"/>
      <c r="AT1133" s="426"/>
      <c r="AU1133" s="409"/>
      <c r="AV1133" s="402" t="str">
        <f t="shared" si="257"/>
        <v>30390456H</v>
      </c>
      <c r="AW1133" s="402" cm="1">
        <f t="array" ref="AW1133">SUM(MID(0&amp;AV1133,LARGE(INDEX(ISNUMBER(--MID(AV1133,ROW($1:$8),1))*ROW($1:$8),),ROW($1:$8))+1,1)*10^ROW($1:$8)/10)</f>
        <v>30390456</v>
      </c>
      <c r="AX1133" s="402" t="str">
        <f>VLOOKUP($AW1133,'Item Master Data'!$A:$F,3,FALSE)</f>
        <v>Q.PEAK DUO BLK ML G10+</v>
      </c>
      <c r="AY1133" s="402">
        <f>VLOOKUP($AW1133,'Item Master Data'!$A:$F,6,FALSE)</f>
        <v>400</v>
      </c>
      <c r="AZ1133" s="402">
        <f t="shared" si="258"/>
        <v>26</v>
      </c>
      <c r="BA1133" s="402">
        <f>VLOOKUP(AW1133,'Item Master Data'!$A:$G,7,FALSE)</f>
        <v>32</v>
      </c>
      <c r="BB1133" s="402"/>
      <c r="BC1133" s="402">
        <f t="shared" si="259"/>
        <v>0</v>
      </c>
    </row>
    <row r="1134" spans="1:55">
      <c r="A1134" s="403" t="s">
        <v>4650</v>
      </c>
      <c r="B1134" s="445" t="s">
        <v>1186</v>
      </c>
      <c r="C1134" s="445">
        <v>44690</v>
      </c>
      <c r="D1134" s="416" t="s">
        <v>1914</v>
      </c>
      <c r="E1134" s="405"/>
      <c r="F1134" s="405"/>
      <c r="G1134" s="405">
        <v>2022</v>
      </c>
      <c r="H1134" s="405">
        <v>5</v>
      </c>
      <c r="I1134" s="416"/>
      <c r="J1134" s="406"/>
      <c r="K1134" s="414" t="s">
        <v>2047</v>
      </c>
      <c r="L1134" s="405" t="s">
        <v>1960</v>
      </c>
      <c r="M1134" s="418">
        <v>44463</v>
      </c>
      <c r="N1134" s="418">
        <v>44690</v>
      </c>
      <c r="O1134" s="418"/>
      <c r="P1134" s="406">
        <v>44690</v>
      </c>
      <c r="Q1134" s="406">
        <v>44692</v>
      </c>
      <c r="R1134" s="406">
        <v>44697</v>
      </c>
      <c r="S1134" s="405" t="s">
        <v>1443</v>
      </c>
      <c r="T1134" s="405">
        <v>60</v>
      </c>
      <c r="U1134" s="405" t="s">
        <v>1943</v>
      </c>
      <c r="V1134" s="405" t="s">
        <v>973</v>
      </c>
      <c r="W1134" s="405">
        <v>395</v>
      </c>
      <c r="X1134" s="407">
        <v>768</v>
      </c>
      <c r="Y1134" s="408">
        <f t="shared" si="254"/>
        <v>303360</v>
      </c>
      <c r="Z1134" s="409">
        <f>221.2/395</f>
        <v>0.55999999999999994</v>
      </c>
      <c r="AA1134" s="410">
        <f t="shared" si="255"/>
        <v>169881.59999999998</v>
      </c>
      <c r="AB1134" s="411"/>
      <c r="AC1134" s="412">
        <v>0</v>
      </c>
      <c r="AD1134" s="421"/>
      <c r="AE1134" s="413"/>
      <c r="AF1134" s="424">
        <f t="shared" si="256"/>
        <v>169881.59999999998</v>
      </c>
      <c r="AG1134" s="405" t="s">
        <v>47</v>
      </c>
      <c r="AH1134" s="405" t="s">
        <v>1963</v>
      </c>
      <c r="AI1134" s="414">
        <v>60</v>
      </c>
      <c r="AJ1134" s="405" t="s">
        <v>1881</v>
      </c>
      <c r="AK1134" s="425" t="s">
        <v>1081</v>
      </c>
      <c r="AL1134" s="405" t="s">
        <v>1964</v>
      </c>
      <c r="AM1134" s="405" t="s">
        <v>52</v>
      </c>
      <c r="AN1134" s="405" t="s">
        <v>50</v>
      </c>
      <c r="AO1134" s="405"/>
      <c r="AP1134" s="417" t="s">
        <v>92</v>
      </c>
      <c r="AQ1134" s="417"/>
      <c r="AR1134" s="417"/>
      <c r="AS1134" s="426"/>
      <c r="AT1134" s="426"/>
      <c r="AU1134" s="409"/>
      <c r="AV1134" s="402" t="str">
        <f t="shared" si="257"/>
        <v>30390455H</v>
      </c>
      <c r="AW1134" s="402" cm="1">
        <f t="array" ref="AW1134">SUM(MID(0&amp;AV1134,LARGE(INDEX(ISNUMBER(--MID(AV1134,ROW($1:$8),1))*ROW($1:$8),),ROW($1:$8))+1,1)*10^ROW($1:$8)/10)</f>
        <v>30390455</v>
      </c>
      <c r="AX1134" s="402" t="str">
        <f>VLOOKUP($AW1134,'Item Master Data'!$A:$F,3,FALSE)</f>
        <v>Q.PEAK DUO BLK ML G10+</v>
      </c>
      <c r="AY1134" s="402">
        <f>VLOOKUP($AW1134,'Item Master Data'!$A:$F,6,FALSE)</f>
        <v>395</v>
      </c>
      <c r="AZ1134" s="402">
        <f t="shared" si="258"/>
        <v>24</v>
      </c>
      <c r="BA1134" s="402">
        <f>VLOOKUP(AW1134,'Item Master Data'!$A:$G,7,FALSE)</f>
        <v>32</v>
      </c>
      <c r="BB1134" s="402"/>
      <c r="BC1134" s="402">
        <f t="shared" si="259"/>
        <v>0</v>
      </c>
    </row>
    <row r="1135" spans="1:55">
      <c r="A1135" s="403" t="s">
        <v>4650</v>
      </c>
      <c r="B1135" s="445" t="s">
        <v>1186</v>
      </c>
      <c r="C1135" s="445">
        <v>44690</v>
      </c>
      <c r="D1135" s="416" t="s">
        <v>1914</v>
      </c>
      <c r="E1135" s="405"/>
      <c r="F1135" s="405"/>
      <c r="G1135" s="405">
        <v>2022</v>
      </c>
      <c r="H1135" s="405">
        <v>5</v>
      </c>
      <c r="I1135" s="416"/>
      <c r="J1135" s="406">
        <v>44693</v>
      </c>
      <c r="K1135" s="414" t="s">
        <v>2044</v>
      </c>
      <c r="L1135" s="405" t="s">
        <v>1960</v>
      </c>
      <c r="M1135" s="418">
        <v>44463</v>
      </c>
      <c r="N1135" s="418">
        <v>44691</v>
      </c>
      <c r="O1135" s="418"/>
      <c r="P1135" s="406">
        <v>44690</v>
      </c>
      <c r="Q1135" s="406">
        <v>44693</v>
      </c>
      <c r="R1135" s="406">
        <v>44693</v>
      </c>
      <c r="S1135" s="405" t="s">
        <v>1443</v>
      </c>
      <c r="T1135" s="405">
        <v>60</v>
      </c>
      <c r="U1135" s="405" t="s">
        <v>1943</v>
      </c>
      <c r="V1135" s="405" t="s">
        <v>973</v>
      </c>
      <c r="W1135" s="405">
        <v>395</v>
      </c>
      <c r="X1135" s="407">
        <v>768</v>
      </c>
      <c r="Y1135" s="408">
        <f t="shared" si="254"/>
        <v>303360</v>
      </c>
      <c r="Z1135" s="409">
        <f>221.2/395</f>
        <v>0.55999999999999994</v>
      </c>
      <c r="AA1135" s="410">
        <f t="shared" si="255"/>
        <v>169881.59999999998</v>
      </c>
      <c r="AB1135" s="411"/>
      <c r="AC1135" s="412">
        <v>0</v>
      </c>
      <c r="AD1135" s="421"/>
      <c r="AE1135" s="413"/>
      <c r="AF1135" s="424">
        <f t="shared" si="256"/>
        <v>169881.59999999998</v>
      </c>
      <c r="AG1135" s="405" t="s">
        <v>47</v>
      </c>
      <c r="AH1135" s="405" t="s">
        <v>1963</v>
      </c>
      <c r="AI1135" s="414">
        <v>60</v>
      </c>
      <c r="AJ1135" s="405" t="s">
        <v>1965</v>
      </c>
      <c r="AK1135" s="425" t="s">
        <v>50</v>
      </c>
      <c r="AL1135" s="405" t="s">
        <v>1997</v>
      </c>
      <c r="AM1135" s="405" t="s">
        <v>52</v>
      </c>
      <c r="AN1135" s="405" t="s">
        <v>50</v>
      </c>
      <c r="AO1135" s="405"/>
      <c r="AP1135" s="417" t="s">
        <v>92</v>
      </c>
      <c r="AQ1135" s="417"/>
      <c r="AR1135" s="417"/>
      <c r="AS1135" s="426"/>
      <c r="AT1135" s="426"/>
      <c r="AU1135" s="409"/>
      <c r="AV1135" s="402" t="str">
        <f t="shared" si="257"/>
        <v>30390455H</v>
      </c>
      <c r="AW1135" s="402" cm="1">
        <f t="array" ref="AW1135">SUM(MID(0&amp;AV1135,LARGE(INDEX(ISNUMBER(--MID(AV1135,ROW($1:$8),1))*ROW($1:$8),),ROW($1:$8))+1,1)*10^ROW($1:$8)/10)</f>
        <v>30390455</v>
      </c>
      <c r="AX1135" s="402" t="str">
        <f>VLOOKUP($AW1135,'Item Master Data'!$A:$F,3,FALSE)</f>
        <v>Q.PEAK DUO BLK ML G10+</v>
      </c>
      <c r="AY1135" s="402">
        <f>VLOOKUP($AW1135,'Item Master Data'!$A:$F,6,FALSE)</f>
        <v>395</v>
      </c>
      <c r="AZ1135" s="402">
        <f t="shared" si="258"/>
        <v>24</v>
      </c>
      <c r="BA1135" s="402">
        <f>VLOOKUP(AW1135,'Item Master Data'!$A:$G,7,FALSE)</f>
        <v>32</v>
      </c>
      <c r="BB1135" s="402"/>
      <c r="BC1135" s="402">
        <f t="shared" si="259"/>
        <v>0</v>
      </c>
    </row>
    <row r="1136" spans="1:55">
      <c r="A1136" s="403" t="s">
        <v>4650</v>
      </c>
      <c r="B1136" s="445" t="s">
        <v>1186</v>
      </c>
      <c r="C1136" s="445">
        <v>44690</v>
      </c>
      <c r="D1136" s="416" t="s">
        <v>1914</v>
      </c>
      <c r="E1136" s="405"/>
      <c r="F1136" s="405"/>
      <c r="G1136" s="405">
        <v>2022</v>
      </c>
      <c r="H1136" s="405">
        <v>5</v>
      </c>
      <c r="I1136" s="416"/>
      <c r="J1136" s="406"/>
      <c r="K1136" s="414" t="s">
        <v>2049</v>
      </c>
      <c r="L1136" s="405" t="s">
        <v>1960</v>
      </c>
      <c r="M1136" s="418">
        <v>44463</v>
      </c>
      <c r="N1136" s="418">
        <v>44690</v>
      </c>
      <c r="O1136" s="418"/>
      <c r="P1136" s="406">
        <v>44690</v>
      </c>
      <c r="Q1136" s="406">
        <v>44697</v>
      </c>
      <c r="R1136" s="406">
        <v>44701</v>
      </c>
      <c r="S1136" s="405" t="s">
        <v>1443</v>
      </c>
      <c r="T1136" s="405">
        <v>60</v>
      </c>
      <c r="U1136" s="405" t="s">
        <v>1943</v>
      </c>
      <c r="V1136" s="405" t="s">
        <v>973</v>
      </c>
      <c r="W1136" s="405">
        <v>395</v>
      </c>
      <c r="X1136" s="407">
        <v>768</v>
      </c>
      <c r="Y1136" s="408">
        <f t="shared" si="254"/>
        <v>303360</v>
      </c>
      <c r="Z1136" s="409">
        <f>221.2/395</f>
        <v>0.55999999999999994</v>
      </c>
      <c r="AA1136" s="410">
        <f t="shared" si="255"/>
        <v>169881.59999999998</v>
      </c>
      <c r="AB1136" s="411"/>
      <c r="AC1136" s="412">
        <v>0</v>
      </c>
      <c r="AD1136" s="421"/>
      <c r="AE1136" s="413"/>
      <c r="AF1136" s="424">
        <f t="shared" si="256"/>
        <v>169881.59999999998</v>
      </c>
      <c r="AG1136" s="405" t="s">
        <v>47</v>
      </c>
      <c r="AH1136" s="405" t="s">
        <v>1963</v>
      </c>
      <c r="AI1136" s="414">
        <v>60</v>
      </c>
      <c r="AJ1136" s="405" t="s">
        <v>1500</v>
      </c>
      <c r="AK1136" s="425" t="s">
        <v>1082</v>
      </c>
      <c r="AL1136" s="405" t="s">
        <v>1989</v>
      </c>
      <c r="AM1136" s="405" t="s">
        <v>52</v>
      </c>
      <c r="AN1136" s="405" t="s">
        <v>50</v>
      </c>
      <c r="AO1136" s="405"/>
      <c r="AP1136" s="417" t="s">
        <v>92</v>
      </c>
      <c r="AQ1136" s="417"/>
      <c r="AR1136" s="417"/>
      <c r="AS1136" s="426"/>
      <c r="AT1136" s="426"/>
      <c r="AU1136" s="409"/>
      <c r="AV1136" s="402" t="str">
        <f t="shared" si="257"/>
        <v>30390455H</v>
      </c>
      <c r="AW1136" s="402" cm="1">
        <f t="array" ref="AW1136">SUM(MID(0&amp;AV1136,LARGE(INDEX(ISNUMBER(--MID(AV1136,ROW($1:$8),1))*ROW($1:$8),),ROW($1:$8))+1,1)*10^ROW($1:$8)/10)</f>
        <v>30390455</v>
      </c>
      <c r="AX1136" s="402" t="str">
        <f>VLOOKUP($AW1136,'Item Master Data'!$A:$F,3,FALSE)</f>
        <v>Q.PEAK DUO BLK ML G10+</v>
      </c>
      <c r="AY1136" s="402">
        <f>VLOOKUP($AW1136,'Item Master Data'!$A:$F,6,FALSE)</f>
        <v>395</v>
      </c>
      <c r="AZ1136" s="402">
        <f t="shared" si="258"/>
        <v>24</v>
      </c>
      <c r="BA1136" s="402">
        <f>VLOOKUP(AW1136,'Item Master Data'!$A:$G,7,FALSE)</f>
        <v>32</v>
      </c>
      <c r="BB1136" s="402"/>
      <c r="BC1136" s="402">
        <f t="shared" si="259"/>
        <v>0</v>
      </c>
    </row>
    <row r="1137" spans="1:55">
      <c r="A1137" s="403" t="s">
        <v>4651</v>
      </c>
      <c r="B1137" s="445" t="s">
        <v>1186</v>
      </c>
      <c r="C1137" s="445">
        <v>44690</v>
      </c>
      <c r="D1137" s="416" t="s">
        <v>1914</v>
      </c>
      <c r="E1137" s="405" t="s">
        <v>4993</v>
      </c>
      <c r="F1137" s="405"/>
      <c r="G1137" s="405">
        <v>2022</v>
      </c>
      <c r="H1137" s="405">
        <v>5</v>
      </c>
      <c r="I1137" s="416"/>
      <c r="J1137" s="406"/>
      <c r="K1137" s="414" t="s">
        <v>2041</v>
      </c>
      <c r="L1137" s="405" t="s">
        <v>1960</v>
      </c>
      <c r="M1137" s="418">
        <v>44463</v>
      </c>
      <c r="N1137" s="418">
        <v>44686</v>
      </c>
      <c r="O1137" s="418"/>
      <c r="P1137" s="406" t="s">
        <v>1368</v>
      </c>
      <c r="Q1137" s="406"/>
      <c r="R1137" s="406"/>
      <c r="S1137" s="405" t="s">
        <v>1443</v>
      </c>
      <c r="T1137" s="405">
        <v>60</v>
      </c>
      <c r="U1137" s="405" t="s">
        <v>1943</v>
      </c>
      <c r="V1137" s="405" t="s">
        <v>973</v>
      </c>
      <c r="W1137" s="405">
        <v>395</v>
      </c>
      <c r="X1137" s="407">
        <v>768</v>
      </c>
      <c r="Y1137" s="408">
        <f t="shared" si="254"/>
        <v>303360</v>
      </c>
      <c r="Z1137" s="409">
        <v>0.65</v>
      </c>
      <c r="AA1137" s="410">
        <f t="shared" si="255"/>
        <v>197184</v>
      </c>
      <c r="AB1137" s="411"/>
      <c r="AC1137" s="412">
        <v>0</v>
      </c>
      <c r="AD1137" s="421"/>
      <c r="AE1137" s="413"/>
      <c r="AF1137" s="424">
        <f t="shared" si="256"/>
        <v>197184</v>
      </c>
      <c r="AG1137" s="405" t="s">
        <v>47</v>
      </c>
      <c r="AH1137" s="405" t="s">
        <v>1963</v>
      </c>
      <c r="AI1137" s="414">
        <v>60</v>
      </c>
      <c r="AJ1137" s="405" t="s">
        <v>1584</v>
      </c>
      <c r="AK1137" s="425" t="s">
        <v>50</v>
      </c>
      <c r="AL1137" s="405" t="s">
        <v>1966</v>
      </c>
      <c r="AM1137" s="405" t="s">
        <v>52</v>
      </c>
      <c r="AN1137" s="405" t="s">
        <v>50</v>
      </c>
      <c r="AO1137" s="405"/>
      <c r="AP1137" s="417" t="s">
        <v>92</v>
      </c>
      <c r="AQ1137" s="417"/>
      <c r="AR1137" s="417"/>
      <c r="AS1137" s="426"/>
      <c r="AT1137" s="426"/>
      <c r="AU1137" s="409"/>
      <c r="AV1137" s="402" t="str">
        <f t="shared" si="257"/>
        <v>30390455H</v>
      </c>
      <c r="AW1137" s="402" cm="1">
        <f t="array" ref="AW1137">SUM(MID(0&amp;AV1137,LARGE(INDEX(ISNUMBER(--MID(AV1137,ROW($1:$8),1))*ROW($1:$8),),ROW($1:$8))+1,1)*10^ROW($1:$8)/10)</f>
        <v>30390455</v>
      </c>
      <c r="AX1137" s="402" t="str">
        <f>VLOOKUP($AW1137,'Item Master Data'!$A:$F,3,FALSE)</f>
        <v>Q.PEAK DUO BLK ML G10+</v>
      </c>
      <c r="AY1137" s="402">
        <f>VLOOKUP($AW1137,'Item Master Data'!$A:$F,6,FALSE)</f>
        <v>395</v>
      </c>
      <c r="AZ1137" s="402">
        <f t="shared" si="258"/>
        <v>24</v>
      </c>
      <c r="BA1137" s="402">
        <f>VLOOKUP(AW1137,'Item Master Data'!$A:$G,7,FALSE)</f>
        <v>32</v>
      </c>
      <c r="BB1137" s="402"/>
      <c r="BC1137" s="402">
        <f t="shared" si="259"/>
        <v>0</v>
      </c>
    </row>
    <row r="1138" spans="1:55">
      <c r="A1138" s="403" t="s">
        <v>4651</v>
      </c>
      <c r="B1138" s="445" t="s">
        <v>1186</v>
      </c>
      <c r="C1138" s="445">
        <v>44690</v>
      </c>
      <c r="D1138" s="416" t="s">
        <v>1914</v>
      </c>
      <c r="E1138" s="405"/>
      <c r="F1138" s="405"/>
      <c r="G1138" s="405">
        <v>2022</v>
      </c>
      <c r="H1138" s="405">
        <v>5</v>
      </c>
      <c r="I1138" s="416"/>
      <c r="J1138" s="406"/>
      <c r="K1138" s="414" t="s">
        <v>2045</v>
      </c>
      <c r="L1138" s="405" t="s">
        <v>1960</v>
      </c>
      <c r="M1138" s="418">
        <v>44463</v>
      </c>
      <c r="N1138" s="418">
        <v>44701</v>
      </c>
      <c r="O1138" s="418"/>
      <c r="P1138" s="406" t="s">
        <v>1368</v>
      </c>
      <c r="Q1138" s="406"/>
      <c r="R1138" s="406"/>
      <c r="S1138" s="405" t="s">
        <v>1443</v>
      </c>
      <c r="T1138" s="405">
        <v>60</v>
      </c>
      <c r="U1138" s="405" t="s">
        <v>1943</v>
      </c>
      <c r="V1138" s="405" t="s">
        <v>973</v>
      </c>
      <c r="W1138" s="405">
        <v>395</v>
      </c>
      <c r="X1138" s="407">
        <v>768</v>
      </c>
      <c r="Y1138" s="408">
        <f t="shared" si="254"/>
        <v>303360</v>
      </c>
      <c r="Z1138" s="409">
        <v>0.65</v>
      </c>
      <c r="AA1138" s="410">
        <f t="shared" si="255"/>
        <v>197184</v>
      </c>
      <c r="AB1138" s="411"/>
      <c r="AC1138" s="412">
        <v>0</v>
      </c>
      <c r="AD1138" s="421"/>
      <c r="AE1138" s="413"/>
      <c r="AF1138" s="424">
        <f t="shared" si="256"/>
        <v>197184</v>
      </c>
      <c r="AG1138" s="405" t="s">
        <v>47</v>
      </c>
      <c r="AH1138" s="405" t="s">
        <v>1963</v>
      </c>
      <c r="AI1138" s="414">
        <v>60</v>
      </c>
      <c r="AJ1138" s="405" t="s">
        <v>1965</v>
      </c>
      <c r="AK1138" s="425" t="s">
        <v>50</v>
      </c>
      <c r="AL1138" s="405" t="s">
        <v>1997</v>
      </c>
      <c r="AM1138" s="405" t="s">
        <v>52</v>
      </c>
      <c r="AN1138" s="405" t="s">
        <v>50</v>
      </c>
      <c r="AO1138" s="405"/>
      <c r="AP1138" s="417" t="s">
        <v>92</v>
      </c>
      <c r="AQ1138" s="417"/>
      <c r="AR1138" s="417"/>
      <c r="AS1138" s="426"/>
      <c r="AT1138" s="426"/>
      <c r="AU1138" s="409"/>
      <c r="AV1138" s="402"/>
      <c r="AW1138" s="402"/>
      <c r="AX1138" s="402"/>
      <c r="AY1138" s="402"/>
      <c r="AZ1138" s="402"/>
      <c r="BA1138" s="402"/>
      <c r="BB1138" s="402"/>
      <c r="BC1138" s="402"/>
    </row>
    <row r="1139" spans="1:55">
      <c r="A1139" s="403"/>
      <c r="B1139" s="445">
        <v>44679</v>
      </c>
      <c r="C1139" s="445">
        <v>44679</v>
      </c>
      <c r="D1139" s="416" t="s">
        <v>1914</v>
      </c>
      <c r="E1139" s="405"/>
      <c r="F1139" s="405"/>
      <c r="G1139" s="405">
        <v>2022</v>
      </c>
      <c r="H1139" s="405">
        <v>6</v>
      </c>
      <c r="I1139" s="416"/>
      <c r="J1139" s="406"/>
      <c r="K1139" s="414" t="s">
        <v>4295</v>
      </c>
      <c r="L1139" s="405" t="s">
        <v>1960</v>
      </c>
      <c r="M1139" s="418">
        <v>44671</v>
      </c>
      <c r="N1139" s="418">
        <v>44697</v>
      </c>
      <c r="O1139" s="418"/>
      <c r="P1139" s="406"/>
      <c r="Q1139" s="406"/>
      <c r="R1139" s="406"/>
      <c r="S1139" s="405" t="s">
        <v>1443</v>
      </c>
      <c r="T1139" s="405">
        <v>72</v>
      </c>
      <c r="U1139" s="405" t="s">
        <v>1102</v>
      </c>
      <c r="V1139" s="405" t="s">
        <v>1068</v>
      </c>
      <c r="W1139" s="405">
        <v>480</v>
      </c>
      <c r="X1139" s="407">
        <v>1276</v>
      </c>
      <c r="Y1139" s="408">
        <f t="shared" si="254"/>
        <v>612480</v>
      </c>
      <c r="Z1139" s="409">
        <v>0.55500000000000005</v>
      </c>
      <c r="AA1139" s="410">
        <f t="shared" si="255"/>
        <v>339926.4</v>
      </c>
      <c r="AB1139" s="411"/>
      <c r="AC1139" s="412">
        <f t="shared" ref="AC1139:AC1144" si="260">AB1139*Y1139</f>
        <v>0</v>
      </c>
      <c r="AD1139" s="421"/>
      <c r="AE1139" s="413"/>
      <c r="AF1139" s="424">
        <f t="shared" si="256"/>
        <v>339926.4</v>
      </c>
      <c r="AG1139" s="405" t="s">
        <v>47</v>
      </c>
      <c r="AH1139" s="405"/>
      <c r="AI1139" s="414">
        <v>60</v>
      </c>
      <c r="AJ1139" s="405" t="s">
        <v>1584</v>
      </c>
      <c r="AK1139" s="425" t="s">
        <v>50</v>
      </c>
      <c r="AL1139" s="405" t="s">
        <v>1585</v>
      </c>
      <c r="AM1139" s="405" t="s">
        <v>52</v>
      </c>
      <c r="AN1139" s="405"/>
      <c r="AO1139" s="405"/>
      <c r="AP1139" s="417" t="s">
        <v>38</v>
      </c>
      <c r="AQ1139" s="417"/>
      <c r="AR1139" s="417" t="s">
        <v>1934</v>
      </c>
      <c r="AS1139" s="426"/>
      <c r="AT1139" s="426"/>
      <c r="AU1139" s="409"/>
      <c r="AV1139" s="402" t="str">
        <f>U1139</f>
        <v>TBD</v>
      </c>
      <c r="AW1139" s="402" cm="1">
        <f t="array" ref="AW1139">SUM(MID(0&amp;AV1139,LARGE(INDEX(ISNUMBER(--MID(AV1139,ROW($1:$8),1))*ROW($1:$8),),ROW($1:$8))+1,1)*10^ROW($1:$8)/10)</f>
        <v>0</v>
      </c>
      <c r="AX1139" s="402" t="e">
        <f>VLOOKUP($AW1139,'Item Master Data'!$A:$F,3,FALSE)</f>
        <v>#N/A</v>
      </c>
      <c r="AY1139" s="402" t="e">
        <f>VLOOKUP($AW1139,'Item Master Data'!$A:$F,6,FALSE)</f>
        <v>#N/A</v>
      </c>
      <c r="AZ1139" s="402" t="e">
        <f>X1139/BA1139</f>
        <v>#N/A</v>
      </c>
      <c r="BA1139" s="402" t="e">
        <f>VLOOKUP(AW1139,'Item Master Data'!$A:$G,7,FALSE)</f>
        <v>#N/A</v>
      </c>
      <c r="BB1139" s="402"/>
      <c r="BC1139" s="402" t="e">
        <f>W1139-AY1139</f>
        <v>#N/A</v>
      </c>
    </row>
    <row r="1140" spans="1:55">
      <c r="A1140" s="403"/>
      <c r="B1140" s="445" t="s">
        <v>1186</v>
      </c>
      <c r="C1140" s="445" t="s">
        <v>1186</v>
      </c>
      <c r="D1140" s="416" t="s">
        <v>1914</v>
      </c>
      <c r="E1140" s="405" t="s">
        <v>4402</v>
      </c>
      <c r="F1140" s="405"/>
      <c r="G1140" s="405">
        <v>2022</v>
      </c>
      <c r="H1140" s="405">
        <v>6</v>
      </c>
      <c r="I1140" s="416"/>
      <c r="J1140" s="406"/>
      <c r="K1140" s="414" t="s">
        <v>4403</v>
      </c>
      <c r="L1140" s="405" t="s">
        <v>1960</v>
      </c>
      <c r="M1140" s="418">
        <v>44678</v>
      </c>
      <c r="N1140" s="418">
        <v>44691</v>
      </c>
      <c r="O1140" s="418"/>
      <c r="P1140" s="406"/>
      <c r="Q1140" s="406"/>
      <c r="R1140" s="406"/>
      <c r="S1140" s="405" t="s">
        <v>1443</v>
      </c>
      <c r="T1140" s="405">
        <v>72</v>
      </c>
      <c r="U1140" s="405" t="s">
        <v>1102</v>
      </c>
      <c r="V1140" s="405" t="s">
        <v>1068</v>
      </c>
      <c r="W1140" s="405">
        <v>480</v>
      </c>
      <c r="X1140" s="407">
        <v>638</v>
      </c>
      <c r="Y1140" s="408">
        <f t="shared" si="254"/>
        <v>306240</v>
      </c>
      <c r="Z1140" s="409">
        <v>0.55500000000000005</v>
      </c>
      <c r="AA1140" s="410">
        <f t="shared" si="255"/>
        <v>169963.2</v>
      </c>
      <c r="AB1140" s="411"/>
      <c r="AC1140" s="412">
        <f t="shared" si="260"/>
        <v>0</v>
      </c>
      <c r="AD1140" s="421"/>
      <c r="AE1140" s="413"/>
      <c r="AF1140" s="424">
        <f t="shared" si="256"/>
        <v>169963.2</v>
      </c>
      <c r="AG1140" s="405" t="s">
        <v>47</v>
      </c>
      <c r="AH1140" s="405"/>
      <c r="AI1140" s="414">
        <v>60</v>
      </c>
      <c r="AJ1140" s="405" t="s">
        <v>1957</v>
      </c>
      <c r="AK1140" s="425" t="s">
        <v>1292</v>
      </c>
      <c r="AL1140" s="405" t="s">
        <v>4404</v>
      </c>
      <c r="AM1140" s="405" t="s">
        <v>52</v>
      </c>
      <c r="AN1140" s="405"/>
      <c r="AO1140" s="405"/>
      <c r="AP1140" s="417"/>
      <c r="AQ1140" s="417"/>
      <c r="AR1140" s="417" t="s">
        <v>1934</v>
      </c>
      <c r="AS1140" s="426"/>
      <c r="AT1140" s="426"/>
      <c r="AU1140" s="409"/>
      <c r="AV1140" s="402"/>
      <c r="AW1140" s="402"/>
      <c r="AX1140" s="402"/>
      <c r="AY1140" s="402"/>
      <c r="AZ1140" s="402"/>
      <c r="BA1140" s="402"/>
      <c r="BB1140" s="402"/>
      <c r="BC1140" s="402"/>
    </row>
    <row r="1141" spans="1:55">
      <c r="A1141" s="403"/>
      <c r="B1141" s="445" t="s">
        <v>1186</v>
      </c>
      <c r="C1141" s="445" t="s">
        <v>1186</v>
      </c>
      <c r="D1141" s="416" t="s">
        <v>1914</v>
      </c>
      <c r="E1141" s="405" t="s">
        <v>4402</v>
      </c>
      <c r="F1141" s="405"/>
      <c r="G1141" s="405">
        <v>2022</v>
      </c>
      <c r="H1141" s="405">
        <v>6</v>
      </c>
      <c r="I1141" s="416"/>
      <c r="J1141" s="406"/>
      <c r="K1141" s="414" t="s">
        <v>4454</v>
      </c>
      <c r="L1141" s="405" t="s">
        <v>1960</v>
      </c>
      <c r="M1141" s="418">
        <v>44677</v>
      </c>
      <c r="N1141" s="418">
        <v>44691</v>
      </c>
      <c r="O1141" s="418"/>
      <c r="P1141" s="406"/>
      <c r="Q1141" s="406"/>
      <c r="R1141" s="406"/>
      <c r="S1141" s="405" t="s">
        <v>1443</v>
      </c>
      <c r="T1141" s="405">
        <v>72</v>
      </c>
      <c r="U1141" s="405" t="s">
        <v>1102</v>
      </c>
      <c r="V1141" s="405" t="s">
        <v>995</v>
      </c>
      <c r="W1141" s="405">
        <v>480</v>
      </c>
      <c r="X1141" s="407">
        <v>638</v>
      </c>
      <c r="Y1141" s="408">
        <f t="shared" si="254"/>
        <v>306240</v>
      </c>
      <c r="Z1141" s="409">
        <v>0.495</v>
      </c>
      <c r="AA1141" s="410">
        <f t="shared" si="255"/>
        <v>151588.79999999999</v>
      </c>
      <c r="AB1141" s="411"/>
      <c r="AC1141" s="412">
        <f t="shared" si="260"/>
        <v>0</v>
      </c>
      <c r="AD1141" s="421"/>
      <c r="AE1141" s="413"/>
      <c r="AF1141" s="424">
        <f t="shared" si="256"/>
        <v>151588.79999999999</v>
      </c>
      <c r="AG1141" s="405" t="s">
        <v>47</v>
      </c>
      <c r="AH1141" s="405"/>
      <c r="AI1141" s="414">
        <v>60</v>
      </c>
      <c r="AJ1141" s="405" t="s">
        <v>1881</v>
      </c>
      <c r="AK1141" s="425" t="s">
        <v>1081</v>
      </c>
      <c r="AL1141" s="405" t="s">
        <v>1964</v>
      </c>
      <c r="AM1141" s="405" t="s">
        <v>52</v>
      </c>
      <c r="AN1141" s="405"/>
      <c r="AO1141" s="405"/>
      <c r="AP1141" s="417"/>
      <c r="AQ1141" s="417"/>
      <c r="AR1141" s="417" t="s">
        <v>1934</v>
      </c>
      <c r="AS1141" s="426"/>
      <c r="AT1141" s="426"/>
      <c r="AU1141" s="409"/>
      <c r="AV1141" s="402"/>
      <c r="AW1141" s="402"/>
      <c r="AX1141" s="402"/>
      <c r="AY1141" s="402"/>
      <c r="AZ1141" s="402"/>
      <c r="BA1141" s="402"/>
      <c r="BB1141" s="402"/>
      <c r="BC1141" s="402"/>
    </row>
    <row r="1142" spans="1:55">
      <c r="A1142" s="403"/>
      <c r="B1142" s="445" t="s">
        <v>1186</v>
      </c>
      <c r="C1142" s="445" t="s">
        <v>1186</v>
      </c>
      <c r="D1142" s="416" t="s">
        <v>1914</v>
      </c>
      <c r="E1142" s="405" t="s">
        <v>4402</v>
      </c>
      <c r="F1142" s="405"/>
      <c r="G1142" s="405">
        <v>2022</v>
      </c>
      <c r="H1142" s="405">
        <v>6</v>
      </c>
      <c r="I1142" s="416"/>
      <c r="J1142" s="406"/>
      <c r="K1142" s="414" t="s">
        <v>4455</v>
      </c>
      <c r="L1142" s="405" t="s">
        <v>1960</v>
      </c>
      <c r="M1142" s="418">
        <v>44677</v>
      </c>
      <c r="N1142" s="418">
        <v>44691</v>
      </c>
      <c r="O1142" s="418"/>
      <c r="P1142" s="406"/>
      <c r="Q1142" s="406"/>
      <c r="R1142" s="406"/>
      <c r="S1142" s="405" t="s">
        <v>1443</v>
      </c>
      <c r="T1142" s="405">
        <v>72</v>
      </c>
      <c r="U1142" s="405" t="s">
        <v>1102</v>
      </c>
      <c r="V1142" s="405" t="s">
        <v>995</v>
      </c>
      <c r="W1142" s="405">
        <v>480</v>
      </c>
      <c r="X1142" s="407">
        <v>638</v>
      </c>
      <c r="Y1142" s="408">
        <f t="shared" si="254"/>
        <v>306240</v>
      </c>
      <c r="Z1142" s="409">
        <v>0.495</v>
      </c>
      <c r="AA1142" s="410">
        <f t="shared" si="255"/>
        <v>151588.79999999999</v>
      </c>
      <c r="AB1142" s="411"/>
      <c r="AC1142" s="412">
        <f t="shared" si="260"/>
        <v>0</v>
      </c>
      <c r="AD1142" s="421"/>
      <c r="AE1142" s="413"/>
      <c r="AF1142" s="424">
        <f t="shared" si="256"/>
        <v>151588.79999999999</v>
      </c>
      <c r="AG1142" s="405" t="s">
        <v>47</v>
      </c>
      <c r="AH1142" s="405"/>
      <c r="AI1142" s="414">
        <v>60</v>
      </c>
      <c r="AJ1142" s="405" t="s">
        <v>4456</v>
      </c>
      <c r="AK1142" s="425" t="s">
        <v>1136</v>
      </c>
      <c r="AL1142" s="405" t="s">
        <v>4457</v>
      </c>
      <c r="AM1142" s="405" t="s">
        <v>52</v>
      </c>
      <c r="AN1142" s="405"/>
      <c r="AO1142" s="405"/>
      <c r="AP1142" s="417"/>
      <c r="AQ1142" s="417"/>
      <c r="AR1142" s="417" t="s">
        <v>1934</v>
      </c>
      <c r="AS1142" s="426"/>
      <c r="AT1142" s="426"/>
      <c r="AU1142" s="409"/>
      <c r="AV1142" s="402"/>
      <c r="AW1142" s="402"/>
      <c r="AX1142" s="402"/>
      <c r="AY1142" s="402"/>
      <c r="AZ1142" s="402"/>
      <c r="BA1142" s="402"/>
      <c r="BB1142" s="402"/>
      <c r="BC1142" s="402"/>
    </row>
    <row r="1143" spans="1:55">
      <c r="A1143" s="403"/>
      <c r="B1143" s="445" t="s">
        <v>1186</v>
      </c>
      <c r="C1143" s="445" t="s">
        <v>1186</v>
      </c>
      <c r="D1143" s="416" t="s">
        <v>1914</v>
      </c>
      <c r="E1143" s="405" t="s">
        <v>4402</v>
      </c>
      <c r="F1143" s="405"/>
      <c r="G1143" s="405">
        <v>2022</v>
      </c>
      <c r="H1143" s="405">
        <v>6</v>
      </c>
      <c r="I1143" s="416"/>
      <c r="J1143" s="406"/>
      <c r="K1143" s="414" t="s">
        <v>4458</v>
      </c>
      <c r="L1143" s="405" t="s">
        <v>1960</v>
      </c>
      <c r="M1143" s="418">
        <v>44677</v>
      </c>
      <c r="N1143" s="418">
        <v>44691</v>
      </c>
      <c r="O1143" s="418"/>
      <c r="P1143" s="406"/>
      <c r="Q1143" s="406"/>
      <c r="R1143" s="406"/>
      <c r="S1143" s="405" t="s">
        <v>1443</v>
      </c>
      <c r="T1143" s="405">
        <v>72</v>
      </c>
      <c r="U1143" s="405" t="s">
        <v>1102</v>
      </c>
      <c r="V1143" s="405" t="s">
        <v>995</v>
      </c>
      <c r="W1143" s="405">
        <v>480</v>
      </c>
      <c r="X1143" s="407">
        <v>638</v>
      </c>
      <c r="Y1143" s="408">
        <f t="shared" si="254"/>
        <v>306240</v>
      </c>
      <c r="Z1143" s="409">
        <v>0.495</v>
      </c>
      <c r="AA1143" s="410">
        <f t="shared" si="255"/>
        <v>151588.79999999999</v>
      </c>
      <c r="AB1143" s="411"/>
      <c r="AC1143" s="412">
        <f t="shared" si="260"/>
        <v>0</v>
      </c>
      <c r="AD1143" s="421"/>
      <c r="AE1143" s="413"/>
      <c r="AF1143" s="424">
        <f t="shared" si="256"/>
        <v>151588.79999999999</v>
      </c>
      <c r="AG1143" s="405" t="s">
        <v>47</v>
      </c>
      <c r="AH1143" s="405"/>
      <c r="AI1143" s="414">
        <v>60</v>
      </c>
      <c r="AJ1143" s="405" t="s">
        <v>1957</v>
      </c>
      <c r="AK1143" s="425" t="s">
        <v>1292</v>
      </c>
      <c r="AL1143" s="405" t="s">
        <v>4404</v>
      </c>
      <c r="AM1143" s="405" t="s">
        <v>52</v>
      </c>
      <c r="AN1143" s="405"/>
      <c r="AO1143" s="405"/>
      <c r="AP1143" s="417"/>
      <c r="AQ1143" s="417"/>
      <c r="AR1143" s="417" t="s">
        <v>1934</v>
      </c>
      <c r="AS1143" s="426"/>
      <c r="AT1143" s="426"/>
      <c r="AU1143" s="409"/>
      <c r="AV1143" s="402"/>
      <c r="AW1143" s="402"/>
      <c r="AX1143" s="402"/>
      <c r="AY1143" s="402"/>
      <c r="AZ1143" s="402"/>
      <c r="BA1143" s="402"/>
      <c r="BB1143" s="402"/>
      <c r="BC1143" s="402"/>
    </row>
    <row r="1144" spans="1:55">
      <c r="A1144" s="403"/>
      <c r="B1144" s="445" t="s">
        <v>1186</v>
      </c>
      <c r="C1144" s="445" t="s">
        <v>1186</v>
      </c>
      <c r="D1144" s="416" t="s">
        <v>1914</v>
      </c>
      <c r="E1144" s="405" t="s">
        <v>4402</v>
      </c>
      <c r="F1144" s="405"/>
      <c r="G1144" s="405">
        <v>2022</v>
      </c>
      <c r="H1144" s="405">
        <v>6</v>
      </c>
      <c r="I1144" s="416"/>
      <c r="J1144" s="406"/>
      <c r="K1144" s="414" t="s">
        <v>4459</v>
      </c>
      <c r="L1144" s="405" t="s">
        <v>1960</v>
      </c>
      <c r="M1144" s="418">
        <v>44677</v>
      </c>
      <c r="N1144" s="418">
        <v>44691</v>
      </c>
      <c r="O1144" s="418"/>
      <c r="P1144" s="406"/>
      <c r="Q1144" s="406"/>
      <c r="R1144" s="406"/>
      <c r="S1144" s="405" t="s">
        <v>1443</v>
      </c>
      <c r="T1144" s="405">
        <v>72</v>
      </c>
      <c r="U1144" s="405" t="s">
        <v>1102</v>
      </c>
      <c r="V1144" s="405" t="s">
        <v>995</v>
      </c>
      <c r="W1144" s="405">
        <v>480</v>
      </c>
      <c r="X1144" s="407">
        <v>638</v>
      </c>
      <c r="Y1144" s="408">
        <f t="shared" si="254"/>
        <v>306240</v>
      </c>
      <c r="Z1144" s="409">
        <v>0.495</v>
      </c>
      <c r="AA1144" s="410">
        <f t="shared" si="255"/>
        <v>151588.79999999999</v>
      </c>
      <c r="AB1144" s="411"/>
      <c r="AC1144" s="412">
        <f t="shared" si="260"/>
        <v>0</v>
      </c>
      <c r="AD1144" s="421"/>
      <c r="AE1144" s="413"/>
      <c r="AF1144" s="424">
        <f t="shared" si="256"/>
        <v>151588.79999999999</v>
      </c>
      <c r="AG1144" s="405" t="s">
        <v>47</v>
      </c>
      <c r="AH1144" s="405"/>
      <c r="AI1144" s="414">
        <v>60</v>
      </c>
      <c r="AJ1144" s="405" t="s">
        <v>1500</v>
      </c>
      <c r="AK1144" s="425" t="s">
        <v>1082</v>
      </c>
      <c r="AL1144" s="405" t="s">
        <v>1989</v>
      </c>
      <c r="AM1144" s="405" t="s">
        <v>52</v>
      </c>
      <c r="AN1144" s="405"/>
      <c r="AO1144" s="405"/>
      <c r="AP1144" s="417"/>
      <c r="AQ1144" s="417"/>
      <c r="AR1144" s="417" t="s">
        <v>1934</v>
      </c>
      <c r="AS1144" s="426"/>
      <c r="AT1144" s="426"/>
      <c r="AU1144" s="409"/>
      <c r="AV1144" s="402"/>
      <c r="AW1144" s="402"/>
      <c r="AX1144" s="402"/>
      <c r="AY1144" s="402"/>
      <c r="AZ1144" s="402"/>
      <c r="BA1144" s="402"/>
      <c r="BB1144" s="402"/>
      <c r="BC1144" s="402"/>
    </row>
    <row r="1145" spans="1:55">
      <c r="A1145" s="403" t="s">
        <v>4585</v>
      </c>
      <c r="B1145" s="445">
        <v>44522</v>
      </c>
      <c r="C1145" s="445"/>
      <c r="D1145" s="416" t="s">
        <v>1914</v>
      </c>
      <c r="E1145" s="405" t="s">
        <v>3199</v>
      </c>
      <c r="F1145" s="405"/>
      <c r="G1145" s="405">
        <v>2022</v>
      </c>
      <c r="H1145" s="405">
        <v>5</v>
      </c>
      <c r="I1145" s="416"/>
      <c r="J1145" s="406"/>
      <c r="K1145" s="414" t="s">
        <v>2187</v>
      </c>
      <c r="L1145" s="405" t="s">
        <v>1967</v>
      </c>
      <c r="M1145" s="418">
        <v>44518</v>
      </c>
      <c r="N1145" s="418">
        <v>44690</v>
      </c>
      <c r="O1145" s="418"/>
      <c r="P1145" s="406" t="s">
        <v>1089</v>
      </c>
      <c r="Q1145" s="406"/>
      <c r="R1145" s="406"/>
      <c r="S1145" s="405" t="s">
        <v>1443</v>
      </c>
      <c r="T1145" s="405">
        <v>60</v>
      </c>
      <c r="U1145" s="405" t="s">
        <v>1237</v>
      </c>
      <c r="V1145" s="405" t="s">
        <v>973</v>
      </c>
      <c r="W1145" s="405">
        <v>400</v>
      </c>
      <c r="X1145" s="407">
        <v>768</v>
      </c>
      <c r="Y1145" s="408">
        <v>307200</v>
      </c>
      <c r="Z1145" s="409">
        <v>0.64</v>
      </c>
      <c r="AA1145" s="410">
        <f t="shared" si="255"/>
        <v>196608</v>
      </c>
      <c r="AB1145" s="411"/>
      <c r="AC1145" s="412">
        <v>0</v>
      </c>
      <c r="AD1145" s="421"/>
      <c r="AE1145" s="413"/>
      <c r="AF1145" s="424">
        <f t="shared" si="256"/>
        <v>196608</v>
      </c>
      <c r="AG1145" s="405" t="s">
        <v>1069</v>
      </c>
      <c r="AH1145" s="405"/>
      <c r="AI1145" s="414" t="s">
        <v>1962</v>
      </c>
      <c r="AJ1145" s="405" t="s">
        <v>1944</v>
      </c>
      <c r="AK1145" s="425" t="s">
        <v>1136</v>
      </c>
      <c r="AL1145" s="405">
        <v>75063</v>
      </c>
      <c r="AM1145" s="405" t="s">
        <v>52</v>
      </c>
      <c r="AN1145" s="405"/>
      <c r="AO1145" s="405"/>
      <c r="AP1145" s="417"/>
      <c r="AQ1145" s="417"/>
      <c r="AR1145" s="417"/>
      <c r="AS1145" s="426"/>
      <c r="AT1145" s="426"/>
      <c r="AU1145" s="409"/>
      <c r="AV1145" s="402" t="str">
        <f t="shared" ref="AV1145:AV1156" si="261">U1145</f>
        <v>30390456H</v>
      </c>
      <c r="AW1145" s="402" cm="1">
        <f t="array" ref="AW1145">SUM(MID(0&amp;AV1145,LARGE(INDEX(ISNUMBER(--MID(AV1145,ROW($1:$8),1))*ROW($1:$8),),ROW($1:$8))+1,1)*10^ROW($1:$8)/10)</f>
        <v>30390456</v>
      </c>
      <c r="AX1145" s="402" t="str">
        <f>VLOOKUP($AW1145,'Item Master Data'!$A:$F,3,FALSE)</f>
        <v>Q.PEAK DUO BLK ML G10+</v>
      </c>
      <c r="AY1145" s="402">
        <f>VLOOKUP($AW1145,'Item Master Data'!$A:$F,6,FALSE)</f>
        <v>400</v>
      </c>
      <c r="AZ1145" s="402">
        <f t="shared" ref="AZ1145:AZ1156" si="262">X1145/BA1145</f>
        <v>24</v>
      </c>
      <c r="BA1145" s="402">
        <f>VLOOKUP(AW1145,'Item Master Data'!$A:$G,7,FALSE)</f>
        <v>32</v>
      </c>
      <c r="BB1145" s="402"/>
      <c r="BC1145" s="402">
        <f t="shared" ref="BC1145:BC1156" si="263">W1145-AY1145</f>
        <v>0</v>
      </c>
    </row>
    <row r="1146" spans="1:55">
      <c r="A1146" s="403" t="s">
        <v>4585</v>
      </c>
      <c r="B1146" s="445">
        <v>44522</v>
      </c>
      <c r="C1146" s="445"/>
      <c r="D1146" s="416" t="s">
        <v>1914</v>
      </c>
      <c r="E1146" s="405" t="s">
        <v>3199</v>
      </c>
      <c r="F1146" s="405"/>
      <c r="G1146" s="405">
        <v>2022</v>
      </c>
      <c r="H1146" s="405">
        <v>5</v>
      </c>
      <c r="I1146" s="416"/>
      <c r="J1146" s="406"/>
      <c r="K1146" s="414" t="s">
        <v>2224</v>
      </c>
      <c r="L1146" s="405" t="s">
        <v>1967</v>
      </c>
      <c r="M1146" s="418">
        <v>44518</v>
      </c>
      <c r="N1146" s="418">
        <v>44694</v>
      </c>
      <c r="O1146" s="418"/>
      <c r="P1146" s="406" t="s">
        <v>1089</v>
      </c>
      <c r="Q1146" s="406"/>
      <c r="R1146" s="406"/>
      <c r="S1146" s="405" t="s">
        <v>1443</v>
      </c>
      <c r="T1146" s="405">
        <v>60</v>
      </c>
      <c r="U1146" s="405" t="s">
        <v>1237</v>
      </c>
      <c r="V1146" s="405" t="s">
        <v>973</v>
      </c>
      <c r="W1146" s="405">
        <v>400</v>
      </c>
      <c r="X1146" s="407">
        <v>768</v>
      </c>
      <c r="Y1146" s="408">
        <v>307200</v>
      </c>
      <c r="Z1146" s="409">
        <v>0.64</v>
      </c>
      <c r="AA1146" s="410">
        <f t="shared" si="255"/>
        <v>196608</v>
      </c>
      <c r="AB1146" s="411"/>
      <c r="AC1146" s="412">
        <v>0</v>
      </c>
      <c r="AD1146" s="421"/>
      <c r="AE1146" s="413"/>
      <c r="AF1146" s="424">
        <f t="shared" si="256"/>
        <v>196608</v>
      </c>
      <c r="AG1146" s="405" t="s">
        <v>1069</v>
      </c>
      <c r="AH1146" s="405"/>
      <c r="AI1146" s="414" t="s">
        <v>1962</v>
      </c>
      <c r="AJ1146" s="405" t="s">
        <v>1944</v>
      </c>
      <c r="AK1146" s="425" t="s">
        <v>1136</v>
      </c>
      <c r="AL1146" s="405">
        <v>75063</v>
      </c>
      <c r="AM1146" s="405" t="s">
        <v>52</v>
      </c>
      <c r="AN1146" s="405"/>
      <c r="AO1146" s="405"/>
      <c r="AP1146" s="417"/>
      <c r="AQ1146" s="417"/>
      <c r="AR1146" s="417"/>
      <c r="AS1146" s="426"/>
      <c r="AT1146" s="426"/>
      <c r="AU1146" s="409"/>
      <c r="AV1146" s="402" t="str">
        <f t="shared" si="261"/>
        <v>30390456H</v>
      </c>
      <c r="AW1146" s="402" cm="1">
        <f t="array" ref="AW1146">SUM(MID(0&amp;AV1146,LARGE(INDEX(ISNUMBER(--MID(AV1146,ROW($1:$8),1))*ROW($1:$8),),ROW($1:$8))+1,1)*10^ROW($1:$8)/10)</f>
        <v>30390456</v>
      </c>
      <c r="AX1146" s="402" t="str">
        <f>VLOOKUP($AW1146,'Item Master Data'!$A:$F,3,FALSE)</f>
        <v>Q.PEAK DUO BLK ML G10+</v>
      </c>
      <c r="AY1146" s="402">
        <f>VLOOKUP($AW1146,'Item Master Data'!$A:$F,6,FALSE)</f>
        <v>400</v>
      </c>
      <c r="AZ1146" s="402">
        <f t="shared" si="262"/>
        <v>24</v>
      </c>
      <c r="BA1146" s="402">
        <f>VLOOKUP(AW1146,'Item Master Data'!$A:$G,7,FALSE)</f>
        <v>32</v>
      </c>
      <c r="BB1146" s="402"/>
      <c r="BC1146" s="402">
        <f t="shared" si="263"/>
        <v>0</v>
      </c>
    </row>
    <row r="1147" spans="1:55">
      <c r="A1147" s="403" t="s">
        <v>4585</v>
      </c>
      <c r="B1147" s="445">
        <v>44522</v>
      </c>
      <c r="C1147" s="445"/>
      <c r="D1147" s="416" t="s">
        <v>1914</v>
      </c>
      <c r="E1147" s="405" t="s">
        <v>3199</v>
      </c>
      <c r="F1147" s="405"/>
      <c r="G1147" s="405">
        <v>2022</v>
      </c>
      <c r="H1147" s="405">
        <v>5</v>
      </c>
      <c r="I1147" s="416"/>
      <c r="J1147" s="406"/>
      <c r="K1147" s="414" t="s">
        <v>2225</v>
      </c>
      <c r="L1147" s="405" t="s">
        <v>1967</v>
      </c>
      <c r="M1147" s="418">
        <v>44518</v>
      </c>
      <c r="N1147" s="418">
        <v>44700</v>
      </c>
      <c r="O1147" s="418"/>
      <c r="P1147" s="406" t="s">
        <v>1089</v>
      </c>
      <c r="Q1147" s="406"/>
      <c r="R1147" s="406"/>
      <c r="S1147" s="405" t="s">
        <v>1443</v>
      </c>
      <c r="T1147" s="405">
        <v>60</v>
      </c>
      <c r="U1147" s="405" t="s">
        <v>1237</v>
      </c>
      <c r="V1147" s="405" t="s">
        <v>973</v>
      </c>
      <c r="W1147" s="405">
        <v>400</v>
      </c>
      <c r="X1147" s="407">
        <v>768</v>
      </c>
      <c r="Y1147" s="408">
        <v>307200</v>
      </c>
      <c r="Z1147" s="409">
        <v>0.64</v>
      </c>
      <c r="AA1147" s="410">
        <f t="shared" si="255"/>
        <v>196608</v>
      </c>
      <c r="AB1147" s="411"/>
      <c r="AC1147" s="412">
        <v>0</v>
      </c>
      <c r="AD1147" s="421"/>
      <c r="AE1147" s="413"/>
      <c r="AF1147" s="424">
        <f t="shared" si="256"/>
        <v>196608</v>
      </c>
      <c r="AG1147" s="405" t="s">
        <v>1069</v>
      </c>
      <c r="AH1147" s="405"/>
      <c r="AI1147" s="414" t="s">
        <v>1962</v>
      </c>
      <c r="AJ1147" s="405" t="s">
        <v>1944</v>
      </c>
      <c r="AK1147" s="425" t="s">
        <v>1136</v>
      </c>
      <c r="AL1147" s="405">
        <v>75063</v>
      </c>
      <c r="AM1147" s="405" t="s">
        <v>52</v>
      </c>
      <c r="AN1147" s="405"/>
      <c r="AO1147" s="405"/>
      <c r="AP1147" s="417"/>
      <c r="AQ1147" s="417"/>
      <c r="AR1147" s="417"/>
      <c r="AS1147" s="426"/>
      <c r="AT1147" s="426"/>
      <c r="AU1147" s="409"/>
      <c r="AV1147" s="402" t="str">
        <f t="shared" si="261"/>
        <v>30390456H</v>
      </c>
      <c r="AW1147" s="402" cm="1">
        <f t="array" ref="AW1147">SUM(MID(0&amp;AV1147,LARGE(INDEX(ISNUMBER(--MID(AV1147,ROW($1:$8),1))*ROW($1:$8),),ROW($1:$8))+1,1)*10^ROW($1:$8)/10)</f>
        <v>30390456</v>
      </c>
      <c r="AX1147" s="402" t="str">
        <f>VLOOKUP($AW1147,'Item Master Data'!$A:$F,3,FALSE)</f>
        <v>Q.PEAK DUO BLK ML G10+</v>
      </c>
      <c r="AY1147" s="402">
        <f>VLOOKUP($AW1147,'Item Master Data'!$A:$F,6,FALSE)</f>
        <v>400</v>
      </c>
      <c r="AZ1147" s="402">
        <f t="shared" si="262"/>
        <v>24</v>
      </c>
      <c r="BA1147" s="402">
        <f>VLOOKUP(AW1147,'Item Master Data'!$A:$G,7,FALSE)</f>
        <v>32</v>
      </c>
      <c r="BB1147" s="402"/>
      <c r="BC1147" s="402">
        <f t="shared" si="263"/>
        <v>0</v>
      </c>
    </row>
    <row r="1148" spans="1:55">
      <c r="A1148" s="403" t="s">
        <v>4585</v>
      </c>
      <c r="B1148" s="445">
        <v>44522</v>
      </c>
      <c r="C1148" s="445"/>
      <c r="D1148" s="416" t="s">
        <v>1914</v>
      </c>
      <c r="E1148" s="405" t="s">
        <v>3199</v>
      </c>
      <c r="F1148" s="405"/>
      <c r="G1148" s="405">
        <v>2022</v>
      </c>
      <c r="H1148" s="405">
        <v>5</v>
      </c>
      <c r="I1148" s="416"/>
      <c r="J1148" s="406"/>
      <c r="K1148" s="414" t="s">
        <v>2228</v>
      </c>
      <c r="L1148" s="405" t="s">
        <v>1967</v>
      </c>
      <c r="M1148" s="418">
        <v>44505</v>
      </c>
      <c r="N1148" s="418">
        <v>44697</v>
      </c>
      <c r="O1148" s="418"/>
      <c r="P1148" s="406" t="s">
        <v>1089</v>
      </c>
      <c r="Q1148" s="406"/>
      <c r="R1148" s="406"/>
      <c r="S1148" s="405" t="s">
        <v>1443</v>
      </c>
      <c r="T1148" s="405">
        <v>60</v>
      </c>
      <c r="U1148" s="405" t="s">
        <v>1237</v>
      </c>
      <c r="V1148" s="405" t="s">
        <v>973</v>
      </c>
      <c r="W1148" s="405">
        <v>400</v>
      </c>
      <c r="X1148" s="407">
        <v>768</v>
      </c>
      <c r="Y1148" s="408">
        <v>307200</v>
      </c>
      <c r="Z1148" s="409">
        <v>0.64</v>
      </c>
      <c r="AA1148" s="410">
        <f t="shared" si="255"/>
        <v>196608</v>
      </c>
      <c r="AB1148" s="411"/>
      <c r="AC1148" s="412">
        <v>0</v>
      </c>
      <c r="AD1148" s="421"/>
      <c r="AE1148" s="413"/>
      <c r="AF1148" s="424">
        <f t="shared" si="256"/>
        <v>196608</v>
      </c>
      <c r="AG1148" s="405" t="s">
        <v>1069</v>
      </c>
      <c r="AH1148" s="405"/>
      <c r="AI1148" s="414" t="s">
        <v>1962</v>
      </c>
      <c r="AJ1148" s="405" t="s">
        <v>1573</v>
      </c>
      <c r="AK1148" s="425" t="s">
        <v>50</v>
      </c>
      <c r="AL1148" s="405" t="s">
        <v>1700</v>
      </c>
      <c r="AM1148" s="405" t="s">
        <v>52</v>
      </c>
      <c r="AN1148" s="405"/>
      <c r="AO1148" s="405"/>
      <c r="AP1148" s="417"/>
      <c r="AQ1148" s="417" t="s">
        <v>37</v>
      </c>
      <c r="AR1148" s="417"/>
      <c r="AS1148" s="426"/>
      <c r="AT1148" s="426"/>
      <c r="AU1148" s="409"/>
      <c r="AV1148" s="402" t="str">
        <f t="shared" si="261"/>
        <v>30390456H</v>
      </c>
      <c r="AW1148" s="402" cm="1">
        <f t="array" ref="AW1148">SUM(MID(0&amp;AV1148,LARGE(INDEX(ISNUMBER(--MID(AV1148,ROW($1:$8),1))*ROW($1:$8),),ROW($1:$8))+1,1)*10^ROW($1:$8)/10)</f>
        <v>30390456</v>
      </c>
      <c r="AX1148" s="402" t="str">
        <f>VLOOKUP($AW1148,'Item Master Data'!$A:$F,3,FALSE)</f>
        <v>Q.PEAK DUO BLK ML G10+</v>
      </c>
      <c r="AY1148" s="402">
        <f>VLOOKUP($AW1148,'Item Master Data'!$A:$F,6,FALSE)</f>
        <v>400</v>
      </c>
      <c r="AZ1148" s="402">
        <f t="shared" si="262"/>
        <v>24</v>
      </c>
      <c r="BA1148" s="402">
        <f>VLOOKUP(AW1148,'Item Master Data'!$A:$G,7,FALSE)</f>
        <v>32</v>
      </c>
      <c r="BB1148" s="402"/>
      <c r="BC1148" s="402">
        <f t="shared" si="263"/>
        <v>0</v>
      </c>
    </row>
    <row r="1149" spans="1:55">
      <c r="A1149" s="403" t="s">
        <v>4584</v>
      </c>
      <c r="B1149" s="445">
        <v>44522</v>
      </c>
      <c r="C1149" s="445">
        <v>44691</v>
      </c>
      <c r="D1149" s="416" t="s">
        <v>1914</v>
      </c>
      <c r="E1149" s="405"/>
      <c r="F1149" s="405"/>
      <c r="G1149" s="405">
        <v>2022</v>
      </c>
      <c r="H1149" s="405">
        <v>5</v>
      </c>
      <c r="I1149" s="416"/>
      <c r="J1149" s="406"/>
      <c r="K1149" s="414" t="s">
        <v>2186</v>
      </c>
      <c r="L1149" s="405" t="s">
        <v>1967</v>
      </c>
      <c r="M1149" s="418">
        <v>44518</v>
      </c>
      <c r="N1149" s="418">
        <v>44685</v>
      </c>
      <c r="O1149" s="418"/>
      <c r="P1149" s="406">
        <v>44691</v>
      </c>
      <c r="Q1149" s="406"/>
      <c r="R1149" s="406">
        <v>44697</v>
      </c>
      <c r="S1149" s="405" t="s">
        <v>1443</v>
      </c>
      <c r="T1149" s="405">
        <v>60</v>
      </c>
      <c r="U1149" s="405" t="s">
        <v>1237</v>
      </c>
      <c r="V1149" s="405" t="s">
        <v>973</v>
      </c>
      <c r="W1149" s="405">
        <v>400</v>
      </c>
      <c r="X1149" s="407">
        <v>768</v>
      </c>
      <c r="Y1149" s="408">
        <v>307200</v>
      </c>
      <c r="Z1149" s="409">
        <v>0.55500000000000005</v>
      </c>
      <c r="AA1149" s="410">
        <f t="shared" si="255"/>
        <v>170496.00000000003</v>
      </c>
      <c r="AB1149" s="411"/>
      <c r="AC1149" s="412">
        <v>0</v>
      </c>
      <c r="AD1149" s="421"/>
      <c r="AE1149" s="413"/>
      <c r="AF1149" s="424">
        <f t="shared" si="256"/>
        <v>170496.00000000003</v>
      </c>
      <c r="AG1149" s="405" t="s">
        <v>1069</v>
      </c>
      <c r="AH1149" s="405"/>
      <c r="AI1149" s="414" t="s">
        <v>1962</v>
      </c>
      <c r="AJ1149" s="405" t="s">
        <v>1983</v>
      </c>
      <c r="AK1149" s="425" t="s">
        <v>1136</v>
      </c>
      <c r="AL1149" s="405">
        <v>75063</v>
      </c>
      <c r="AM1149" s="405" t="s">
        <v>52</v>
      </c>
      <c r="AN1149" s="405" t="s">
        <v>50</v>
      </c>
      <c r="AO1149" s="405"/>
      <c r="AP1149" s="417"/>
      <c r="AQ1149" s="417"/>
      <c r="AR1149" s="417"/>
      <c r="AS1149" s="426"/>
      <c r="AT1149" s="426"/>
      <c r="AU1149" s="409"/>
      <c r="AV1149" s="402" t="str">
        <f t="shared" si="261"/>
        <v>30390456H</v>
      </c>
      <c r="AW1149" s="402" cm="1">
        <f t="array" ref="AW1149">SUM(MID(0&amp;AV1149,LARGE(INDEX(ISNUMBER(--MID(AV1149,ROW($1:$8),1))*ROW($1:$8),),ROW($1:$8))+1,1)*10^ROW($1:$8)/10)</f>
        <v>30390456</v>
      </c>
      <c r="AX1149" s="402" t="str">
        <f>VLOOKUP($AW1149,'Item Master Data'!$A:$F,3,FALSE)</f>
        <v>Q.PEAK DUO BLK ML G10+</v>
      </c>
      <c r="AY1149" s="402">
        <f>VLOOKUP($AW1149,'Item Master Data'!$A:$F,6,FALSE)</f>
        <v>400</v>
      </c>
      <c r="AZ1149" s="402">
        <f t="shared" si="262"/>
        <v>24</v>
      </c>
      <c r="BA1149" s="402">
        <f>VLOOKUP(AW1149,'Item Master Data'!$A:$G,7,FALSE)</f>
        <v>32</v>
      </c>
      <c r="BB1149" s="402"/>
      <c r="BC1149" s="402">
        <f t="shared" si="263"/>
        <v>0</v>
      </c>
    </row>
    <row r="1150" spans="1:55">
      <c r="A1150" s="403" t="s">
        <v>4584</v>
      </c>
      <c r="B1150" s="445">
        <v>44522</v>
      </c>
      <c r="C1150" s="445"/>
      <c r="D1150" s="416" t="s">
        <v>1914</v>
      </c>
      <c r="E1150" s="405"/>
      <c r="F1150" s="405"/>
      <c r="G1150" s="405">
        <v>2022</v>
      </c>
      <c r="H1150" s="405">
        <v>5</v>
      </c>
      <c r="I1150" s="416"/>
      <c r="J1150" s="406"/>
      <c r="K1150" s="414" t="s">
        <v>2195</v>
      </c>
      <c r="L1150" s="405" t="s">
        <v>1967</v>
      </c>
      <c r="M1150" s="418">
        <v>44505</v>
      </c>
      <c r="N1150" s="418">
        <v>44686</v>
      </c>
      <c r="O1150" s="418"/>
      <c r="P1150" s="406">
        <v>44693</v>
      </c>
      <c r="Q1150" s="406"/>
      <c r="R1150" s="406"/>
      <c r="S1150" s="405" t="s">
        <v>1443</v>
      </c>
      <c r="T1150" s="405">
        <v>60</v>
      </c>
      <c r="U1150" s="405" t="s">
        <v>1237</v>
      </c>
      <c r="V1150" s="405" t="s">
        <v>973</v>
      </c>
      <c r="W1150" s="405">
        <v>400</v>
      </c>
      <c r="X1150" s="407">
        <v>768</v>
      </c>
      <c r="Y1150" s="408">
        <v>307200</v>
      </c>
      <c r="Z1150" s="409">
        <v>0.55500000000000005</v>
      </c>
      <c r="AA1150" s="410">
        <f t="shared" si="255"/>
        <v>170496.00000000003</v>
      </c>
      <c r="AB1150" s="411"/>
      <c r="AC1150" s="412">
        <v>0</v>
      </c>
      <c r="AD1150" s="421"/>
      <c r="AE1150" s="413"/>
      <c r="AF1150" s="424">
        <f t="shared" si="256"/>
        <v>170496.00000000003</v>
      </c>
      <c r="AG1150" s="405" t="s">
        <v>1069</v>
      </c>
      <c r="AH1150" s="405"/>
      <c r="AI1150" s="414" t="s">
        <v>1962</v>
      </c>
      <c r="AJ1150" s="405" t="s">
        <v>1573</v>
      </c>
      <c r="AK1150" s="425" t="s">
        <v>50</v>
      </c>
      <c r="AL1150" s="405" t="s">
        <v>1700</v>
      </c>
      <c r="AM1150" s="405" t="s">
        <v>52</v>
      </c>
      <c r="AN1150" s="405" t="s">
        <v>50</v>
      </c>
      <c r="AO1150" s="405"/>
      <c r="AP1150" s="417"/>
      <c r="AQ1150" s="417" t="s">
        <v>37</v>
      </c>
      <c r="AR1150" s="417"/>
      <c r="AS1150" s="426"/>
      <c r="AT1150" s="426"/>
      <c r="AU1150" s="409"/>
      <c r="AV1150" s="402" t="str">
        <f t="shared" si="261"/>
        <v>30390456H</v>
      </c>
      <c r="AW1150" s="402" cm="1">
        <f t="array" ref="AW1150">SUM(MID(0&amp;AV1150,LARGE(INDEX(ISNUMBER(--MID(AV1150,ROW($1:$8),1))*ROW($1:$8),),ROW($1:$8))+1,1)*10^ROW($1:$8)/10)</f>
        <v>30390456</v>
      </c>
      <c r="AX1150" s="402" t="str">
        <f>VLOOKUP($AW1150,'Item Master Data'!$A:$F,3,FALSE)</f>
        <v>Q.PEAK DUO BLK ML G10+</v>
      </c>
      <c r="AY1150" s="402">
        <f>VLOOKUP($AW1150,'Item Master Data'!$A:$F,6,FALSE)</f>
        <v>400</v>
      </c>
      <c r="AZ1150" s="402">
        <f t="shared" si="262"/>
        <v>24</v>
      </c>
      <c r="BA1150" s="402">
        <f>VLOOKUP(AW1150,'Item Master Data'!$A:$G,7,FALSE)</f>
        <v>32</v>
      </c>
      <c r="BB1150" s="402"/>
      <c r="BC1150" s="402">
        <f t="shared" si="263"/>
        <v>0</v>
      </c>
    </row>
    <row r="1151" spans="1:55">
      <c r="A1151" s="403" t="s">
        <v>4584</v>
      </c>
      <c r="B1151" s="445">
        <v>44522</v>
      </c>
      <c r="C1151" s="445"/>
      <c r="D1151" s="416" t="s">
        <v>1914</v>
      </c>
      <c r="E1151" s="405" t="s">
        <v>4735</v>
      </c>
      <c r="F1151" s="405"/>
      <c r="G1151" s="405">
        <v>2022</v>
      </c>
      <c r="H1151" s="405">
        <v>5</v>
      </c>
      <c r="I1151" s="416"/>
      <c r="J1151" s="406">
        <v>44693</v>
      </c>
      <c r="K1151" s="414" t="s">
        <v>2196</v>
      </c>
      <c r="L1151" s="405" t="s">
        <v>1967</v>
      </c>
      <c r="M1151" s="418">
        <v>44505</v>
      </c>
      <c r="N1151" s="418">
        <v>44685</v>
      </c>
      <c r="O1151" s="418"/>
      <c r="P1151" s="406">
        <v>44691</v>
      </c>
      <c r="Q1151" s="406">
        <v>44693</v>
      </c>
      <c r="R1151" s="406">
        <v>44694</v>
      </c>
      <c r="S1151" s="405" t="s">
        <v>1443</v>
      </c>
      <c r="T1151" s="405">
        <v>60</v>
      </c>
      <c r="U1151" s="405" t="s">
        <v>1237</v>
      </c>
      <c r="V1151" s="405" t="s">
        <v>973</v>
      </c>
      <c r="W1151" s="405">
        <v>400</v>
      </c>
      <c r="X1151" s="407">
        <v>768</v>
      </c>
      <c r="Y1151" s="408">
        <v>307200</v>
      </c>
      <c r="Z1151" s="409">
        <v>0.55500000000000005</v>
      </c>
      <c r="AA1151" s="410">
        <f t="shared" si="255"/>
        <v>170496.00000000003</v>
      </c>
      <c r="AB1151" s="411"/>
      <c r="AC1151" s="412">
        <v>0</v>
      </c>
      <c r="AD1151" s="421"/>
      <c r="AE1151" s="413"/>
      <c r="AF1151" s="424">
        <f t="shared" si="256"/>
        <v>170496.00000000003</v>
      </c>
      <c r="AG1151" s="405" t="s">
        <v>1069</v>
      </c>
      <c r="AH1151" s="405"/>
      <c r="AI1151" s="414" t="s">
        <v>1962</v>
      </c>
      <c r="AJ1151" s="405" t="s">
        <v>1573</v>
      </c>
      <c r="AK1151" s="425" t="s">
        <v>50</v>
      </c>
      <c r="AL1151" s="405" t="s">
        <v>1700</v>
      </c>
      <c r="AM1151" s="405" t="s">
        <v>52</v>
      </c>
      <c r="AN1151" s="405" t="s">
        <v>50</v>
      </c>
      <c r="AO1151" s="405"/>
      <c r="AP1151" s="417"/>
      <c r="AQ1151" s="417" t="s">
        <v>37</v>
      </c>
      <c r="AR1151" s="417"/>
      <c r="AS1151" s="426"/>
      <c r="AT1151" s="426"/>
      <c r="AU1151" s="409"/>
      <c r="AV1151" s="402" t="str">
        <f t="shared" si="261"/>
        <v>30390456H</v>
      </c>
      <c r="AW1151" s="402" cm="1">
        <f t="array" ref="AW1151">SUM(MID(0&amp;AV1151,LARGE(INDEX(ISNUMBER(--MID(AV1151,ROW($1:$8),1))*ROW($1:$8),),ROW($1:$8))+1,1)*10^ROW($1:$8)/10)</f>
        <v>30390456</v>
      </c>
      <c r="AX1151" s="402" t="str">
        <f>VLOOKUP($AW1151,'Item Master Data'!$A:$F,3,FALSE)</f>
        <v>Q.PEAK DUO BLK ML G10+</v>
      </c>
      <c r="AY1151" s="402">
        <f>VLOOKUP($AW1151,'Item Master Data'!$A:$F,6,FALSE)</f>
        <v>400</v>
      </c>
      <c r="AZ1151" s="402">
        <f t="shared" si="262"/>
        <v>24</v>
      </c>
      <c r="BA1151" s="402">
        <f>VLOOKUP(AW1151,'Item Master Data'!$A:$G,7,FALSE)</f>
        <v>32</v>
      </c>
      <c r="BB1151" s="402"/>
      <c r="BC1151" s="402">
        <f t="shared" si="263"/>
        <v>0</v>
      </c>
    </row>
    <row r="1152" spans="1:55">
      <c r="A1152" s="403" t="s">
        <v>4584</v>
      </c>
      <c r="B1152" s="445">
        <v>44557</v>
      </c>
      <c r="C1152" s="445"/>
      <c r="D1152" s="416" t="s">
        <v>1914</v>
      </c>
      <c r="E1152" s="405" t="s">
        <v>4994</v>
      </c>
      <c r="F1152" s="405"/>
      <c r="G1152" s="405">
        <v>2022</v>
      </c>
      <c r="H1152" s="405">
        <v>5</v>
      </c>
      <c r="I1152" s="416"/>
      <c r="J1152" s="406"/>
      <c r="K1152" s="414" t="s">
        <v>2197</v>
      </c>
      <c r="L1152" s="405" t="s">
        <v>1967</v>
      </c>
      <c r="M1152" s="418">
        <v>44505</v>
      </c>
      <c r="N1152" s="418">
        <v>44682</v>
      </c>
      <c r="O1152" s="418"/>
      <c r="P1152" s="406">
        <v>44691</v>
      </c>
      <c r="Q1152" s="406"/>
      <c r="R1152" s="406">
        <v>44694</v>
      </c>
      <c r="S1152" s="405" t="s">
        <v>1443</v>
      </c>
      <c r="T1152" s="405">
        <v>60</v>
      </c>
      <c r="U1152" s="405" t="s">
        <v>1237</v>
      </c>
      <c r="V1152" s="405" t="s">
        <v>973</v>
      </c>
      <c r="W1152" s="405">
        <v>400</v>
      </c>
      <c r="X1152" s="407">
        <v>768</v>
      </c>
      <c r="Y1152" s="408">
        <v>307200</v>
      </c>
      <c r="Z1152" s="409">
        <v>0.55500000000000005</v>
      </c>
      <c r="AA1152" s="410">
        <f t="shared" si="255"/>
        <v>170496.00000000003</v>
      </c>
      <c r="AB1152" s="411"/>
      <c r="AC1152" s="412"/>
      <c r="AD1152" s="421"/>
      <c r="AE1152" s="413"/>
      <c r="AF1152" s="424">
        <f t="shared" si="256"/>
        <v>170496.00000000003</v>
      </c>
      <c r="AG1152" s="405" t="s">
        <v>1069</v>
      </c>
      <c r="AH1152" s="405"/>
      <c r="AI1152" s="414" t="s">
        <v>1962</v>
      </c>
      <c r="AJ1152" s="405" t="s">
        <v>1969</v>
      </c>
      <c r="AK1152" s="425" t="s">
        <v>1125</v>
      </c>
      <c r="AL1152" s="405" t="s">
        <v>2016</v>
      </c>
      <c r="AM1152" s="405" t="s">
        <v>52</v>
      </c>
      <c r="AN1152" s="405" t="s">
        <v>50</v>
      </c>
      <c r="AO1152" s="405"/>
      <c r="AP1152" s="417"/>
      <c r="AQ1152" s="417" t="s">
        <v>37</v>
      </c>
      <c r="AR1152" s="417"/>
      <c r="AS1152" s="426"/>
      <c r="AT1152" s="426"/>
      <c r="AU1152" s="409"/>
      <c r="AV1152" s="402" t="str">
        <f t="shared" si="261"/>
        <v>30390456H</v>
      </c>
      <c r="AW1152" s="402" cm="1">
        <f t="array" ref="AW1152">SUM(MID(0&amp;AV1152,LARGE(INDEX(ISNUMBER(--MID(AV1152,ROW($1:$8),1))*ROW($1:$8),),ROW($1:$8))+1,1)*10^ROW($1:$8)/10)</f>
        <v>30390456</v>
      </c>
      <c r="AX1152" s="402" t="str">
        <f>VLOOKUP($AW1152,'Item Master Data'!$A:$F,3,FALSE)</f>
        <v>Q.PEAK DUO BLK ML G10+</v>
      </c>
      <c r="AY1152" s="402">
        <f>VLOOKUP($AW1152,'Item Master Data'!$A:$F,6,FALSE)</f>
        <v>400</v>
      </c>
      <c r="AZ1152" s="402">
        <f t="shared" si="262"/>
        <v>24</v>
      </c>
      <c r="BA1152" s="402">
        <f>VLOOKUP(AW1152,'Item Master Data'!$A:$G,7,FALSE)</f>
        <v>32</v>
      </c>
      <c r="BB1152" s="402"/>
      <c r="BC1152" s="402">
        <f t="shared" si="263"/>
        <v>0</v>
      </c>
    </row>
    <row r="1153" spans="1:55">
      <c r="A1153" s="403" t="s">
        <v>4584</v>
      </c>
      <c r="B1153" s="445"/>
      <c r="C1153" s="445"/>
      <c r="D1153" s="416" t="s">
        <v>1914</v>
      </c>
      <c r="E1153" s="405" t="s">
        <v>4995</v>
      </c>
      <c r="F1153" s="405"/>
      <c r="G1153" s="405">
        <v>2022</v>
      </c>
      <c r="H1153" s="405">
        <v>5</v>
      </c>
      <c r="I1153" s="416"/>
      <c r="J1153" s="406"/>
      <c r="K1153" s="414" t="s">
        <v>4736</v>
      </c>
      <c r="L1153" s="405" t="s">
        <v>1967</v>
      </c>
      <c r="M1153" s="418">
        <v>44690</v>
      </c>
      <c r="N1153" s="418">
        <v>44690</v>
      </c>
      <c r="O1153" s="418"/>
      <c r="P1153" s="406" t="s">
        <v>1368</v>
      </c>
      <c r="Q1153" s="406"/>
      <c r="R1153" s="406"/>
      <c r="S1153" s="405" t="s">
        <v>1443</v>
      </c>
      <c r="T1153" s="405">
        <v>60</v>
      </c>
      <c r="U1153" s="405" t="s">
        <v>1559</v>
      </c>
      <c r="V1153" s="405" t="s">
        <v>973</v>
      </c>
      <c r="W1153" s="405">
        <v>400</v>
      </c>
      <c r="X1153" s="407">
        <v>768</v>
      </c>
      <c r="Y1153" s="408">
        <f>X1153*W1153</f>
        <v>307200</v>
      </c>
      <c r="Z1153" s="409">
        <f>167.203/400</f>
        <v>0.41800750000000003</v>
      </c>
      <c r="AA1153" s="410">
        <f t="shared" si="255"/>
        <v>128411.90400000001</v>
      </c>
      <c r="AB1153" s="411"/>
      <c r="AC1153" s="412">
        <v>0</v>
      </c>
      <c r="AD1153" s="421"/>
      <c r="AE1153" s="413"/>
      <c r="AF1153" s="424">
        <f t="shared" si="256"/>
        <v>128411.90400000001</v>
      </c>
      <c r="AG1153" s="405" t="s">
        <v>1069</v>
      </c>
      <c r="AH1153" s="405"/>
      <c r="AI1153" s="414">
        <v>60</v>
      </c>
      <c r="AJ1153" s="405" t="s">
        <v>4345</v>
      </c>
      <c r="AK1153" s="425" t="s">
        <v>1125</v>
      </c>
      <c r="AL1153" s="405">
        <v>85226</v>
      </c>
      <c r="AM1153" s="405" t="s">
        <v>52</v>
      </c>
      <c r="AN1153" s="405" t="s">
        <v>50</v>
      </c>
      <c r="AO1153" s="405"/>
      <c r="AP1153" s="417"/>
      <c r="AQ1153" s="417" t="s">
        <v>37</v>
      </c>
      <c r="AR1153" s="417"/>
      <c r="AS1153" s="426"/>
      <c r="AT1153" s="426"/>
      <c r="AU1153" s="409"/>
      <c r="AV1153" s="402" t="str">
        <f t="shared" si="261"/>
        <v>30390156H</v>
      </c>
      <c r="AW1153" s="402" cm="1">
        <f t="array" ref="AW1153">SUM(MID(0&amp;AV1153,LARGE(INDEX(ISNUMBER(--MID(AV1153,ROW($1:$8),1))*ROW($1:$8),),ROW($1:$8))+1,1)*10^ROW($1:$8)/10)</f>
        <v>30390156</v>
      </c>
      <c r="AX1153" s="402" t="str">
        <f>VLOOKUP($AW1153,'Item Master Data'!$A:$F,3,FALSE)</f>
        <v>Q.PEAK DUO BLK ML G10+</v>
      </c>
      <c r="AY1153" s="402">
        <f>VLOOKUP($AW1153,'Item Master Data'!$A:$F,6,FALSE)</f>
        <v>400</v>
      </c>
      <c r="AZ1153" s="402">
        <f t="shared" si="262"/>
        <v>24</v>
      </c>
      <c r="BA1153" s="402">
        <f>VLOOKUP(AW1153,'Item Master Data'!$A:$G,7,FALSE)</f>
        <v>32</v>
      </c>
      <c r="BB1153" s="402"/>
      <c r="BC1153" s="402">
        <f t="shared" si="263"/>
        <v>0</v>
      </c>
    </row>
    <row r="1154" spans="1:55">
      <c r="A1154" s="403" t="s">
        <v>4650</v>
      </c>
      <c r="B1154" s="445">
        <v>44557</v>
      </c>
      <c r="C1154" s="445">
        <v>44587</v>
      </c>
      <c r="D1154" s="416" t="s">
        <v>1914</v>
      </c>
      <c r="E1154" s="405" t="s">
        <v>1239</v>
      </c>
      <c r="F1154" s="405"/>
      <c r="G1154" s="405">
        <v>2022</v>
      </c>
      <c r="H1154" s="405">
        <v>5</v>
      </c>
      <c r="I1154" s="416"/>
      <c r="J1154" s="406"/>
      <c r="K1154" s="414" t="s">
        <v>2061</v>
      </c>
      <c r="L1154" s="405" t="s">
        <v>1967</v>
      </c>
      <c r="M1154" s="418">
        <v>44546</v>
      </c>
      <c r="N1154" s="418">
        <v>44691</v>
      </c>
      <c r="O1154" s="418"/>
      <c r="P1154" s="406">
        <v>44679</v>
      </c>
      <c r="Q1154" s="406">
        <v>44707</v>
      </c>
      <c r="R1154" s="406">
        <v>44712</v>
      </c>
      <c r="S1154" s="405" t="s">
        <v>1443</v>
      </c>
      <c r="T1154" s="405">
        <v>60</v>
      </c>
      <c r="U1154" s="405">
        <v>49204132</v>
      </c>
      <c r="V1154" s="405" t="s">
        <v>1192</v>
      </c>
      <c r="W1154" s="405">
        <v>360</v>
      </c>
      <c r="X1154" s="407">
        <v>832</v>
      </c>
      <c r="Y1154" s="408">
        <f>X1154*W1154</f>
        <v>299520</v>
      </c>
      <c r="Z1154" s="409">
        <f>298.8/360</f>
        <v>0.83000000000000007</v>
      </c>
      <c r="AA1154" s="410">
        <f t="shared" si="255"/>
        <v>248601.60000000003</v>
      </c>
      <c r="AB1154" s="411"/>
      <c r="AC1154" s="412">
        <v>0</v>
      </c>
      <c r="AD1154" s="421"/>
      <c r="AE1154" s="413"/>
      <c r="AF1154" s="424">
        <f t="shared" si="256"/>
        <v>248601.60000000003</v>
      </c>
      <c r="AG1154" s="405" t="s">
        <v>1069</v>
      </c>
      <c r="AH1154" s="405"/>
      <c r="AI1154" s="414" t="s">
        <v>1962</v>
      </c>
      <c r="AJ1154" s="405" t="s">
        <v>1968</v>
      </c>
      <c r="AK1154" s="425" t="s">
        <v>1599</v>
      </c>
      <c r="AL1154" s="405">
        <v>97210</v>
      </c>
      <c r="AM1154" s="405" t="s">
        <v>52</v>
      </c>
      <c r="AN1154" s="405" t="s">
        <v>1101</v>
      </c>
      <c r="AO1154" s="405"/>
      <c r="AP1154" s="417"/>
      <c r="AQ1154" s="417" t="s">
        <v>37</v>
      </c>
      <c r="AR1154" s="417"/>
      <c r="AS1154" s="426"/>
      <c r="AT1154" s="426"/>
      <c r="AU1154" s="409"/>
      <c r="AV1154" s="402">
        <f t="shared" si="261"/>
        <v>49204132</v>
      </c>
      <c r="AW1154" s="402" cm="1">
        <f t="array" ref="AW1154">SUM(MID(0&amp;AV1154,LARGE(INDEX(ISNUMBER(--MID(AV1154,ROW($1:$8),1))*ROW($1:$8),),ROW($1:$8))+1,1)*10^ROW($1:$8)/10)</f>
        <v>49204132</v>
      </c>
      <c r="AX1154" s="402" t="str">
        <f>VLOOKUP($AW1154,'Item Master Data'!$A:$F,3,FALSE)</f>
        <v>Q.PEAK DUO BLK G10+/AC</v>
      </c>
      <c r="AY1154" s="402">
        <f>VLOOKUP($AW1154,'Item Master Data'!$A:$F,6,FALSE)</f>
        <v>360</v>
      </c>
      <c r="AZ1154" s="402">
        <f t="shared" si="262"/>
        <v>32</v>
      </c>
      <c r="BA1154" s="402">
        <f>VLOOKUP(AW1154,'Item Master Data'!$A:$G,7,FALSE)</f>
        <v>26</v>
      </c>
      <c r="BB1154" s="402"/>
      <c r="BC1154" s="402">
        <f t="shared" si="263"/>
        <v>0</v>
      </c>
    </row>
    <row r="1155" spans="1:55">
      <c r="A1155" s="403" t="s">
        <v>4584</v>
      </c>
      <c r="B1155" s="445"/>
      <c r="C1155" s="445"/>
      <c r="D1155" s="416" t="s">
        <v>1914</v>
      </c>
      <c r="E1155" s="405"/>
      <c r="F1155" s="405"/>
      <c r="G1155" s="405">
        <v>2022</v>
      </c>
      <c r="H1155" s="405">
        <v>5</v>
      </c>
      <c r="I1155" s="416"/>
      <c r="J1155" s="406">
        <v>44692</v>
      </c>
      <c r="K1155" s="414" t="s">
        <v>2112</v>
      </c>
      <c r="L1155" s="405" t="s">
        <v>1967</v>
      </c>
      <c r="M1155" s="418">
        <v>44512</v>
      </c>
      <c r="N1155" s="418">
        <v>44691</v>
      </c>
      <c r="O1155" s="418"/>
      <c r="P1155" s="406">
        <v>44680</v>
      </c>
      <c r="Q1155" s="406">
        <v>44692</v>
      </c>
      <c r="R1155" s="406">
        <v>44693</v>
      </c>
      <c r="S1155" s="405" t="s">
        <v>1443</v>
      </c>
      <c r="T1155" s="405">
        <v>60</v>
      </c>
      <c r="U1155" s="405" t="s">
        <v>1559</v>
      </c>
      <c r="V1155" s="405" t="s">
        <v>973</v>
      </c>
      <c r="W1155" s="405">
        <v>400</v>
      </c>
      <c r="X1155" s="407">
        <v>768</v>
      </c>
      <c r="Y1155" s="408">
        <f>X1155*W1155</f>
        <v>307200</v>
      </c>
      <c r="Z1155" s="409">
        <f>222/400</f>
        <v>0.55500000000000005</v>
      </c>
      <c r="AA1155" s="410">
        <f t="shared" si="255"/>
        <v>170496.00000000003</v>
      </c>
      <c r="AB1155" s="411"/>
      <c r="AC1155" s="412">
        <v>0</v>
      </c>
      <c r="AD1155" s="421"/>
      <c r="AE1155" s="413"/>
      <c r="AF1155" s="424">
        <f t="shared" si="256"/>
        <v>170496.00000000003</v>
      </c>
      <c r="AG1155" s="405" t="s">
        <v>1069</v>
      </c>
      <c r="AH1155" s="405"/>
      <c r="AI1155" s="414">
        <v>60</v>
      </c>
      <c r="AJ1155" s="405" t="s">
        <v>1969</v>
      </c>
      <c r="AK1155" s="425" t="s">
        <v>1125</v>
      </c>
      <c r="AL1155" s="405">
        <v>85008</v>
      </c>
      <c r="AM1155" s="405" t="s">
        <v>52</v>
      </c>
      <c r="AN1155" s="405" t="s">
        <v>50</v>
      </c>
      <c r="AO1155" s="405"/>
      <c r="AP1155" s="417"/>
      <c r="AQ1155" s="417" t="s">
        <v>37</v>
      </c>
      <c r="AR1155" s="417"/>
      <c r="AS1155" s="426"/>
      <c r="AT1155" s="426"/>
      <c r="AU1155" s="409"/>
      <c r="AV1155" s="402" t="str">
        <f t="shared" si="261"/>
        <v>30390156H</v>
      </c>
      <c r="AW1155" s="402" cm="1">
        <f t="array" ref="AW1155">SUM(MID(0&amp;AV1155,LARGE(INDEX(ISNUMBER(--MID(AV1155,ROW($1:$8),1))*ROW($1:$8),),ROW($1:$8))+1,1)*10^ROW($1:$8)/10)</f>
        <v>30390156</v>
      </c>
      <c r="AX1155" s="402" t="str">
        <f>VLOOKUP($AW1155,'Item Master Data'!$A:$F,3,FALSE)</f>
        <v>Q.PEAK DUO BLK ML G10+</v>
      </c>
      <c r="AY1155" s="402">
        <f>VLOOKUP($AW1155,'Item Master Data'!$A:$F,6,FALSE)</f>
        <v>400</v>
      </c>
      <c r="AZ1155" s="402">
        <f t="shared" si="262"/>
        <v>24</v>
      </c>
      <c r="BA1155" s="402">
        <f>VLOOKUP(AW1155,'Item Master Data'!$A:$G,7,FALSE)</f>
        <v>32</v>
      </c>
      <c r="BB1155" s="402"/>
      <c r="BC1155" s="402">
        <f t="shared" si="263"/>
        <v>0</v>
      </c>
    </row>
    <row r="1156" spans="1:55">
      <c r="A1156" s="403" t="s">
        <v>4584</v>
      </c>
      <c r="B1156" s="445"/>
      <c r="C1156" s="445"/>
      <c r="D1156" s="416" t="s">
        <v>1914</v>
      </c>
      <c r="E1156" s="405"/>
      <c r="F1156" s="405"/>
      <c r="G1156" s="405">
        <v>2022</v>
      </c>
      <c r="H1156" s="405">
        <v>5</v>
      </c>
      <c r="I1156" s="416"/>
      <c r="J1156" s="406"/>
      <c r="K1156" s="414" t="s">
        <v>2113</v>
      </c>
      <c r="L1156" s="405" t="s">
        <v>1967</v>
      </c>
      <c r="M1156" s="418">
        <v>44512</v>
      </c>
      <c r="N1156" s="418">
        <v>44696</v>
      </c>
      <c r="O1156" s="418"/>
      <c r="P1156" s="406">
        <v>44680</v>
      </c>
      <c r="Q1156" s="406">
        <v>44694</v>
      </c>
      <c r="R1156" s="406">
        <v>44697</v>
      </c>
      <c r="S1156" s="405" t="s">
        <v>1443</v>
      </c>
      <c r="T1156" s="405">
        <v>60</v>
      </c>
      <c r="U1156" s="405" t="s">
        <v>1237</v>
      </c>
      <c r="V1156" s="405" t="s">
        <v>973</v>
      </c>
      <c r="W1156" s="405">
        <v>400</v>
      </c>
      <c r="X1156" s="407">
        <v>768</v>
      </c>
      <c r="Y1156" s="408">
        <f>X1156*W1156</f>
        <v>307200</v>
      </c>
      <c r="Z1156" s="409">
        <f>222/400</f>
        <v>0.55500000000000005</v>
      </c>
      <c r="AA1156" s="410">
        <f t="shared" si="255"/>
        <v>170496.00000000003</v>
      </c>
      <c r="AB1156" s="411"/>
      <c r="AC1156" s="412">
        <v>0</v>
      </c>
      <c r="AD1156" s="421"/>
      <c r="AE1156" s="413"/>
      <c r="AF1156" s="424">
        <f t="shared" si="256"/>
        <v>170496.00000000003</v>
      </c>
      <c r="AG1156" s="405" t="s">
        <v>1069</v>
      </c>
      <c r="AH1156" s="405"/>
      <c r="AI1156" s="414">
        <v>60</v>
      </c>
      <c r="AJ1156" s="405" t="s">
        <v>1969</v>
      </c>
      <c r="AK1156" s="425" t="s">
        <v>1125</v>
      </c>
      <c r="AL1156" s="405">
        <v>85008</v>
      </c>
      <c r="AM1156" s="405" t="s">
        <v>52</v>
      </c>
      <c r="AN1156" s="405" t="s">
        <v>50</v>
      </c>
      <c r="AO1156" s="405"/>
      <c r="AP1156" s="417"/>
      <c r="AQ1156" s="417" t="s">
        <v>37</v>
      </c>
      <c r="AR1156" s="417"/>
      <c r="AS1156" s="426"/>
      <c r="AT1156" s="426"/>
      <c r="AU1156" s="409"/>
      <c r="AV1156" s="402" t="str">
        <f t="shared" si="261"/>
        <v>30390456H</v>
      </c>
      <c r="AW1156" s="402" cm="1">
        <f t="array" ref="AW1156">SUM(MID(0&amp;AV1156,LARGE(INDEX(ISNUMBER(--MID(AV1156,ROW($1:$8),1))*ROW($1:$8),),ROW($1:$8))+1,1)*10^ROW($1:$8)/10)</f>
        <v>30390456</v>
      </c>
      <c r="AX1156" s="402" t="str">
        <f>VLOOKUP($AW1156,'Item Master Data'!$A:$F,3,FALSE)</f>
        <v>Q.PEAK DUO BLK ML G10+</v>
      </c>
      <c r="AY1156" s="402">
        <f>VLOOKUP($AW1156,'Item Master Data'!$A:$F,6,FALSE)</f>
        <v>400</v>
      </c>
      <c r="AZ1156" s="402">
        <f t="shared" si="262"/>
        <v>24</v>
      </c>
      <c r="BA1156" s="402">
        <f>VLOOKUP(AW1156,'Item Master Data'!$A:$G,7,FALSE)</f>
        <v>32</v>
      </c>
      <c r="BB1156" s="402"/>
      <c r="BC1156" s="402">
        <f t="shared" si="263"/>
        <v>0</v>
      </c>
    </row>
    <row r="1157" spans="1:55">
      <c r="A1157" s="403" t="s">
        <v>4585</v>
      </c>
      <c r="B1157" s="445">
        <v>44522</v>
      </c>
      <c r="C1157" s="445"/>
      <c r="D1157" s="416" t="s">
        <v>1914</v>
      </c>
      <c r="E1157" s="405" t="s">
        <v>4996</v>
      </c>
      <c r="F1157" s="405"/>
      <c r="G1157" s="405">
        <v>2022</v>
      </c>
      <c r="H1157" s="405">
        <v>5</v>
      </c>
      <c r="I1157" s="416"/>
      <c r="J1157" s="406"/>
      <c r="K1157" s="414" t="s">
        <v>2229</v>
      </c>
      <c r="L1157" s="405" t="s">
        <v>1967</v>
      </c>
      <c r="M1157" s="418">
        <v>44505</v>
      </c>
      <c r="N1157" s="418">
        <v>44700</v>
      </c>
      <c r="O1157" s="418"/>
      <c r="P1157" s="406" t="s">
        <v>1089</v>
      </c>
      <c r="Q1157" s="406"/>
      <c r="R1157" s="406"/>
      <c r="S1157" s="405" t="s">
        <v>1443</v>
      </c>
      <c r="T1157" s="405">
        <v>60</v>
      </c>
      <c r="U1157" s="405" t="s">
        <v>1237</v>
      </c>
      <c r="V1157" s="405" t="s">
        <v>973</v>
      </c>
      <c r="W1157" s="405">
        <v>400</v>
      </c>
      <c r="X1157" s="407">
        <v>768</v>
      </c>
      <c r="Y1157" s="408">
        <v>307200</v>
      </c>
      <c r="Z1157" s="409">
        <v>0.64</v>
      </c>
      <c r="AA1157" s="410">
        <f t="shared" si="255"/>
        <v>196608</v>
      </c>
      <c r="AB1157" s="411"/>
      <c r="AC1157" s="412">
        <v>0</v>
      </c>
      <c r="AD1157" s="421"/>
      <c r="AE1157" s="413"/>
      <c r="AF1157" s="424">
        <f t="shared" si="256"/>
        <v>196608</v>
      </c>
      <c r="AG1157" s="405" t="s">
        <v>1069</v>
      </c>
      <c r="AH1157" s="405"/>
      <c r="AI1157" s="414" t="s">
        <v>1962</v>
      </c>
      <c r="AJ1157" s="405" t="s">
        <v>1573</v>
      </c>
      <c r="AK1157" s="425" t="s">
        <v>50</v>
      </c>
      <c r="AL1157" s="405" t="s">
        <v>1700</v>
      </c>
      <c r="AM1157" s="405" t="s">
        <v>52</v>
      </c>
      <c r="AN1157" s="405"/>
      <c r="AO1157" s="405"/>
      <c r="AP1157" s="417"/>
      <c r="AQ1157" s="417" t="s">
        <v>37</v>
      </c>
      <c r="AR1157" s="417"/>
      <c r="AS1157" s="426"/>
      <c r="AT1157" s="426"/>
      <c r="AU1157" s="409"/>
      <c r="AV1157" s="402"/>
      <c r="AW1157" s="402"/>
      <c r="AX1157" s="402"/>
      <c r="AY1157" s="402"/>
      <c r="AZ1157" s="402"/>
      <c r="BA1157" s="402"/>
      <c r="BB1157" s="402"/>
      <c r="BC1157" s="402"/>
    </row>
    <row r="1158" spans="1:55">
      <c r="A1158" s="403" t="s">
        <v>4585</v>
      </c>
      <c r="B1158" s="445">
        <v>44522</v>
      </c>
      <c r="C1158" s="445"/>
      <c r="D1158" s="416" t="s">
        <v>1914</v>
      </c>
      <c r="E1158" s="405" t="s">
        <v>4996</v>
      </c>
      <c r="F1158" s="405"/>
      <c r="G1158" s="405">
        <v>2022</v>
      </c>
      <c r="H1158" s="405">
        <v>5</v>
      </c>
      <c r="I1158" s="416"/>
      <c r="J1158" s="406"/>
      <c r="K1158" s="414" t="s">
        <v>2198</v>
      </c>
      <c r="L1158" s="405" t="s">
        <v>1967</v>
      </c>
      <c r="M1158" s="418">
        <v>44505</v>
      </c>
      <c r="N1158" s="418">
        <v>44687</v>
      </c>
      <c r="O1158" s="418"/>
      <c r="P1158" s="406" t="s">
        <v>1089</v>
      </c>
      <c r="Q1158" s="406"/>
      <c r="R1158" s="406"/>
      <c r="S1158" s="405" t="s">
        <v>1443</v>
      </c>
      <c r="T1158" s="405">
        <v>60</v>
      </c>
      <c r="U1158" s="405" t="s">
        <v>1237</v>
      </c>
      <c r="V1158" s="405" t="s">
        <v>973</v>
      </c>
      <c r="W1158" s="405">
        <v>400</v>
      </c>
      <c r="X1158" s="407">
        <v>768</v>
      </c>
      <c r="Y1158" s="408">
        <v>307200</v>
      </c>
      <c r="Z1158" s="409">
        <v>0.64</v>
      </c>
      <c r="AA1158" s="410">
        <f t="shared" si="255"/>
        <v>196608</v>
      </c>
      <c r="AB1158" s="411"/>
      <c r="AC1158" s="412">
        <v>0</v>
      </c>
      <c r="AD1158" s="421"/>
      <c r="AE1158" s="413"/>
      <c r="AF1158" s="424">
        <f t="shared" si="256"/>
        <v>196608</v>
      </c>
      <c r="AG1158" s="405" t="s">
        <v>1069</v>
      </c>
      <c r="AH1158" s="405"/>
      <c r="AI1158" s="414" t="s">
        <v>1962</v>
      </c>
      <c r="AJ1158" s="405" t="s">
        <v>1969</v>
      </c>
      <c r="AK1158" s="425" t="s">
        <v>1125</v>
      </c>
      <c r="AL1158" s="405" t="s">
        <v>2016</v>
      </c>
      <c r="AM1158" s="405" t="s">
        <v>52</v>
      </c>
      <c r="AN1158" s="405"/>
      <c r="AO1158" s="405"/>
      <c r="AP1158" s="417"/>
      <c r="AQ1158" s="417" t="s">
        <v>37</v>
      </c>
      <c r="AR1158" s="417"/>
      <c r="AS1158" s="426"/>
      <c r="AT1158" s="426"/>
      <c r="AU1158" s="409"/>
      <c r="AV1158" s="402"/>
      <c r="AW1158" s="402"/>
      <c r="AX1158" s="402"/>
      <c r="AY1158" s="402"/>
      <c r="AZ1158" s="402"/>
      <c r="BA1158" s="402"/>
      <c r="BB1158" s="402"/>
      <c r="BC1158" s="402"/>
    </row>
    <row r="1159" spans="1:55">
      <c r="A1159" s="403" t="s">
        <v>4585</v>
      </c>
      <c r="B1159" s="445">
        <v>44522</v>
      </c>
      <c r="C1159" s="445"/>
      <c r="D1159" s="416" t="s">
        <v>1914</v>
      </c>
      <c r="E1159" s="405" t="s">
        <v>4996</v>
      </c>
      <c r="F1159" s="405"/>
      <c r="G1159" s="405">
        <v>2022</v>
      </c>
      <c r="H1159" s="405">
        <v>5</v>
      </c>
      <c r="I1159" s="416"/>
      <c r="J1159" s="406"/>
      <c r="K1159" s="414" t="s">
        <v>2199</v>
      </c>
      <c r="L1159" s="405" t="s">
        <v>1967</v>
      </c>
      <c r="M1159" s="418">
        <v>44505</v>
      </c>
      <c r="N1159" s="418">
        <v>44691</v>
      </c>
      <c r="O1159" s="418"/>
      <c r="P1159" s="406" t="s">
        <v>1089</v>
      </c>
      <c r="Q1159" s="406"/>
      <c r="R1159" s="406"/>
      <c r="S1159" s="405" t="s">
        <v>1443</v>
      </c>
      <c r="T1159" s="405">
        <v>60</v>
      </c>
      <c r="U1159" s="405" t="s">
        <v>1237</v>
      </c>
      <c r="V1159" s="405" t="s">
        <v>973</v>
      </c>
      <c r="W1159" s="405">
        <v>400</v>
      </c>
      <c r="X1159" s="407">
        <v>768</v>
      </c>
      <c r="Y1159" s="408">
        <v>307200</v>
      </c>
      <c r="Z1159" s="409">
        <v>0.64</v>
      </c>
      <c r="AA1159" s="410">
        <f t="shared" si="255"/>
        <v>196608</v>
      </c>
      <c r="AB1159" s="411"/>
      <c r="AC1159" s="412">
        <v>0</v>
      </c>
      <c r="AD1159" s="421"/>
      <c r="AE1159" s="413"/>
      <c r="AF1159" s="424">
        <f t="shared" si="256"/>
        <v>196608</v>
      </c>
      <c r="AG1159" s="405" t="s">
        <v>1069</v>
      </c>
      <c r="AH1159" s="405"/>
      <c r="AI1159" s="414" t="s">
        <v>1962</v>
      </c>
      <c r="AJ1159" s="405" t="s">
        <v>1969</v>
      </c>
      <c r="AK1159" s="425" t="s">
        <v>1125</v>
      </c>
      <c r="AL1159" s="405" t="s">
        <v>2016</v>
      </c>
      <c r="AM1159" s="405" t="s">
        <v>52</v>
      </c>
      <c r="AN1159" s="405"/>
      <c r="AO1159" s="405"/>
      <c r="AP1159" s="417"/>
      <c r="AQ1159" s="417" t="s">
        <v>37</v>
      </c>
      <c r="AR1159" s="417"/>
      <c r="AS1159" s="426"/>
      <c r="AT1159" s="426"/>
      <c r="AU1159" s="409"/>
      <c r="AV1159" s="402"/>
      <c r="AW1159" s="402"/>
      <c r="AX1159" s="402"/>
      <c r="AY1159" s="402"/>
      <c r="AZ1159" s="402"/>
      <c r="BA1159" s="402"/>
      <c r="BB1159" s="402"/>
      <c r="BC1159" s="402"/>
    </row>
    <row r="1160" spans="1:55">
      <c r="A1160" s="403" t="s">
        <v>4585</v>
      </c>
      <c r="B1160" s="445">
        <v>44557</v>
      </c>
      <c r="C1160" s="445"/>
      <c r="D1160" s="416" t="s">
        <v>1914</v>
      </c>
      <c r="E1160" s="405" t="s">
        <v>4996</v>
      </c>
      <c r="F1160" s="405"/>
      <c r="G1160" s="405">
        <v>2022</v>
      </c>
      <c r="H1160" s="405">
        <v>5</v>
      </c>
      <c r="I1160" s="416"/>
      <c r="J1160" s="406"/>
      <c r="K1160" s="414" t="s">
        <v>2231</v>
      </c>
      <c r="L1160" s="405" t="s">
        <v>1967</v>
      </c>
      <c r="M1160" s="418">
        <v>44505</v>
      </c>
      <c r="N1160" s="418">
        <v>44699</v>
      </c>
      <c r="O1160" s="418"/>
      <c r="P1160" s="406" t="s">
        <v>1089</v>
      </c>
      <c r="Q1160" s="406"/>
      <c r="R1160" s="406"/>
      <c r="S1160" s="405" t="s">
        <v>1443</v>
      </c>
      <c r="T1160" s="405">
        <v>60</v>
      </c>
      <c r="U1160" s="405" t="s">
        <v>1237</v>
      </c>
      <c r="V1160" s="405" t="s">
        <v>973</v>
      </c>
      <c r="W1160" s="405">
        <v>400</v>
      </c>
      <c r="X1160" s="407">
        <v>768</v>
      </c>
      <c r="Y1160" s="408">
        <v>307200</v>
      </c>
      <c r="Z1160" s="409">
        <v>0.64</v>
      </c>
      <c r="AA1160" s="410">
        <f t="shared" si="255"/>
        <v>196608</v>
      </c>
      <c r="AB1160" s="411"/>
      <c r="AC1160" s="412"/>
      <c r="AD1160" s="421"/>
      <c r="AE1160" s="413"/>
      <c r="AF1160" s="424">
        <f t="shared" si="256"/>
        <v>196608</v>
      </c>
      <c r="AG1160" s="405" t="s">
        <v>1069</v>
      </c>
      <c r="AH1160" s="405"/>
      <c r="AI1160" s="414" t="s">
        <v>1962</v>
      </c>
      <c r="AJ1160" s="405" t="s">
        <v>1969</v>
      </c>
      <c r="AK1160" s="425" t="s">
        <v>1125</v>
      </c>
      <c r="AL1160" s="405" t="s">
        <v>2016</v>
      </c>
      <c r="AM1160" s="405" t="s">
        <v>52</v>
      </c>
      <c r="AN1160" s="405"/>
      <c r="AO1160" s="405"/>
      <c r="AP1160" s="417"/>
      <c r="AQ1160" s="417" t="s">
        <v>37</v>
      </c>
      <c r="AR1160" s="417"/>
      <c r="AS1160" s="426"/>
      <c r="AT1160" s="426"/>
      <c r="AU1160" s="409"/>
      <c r="AV1160" s="402"/>
      <c r="AW1160" s="402"/>
      <c r="AX1160" s="402"/>
      <c r="AY1160" s="402"/>
      <c r="AZ1160" s="402"/>
      <c r="BA1160" s="402"/>
      <c r="BB1160" s="402"/>
      <c r="BC1160" s="402"/>
    </row>
    <row r="1161" spans="1:55">
      <c r="A1161" s="403" t="s">
        <v>4650</v>
      </c>
      <c r="B1161" s="445"/>
      <c r="C1161" s="445">
        <v>44587</v>
      </c>
      <c r="D1161" s="416" t="s">
        <v>1914</v>
      </c>
      <c r="E1161" s="405" t="s">
        <v>1239</v>
      </c>
      <c r="F1161" s="405"/>
      <c r="G1161" s="405">
        <v>2022</v>
      </c>
      <c r="H1161" s="405">
        <v>5</v>
      </c>
      <c r="I1161" s="416"/>
      <c r="J1161" s="406"/>
      <c r="K1161" s="414" t="s">
        <v>2062</v>
      </c>
      <c r="L1161" s="405" t="s">
        <v>1967</v>
      </c>
      <c r="M1161" s="418">
        <v>44505</v>
      </c>
      <c r="N1161" s="418">
        <v>44691</v>
      </c>
      <c r="O1161" s="418"/>
      <c r="P1161" s="406">
        <v>44679</v>
      </c>
      <c r="Q1161" s="406">
        <v>44707</v>
      </c>
      <c r="R1161" s="406">
        <v>44712</v>
      </c>
      <c r="S1161" s="405" t="s">
        <v>1443</v>
      </c>
      <c r="T1161" s="405">
        <v>60</v>
      </c>
      <c r="U1161" s="405">
        <v>49204132</v>
      </c>
      <c r="V1161" s="405" t="s">
        <v>1192</v>
      </c>
      <c r="W1161" s="405">
        <v>360</v>
      </c>
      <c r="X1161" s="407">
        <v>832</v>
      </c>
      <c r="Y1161" s="408">
        <f t="shared" ref="Y1161:Y1190" si="264">X1161*W1161</f>
        <v>299520</v>
      </c>
      <c r="Z1161" s="409">
        <f>298.8/360</f>
        <v>0.83000000000000007</v>
      </c>
      <c r="AA1161" s="410">
        <f t="shared" si="255"/>
        <v>248601.60000000003</v>
      </c>
      <c r="AB1161" s="411"/>
      <c r="AC1161" s="412">
        <v>0</v>
      </c>
      <c r="AD1161" s="421"/>
      <c r="AE1161" s="413"/>
      <c r="AF1161" s="424">
        <f t="shared" si="256"/>
        <v>248601.60000000003</v>
      </c>
      <c r="AG1161" s="405" t="s">
        <v>1069</v>
      </c>
      <c r="AH1161" s="405"/>
      <c r="AI1161" s="414" t="s">
        <v>1962</v>
      </c>
      <c r="AJ1161" s="405" t="s">
        <v>1968</v>
      </c>
      <c r="AK1161" s="425" t="s">
        <v>1599</v>
      </c>
      <c r="AL1161" s="405" t="s">
        <v>2063</v>
      </c>
      <c r="AM1161" s="405" t="s">
        <v>52</v>
      </c>
      <c r="AN1161" s="405" t="s">
        <v>1101</v>
      </c>
      <c r="AO1161" s="405"/>
      <c r="AP1161" s="417"/>
      <c r="AQ1161" s="417" t="s">
        <v>37</v>
      </c>
      <c r="AR1161" s="417"/>
      <c r="AS1161" s="426"/>
      <c r="AT1161" s="426"/>
      <c r="AU1161" s="409"/>
      <c r="AV1161" s="402"/>
      <c r="AW1161" s="402"/>
      <c r="AX1161" s="402"/>
      <c r="AY1161" s="402"/>
      <c r="AZ1161" s="402"/>
      <c r="BA1161" s="402"/>
      <c r="BB1161" s="402"/>
      <c r="BC1161" s="402"/>
    </row>
    <row r="1162" spans="1:55">
      <c r="A1162" s="403"/>
      <c r="B1162" s="445">
        <v>44522</v>
      </c>
      <c r="C1162" s="445"/>
      <c r="D1162" s="416" t="s">
        <v>1914</v>
      </c>
      <c r="E1162" s="405"/>
      <c r="F1162" s="405"/>
      <c r="G1162" s="405">
        <v>2022</v>
      </c>
      <c r="H1162" s="405">
        <v>5</v>
      </c>
      <c r="I1162" s="416"/>
      <c r="J1162" s="406"/>
      <c r="K1162" s="414" t="s">
        <v>2001</v>
      </c>
      <c r="L1162" s="405" t="s">
        <v>1967</v>
      </c>
      <c r="M1162" s="418">
        <v>44505</v>
      </c>
      <c r="N1162" s="418">
        <v>44726</v>
      </c>
      <c r="O1162" s="418"/>
      <c r="P1162" s="406">
        <v>44664</v>
      </c>
      <c r="Q1162" s="406"/>
      <c r="R1162" s="406"/>
      <c r="S1162" s="405" t="s">
        <v>1443</v>
      </c>
      <c r="T1162" s="405">
        <v>60</v>
      </c>
      <c r="U1162" s="405">
        <v>49203132</v>
      </c>
      <c r="V1162" s="405" t="s">
        <v>986</v>
      </c>
      <c r="W1162" s="405">
        <v>360</v>
      </c>
      <c r="X1162" s="407">
        <v>832</v>
      </c>
      <c r="Y1162" s="408">
        <f t="shared" si="264"/>
        <v>299520</v>
      </c>
      <c r="Z1162" s="409">
        <f>192.66/360</f>
        <v>0.53516666666666668</v>
      </c>
      <c r="AA1162" s="410">
        <f t="shared" si="255"/>
        <v>160293.12</v>
      </c>
      <c r="AB1162" s="411"/>
      <c r="AC1162" s="412">
        <f>AB1162*Y1162</f>
        <v>0</v>
      </c>
      <c r="AD1162" s="421"/>
      <c r="AE1162" s="413"/>
      <c r="AF1162" s="424">
        <f t="shared" si="256"/>
        <v>160293.12</v>
      </c>
      <c r="AG1162" s="405" t="s">
        <v>1069</v>
      </c>
      <c r="AH1162" s="405"/>
      <c r="AI1162" s="414" t="s">
        <v>1962</v>
      </c>
      <c r="AJ1162" s="405" t="s">
        <v>2000</v>
      </c>
      <c r="AK1162" s="425" t="s">
        <v>50</v>
      </c>
      <c r="AL1162" s="405" t="s">
        <v>1685</v>
      </c>
      <c r="AM1162" s="405" t="s">
        <v>52</v>
      </c>
      <c r="AN1162" s="405" t="s">
        <v>1101</v>
      </c>
      <c r="AO1162" s="405"/>
      <c r="AP1162" s="417"/>
      <c r="AQ1162" s="417" t="s">
        <v>37</v>
      </c>
      <c r="AR1162" s="417"/>
      <c r="AS1162" s="426"/>
      <c r="AT1162" s="426"/>
      <c r="AU1162" s="409"/>
      <c r="AV1162" s="402"/>
      <c r="AW1162" s="402"/>
      <c r="AX1162" s="402"/>
      <c r="AY1162" s="402"/>
      <c r="AZ1162" s="402"/>
      <c r="BA1162" s="402"/>
      <c r="BB1162" s="402"/>
      <c r="BC1162" s="402"/>
    </row>
    <row r="1163" spans="1:55">
      <c r="A1163" s="403" t="s">
        <v>4651</v>
      </c>
      <c r="B1163" s="445">
        <v>44522</v>
      </c>
      <c r="C1163" s="445">
        <v>44587</v>
      </c>
      <c r="D1163" s="416" t="s">
        <v>1914</v>
      </c>
      <c r="E1163" s="405" t="s">
        <v>3199</v>
      </c>
      <c r="F1163" s="405"/>
      <c r="G1163" s="405">
        <v>2022</v>
      </c>
      <c r="H1163" s="405">
        <v>5</v>
      </c>
      <c r="I1163" s="416"/>
      <c r="J1163" s="406"/>
      <c r="K1163" s="414" t="s">
        <v>2107</v>
      </c>
      <c r="L1163" s="405" t="s">
        <v>1967</v>
      </c>
      <c r="M1163" s="418">
        <v>44505</v>
      </c>
      <c r="N1163" s="418">
        <v>44717</v>
      </c>
      <c r="O1163" s="418"/>
      <c r="P1163" s="406" t="s">
        <v>4628</v>
      </c>
      <c r="Q1163" s="406"/>
      <c r="R1163" s="406"/>
      <c r="S1163" s="405" t="s">
        <v>1443</v>
      </c>
      <c r="T1163" s="405">
        <v>60</v>
      </c>
      <c r="U1163" s="405">
        <v>49204132</v>
      </c>
      <c r="V1163" s="405" t="s">
        <v>1192</v>
      </c>
      <c r="W1163" s="405">
        <v>360</v>
      </c>
      <c r="X1163" s="407">
        <v>832</v>
      </c>
      <c r="Y1163" s="408">
        <f t="shared" si="264"/>
        <v>299520</v>
      </c>
      <c r="Z1163" s="409">
        <v>0.9</v>
      </c>
      <c r="AA1163" s="410">
        <f t="shared" si="255"/>
        <v>269568</v>
      </c>
      <c r="AB1163" s="411"/>
      <c r="AC1163" s="412">
        <v>0</v>
      </c>
      <c r="AD1163" s="421"/>
      <c r="AE1163" s="413"/>
      <c r="AF1163" s="424">
        <f t="shared" si="256"/>
        <v>269568</v>
      </c>
      <c r="AG1163" s="405" t="s">
        <v>1069</v>
      </c>
      <c r="AH1163" s="405"/>
      <c r="AI1163" s="414" t="s">
        <v>1962</v>
      </c>
      <c r="AJ1163" s="405" t="s">
        <v>1968</v>
      </c>
      <c r="AK1163" s="425" t="s">
        <v>1599</v>
      </c>
      <c r="AL1163" s="405" t="s">
        <v>2063</v>
      </c>
      <c r="AM1163" s="405" t="s">
        <v>52</v>
      </c>
      <c r="AN1163" s="405"/>
      <c r="AO1163" s="405"/>
      <c r="AP1163" s="417"/>
      <c r="AQ1163" s="417" t="s">
        <v>37</v>
      </c>
      <c r="AR1163" s="417"/>
      <c r="AS1163" s="426"/>
      <c r="AT1163" s="426"/>
      <c r="AU1163" s="409"/>
      <c r="AV1163" s="402"/>
      <c r="AW1163" s="402"/>
      <c r="AX1163" s="402"/>
      <c r="AY1163" s="402"/>
      <c r="AZ1163" s="402"/>
      <c r="BA1163" s="402"/>
      <c r="BB1163" s="402"/>
      <c r="BC1163" s="402"/>
    </row>
    <row r="1164" spans="1:55">
      <c r="A1164" s="403"/>
      <c r="B1164" s="445"/>
      <c r="C1164" s="445"/>
      <c r="D1164" s="416" t="s">
        <v>1914</v>
      </c>
      <c r="E1164" s="405"/>
      <c r="F1164" s="405"/>
      <c r="G1164" s="405">
        <v>2022</v>
      </c>
      <c r="H1164" s="405">
        <v>5</v>
      </c>
      <c r="I1164" s="416"/>
      <c r="J1164" s="406"/>
      <c r="K1164" s="414" t="s">
        <v>2006</v>
      </c>
      <c r="L1164" s="405" t="s">
        <v>1967</v>
      </c>
      <c r="M1164" s="418">
        <v>44487</v>
      </c>
      <c r="N1164" s="418">
        <v>44627</v>
      </c>
      <c r="O1164" s="418"/>
      <c r="P1164" s="406">
        <v>44664</v>
      </c>
      <c r="Q1164" s="406"/>
      <c r="R1164" s="406"/>
      <c r="S1164" s="405" t="s">
        <v>1443</v>
      </c>
      <c r="T1164" s="405">
        <v>60</v>
      </c>
      <c r="U1164" s="405">
        <v>49203132</v>
      </c>
      <c r="V1164" s="405" t="s">
        <v>986</v>
      </c>
      <c r="W1164" s="405">
        <v>360</v>
      </c>
      <c r="X1164" s="407">
        <v>832</v>
      </c>
      <c r="Y1164" s="408">
        <f t="shared" si="264"/>
        <v>299520</v>
      </c>
      <c r="Z1164" s="409">
        <f>192.6/360</f>
        <v>0.53500000000000003</v>
      </c>
      <c r="AA1164" s="410">
        <f t="shared" si="255"/>
        <v>160243.20000000001</v>
      </c>
      <c r="AB1164" s="411"/>
      <c r="AC1164" s="412">
        <v>0</v>
      </c>
      <c r="AD1164" s="421"/>
      <c r="AE1164" s="413"/>
      <c r="AF1164" s="424">
        <f t="shared" si="256"/>
        <v>160243.20000000001</v>
      </c>
      <c r="AG1164" s="405" t="s">
        <v>1069</v>
      </c>
      <c r="AH1164" s="405"/>
      <c r="AI1164" s="414">
        <v>60</v>
      </c>
      <c r="AJ1164" s="405" t="s">
        <v>1969</v>
      </c>
      <c r="AK1164" s="425" t="s">
        <v>1125</v>
      </c>
      <c r="AL1164" s="405">
        <v>85008</v>
      </c>
      <c r="AM1164" s="405" t="s">
        <v>52</v>
      </c>
      <c r="AN1164" s="405" t="s">
        <v>1101</v>
      </c>
      <c r="AO1164" s="405"/>
      <c r="AP1164" s="417"/>
      <c r="AQ1164" s="417" t="s">
        <v>37</v>
      </c>
      <c r="AR1164" s="417"/>
      <c r="AS1164" s="426"/>
      <c r="AT1164" s="426"/>
      <c r="AU1164" s="409"/>
      <c r="AV1164" s="402"/>
      <c r="AW1164" s="402"/>
      <c r="AX1164" s="402"/>
      <c r="AY1164" s="402"/>
      <c r="AZ1164" s="402"/>
      <c r="BA1164" s="402"/>
      <c r="BB1164" s="402"/>
      <c r="BC1164" s="402"/>
    </row>
    <row r="1165" spans="1:55">
      <c r="A1165" s="403" t="s">
        <v>4584</v>
      </c>
      <c r="B1165" s="445"/>
      <c r="C1165" s="445"/>
      <c r="D1165" s="416" t="s">
        <v>1914</v>
      </c>
      <c r="E1165" s="405"/>
      <c r="F1165" s="405"/>
      <c r="G1165" s="405">
        <v>2022</v>
      </c>
      <c r="H1165" s="405">
        <v>5</v>
      </c>
      <c r="I1165" s="416">
        <v>128522</v>
      </c>
      <c r="J1165" s="406">
        <v>44683</v>
      </c>
      <c r="K1165" s="414" t="s">
        <v>2010</v>
      </c>
      <c r="L1165" s="405" t="s">
        <v>1967</v>
      </c>
      <c r="M1165" s="418">
        <v>44512</v>
      </c>
      <c r="N1165" s="418">
        <v>44655</v>
      </c>
      <c r="O1165" s="418"/>
      <c r="P1165" s="406">
        <v>44659</v>
      </c>
      <c r="Q1165" s="406">
        <v>44683</v>
      </c>
      <c r="R1165" s="406">
        <v>44684</v>
      </c>
      <c r="S1165" s="405" t="s">
        <v>1443</v>
      </c>
      <c r="T1165" s="405">
        <v>60</v>
      </c>
      <c r="U1165" s="405" t="s">
        <v>1559</v>
      </c>
      <c r="V1165" s="405" t="s">
        <v>973</v>
      </c>
      <c r="W1165" s="405">
        <v>400</v>
      </c>
      <c r="X1165" s="407">
        <v>768</v>
      </c>
      <c r="Y1165" s="408">
        <f t="shared" si="264"/>
        <v>307200</v>
      </c>
      <c r="Z1165" s="409">
        <f>222/400</f>
        <v>0.55500000000000005</v>
      </c>
      <c r="AA1165" s="410">
        <f t="shared" ref="AA1165:AA1228" si="265">Z1165*Y1165</f>
        <v>170496.00000000003</v>
      </c>
      <c r="AB1165" s="411"/>
      <c r="AC1165" s="412">
        <v>0</v>
      </c>
      <c r="AD1165" s="421"/>
      <c r="AE1165" s="413"/>
      <c r="AF1165" s="424">
        <f t="shared" ref="AF1165:AF1228" si="266">AA1165+AE1165</f>
        <v>170496.00000000003</v>
      </c>
      <c r="AG1165" s="405" t="s">
        <v>1069</v>
      </c>
      <c r="AH1165" s="405"/>
      <c r="AI1165" s="414">
        <v>60</v>
      </c>
      <c r="AJ1165" s="405" t="s">
        <v>1969</v>
      </c>
      <c r="AK1165" s="425" t="s">
        <v>1125</v>
      </c>
      <c r="AL1165" s="405">
        <v>85008</v>
      </c>
      <c r="AM1165" s="405" t="s">
        <v>52</v>
      </c>
      <c r="AN1165" s="405" t="s">
        <v>50</v>
      </c>
      <c r="AO1165" s="405"/>
      <c r="AP1165" s="417" t="s">
        <v>38</v>
      </c>
      <c r="AQ1165" s="417" t="s">
        <v>37</v>
      </c>
      <c r="AR1165" s="417"/>
      <c r="AS1165" s="426"/>
      <c r="AT1165" s="426"/>
      <c r="AU1165" s="409"/>
      <c r="AV1165" s="402" t="str">
        <f t="shared" ref="AV1165:AV1197" si="267">U1165</f>
        <v>30390156H</v>
      </c>
      <c r="AW1165" s="402" cm="1">
        <f t="array" ref="AW1165">SUM(MID(0&amp;AV1165,LARGE(INDEX(ISNUMBER(--MID(AV1165,ROW($1:$8),1))*ROW($1:$8),),ROW($1:$8))+1,1)*10^ROW($1:$8)/10)</f>
        <v>30390156</v>
      </c>
      <c r="AX1165" s="402" t="str">
        <f>VLOOKUP($AW1165,'Item Master Data'!$A:$F,3,FALSE)</f>
        <v>Q.PEAK DUO BLK ML G10+</v>
      </c>
      <c r="AY1165" s="402">
        <f>VLOOKUP($AW1165,'Item Master Data'!$A:$F,6,FALSE)</f>
        <v>400</v>
      </c>
      <c r="AZ1165" s="402">
        <f t="shared" ref="AZ1165:AZ1197" si="268">X1165/BA1165</f>
        <v>24</v>
      </c>
      <c r="BA1165" s="402">
        <f>VLOOKUP(AW1165,'Item Master Data'!$A:$G,7,FALSE)</f>
        <v>32</v>
      </c>
      <c r="BB1165" s="402"/>
      <c r="BC1165" s="402">
        <f t="shared" ref="BC1165:BC1197" si="269">W1165-AY1165</f>
        <v>0</v>
      </c>
    </row>
    <row r="1166" spans="1:55">
      <c r="A1166" s="403"/>
      <c r="B1166" s="445"/>
      <c r="C1166" s="445"/>
      <c r="D1166" s="416" t="s">
        <v>1914</v>
      </c>
      <c r="E1166" s="405"/>
      <c r="F1166" s="405"/>
      <c r="G1166" s="405">
        <v>2022</v>
      </c>
      <c r="H1166" s="405">
        <v>5</v>
      </c>
      <c r="I1166" s="416"/>
      <c r="J1166" s="406"/>
      <c r="K1166" s="414" t="s">
        <v>2009</v>
      </c>
      <c r="L1166" s="405" t="s">
        <v>1967</v>
      </c>
      <c r="M1166" s="418">
        <v>44496</v>
      </c>
      <c r="N1166" s="418">
        <v>44627</v>
      </c>
      <c r="O1166" s="418"/>
      <c r="P1166" s="406" t="s">
        <v>4737</v>
      </c>
      <c r="Q1166" s="406"/>
      <c r="R1166" s="406"/>
      <c r="S1166" s="405" t="s">
        <v>1443</v>
      </c>
      <c r="T1166" s="405">
        <v>60</v>
      </c>
      <c r="U1166" s="405">
        <v>49203132</v>
      </c>
      <c r="V1166" s="405" t="s">
        <v>986</v>
      </c>
      <c r="W1166" s="405">
        <v>360</v>
      </c>
      <c r="X1166" s="407">
        <v>832</v>
      </c>
      <c r="Y1166" s="408">
        <f t="shared" si="264"/>
        <v>299520</v>
      </c>
      <c r="Z1166" s="409">
        <f>192.6/360</f>
        <v>0.53500000000000003</v>
      </c>
      <c r="AA1166" s="410">
        <f t="shared" si="265"/>
        <v>160243.20000000001</v>
      </c>
      <c r="AB1166" s="411"/>
      <c r="AC1166" s="412">
        <v>0</v>
      </c>
      <c r="AD1166" s="421"/>
      <c r="AE1166" s="413"/>
      <c r="AF1166" s="424">
        <f t="shared" si="266"/>
        <v>160243.20000000001</v>
      </c>
      <c r="AG1166" s="405" t="s">
        <v>1069</v>
      </c>
      <c r="AH1166" s="405"/>
      <c r="AI1166" s="414" t="s">
        <v>1962</v>
      </c>
      <c r="AJ1166" s="405" t="s">
        <v>1969</v>
      </c>
      <c r="AK1166" s="425" t="s">
        <v>1125</v>
      </c>
      <c r="AL1166" s="405">
        <v>85008</v>
      </c>
      <c r="AM1166" s="405" t="s">
        <v>52</v>
      </c>
      <c r="AN1166" s="405" t="s">
        <v>1101</v>
      </c>
      <c r="AO1166" s="405"/>
      <c r="AP1166" s="417"/>
      <c r="AQ1166" s="417" t="s">
        <v>37</v>
      </c>
      <c r="AR1166" s="417"/>
      <c r="AS1166" s="426"/>
      <c r="AT1166" s="426"/>
      <c r="AU1166" s="409"/>
      <c r="AV1166" s="402">
        <f t="shared" si="267"/>
        <v>49203132</v>
      </c>
      <c r="AW1166" s="402" cm="1">
        <f t="array" ref="AW1166">SUM(MID(0&amp;AV1166,LARGE(INDEX(ISNUMBER(--MID(AV1166,ROW($1:$8),1))*ROW($1:$8),),ROW($1:$8))+1,1)*10^ROW($1:$8)/10)</f>
        <v>49203132</v>
      </c>
      <c r="AX1166" s="402" t="str">
        <f>VLOOKUP($AW1166,'Item Master Data'!$A:$F,3,FALSE)</f>
        <v>Q.PEAK DUO BLK G10+</v>
      </c>
      <c r="AY1166" s="402">
        <f>VLOOKUP($AW1166,'Item Master Data'!$A:$F,6,FALSE)</f>
        <v>360</v>
      </c>
      <c r="AZ1166" s="402">
        <f t="shared" si="268"/>
        <v>26</v>
      </c>
      <c r="BA1166" s="402">
        <f>VLOOKUP(AW1166,'Item Master Data'!$A:$G,7,FALSE)</f>
        <v>32</v>
      </c>
      <c r="BB1166" s="402"/>
      <c r="BC1166" s="402">
        <f t="shared" si="269"/>
        <v>0</v>
      </c>
    </row>
    <row r="1167" spans="1:55">
      <c r="A1167" s="403"/>
      <c r="B1167" s="445">
        <v>44580</v>
      </c>
      <c r="C1167" s="445">
        <v>44615</v>
      </c>
      <c r="D1167" s="416" t="s">
        <v>1914</v>
      </c>
      <c r="E1167" s="405"/>
      <c r="F1167" s="405"/>
      <c r="G1167" s="405">
        <v>2022</v>
      </c>
      <c r="H1167" s="405">
        <v>6</v>
      </c>
      <c r="I1167" s="416"/>
      <c r="J1167" s="406"/>
      <c r="K1167" s="414" t="s">
        <v>2022</v>
      </c>
      <c r="L1167" s="405" t="s">
        <v>1915</v>
      </c>
      <c r="M1167" s="418">
        <v>44524</v>
      </c>
      <c r="N1167" s="418">
        <v>44636</v>
      </c>
      <c r="O1167" s="418"/>
      <c r="P1167" s="406" t="s">
        <v>4449</v>
      </c>
      <c r="Q1167" s="406"/>
      <c r="R1167" s="406"/>
      <c r="S1167" s="405" t="s">
        <v>1443</v>
      </c>
      <c r="T1167" s="405">
        <v>60</v>
      </c>
      <c r="U1167" s="405" t="s">
        <v>1237</v>
      </c>
      <c r="V1167" s="405" t="s">
        <v>1976</v>
      </c>
      <c r="W1167" s="405">
        <v>400</v>
      </c>
      <c r="X1167" s="407">
        <v>6656</v>
      </c>
      <c r="Y1167" s="408">
        <f t="shared" si="264"/>
        <v>2662400</v>
      </c>
      <c r="Z1167" s="409">
        <v>0.47</v>
      </c>
      <c r="AA1167" s="410">
        <f t="shared" si="265"/>
        <v>1251328</v>
      </c>
      <c r="AB1167" s="411"/>
      <c r="AC1167" s="412">
        <v>0</v>
      </c>
      <c r="AD1167" s="421"/>
      <c r="AE1167" s="413"/>
      <c r="AF1167" s="424">
        <f t="shared" si="266"/>
        <v>1251328</v>
      </c>
      <c r="AG1167" s="405" t="s">
        <v>47</v>
      </c>
      <c r="AH1167" s="405"/>
      <c r="AI1167" s="414" t="s">
        <v>1916</v>
      </c>
      <c r="AJ1167" s="405" t="s">
        <v>1917</v>
      </c>
      <c r="AK1167" s="425" t="s">
        <v>50</v>
      </c>
      <c r="AL1167" s="405">
        <v>91730</v>
      </c>
      <c r="AM1167" s="405" t="s">
        <v>52</v>
      </c>
      <c r="AN1167" s="405" t="s">
        <v>50</v>
      </c>
      <c r="AO1167" s="405"/>
      <c r="AP1167" s="417" t="s">
        <v>92</v>
      </c>
      <c r="AQ1167" s="417" t="s">
        <v>37</v>
      </c>
      <c r="AR1167" s="417"/>
      <c r="AS1167" s="426"/>
      <c r="AT1167" s="426"/>
      <c r="AU1167" s="409"/>
      <c r="AV1167" s="402" t="str">
        <f t="shared" si="267"/>
        <v>30390456H</v>
      </c>
      <c r="AW1167" s="402" cm="1">
        <f t="array" ref="AW1167">SUM(MID(0&amp;AV1167,LARGE(INDEX(ISNUMBER(--MID(AV1167,ROW($1:$8),1))*ROW($1:$8),),ROW($1:$8))+1,1)*10^ROW($1:$8)/10)</f>
        <v>30390456</v>
      </c>
      <c r="AX1167" s="402" t="str">
        <f>VLOOKUP($AW1167,'Item Master Data'!$A:$F,3,FALSE)</f>
        <v>Q.PEAK DUO BLK ML G10+</v>
      </c>
      <c r="AY1167" s="402">
        <f>VLOOKUP($AW1167,'Item Master Data'!$A:$F,6,FALSE)</f>
        <v>400</v>
      </c>
      <c r="AZ1167" s="402">
        <f t="shared" si="268"/>
        <v>208</v>
      </c>
      <c r="BA1167" s="402">
        <f>VLOOKUP(AW1167,'Item Master Data'!$A:$G,7,FALSE)</f>
        <v>32</v>
      </c>
      <c r="BB1167" s="402"/>
      <c r="BC1167" s="402">
        <f t="shared" si="269"/>
        <v>0</v>
      </c>
    </row>
    <row r="1168" spans="1:55">
      <c r="A1168" s="403"/>
      <c r="B1168" s="445">
        <v>44580</v>
      </c>
      <c r="C1168" s="445">
        <v>44615</v>
      </c>
      <c r="D1168" s="416" t="s">
        <v>1914</v>
      </c>
      <c r="E1168" s="405"/>
      <c r="F1168" s="405"/>
      <c r="G1168" s="405">
        <v>2022</v>
      </c>
      <c r="H1168" s="405">
        <v>6</v>
      </c>
      <c r="I1168" s="416"/>
      <c r="J1168" s="406"/>
      <c r="K1168" s="414" t="s">
        <v>2023</v>
      </c>
      <c r="L1168" s="405" t="s">
        <v>1915</v>
      </c>
      <c r="M1168" s="418">
        <v>44540</v>
      </c>
      <c r="N1168" s="418">
        <v>44662</v>
      </c>
      <c r="O1168" s="418"/>
      <c r="P1168" s="406" t="s">
        <v>4449</v>
      </c>
      <c r="Q1168" s="406"/>
      <c r="R1168" s="406"/>
      <c r="S1168" s="405" t="s">
        <v>1443</v>
      </c>
      <c r="T1168" s="405">
        <v>60</v>
      </c>
      <c r="U1168" s="405" t="s">
        <v>1237</v>
      </c>
      <c r="V1168" s="405" t="s">
        <v>973</v>
      </c>
      <c r="W1168" s="405">
        <v>400</v>
      </c>
      <c r="X1168" s="407">
        <v>6656</v>
      </c>
      <c r="Y1168" s="408">
        <f t="shared" si="264"/>
        <v>2662400</v>
      </c>
      <c r="Z1168" s="409">
        <v>0.47</v>
      </c>
      <c r="AA1168" s="410">
        <f t="shared" si="265"/>
        <v>1251328</v>
      </c>
      <c r="AB1168" s="411"/>
      <c r="AC1168" s="412">
        <v>0</v>
      </c>
      <c r="AD1168" s="421"/>
      <c r="AE1168" s="413"/>
      <c r="AF1168" s="424">
        <f t="shared" si="266"/>
        <v>1251328</v>
      </c>
      <c r="AG1168" s="405" t="s">
        <v>47</v>
      </c>
      <c r="AH1168" s="405"/>
      <c r="AI1168" s="414" t="s">
        <v>1916</v>
      </c>
      <c r="AJ1168" s="405" t="s">
        <v>1917</v>
      </c>
      <c r="AK1168" s="425" t="s">
        <v>50</v>
      </c>
      <c r="AL1168" s="405">
        <v>91730</v>
      </c>
      <c r="AM1168" s="405" t="s">
        <v>52</v>
      </c>
      <c r="AN1168" s="405" t="s">
        <v>50</v>
      </c>
      <c r="AO1168" s="405"/>
      <c r="AP1168" s="417" t="s">
        <v>92</v>
      </c>
      <c r="AQ1168" s="417" t="s">
        <v>37</v>
      </c>
      <c r="AR1168" s="417"/>
      <c r="AS1168" s="426"/>
      <c r="AT1168" s="426"/>
      <c r="AU1168" s="409"/>
      <c r="AV1168" s="402" t="str">
        <f t="shared" si="267"/>
        <v>30390456H</v>
      </c>
      <c r="AW1168" s="402" cm="1">
        <f t="array" ref="AW1168">SUM(MID(0&amp;AV1168,LARGE(INDEX(ISNUMBER(--MID(AV1168,ROW($1:$8),1))*ROW($1:$8),),ROW($1:$8))+1,1)*10^ROW($1:$8)/10)</f>
        <v>30390456</v>
      </c>
      <c r="AX1168" s="402" t="str">
        <f>VLOOKUP($AW1168,'Item Master Data'!$A:$F,3,FALSE)</f>
        <v>Q.PEAK DUO BLK ML G10+</v>
      </c>
      <c r="AY1168" s="402">
        <f>VLOOKUP($AW1168,'Item Master Data'!$A:$F,6,FALSE)</f>
        <v>400</v>
      </c>
      <c r="AZ1168" s="402">
        <f t="shared" si="268"/>
        <v>208</v>
      </c>
      <c r="BA1168" s="402">
        <f>VLOOKUP(AW1168,'Item Master Data'!$A:$G,7,FALSE)</f>
        <v>32</v>
      </c>
      <c r="BB1168" s="402"/>
      <c r="BC1168" s="402">
        <f t="shared" si="269"/>
        <v>0</v>
      </c>
    </row>
    <row r="1169" spans="1:55">
      <c r="A1169" s="403"/>
      <c r="B1169" s="445">
        <v>44580</v>
      </c>
      <c r="C1169" s="445">
        <v>44615</v>
      </c>
      <c r="D1169" s="416" t="s">
        <v>1914</v>
      </c>
      <c r="E1169" s="405"/>
      <c r="F1169" s="405"/>
      <c r="G1169" s="405">
        <v>2022</v>
      </c>
      <c r="H1169" s="405">
        <v>6</v>
      </c>
      <c r="I1169" s="416"/>
      <c r="J1169" s="406"/>
      <c r="K1169" s="414" t="s">
        <v>2024</v>
      </c>
      <c r="L1169" s="405" t="s">
        <v>1915</v>
      </c>
      <c r="M1169" s="418">
        <v>44540</v>
      </c>
      <c r="N1169" s="418">
        <v>44664</v>
      </c>
      <c r="O1169" s="418"/>
      <c r="P1169" s="406" t="s">
        <v>4449</v>
      </c>
      <c r="Q1169" s="406"/>
      <c r="R1169" s="406"/>
      <c r="S1169" s="405" t="s">
        <v>1443</v>
      </c>
      <c r="T1169" s="405">
        <v>60</v>
      </c>
      <c r="U1169" s="405" t="s">
        <v>1237</v>
      </c>
      <c r="V1169" s="405" t="s">
        <v>973</v>
      </c>
      <c r="W1169" s="405">
        <v>400</v>
      </c>
      <c r="X1169" s="407">
        <v>6656</v>
      </c>
      <c r="Y1169" s="408">
        <f t="shared" si="264"/>
        <v>2662400</v>
      </c>
      <c r="Z1169" s="409">
        <v>0.47</v>
      </c>
      <c r="AA1169" s="410">
        <f t="shared" si="265"/>
        <v>1251328</v>
      </c>
      <c r="AB1169" s="411"/>
      <c r="AC1169" s="412">
        <v>0</v>
      </c>
      <c r="AD1169" s="421"/>
      <c r="AE1169" s="413"/>
      <c r="AF1169" s="424">
        <f t="shared" si="266"/>
        <v>1251328</v>
      </c>
      <c r="AG1169" s="405" t="s">
        <v>47</v>
      </c>
      <c r="AH1169" s="405"/>
      <c r="AI1169" s="414" t="s">
        <v>1916</v>
      </c>
      <c r="AJ1169" s="405" t="s">
        <v>1917</v>
      </c>
      <c r="AK1169" s="425" t="s">
        <v>50</v>
      </c>
      <c r="AL1169" s="405">
        <v>91730</v>
      </c>
      <c r="AM1169" s="405" t="s">
        <v>52</v>
      </c>
      <c r="AN1169" s="405" t="s">
        <v>50</v>
      </c>
      <c r="AO1169" s="405"/>
      <c r="AP1169" s="417" t="s">
        <v>92</v>
      </c>
      <c r="AQ1169" s="417" t="s">
        <v>37</v>
      </c>
      <c r="AR1169" s="417"/>
      <c r="AS1169" s="426"/>
      <c r="AT1169" s="426"/>
      <c r="AU1169" s="409"/>
      <c r="AV1169" s="402" t="str">
        <f t="shared" si="267"/>
        <v>30390456H</v>
      </c>
      <c r="AW1169" s="402" cm="1">
        <f t="array" ref="AW1169">SUM(MID(0&amp;AV1169,LARGE(INDEX(ISNUMBER(--MID(AV1169,ROW($1:$8),1))*ROW($1:$8),),ROW($1:$8))+1,1)*10^ROW($1:$8)/10)</f>
        <v>30390456</v>
      </c>
      <c r="AX1169" s="402" t="str">
        <f>VLOOKUP($AW1169,'Item Master Data'!$A:$F,3,FALSE)</f>
        <v>Q.PEAK DUO BLK ML G10+</v>
      </c>
      <c r="AY1169" s="402">
        <f>VLOOKUP($AW1169,'Item Master Data'!$A:$F,6,FALSE)</f>
        <v>400</v>
      </c>
      <c r="AZ1169" s="402">
        <f t="shared" si="268"/>
        <v>208</v>
      </c>
      <c r="BA1169" s="402">
        <f>VLOOKUP(AW1169,'Item Master Data'!$A:$G,7,FALSE)</f>
        <v>32</v>
      </c>
      <c r="BB1169" s="402"/>
      <c r="BC1169" s="402">
        <f t="shared" si="269"/>
        <v>0</v>
      </c>
    </row>
    <row r="1170" spans="1:55">
      <c r="A1170" s="403"/>
      <c r="B1170" s="445">
        <v>44580</v>
      </c>
      <c r="C1170" s="445">
        <v>44615</v>
      </c>
      <c r="D1170" s="416" t="s">
        <v>1914</v>
      </c>
      <c r="E1170" s="405"/>
      <c r="F1170" s="405"/>
      <c r="G1170" s="405">
        <v>2022</v>
      </c>
      <c r="H1170" s="405">
        <v>6</v>
      </c>
      <c r="I1170" s="416"/>
      <c r="J1170" s="406"/>
      <c r="K1170" s="414" t="s">
        <v>2071</v>
      </c>
      <c r="L1170" s="405" t="s">
        <v>1915</v>
      </c>
      <c r="M1170" s="418">
        <v>44540</v>
      </c>
      <c r="N1170" s="418">
        <v>44690</v>
      </c>
      <c r="O1170" s="418"/>
      <c r="P1170" s="406"/>
      <c r="Q1170" s="406"/>
      <c r="R1170" s="406"/>
      <c r="S1170" s="405" t="s">
        <v>1443</v>
      </c>
      <c r="T1170" s="405">
        <v>60</v>
      </c>
      <c r="U1170" s="405" t="s">
        <v>1237</v>
      </c>
      <c r="V1170" s="405" t="s">
        <v>973</v>
      </c>
      <c r="W1170" s="405">
        <v>400</v>
      </c>
      <c r="X1170" s="407">
        <v>6656</v>
      </c>
      <c r="Y1170" s="408">
        <f t="shared" si="264"/>
        <v>2662400</v>
      </c>
      <c r="Z1170" s="409">
        <v>0.47</v>
      </c>
      <c r="AA1170" s="410">
        <f t="shared" si="265"/>
        <v>1251328</v>
      </c>
      <c r="AB1170" s="411"/>
      <c r="AC1170" s="412">
        <v>0</v>
      </c>
      <c r="AD1170" s="421"/>
      <c r="AE1170" s="413"/>
      <c r="AF1170" s="424">
        <f t="shared" si="266"/>
        <v>1251328</v>
      </c>
      <c r="AG1170" s="405" t="s">
        <v>47</v>
      </c>
      <c r="AH1170" s="405"/>
      <c r="AI1170" s="414" t="s">
        <v>1916</v>
      </c>
      <c r="AJ1170" s="405" t="s">
        <v>1917</v>
      </c>
      <c r="AK1170" s="425" t="s">
        <v>50</v>
      </c>
      <c r="AL1170" s="405">
        <v>91730</v>
      </c>
      <c r="AM1170" s="405" t="s">
        <v>52</v>
      </c>
      <c r="AN1170" s="405"/>
      <c r="AO1170" s="405"/>
      <c r="AP1170" s="417"/>
      <c r="AQ1170" s="417" t="s">
        <v>37</v>
      </c>
      <c r="AR1170" s="417"/>
      <c r="AS1170" s="426"/>
      <c r="AT1170" s="426"/>
      <c r="AU1170" s="409"/>
      <c r="AV1170" s="402" t="str">
        <f t="shared" si="267"/>
        <v>30390456H</v>
      </c>
      <c r="AW1170" s="402" cm="1">
        <f t="array" ref="AW1170">SUM(MID(0&amp;AV1170,LARGE(INDEX(ISNUMBER(--MID(AV1170,ROW($1:$8),1))*ROW($1:$8),),ROW($1:$8))+1,1)*10^ROW($1:$8)/10)</f>
        <v>30390456</v>
      </c>
      <c r="AX1170" s="402" t="str">
        <f>VLOOKUP($AW1170,'Item Master Data'!$A:$F,3,FALSE)</f>
        <v>Q.PEAK DUO BLK ML G10+</v>
      </c>
      <c r="AY1170" s="402">
        <f>VLOOKUP($AW1170,'Item Master Data'!$A:$F,6,FALSE)</f>
        <v>400</v>
      </c>
      <c r="AZ1170" s="402">
        <f t="shared" si="268"/>
        <v>208</v>
      </c>
      <c r="BA1170" s="402">
        <f>VLOOKUP(AW1170,'Item Master Data'!$A:$G,7,FALSE)</f>
        <v>32</v>
      </c>
      <c r="BB1170" s="402"/>
      <c r="BC1170" s="402">
        <f t="shared" si="269"/>
        <v>0</v>
      </c>
    </row>
    <row r="1171" spans="1:55">
      <c r="A1171" s="403"/>
      <c r="B1171" s="445">
        <v>44580</v>
      </c>
      <c r="C1171" s="445">
        <v>44615</v>
      </c>
      <c r="D1171" s="416" t="s">
        <v>1914</v>
      </c>
      <c r="E1171" s="405"/>
      <c r="F1171" s="405"/>
      <c r="G1171" s="405">
        <v>2022</v>
      </c>
      <c r="H1171" s="405">
        <v>6</v>
      </c>
      <c r="I1171" s="416"/>
      <c r="J1171" s="406"/>
      <c r="K1171" s="414" t="s">
        <v>2072</v>
      </c>
      <c r="L1171" s="405" t="s">
        <v>1915</v>
      </c>
      <c r="M1171" s="418">
        <v>44540</v>
      </c>
      <c r="N1171" s="418">
        <v>44692</v>
      </c>
      <c r="O1171" s="418"/>
      <c r="P1171" s="406"/>
      <c r="Q1171" s="406"/>
      <c r="R1171" s="406"/>
      <c r="S1171" s="405" t="s">
        <v>1443</v>
      </c>
      <c r="T1171" s="405">
        <v>60</v>
      </c>
      <c r="U1171" s="405" t="s">
        <v>1237</v>
      </c>
      <c r="V1171" s="405" t="s">
        <v>973</v>
      </c>
      <c r="W1171" s="405">
        <v>400</v>
      </c>
      <c r="X1171" s="407">
        <v>6656</v>
      </c>
      <c r="Y1171" s="408">
        <f t="shared" si="264"/>
        <v>2662400</v>
      </c>
      <c r="Z1171" s="409">
        <v>0.47</v>
      </c>
      <c r="AA1171" s="410">
        <f t="shared" si="265"/>
        <v>1251328</v>
      </c>
      <c r="AB1171" s="411"/>
      <c r="AC1171" s="412">
        <v>0</v>
      </c>
      <c r="AD1171" s="421"/>
      <c r="AE1171" s="413"/>
      <c r="AF1171" s="424">
        <f t="shared" si="266"/>
        <v>1251328</v>
      </c>
      <c r="AG1171" s="405" t="s">
        <v>47</v>
      </c>
      <c r="AH1171" s="405"/>
      <c r="AI1171" s="414" t="s">
        <v>1916</v>
      </c>
      <c r="AJ1171" s="405" t="s">
        <v>1917</v>
      </c>
      <c r="AK1171" s="425" t="s">
        <v>50</v>
      </c>
      <c r="AL1171" s="405">
        <v>91730</v>
      </c>
      <c r="AM1171" s="405" t="s">
        <v>52</v>
      </c>
      <c r="AN1171" s="405"/>
      <c r="AO1171" s="405"/>
      <c r="AP1171" s="417"/>
      <c r="AQ1171" s="417" t="s">
        <v>37</v>
      </c>
      <c r="AR1171" s="417"/>
      <c r="AS1171" s="426"/>
      <c r="AT1171" s="426"/>
      <c r="AU1171" s="409"/>
      <c r="AV1171" s="402" t="str">
        <f t="shared" si="267"/>
        <v>30390456H</v>
      </c>
      <c r="AW1171" s="402" cm="1">
        <f t="array" ref="AW1171">SUM(MID(0&amp;AV1171,LARGE(INDEX(ISNUMBER(--MID(AV1171,ROW($1:$8),1))*ROW($1:$8),),ROW($1:$8))+1,1)*10^ROW($1:$8)/10)</f>
        <v>30390456</v>
      </c>
      <c r="AX1171" s="402" t="str">
        <f>VLOOKUP($AW1171,'Item Master Data'!$A:$F,3,FALSE)</f>
        <v>Q.PEAK DUO BLK ML G10+</v>
      </c>
      <c r="AY1171" s="402">
        <f>VLOOKUP($AW1171,'Item Master Data'!$A:$F,6,FALSE)</f>
        <v>400</v>
      </c>
      <c r="AZ1171" s="402">
        <f t="shared" si="268"/>
        <v>208</v>
      </c>
      <c r="BA1171" s="402">
        <f>VLOOKUP(AW1171,'Item Master Data'!$A:$G,7,FALSE)</f>
        <v>32</v>
      </c>
      <c r="BB1171" s="402"/>
      <c r="BC1171" s="402">
        <f t="shared" si="269"/>
        <v>0</v>
      </c>
    </row>
    <row r="1172" spans="1:55">
      <c r="A1172" s="403"/>
      <c r="B1172" s="445">
        <v>44580</v>
      </c>
      <c r="C1172" s="445">
        <v>44615</v>
      </c>
      <c r="D1172" s="416" t="s">
        <v>1914</v>
      </c>
      <c r="E1172" s="405"/>
      <c r="F1172" s="405"/>
      <c r="G1172" s="405">
        <v>2022</v>
      </c>
      <c r="H1172" s="405">
        <v>6</v>
      </c>
      <c r="I1172" s="416"/>
      <c r="J1172" s="406"/>
      <c r="K1172" s="414" t="s">
        <v>2073</v>
      </c>
      <c r="L1172" s="405" t="s">
        <v>1915</v>
      </c>
      <c r="M1172" s="418">
        <v>44540</v>
      </c>
      <c r="N1172" s="418">
        <v>44694</v>
      </c>
      <c r="O1172" s="418"/>
      <c r="P1172" s="406"/>
      <c r="Q1172" s="406"/>
      <c r="R1172" s="406"/>
      <c r="S1172" s="405" t="s">
        <v>1443</v>
      </c>
      <c r="T1172" s="405">
        <v>60</v>
      </c>
      <c r="U1172" s="405" t="s">
        <v>1237</v>
      </c>
      <c r="V1172" s="405" t="s">
        <v>973</v>
      </c>
      <c r="W1172" s="405">
        <v>400</v>
      </c>
      <c r="X1172" s="407">
        <v>6656</v>
      </c>
      <c r="Y1172" s="408">
        <f t="shared" si="264"/>
        <v>2662400</v>
      </c>
      <c r="Z1172" s="409">
        <v>0.47</v>
      </c>
      <c r="AA1172" s="410">
        <f t="shared" si="265"/>
        <v>1251328</v>
      </c>
      <c r="AB1172" s="411"/>
      <c r="AC1172" s="412">
        <v>0</v>
      </c>
      <c r="AD1172" s="421"/>
      <c r="AE1172" s="413"/>
      <c r="AF1172" s="424">
        <f t="shared" si="266"/>
        <v>1251328</v>
      </c>
      <c r="AG1172" s="405" t="s">
        <v>47</v>
      </c>
      <c r="AH1172" s="405"/>
      <c r="AI1172" s="414" t="s">
        <v>1916</v>
      </c>
      <c r="AJ1172" s="405" t="s">
        <v>1917</v>
      </c>
      <c r="AK1172" s="425" t="s">
        <v>50</v>
      </c>
      <c r="AL1172" s="405">
        <v>91730</v>
      </c>
      <c r="AM1172" s="405" t="s">
        <v>52</v>
      </c>
      <c r="AN1172" s="405"/>
      <c r="AO1172" s="405"/>
      <c r="AP1172" s="417"/>
      <c r="AQ1172" s="417" t="s">
        <v>37</v>
      </c>
      <c r="AR1172" s="417"/>
      <c r="AS1172" s="426"/>
      <c r="AT1172" s="426"/>
      <c r="AU1172" s="409"/>
      <c r="AV1172" s="402" t="str">
        <f t="shared" si="267"/>
        <v>30390456H</v>
      </c>
      <c r="AW1172" s="402" cm="1">
        <f t="array" ref="AW1172">SUM(MID(0&amp;AV1172,LARGE(INDEX(ISNUMBER(--MID(AV1172,ROW($1:$8),1))*ROW($1:$8),),ROW($1:$8))+1,1)*10^ROW($1:$8)/10)</f>
        <v>30390456</v>
      </c>
      <c r="AX1172" s="402" t="str">
        <f>VLOOKUP($AW1172,'Item Master Data'!$A:$F,3,FALSE)</f>
        <v>Q.PEAK DUO BLK ML G10+</v>
      </c>
      <c r="AY1172" s="402">
        <f>VLOOKUP($AW1172,'Item Master Data'!$A:$F,6,FALSE)</f>
        <v>400</v>
      </c>
      <c r="AZ1172" s="402">
        <f t="shared" si="268"/>
        <v>208</v>
      </c>
      <c r="BA1172" s="402">
        <f>VLOOKUP(AW1172,'Item Master Data'!$A:$G,7,FALSE)</f>
        <v>32</v>
      </c>
      <c r="BB1172" s="402"/>
      <c r="BC1172" s="402">
        <f t="shared" si="269"/>
        <v>0</v>
      </c>
    </row>
    <row r="1173" spans="1:55">
      <c r="A1173" s="403"/>
      <c r="B1173" s="445">
        <v>44580</v>
      </c>
      <c r="C1173" s="445">
        <v>44615</v>
      </c>
      <c r="D1173" s="416" t="s">
        <v>1914</v>
      </c>
      <c r="E1173" s="405"/>
      <c r="F1173" s="405"/>
      <c r="G1173" s="405">
        <v>2022</v>
      </c>
      <c r="H1173" s="405">
        <v>6</v>
      </c>
      <c r="I1173" s="416"/>
      <c r="J1173" s="406"/>
      <c r="K1173" s="414" t="s">
        <v>2074</v>
      </c>
      <c r="L1173" s="405" t="s">
        <v>1915</v>
      </c>
      <c r="M1173" s="418">
        <v>44540</v>
      </c>
      <c r="N1173" s="418">
        <v>44690</v>
      </c>
      <c r="O1173" s="418"/>
      <c r="P1173" s="406"/>
      <c r="Q1173" s="406"/>
      <c r="R1173" s="406"/>
      <c r="S1173" s="405" t="s">
        <v>1443</v>
      </c>
      <c r="T1173" s="405">
        <v>60</v>
      </c>
      <c r="U1173" s="405" t="s">
        <v>1237</v>
      </c>
      <c r="V1173" s="405" t="s">
        <v>967</v>
      </c>
      <c r="W1173" s="405">
        <v>410</v>
      </c>
      <c r="X1173" s="407">
        <v>6656</v>
      </c>
      <c r="Y1173" s="408">
        <f t="shared" si="264"/>
        <v>2728960</v>
      </c>
      <c r="Z1173" s="409">
        <f>192.7/410</f>
        <v>0.47</v>
      </c>
      <c r="AA1173" s="410">
        <f t="shared" si="265"/>
        <v>1282611.2</v>
      </c>
      <c r="AB1173" s="411"/>
      <c r="AC1173" s="412">
        <f>AB1173*Y1173</f>
        <v>0</v>
      </c>
      <c r="AD1173" s="421"/>
      <c r="AE1173" s="413"/>
      <c r="AF1173" s="424">
        <f t="shared" si="266"/>
        <v>1282611.2</v>
      </c>
      <c r="AG1173" s="405" t="s">
        <v>47</v>
      </c>
      <c r="AH1173" s="405"/>
      <c r="AI1173" s="414" t="s">
        <v>1916</v>
      </c>
      <c r="AJ1173" s="405" t="s">
        <v>1917</v>
      </c>
      <c r="AK1173" s="425" t="s">
        <v>50</v>
      </c>
      <c r="AL1173" s="405">
        <v>91730</v>
      </c>
      <c r="AM1173" s="405" t="s">
        <v>52</v>
      </c>
      <c r="AN1173" s="405" t="s">
        <v>50</v>
      </c>
      <c r="AO1173" s="405"/>
      <c r="AP1173" s="417" t="s">
        <v>92</v>
      </c>
      <c r="AQ1173" s="417" t="s">
        <v>37</v>
      </c>
      <c r="AR1173" s="417"/>
      <c r="AS1173" s="426"/>
      <c r="AT1173" s="426"/>
      <c r="AU1173" s="409"/>
      <c r="AV1173" s="402" t="str">
        <f t="shared" si="267"/>
        <v>30390456H</v>
      </c>
      <c r="AW1173" s="402" cm="1">
        <f t="array" ref="AW1173">SUM(MID(0&amp;AV1173,LARGE(INDEX(ISNUMBER(--MID(AV1173,ROW($1:$8),1))*ROW($1:$8),),ROW($1:$8))+1,1)*10^ROW($1:$8)/10)</f>
        <v>30390456</v>
      </c>
      <c r="AX1173" s="402" t="str">
        <f>VLOOKUP($AW1173,'Item Master Data'!$A:$F,3,FALSE)</f>
        <v>Q.PEAK DUO BLK ML G10+</v>
      </c>
      <c r="AY1173" s="402">
        <f>VLOOKUP($AW1173,'Item Master Data'!$A:$F,6,FALSE)</f>
        <v>400</v>
      </c>
      <c r="AZ1173" s="402">
        <f t="shared" si="268"/>
        <v>208</v>
      </c>
      <c r="BA1173" s="402">
        <f>VLOOKUP(AW1173,'Item Master Data'!$A:$G,7,FALSE)</f>
        <v>32</v>
      </c>
      <c r="BB1173" s="402"/>
      <c r="BC1173" s="402">
        <f t="shared" si="269"/>
        <v>10</v>
      </c>
    </row>
    <row r="1174" spans="1:55">
      <c r="A1174" s="403"/>
      <c r="B1174" s="445">
        <v>44580</v>
      </c>
      <c r="C1174" s="445">
        <v>44615</v>
      </c>
      <c r="D1174" s="416" t="s">
        <v>1914</v>
      </c>
      <c r="E1174" s="405"/>
      <c r="F1174" s="405"/>
      <c r="G1174" s="405">
        <v>2022</v>
      </c>
      <c r="H1174" s="405">
        <v>6</v>
      </c>
      <c r="I1174" s="416"/>
      <c r="J1174" s="406"/>
      <c r="K1174" s="414" t="s">
        <v>2075</v>
      </c>
      <c r="L1174" s="405" t="s">
        <v>1915</v>
      </c>
      <c r="M1174" s="418">
        <v>44540</v>
      </c>
      <c r="N1174" s="418">
        <v>44692</v>
      </c>
      <c r="O1174" s="418"/>
      <c r="P1174" s="406"/>
      <c r="Q1174" s="406"/>
      <c r="R1174" s="406"/>
      <c r="S1174" s="405" t="s">
        <v>1443</v>
      </c>
      <c r="T1174" s="405">
        <v>60</v>
      </c>
      <c r="U1174" s="405" t="s">
        <v>1237</v>
      </c>
      <c r="V1174" s="405" t="s">
        <v>967</v>
      </c>
      <c r="W1174" s="405">
        <v>410</v>
      </c>
      <c r="X1174" s="407">
        <v>5824</v>
      </c>
      <c r="Y1174" s="408">
        <f t="shared" si="264"/>
        <v>2387840</v>
      </c>
      <c r="Z1174" s="409">
        <f>192.7/410</f>
        <v>0.47</v>
      </c>
      <c r="AA1174" s="410">
        <f t="shared" si="265"/>
        <v>1122284.8</v>
      </c>
      <c r="AB1174" s="411"/>
      <c r="AC1174" s="412">
        <f>AB1174*Y1174</f>
        <v>0</v>
      </c>
      <c r="AD1174" s="421"/>
      <c r="AE1174" s="413"/>
      <c r="AF1174" s="424">
        <f t="shared" si="266"/>
        <v>1122284.8</v>
      </c>
      <c r="AG1174" s="405" t="s">
        <v>47</v>
      </c>
      <c r="AH1174" s="405"/>
      <c r="AI1174" s="414" t="s">
        <v>1916</v>
      </c>
      <c r="AJ1174" s="405" t="s">
        <v>1917</v>
      </c>
      <c r="AK1174" s="425" t="s">
        <v>50</v>
      </c>
      <c r="AL1174" s="405">
        <v>91730</v>
      </c>
      <c r="AM1174" s="405" t="s">
        <v>52</v>
      </c>
      <c r="AN1174" s="405" t="s">
        <v>50</v>
      </c>
      <c r="AO1174" s="405"/>
      <c r="AP1174" s="417" t="s">
        <v>92</v>
      </c>
      <c r="AQ1174" s="417" t="s">
        <v>37</v>
      </c>
      <c r="AR1174" s="417"/>
      <c r="AS1174" s="426"/>
      <c r="AT1174" s="426"/>
      <c r="AU1174" s="409"/>
      <c r="AV1174" s="402" t="str">
        <f t="shared" si="267"/>
        <v>30390456H</v>
      </c>
      <c r="AW1174" s="402" cm="1">
        <f t="array" ref="AW1174">SUM(MID(0&amp;AV1174,LARGE(INDEX(ISNUMBER(--MID(AV1174,ROW($1:$8),1))*ROW($1:$8),),ROW($1:$8))+1,1)*10^ROW($1:$8)/10)</f>
        <v>30390456</v>
      </c>
      <c r="AX1174" s="402" t="str">
        <f>VLOOKUP($AW1174,'Item Master Data'!$A:$F,3,FALSE)</f>
        <v>Q.PEAK DUO BLK ML G10+</v>
      </c>
      <c r="AY1174" s="402">
        <f>VLOOKUP($AW1174,'Item Master Data'!$A:$F,6,FALSE)</f>
        <v>400</v>
      </c>
      <c r="AZ1174" s="402">
        <f t="shared" si="268"/>
        <v>182</v>
      </c>
      <c r="BA1174" s="402">
        <f>VLOOKUP(AW1174,'Item Master Data'!$A:$G,7,FALSE)</f>
        <v>32</v>
      </c>
      <c r="BB1174" s="402"/>
      <c r="BC1174" s="402">
        <f t="shared" si="269"/>
        <v>10</v>
      </c>
    </row>
    <row r="1175" spans="1:55">
      <c r="A1175" s="403"/>
      <c r="B1175" s="445">
        <v>44580</v>
      </c>
      <c r="C1175" s="445">
        <v>44615</v>
      </c>
      <c r="D1175" s="416" t="s">
        <v>1914</v>
      </c>
      <c r="E1175" s="405"/>
      <c r="F1175" s="405"/>
      <c r="G1175" s="405">
        <v>2022</v>
      </c>
      <c r="H1175" s="405">
        <v>6</v>
      </c>
      <c r="I1175" s="416"/>
      <c r="J1175" s="406"/>
      <c r="K1175" s="414" t="s">
        <v>2076</v>
      </c>
      <c r="L1175" s="405" t="s">
        <v>1915</v>
      </c>
      <c r="M1175" s="418">
        <v>44540</v>
      </c>
      <c r="N1175" s="418">
        <v>44694</v>
      </c>
      <c r="O1175" s="418"/>
      <c r="P1175" s="406"/>
      <c r="Q1175" s="406"/>
      <c r="R1175" s="406"/>
      <c r="S1175" s="405" t="s">
        <v>1443</v>
      </c>
      <c r="T1175" s="405">
        <v>60</v>
      </c>
      <c r="U1175" s="405" t="s">
        <v>1237</v>
      </c>
      <c r="V1175" s="405" t="s">
        <v>967</v>
      </c>
      <c r="W1175" s="405">
        <v>410</v>
      </c>
      <c r="X1175" s="407">
        <v>5824</v>
      </c>
      <c r="Y1175" s="408">
        <f t="shared" si="264"/>
        <v>2387840</v>
      </c>
      <c r="Z1175" s="409">
        <f>192.7/410</f>
        <v>0.47</v>
      </c>
      <c r="AA1175" s="410">
        <f t="shared" si="265"/>
        <v>1122284.8</v>
      </c>
      <c r="AB1175" s="411"/>
      <c r="AC1175" s="412">
        <f>AB1175*Y1175</f>
        <v>0</v>
      </c>
      <c r="AD1175" s="421"/>
      <c r="AE1175" s="413"/>
      <c r="AF1175" s="424">
        <f t="shared" si="266"/>
        <v>1122284.8</v>
      </c>
      <c r="AG1175" s="405" t="s">
        <v>47</v>
      </c>
      <c r="AH1175" s="405"/>
      <c r="AI1175" s="414" t="s">
        <v>1916</v>
      </c>
      <c r="AJ1175" s="405" t="s">
        <v>1917</v>
      </c>
      <c r="AK1175" s="425" t="s">
        <v>50</v>
      </c>
      <c r="AL1175" s="405">
        <v>91730</v>
      </c>
      <c r="AM1175" s="405" t="s">
        <v>52</v>
      </c>
      <c r="AN1175" s="405" t="s">
        <v>50</v>
      </c>
      <c r="AO1175" s="405"/>
      <c r="AP1175" s="417" t="s">
        <v>92</v>
      </c>
      <c r="AQ1175" s="417" t="s">
        <v>37</v>
      </c>
      <c r="AR1175" s="417"/>
      <c r="AS1175" s="426"/>
      <c r="AT1175" s="426"/>
      <c r="AU1175" s="409"/>
      <c r="AV1175" s="402" t="str">
        <f t="shared" si="267"/>
        <v>30390456H</v>
      </c>
      <c r="AW1175" s="402" cm="1">
        <f t="array" ref="AW1175">SUM(MID(0&amp;AV1175,LARGE(INDEX(ISNUMBER(--MID(AV1175,ROW($1:$8),1))*ROW($1:$8),),ROW($1:$8))+1,1)*10^ROW($1:$8)/10)</f>
        <v>30390456</v>
      </c>
      <c r="AX1175" s="402" t="str">
        <f>VLOOKUP($AW1175,'Item Master Data'!$A:$F,3,FALSE)</f>
        <v>Q.PEAK DUO BLK ML G10+</v>
      </c>
      <c r="AY1175" s="402">
        <f>VLOOKUP($AW1175,'Item Master Data'!$A:$F,6,FALSE)</f>
        <v>400</v>
      </c>
      <c r="AZ1175" s="402">
        <f t="shared" si="268"/>
        <v>182</v>
      </c>
      <c r="BA1175" s="402">
        <f>VLOOKUP(AW1175,'Item Master Data'!$A:$G,7,FALSE)</f>
        <v>32</v>
      </c>
      <c r="BB1175" s="402"/>
      <c r="BC1175" s="402">
        <f t="shared" si="269"/>
        <v>10</v>
      </c>
    </row>
    <row r="1176" spans="1:55">
      <c r="A1176" s="403"/>
      <c r="B1176" s="445">
        <v>44580</v>
      </c>
      <c r="C1176" s="445">
        <v>44615</v>
      </c>
      <c r="D1176" s="416" t="s">
        <v>1914</v>
      </c>
      <c r="E1176" s="405"/>
      <c r="F1176" s="405"/>
      <c r="G1176" s="405">
        <v>2022</v>
      </c>
      <c r="H1176" s="405">
        <v>6</v>
      </c>
      <c r="I1176" s="416"/>
      <c r="J1176" s="406"/>
      <c r="K1176" s="414" t="s">
        <v>2077</v>
      </c>
      <c r="L1176" s="405" t="s">
        <v>1915</v>
      </c>
      <c r="M1176" s="418">
        <v>44540</v>
      </c>
      <c r="N1176" s="418">
        <v>44719</v>
      </c>
      <c r="O1176" s="418"/>
      <c r="P1176" s="406"/>
      <c r="Q1176" s="406"/>
      <c r="R1176" s="406"/>
      <c r="S1176" s="405" t="s">
        <v>1443</v>
      </c>
      <c r="T1176" s="405">
        <v>60</v>
      </c>
      <c r="U1176" s="405" t="s">
        <v>1237</v>
      </c>
      <c r="V1176" s="405" t="s">
        <v>967</v>
      </c>
      <c r="W1176" s="405">
        <v>410</v>
      </c>
      <c r="X1176" s="407">
        <v>6656</v>
      </c>
      <c r="Y1176" s="408">
        <f t="shared" si="264"/>
        <v>2728960</v>
      </c>
      <c r="Z1176" s="409">
        <f>192.7/410</f>
        <v>0.47</v>
      </c>
      <c r="AA1176" s="410">
        <f t="shared" si="265"/>
        <v>1282611.2</v>
      </c>
      <c r="AB1176" s="411"/>
      <c r="AC1176" s="412">
        <f>AB1176*Y1176</f>
        <v>0</v>
      </c>
      <c r="AD1176" s="421"/>
      <c r="AE1176" s="413"/>
      <c r="AF1176" s="424">
        <f t="shared" si="266"/>
        <v>1282611.2</v>
      </c>
      <c r="AG1176" s="405" t="s">
        <v>47</v>
      </c>
      <c r="AH1176" s="405"/>
      <c r="AI1176" s="414" t="s">
        <v>1916</v>
      </c>
      <c r="AJ1176" s="405" t="s">
        <v>1917</v>
      </c>
      <c r="AK1176" s="425" t="s">
        <v>50</v>
      </c>
      <c r="AL1176" s="405">
        <v>91730</v>
      </c>
      <c r="AM1176" s="405" t="s">
        <v>52</v>
      </c>
      <c r="AN1176" s="405" t="s">
        <v>50</v>
      </c>
      <c r="AO1176" s="405"/>
      <c r="AP1176" s="417" t="s">
        <v>92</v>
      </c>
      <c r="AQ1176" s="417" t="s">
        <v>37</v>
      </c>
      <c r="AR1176" s="417"/>
      <c r="AS1176" s="426"/>
      <c r="AT1176" s="426"/>
      <c r="AU1176" s="409"/>
      <c r="AV1176" s="402" t="str">
        <f t="shared" si="267"/>
        <v>30390456H</v>
      </c>
      <c r="AW1176" s="402" cm="1">
        <f t="array" ref="AW1176">SUM(MID(0&amp;AV1176,LARGE(INDEX(ISNUMBER(--MID(AV1176,ROW($1:$8),1))*ROW($1:$8),),ROW($1:$8))+1,1)*10^ROW($1:$8)/10)</f>
        <v>30390456</v>
      </c>
      <c r="AX1176" s="402" t="str">
        <f>VLOOKUP($AW1176,'Item Master Data'!$A:$F,3,FALSE)</f>
        <v>Q.PEAK DUO BLK ML G10+</v>
      </c>
      <c r="AY1176" s="402">
        <f>VLOOKUP($AW1176,'Item Master Data'!$A:$F,6,FALSE)</f>
        <v>400</v>
      </c>
      <c r="AZ1176" s="402">
        <f t="shared" si="268"/>
        <v>208</v>
      </c>
      <c r="BA1176" s="402">
        <f>VLOOKUP(AW1176,'Item Master Data'!$A:$G,7,FALSE)</f>
        <v>32</v>
      </c>
      <c r="BB1176" s="402"/>
      <c r="BC1176" s="402">
        <f t="shared" si="269"/>
        <v>10</v>
      </c>
    </row>
    <row r="1177" spans="1:55">
      <c r="A1177" s="403"/>
      <c r="B1177" s="445">
        <v>44580</v>
      </c>
      <c r="C1177" s="445">
        <v>44615</v>
      </c>
      <c r="D1177" s="416" t="s">
        <v>1914</v>
      </c>
      <c r="E1177" s="405"/>
      <c r="F1177" s="405"/>
      <c r="G1177" s="405">
        <v>2022</v>
      </c>
      <c r="H1177" s="405">
        <v>6</v>
      </c>
      <c r="I1177" s="416"/>
      <c r="J1177" s="406"/>
      <c r="K1177" s="414" t="s">
        <v>2078</v>
      </c>
      <c r="L1177" s="405" t="s">
        <v>1915</v>
      </c>
      <c r="M1177" s="418">
        <v>44540</v>
      </c>
      <c r="N1177" s="418">
        <v>44721</v>
      </c>
      <c r="O1177" s="418"/>
      <c r="P1177" s="406"/>
      <c r="Q1177" s="406"/>
      <c r="R1177" s="406"/>
      <c r="S1177" s="405" t="s">
        <v>1443</v>
      </c>
      <c r="T1177" s="405">
        <v>60</v>
      </c>
      <c r="U1177" s="405" t="s">
        <v>1237</v>
      </c>
      <c r="V1177" s="405" t="s">
        <v>967</v>
      </c>
      <c r="W1177" s="405">
        <v>410</v>
      </c>
      <c r="X1177" s="407">
        <v>5824</v>
      </c>
      <c r="Y1177" s="408">
        <f t="shared" si="264"/>
        <v>2387840</v>
      </c>
      <c r="Z1177" s="409">
        <f>192.7/410</f>
        <v>0.47</v>
      </c>
      <c r="AA1177" s="410">
        <f t="shared" si="265"/>
        <v>1122284.8</v>
      </c>
      <c r="AB1177" s="411"/>
      <c r="AC1177" s="412">
        <f>AB1177*Y1177</f>
        <v>0</v>
      </c>
      <c r="AD1177" s="421"/>
      <c r="AE1177" s="413"/>
      <c r="AF1177" s="424">
        <f t="shared" si="266"/>
        <v>1122284.8</v>
      </c>
      <c r="AG1177" s="405" t="s">
        <v>47</v>
      </c>
      <c r="AH1177" s="405"/>
      <c r="AI1177" s="414" t="s">
        <v>1916</v>
      </c>
      <c r="AJ1177" s="405" t="s">
        <v>1917</v>
      </c>
      <c r="AK1177" s="425" t="s">
        <v>50</v>
      </c>
      <c r="AL1177" s="405">
        <v>91730</v>
      </c>
      <c r="AM1177" s="405" t="s">
        <v>52</v>
      </c>
      <c r="AN1177" s="405" t="s">
        <v>50</v>
      </c>
      <c r="AO1177" s="405"/>
      <c r="AP1177" s="417" t="s">
        <v>92</v>
      </c>
      <c r="AQ1177" s="417" t="s">
        <v>37</v>
      </c>
      <c r="AR1177" s="417"/>
      <c r="AS1177" s="426"/>
      <c r="AT1177" s="426"/>
      <c r="AU1177" s="409"/>
      <c r="AV1177" s="402" t="str">
        <f t="shared" si="267"/>
        <v>30390456H</v>
      </c>
      <c r="AW1177" s="402" cm="1">
        <f t="array" ref="AW1177">SUM(MID(0&amp;AV1177,LARGE(INDEX(ISNUMBER(--MID(AV1177,ROW($1:$8),1))*ROW($1:$8),),ROW($1:$8))+1,1)*10^ROW($1:$8)/10)</f>
        <v>30390456</v>
      </c>
      <c r="AX1177" s="402" t="str">
        <f>VLOOKUP($AW1177,'Item Master Data'!$A:$F,3,FALSE)</f>
        <v>Q.PEAK DUO BLK ML G10+</v>
      </c>
      <c r="AY1177" s="402">
        <f>VLOOKUP($AW1177,'Item Master Data'!$A:$F,6,FALSE)</f>
        <v>400</v>
      </c>
      <c r="AZ1177" s="402">
        <f t="shared" si="268"/>
        <v>182</v>
      </c>
      <c r="BA1177" s="402">
        <f>VLOOKUP(AW1177,'Item Master Data'!$A:$G,7,FALSE)</f>
        <v>32</v>
      </c>
      <c r="BB1177" s="402"/>
      <c r="BC1177" s="402">
        <f t="shared" si="269"/>
        <v>10</v>
      </c>
    </row>
    <row r="1178" spans="1:55">
      <c r="A1178" s="403"/>
      <c r="B1178" s="445">
        <v>44580</v>
      </c>
      <c r="C1178" s="445">
        <v>44615</v>
      </c>
      <c r="D1178" s="416" t="s">
        <v>1914</v>
      </c>
      <c r="E1178" s="405" t="s">
        <v>1972</v>
      </c>
      <c r="F1178" s="405"/>
      <c r="G1178" s="405">
        <v>2022</v>
      </c>
      <c r="H1178" s="405">
        <v>6</v>
      </c>
      <c r="I1178" s="416"/>
      <c r="J1178" s="406"/>
      <c r="K1178" s="414" t="s">
        <v>4433</v>
      </c>
      <c r="L1178" s="405" t="s">
        <v>1915</v>
      </c>
      <c r="M1178" s="418">
        <v>44540</v>
      </c>
      <c r="N1178" s="418">
        <v>44664</v>
      </c>
      <c r="O1178" s="418"/>
      <c r="P1178" s="406"/>
      <c r="Q1178" s="406"/>
      <c r="R1178" s="406"/>
      <c r="S1178" s="405" t="s">
        <v>1443</v>
      </c>
      <c r="T1178" s="405">
        <v>60</v>
      </c>
      <c r="U1178" s="405" t="s">
        <v>1559</v>
      </c>
      <c r="V1178" s="405" t="s">
        <v>973</v>
      </c>
      <c r="W1178" s="405">
        <v>400</v>
      </c>
      <c r="X1178" s="407">
        <v>2496</v>
      </c>
      <c r="Y1178" s="408">
        <f t="shared" si="264"/>
        <v>998400</v>
      </c>
      <c r="Z1178" s="409">
        <v>0.47</v>
      </c>
      <c r="AA1178" s="410">
        <f t="shared" si="265"/>
        <v>469248</v>
      </c>
      <c r="AB1178" s="411"/>
      <c r="AC1178" s="412">
        <v>0</v>
      </c>
      <c r="AD1178" s="421"/>
      <c r="AE1178" s="413"/>
      <c r="AF1178" s="424">
        <f t="shared" si="266"/>
        <v>469248</v>
      </c>
      <c r="AG1178" s="405" t="s">
        <v>47</v>
      </c>
      <c r="AH1178" s="405"/>
      <c r="AI1178" s="414" t="s">
        <v>1916</v>
      </c>
      <c r="AJ1178" s="405" t="s">
        <v>1919</v>
      </c>
      <c r="AK1178" s="425" t="s">
        <v>1292</v>
      </c>
      <c r="AL1178" s="405">
        <v>17402</v>
      </c>
      <c r="AM1178" s="405" t="s">
        <v>52</v>
      </c>
      <c r="AN1178" s="405" t="s">
        <v>50</v>
      </c>
      <c r="AO1178" s="405"/>
      <c r="AP1178" s="417" t="s">
        <v>92</v>
      </c>
      <c r="AQ1178" s="417" t="s">
        <v>37</v>
      </c>
      <c r="AR1178" s="417"/>
      <c r="AS1178" s="426"/>
      <c r="AT1178" s="426"/>
      <c r="AU1178" s="409"/>
      <c r="AV1178" s="402" t="str">
        <f t="shared" si="267"/>
        <v>30390156H</v>
      </c>
      <c r="AW1178" s="402" cm="1">
        <f t="array" ref="AW1178">SUM(MID(0&amp;AV1178,LARGE(INDEX(ISNUMBER(--MID(AV1178,ROW($1:$8),1))*ROW($1:$8),),ROW($1:$8))+1,1)*10^ROW($1:$8)/10)</f>
        <v>30390156</v>
      </c>
      <c r="AX1178" s="402" t="str">
        <f>VLOOKUP($AW1178,'Item Master Data'!$A:$F,3,FALSE)</f>
        <v>Q.PEAK DUO BLK ML G10+</v>
      </c>
      <c r="AY1178" s="402">
        <f>VLOOKUP($AW1178,'Item Master Data'!$A:$F,6,FALSE)</f>
        <v>400</v>
      </c>
      <c r="AZ1178" s="402">
        <f t="shared" si="268"/>
        <v>78</v>
      </c>
      <c r="BA1178" s="402">
        <f>VLOOKUP(AW1178,'Item Master Data'!$A:$G,7,FALSE)</f>
        <v>32</v>
      </c>
      <c r="BB1178" s="402"/>
      <c r="BC1178" s="402">
        <f t="shared" si="269"/>
        <v>0</v>
      </c>
    </row>
    <row r="1179" spans="1:55">
      <c r="A1179" s="403"/>
      <c r="B1179" s="445">
        <v>44580</v>
      </c>
      <c r="C1179" s="445">
        <v>44615</v>
      </c>
      <c r="D1179" s="416" t="s">
        <v>1914</v>
      </c>
      <c r="E1179" s="405" t="s">
        <v>1972</v>
      </c>
      <c r="F1179" s="405"/>
      <c r="G1179" s="405">
        <v>2022</v>
      </c>
      <c r="H1179" s="405">
        <v>6</v>
      </c>
      <c r="I1179" s="416"/>
      <c r="J1179" s="406"/>
      <c r="K1179" s="414" t="s">
        <v>2079</v>
      </c>
      <c r="L1179" s="405" t="s">
        <v>1915</v>
      </c>
      <c r="M1179" s="418">
        <v>44540</v>
      </c>
      <c r="N1179" s="418">
        <v>44696</v>
      </c>
      <c r="O1179" s="418"/>
      <c r="P1179" s="406"/>
      <c r="Q1179" s="406"/>
      <c r="R1179" s="406"/>
      <c r="S1179" s="405" t="s">
        <v>1443</v>
      </c>
      <c r="T1179" s="405">
        <v>60</v>
      </c>
      <c r="U1179" s="405" t="s">
        <v>1237</v>
      </c>
      <c r="V1179" s="405" t="s">
        <v>973</v>
      </c>
      <c r="W1179" s="405">
        <v>400</v>
      </c>
      <c r="X1179" s="407">
        <v>6656</v>
      </c>
      <c r="Y1179" s="408">
        <f t="shared" si="264"/>
        <v>2662400</v>
      </c>
      <c r="Z1179" s="409">
        <v>0.47</v>
      </c>
      <c r="AA1179" s="410">
        <f t="shared" si="265"/>
        <v>1251328</v>
      </c>
      <c r="AB1179" s="411"/>
      <c r="AC1179" s="412">
        <v>0</v>
      </c>
      <c r="AD1179" s="421"/>
      <c r="AE1179" s="413"/>
      <c r="AF1179" s="424">
        <f t="shared" si="266"/>
        <v>1251328</v>
      </c>
      <c r="AG1179" s="405" t="s">
        <v>47</v>
      </c>
      <c r="AH1179" s="405"/>
      <c r="AI1179" s="414" t="s">
        <v>1916</v>
      </c>
      <c r="AJ1179" s="405" t="s">
        <v>1919</v>
      </c>
      <c r="AK1179" s="425" t="s">
        <v>1292</v>
      </c>
      <c r="AL1179" s="405">
        <v>17402</v>
      </c>
      <c r="AM1179" s="405" t="s">
        <v>52</v>
      </c>
      <c r="AN1179" s="405"/>
      <c r="AO1179" s="405"/>
      <c r="AP1179" s="417"/>
      <c r="AQ1179" s="417" t="s">
        <v>37</v>
      </c>
      <c r="AR1179" s="417"/>
      <c r="AS1179" s="426"/>
      <c r="AT1179" s="426"/>
      <c r="AU1179" s="409"/>
      <c r="AV1179" s="402" t="str">
        <f t="shared" si="267"/>
        <v>30390456H</v>
      </c>
      <c r="AW1179" s="402" cm="1">
        <f t="array" ref="AW1179">SUM(MID(0&amp;AV1179,LARGE(INDEX(ISNUMBER(--MID(AV1179,ROW($1:$8),1))*ROW($1:$8),),ROW($1:$8))+1,1)*10^ROW($1:$8)/10)</f>
        <v>30390456</v>
      </c>
      <c r="AX1179" s="402" t="str">
        <f>VLOOKUP($AW1179,'Item Master Data'!$A:$F,3,FALSE)</f>
        <v>Q.PEAK DUO BLK ML G10+</v>
      </c>
      <c r="AY1179" s="402">
        <f>VLOOKUP($AW1179,'Item Master Data'!$A:$F,6,FALSE)</f>
        <v>400</v>
      </c>
      <c r="AZ1179" s="402">
        <f t="shared" si="268"/>
        <v>208</v>
      </c>
      <c r="BA1179" s="402">
        <f>VLOOKUP(AW1179,'Item Master Data'!$A:$G,7,FALSE)</f>
        <v>32</v>
      </c>
      <c r="BB1179" s="402"/>
      <c r="BC1179" s="402">
        <f t="shared" si="269"/>
        <v>0</v>
      </c>
    </row>
    <row r="1180" spans="1:55">
      <c r="A1180" s="403"/>
      <c r="B1180" s="445">
        <v>44580</v>
      </c>
      <c r="C1180" s="445">
        <v>44615</v>
      </c>
      <c r="D1180" s="416" t="s">
        <v>1914</v>
      </c>
      <c r="E1180" s="405" t="s">
        <v>1972</v>
      </c>
      <c r="F1180" s="405"/>
      <c r="G1180" s="405">
        <v>2022</v>
      </c>
      <c r="H1180" s="405">
        <v>6</v>
      </c>
      <c r="I1180" s="416"/>
      <c r="J1180" s="406"/>
      <c r="K1180" s="414" t="s">
        <v>2080</v>
      </c>
      <c r="L1180" s="405" t="s">
        <v>1915</v>
      </c>
      <c r="M1180" s="418">
        <v>44540</v>
      </c>
      <c r="N1180" s="418">
        <v>44690</v>
      </c>
      <c r="O1180" s="418"/>
      <c r="P1180" s="406"/>
      <c r="Q1180" s="406"/>
      <c r="R1180" s="406"/>
      <c r="S1180" s="405" t="s">
        <v>1443</v>
      </c>
      <c r="T1180" s="405">
        <v>60</v>
      </c>
      <c r="U1180" s="405" t="s">
        <v>1237</v>
      </c>
      <c r="V1180" s="405" t="s">
        <v>973</v>
      </c>
      <c r="W1180" s="405">
        <v>400</v>
      </c>
      <c r="X1180" s="407">
        <v>6656</v>
      </c>
      <c r="Y1180" s="408">
        <f t="shared" si="264"/>
        <v>2662400</v>
      </c>
      <c r="Z1180" s="409">
        <v>0.47</v>
      </c>
      <c r="AA1180" s="410">
        <f t="shared" si="265"/>
        <v>1251328</v>
      </c>
      <c r="AB1180" s="411"/>
      <c r="AC1180" s="412">
        <v>0</v>
      </c>
      <c r="AD1180" s="421"/>
      <c r="AE1180" s="413"/>
      <c r="AF1180" s="424">
        <f t="shared" si="266"/>
        <v>1251328</v>
      </c>
      <c r="AG1180" s="405" t="s">
        <v>47</v>
      </c>
      <c r="AH1180" s="405"/>
      <c r="AI1180" s="414" t="s">
        <v>1916</v>
      </c>
      <c r="AJ1180" s="405" t="s">
        <v>1919</v>
      </c>
      <c r="AK1180" s="425" t="s">
        <v>1292</v>
      </c>
      <c r="AL1180" s="405">
        <v>17402</v>
      </c>
      <c r="AM1180" s="405" t="s">
        <v>52</v>
      </c>
      <c r="AN1180" s="405"/>
      <c r="AO1180" s="405"/>
      <c r="AP1180" s="417"/>
      <c r="AQ1180" s="417" t="s">
        <v>37</v>
      </c>
      <c r="AR1180" s="417"/>
      <c r="AS1180" s="426"/>
      <c r="AT1180" s="426"/>
      <c r="AU1180" s="409"/>
      <c r="AV1180" s="402" t="str">
        <f t="shared" si="267"/>
        <v>30390456H</v>
      </c>
      <c r="AW1180" s="402" cm="1">
        <f t="array" ref="AW1180">SUM(MID(0&amp;AV1180,LARGE(INDEX(ISNUMBER(--MID(AV1180,ROW($1:$8),1))*ROW($1:$8),),ROW($1:$8))+1,1)*10^ROW($1:$8)/10)</f>
        <v>30390456</v>
      </c>
      <c r="AX1180" s="402" t="str">
        <f>VLOOKUP($AW1180,'Item Master Data'!$A:$F,3,FALSE)</f>
        <v>Q.PEAK DUO BLK ML G10+</v>
      </c>
      <c r="AY1180" s="402">
        <f>VLOOKUP($AW1180,'Item Master Data'!$A:$F,6,FALSE)</f>
        <v>400</v>
      </c>
      <c r="AZ1180" s="402">
        <f t="shared" si="268"/>
        <v>208</v>
      </c>
      <c r="BA1180" s="402">
        <f>VLOOKUP(AW1180,'Item Master Data'!$A:$G,7,FALSE)</f>
        <v>32</v>
      </c>
      <c r="BB1180" s="402"/>
      <c r="BC1180" s="402">
        <f t="shared" si="269"/>
        <v>0</v>
      </c>
    </row>
    <row r="1181" spans="1:55">
      <c r="A1181" s="403"/>
      <c r="B1181" s="445">
        <v>44580</v>
      </c>
      <c r="C1181" s="445">
        <v>44615</v>
      </c>
      <c r="D1181" s="416" t="s">
        <v>1914</v>
      </c>
      <c r="E1181" s="405" t="s">
        <v>1972</v>
      </c>
      <c r="F1181" s="405"/>
      <c r="G1181" s="405">
        <v>2022</v>
      </c>
      <c r="H1181" s="405">
        <v>6</v>
      </c>
      <c r="I1181" s="416"/>
      <c r="J1181" s="406"/>
      <c r="K1181" s="414" t="s">
        <v>2081</v>
      </c>
      <c r="L1181" s="405" t="s">
        <v>1915</v>
      </c>
      <c r="M1181" s="418">
        <v>44543</v>
      </c>
      <c r="N1181" s="418">
        <v>44692</v>
      </c>
      <c r="O1181" s="418"/>
      <c r="P1181" s="406"/>
      <c r="Q1181" s="406"/>
      <c r="R1181" s="406"/>
      <c r="S1181" s="405" t="s">
        <v>1443</v>
      </c>
      <c r="T1181" s="405">
        <v>60</v>
      </c>
      <c r="U1181" s="405" t="s">
        <v>1237</v>
      </c>
      <c r="V1181" s="405" t="s">
        <v>973</v>
      </c>
      <c r="W1181" s="405">
        <v>400</v>
      </c>
      <c r="X1181" s="407">
        <v>6656</v>
      </c>
      <c r="Y1181" s="408">
        <f t="shared" si="264"/>
        <v>2662400</v>
      </c>
      <c r="Z1181" s="409">
        <v>0.47</v>
      </c>
      <c r="AA1181" s="410">
        <f t="shared" si="265"/>
        <v>1251328</v>
      </c>
      <c r="AB1181" s="411"/>
      <c r="AC1181" s="412">
        <v>0</v>
      </c>
      <c r="AD1181" s="421"/>
      <c r="AE1181" s="413"/>
      <c r="AF1181" s="424">
        <f t="shared" si="266"/>
        <v>1251328</v>
      </c>
      <c r="AG1181" s="405" t="s">
        <v>47</v>
      </c>
      <c r="AH1181" s="405"/>
      <c r="AI1181" s="414" t="s">
        <v>1916</v>
      </c>
      <c r="AJ1181" s="405" t="s">
        <v>1449</v>
      </c>
      <c r="AK1181" s="425" t="s">
        <v>1070</v>
      </c>
      <c r="AL1181" s="405">
        <v>21075</v>
      </c>
      <c r="AM1181" s="405" t="s">
        <v>52</v>
      </c>
      <c r="AN1181" s="405"/>
      <c r="AO1181" s="405"/>
      <c r="AP1181" s="417"/>
      <c r="AQ1181" s="417" t="s">
        <v>37</v>
      </c>
      <c r="AR1181" s="417"/>
      <c r="AS1181" s="426"/>
      <c r="AT1181" s="426"/>
      <c r="AU1181" s="409"/>
      <c r="AV1181" s="402" t="str">
        <f t="shared" si="267"/>
        <v>30390456H</v>
      </c>
      <c r="AW1181" s="402" cm="1">
        <f t="array" ref="AW1181">SUM(MID(0&amp;AV1181,LARGE(INDEX(ISNUMBER(--MID(AV1181,ROW($1:$8),1))*ROW($1:$8),),ROW($1:$8))+1,1)*10^ROW($1:$8)/10)</f>
        <v>30390456</v>
      </c>
      <c r="AX1181" s="402" t="str">
        <f>VLOOKUP($AW1181,'Item Master Data'!$A:$F,3,FALSE)</f>
        <v>Q.PEAK DUO BLK ML G10+</v>
      </c>
      <c r="AY1181" s="402">
        <f>VLOOKUP($AW1181,'Item Master Data'!$A:$F,6,FALSE)</f>
        <v>400</v>
      </c>
      <c r="AZ1181" s="402">
        <f t="shared" si="268"/>
        <v>208</v>
      </c>
      <c r="BA1181" s="402">
        <f>VLOOKUP(AW1181,'Item Master Data'!$A:$G,7,FALSE)</f>
        <v>32</v>
      </c>
      <c r="BB1181" s="402"/>
      <c r="BC1181" s="402">
        <f t="shared" si="269"/>
        <v>0</v>
      </c>
    </row>
    <row r="1182" spans="1:55">
      <c r="A1182" s="403"/>
      <c r="B1182" s="445">
        <v>44580</v>
      </c>
      <c r="C1182" s="445">
        <v>44615</v>
      </c>
      <c r="D1182" s="416" t="s">
        <v>1914</v>
      </c>
      <c r="E1182" s="405" t="s">
        <v>1972</v>
      </c>
      <c r="F1182" s="405"/>
      <c r="G1182" s="405">
        <v>2022</v>
      </c>
      <c r="H1182" s="405">
        <v>6</v>
      </c>
      <c r="I1182" s="416"/>
      <c r="J1182" s="406"/>
      <c r="K1182" s="414" t="s">
        <v>2082</v>
      </c>
      <c r="L1182" s="405" t="s">
        <v>1915</v>
      </c>
      <c r="M1182" s="418">
        <v>44543</v>
      </c>
      <c r="N1182" s="418">
        <v>44694</v>
      </c>
      <c r="O1182" s="418"/>
      <c r="P1182" s="406"/>
      <c r="Q1182" s="406"/>
      <c r="R1182" s="406"/>
      <c r="S1182" s="405" t="s">
        <v>1443</v>
      </c>
      <c r="T1182" s="405">
        <v>60</v>
      </c>
      <c r="U1182" s="405" t="s">
        <v>1237</v>
      </c>
      <c r="V1182" s="405" t="s">
        <v>973</v>
      </c>
      <c r="W1182" s="405">
        <v>400</v>
      </c>
      <c r="X1182" s="407">
        <v>6656</v>
      </c>
      <c r="Y1182" s="408">
        <f t="shared" si="264"/>
        <v>2662400</v>
      </c>
      <c r="Z1182" s="409">
        <v>0.47</v>
      </c>
      <c r="AA1182" s="410">
        <f t="shared" si="265"/>
        <v>1251328</v>
      </c>
      <c r="AB1182" s="411"/>
      <c r="AC1182" s="412">
        <v>0</v>
      </c>
      <c r="AD1182" s="421"/>
      <c r="AE1182" s="413"/>
      <c r="AF1182" s="424">
        <f t="shared" si="266"/>
        <v>1251328</v>
      </c>
      <c r="AG1182" s="405" t="s">
        <v>47</v>
      </c>
      <c r="AH1182" s="405"/>
      <c r="AI1182" s="414" t="s">
        <v>1916</v>
      </c>
      <c r="AJ1182" s="405" t="s">
        <v>1449</v>
      </c>
      <c r="AK1182" s="425" t="s">
        <v>1070</v>
      </c>
      <c r="AL1182" s="405">
        <v>21075</v>
      </c>
      <c r="AM1182" s="405" t="s">
        <v>52</v>
      </c>
      <c r="AN1182" s="405"/>
      <c r="AO1182" s="405"/>
      <c r="AP1182" s="417"/>
      <c r="AQ1182" s="417" t="s">
        <v>37</v>
      </c>
      <c r="AR1182" s="417"/>
      <c r="AS1182" s="426"/>
      <c r="AT1182" s="426"/>
      <c r="AU1182" s="409"/>
      <c r="AV1182" s="402" t="str">
        <f t="shared" si="267"/>
        <v>30390456H</v>
      </c>
      <c r="AW1182" s="402" cm="1">
        <f t="array" ref="AW1182">SUM(MID(0&amp;AV1182,LARGE(INDEX(ISNUMBER(--MID(AV1182,ROW($1:$8),1))*ROW($1:$8),),ROW($1:$8))+1,1)*10^ROW($1:$8)/10)</f>
        <v>30390456</v>
      </c>
      <c r="AX1182" s="402" t="str">
        <f>VLOOKUP($AW1182,'Item Master Data'!$A:$F,3,FALSE)</f>
        <v>Q.PEAK DUO BLK ML G10+</v>
      </c>
      <c r="AY1182" s="402">
        <f>VLOOKUP($AW1182,'Item Master Data'!$A:$F,6,FALSE)</f>
        <v>400</v>
      </c>
      <c r="AZ1182" s="402">
        <f t="shared" si="268"/>
        <v>208</v>
      </c>
      <c r="BA1182" s="402">
        <f>VLOOKUP(AW1182,'Item Master Data'!$A:$G,7,FALSE)</f>
        <v>32</v>
      </c>
      <c r="BB1182" s="402"/>
      <c r="BC1182" s="402">
        <f t="shared" si="269"/>
        <v>0</v>
      </c>
    </row>
    <row r="1183" spans="1:55">
      <c r="A1183" s="403"/>
      <c r="B1183" s="445">
        <v>44580</v>
      </c>
      <c r="C1183" s="445">
        <v>44615</v>
      </c>
      <c r="D1183" s="416" t="s">
        <v>1914</v>
      </c>
      <c r="E1183" s="405" t="s">
        <v>1972</v>
      </c>
      <c r="F1183" s="405"/>
      <c r="G1183" s="405">
        <v>2022</v>
      </c>
      <c r="H1183" s="405">
        <v>6</v>
      </c>
      <c r="I1183" s="416"/>
      <c r="J1183" s="406"/>
      <c r="K1183" s="414" t="s">
        <v>2083</v>
      </c>
      <c r="L1183" s="405" t="s">
        <v>1915</v>
      </c>
      <c r="M1183" s="418">
        <v>44546</v>
      </c>
      <c r="N1183" s="418">
        <v>44706</v>
      </c>
      <c r="O1183" s="418"/>
      <c r="P1183" s="406"/>
      <c r="Q1183" s="406"/>
      <c r="R1183" s="406"/>
      <c r="S1183" s="405" t="s">
        <v>1443</v>
      </c>
      <c r="T1183" s="405">
        <v>60</v>
      </c>
      <c r="U1183" s="405" t="s">
        <v>1237</v>
      </c>
      <c r="V1183" s="405" t="s">
        <v>973</v>
      </c>
      <c r="W1183" s="405">
        <v>400</v>
      </c>
      <c r="X1183" s="407">
        <v>7488</v>
      </c>
      <c r="Y1183" s="408">
        <f t="shared" si="264"/>
        <v>2995200</v>
      </c>
      <c r="Z1183" s="409">
        <v>0.48499999999999999</v>
      </c>
      <c r="AA1183" s="410">
        <f t="shared" si="265"/>
        <v>1452672</v>
      </c>
      <c r="AB1183" s="411"/>
      <c r="AC1183" s="412">
        <v>0</v>
      </c>
      <c r="AD1183" s="421"/>
      <c r="AE1183" s="413"/>
      <c r="AF1183" s="424">
        <f t="shared" si="266"/>
        <v>1452672</v>
      </c>
      <c r="AG1183" s="405" t="s">
        <v>47</v>
      </c>
      <c r="AH1183" s="405"/>
      <c r="AI1183" s="414" t="s">
        <v>1916</v>
      </c>
      <c r="AJ1183" s="405" t="s">
        <v>1919</v>
      </c>
      <c r="AK1183" s="425" t="s">
        <v>1292</v>
      </c>
      <c r="AL1183" s="405">
        <v>17402</v>
      </c>
      <c r="AM1183" s="405" t="s">
        <v>52</v>
      </c>
      <c r="AN1183" s="405"/>
      <c r="AO1183" s="405"/>
      <c r="AP1183" s="417"/>
      <c r="AQ1183" s="417" t="s">
        <v>37</v>
      </c>
      <c r="AR1183" s="417"/>
      <c r="AS1183" s="426"/>
      <c r="AT1183" s="426"/>
      <c r="AU1183" s="409"/>
      <c r="AV1183" s="402" t="str">
        <f t="shared" si="267"/>
        <v>30390456H</v>
      </c>
      <c r="AW1183" s="402" cm="1">
        <f t="array" ref="AW1183">SUM(MID(0&amp;AV1183,LARGE(INDEX(ISNUMBER(--MID(AV1183,ROW($1:$8),1))*ROW($1:$8),),ROW($1:$8))+1,1)*10^ROW($1:$8)/10)</f>
        <v>30390456</v>
      </c>
      <c r="AX1183" s="402" t="str">
        <f>VLOOKUP($AW1183,'Item Master Data'!$A:$F,3,FALSE)</f>
        <v>Q.PEAK DUO BLK ML G10+</v>
      </c>
      <c r="AY1183" s="402">
        <f>VLOOKUP($AW1183,'Item Master Data'!$A:$F,6,FALSE)</f>
        <v>400</v>
      </c>
      <c r="AZ1183" s="402">
        <f t="shared" si="268"/>
        <v>234</v>
      </c>
      <c r="BA1183" s="402">
        <f>VLOOKUP(AW1183,'Item Master Data'!$A:$G,7,FALSE)</f>
        <v>32</v>
      </c>
      <c r="BB1183" s="402"/>
      <c r="BC1183" s="402">
        <f t="shared" si="269"/>
        <v>0</v>
      </c>
    </row>
    <row r="1184" spans="1:55">
      <c r="A1184" s="403"/>
      <c r="B1184" s="445">
        <v>44580</v>
      </c>
      <c r="C1184" s="445">
        <v>44615</v>
      </c>
      <c r="D1184" s="416" t="s">
        <v>1914</v>
      </c>
      <c r="E1184" s="405"/>
      <c r="F1184" s="405"/>
      <c r="G1184" s="405">
        <v>2022</v>
      </c>
      <c r="H1184" s="405">
        <v>6</v>
      </c>
      <c r="I1184" s="416"/>
      <c r="J1184" s="406"/>
      <c r="K1184" s="414" t="s">
        <v>2030</v>
      </c>
      <c r="L1184" s="405" t="s">
        <v>1915</v>
      </c>
      <c r="M1184" s="418">
        <v>44547</v>
      </c>
      <c r="N1184" s="418">
        <v>44637</v>
      </c>
      <c r="O1184" s="418"/>
      <c r="P1184" s="406"/>
      <c r="Q1184" s="406"/>
      <c r="R1184" s="406"/>
      <c r="S1184" s="405" t="s">
        <v>1443</v>
      </c>
      <c r="T1184" s="405">
        <v>60</v>
      </c>
      <c r="U1184" s="405" t="s">
        <v>1977</v>
      </c>
      <c r="V1184" s="405" t="s">
        <v>970</v>
      </c>
      <c r="W1184" s="405">
        <v>410</v>
      </c>
      <c r="X1184" s="407">
        <v>1664</v>
      </c>
      <c r="Y1184" s="408">
        <f t="shared" si="264"/>
        <v>682240</v>
      </c>
      <c r="Z1184" s="409">
        <f>192.7/410</f>
        <v>0.47</v>
      </c>
      <c r="AA1184" s="410">
        <f t="shared" si="265"/>
        <v>320652.79999999999</v>
      </c>
      <c r="AB1184" s="411"/>
      <c r="AC1184" s="412">
        <f>AB1184*Y1184</f>
        <v>0</v>
      </c>
      <c r="AD1184" s="421"/>
      <c r="AE1184" s="413"/>
      <c r="AF1184" s="424">
        <f t="shared" si="266"/>
        <v>320652.79999999999</v>
      </c>
      <c r="AG1184" s="405" t="s">
        <v>47</v>
      </c>
      <c r="AH1184" s="405"/>
      <c r="AI1184" s="414" t="s">
        <v>1916</v>
      </c>
      <c r="AJ1184" s="405" t="s">
        <v>1917</v>
      </c>
      <c r="AK1184" s="425" t="s">
        <v>50</v>
      </c>
      <c r="AL1184" s="405">
        <v>91730</v>
      </c>
      <c r="AM1184" s="405" t="s">
        <v>52</v>
      </c>
      <c r="AN1184" s="405" t="s">
        <v>50</v>
      </c>
      <c r="AO1184" s="405"/>
      <c r="AP1184" s="417" t="s">
        <v>92</v>
      </c>
      <c r="AQ1184" s="417" t="s">
        <v>37</v>
      </c>
      <c r="AR1184" s="417"/>
      <c r="AS1184" s="426"/>
      <c r="AT1184" s="426"/>
      <c r="AU1184" s="409"/>
      <c r="AV1184" s="402" t="str">
        <f t="shared" si="267"/>
        <v>30385558F</v>
      </c>
      <c r="AW1184" s="402" cm="1">
        <f t="array" ref="AW1184">SUM(MID(0&amp;AV1184,LARGE(INDEX(ISNUMBER(--MID(AV1184,ROW($1:$8),1))*ROW($1:$8),),ROW($1:$8))+1,1)*10^ROW($1:$8)/10)</f>
        <v>30385558</v>
      </c>
      <c r="AX1184" s="402" t="str">
        <f>VLOOKUP($AW1184,'Item Master Data'!$A:$F,3,FALSE)</f>
        <v>Q.PEAK DUO ML G10+</v>
      </c>
      <c r="AY1184" s="402">
        <f>VLOOKUP($AW1184,'Item Master Data'!$A:$F,6,FALSE)</f>
        <v>410</v>
      </c>
      <c r="AZ1184" s="402">
        <f t="shared" si="268"/>
        <v>52</v>
      </c>
      <c r="BA1184" s="402">
        <f>VLOOKUP(AW1184,'Item Master Data'!$A:$G,7,FALSE)</f>
        <v>32</v>
      </c>
      <c r="BB1184" s="402"/>
      <c r="BC1184" s="402">
        <f t="shared" si="269"/>
        <v>0</v>
      </c>
    </row>
    <row r="1185" spans="1:55">
      <c r="A1185" s="403"/>
      <c r="B1185" s="445">
        <v>44580</v>
      </c>
      <c r="C1185" s="445">
        <v>44615</v>
      </c>
      <c r="D1185" s="416" t="s">
        <v>1914</v>
      </c>
      <c r="E1185" s="405"/>
      <c r="F1185" s="405"/>
      <c r="G1185" s="405">
        <v>2022</v>
      </c>
      <c r="H1185" s="405">
        <v>6</v>
      </c>
      <c r="I1185" s="416"/>
      <c r="J1185" s="406"/>
      <c r="K1185" s="414" t="s">
        <v>2031</v>
      </c>
      <c r="L1185" s="405" t="s">
        <v>1915</v>
      </c>
      <c r="M1185" s="418">
        <v>44547</v>
      </c>
      <c r="N1185" s="418">
        <v>44642</v>
      </c>
      <c r="O1185" s="418"/>
      <c r="P1185" s="406"/>
      <c r="Q1185" s="406"/>
      <c r="R1185" s="406"/>
      <c r="S1185" s="405" t="s">
        <v>1443</v>
      </c>
      <c r="T1185" s="405">
        <v>60</v>
      </c>
      <c r="U1185" s="405" t="s">
        <v>1977</v>
      </c>
      <c r="V1185" s="405" t="s">
        <v>967</v>
      </c>
      <c r="W1185" s="405">
        <v>410</v>
      </c>
      <c r="X1185" s="407">
        <v>2496</v>
      </c>
      <c r="Y1185" s="408">
        <f t="shared" si="264"/>
        <v>1023360</v>
      </c>
      <c r="Z1185" s="409">
        <f>192.7/410</f>
        <v>0.47</v>
      </c>
      <c r="AA1185" s="410">
        <f t="shared" si="265"/>
        <v>480979.19999999995</v>
      </c>
      <c r="AB1185" s="411"/>
      <c r="AC1185" s="412">
        <f>AB1185*Y1185</f>
        <v>0</v>
      </c>
      <c r="AD1185" s="421"/>
      <c r="AE1185" s="413"/>
      <c r="AF1185" s="424">
        <f t="shared" si="266"/>
        <v>480979.19999999995</v>
      </c>
      <c r="AG1185" s="405" t="s">
        <v>47</v>
      </c>
      <c r="AH1185" s="405"/>
      <c r="AI1185" s="414" t="s">
        <v>1916</v>
      </c>
      <c r="AJ1185" s="405" t="s">
        <v>1917</v>
      </c>
      <c r="AK1185" s="425" t="s">
        <v>50</v>
      </c>
      <c r="AL1185" s="405">
        <v>91730</v>
      </c>
      <c r="AM1185" s="405" t="s">
        <v>52</v>
      </c>
      <c r="AN1185" s="405" t="s">
        <v>50</v>
      </c>
      <c r="AO1185" s="405"/>
      <c r="AP1185" s="417" t="s">
        <v>92</v>
      </c>
      <c r="AQ1185" s="417" t="s">
        <v>37</v>
      </c>
      <c r="AR1185" s="417"/>
      <c r="AS1185" s="426"/>
      <c r="AT1185" s="426"/>
      <c r="AU1185" s="409"/>
      <c r="AV1185" s="402" t="str">
        <f t="shared" si="267"/>
        <v>30385558F</v>
      </c>
      <c r="AW1185" s="402" cm="1">
        <f t="array" ref="AW1185">SUM(MID(0&amp;AV1185,LARGE(INDEX(ISNUMBER(--MID(AV1185,ROW($1:$8),1))*ROW($1:$8),),ROW($1:$8))+1,1)*10^ROW($1:$8)/10)</f>
        <v>30385558</v>
      </c>
      <c r="AX1185" s="402" t="str">
        <f>VLOOKUP($AW1185,'Item Master Data'!$A:$F,3,FALSE)</f>
        <v>Q.PEAK DUO ML G10+</v>
      </c>
      <c r="AY1185" s="402">
        <f>VLOOKUP($AW1185,'Item Master Data'!$A:$F,6,FALSE)</f>
        <v>410</v>
      </c>
      <c r="AZ1185" s="402">
        <f t="shared" si="268"/>
        <v>78</v>
      </c>
      <c r="BA1185" s="402">
        <f>VLOOKUP(AW1185,'Item Master Data'!$A:$G,7,FALSE)</f>
        <v>32</v>
      </c>
      <c r="BB1185" s="402"/>
      <c r="BC1185" s="402">
        <f t="shared" si="269"/>
        <v>0</v>
      </c>
    </row>
    <row r="1186" spans="1:55">
      <c r="A1186" s="403"/>
      <c r="B1186" s="445">
        <v>44580</v>
      </c>
      <c r="C1186" s="445">
        <v>44615</v>
      </c>
      <c r="D1186" s="416" t="s">
        <v>1914</v>
      </c>
      <c r="E1186" s="405" t="s">
        <v>1978</v>
      </c>
      <c r="F1186" s="405"/>
      <c r="G1186" s="405">
        <v>2022</v>
      </c>
      <c r="H1186" s="405">
        <v>6</v>
      </c>
      <c r="I1186" s="416"/>
      <c r="J1186" s="406"/>
      <c r="K1186" s="414" t="s">
        <v>2031</v>
      </c>
      <c r="L1186" s="405" t="s">
        <v>1915</v>
      </c>
      <c r="M1186" s="418">
        <v>44547</v>
      </c>
      <c r="N1186" s="418">
        <v>44642</v>
      </c>
      <c r="O1186" s="418"/>
      <c r="P1186" s="406"/>
      <c r="Q1186" s="406"/>
      <c r="R1186" s="406"/>
      <c r="S1186" s="405" t="s">
        <v>1443</v>
      </c>
      <c r="T1186" s="405">
        <v>60</v>
      </c>
      <c r="U1186" s="405" t="s">
        <v>1237</v>
      </c>
      <c r="V1186" s="405" t="s">
        <v>967</v>
      </c>
      <c r="W1186" s="405">
        <v>410</v>
      </c>
      <c r="X1186" s="407">
        <f>9984-2496</f>
        <v>7488</v>
      </c>
      <c r="Y1186" s="408">
        <f t="shared" si="264"/>
        <v>3070080</v>
      </c>
      <c r="Z1186" s="409">
        <f>192.7/410</f>
        <v>0.47</v>
      </c>
      <c r="AA1186" s="410">
        <f t="shared" si="265"/>
        <v>1442937.5999999999</v>
      </c>
      <c r="AB1186" s="411"/>
      <c r="AC1186" s="412">
        <f>AB1186*Y1186</f>
        <v>0</v>
      </c>
      <c r="AD1186" s="421"/>
      <c r="AE1186" s="413"/>
      <c r="AF1186" s="424">
        <f t="shared" si="266"/>
        <v>1442937.5999999999</v>
      </c>
      <c r="AG1186" s="405" t="s">
        <v>47</v>
      </c>
      <c r="AH1186" s="405"/>
      <c r="AI1186" s="414" t="s">
        <v>1916</v>
      </c>
      <c r="AJ1186" s="405" t="s">
        <v>1917</v>
      </c>
      <c r="AK1186" s="425" t="s">
        <v>50</v>
      </c>
      <c r="AL1186" s="405">
        <v>91730</v>
      </c>
      <c r="AM1186" s="405" t="s">
        <v>52</v>
      </c>
      <c r="AN1186" s="405" t="s">
        <v>50</v>
      </c>
      <c r="AO1186" s="405"/>
      <c r="AP1186" s="417" t="s">
        <v>92</v>
      </c>
      <c r="AQ1186" s="417" t="s">
        <v>37</v>
      </c>
      <c r="AR1186" s="417"/>
      <c r="AS1186" s="426"/>
      <c r="AT1186" s="426"/>
      <c r="AU1186" s="409"/>
      <c r="AV1186" s="402" t="str">
        <f t="shared" si="267"/>
        <v>30390456H</v>
      </c>
      <c r="AW1186" s="402" cm="1">
        <f t="array" ref="AW1186">SUM(MID(0&amp;AV1186,LARGE(INDEX(ISNUMBER(--MID(AV1186,ROW($1:$8),1))*ROW($1:$8),),ROW($1:$8))+1,1)*10^ROW($1:$8)/10)</f>
        <v>30390456</v>
      </c>
      <c r="AX1186" s="402" t="str">
        <f>VLOOKUP($AW1186,'Item Master Data'!$A:$F,3,FALSE)</f>
        <v>Q.PEAK DUO BLK ML G10+</v>
      </c>
      <c r="AY1186" s="402">
        <f>VLOOKUP($AW1186,'Item Master Data'!$A:$F,6,FALSE)</f>
        <v>400</v>
      </c>
      <c r="AZ1186" s="402">
        <f t="shared" si="268"/>
        <v>234</v>
      </c>
      <c r="BA1186" s="402">
        <f>VLOOKUP(AW1186,'Item Master Data'!$A:$G,7,FALSE)</f>
        <v>32</v>
      </c>
      <c r="BB1186" s="402"/>
      <c r="BC1186" s="402">
        <f t="shared" si="269"/>
        <v>10</v>
      </c>
    </row>
    <row r="1187" spans="1:55">
      <c r="A1187" s="403"/>
      <c r="B1187" s="445"/>
      <c r="C1187" s="445">
        <v>44636</v>
      </c>
      <c r="D1187" s="416" t="s">
        <v>1914</v>
      </c>
      <c r="E1187" s="405"/>
      <c r="F1187" s="405"/>
      <c r="G1187" s="405">
        <v>2022</v>
      </c>
      <c r="H1187" s="405">
        <v>6</v>
      </c>
      <c r="I1187" s="416"/>
      <c r="J1187" s="406"/>
      <c r="K1187" s="414" t="s">
        <v>2084</v>
      </c>
      <c r="L1187" s="405" t="s">
        <v>2085</v>
      </c>
      <c r="M1187" s="418">
        <v>44628</v>
      </c>
      <c r="N1187" s="418">
        <v>44648</v>
      </c>
      <c r="O1187" s="418"/>
      <c r="P1187" s="406"/>
      <c r="Q1187" s="406"/>
      <c r="R1187" s="406"/>
      <c r="S1187" s="405" t="s">
        <v>1443</v>
      </c>
      <c r="T1187" s="405">
        <v>72</v>
      </c>
      <c r="U1187" s="405" t="s">
        <v>1237</v>
      </c>
      <c r="V1187" s="405" t="s">
        <v>1103</v>
      </c>
      <c r="W1187" s="405">
        <v>480</v>
      </c>
      <c r="X1187" s="407">
        <v>832</v>
      </c>
      <c r="Y1187" s="408">
        <f t="shared" si="264"/>
        <v>399360</v>
      </c>
      <c r="Z1187" s="409">
        <f>237.6/480</f>
        <v>0.495</v>
      </c>
      <c r="AA1187" s="410">
        <f t="shared" si="265"/>
        <v>197683.20000000001</v>
      </c>
      <c r="AB1187" s="411"/>
      <c r="AC1187" s="412">
        <f>AB1187*Y1187</f>
        <v>0</v>
      </c>
      <c r="AD1187" s="421"/>
      <c r="AE1187" s="413"/>
      <c r="AF1187" s="424">
        <f t="shared" si="266"/>
        <v>197683.20000000001</v>
      </c>
      <c r="AG1187" s="405" t="s">
        <v>47</v>
      </c>
      <c r="AH1187" s="405"/>
      <c r="AI1187" s="414" t="s">
        <v>1916</v>
      </c>
      <c r="AJ1187" s="405" t="s">
        <v>2086</v>
      </c>
      <c r="AK1187" s="425" t="s">
        <v>1292</v>
      </c>
      <c r="AL1187" s="405">
        <v>17026</v>
      </c>
      <c r="AM1187" s="405" t="s">
        <v>52</v>
      </c>
      <c r="AN1187" s="405" t="s">
        <v>1071</v>
      </c>
      <c r="AO1187" s="405"/>
      <c r="AP1187" s="417"/>
      <c r="AQ1187" s="417" t="s">
        <v>37</v>
      </c>
      <c r="AR1187" s="417"/>
      <c r="AS1187" s="426"/>
      <c r="AT1187" s="426"/>
      <c r="AU1187" s="409"/>
      <c r="AV1187" s="402" t="str">
        <f t="shared" si="267"/>
        <v>30390456H</v>
      </c>
      <c r="AW1187" s="402" cm="1">
        <f t="array" ref="AW1187">SUM(MID(0&amp;AV1187,LARGE(INDEX(ISNUMBER(--MID(AV1187,ROW($1:$8),1))*ROW($1:$8),),ROW($1:$8))+1,1)*10^ROW($1:$8)/10)</f>
        <v>30390456</v>
      </c>
      <c r="AX1187" s="402" t="str">
        <f>VLOOKUP($AW1187,'Item Master Data'!$A:$F,3,FALSE)</f>
        <v>Q.PEAK DUO BLK ML G10+</v>
      </c>
      <c r="AY1187" s="402">
        <f>VLOOKUP($AW1187,'Item Master Data'!$A:$F,6,FALSE)</f>
        <v>400</v>
      </c>
      <c r="AZ1187" s="402">
        <f t="shared" si="268"/>
        <v>26</v>
      </c>
      <c r="BA1187" s="402">
        <f>VLOOKUP(AW1187,'Item Master Data'!$A:$G,7,FALSE)</f>
        <v>32</v>
      </c>
      <c r="BB1187" s="402"/>
      <c r="BC1187" s="402">
        <f t="shared" si="269"/>
        <v>80</v>
      </c>
    </row>
    <row r="1188" spans="1:55">
      <c r="A1188" s="403"/>
      <c r="B1188" s="445"/>
      <c r="C1188" s="445">
        <v>44636</v>
      </c>
      <c r="D1188" s="416" t="s">
        <v>1914</v>
      </c>
      <c r="E1188" s="405"/>
      <c r="F1188" s="405"/>
      <c r="G1188" s="405">
        <v>2022</v>
      </c>
      <c r="H1188" s="405">
        <v>6</v>
      </c>
      <c r="I1188" s="416"/>
      <c r="J1188" s="406"/>
      <c r="K1188" s="414" t="s">
        <v>2087</v>
      </c>
      <c r="L1188" s="405" t="s">
        <v>2085</v>
      </c>
      <c r="M1188" s="418">
        <v>44628</v>
      </c>
      <c r="N1188" s="418">
        <v>44648</v>
      </c>
      <c r="O1188" s="418"/>
      <c r="P1188" s="406"/>
      <c r="Q1188" s="406"/>
      <c r="R1188" s="406"/>
      <c r="S1188" s="405" t="s">
        <v>1443</v>
      </c>
      <c r="T1188" s="405">
        <v>72</v>
      </c>
      <c r="U1188" s="405" t="s">
        <v>1237</v>
      </c>
      <c r="V1188" s="405" t="s">
        <v>1103</v>
      </c>
      <c r="W1188" s="405">
        <v>480</v>
      </c>
      <c r="X1188" s="407">
        <v>832</v>
      </c>
      <c r="Y1188" s="408">
        <f t="shared" si="264"/>
        <v>399360</v>
      </c>
      <c r="Z1188" s="409">
        <f>237.6/480</f>
        <v>0.495</v>
      </c>
      <c r="AA1188" s="410">
        <f t="shared" si="265"/>
        <v>197683.20000000001</v>
      </c>
      <c r="AB1188" s="411"/>
      <c r="AC1188" s="412">
        <f>AB1188*Y1188</f>
        <v>0</v>
      </c>
      <c r="AD1188" s="421"/>
      <c r="AE1188" s="413"/>
      <c r="AF1188" s="424">
        <f t="shared" si="266"/>
        <v>197683.20000000001</v>
      </c>
      <c r="AG1188" s="405" t="s">
        <v>47</v>
      </c>
      <c r="AH1188" s="405"/>
      <c r="AI1188" s="414" t="s">
        <v>1916</v>
      </c>
      <c r="AJ1188" s="405" t="s">
        <v>1609</v>
      </c>
      <c r="AK1188" s="425" t="s">
        <v>50</v>
      </c>
      <c r="AL1188" s="405">
        <v>93291</v>
      </c>
      <c r="AM1188" s="405" t="s">
        <v>52</v>
      </c>
      <c r="AN1188" s="405" t="s">
        <v>1071</v>
      </c>
      <c r="AO1188" s="405"/>
      <c r="AP1188" s="417"/>
      <c r="AQ1188" s="417" t="s">
        <v>37</v>
      </c>
      <c r="AR1188" s="417"/>
      <c r="AS1188" s="426"/>
      <c r="AT1188" s="426"/>
      <c r="AU1188" s="409"/>
      <c r="AV1188" s="402" t="str">
        <f t="shared" si="267"/>
        <v>30390456H</v>
      </c>
      <c r="AW1188" s="402" cm="1">
        <f t="array" ref="AW1188">SUM(MID(0&amp;AV1188,LARGE(INDEX(ISNUMBER(--MID(AV1188,ROW($1:$8),1))*ROW($1:$8),),ROW($1:$8))+1,1)*10^ROW($1:$8)/10)</f>
        <v>30390456</v>
      </c>
      <c r="AX1188" s="402" t="str">
        <f>VLOOKUP($AW1188,'Item Master Data'!$A:$F,3,FALSE)</f>
        <v>Q.PEAK DUO BLK ML G10+</v>
      </c>
      <c r="AY1188" s="402">
        <f>VLOOKUP($AW1188,'Item Master Data'!$A:$F,6,FALSE)</f>
        <v>400</v>
      </c>
      <c r="AZ1188" s="402">
        <f t="shared" si="268"/>
        <v>26</v>
      </c>
      <c r="BA1188" s="402">
        <f>VLOOKUP(AW1188,'Item Master Data'!$A:$G,7,FALSE)</f>
        <v>32</v>
      </c>
      <c r="BB1188" s="402"/>
      <c r="BC1188" s="402">
        <f t="shared" si="269"/>
        <v>80</v>
      </c>
    </row>
    <row r="1189" spans="1:55">
      <c r="A1189" s="403" t="s">
        <v>4585</v>
      </c>
      <c r="B1189" s="445"/>
      <c r="C1189" s="445"/>
      <c r="D1189" s="416" t="s">
        <v>1914</v>
      </c>
      <c r="E1189" s="405" t="s">
        <v>4923</v>
      </c>
      <c r="F1189" s="405" t="s">
        <v>1139</v>
      </c>
      <c r="G1189" s="405">
        <v>2022</v>
      </c>
      <c r="H1189" s="405">
        <v>5</v>
      </c>
      <c r="I1189" s="416"/>
      <c r="J1189" s="406"/>
      <c r="K1189" s="414" t="s">
        <v>2040</v>
      </c>
      <c r="L1189" s="405" t="s">
        <v>1514</v>
      </c>
      <c r="M1189" s="418">
        <v>44504</v>
      </c>
      <c r="N1189" s="418">
        <v>44655</v>
      </c>
      <c r="O1189" s="418"/>
      <c r="P1189" s="406" t="s">
        <v>1368</v>
      </c>
      <c r="Q1189" s="406"/>
      <c r="R1189" s="406"/>
      <c r="S1189" s="405" t="s">
        <v>1923</v>
      </c>
      <c r="T1189" s="405">
        <v>60</v>
      </c>
      <c r="U1189" s="405" t="s">
        <v>1237</v>
      </c>
      <c r="V1189" s="405" t="s">
        <v>973</v>
      </c>
      <c r="W1189" s="405">
        <v>400</v>
      </c>
      <c r="X1189" s="407">
        <v>768</v>
      </c>
      <c r="Y1189" s="408">
        <f t="shared" si="264"/>
        <v>307200</v>
      </c>
      <c r="Z1189" s="409">
        <f>220/400</f>
        <v>0.55000000000000004</v>
      </c>
      <c r="AA1189" s="410">
        <f t="shared" si="265"/>
        <v>168960</v>
      </c>
      <c r="AB1189" s="411"/>
      <c r="AC1189" s="412">
        <v>0</v>
      </c>
      <c r="AD1189" s="421"/>
      <c r="AE1189" s="413"/>
      <c r="AF1189" s="424">
        <f t="shared" si="266"/>
        <v>168960</v>
      </c>
      <c r="AG1189" s="405" t="s">
        <v>1069</v>
      </c>
      <c r="AH1189" s="405">
        <v>0</v>
      </c>
      <c r="AI1189" s="414">
        <v>60</v>
      </c>
      <c r="AJ1189" s="405" t="s">
        <v>1515</v>
      </c>
      <c r="AK1189" s="425" t="s">
        <v>50</v>
      </c>
      <c r="AL1189" s="405" t="s">
        <v>1529</v>
      </c>
      <c r="AM1189" s="405" t="s">
        <v>52</v>
      </c>
      <c r="AN1189" s="405" t="s">
        <v>50</v>
      </c>
      <c r="AO1189" s="405"/>
      <c r="AP1189" s="417"/>
      <c r="AQ1189" s="417"/>
      <c r="AR1189" s="417" t="s">
        <v>1925</v>
      </c>
      <c r="AS1189" s="426"/>
      <c r="AT1189" s="426"/>
      <c r="AU1189" s="409">
        <v>0.48</v>
      </c>
      <c r="AV1189" s="402" t="str">
        <f t="shared" si="267"/>
        <v>30390456H</v>
      </c>
      <c r="AW1189" s="402" cm="1">
        <f t="array" ref="AW1189">SUM(MID(0&amp;AV1189,LARGE(INDEX(ISNUMBER(--MID(AV1189,ROW($1:$8),1))*ROW($1:$8),),ROW($1:$8))+1,1)*10^ROW($1:$8)/10)</f>
        <v>30390456</v>
      </c>
      <c r="AX1189" s="402" t="str">
        <f>VLOOKUP($AW1189,'Item Master Data'!$A:$F,3,FALSE)</f>
        <v>Q.PEAK DUO BLK ML G10+</v>
      </c>
      <c r="AY1189" s="402">
        <f>VLOOKUP($AW1189,'Item Master Data'!$A:$F,6,FALSE)</f>
        <v>400</v>
      </c>
      <c r="AZ1189" s="402">
        <f t="shared" si="268"/>
        <v>24</v>
      </c>
      <c r="BA1189" s="402">
        <f>VLOOKUP(AW1189,'Item Master Data'!$A:$G,7,FALSE)</f>
        <v>32</v>
      </c>
      <c r="BB1189" s="402"/>
      <c r="BC1189" s="402">
        <f t="shared" si="269"/>
        <v>0</v>
      </c>
    </row>
    <row r="1190" spans="1:55">
      <c r="A1190" s="403" t="s">
        <v>4585</v>
      </c>
      <c r="B1190" s="445">
        <v>44547</v>
      </c>
      <c r="C1190" s="445">
        <v>44593</v>
      </c>
      <c r="D1190" s="416" t="s">
        <v>1914</v>
      </c>
      <c r="E1190" s="405" t="s">
        <v>4923</v>
      </c>
      <c r="F1190" s="405"/>
      <c r="G1190" s="405">
        <v>2022</v>
      </c>
      <c r="H1190" s="405">
        <v>5</v>
      </c>
      <c r="I1190" s="416"/>
      <c r="J1190" s="406"/>
      <c r="K1190" s="414" t="s">
        <v>2036</v>
      </c>
      <c r="L1190" s="405" t="s">
        <v>1514</v>
      </c>
      <c r="M1190" s="418">
        <v>44504</v>
      </c>
      <c r="N1190" s="418">
        <v>44613</v>
      </c>
      <c r="O1190" s="418"/>
      <c r="P1190" s="406">
        <v>44697</v>
      </c>
      <c r="Q1190" s="406"/>
      <c r="R1190" s="406"/>
      <c r="S1190" s="405" t="s">
        <v>1923</v>
      </c>
      <c r="T1190" s="405">
        <v>60</v>
      </c>
      <c r="U1190" s="405" t="s">
        <v>1237</v>
      </c>
      <c r="V1190" s="405" t="s">
        <v>973</v>
      </c>
      <c r="W1190" s="405">
        <v>400</v>
      </c>
      <c r="X1190" s="407">
        <v>768</v>
      </c>
      <c r="Y1190" s="408">
        <f t="shared" si="264"/>
        <v>307200</v>
      </c>
      <c r="Z1190" s="409">
        <f>220/400</f>
        <v>0.55000000000000004</v>
      </c>
      <c r="AA1190" s="410">
        <f t="shared" si="265"/>
        <v>168960</v>
      </c>
      <c r="AB1190" s="411"/>
      <c r="AC1190" s="412">
        <f>AB1190*Y1190</f>
        <v>0</v>
      </c>
      <c r="AD1190" s="421"/>
      <c r="AE1190" s="413"/>
      <c r="AF1190" s="424">
        <f t="shared" si="266"/>
        <v>168960</v>
      </c>
      <c r="AG1190" s="405" t="s">
        <v>1069</v>
      </c>
      <c r="AH1190" s="405">
        <v>0</v>
      </c>
      <c r="AI1190" s="414">
        <v>60</v>
      </c>
      <c r="AJ1190" s="405" t="s">
        <v>1515</v>
      </c>
      <c r="AK1190" s="425" t="s">
        <v>50</v>
      </c>
      <c r="AL1190" s="405" t="s">
        <v>1529</v>
      </c>
      <c r="AM1190" s="405" t="s">
        <v>52</v>
      </c>
      <c r="AN1190" s="405" t="s">
        <v>50</v>
      </c>
      <c r="AO1190" s="405"/>
      <c r="AP1190" s="417"/>
      <c r="AQ1190" s="417"/>
      <c r="AR1190" s="417" t="s">
        <v>1925</v>
      </c>
      <c r="AS1190" s="426"/>
      <c r="AT1190" s="426"/>
      <c r="AU1190" s="409">
        <v>0.48</v>
      </c>
      <c r="AV1190" s="402" t="str">
        <f t="shared" si="267"/>
        <v>30390456H</v>
      </c>
      <c r="AW1190" s="402" cm="1">
        <f t="array" ref="AW1190">SUM(MID(0&amp;AV1190,LARGE(INDEX(ISNUMBER(--MID(AV1190,ROW($1:$8),1))*ROW($1:$8),),ROW($1:$8))+1,1)*10^ROW($1:$8)/10)</f>
        <v>30390456</v>
      </c>
      <c r="AX1190" s="402" t="str">
        <f>VLOOKUP($AW1190,'Item Master Data'!$A:$F,3,FALSE)</f>
        <v>Q.PEAK DUO BLK ML G10+</v>
      </c>
      <c r="AY1190" s="402">
        <f>VLOOKUP($AW1190,'Item Master Data'!$A:$F,6,FALSE)</f>
        <v>400</v>
      </c>
      <c r="AZ1190" s="402">
        <f t="shared" si="268"/>
        <v>24</v>
      </c>
      <c r="BA1190" s="402">
        <f>VLOOKUP(AW1190,'Item Master Data'!$A:$G,7,FALSE)</f>
        <v>32</v>
      </c>
      <c r="BB1190" s="402"/>
      <c r="BC1190" s="402">
        <f t="shared" si="269"/>
        <v>0</v>
      </c>
    </row>
    <row r="1191" spans="1:55">
      <c r="A1191" s="403" t="s">
        <v>4585</v>
      </c>
      <c r="B1191" s="445">
        <v>44508</v>
      </c>
      <c r="C1191" s="445">
        <v>44593</v>
      </c>
      <c r="D1191" s="416" t="s">
        <v>1914</v>
      </c>
      <c r="E1191" s="405"/>
      <c r="F1191" s="405"/>
      <c r="G1191" s="405">
        <v>2022</v>
      </c>
      <c r="H1191" s="405">
        <v>6</v>
      </c>
      <c r="I1191" s="416"/>
      <c r="J1191" s="406"/>
      <c r="K1191" s="414" t="s">
        <v>2038</v>
      </c>
      <c r="L1191" s="405" t="s">
        <v>1928</v>
      </c>
      <c r="M1191" s="418">
        <v>44505</v>
      </c>
      <c r="N1191" s="418">
        <v>44621</v>
      </c>
      <c r="O1191" s="418"/>
      <c r="P1191" s="406"/>
      <c r="Q1191" s="406"/>
      <c r="R1191" s="406"/>
      <c r="S1191" s="405" t="s">
        <v>1923</v>
      </c>
      <c r="T1191" s="405">
        <v>60</v>
      </c>
      <c r="U1191" s="405" t="s">
        <v>1237</v>
      </c>
      <c r="V1191" s="405" t="s">
        <v>985</v>
      </c>
      <c r="W1191" s="405">
        <v>400</v>
      </c>
      <c r="X1191" s="407">
        <v>1344</v>
      </c>
      <c r="Y1191" s="408">
        <v>537600</v>
      </c>
      <c r="Z1191" s="409">
        <f>220/400</f>
        <v>0.55000000000000004</v>
      </c>
      <c r="AA1191" s="410">
        <f t="shared" si="265"/>
        <v>295680</v>
      </c>
      <c r="AB1191" s="411"/>
      <c r="AC1191" s="412">
        <v>0</v>
      </c>
      <c r="AD1191" s="421"/>
      <c r="AE1191" s="413"/>
      <c r="AF1191" s="424">
        <f t="shared" si="266"/>
        <v>295680</v>
      </c>
      <c r="AG1191" s="405" t="s">
        <v>1069</v>
      </c>
      <c r="AH1191" s="405"/>
      <c r="AI1191" s="414">
        <v>60</v>
      </c>
      <c r="AJ1191" s="405" t="s">
        <v>1929</v>
      </c>
      <c r="AK1191" s="425" t="s">
        <v>1930</v>
      </c>
      <c r="AL1191" s="405">
        <v>80223</v>
      </c>
      <c r="AM1191" s="405" t="s">
        <v>52</v>
      </c>
      <c r="AN1191" s="405" t="s">
        <v>1071</v>
      </c>
      <c r="AO1191" s="405"/>
      <c r="AP1191" s="417"/>
      <c r="AQ1191" s="417"/>
      <c r="AR1191" s="417" t="s">
        <v>1925</v>
      </c>
      <c r="AS1191" s="426"/>
      <c r="AT1191" s="426"/>
      <c r="AU1191" s="409">
        <v>0.48</v>
      </c>
      <c r="AV1191" s="402" t="str">
        <f t="shared" si="267"/>
        <v>30390456H</v>
      </c>
      <c r="AW1191" s="402" cm="1">
        <f t="array" ref="AW1191">SUM(MID(0&amp;AV1191,LARGE(INDEX(ISNUMBER(--MID(AV1191,ROW($1:$8),1))*ROW($1:$8),),ROW($1:$8))+1,1)*10^ROW($1:$8)/10)</f>
        <v>30390456</v>
      </c>
      <c r="AX1191" s="402" t="str">
        <f>VLOOKUP($AW1191,'Item Master Data'!$A:$F,3,FALSE)</f>
        <v>Q.PEAK DUO BLK ML G10+</v>
      </c>
      <c r="AY1191" s="402">
        <f>VLOOKUP($AW1191,'Item Master Data'!$A:$F,6,FALSE)</f>
        <v>400</v>
      </c>
      <c r="AZ1191" s="402">
        <f t="shared" si="268"/>
        <v>42</v>
      </c>
      <c r="BA1191" s="402">
        <f>VLOOKUP(AW1191,'Item Master Data'!$A:$G,7,FALSE)</f>
        <v>32</v>
      </c>
      <c r="BB1191" s="402"/>
      <c r="BC1191" s="402">
        <f t="shared" si="269"/>
        <v>0</v>
      </c>
    </row>
    <row r="1192" spans="1:55">
      <c r="A1192" s="403"/>
      <c r="B1192" s="445"/>
      <c r="C1192" s="445"/>
      <c r="D1192" s="416" t="s">
        <v>1914</v>
      </c>
      <c r="E1192" s="405"/>
      <c r="F1192" s="405"/>
      <c r="G1192" s="405">
        <v>2022</v>
      </c>
      <c r="H1192" s="405">
        <v>6</v>
      </c>
      <c r="I1192" s="416"/>
      <c r="J1192" s="406"/>
      <c r="K1192" s="414" t="s">
        <v>2068</v>
      </c>
      <c r="L1192" s="405" t="s">
        <v>1931</v>
      </c>
      <c r="M1192" s="418">
        <v>44504</v>
      </c>
      <c r="N1192" s="418">
        <v>44655</v>
      </c>
      <c r="O1192" s="418" t="s">
        <v>1932</v>
      </c>
      <c r="P1192" s="406" t="s">
        <v>4452</v>
      </c>
      <c r="Q1192" s="406"/>
      <c r="R1192" s="406"/>
      <c r="S1192" s="405" t="s">
        <v>1443</v>
      </c>
      <c r="T1192" s="405">
        <v>60</v>
      </c>
      <c r="U1192" s="405" t="s">
        <v>1237</v>
      </c>
      <c r="V1192" s="405" t="s">
        <v>973</v>
      </c>
      <c r="W1192" s="405">
        <v>400</v>
      </c>
      <c r="X1192" s="407">
        <v>1664</v>
      </c>
      <c r="Y1192" s="408">
        <f>X1192*W1192</f>
        <v>665600</v>
      </c>
      <c r="Z1192" s="409">
        <f>220/400</f>
        <v>0.55000000000000004</v>
      </c>
      <c r="AA1192" s="410">
        <f t="shared" si="265"/>
        <v>366080.00000000006</v>
      </c>
      <c r="AB1192" s="411"/>
      <c r="AC1192" s="412">
        <v>0</v>
      </c>
      <c r="AD1192" s="421"/>
      <c r="AE1192" s="413"/>
      <c r="AF1192" s="424">
        <f t="shared" si="266"/>
        <v>366080.00000000006</v>
      </c>
      <c r="AG1192" s="405" t="s">
        <v>1069</v>
      </c>
      <c r="AH1192" s="405"/>
      <c r="AI1192" s="414">
        <v>60</v>
      </c>
      <c r="AJ1192" s="405" t="s">
        <v>1933</v>
      </c>
      <c r="AK1192" s="425" t="s">
        <v>1328</v>
      </c>
      <c r="AL1192" s="405">
        <v>89118</v>
      </c>
      <c r="AM1192" s="405" t="s">
        <v>52</v>
      </c>
      <c r="AN1192" s="405" t="s">
        <v>50</v>
      </c>
      <c r="AO1192" s="405"/>
      <c r="AP1192" s="417" t="s">
        <v>38</v>
      </c>
      <c r="AQ1192" s="417" t="s">
        <v>37</v>
      </c>
      <c r="AR1192" s="417" t="s">
        <v>1934</v>
      </c>
      <c r="AS1192" s="426"/>
      <c r="AT1192" s="426"/>
      <c r="AU1192" s="409">
        <f>192/400</f>
        <v>0.48</v>
      </c>
      <c r="AV1192" s="402" t="str">
        <f t="shared" si="267"/>
        <v>30390456H</v>
      </c>
      <c r="AW1192" s="402" cm="1">
        <f t="array" ref="AW1192">SUM(MID(0&amp;AV1192,LARGE(INDEX(ISNUMBER(--MID(AV1192,ROW($1:$8),1))*ROW($1:$8),),ROW($1:$8))+1,1)*10^ROW($1:$8)/10)</f>
        <v>30390456</v>
      </c>
      <c r="AX1192" s="402" t="str">
        <f>VLOOKUP($AW1192,'Item Master Data'!$A:$F,3,FALSE)</f>
        <v>Q.PEAK DUO BLK ML G10+</v>
      </c>
      <c r="AY1192" s="402">
        <f>VLOOKUP($AW1192,'Item Master Data'!$A:$F,6,FALSE)</f>
        <v>400</v>
      </c>
      <c r="AZ1192" s="402">
        <f t="shared" si="268"/>
        <v>52</v>
      </c>
      <c r="BA1192" s="402">
        <f>VLOOKUP(AW1192,'Item Master Data'!$A:$G,7,FALSE)</f>
        <v>32</v>
      </c>
      <c r="BB1192" s="402"/>
      <c r="BC1192" s="402">
        <f t="shared" si="269"/>
        <v>0</v>
      </c>
    </row>
    <row r="1193" spans="1:55">
      <c r="A1193" s="403"/>
      <c r="B1193" s="445">
        <v>44566</v>
      </c>
      <c r="C1193" s="445">
        <v>44593</v>
      </c>
      <c r="D1193" s="416" t="s">
        <v>1914</v>
      </c>
      <c r="E1193" s="405" t="s">
        <v>2011</v>
      </c>
      <c r="F1193" s="405"/>
      <c r="G1193" s="405">
        <v>2022</v>
      </c>
      <c r="H1193" s="405">
        <v>6</v>
      </c>
      <c r="I1193" s="416"/>
      <c r="J1193" s="406"/>
      <c r="K1193" s="414" t="s">
        <v>2012</v>
      </c>
      <c r="L1193" s="405" t="s">
        <v>2013</v>
      </c>
      <c r="M1193" s="418">
        <v>44510</v>
      </c>
      <c r="N1193" s="418">
        <v>44593</v>
      </c>
      <c r="O1193" s="418"/>
      <c r="P1193" s="406"/>
      <c r="Q1193" s="406"/>
      <c r="R1193" s="406"/>
      <c r="S1193" s="405" t="s">
        <v>1923</v>
      </c>
      <c r="T1193" s="405">
        <v>60</v>
      </c>
      <c r="U1193" s="405" t="s">
        <v>1237</v>
      </c>
      <c r="V1193" s="405" t="s">
        <v>973</v>
      </c>
      <c r="W1193" s="405">
        <v>400</v>
      </c>
      <c r="X1193" s="407">
        <v>832</v>
      </c>
      <c r="Y1193" s="408">
        <v>332800</v>
      </c>
      <c r="Z1193" s="409">
        <v>0.49</v>
      </c>
      <c r="AA1193" s="410">
        <f t="shared" si="265"/>
        <v>163072</v>
      </c>
      <c r="AB1193" s="411"/>
      <c r="AC1193" s="412">
        <v>0</v>
      </c>
      <c r="AD1193" s="421"/>
      <c r="AE1193" s="413"/>
      <c r="AF1193" s="424">
        <f t="shared" si="266"/>
        <v>163072</v>
      </c>
      <c r="AG1193" s="405" t="s">
        <v>1069</v>
      </c>
      <c r="AH1193" s="405"/>
      <c r="AI1193" s="414">
        <v>60</v>
      </c>
      <c r="AJ1193" s="405" t="s">
        <v>2014</v>
      </c>
      <c r="AK1193" s="425" t="s">
        <v>1081</v>
      </c>
      <c r="AL1193" s="405" t="s">
        <v>2015</v>
      </c>
      <c r="AM1193" s="405" t="s">
        <v>52</v>
      </c>
      <c r="AN1193" s="405" t="s">
        <v>1071</v>
      </c>
      <c r="AO1193" s="405"/>
      <c r="AP1193" s="417"/>
      <c r="AQ1193" s="417" t="s">
        <v>37</v>
      </c>
      <c r="AR1193" s="417" t="s">
        <v>1925</v>
      </c>
      <c r="AS1193" s="426"/>
      <c r="AT1193" s="426"/>
      <c r="AU1193" s="409">
        <v>0.49</v>
      </c>
      <c r="AV1193" s="402" t="str">
        <f t="shared" si="267"/>
        <v>30390456H</v>
      </c>
      <c r="AW1193" s="402" cm="1">
        <f t="array" ref="AW1193">SUM(MID(0&amp;AV1193,LARGE(INDEX(ISNUMBER(--MID(AV1193,ROW($1:$8),1))*ROW($1:$8),),ROW($1:$8))+1,1)*10^ROW($1:$8)/10)</f>
        <v>30390456</v>
      </c>
      <c r="AX1193" s="402" t="str">
        <f>VLOOKUP($AW1193,'Item Master Data'!$A:$F,3,FALSE)</f>
        <v>Q.PEAK DUO BLK ML G10+</v>
      </c>
      <c r="AY1193" s="402">
        <f>VLOOKUP($AW1193,'Item Master Data'!$A:$F,6,FALSE)</f>
        <v>400</v>
      </c>
      <c r="AZ1193" s="402">
        <f t="shared" si="268"/>
        <v>26</v>
      </c>
      <c r="BA1193" s="402">
        <f>VLOOKUP(AW1193,'Item Master Data'!$A:$G,7,FALSE)</f>
        <v>32</v>
      </c>
      <c r="BB1193" s="402"/>
      <c r="BC1193" s="402">
        <f t="shared" si="269"/>
        <v>0</v>
      </c>
    </row>
    <row r="1194" spans="1:55">
      <c r="A1194" s="403"/>
      <c r="B1194" s="445">
        <v>44566</v>
      </c>
      <c r="C1194" s="445">
        <v>44593</v>
      </c>
      <c r="D1194" s="416" t="s">
        <v>1914</v>
      </c>
      <c r="E1194" s="405" t="s">
        <v>2011</v>
      </c>
      <c r="F1194" s="405"/>
      <c r="G1194" s="405">
        <v>2022</v>
      </c>
      <c r="H1194" s="405">
        <v>6</v>
      </c>
      <c r="I1194" s="416"/>
      <c r="J1194" s="406"/>
      <c r="K1194" s="414" t="s">
        <v>2039</v>
      </c>
      <c r="L1194" s="405" t="s">
        <v>2013</v>
      </c>
      <c r="M1194" s="418">
        <v>44510</v>
      </c>
      <c r="N1194" s="418">
        <v>44652</v>
      </c>
      <c r="O1194" s="418"/>
      <c r="P1194" s="406"/>
      <c r="Q1194" s="406"/>
      <c r="R1194" s="406"/>
      <c r="S1194" s="405" t="s">
        <v>1923</v>
      </c>
      <c r="T1194" s="405">
        <v>60</v>
      </c>
      <c r="U1194" s="405" t="s">
        <v>1237</v>
      </c>
      <c r="V1194" s="405" t="s">
        <v>973</v>
      </c>
      <c r="W1194" s="405">
        <v>400</v>
      </c>
      <c r="X1194" s="407">
        <v>832</v>
      </c>
      <c r="Y1194" s="408">
        <v>332800</v>
      </c>
      <c r="Z1194" s="409">
        <v>0.49</v>
      </c>
      <c r="AA1194" s="410">
        <f t="shared" si="265"/>
        <v>163072</v>
      </c>
      <c r="AB1194" s="411"/>
      <c r="AC1194" s="412">
        <v>0</v>
      </c>
      <c r="AD1194" s="421"/>
      <c r="AE1194" s="413"/>
      <c r="AF1194" s="424">
        <f t="shared" si="266"/>
        <v>163072</v>
      </c>
      <c r="AG1194" s="405" t="s">
        <v>1069</v>
      </c>
      <c r="AH1194" s="405"/>
      <c r="AI1194" s="414">
        <v>60</v>
      </c>
      <c r="AJ1194" s="405" t="s">
        <v>2014</v>
      </c>
      <c r="AK1194" s="425" t="s">
        <v>1081</v>
      </c>
      <c r="AL1194" s="405" t="s">
        <v>2015</v>
      </c>
      <c r="AM1194" s="405" t="s">
        <v>52</v>
      </c>
      <c r="AN1194" s="405" t="s">
        <v>1071</v>
      </c>
      <c r="AO1194" s="405"/>
      <c r="AP1194" s="417"/>
      <c r="AQ1194" s="417" t="s">
        <v>37</v>
      </c>
      <c r="AR1194" s="417" t="s">
        <v>1925</v>
      </c>
      <c r="AS1194" s="426"/>
      <c r="AT1194" s="426"/>
      <c r="AU1194" s="409">
        <v>0.49</v>
      </c>
      <c r="AV1194" s="402" t="str">
        <f t="shared" si="267"/>
        <v>30390456H</v>
      </c>
      <c r="AW1194" s="402" cm="1">
        <f t="array" ref="AW1194">SUM(MID(0&amp;AV1194,LARGE(INDEX(ISNUMBER(--MID(AV1194,ROW($1:$8),1))*ROW($1:$8),),ROW($1:$8))+1,1)*10^ROW($1:$8)/10)</f>
        <v>30390456</v>
      </c>
      <c r="AX1194" s="402" t="str">
        <f>VLOOKUP($AW1194,'Item Master Data'!$A:$F,3,FALSE)</f>
        <v>Q.PEAK DUO BLK ML G10+</v>
      </c>
      <c r="AY1194" s="402">
        <f>VLOOKUP($AW1194,'Item Master Data'!$A:$F,6,FALSE)</f>
        <v>400</v>
      </c>
      <c r="AZ1194" s="402">
        <f t="shared" si="268"/>
        <v>26</v>
      </c>
      <c r="BA1194" s="402">
        <f>VLOOKUP(AW1194,'Item Master Data'!$A:$G,7,FALSE)</f>
        <v>32</v>
      </c>
      <c r="BB1194" s="402"/>
      <c r="BC1194" s="402">
        <f t="shared" si="269"/>
        <v>0</v>
      </c>
    </row>
    <row r="1195" spans="1:55">
      <c r="A1195" s="403"/>
      <c r="B1195" s="445"/>
      <c r="C1195" s="445"/>
      <c r="D1195" s="416" t="s">
        <v>1914</v>
      </c>
      <c r="E1195" s="405" t="s">
        <v>2090</v>
      </c>
      <c r="F1195" s="405"/>
      <c r="G1195" s="405">
        <v>2022</v>
      </c>
      <c r="H1195" s="405">
        <v>6</v>
      </c>
      <c r="I1195" s="416"/>
      <c r="J1195" s="406"/>
      <c r="K1195" s="414" t="s">
        <v>2091</v>
      </c>
      <c r="L1195" s="405" t="s">
        <v>1935</v>
      </c>
      <c r="M1195" s="418">
        <v>44539</v>
      </c>
      <c r="N1195" s="418">
        <v>44652</v>
      </c>
      <c r="O1195" s="418"/>
      <c r="P1195" s="406"/>
      <c r="Q1195" s="406"/>
      <c r="R1195" s="406"/>
      <c r="S1195" s="405" t="s">
        <v>1443</v>
      </c>
      <c r="T1195" s="405">
        <v>60</v>
      </c>
      <c r="U1195" s="405" t="s">
        <v>1237</v>
      </c>
      <c r="V1195" s="405" t="s">
        <v>973</v>
      </c>
      <c r="W1195" s="405">
        <v>400</v>
      </c>
      <c r="X1195" s="407">
        <v>832</v>
      </c>
      <c r="Y1195" s="408">
        <f t="shared" ref="Y1195:Y1258" si="270">X1195*W1195</f>
        <v>332800</v>
      </c>
      <c r="Z1195" s="409">
        <f>216/400</f>
        <v>0.54</v>
      </c>
      <c r="AA1195" s="410">
        <f t="shared" si="265"/>
        <v>179712</v>
      </c>
      <c r="AB1195" s="411"/>
      <c r="AC1195" s="412">
        <v>0</v>
      </c>
      <c r="AD1195" s="421"/>
      <c r="AE1195" s="413"/>
      <c r="AF1195" s="424">
        <f t="shared" si="266"/>
        <v>179712</v>
      </c>
      <c r="AG1195" s="405" t="s">
        <v>1069</v>
      </c>
      <c r="AH1195" s="405"/>
      <c r="AI1195" s="414" t="s">
        <v>1937</v>
      </c>
      <c r="AJ1195" s="405" t="s">
        <v>1584</v>
      </c>
      <c r="AK1195" s="425" t="s">
        <v>50</v>
      </c>
      <c r="AL1195" s="405">
        <v>95838</v>
      </c>
      <c r="AM1195" s="405" t="s">
        <v>52</v>
      </c>
      <c r="AN1195" s="405" t="s">
        <v>1071</v>
      </c>
      <c r="AO1195" s="405"/>
      <c r="AP1195" s="417"/>
      <c r="AQ1195" s="417" t="s">
        <v>37</v>
      </c>
      <c r="AR1195" s="417"/>
      <c r="AS1195" s="426"/>
      <c r="AT1195" s="426"/>
      <c r="AU1195" s="409"/>
      <c r="AV1195" s="402" t="str">
        <f t="shared" si="267"/>
        <v>30390456H</v>
      </c>
      <c r="AW1195" s="402" cm="1">
        <f t="array" ref="AW1195">SUM(MID(0&amp;AV1195,LARGE(INDEX(ISNUMBER(--MID(AV1195,ROW($1:$8),1))*ROW($1:$8),),ROW($1:$8))+1,1)*10^ROW($1:$8)/10)</f>
        <v>30390456</v>
      </c>
      <c r="AX1195" s="402" t="str">
        <f>VLOOKUP($AW1195,'Item Master Data'!$A:$F,3,FALSE)</f>
        <v>Q.PEAK DUO BLK ML G10+</v>
      </c>
      <c r="AY1195" s="402">
        <f>VLOOKUP($AW1195,'Item Master Data'!$A:$F,6,FALSE)</f>
        <v>400</v>
      </c>
      <c r="AZ1195" s="402">
        <f t="shared" si="268"/>
        <v>26</v>
      </c>
      <c r="BA1195" s="402">
        <f>VLOOKUP(AW1195,'Item Master Data'!$A:$G,7,FALSE)</f>
        <v>32</v>
      </c>
      <c r="BB1195" s="402"/>
      <c r="BC1195" s="402">
        <f t="shared" si="269"/>
        <v>0</v>
      </c>
    </row>
    <row r="1196" spans="1:55">
      <c r="A1196" s="403"/>
      <c r="B1196" s="445"/>
      <c r="C1196" s="445"/>
      <c r="D1196" s="416" t="s">
        <v>1914</v>
      </c>
      <c r="E1196" s="405"/>
      <c r="F1196" s="405"/>
      <c r="G1196" s="405">
        <v>2022</v>
      </c>
      <c r="H1196" s="405">
        <v>6</v>
      </c>
      <c r="I1196" s="416"/>
      <c r="J1196" s="406"/>
      <c r="K1196" s="414" t="s">
        <v>2122</v>
      </c>
      <c r="L1196" s="405" t="s">
        <v>1936</v>
      </c>
      <c r="M1196" s="418">
        <v>44530</v>
      </c>
      <c r="N1196" s="418">
        <v>44653</v>
      </c>
      <c r="O1196" s="418"/>
      <c r="P1196" s="406"/>
      <c r="Q1196" s="406"/>
      <c r="R1196" s="406"/>
      <c r="S1196" s="405" t="s">
        <v>1443</v>
      </c>
      <c r="T1196" s="405">
        <v>60</v>
      </c>
      <c r="U1196" s="405" t="s">
        <v>1237</v>
      </c>
      <c r="V1196" s="405" t="s">
        <v>985</v>
      </c>
      <c r="W1196" s="405">
        <v>400</v>
      </c>
      <c r="X1196" s="407">
        <v>4160</v>
      </c>
      <c r="Y1196" s="408">
        <f t="shared" si="270"/>
        <v>1664000</v>
      </c>
      <c r="Z1196" s="409">
        <f>184/400</f>
        <v>0.46</v>
      </c>
      <c r="AA1196" s="410">
        <f t="shared" si="265"/>
        <v>765440</v>
      </c>
      <c r="AB1196" s="411"/>
      <c r="AC1196" s="412">
        <v>0</v>
      </c>
      <c r="AD1196" s="421"/>
      <c r="AE1196" s="413"/>
      <c r="AF1196" s="424">
        <f t="shared" si="266"/>
        <v>765440</v>
      </c>
      <c r="AG1196" s="405" t="s">
        <v>1069</v>
      </c>
      <c r="AH1196" s="405"/>
      <c r="AI1196" s="414">
        <v>60</v>
      </c>
      <c r="AJ1196" s="405" t="s">
        <v>1938</v>
      </c>
      <c r="AK1196" s="425" t="s">
        <v>50</v>
      </c>
      <c r="AL1196" s="405">
        <v>93065</v>
      </c>
      <c r="AM1196" s="405" t="s">
        <v>52</v>
      </c>
      <c r="AN1196" s="405"/>
      <c r="AO1196" s="405"/>
      <c r="AP1196" s="417"/>
      <c r="AQ1196" s="417" t="s">
        <v>37</v>
      </c>
      <c r="AR1196" s="417"/>
      <c r="AS1196" s="426"/>
      <c r="AT1196" s="426"/>
      <c r="AU1196" s="409"/>
      <c r="AV1196" s="402" t="str">
        <f t="shared" si="267"/>
        <v>30390456H</v>
      </c>
      <c r="AW1196" s="402" cm="1">
        <f t="array" ref="AW1196">SUM(MID(0&amp;AV1196,LARGE(INDEX(ISNUMBER(--MID(AV1196,ROW($1:$8),1))*ROW($1:$8),),ROW($1:$8))+1,1)*10^ROW($1:$8)/10)</f>
        <v>30390456</v>
      </c>
      <c r="AX1196" s="402" t="str">
        <f>VLOOKUP($AW1196,'Item Master Data'!$A:$F,3,FALSE)</f>
        <v>Q.PEAK DUO BLK ML G10+</v>
      </c>
      <c r="AY1196" s="402">
        <f>VLOOKUP($AW1196,'Item Master Data'!$A:$F,6,FALSE)</f>
        <v>400</v>
      </c>
      <c r="AZ1196" s="402">
        <f t="shared" si="268"/>
        <v>130</v>
      </c>
      <c r="BA1196" s="402">
        <f>VLOOKUP(AW1196,'Item Master Data'!$A:$G,7,FALSE)</f>
        <v>32</v>
      </c>
      <c r="BB1196" s="402"/>
      <c r="BC1196" s="402">
        <f t="shared" si="269"/>
        <v>0</v>
      </c>
    </row>
    <row r="1197" spans="1:55">
      <c r="A1197" s="403"/>
      <c r="B1197" s="445"/>
      <c r="C1197" s="445"/>
      <c r="D1197" s="416" t="s">
        <v>1914</v>
      </c>
      <c r="E1197" s="405" t="s">
        <v>1307</v>
      </c>
      <c r="F1197" s="405"/>
      <c r="G1197" s="405">
        <v>2022</v>
      </c>
      <c r="H1197" s="405">
        <v>6</v>
      </c>
      <c r="I1197" s="416"/>
      <c r="J1197" s="406"/>
      <c r="K1197" s="414" t="s">
        <v>4738</v>
      </c>
      <c r="L1197" s="405" t="s">
        <v>1985</v>
      </c>
      <c r="M1197" s="418">
        <v>44686</v>
      </c>
      <c r="N1197" s="418">
        <v>44694</v>
      </c>
      <c r="O1197" s="418"/>
      <c r="P1197" s="406"/>
      <c r="Q1197" s="406"/>
      <c r="R1197" s="406"/>
      <c r="S1197" s="405" t="s">
        <v>1443</v>
      </c>
      <c r="T1197" s="405">
        <v>72</v>
      </c>
      <c r="U1197" s="405"/>
      <c r="V1197" s="405" t="s">
        <v>1068</v>
      </c>
      <c r="W1197" s="405">
        <v>480</v>
      </c>
      <c r="X1197" s="407">
        <v>2581</v>
      </c>
      <c r="Y1197" s="408">
        <f t="shared" si="270"/>
        <v>1238880</v>
      </c>
      <c r="Z1197" s="409">
        <v>0.57999999999999996</v>
      </c>
      <c r="AA1197" s="410">
        <f t="shared" si="265"/>
        <v>718550.39999999991</v>
      </c>
      <c r="AB1197" s="411"/>
      <c r="AC1197" s="412">
        <v>0</v>
      </c>
      <c r="AD1197" s="421"/>
      <c r="AE1197" s="413"/>
      <c r="AF1197" s="424">
        <f t="shared" si="266"/>
        <v>718550.39999999991</v>
      </c>
      <c r="AG1197" s="405" t="s">
        <v>1069</v>
      </c>
      <c r="AH1197" s="405"/>
      <c r="AI1197" s="414" t="s">
        <v>1962</v>
      </c>
      <c r="AJ1197" s="405" t="s">
        <v>4739</v>
      </c>
      <c r="AK1197" s="425" t="s">
        <v>1183</v>
      </c>
      <c r="AL1197" s="405">
        <v>52761</v>
      </c>
      <c r="AM1197" s="405" t="s">
        <v>52</v>
      </c>
      <c r="AN1197" s="405" t="s">
        <v>1071</v>
      </c>
      <c r="AO1197" s="405"/>
      <c r="AP1197" s="417"/>
      <c r="AQ1197" s="417" t="s">
        <v>37</v>
      </c>
      <c r="AR1197" s="417"/>
      <c r="AS1197" s="426"/>
      <c r="AT1197" s="426"/>
      <c r="AU1197" s="409"/>
      <c r="AV1197" s="402">
        <f t="shared" si="267"/>
        <v>0</v>
      </c>
      <c r="AW1197" s="402" cm="1">
        <f t="array" ref="AW1197">SUM(MID(0&amp;AV1197,LARGE(INDEX(ISNUMBER(--MID(AV1197,ROW($1:$8),1))*ROW($1:$8),),ROW($1:$8))+1,1)*10^ROW($1:$8)/10)</f>
        <v>0</v>
      </c>
      <c r="AX1197" s="402" t="e">
        <f>VLOOKUP($AW1197,'Item Master Data'!$A:$F,3,FALSE)</f>
        <v>#N/A</v>
      </c>
      <c r="AY1197" s="402" t="e">
        <f>VLOOKUP($AW1197,'Item Master Data'!$A:$F,6,FALSE)</f>
        <v>#N/A</v>
      </c>
      <c r="AZ1197" s="402" t="e">
        <f t="shared" si="268"/>
        <v>#N/A</v>
      </c>
      <c r="BA1197" s="402" t="e">
        <f>VLOOKUP(AW1197,'Item Master Data'!$A:$G,7,FALSE)</f>
        <v>#N/A</v>
      </c>
      <c r="BB1197" s="402"/>
      <c r="BC1197" s="402" t="e">
        <f t="shared" si="269"/>
        <v>#N/A</v>
      </c>
    </row>
    <row r="1198" spans="1:55">
      <c r="A1198" s="403"/>
      <c r="B1198" s="445"/>
      <c r="C1198" s="445"/>
      <c r="D1198" s="416" t="s">
        <v>1914</v>
      </c>
      <c r="E1198" s="405" t="s">
        <v>1307</v>
      </c>
      <c r="F1198" s="405"/>
      <c r="G1198" s="405">
        <v>2022</v>
      </c>
      <c r="H1198" s="405">
        <v>6</v>
      </c>
      <c r="I1198" s="416"/>
      <c r="J1198" s="406"/>
      <c r="K1198" s="414" t="s">
        <v>4924</v>
      </c>
      <c r="L1198" s="405" t="s">
        <v>1985</v>
      </c>
      <c r="M1198" s="418">
        <v>44693</v>
      </c>
      <c r="N1198" s="418">
        <v>44736</v>
      </c>
      <c r="O1198" s="418"/>
      <c r="P1198" s="406"/>
      <c r="Q1198" s="406"/>
      <c r="R1198" s="406"/>
      <c r="S1198" s="405" t="s">
        <v>1443</v>
      </c>
      <c r="T1198" s="405">
        <v>72</v>
      </c>
      <c r="U1198" s="405"/>
      <c r="V1198" s="405" t="s">
        <v>1068</v>
      </c>
      <c r="W1198" s="405">
        <v>480</v>
      </c>
      <c r="X1198" s="407">
        <v>319</v>
      </c>
      <c r="Y1198" s="408">
        <f t="shared" si="270"/>
        <v>153120</v>
      </c>
      <c r="Z1198" s="409">
        <v>0.57999999999999996</v>
      </c>
      <c r="AA1198" s="410">
        <f t="shared" si="265"/>
        <v>88809.599999999991</v>
      </c>
      <c r="AB1198" s="411"/>
      <c r="AC1198" s="412">
        <v>0</v>
      </c>
      <c r="AD1198" s="421"/>
      <c r="AE1198" s="413"/>
      <c r="AF1198" s="424">
        <f t="shared" si="266"/>
        <v>88809.599999999991</v>
      </c>
      <c r="AG1198" s="405" t="s">
        <v>1069</v>
      </c>
      <c r="AH1198" s="405"/>
      <c r="AI1198" s="414" t="s">
        <v>1962</v>
      </c>
      <c r="AJ1198" s="405" t="s">
        <v>1113</v>
      </c>
      <c r="AK1198" s="425" t="s">
        <v>1110</v>
      </c>
      <c r="AL1198" s="405">
        <v>60431</v>
      </c>
      <c r="AM1198" s="405" t="s">
        <v>52</v>
      </c>
      <c r="AN1198" s="405" t="s">
        <v>1071</v>
      </c>
      <c r="AO1198" s="405"/>
      <c r="AP1198" s="417"/>
      <c r="AQ1198" s="417" t="s">
        <v>37</v>
      </c>
      <c r="AR1198" s="417"/>
      <c r="AS1198" s="426"/>
      <c r="AT1198" s="426"/>
      <c r="AU1198" s="409"/>
      <c r="AV1198" s="402"/>
      <c r="AW1198" s="402"/>
      <c r="AX1198" s="402"/>
      <c r="AY1198" s="402"/>
      <c r="AZ1198" s="402"/>
      <c r="BA1198" s="402"/>
      <c r="BB1198" s="402"/>
      <c r="BC1198" s="402"/>
    </row>
    <row r="1199" spans="1:55">
      <c r="A1199" s="403"/>
      <c r="B1199" s="445"/>
      <c r="C1199" s="445"/>
      <c r="D1199" s="416" t="s">
        <v>1914</v>
      </c>
      <c r="E1199" s="405"/>
      <c r="F1199" s="405"/>
      <c r="G1199" s="405">
        <v>2022</v>
      </c>
      <c r="H1199" s="405">
        <v>6</v>
      </c>
      <c r="I1199" s="416"/>
      <c r="J1199" s="406"/>
      <c r="K1199" s="414" t="s">
        <v>1986</v>
      </c>
      <c r="L1199" s="405" t="s">
        <v>1960</v>
      </c>
      <c r="M1199" s="418">
        <v>44463</v>
      </c>
      <c r="N1199" s="418">
        <v>44568</v>
      </c>
      <c r="O1199" s="418"/>
      <c r="P1199" s="406" t="s">
        <v>4740</v>
      </c>
      <c r="Q1199" s="406"/>
      <c r="R1199" s="406"/>
      <c r="S1199" s="405" t="s">
        <v>1443</v>
      </c>
      <c r="T1199" s="405">
        <v>60</v>
      </c>
      <c r="U1199" s="405" t="s">
        <v>1527</v>
      </c>
      <c r="V1199" s="405" t="s">
        <v>973</v>
      </c>
      <c r="W1199" s="405">
        <v>395</v>
      </c>
      <c r="X1199" s="407">
        <v>832</v>
      </c>
      <c r="Y1199" s="408">
        <f t="shared" si="270"/>
        <v>328640</v>
      </c>
      <c r="Z1199" s="409">
        <f t="shared" ref="Z1199:Z1206" si="271">221.2/395</f>
        <v>0.55999999999999994</v>
      </c>
      <c r="AA1199" s="410">
        <f t="shared" si="265"/>
        <v>184038.39999999999</v>
      </c>
      <c r="AB1199" s="411"/>
      <c r="AC1199" s="412">
        <v>0</v>
      </c>
      <c r="AD1199" s="421"/>
      <c r="AE1199" s="413"/>
      <c r="AF1199" s="424">
        <f t="shared" si="266"/>
        <v>184038.39999999999</v>
      </c>
      <c r="AG1199" s="405" t="s">
        <v>1069</v>
      </c>
      <c r="AH1199" s="405" t="s">
        <v>1963</v>
      </c>
      <c r="AI1199" s="414" t="s">
        <v>1961</v>
      </c>
      <c r="AJ1199" s="405" t="s">
        <v>1080</v>
      </c>
      <c r="AK1199" s="425" t="s">
        <v>1081</v>
      </c>
      <c r="AL1199" s="405">
        <v>32256</v>
      </c>
      <c r="AM1199" s="405" t="s">
        <v>52</v>
      </c>
      <c r="AN1199" s="405" t="s">
        <v>50</v>
      </c>
      <c r="AO1199" s="405"/>
      <c r="AP1199" s="417"/>
      <c r="AQ1199" s="417" t="s">
        <v>37</v>
      </c>
      <c r="AR1199" s="417"/>
      <c r="AS1199" s="426"/>
      <c r="AT1199" s="426"/>
      <c r="AU1199" s="409"/>
      <c r="AV1199" s="402"/>
      <c r="AW1199" s="402"/>
      <c r="AX1199" s="402"/>
      <c r="AY1199" s="402"/>
      <c r="AZ1199" s="402"/>
      <c r="BA1199" s="402"/>
      <c r="BB1199" s="402"/>
      <c r="BC1199" s="402"/>
    </row>
    <row r="1200" spans="1:55">
      <c r="A1200" s="403"/>
      <c r="B1200" s="445"/>
      <c r="C1200" s="445"/>
      <c r="D1200" s="416" t="s">
        <v>1914</v>
      </c>
      <c r="E1200" s="405"/>
      <c r="F1200" s="405"/>
      <c r="G1200" s="405">
        <v>2022</v>
      </c>
      <c r="H1200" s="405">
        <v>6</v>
      </c>
      <c r="I1200" s="416"/>
      <c r="J1200" s="406"/>
      <c r="K1200" s="414" t="s">
        <v>1988</v>
      </c>
      <c r="L1200" s="405" t="s">
        <v>1960</v>
      </c>
      <c r="M1200" s="418">
        <v>44463</v>
      </c>
      <c r="N1200" s="418">
        <v>44659</v>
      </c>
      <c r="O1200" s="418"/>
      <c r="P1200" s="406"/>
      <c r="Q1200" s="406"/>
      <c r="R1200" s="406"/>
      <c r="S1200" s="405" t="s">
        <v>1443</v>
      </c>
      <c r="T1200" s="405">
        <v>60</v>
      </c>
      <c r="U1200" s="405" t="s">
        <v>1943</v>
      </c>
      <c r="V1200" s="405" t="s">
        <v>973</v>
      </c>
      <c r="W1200" s="405">
        <v>395</v>
      </c>
      <c r="X1200" s="407">
        <v>832</v>
      </c>
      <c r="Y1200" s="408">
        <f t="shared" si="270"/>
        <v>328640</v>
      </c>
      <c r="Z1200" s="409">
        <f t="shared" si="271"/>
        <v>0.55999999999999994</v>
      </c>
      <c r="AA1200" s="410">
        <f t="shared" si="265"/>
        <v>184038.39999999999</v>
      </c>
      <c r="AB1200" s="411"/>
      <c r="AC1200" s="412">
        <v>0</v>
      </c>
      <c r="AD1200" s="421"/>
      <c r="AE1200" s="413"/>
      <c r="AF1200" s="424">
        <f t="shared" si="266"/>
        <v>184038.39999999999</v>
      </c>
      <c r="AG1200" s="405" t="s">
        <v>47</v>
      </c>
      <c r="AH1200" s="405" t="s">
        <v>1963</v>
      </c>
      <c r="AI1200" s="414">
        <v>60</v>
      </c>
      <c r="AJ1200" s="405" t="s">
        <v>1500</v>
      </c>
      <c r="AK1200" s="425" t="s">
        <v>1082</v>
      </c>
      <c r="AL1200" s="405" t="s">
        <v>1989</v>
      </c>
      <c r="AM1200" s="405" t="s">
        <v>52</v>
      </c>
      <c r="AN1200" s="405" t="s">
        <v>50</v>
      </c>
      <c r="AO1200" s="405"/>
      <c r="AP1200" s="417" t="s">
        <v>92</v>
      </c>
      <c r="AQ1200" s="417" t="s">
        <v>37</v>
      </c>
      <c r="AR1200" s="417"/>
      <c r="AS1200" s="426"/>
      <c r="AT1200" s="426"/>
      <c r="AU1200" s="409"/>
      <c r="AV1200" s="402" t="str">
        <f>U1200</f>
        <v>30390455H</v>
      </c>
      <c r="AW1200" s="402" cm="1">
        <f t="array" ref="AW1200">SUM(MID(0&amp;AV1200,LARGE(INDEX(ISNUMBER(--MID(AV1200,ROW($1:$8),1))*ROW($1:$8),),ROW($1:$8))+1,1)*10^ROW($1:$8)/10)</f>
        <v>30390455</v>
      </c>
      <c r="AX1200" s="402" t="str">
        <f>VLOOKUP($AW1200,'Item Master Data'!$A:$F,3,FALSE)</f>
        <v>Q.PEAK DUO BLK ML G10+</v>
      </c>
      <c r="AY1200" s="402">
        <f>VLOOKUP($AW1200,'Item Master Data'!$A:$F,6,FALSE)</f>
        <v>395</v>
      </c>
      <c r="AZ1200" s="402">
        <f>X1200/BA1200</f>
        <v>26</v>
      </c>
      <c r="BA1200" s="402">
        <f>VLOOKUP(AW1200,'Item Master Data'!$A:$G,7,FALSE)</f>
        <v>32</v>
      </c>
      <c r="BB1200" s="402"/>
      <c r="BC1200" s="402">
        <f>W1200-AY1200</f>
        <v>0</v>
      </c>
    </row>
    <row r="1201" spans="1:55">
      <c r="A1201" s="403"/>
      <c r="B1201" s="445"/>
      <c r="C1201" s="445"/>
      <c r="D1201" s="416" t="s">
        <v>1914</v>
      </c>
      <c r="E1201" s="405"/>
      <c r="F1201" s="405"/>
      <c r="G1201" s="405">
        <v>2022</v>
      </c>
      <c r="H1201" s="405">
        <v>6</v>
      </c>
      <c r="I1201" s="416"/>
      <c r="J1201" s="406"/>
      <c r="K1201" s="414" t="s">
        <v>1990</v>
      </c>
      <c r="L1201" s="405" t="s">
        <v>1960</v>
      </c>
      <c r="M1201" s="418">
        <v>44463</v>
      </c>
      <c r="N1201" s="418">
        <v>44669</v>
      </c>
      <c r="O1201" s="418"/>
      <c r="P1201" s="406"/>
      <c r="Q1201" s="406"/>
      <c r="R1201" s="406"/>
      <c r="S1201" s="405" t="s">
        <v>1443</v>
      </c>
      <c r="T1201" s="405">
        <v>60</v>
      </c>
      <c r="U1201" s="405" t="s">
        <v>1943</v>
      </c>
      <c r="V1201" s="405" t="s">
        <v>973</v>
      </c>
      <c r="W1201" s="405">
        <v>395</v>
      </c>
      <c r="X1201" s="407">
        <v>832</v>
      </c>
      <c r="Y1201" s="408">
        <f t="shared" si="270"/>
        <v>328640</v>
      </c>
      <c r="Z1201" s="409">
        <f t="shared" si="271"/>
        <v>0.55999999999999994</v>
      </c>
      <c r="AA1201" s="410">
        <f t="shared" si="265"/>
        <v>184038.39999999999</v>
      </c>
      <c r="AB1201" s="411"/>
      <c r="AC1201" s="412">
        <v>0</v>
      </c>
      <c r="AD1201" s="421"/>
      <c r="AE1201" s="413"/>
      <c r="AF1201" s="424">
        <f t="shared" si="266"/>
        <v>184038.39999999999</v>
      </c>
      <c r="AG1201" s="405" t="s">
        <v>47</v>
      </c>
      <c r="AH1201" s="405" t="s">
        <v>1963</v>
      </c>
      <c r="AI1201" s="414">
        <v>60</v>
      </c>
      <c r="AJ1201" s="405" t="s">
        <v>1500</v>
      </c>
      <c r="AK1201" s="425" t="s">
        <v>1082</v>
      </c>
      <c r="AL1201" s="405" t="s">
        <v>1989</v>
      </c>
      <c r="AM1201" s="405" t="s">
        <v>52</v>
      </c>
      <c r="AN1201" s="405" t="s">
        <v>50</v>
      </c>
      <c r="AO1201" s="405"/>
      <c r="AP1201" s="417" t="s">
        <v>92</v>
      </c>
      <c r="AQ1201" s="417" t="s">
        <v>37</v>
      </c>
      <c r="AR1201" s="417"/>
      <c r="AS1201" s="426"/>
      <c r="AT1201" s="426"/>
      <c r="AU1201" s="409"/>
      <c r="AV1201" s="402"/>
      <c r="AW1201" s="402"/>
      <c r="AX1201" s="402"/>
      <c r="AY1201" s="402"/>
      <c r="AZ1201" s="402"/>
      <c r="BA1201" s="402"/>
      <c r="BB1201" s="402"/>
      <c r="BC1201" s="402"/>
    </row>
    <row r="1202" spans="1:55">
      <c r="A1202" s="403"/>
      <c r="B1202" s="445" t="s">
        <v>1186</v>
      </c>
      <c r="C1202" s="445" t="s">
        <v>1186</v>
      </c>
      <c r="D1202" s="416" t="s">
        <v>1914</v>
      </c>
      <c r="E1202" s="405"/>
      <c r="F1202" s="405"/>
      <c r="G1202" s="405">
        <v>2022</v>
      </c>
      <c r="H1202" s="405">
        <v>6</v>
      </c>
      <c r="I1202" s="416"/>
      <c r="J1202" s="406"/>
      <c r="K1202" s="414" t="s">
        <v>2042</v>
      </c>
      <c r="L1202" s="405" t="s">
        <v>1960</v>
      </c>
      <c r="M1202" s="418">
        <v>44463</v>
      </c>
      <c r="N1202" s="418">
        <v>44694</v>
      </c>
      <c r="O1202" s="418"/>
      <c r="P1202" s="406" t="s">
        <v>4453</v>
      </c>
      <c r="Q1202" s="406"/>
      <c r="R1202" s="406"/>
      <c r="S1202" s="405" t="s">
        <v>1443</v>
      </c>
      <c r="T1202" s="405">
        <v>60</v>
      </c>
      <c r="U1202" s="405" t="s">
        <v>1943</v>
      </c>
      <c r="V1202" s="405" t="s">
        <v>973</v>
      </c>
      <c r="W1202" s="405">
        <v>395</v>
      </c>
      <c r="X1202" s="407">
        <v>832</v>
      </c>
      <c r="Y1202" s="408">
        <f t="shared" si="270"/>
        <v>328640</v>
      </c>
      <c r="Z1202" s="409">
        <f t="shared" si="271"/>
        <v>0.55999999999999994</v>
      </c>
      <c r="AA1202" s="410">
        <f t="shared" si="265"/>
        <v>184038.39999999999</v>
      </c>
      <c r="AB1202" s="411"/>
      <c r="AC1202" s="412">
        <v>0</v>
      </c>
      <c r="AD1202" s="421"/>
      <c r="AE1202" s="413"/>
      <c r="AF1202" s="424">
        <f t="shared" si="266"/>
        <v>184038.39999999999</v>
      </c>
      <c r="AG1202" s="405" t="s">
        <v>47</v>
      </c>
      <c r="AH1202" s="405" t="s">
        <v>1963</v>
      </c>
      <c r="AI1202" s="414">
        <v>60</v>
      </c>
      <c r="AJ1202" s="405" t="s">
        <v>1584</v>
      </c>
      <c r="AK1202" s="425" t="s">
        <v>50</v>
      </c>
      <c r="AL1202" s="405" t="s">
        <v>1966</v>
      </c>
      <c r="AM1202" s="405" t="s">
        <v>52</v>
      </c>
      <c r="AN1202" s="405" t="s">
        <v>50</v>
      </c>
      <c r="AO1202" s="405"/>
      <c r="AP1202" s="417" t="s">
        <v>92</v>
      </c>
      <c r="AQ1202" s="417"/>
      <c r="AR1202" s="417"/>
      <c r="AS1202" s="426"/>
      <c r="AT1202" s="426"/>
      <c r="AU1202" s="409"/>
      <c r="AV1202" s="402"/>
      <c r="AW1202" s="402"/>
      <c r="AX1202" s="402"/>
      <c r="AY1202" s="402"/>
      <c r="AZ1202" s="402"/>
      <c r="BA1202" s="402"/>
      <c r="BB1202" s="402"/>
      <c r="BC1202" s="402"/>
    </row>
    <row r="1203" spans="1:55">
      <c r="A1203" s="403"/>
      <c r="B1203" s="445" t="s">
        <v>1186</v>
      </c>
      <c r="C1203" s="445" t="s">
        <v>1186</v>
      </c>
      <c r="D1203" s="416" t="s">
        <v>1914</v>
      </c>
      <c r="E1203" s="405"/>
      <c r="F1203" s="405"/>
      <c r="G1203" s="405">
        <v>2022</v>
      </c>
      <c r="H1203" s="405">
        <v>6</v>
      </c>
      <c r="I1203" s="416"/>
      <c r="J1203" s="406"/>
      <c r="K1203" s="414" t="s">
        <v>2043</v>
      </c>
      <c r="L1203" s="405" t="s">
        <v>1960</v>
      </c>
      <c r="M1203" s="418">
        <v>44463</v>
      </c>
      <c r="N1203" s="418">
        <v>44704</v>
      </c>
      <c r="O1203" s="418"/>
      <c r="P1203" s="406" t="s">
        <v>4453</v>
      </c>
      <c r="Q1203" s="406"/>
      <c r="R1203" s="406"/>
      <c r="S1203" s="405" t="s">
        <v>1443</v>
      </c>
      <c r="T1203" s="405">
        <v>60</v>
      </c>
      <c r="U1203" s="405" t="s">
        <v>1943</v>
      </c>
      <c r="V1203" s="405" t="s">
        <v>973</v>
      </c>
      <c r="W1203" s="405">
        <v>395</v>
      </c>
      <c r="X1203" s="407">
        <v>832</v>
      </c>
      <c r="Y1203" s="408">
        <f t="shared" si="270"/>
        <v>328640</v>
      </c>
      <c r="Z1203" s="409">
        <f t="shared" si="271"/>
        <v>0.55999999999999994</v>
      </c>
      <c r="AA1203" s="410">
        <f t="shared" si="265"/>
        <v>184038.39999999999</v>
      </c>
      <c r="AB1203" s="411"/>
      <c r="AC1203" s="412">
        <v>0</v>
      </c>
      <c r="AD1203" s="421"/>
      <c r="AE1203" s="413"/>
      <c r="AF1203" s="424">
        <f t="shared" si="266"/>
        <v>184038.39999999999</v>
      </c>
      <c r="AG1203" s="405" t="s">
        <v>47</v>
      </c>
      <c r="AH1203" s="405" t="s">
        <v>1963</v>
      </c>
      <c r="AI1203" s="414">
        <v>60</v>
      </c>
      <c r="AJ1203" s="405" t="s">
        <v>1584</v>
      </c>
      <c r="AK1203" s="425" t="s">
        <v>50</v>
      </c>
      <c r="AL1203" s="405" t="s">
        <v>1966</v>
      </c>
      <c r="AM1203" s="405" t="s">
        <v>52</v>
      </c>
      <c r="AN1203" s="405" t="s">
        <v>50</v>
      </c>
      <c r="AO1203" s="405"/>
      <c r="AP1203" s="417" t="s">
        <v>92</v>
      </c>
      <c r="AQ1203" s="417"/>
      <c r="AR1203" s="417"/>
      <c r="AS1203" s="426"/>
      <c r="AT1203" s="426"/>
      <c r="AU1203" s="409"/>
      <c r="AV1203" s="402"/>
      <c r="AW1203" s="402"/>
      <c r="AX1203" s="402"/>
      <c r="AY1203" s="402"/>
      <c r="AZ1203" s="402"/>
      <c r="BA1203" s="402"/>
      <c r="BB1203" s="402"/>
      <c r="BC1203" s="402"/>
    </row>
    <row r="1204" spans="1:55">
      <c r="A1204" s="403"/>
      <c r="B1204" s="445" t="s">
        <v>1186</v>
      </c>
      <c r="C1204" s="445" t="s">
        <v>1186</v>
      </c>
      <c r="D1204" s="416" t="s">
        <v>1914</v>
      </c>
      <c r="E1204" s="405"/>
      <c r="F1204" s="405"/>
      <c r="G1204" s="405">
        <v>2022</v>
      </c>
      <c r="H1204" s="405">
        <v>6</v>
      </c>
      <c r="I1204" s="416"/>
      <c r="J1204" s="406"/>
      <c r="K1204" s="414" t="s">
        <v>2046</v>
      </c>
      <c r="L1204" s="405" t="s">
        <v>1960</v>
      </c>
      <c r="M1204" s="418">
        <v>44463</v>
      </c>
      <c r="N1204" s="418">
        <v>44697</v>
      </c>
      <c r="O1204" s="418"/>
      <c r="P1204" s="406" t="s">
        <v>4453</v>
      </c>
      <c r="Q1204" s="406"/>
      <c r="R1204" s="406"/>
      <c r="S1204" s="405" t="s">
        <v>1443</v>
      </c>
      <c r="T1204" s="405">
        <v>60</v>
      </c>
      <c r="U1204" s="405" t="s">
        <v>1943</v>
      </c>
      <c r="V1204" s="405" t="s">
        <v>973</v>
      </c>
      <c r="W1204" s="405">
        <v>395</v>
      </c>
      <c r="X1204" s="407">
        <v>832</v>
      </c>
      <c r="Y1204" s="408">
        <f t="shared" si="270"/>
        <v>328640</v>
      </c>
      <c r="Z1204" s="409">
        <f t="shared" si="271"/>
        <v>0.55999999999999994</v>
      </c>
      <c r="AA1204" s="410">
        <f t="shared" si="265"/>
        <v>184038.39999999999</v>
      </c>
      <c r="AB1204" s="411"/>
      <c r="AC1204" s="412">
        <v>0</v>
      </c>
      <c r="AD1204" s="421"/>
      <c r="AE1204" s="413"/>
      <c r="AF1204" s="424">
        <f t="shared" si="266"/>
        <v>184038.39999999999</v>
      </c>
      <c r="AG1204" s="405" t="s">
        <v>47</v>
      </c>
      <c r="AH1204" s="405" t="s">
        <v>1963</v>
      </c>
      <c r="AI1204" s="414">
        <v>60</v>
      </c>
      <c r="AJ1204" s="405" t="s">
        <v>1958</v>
      </c>
      <c r="AK1204" s="425" t="s">
        <v>1136</v>
      </c>
      <c r="AL1204" s="405" t="s">
        <v>1999</v>
      </c>
      <c r="AM1204" s="405" t="s">
        <v>52</v>
      </c>
      <c r="AN1204" s="405" t="s">
        <v>50</v>
      </c>
      <c r="AO1204" s="405"/>
      <c r="AP1204" s="417" t="s">
        <v>92</v>
      </c>
      <c r="AQ1204" s="417"/>
      <c r="AR1204" s="417"/>
      <c r="AS1204" s="426"/>
      <c r="AT1204" s="426"/>
      <c r="AU1204" s="409"/>
      <c r="AV1204" s="402"/>
      <c r="AW1204" s="402"/>
      <c r="AX1204" s="402"/>
      <c r="AY1204" s="402"/>
      <c r="AZ1204" s="402"/>
      <c r="BA1204" s="402"/>
      <c r="BB1204" s="402"/>
      <c r="BC1204" s="402"/>
    </row>
    <row r="1205" spans="1:55">
      <c r="A1205" s="403"/>
      <c r="B1205" s="445" t="s">
        <v>1186</v>
      </c>
      <c r="C1205" s="445" t="s">
        <v>1186</v>
      </c>
      <c r="D1205" s="416" t="s">
        <v>1914</v>
      </c>
      <c r="E1205" s="405"/>
      <c r="F1205" s="405"/>
      <c r="G1205" s="405">
        <v>2022</v>
      </c>
      <c r="H1205" s="405">
        <v>6</v>
      </c>
      <c r="I1205" s="416"/>
      <c r="J1205" s="406"/>
      <c r="K1205" s="414" t="s">
        <v>2048</v>
      </c>
      <c r="L1205" s="405" t="s">
        <v>1960</v>
      </c>
      <c r="M1205" s="418">
        <v>44463</v>
      </c>
      <c r="N1205" s="418">
        <v>44704</v>
      </c>
      <c r="O1205" s="418"/>
      <c r="P1205" s="406" t="s">
        <v>4453</v>
      </c>
      <c r="Q1205" s="406"/>
      <c r="R1205" s="406"/>
      <c r="S1205" s="405" t="s">
        <v>1443</v>
      </c>
      <c r="T1205" s="405">
        <v>60</v>
      </c>
      <c r="U1205" s="405" t="s">
        <v>1943</v>
      </c>
      <c r="V1205" s="405" t="s">
        <v>973</v>
      </c>
      <c r="W1205" s="405">
        <v>395</v>
      </c>
      <c r="X1205" s="407">
        <v>832</v>
      </c>
      <c r="Y1205" s="408">
        <f t="shared" si="270"/>
        <v>328640</v>
      </c>
      <c r="Z1205" s="409">
        <f t="shared" si="271"/>
        <v>0.55999999999999994</v>
      </c>
      <c r="AA1205" s="410">
        <f t="shared" si="265"/>
        <v>184038.39999999999</v>
      </c>
      <c r="AB1205" s="411"/>
      <c r="AC1205" s="412">
        <v>0</v>
      </c>
      <c r="AD1205" s="421"/>
      <c r="AE1205" s="413"/>
      <c r="AF1205" s="424">
        <f t="shared" si="266"/>
        <v>184038.39999999999</v>
      </c>
      <c r="AG1205" s="405" t="s">
        <v>47</v>
      </c>
      <c r="AH1205" s="405" t="s">
        <v>1963</v>
      </c>
      <c r="AI1205" s="414">
        <v>60</v>
      </c>
      <c r="AJ1205" s="405" t="s">
        <v>1881</v>
      </c>
      <c r="AK1205" s="425" t="s">
        <v>1081</v>
      </c>
      <c r="AL1205" s="405" t="s">
        <v>1964</v>
      </c>
      <c r="AM1205" s="405" t="s">
        <v>52</v>
      </c>
      <c r="AN1205" s="405" t="s">
        <v>50</v>
      </c>
      <c r="AO1205" s="405"/>
      <c r="AP1205" s="417" t="s">
        <v>92</v>
      </c>
      <c r="AQ1205" s="417"/>
      <c r="AR1205" s="417"/>
      <c r="AS1205" s="426"/>
      <c r="AT1205" s="426"/>
      <c r="AU1205" s="409"/>
      <c r="AV1205" s="402" t="str">
        <f>U1205</f>
        <v>30390455H</v>
      </c>
      <c r="AW1205" s="402" cm="1">
        <f t="array" ref="AW1205">SUM(MID(0&amp;AV1205,LARGE(INDEX(ISNUMBER(--MID(AV1205,ROW($1:$8),1))*ROW($1:$8),),ROW($1:$8))+1,1)*10^ROW($1:$8)/10)</f>
        <v>30390455</v>
      </c>
      <c r="AX1205" s="402" t="str">
        <f>VLOOKUP($AW1205,'Item Master Data'!$A:$F,3,FALSE)</f>
        <v>Q.PEAK DUO BLK ML G10+</v>
      </c>
      <c r="AY1205" s="402">
        <f>VLOOKUP($AW1205,'Item Master Data'!$A:$F,6,FALSE)</f>
        <v>395</v>
      </c>
      <c r="AZ1205" s="402">
        <f>X1205/BA1205</f>
        <v>26</v>
      </c>
      <c r="BA1205" s="402">
        <f>VLOOKUP(AW1205,'Item Master Data'!$A:$G,7,FALSE)</f>
        <v>32</v>
      </c>
      <c r="BB1205" s="402"/>
      <c r="BC1205" s="402">
        <f>W1205-AY1205</f>
        <v>0</v>
      </c>
    </row>
    <row r="1206" spans="1:55">
      <c r="A1206" s="403"/>
      <c r="B1206" s="445" t="s">
        <v>1186</v>
      </c>
      <c r="C1206" s="445" t="s">
        <v>1186</v>
      </c>
      <c r="D1206" s="416" t="s">
        <v>1914</v>
      </c>
      <c r="E1206" s="405"/>
      <c r="F1206" s="405"/>
      <c r="G1206" s="405">
        <v>2022</v>
      </c>
      <c r="H1206" s="405">
        <v>6</v>
      </c>
      <c r="I1206" s="416"/>
      <c r="J1206" s="406"/>
      <c r="K1206" s="414" t="s">
        <v>2050</v>
      </c>
      <c r="L1206" s="405" t="s">
        <v>1960</v>
      </c>
      <c r="M1206" s="418">
        <v>44463</v>
      </c>
      <c r="N1206" s="418">
        <v>44704</v>
      </c>
      <c r="O1206" s="418"/>
      <c r="P1206" s="406" t="s">
        <v>4453</v>
      </c>
      <c r="Q1206" s="406"/>
      <c r="R1206" s="406"/>
      <c r="S1206" s="405" t="s">
        <v>1443</v>
      </c>
      <c r="T1206" s="405">
        <v>60</v>
      </c>
      <c r="U1206" s="405" t="s">
        <v>1943</v>
      </c>
      <c r="V1206" s="405" t="s">
        <v>973</v>
      </c>
      <c r="W1206" s="405">
        <v>395</v>
      </c>
      <c r="X1206" s="407">
        <v>832</v>
      </c>
      <c r="Y1206" s="408">
        <f t="shared" si="270"/>
        <v>328640</v>
      </c>
      <c r="Z1206" s="409">
        <f t="shared" si="271"/>
        <v>0.55999999999999994</v>
      </c>
      <c r="AA1206" s="410">
        <f t="shared" si="265"/>
        <v>184038.39999999999</v>
      </c>
      <c r="AB1206" s="411"/>
      <c r="AC1206" s="412">
        <v>0</v>
      </c>
      <c r="AD1206" s="421"/>
      <c r="AE1206" s="413"/>
      <c r="AF1206" s="424">
        <f t="shared" si="266"/>
        <v>184038.39999999999</v>
      </c>
      <c r="AG1206" s="405" t="s">
        <v>47</v>
      </c>
      <c r="AH1206" s="405" t="s">
        <v>1963</v>
      </c>
      <c r="AI1206" s="414">
        <v>60</v>
      </c>
      <c r="AJ1206" s="405" t="s">
        <v>1500</v>
      </c>
      <c r="AK1206" s="425" t="s">
        <v>1082</v>
      </c>
      <c r="AL1206" s="405" t="s">
        <v>1989</v>
      </c>
      <c r="AM1206" s="405" t="s">
        <v>52</v>
      </c>
      <c r="AN1206" s="405" t="s">
        <v>50</v>
      </c>
      <c r="AO1206" s="405"/>
      <c r="AP1206" s="417" t="s">
        <v>92</v>
      </c>
      <c r="AQ1206" s="417"/>
      <c r="AR1206" s="417"/>
      <c r="AS1206" s="426"/>
      <c r="AT1206" s="426"/>
      <c r="AU1206" s="409"/>
      <c r="AV1206" s="402"/>
      <c r="AW1206" s="402"/>
      <c r="AX1206" s="402"/>
      <c r="AY1206" s="402"/>
      <c r="AZ1206" s="402"/>
      <c r="BA1206" s="402"/>
      <c r="BB1206" s="402"/>
      <c r="BC1206" s="402"/>
    </row>
    <row r="1207" spans="1:55" s="402" customFormat="1">
      <c r="A1207" s="403"/>
      <c r="B1207" s="445"/>
      <c r="C1207" s="445"/>
      <c r="D1207" s="416" t="s">
        <v>1914</v>
      </c>
      <c r="E1207" s="405"/>
      <c r="F1207" s="405"/>
      <c r="G1207" s="405">
        <v>2022</v>
      </c>
      <c r="H1207" s="405">
        <v>6</v>
      </c>
      <c r="I1207" s="416"/>
      <c r="J1207" s="406"/>
      <c r="K1207" s="414" t="s">
        <v>1991</v>
      </c>
      <c r="L1207" s="405" t="s">
        <v>1960</v>
      </c>
      <c r="M1207" s="418">
        <v>44509</v>
      </c>
      <c r="N1207" s="418">
        <v>44536</v>
      </c>
      <c r="O1207" s="418"/>
      <c r="P1207" s="406" t="s">
        <v>1992</v>
      </c>
      <c r="Q1207" s="406"/>
      <c r="R1207" s="406"/>
      <c r="S1207" s="405" t="s">
        <v>1443</v>
      </c>
      <c r="T1207" s="405">
        <v>60</v>
      </c>
      <c r="U1207" s="405">
        <v>49204132</v>
      </c>
      <c r="V1207" s="405" t="s">
        <v>986</v>
      </c>
      <c r="W1207" s="405">
        <v>360</v>
      </c>
      <c r="X1207" s="407">
        <v>832</v>
      </c>
      <c r="Y1207" s="408">
        <f t="shared" si="270"/>
        <v>299520</v>
      </c>
      <c r="Z1207" s="409">
        <f>189.8/365</f>
        <v>0.52</v>
      </c>
      <c r="AA1207" s="410">
        <f t="shared" si="265"/>
        <v>155750.39999999999</v>
      </c>
      <c r="AB1207" s="411"/>
      <c r="AC1207" s="412">
        <v>0</v>
      </c>
      <c r="AD1207" s="421"/>
      <c r="AE1207" s="413"/>
      <c r="AF1207" s="424">
        <f t="shared" si="266"/>
        <v>155750.39999999999</v>
      </c>
      <c r="AG1207" s="405" t="s">
        <v>47</v>
      </c>
      <c r="AH1207" s="405"/>
      <c r="AI1207" s="414" t="s">
        <v>1962</v>
      </c>
      <c r="AJ1207" s="405" t="s">
        <v>1881</v>
      </c>
      <c r="AK1207" s="425" t="s">
        <v>1081</v>
      </c>
      <c r="AL1207" s="405">
        <v>32819</v>
      </c>
      <c r="AM1207" s="405" t="s">
        <v>52</v>
      </c>
      <c r="AN1207" s="405" t="s">
        <v>1071</v>
      </c>
      <c r="AO1207" s="405"/>
      <c r="AP1207" s="417"/>
      <c r="AQ1207" s="417" t="s">
        <v>37</v>
      </c>
      <c r="AR1207" s="417"/>
      <c r="AS1207" s="426"/>
      <c r="AT1207" s="426"/>
      <c r="AU1207" s="409"/>
    </row>
    <row r="1208" spans="1:55" s="402" customFormat="1">
      <c r="A1208" s="403"/>
      <c r="B1208" s="445"/>
      <c r="C1208" s="445"/>
      <c r="D1208" s="416" t="s">
        <v>1914</v>
      </c>
      <c r="E1208" s="405"/>
      <c r="F1208" s="405"/>
      <c r="G1208" s="405">
        <v>2022</v>
      </c>
      <c r="H1208" s="405">
        <v>6</v>
      </c>
      <c r="I1208" s="416"/>
      <c r="J1208" s="406"/>
      <c r="K1208" s="414" t="s">
        <v>1993</v>
      </c>
      <c r="L1208" s="405" t="s">
        <v>1960</v>
      </c>
      <c r="M1208" s="418">
        <v>44509</v>
      </c>
      <c r="N1208" s="418">
        <v>44533</v>
      </c>
      <c r="O1208" s="418"/>
      <c r="P1208" s="406" t="s">
        <v>1992</v>
      </c>
      <c r="Q1208" s="406"/>
      <c r="R1208" s="406"/>
      <c r="S1208" s="405" t="s">
        <v>1443</v>
      </c>
      <c r="T1208" s="405">
        <v>60</v>
      </c>
      <c r="U1208" s="405">
        <v>49204132</v>
      </c>
      <c r="V1208" s="405" t="s">
        <v>986</v>
      </c>
      <c r="W1208" s="405">
        <v>360</v>
      </c>
      <c r="X1208" s="407">
        <v>832</v>
      </c>
      <c r="Y1208" s="408">
        <f t="shared" si="270"/>
        <v>299520</v>
      </c>
      <c r="Z1208" s="409">
        <f>189.8/365</f>
        <v>0.52</v>
      </c>
      <c r="AA1208" s="410">
        <f t="shared" si="265"/>
        <v>155750.39999999999</v>
      </c>
      <c r="AB1208" s="411"/>
      <c r="AC1208" s="412">
        <v>0</v>
      </c>
      <c r="AD1208" s="421"/>
      <c r="AE1208" s="413"/>
      <c r="AF1208" s="424">
        <f t="shared" si="266"/>
        <v>155750.39999999999</v>
      </c>
      <c r="AG1208" s="405" t="s">
        <v>47</v>
      </c>
      <c r="AH1208" s="405"/>
      <c r="AI1208" s="414" t="s">
        <v>1962</v>
      </c>
      <c r="AJ1208" s="405" t="s">
        <v>1584</v>
      </c>
      <c r="AK1208" s="425" t="s">
        <v>50</v>
      </c>
      <c r="AL1208" s="405">
        <v>95838</v>
      </c>
      <c r="AM1208" s="405" t="s">
        <v>52</v>
      </c>
      <c r="AN1208" s="405" t="s">
        <v>1071</v>
      </c>
      <c r="AO1208" s="405"/>
      <c r="AP1208" s="417"/>
      <c r="AQ1208" s="417" t="s">
        <v>37</v>
      </c>
      <c r="AR1208" s="417"/>
      <c r="AS1208" s="426"/>
      <c r="AT1208" s="426"/>
      <c r="AU1208" s="409"/>
      <c r="AV1208" s="402">
        <f>U1208</f>
        <v>49204132</v>
      </c>
      <c r="AW1208" s="402" cm="1">
        <f t="array" ref="AW1208">SUM(MID(0&amp;AV1208,LARGE(INDEX(ISNUMBER(--MID(AV1208,ROW($1:$8),1))*ROW($1:$8),),ROW($1:$8))+1,1)*10^ROW($1:$8)/10)</f>
        <v>49204132</v>
      </c>
      <c r="AX1208" s="402" t="str">
        <f>VLOOKUP($AW1208,'Item Master Data'!$A:$F,3,FALSE)</f>
        <v>Q.PEAK DUO BLK G10+/AC</v>
      </c>
      <c r="AY1208" s="402">
        <f>VLOOKUP($AW1208,'Item Master Data'!$A:$F,6,FALSE)</f>
        <v>360</v>
      </c>
      <c r="AZ1208" s="402">
        <f>X1208/BA1208</f>
        <v>32</v>
      </c>
      <c r="BA1208" s="402">
        <f>VLOOKUP(AW1208,'Item Master Data'!$A:$G,7,FALSE)</f>
        <v>26</v>
      </c>
      <c r="BC1208" s="402">
        <f>W1208-AY1208</f>
        <v>0</v>
      </c>
    </row>
    <row r="1209" spans="1:55" s="402" customFormat="1">
      <c r="A1209" s="403"/>
      <c r="B1209" s="445"/>
      <c r="C1209" s="445"/>
      <c r="D1209" s="416" t="s">
        <v>1914</v>
      </c>
      <c r="E1209" s="405" t="s">
        <v>1239</v>
      </c>
      <c r="F1209" s="405"/>
      <c r="G1209" s="405">
        <v>2022</v>
      </c>
      <c r="H1209" s="405">
        <v>6</v>
      </c>
      <c r="I1209" s="416"/>
      <c r="J1209" s="406"/>
      <c r="K1209" s="414" t="s">
        <v>1994</v>
      </c>
      <c r="L1209" s="405" t="s">
        <v>1960</v>
      </c>
      <c r="M1209" s="418">
        <v>44509</v>
      </c>
      <c r="N1209" s="418">
        <v>44539</v>
      </c>
      <c r="O1209" s="418"/>
      <c r="P1209" s="406"/>
      <c r="Q1209" s="406"/>
      <c r="R1209" s="406"/>
      <c r="S1209" s="405" t="s">
        <v>1443</v>
      </c>
      <c r="T1209" s="405">
        <v>60</v>
      </c>
      <c r="U1209" s="405">
        <v>49201132</v>
      </c>
      <c r="V1209" s="405" t="s">
        <v>986</v>
      </c>
      <c r="W1209" s="405">
        <v>360</v>
      </c>
      <c r="X1209" s="407">
        <v>832</v>
      </c>
      <c r="Y1209" s="408">
        <f t="shared" si="270"/>
        <v>299520</v>
      </c>
      <c r="Z1209" s="409">
        <f>189.8/365</f>
        <v>0.52</v>
      </c>
      <c r="AA1209" s="410">
        <f t="shared" si="265"/>
        <v>155750.39999999999</v>
      </c>
      <c r="AB1209" s="411"/>
      <c r="AC1209" s="412">
        <v>0</v>
      </c>
      <c r="AD1209" s="421"/>
      <c r="AE1209" s="413"/>
      <c r="AF1209" s="424">
        <f t="shared" si="266"/>
        <v>155750.39999999999</v>
      </c>
      <c r="AG1209" s="405" t="s">
        <v>47</v>
      </c>
      <c r="AH1209" s="405"/>
      <c r="AI1209" s="414" t="s">
        <v>1962</v>
      </c>
      <c r="AJ1209" s="405" t="s">
        <v>1500</v>
      </c>
      <c r="AK1209" s="425" t="s">
        <v>1082</v>
      </c>
      <c r="AL1209" s="405" t="s">
        <v>1989</v>
      </c>
      <c r="AM1209" s="405" t="s">
        <v>52</v>
      </c>
      <c r="AN1209" s="405"/>
      <c r="AO1209" s="405"/>
      <c r="AP1209" s="417"/>
      <c r="AQ1209" s="417" t="s">
        <v>37</v>
      </c>
      <c r="AR1209" s="417"/>
      <c r="AS1209" s="426"/>
      <c r="AT1209" s="426"/>
      <c r="AU1209" s="409"/>
      <c r="AV1209" s="402">
        <f>U1209</f>
        <v>49201132</v>
      </c>
      <c r="AW1209" s="402" cm="1">
        <f t="array" ref="AW1209">SUM(MID(0&amp;AV1209,LARGE(INDEX(ISNUMBER(--MID(AV1209,ROW($1:$8),1))*ROW($1:$8),),ROW($1:$8))+1,1)*10^ROW($1:$8)/10)</f>
        <v>49201132</v>
      </c>
      <c r="AX1209" s="402" t="str">
        <f>VLOOKUP($AW1209,'Item Master Data'!$A:$F,3,FALSE)</f>
        <v>Q.PEAK DUO BLK G10+</v>
      </c>
      <c r="AY1209" s="402">
        <f>VLOOKUP($AW1209,'Item Master Data'!$A:$F,6,FALSE)</f>
        <v>360</v>
      </c>
      <c r="AZ1209" s="402">
        <f>X1209/BA1209</f>
        <v>26</v>
      </c>
      <c r="BA1209" s="402">
        <f>VLOOKUP(AW1209,'Item Master Data'!$A:$G,7,FALSE)</f>
        <v>32</v>
      </c>
      <c r="BC1209" s="402">
        <f>W1209-AY1209</f>
        <v>0</v>
      </c>
    </row>
    <row r="1210" spans="1:55" s="402" customFormat="1">
      <c r="A1210" s="403"/>
      <c r="B1210" s="445"/>
      <c r="C1210" s="445"/>
      <c r="D1210" s="416" t="s">
        <v>1914</v>
      </c>
      <c r="E1210" s="405" t="s">
        <v>1239</v>
      </c>
      <c r="F1210" s="405"/>
      <c r="G1210" s="405">
        <v>2022</v>
      </c>
      <c r="H1210" s="405">
        <v>6</v>
      </c>
      <c r="I1210" s="416"/>
      <c r="J1210" s="406"/>
      <c r="K1210" s="414" t="s">
        <v>1995</v>
      </c>
      <c r="L1210" s="405" t="s">
        <v>1960</v>
      </c>
      <c r="M1210" s="418">
        <v>44509</v>
      </c>
      <c r="N1210" s="418">
        <v>44543</v>
      </c>
      <c r="O1210" s="418"/>
      <c r="P1210" s="406"/>
      <c r="Q1210" s="406"/>
      <c r="R1210" s="406"/>
      <c r="S1210" s="405" t="s">
        <v>1443</v>
      </c>
      <c r="T1210" s="405">
        <v>60</v>
      </c>
      <c r="U1210" s="405">
        <v>49201132</v>
      </c>
      <c r="V1210" s="405" t="s">
        <v>986</v>
      </c>
      <c r="W1210" s="405">
        <v>360</v>
      </c>
      <c r="X1210" s="407">
        <v>832</v>
      </c>
      <c r="Y1210" s="408">
        <f t="shared" si="270"/>
        <v>299520</v>
      </c>
      <c r="Z1210" s="409">
        <f>189.8/365</f>
        <v>0.52</v>
      </c>
      <c r="AA1210" s="410">
        <f t="shared" si="265"/>
        <v>155750.39999999999</v>
      </c>
      <c r="AB1210" s="411"/>
      <c r="AC1210" s="412">
        <v>0</v>
      </c>
      <c r="AD1210" s="421"/>
      <c r="AE1210" s="413"/>
      <c r="AF1210" s="424">
        <f t="shared" si="266"/>
        <v>155750.39999999999</v>
      </c>
      <c r="AG1210" s="405" t="s">
        <v>47</v>
      </c>
      <c r="AH1210" s="405"/>
      <c r="AI1210" s="414" t="s">
        <v>1962</v>
      </c>
      <c r="AJ1210" s="405" t="s">
        <v>1965</v>
      </c>
      <c r="AK1210" s="425" t="s">
        <v>50</v>
      </c>
      <c r="AL1210" s="405">
        <v>92337</v>
      </c>
      <c r="AM1210" s="405" t="s">
        <v>52</v>
      </c>
      <c r="AN1210" s="405"/>
      <c r="AO1210" s="405"/>
      <c r="AP1210" s="417"/>
      <c r="AQ1210" s="417" t="s">
        <v>37</v>
      </c>
      <c r="AR1210" s="417"/>
      <c r="AS1210" s="426"/>
      <c r="AT1210" s="426"/>
      <c r="AU1210" s="409"/>
    </row>
    <row r="1211" spans="1:55" s="402" customFormat="1">
      <c r="A1211" s="403"/>
      <c r="B1211" s="445"/>
      <c r="C1211" s="445"/>
      <c r="D1211" s="416" t="s">
        <v>1914</v>
      </c>
      <c r="E1211" s="405" t="s">
        <v>1239</v>
      </c>
      <c r="F1211" s="405"/>
      <c r="G1211" s="405">
        <v>2022</v>
      </c>
      <c r="H1211" s="405">
        <v>6</v>
      </c>
      <c r="I1211" s="416"/>
      <c r="J1211" s="406"/>
      <c r="K1211" s="414" t="s">
        <v>1996</v>
      </c>
      <c r="L1211" s="405" t="s">
        <v>1960</v>
      </c>
      <c r="M1211" s="418">
        <v>44509</v>
      </c>
      <c r="N1211" s="418">
        <v>44545</v>
      </c>
      <c r="O1211" s="418"/>
      <c r="P1211" s="406"/>
      <c r="Q1211" s="406"/>
      <c r="R1211" s="406"/>
      <c r="S1211" s="405" t="s">
        <v>1443</v>
      </c>
      <c r="T1211" s="405">
        <v>60</v>
      </c>
      <c r="U1211" s="405">
        <v>49201132</v>
      </c>
      <c r="V1211" s="405" t="s">
        <v>986</v>
      </c>
      <c r="W1211" s="405">
        <v>360</v>
      </c>
      <c r="X1211" s="407">
        <v>832</v>
      </c>
      <c r="Y1211" s="408">
        <f t="shared" si="270"/>
        <v>299520</v>
      </c>
      <c r="Z1211" s="409">
        <f>189.8/365</f>
        <v>0.52</v>
      </c>
      <c r="AA1211" s="410">
        <f t="shared" si="265"/>
        <v>155750.39999999999</v>
      </c>
      <c r="AB1211" s="411"/>
      <c r="AC1211" s="412">
        <v>0</v>
      </c>
      <c r="AD1211" s="421"/>
      <c r="AE1211" s="413"/>
      <c r="AF1211" s="424">
        <f t="shared" si="266"/>
        <v>155750.39999999999</v>
      </c>
      <c r="AG1211" s="405" t="s">
        <v>47</v>
      </c>
      <c r="AH1211" s="405"/>
      <c r="AI1211" s="414" t="s">
        <v>1962</v>
      </c>
      <c r="AJ1211" s="405" t="s">
        <v>1958</v>
      </c>
      <c r="AK1211" s="425" t="s">
        <v>1136</v>
      </c>
      <c r="AL1211" s="405">
        <v>78218</v>
      </c>
      <c r="AM1211" s="405" t="s">
        <v>52</v>
      </c>
      <c r="AN1211" s="405"/>
      <c r="AO1211" s="405"/>
      <c r="AP1211" s="417"/>
      <c r="AQ1211" s="417" t="s">
        <v>37</v>
      </c>
      <c r="AR1211" s="417"/>
      <c r="AS1211" s="426"/>
      <c r="AT1211" s="426"/>
      <c r="AU1211" s="409"/>
      <c r="AV1211" s="402">
        <f t="shared" ref="AV1211:AV1216" si="272">U1211</f>
        <v>49201132</v>
      </c>
      <c r="AW1211" s="402" cm="1">
        <f t="array" ref="AW1211">SUM(MID(0&amp;AV1211,LARGE(INDEX(ISNUMBER(--MID(AV1211,ROW($1:$8),1))*ROW($1:$8),),ROW($1:$8))+1,1)*10^ROW($1:$8)/10)</f>
        <v>49201132</v>
      </c>
      <c r="AX1211" s="402" t="str">
        <f>VLOOKUP($AW1211,'Item Master Data'!$A:$F,3,FALSE)</f>
        <v>Q.PEAK DUO BLK G10+</v>
      </c>
      <c r="AY1211" s="402">
        <f>VLOOKUP($AW1211,'Item Master Data'!$A:$F,6,FALSE)</f>
        <v>360</v>
      </c>
      <c r="AZ1211" s="402">
        <f t="shared" ref="AZ1211:AZ1216" si="273">X1211/BA1211</f>
        <v>26</v>
      </c>
      <c r="BA1211" s="402">
        <f>VLOOKUP(AW1211,'Item Master Data'!$A:$G,7,FALSE)</f>
        <v>32</v>
      </c>
      <c r="BC1211" s="402">
        <f t="shared" ref="BC1211:BC1216" si="274">W1211-AY1211</f>
        <v>0</v>
      </c>
    </row>
    <row r="1212" spans="1:55" s="402" customFormat="1">
      <c r="A1212" s="403"/>
      <c r="B1212" s="445"/>
      <c r="C1212" s="445"/>
      <c r="D1212" s="416" t="s">
        <v>1914</v>
      </c>
      <c r="E1212" s="405"/>
      <c r="F1212" s="405"/>
      <c r="G1212" s="405">
        <v>2022</v>
      </c>
      <c r="H1212" s="405">
        <v>6</v>
      </c>
      <c r="I1212" s="416"/>
      <c r="J1212" s="406"/>
      <c r="K1212" s="414" t="s">
        <v>2092</v>
      </c>
      <c r="L1212" s="405" t="s">
        <v>1960</v>
      </c>
      <c r="M1212" s="418">
        <v>44463</v>
      </c>
      <c r="N1212" s="418">
        <v>44718</v>
      </c>
      <c r="O1212" s="418"/>
      <c r="P1212" s="406"/>
      <c r="Q1212" s="406"/>
      <c r="R1212" s="406"/>
      <c r="S1212" s="405" t="s">
        <v>1443</v>
      </c>
      <c r="T1212" s="405">
        <v>60</v>
      </c>
      <c r="U1212" s="405" t="s">
        <v>1237</v>
      </c>
      <c r="V1212" s="405" t="s">
        <v>973</v>
      </c>
      <c r="W1212" s="405">
        <v>395</v>
      </c>
      <c r="X1212" s="407">
        <v>832</v>
      </c>
      <c r="Y1212" s="408">
        <f t="shared" si="270"/>
        <v>328640</v>
      </c>
      <c r="Z1212" s="409">
        <f t="shared" ref="Z1212:Z1221" si="275">221.2/395</f>
        <v>0.55999999999999994</v>
      </c>
      <c r="AA1212" s="410">
        <f t="shared" si="265"/>
        <v>184038.39999999999</v>
      </c>
      <c r="AB1212" s="411"/>
      <c r="AC1212" s="412">
        <v>0</v>
      </c>
      <c r="AD1212" s="421"/>
      <c r="AE1212" s="413"/>
      <c r="AF1212" s="424">
        <f t="shared" si="266"/>
        <v>184038.39999999999</v>
      </c>
      <c r="AG1212" s="405" t="s">
        <v>47</v>
      </c>
      <c r="AH1212" s="405" t="s">
        <v>1963</v>
      </c>
      <c r="AI1212" s="414">
        <v>60</v>
      </c>
      <c r="AJ1212" s="405" t="s">
        <v>1584</v>
      </c>
      <c r="AK1212" s="425" t="s">
        <v>50</v>
      </c>
      <c r="AL1212" s="405" t="s">
        <v>1966</v>
      </c>
      <c r="AM1212" s="405" t="s">
        <v>52</v>
      </c>
      <c r="AN1212" s="405"/>
      <c r="AO1212" s="405"/>
      <c r="AP1212" s="417"/>
      <c r="AQ1212" s="417"/>
      <c r="AR1212" s="417"/>
      <c r="AS1212" s="426"/>
      <c r="AT1212" s="426"/>
      <c r="AU1212" s="409"/>
      <c r="AV1212" s="402" t="str">
        <f t="shared" si="272"/>
        <v>30390456H</v>
      </c>
      <c r="AW1212" s="402" cm="1">
        <f t="array" ref="AW1212">SUM(MID(0&amp;AV1212,LARGE(INDEX(ISNUMBER(--MID(AV1212,ROW($1:$8),1))*ROW($1:$8),),ROW($1:$8))+1,1)*10^ROW($1:$8)/10)</f>
        <v>30390456</v>
      </c>
      <c r="AX1212" s="402" t="str">
        <f>VLOOKUP($AW1212,'Item Master Data'!$A:$F,3,FALSE)</f>
        <v>Q.PEAK DUO BLK ML G10+</v>
      </c>
      <c r="AY1212" s="402">
        <f>VLOOKUP($AW1212,'Item Master Data'!$A:$F,6,FALSE)</f>
        <v>400</v>
      </c>
      <c r="AZ1212" s="402">
        <f t="shared" si="273"/>
        <v>26</v>
      </c>
      <c r="BA1212" s="402">
        <f>VLOOKUP(AW1212,'Item Master Data'!$A:$G,7,FALSE)</f>
        <v>32</v>
      </c>
      <c r="BC1212" s="402">
        <f t="shared" si="274"/>
        <v>-5</v>
      </c>
    </row>
    <row r="1213" spans="1:55" s="402" customFormat="1">
      <c r="A1213" s="403"/>
      <c r="B1213" s="445"/>
      <c r="C1213" s="445"/>
      <c r="D1213" s="416" t="s">
        <v>1914</v>
      </c>
      <c r="E1213" s="405"/>
      <c r="F1213" s="405"/>
      <c r="G1213" s="405">
        <v>2022</v>
      </c>
      <c r="H1213" s="405">
        <v>6</v>
      </c>
      <c r="I1213" s="416"/>
      <c r="J1213" s="406"/>
      <c r="K1213" s="414" t="s">
        <v>2093</v>
      </c>
      <c r="L1213" s="405" t="s">
        <v>1960</v>
      </c>
      <c r="M1213" s="418">
        <v>44463</v>
      </c>
      <c r="N1213" s="418">
        <v>44728</v>
      </c>
      <c r="O1213" s="418"/>
      <c r="P1213" s="406"/>
      <c r="Q1213" s="406"/>
      <c r="R1213" s="406"/>
      <c r="S1213" s="405" t="s">
        <v>1443</v>
      </c>
      <c r="T1213" s="405">
        <v>60</v>
      </c>
      <c r="U1213" s="405" t="s">
        <v>1237</v>
      </c>
      <c r="V1213" s="405" t="s">
        <v>973</v>
      </c>
      <c r="W1213" s="405">
        <v>395</v>
      </c>
      <c r="X1213" s="407">
        <v>832</v>
      </c>
      <c r="Y1213" s="408">
        <f t="shared" si="270"/>
        <v>328640</v>
      </c>
      <c r="Z1213" s="409">
        <f t="shared" si="275"/>
        <v>0.55999999999999994</v>
      </c>
      <c r="AA1213" s="410">
        <f t="shared" si="265"/>
        <v>184038.39999999999</v>
      </c>
      <c r="AB1213" s="411"/>
      <c r="AC1213" s="412">
        <v>0</v>
      </c>
      <c r="AD1213" s="421"/>
      <c r="AE1213" s="413"/>
      <c r="AF1213" s="424">
        <f t="shared" si="266"/>
        <v>184038.39999999999</v>
      </c>
      <c r="AG1213" s="405" t="s">
        <v>47</v>
      </c>
      <c r="AH1213" s="405" t="s">
        <v>1963</v>
      </c>
      <c r="AI1213" s="414">
        <v>60</v>
      </c>
      <c r="AJ1213" s="405" t="s">
        <v>1584</v>
      </c>
      <c r="AK1213" s="425" t="s">
        <v>50</v>
      </c>
      <c r="AL1213" s="405" t="s">
        <v>1966</v>
      </c>
      <c r="AM1213" s="405" t="s">
        <v>52</v>
      </c>
      <c r="AN1213" s="405"/>
      <c r="AO1213" s="405"/>
      <c r="AP1213" s="417"/>
      <c r="AQ1213" s="417"/>
      <c r="AR1213" s="417"/>
      <c r="AS1213" s="426"/>
      <c r="AT1213" s="426"/>
      <c r="AU1213" s="409"/>
      <c r="AV1213" s="402" t="str">
        <f t="shared" si="272"/>
        <v>30390456H</v>
      </c>
      <c r="AW1213" s="402" cm="1">
        <f t="array" ref="AW1213">SUM(MID(0&amp;AV1213,LARGE(INDEX(ISNUMBER(--MID(AV1213,ROW($1:$8),1))*ROW($1:$8),),ROW($1:$8))+1,1)*10^ROW($1:$8)/10)</f>
        <v>30390456</v>
      </c>
      <c r="AX1213" s="402" t="str">
        <f>VLOOKUP($AW1213,'Item Master Data'!$A:$F,3,FALSE)</f>
        <v>Q.PEAK DUO BLK ML G10+</v>
      </c>
      <c r="AY1213" s="402">
        <f>VLOOKUP($AW1213,'Item Master Data'!$A:$F,6,FALSE)</f>
        <v>400</v>
      </c>
      <c r="AZ1213" s="402">
        <f t="shared" si="273"/>
        <v>26</v>
      </c>
      <c r="BA1213" s="402">
        <f>VLOOKUP(AW1213,'Item Master Data'!$A:$G,7,FALSE)</f>
        <v>32</v>
      </c>
      <c r="BC1213" s="402">
        <f t="shared" si="274"/>
        <v>-5</v>
      </c>
    </row>
    <row r="1214" spans="1:55" s="402" customFormat="1">
      <c r="A1214" s="403"/>
      <c r="B1214" s="445"/>
      <c r="C1214" s="445"/>
      <c r="D1214" s="416" t="s">
        <v>1914</v>
      </c>
      <c r="E1214" s="405"/>
      <c r="F1214" s="405"/>
      <c r="G1214" s="405">
        <v>2022</v>
      </c>
      <c r="H1214" s="405">
        <v>6</v>
      </c>
      <c r="I1214" s="416"/>
      <c r="J1214" s="406"/>
      <c r="K1214" s="414" t="s">
        <v>2094</v>
      </c>
      <c r="L1214" s="405" t="s">
        <v>1960</v>
      </c>
      <c r="M1214" s="418">
        <v>44463</v>
      </c>
      <c r="N1214" s="418">
        <v>44735</v>
      </c>
      <c r="O1214" s="418"/>
      <c r="P1214" s="406"/>
      <c r="Q1214" s="406"/>
      <c r="R1214" s="406"/>
      <c r="S1214" s="405" t="s">
        <v>1443</v>
      </c>
      <c r="T1214" s="405">
        <v>60</v>
      </c>
      <c r="U1214" s="405" t="s">
        <v>1237</v>
      </c>
      <c r="V1214" s="405" t="s">
        <v>973</v>
      </c>
      <c r="W1214" s="405">
        <v>395</v>
      </c>
      <c r="X1214" s="407">
        <v>832</v>
      </c>
      <c r="Y1214" s="408">
        <f t="shared" si="270"/>
        <v>328640</v>
      </c>
      <c r="Z1214" s="409">
        <f t="shared" si="275"/>
        <v>0.55999999999999994</v>
      </c>
      <c r="AA1214" s="410">
        <f t="shared" si="265"/>
        <v>184038.39999999999</v>
      </c>
      <c r="AB1214" s="411"/>
      <c r="AC1214" s="412">
        <v>0</v>
      </c>
      <c r="AD1214" s="421"/>
      <c r="AE1214" s="413"/>
      <c r="AF1214" s="424">
        <f t="shared" si="266"/>
        <v>184038.39999999999</v>
      </c>
      <c r="AG1214" s="405" t="s">
        <v>47</v>
      </c>
      <c r="AH1214" s="405" t="s">
        <v>1963</v>
      </c>
      <c r="AI1214" s="414">
        <v>60</v>
      </c>
      <c r="AJ1214" s="405" t="s">
        <v>1584</v>
      </c>
      <c r="AK1214" s="425" t="s">
        <v>50</v>
      </c>
      <c r="AL1214" s="405" t="s">
        <v>1966</v>
      </c>
      <c r="AM1214" s="405" t="s">
        <v>52</v>
      </c>
      <c r="AN1214" s="405"/>
      <c r="AO1214" s="405"/>
      <c r="AP1214" s="417"/>
      <c r="AQ1214" s="417"/>
      <c r="AR1214" s="417"/>
      <c r="AS1214" s="426"/>
      <c r="AT1214" s="426"/>
      <c r="AU1214" s="409"/>
      <c r="AV1214" s="402" t="str">
        <f t="shared" si="272"/>
        <v>30390456H</v>
      </c>
      <c r="AW1214" s="402" cm="1">
        <f t="array" ref="AW1214">SUM(MID(0&amp;AV1214,LARGE(INDEX(ISNUMBER(--MID(AV1214,ROW($1:$8),1))*ROW($1:$8),),ROW($1:$8))+1,1)*10^ROW($1:$8)/10)</f>
        <v>30390456</v>
      </c>
      <c r="AX1214" s="402" t="str">
        <f>VLOOKUP($AW1214,'Item Master Data'!$A:$F,3,FALSE)</f>
        <v>Q.PEAK DUO BLK ML G10+</v>
      </c>
      <c r="AY1214" s="402">
        <f>VLOOKUP($AW1214,'Item Master Data'!$A:$F,6,FALSE)</f>
        <v>400</v>
      </c>
      <c r="AZ1214" s="402">
        <f t="shared" si="273"/>
        <v>26</v>
      </c>
      <c r="BA1214" s="402">
        <f>VLOOKUP(AW1214,'Item Master Data'!$A:$G,7,FALSE)</f>
        <v>32</v>
      </c>
      <c r="BC1214" s="402">
        <f t="shared" si="274"/>
        <v>-5</v>
      </c>
    </row>
    <row r="1215" spans="1:55" s="402" customFormat="1">
      <c r="A1215" s="403"/>
      <c r="B1215" s="445"/>
      <c r="C1215" s="445"/>
      <c r="D1215" s="416" t="s">
        <v>1914</v>
      </c>
      <c r="E1215" s="405"/>
      <c r="F1215" s="405"/>
      <c r="G1215" s="405">
        <v>2022</v>
      </c>
      <c r="H1215" s="405">
        <v>6</v>
      </c>
      <c r="I1215" s="416"/>
      <c r="J1215" s="406"/>
      <c r="K1215" s="414" t="s">
        <v>2095</v>
      </c>
      <c r="L1215" s="405" t="s">
        <v>1960</v>
      </c>
      <c r="M1215" s="418">
        <v>44463</v>
      </c>
      <c r="N1215" s="418">
        <v>44722</v>
      </c>
      <c r="O1215" s="418"/>
      <c r="P1215" s="406"/>
      <c r="Q1215" s="406"/>
      <c r="R1215" s="406"/>
      <c r="S1215" s="405" t="s">
        <v>1443</v>
      </c>
      <c r="T1215" s="405">
        <v>60</v>
      </c>
      <c r="U1215" s="405" t="s">
        <v>1237</v>
      </c>
      <c r="V1215" s="405" t="s">
        <v>973</v>
      </c>
      <c r="W1215" s="405">
        <v>395</v>
      </c>
      <c r="X1215" s="407">
        <v>832</v>
      </c>
      <c r="Y1215" s="408">
        <f t="shared" si="270"/>
        <v>328640</v>
      </c>
      <c r="Z1215" s="409">
        <f t="shared" si="275"/>
        <v>0.55999999999999994</v>
      </c>
      <c r="AA1215" s="410">
        <f t="shared" si="265"/>
        <v>184038.39999999999</v>
      </c>
      <c r="AB1215" s="411"/>
      <c r="AC1215" s="412">
        <v>0</v>
      </c>
      <c r="AD1215" s="421"/>
      <c r="AE1215" s="413"/>
      <c r="AF1215" s="424">
        <f t="shared" si="266"/>
        <v>184038.39999999999</v>
      </c>
      <c r="AG1215" s="405" t="s">
        <v>47</v>
      </c>
      <c r="AH1215" s="405" t="s">
        <v>1963</v>
      </c>
      <c r="AI1215" s="414">
        <v>60</v>
      </c>
      <c r="AJ1215" s="405" t="s">
        <v>1965</v>
      </c>
      <c r="AK1215" s="425" t="s">
        <v>50</v>
      </c>
      <c r="AL1215" s="405" t="s">
        <v>1997</v>
      </c>
      <c r="AM1215" s="405" t="s">
        <v>52</v>
      </c>
      <c r="AN1215" s="405"/>
      <c r="AO1215" s="405"/>
      <c r="AP1215" s="417"/>
      <c r="AQ1215" s="417"/>
      <c r="AR1215" s="417"/>
      <c r="AS1215" s="426"/>
      <c r="AT1215" s="426"/>
      <c r="AU1215" s="409"/>
      <c r="AV1215" s="402" t="str">
        <f t="shared" si="272"/>
        <v>30390456H</v>
      </c>
      <c r="AW1215" s="402" cm="1">
        <f t="array" ref="AW1215">SUM(MID(0&amp;AV1215,LARGE(INDEX(ISNUMBER(--MID(AV1215,ROW($1:$8),1))*ROW($1:$8),),ROW($1:$8))+1,1)*10^ROW($1:$8)/10)</f>
        <v>30390456</v>
      </c>
      <c r="AX1215" s="402" t="str">
        <f>VLOOKUP($AW1215,'Item Master Data'!$A:$F,3,FALSE)</f>
        <v>Q.PEAK DUO BLK ML G10+</v>
      </c>
      <c r="AY1215" s="402">
        <f>VLOOKUP($AW1215,'Item Master Data'!$A:$F,6,FALSE)</f>
        <v>400</v>
      </c>
      <c r="AZ1215" s="402">
        <f t="shared" si="273"/>
        <v>26</v>
      </c>
      <c r="BA1215" s="402">
        <f>VLOOKUP(AW1215,'Item Master Data'!$A:$G,7,FALSE)</f>
        <v>32</v>
      </c>
      <c r="BC1215" s="402">
        <f t="shared" si="274"/>
        <v>-5</v>
      </c>
    </row>
    <row r="1216" spans="1:55" s="402" customFormat="1">
      <c r="A1216" s="403"/>
      <c r="B1216" s="445"/>
      <c r="C1216" s="445"/>
      <c r="D1216" s="416" t="s">
        <v>1914</v>
      </c>
      <c r="E1216" s="405"/>
      <c r="F1216" s="405"/>
      <c r="G1216" s="405">
        <v>2022</v>
      </c>
      <c r="H1216" s="405">
        <v>6</v>
      </c>
      <c r="I1216" s="416"/>
      <c r="J1216" s="406"/>
      <c r="K1216" s="414" t="s">
        <v>2096</v>
      </c>
      <c r="L1216" s="405" t="s">
        <v>1960</v>
      </c>
      <c r="M1216" s="418">
        <v>44463</v>
      </c>
      <c r="N1216" s="418">
        <v>44732</v>
      </c>
      <c r="O1216" s="418"/>
      <c r="P1216" s="406"/>
      <c r="Q1216" s="406"/>
      <c r="R1216" s="406"/>
      <c r="S1216" s="405" t="s">
        <v>1443</v>
      </c>
      <c r="T1216" s="405">
        <v>60</v>
      </c>
      <c r="U1216" s="405" t="s">
        <v>1237</v>
      </c>
      <c r="V1216" s="405" t="s">
        <v>973</v>
      </c>
      <c r="W1216" s="405">
        <v>395</v>
      </c>
      <c r="X1216" s="407">
        <v>832</v>
      </c>
      <c r="Y1216" s="408">
        <f t="shared" si="270"/>
        <v>328640</v>
      </c>
      <c r="Z1216" s="409">
        <f t="shared" si="275"/>
        <v>0.55999999999999994</v>
      </c>
      <c r="AA1216" s="410">
        <f t="shared" si="265"/>
        <v>184038.39999999999</v>
      </c>
      <c r="AB1216" s="411"/>
      <c r="AC1216" s="412">
        <v>0</v>
      </c>
      <c r="AD1216" s="421"/>
      <c r="AE1216" s="413"/>
      <c r="AF1216" s="424">
        <f t="shared" si="266"/>
        <v>184038.39999999999</v>
      </c>
      <c r="AG1216" s="405" t="s">
        <v>47</v>
      </c>
      <c r="AH1216" s="405" t="s">
        <v>1963</v>
      </c>
      <c r="AI1216" s="414">
        <v>60</v>
      </c>
      <c r="AJ1216" s="405" t="s">
        <v>1965</v>
      </c>
      <c r="AK1216" s="425" t="s">
        <v>50</v>
      </c>
      <c r="AL1216" s="405" t="s">
        <v>1997</v>
      </c>
      <c r="AM1216" s="405" t="s">
        <v>52</v>
      </c>
      <c r="AN1216" s="405"/>
      <c r="AO1216" s="405"/>
      <c r="AP1216" s="417"/>
      <c r="AQ1216" s="417"/>
      <c r="AR1216" s="417"/>
      <c r="AS1216" s="426"/>
      <c r="AT1216" s="426"/>
      <c r="AU1216" s="409"/>
      <c r="AV1216" s="402" t="str">
        <f t="shared" si="272"/>
        <v>30390456H</v>
      </c>
      <c r="AW1216" s="402" cm="1">
        <f t="array" ref="AW1216">SUM(MID(0&amp;AV1216,LARGE(INDEX(ISNUMBER(--MID(AV1216,ROW($1:$8),1))*ROW($1:$8),),ROW($1:$8))+1,1)*10^ROW($1:$8)/10)</f>
        <v>30390456</v>
      </c>
      <c r="AX1216" s="402" t="str">
        <f>VLOOKUP($AW1216,'Item Master Data'!$A:$F,3,FALSE)</f>
        <v>Q.PEAK DUO BLK ML G10+</v>
      </c>
      <c r="AY1216" s="402">
        <f>VLOOKUP($AW1216,'Item Master Data'!$A:$F,6,FALSE)</f>
        <v>400</v>
      </c>
      <c r="AZ1216" s="402">
        <f t="shared" si="273"/>
        <v>26</v>
      </c>
      <c r="BA1216" s="402">
        <f>VLOOKUP(AW1216,'Item Master Data'!$A:$G,7,FALSE)</f>
        <v>32</v>
      </c>
      <c r="BC1216" s="402">
        <f t="shared" si="274"/>
        <v>-5</v>
      </c>
    </row>
    <row r="1217" spans="1:55" s="402" customFormat="1">
      <c r="A1217" s="403"/>
      <c r="B1217" s="445"/>
      <c r="C1217" s="445"/>
      <c r="D1217" s="416" t="s">
        <v>1914</v>
      </c>
      <c r="E1217" s="405"/>
      <c r="F1217" s="405"/>
      <c r="G1217" s="405">
        <v>2022</v>
      </c>
      <c r="H1217" s="405">
        <v>6</v>
      </c>
      <c r="I1217" s="416"/>
      <c r="J1217" s="406"/>
      <c r="K1217" s="414" t="s">
        <v>2097</v>
      </c>
      <c r="L1217" s="405" t="s">
        <v>1960</v>
      </c>
      <c r="M1217" s="418">
        <v>44463</v>
      </c>
      <c r="N1217" s="418">
        <v>44727</v>
      </c>
      <c r="O1217" s="418"/>
      <c r="P1217" s="406"/>
      <c r="Q1217" s="406"/>
      <c r="R1217" s="406"/>
      <c r="S1217" s="405" t="s">
        <v>1443</v>
      </c>
      <c r="T1217" s="405">
        <v>60</v>
      </c>
      <c r="U1217" s="405" t="s">
        <v>1237</v>
      </c>
      <c r="V1217" s="405" t="s">
        <v>973</v>
      </c>
      <c r="W1217" s="405">
        <v>395</v>
      </c>
      <c r="X1217" s="407">
        <v>832</v>
      </c>
      <c r="Y1217" s="408">
        <f t="shared" si="270"/>
        <v>328640</v>
      </c>
      <c r="Z1217" s="409">
        <f t="shared" si="275"/>
        <v>0.55999999999999994</v>
      </c>
      <c r="AA1217" s="410">
        <f t="shared" si="265"/>
        <v>184038.39999999999</v>
      </c>
      <c r="AB1217" s="411"/>
      <c r="AC1217" s="412">
        <v>0</v>
      </c>
      <c r="AD1217" s="421"/>
      <c r="AE1217" s="413"/>
      <c r="AF1217" s="424">
        <f t="shared" si="266"/>
        <v>184038.39999999999</v>
      </c>
      <c r="AG1217" s="405" t="s">
        <v>47</v>
      </c>
      <c r="AH1217" s="405" t="s">
        <v>1963</v>
      </c>
      <c r="AI1217" s="414">
        <v>60</v>
      </c>
      <c r="AJ1217" s="405" t="s">
        <v>1958</v>
      </c>
      <c r="AK1217" s="425" t="s">
        <v>1136</v>
      </c>
      <c r="AL1217" s="405" t="s">
        <v>1999</v>
      </c>
      <c r="AM1217" s="405" t="s">
        <v>52</v>
      </c>
      <c r="AN1217" s="405"/>
      <c r="AO1217" s="405"/>
      <c r="AP1217" s="417"/>
      <c r="AQ1217" s="417"/>
      <c r="AR1217" s="417"/>
      <c r="AS1217" s="426"/>
      <c r="AT1217" s="426"/>
      <c r="AU1217" s="409"/>
    </row>
    <row r="1218" spans="1:55" s="402" customFormat="1">
      <c r="A1218" s="403"/>
      <c r="B1218" s="445"/>
      <c r="C1218" s="445"/>
      <c r="D1218" s="416" t="s">
        <v>1914</v>
      </c>
      <c r="E1218" s="405"/>
      <c r="F1218" s="405"/>
      <c r="G1218" s="405">
        <v>2022</v>
      </c>
      <c r="H1218" s="405">
        <v>6</v>
      </c>
      <c r="I1218" s="416"/>
      <c r="J1218" s="406"/>
      <c r="K1218" s="414" t="s">
        <v>2098</v>
      </c>
      <c r="L1218" s="405" t="s">
        <v>1960</v>
      </c>
      <c r="M1218" s="418">
        <v>44463</v>
      </c>
      <c r="N1218" s="418">
        <v>44719</v>
      </c>
      <c r="O1218" s="418"/>
      <c r="P1218" s="406"/>
      <c r="Q1218" s="406"/>
      <c r="R1218" s="406"/>
      <c r="S1218" s="405" t="s">
        <v>1443</v>
      </c>
      <c r="T1218" s="405">
        <v>60</v>
      </c>
      <c r="U1218" s="405" t="s">
        <v>1237</v>
      </c>
      <c r="V1218" s="405" t="s">
        <v>973</v>
      </c>
      <c r="W1218" s="405">
        <v>395</v>
      </c>
      <c r="X1218" s="407">
        <v>832</v>
      </c>
      <c r="Y1218" s="408">
        <f t="shared" si="270"/>
        <v>328640</v>
      </c>
      <c r="Z1218" s="409">
        <f t="shared" si="275"/>
        <v>0.55999999999999994</v>
      </c>
      <c r="AA1218" s="410">
        <f t="shared" si="265"/>
        <v>184038.39999999999</v>
      </c>
      <c r="AB1218" s="411"/>
      <c r="AC1218" s="412">
        <v>0</v>
      </c>
      <c r="AD1218" s="421"/>
      <c r="AE1218" s="413"/>
      <c r="AF1218" s="424">
        <f t="shared" si="266"/>
        <v>184038.39999999999</v>
      </c>
      <c r="AG1218" s="405" t="s">
        <v>47</v>
      </c>
      <c r="AH1218" s="405" t="s">
        <v>1963</v>
      </c>
      <c r="AI1218" s="414">
        <v>60</v>
      </c>
      <c r="AJ1218" s="405" t="s">
        <v>1881</v>
      </c>
      <c r="AK1218" s="425" t="s">
        <v>1081</v>
      </c>
      <c r="AL1218" s="405" t="s">
        <v>1964</v>
      </c>
      <c r="AM1218" s="405" t="s">
        <v>52</v>
      </c>
      <c r="AN1218" s="405"/>
      <c r="AO1218" s="405"/>
      <c r="AP1218" s="417"/>
      <c r="AQ1218" s="417"/>
      <c r="AR1218" s="417"/>
      <c r="AS1218" s="426"/>
      <c r="AT1218" s="426"/>
      <c r="AU1218" s="409"/>
    </row>
    <row r="1219" spans="1:55" s="402" customFormat="1">
      <c r="A1219" s="403"/>
      <c r="B1219" s="445"/>
      <c r="C1219" s="445"/>
      <c r="D1219" s="416" t="s">
        <v>1914</v>
      </c>
      <c r="E1219" s="405"/>
      <c r="F1219" s="405"/>
      <c r="G1219" s="405">
        <v>2022</v>
      </c>
      <c r="H1219" s="405">
        <v>6</v>
      </c>
      <c r="I1219" s="416"/>
      <c r="J1219" s="406"/>
      <c r="K1219" s="414" t="s">
        <v>2099</v>
      </c>
      <c r="L1219" s="405" t="s">
        <v>1960</v>
      </c>
      <c r="M1219" s="418">
        <v>44463</v>
      </c>
      <c r="N1219" s="418">
        <v>44732</v>
      </c>
      <c r="O1219" s="418"/>
      <c r="P1219" s="406"/>
      <c r="Q1219" s="406"/>
      <c r="R1219" s="406"/>
      <c r="S1219" s="405" t="s">
        <v>1443</v>
      </c>
      <c r="T1219" s="405">
        <v>60</v>
      </c>
      <c r="U1219" s="405" t="s">
        <v>1237</v>
      </c>
      <c r="V1219" s="405" t="s">
        <v>973</v>
      </c>
      <c r="W1219" s="405">
        <v>395</v>
      </c>
      <c r="X1219" s="407">
        <v>832</v>
      </c>
      <c r="Y1219" s="408">
        <f t="shared" si="270"/>
        <v>328640</v>
      </c>
      <c r="Z1219" s="409">
        <f t="shared" si="275"/>
        <v>0.55999999999999994</v>
      </c>
      <c r="AA1219" s="410">
        <f t="shared" si="265"/>
        <v>184038.39999999999</v>
      </c>
      <c r="AB1219" s="411"/>
      <c r="AC1219" s="412">
        <v>0</v>
      </c>
      <c r="AD1219" s="421"/>
      <c r="AE1219" s="413"/>
      <c r="AF1219" s="424">
        <f t="shared" si="266"/>
        <v>184038.39999999999</v>
      </c>
      <c r="AG1219" s="405" t="s">
        <v>47</v>
      </c>
      <c r="AH1219" s="405" t="s">
        <v>1963</v>
      </c>
      <c r="AI1219" s="414">
        <v>60</v>
      </c>
      <c r="AJ1219" s="405" t="s">
        <v>1881</v>
      </c>
      <c r="AK1219" s="425" t="s">
        <v>1081</v>
      </c>
      <c r="AL1219" s="405" t="s">
        <v>1964</v>
      </c>
      <c r="AM1219" s="405" t="s">
        <v>52</v>
      </c>
      <c r="AN1219" s="405"/>
      <c r="AO1219" s="405"/>
      <c r="AP1219" s="417"/>
      <c r="AQ1219" s="417"/>
      <c r="AR1219" s="417"/>
      <c r="AS1219" s="426"/>
      <c r="AT1219" s="426"/>
      <c r="AU1219" s="409"/>
      <c r="AV1219" s="402" t="str">
        <f>U1219</f>
        <v>30390456H</v>
      </c>
      <c r="AW1219" s="402" cm="1">
        <f t="array" ref="AW1219">SUM(MID(0&amp;AV1219,LARGE(INDEX(ISNUMBER(--MID(AV1219,ROW($1:$8),1))*ROW($1:$8),),ROW($1:$8))+1,1)*10^ROW($1:$8)/10)</f>
        <v>30390456</v>
      </c>
      <c r="AX1219" s="402" t="str">
        <f>VLOOKUP($AW1219,'Item Master Data'!$A:$F,3,FALSE)</f>
        <v>Q.PEAK DUO BLK ML G10+</v>
      </c>
      <c r="AY1219" s="402">
        <f>VLOOKUP($AW1219,'Item Master Data'!$A:$F,6,FALSE)</f>
        <v>400</v>
      </c>
      <c r="AZ1219" s="402">
        <f>X1219/BA1219</f>
        <v>26</v>
      </c>
      <c r="BA1219" s="402">
        <f>VLOOKUP(AW1219,'Item Master Data'!$A:$G,7,FALSE)</f>
        <v>32</v>
      </c>
      <c r="BC1219" s="402">
        <f>W1219-AY1219</f>
        <v>-5</v>
      </c>
    </row>
    <row r="1220" spans="1:55" s="402" customFormat="1">
      <c r="A1220" s="403"/>
      <c r="B1220" s="445"/>
      <c r="C1220" s="445"/>
      <c r="D1220" s="416" t="s">
        <v>1914</v>
      </c>
      <c r="E1220" s="405"/>
      <c r="F1220" s="405"/>
      <c r="G1220" s="405">
        <v>2022</v>
      </c>
      <c r="H1220" s="405">
        <v>6</v>
      </c>
      <c r="I1220" s="416"/>
      <c r="J1220" s="406"/>
      <c r="K1220" s="414" t="s">
        <v>2100</v>
      </c>
      <c r="L1220" s="405" t="s">
        <v>1960</v>
      </c>
      <c r="M1220" s="418">
        <v>44463</v>
      </c>
      <c r="N1220" s="418">
        <v>44719</v>
      </c>
      <c r="O1220" s="418"/>
      <c r="P1220" s="406"/>
      <c r="Q1220" s="406"/>
      <c r="R1220" s="406"/>
      <c r="S1220" s="405" t="s">
        <v>1443</v>
      </c>
      <c r="T1220" s="405">
        <v>60</v>
      </c>
      <c r="U1220" s="405" t="s">
        <v>1237</v>
      </c>
      <c r="V1220" s="405" t="s">
        <v>973</v>
      </c>
      <c r="W1220" s="405">
        <v>395</v>
      </c>
      <c r="X1220" s="407">
        <v>832</v>
      </c>
      <c r="Y1220" s="408">
        <f t="shared" si="270"/>
        <v>328640</v>
      </c>
      <c r="Z1220" s="409">
        <f t="shared" si="275"/>
        <v>0.55999999999999994</v>
      </c>
      <c r="AA1220" s="410">
        <f t="shared" si="265"/>
        <v>184038.39999999999</v>
      </c>
      <c r="AB1220" s="411"/>
      <c r="AC1220" s="412">
        <v>0</v>
      </c>
      <c r="AD1220" s="421"/>
      <c r="AE1220" s="413"/>
      <c r="AF1220" s="424">
        <f t="shared" si="266"/>
        <v>184038.39999999999</v>
      </c>
      <c r="AG1220" s="405" t="s">
        <v>47</v>
      </c>
      <c r="AH1220" s="405" t="s">
        <v>1963</v>
      </c>
      <c r="AI1220" s="414">
        <v>60</v>
      </c>
      <c r="AJ1220" s="405" t="s">
        <v>1500</v>
      </c>
      <c r="AK1220" s="425" t="s">
        <v>1082</v>
      </c>
      <c r="AL1220" s="405" t="s">
        <v>1989</v>
      </c>
      <c r="AM1220" s="405" t="s">
        <v>52</v>
      </c>
      <c r="AN1220" s="405"/>
      <c r="AO1220" s="405"/>
      <c r="AP1220" s="417"/>
      <c r="AQ1220" s="417"/>
      <c r="AR1220" s="417"/>
      <c r="AS1220" s="426"/>
      <c r="AT1220" s="426"/>
      <c r="AU1220" s="409"/>
      <c r="AV1220" s="402" t="str">
        <f>U1220</f>
        <v>30390456H</v>
      </c>
      <c r="AW1220" s="402" cm="1">
        <f t="array" ref="AW1220">SUM(MID(0&amp;AV1220,LARGE(INDEX(ISNUMBER(--MID(AV1220,ROW($1:$8),1))*ROW($1:$8),),ROW($1:$8))+1,1)*10^ROW($1:$8)/10)</f>
        <v>30390456</v>
      </c>
      <c r="AX1220" s="402" t="str">
        <f>VLOOKUP($AW1220,'Item Master Data'!$A:$F,3,FALSE)</f>
        <v>Q.PEAK DUO BLK ML G10+</v>
      </c>
      <c r="AY1220" s="402">
        <f>VLOOKUP($AW1220,'Item Master Data'!$A:$F,6,FALSE)</f>
        <v>400</v>
      </c>
      <c r="AZ1220" s="402">
        <f>X1220/BA1220</f>
        <v>26</v>
      </c>
      <c r="BA1220" s="402">
        <f>VLOOKUP(AW1220,'Item Master Data'!$A:$G,7,FALSE)</f>
        <v>32</v>
      </c>
      <c r="BC1220" s="402">
        <f>W1220-AY1220</f>
        <v>-5</v>
      </c>
    </row>
    <row r="1221" spans="1:55" s="402" customFormat="1">
      <c r="A1221" s="403"/>
      <c r="B1221" s="445"/>
      <c r="C1221" s="445"/>
      <c r="D1221" s="416" t="s">
        <v>1914</v>
      </c>
      <c r="E1221" s="405"/>
      <c r="F1221" s="405"/>
      <c r="G1221" s="405">
        <v>2022</v>
      </c>
      <c r="H1221" s="405">
        <v>6</v>
      </c>
      <c r="I1221" s="416"/>
      <c r="J1221" s="406"/>
      <c r="K1221" s="414" t="s">
        <v>2101</v>
      </c>
      <c r="L1221" s="405" t="s">
        <v>1960</v>
      </c>
      <c r="M1221" s="418">
        <v>44463</v>
      </c>
      <c r="N1221" s="418">
        <v>44732</v>
      </c>
      <c r="O1221" s="418"/>
      <c r="P1221" s="406"/>
      <c r="Q1221" s="406"/>
      <c r="R1221" s="406"/>
      <c r="S1221" s="405" t="s">
        <v>1443</v>
      </c>
      <c r="T1221" s="405">
        <v>60</v>
      </c>
      <c r="U1221" s="405" t="s">
        <v>1237</v>
      </c>
      <c r="V1221" s="405" t="s">
        <v>973</v>
      </c>
      <c r="W1221" s="405">
        <v>395</v>
      </c>
      <c r="X1221" s="407">
        <v>832</v>
      </c>
      <c r="Y1221" s="408">
        <f t="shared" si="270"/>
        <v>328640</v>
      </c>
      <c r="Z1221" s="409">
        <f t="shared" si="275"/>
        <v>0.55999999999999994</v>
      </c>
      <c r="AA1221" s="410">
        <f t="shared" si="265"/>
        <v>184038.39999999999</v>
      </c>
      <c r="AB1221" s="411"/>
      <c r="AC1221" s="412">
        <v>0</v>
      </c>
      <c r="AD1221" s="421"/>
      <c r="AE1221" s="413"/>
      <c r="AF1221" s="424">
        <f t="shared" si="266"/>
        <v>184038.39999999999</v>
      </c>
      <c r="AG1221" s="405" t="s">
        <v>47</v>
      </c>
      <c r="AH1221" s="405" t="s">
        <v>1963</v>
      </c>
      <c r="AI1221" s="414">
        <v>60</v>
      </c>
      <c r="AJ1221" s="405" t="s">
        <v>1500</v>
      </c>
      <c r="AK1221" s="425" t="s">
        <v>1082</v>
      </c>
      <c r="AL1221" s="405" t="s">
        <v>1989</v>
      </c>
      <c r="AM1221" s="405" t="s">
        <v>52</v>
      </c>
      <c r="AN1221" s="405"/>
      <c r="AO1221" s="405"/>
      <c r="AP1221" s="417"/>
      <c r="AQ1221" s="417"/>
      <c r="AR1221" s="417"/>
      <c r="AS1221" s="426"/>
      <c r="AT1221" s="426"/>
      <c r="AU1221" s="409"/>
    </row>
    <row r="1222" spans="1:55" s="402" customFormat="1">
      <c r="A1222" s="403"/>
      <c r="B1222" s="445"/>
      <c r="C1222" s="445"/>
      <c r="D1222" s="416" t="s">
        <v>1914</v>
      </c>
      <c r="E1222" s="405" t="s">
        <v>2051</v>
      </c>
      <c r="F1222" s="405"/>
      <c r="G1222" s="405">
        <v>2022</v>
      </c>
      <c r="H1222" s="405">
        <v>6</v>
      </c>
      <c r="I1222" s="416"/>
      <c r="J1222" s="406"/>
      <c r="K1222" s="414" t="s">
        <v>2052</v>
      </c>
      <c r="L1222" s="405" t="s">
        <v>1967</v>
      </c>
      <c r="M1222" s="418">
        <v>44511</v>
      </c>
      <c r="N1222" s="418">
        <v>44564</v>
      </c>
      <c r="O1222" s="418"/>
      <c r="P1222" s="406"/>
      <c r="Q1222" s="406"/>
      <c r="R1222" s="406"/>
      <c r="S1222" s="405" t="s">
        <v>1443</v>
      </c>
      <c r="T1222" s="405">
        <v>60</v>
      </c>
      <c r="U1222" s="405">
        <v>49401140</v>
      </c>
      <c r="V1222" s="405" t="s">
        <v>973</v>
      </c>
      <c r="W1222" s="405">
        <v>400</v>
      </c>
      <c r="X1222" s="407">
        <v>768</v>
      </c>
      <c r="Y1222" s="408">
        <f t="shared" si="270"/>
        <v>307200</v>
      </c>
      <c r="Z1222" s="409">
        <f>210/400</f>
        <v>0.52500000000000002</v>
      </c>
      <c r="AA1222" s="410">
        <f t="shared" si="265"/>
        <v>161280</v>
      </c>
      <c r="AB1222" s="411"/>
      <c r="AC1222" s="412">
        <v>0</v>
      </c>
      <c r="AD1222" s="421"/>
      <c r="AE1222" s="413"/>
      <c r="AF1222" s="424">
        <f t="shared" si="266"/>
        <v>161280</v>
      </c>
      <c r="AG1222" s="405" t="s">
        <v>1069</v>
      </c>
      <c r="AH1222" s="405"/>
      <c r="AI1222" s="414">
        <v>60</v>
      </c>
      <c r="AJ1222" s="405" t="s">
        <v>2053</v>
      </c>
      <c r="AK1222" s="425" t="s">
        <v>1136</v>
      </c>
      <c r="AL1222" s="405">
        <v>78216</v>
      </c>
      <c r="AM1222" s="405" t="s">
        <v>52</v>
      </c>
      <c r="AN1222" s="405"/>
      <c r="AO1222" s="405"/>
      <c r="AP1222" s="417"/>
      <c r="AQ1222" s="417" t="s">
        <v>37</v>
      </c>
      <c r="AR1222" s="417"/>
      <c r="AS1222" s="426"/>
      <c r="AT1222" s="426"/>
      <c r="AU1222" s="409"/>
    </row>
    <row r="1223" spans="1:55" s="402" customFormat="1">
      <c r="A1223" s="403"/>
      <c r="B1223" s="445">
        <v>44522</v>
      </c>
      <c r="C1223" s="445">
        <v>44587</v>
      </c>
      <c r="D1223" s="416" t="s">
        <v>1914</v>
      </c>
      <c r="E1223" s="405" t="s">
        <v>1239</v>
      </c>
      <c r="F1223" s="405"/>
      <c r="G1223" s="405">
        <v>2022</v>
      </c>
      <c r="H1223" s="405">
        <v>6</v>
      </c>
      <c r="I1223" s="416"/>
      <c r="J1223" s="406"/>
      <c r="K1223" s="414" t="s">
        <v>2108</v>
      </c>
      <c r="L1223" s="405" t="s">
        <v>1967</v>
      </c>
      <c r="M1223" s="418">
        <v>44505</v>
      </c>
      <c r="N1223" s="418">
        <v>44727</v>
      </c>
      <c r="O1223" s="418"/>
      <c r="P1223" s="406"/>
      <c r="Q1223" s="406"/>
      <c r="R1223" s="406"/>
      <c r="S1223" s="405" t="s">
        <v>1443</v>
      </c>
      <c r="T1223" s="405">
        <v>60</v>
      </c>
      <c r="U1223" s="405">
        <v>49204132</v>
      </c>
      <c r="V1223" s="405" t="s">
        <v>1192</v>
      </c>
      <c r="W1223" s="405">
        <v>360</v>
      </c>
      <c r="X1223" s="407">
        <v>832</v>
      </c>
      <c r="Y1223" s="408">
        <f t="shared" si="270"/>
        <v>299520</v>
      </c>
      <c r="Z1223" s="409">
        <v>0.9</v>
      </c>
      <c r="AA1223" s="410">
        <f t="shared" si="265"/>
        <v>269568</v>
      </c>
      <c r="AB1223" s="411"/>
      <c r="AC1223" s="412">
        <v>0</v>
      </c>
      <c r="AD1223" s="421"/>
      <c r="AE1223" s="413"/>
      <c r="AF1223" s="424">
        <f t="shared" si="266"/>
        <v>269568</v>
      </c>
      <c r="AG1223" s="405" t="s">
        <v>1069</v>
      </c>
      <c r="AH1223" s="405"/>
      <c r="AI1223" s="414" t="s">
        <v>1962</v>
      </c>
      <c r="AJ1223" s="405" t="s">
        <v>1968</v>
      </c>
      <c r="AK1223" s="425" t="s">
        <v>1599</v>
      </c>
      <c r="AL1223" s="405" t="s">
        <v>2063</v>
      </c>
      <c r="AM1223" s="405" t="s">
        <v>52</v>
      </c>
      <c r="AN1223" s="405"/>
      <c r="AO1223" s="405"/>
      <c r="AP1223" s="417"/>
      <c r="AQ1223" s="417" t="s">
        <v>37</v>
      </c>
      <c r="AR1223" s="417"/>
      <c r="AS1223" s="426"/>
      <c r="AT1223" s="426"/>
      <c r="AU1223" s="409"/>
    </row>
    <row r="1224" spans="1:55" s="402" customFormat="1">
      <c r="A1224" s="403"/>
      <c r="B1224" s="445" t="s">
        <v>4251</v>
      </c>
      <c r="C1224" s="445" t="s">
        <v>4251</v>
      </c>
      <c r="D1224" s="416" t="s">
        <v>1914</v>
      </c>
      <c r="E1224" s="405" t="s">
        <v>4252</v>
      </c>
      <c r="F1224" s="405"/>
      <c r="G1224" s="405">
        <v>2022</v>
      </c>
      <c r="H1224" s="405">
        <v>6</v>
      </c>
      <c r="I1224" s="416"/>
      <c r="J1224" s="406"/>
      <c r="K1224" s="414" t="s">
        <v>2109</v>
      </c>
      <c r="L1224" s="405" t="s">
        <v>1967</v>
      </c>
      <c r="M1224" s="418">
        <v>44483</v>
      </c>
      <c r="N1224" s="418">
        <v>44628</v>
      </c>
      <c r="O1224" s="418"/>
      <c r="P1224" s="406"/>
      <c r="Q1224" s="406"/>
      <c r="R1224" s="406"/>
      <c r="S1224" s="405" t="s">
        <v>1443</v>
      </c>
      <c r="T1224" s="405">
        <v>72</v>
      </c>
      <c r="U1224" s="405" t="s">
        <v>1102</v>
      </c>
      <c r="V1224" s="405" t="s">
        <v>1068</v>
      </c>
      <c r="W1224" s="405">
        <v>480</v>
      </c>
      <c r="X1224" s="407">
        <v>696</v>
      </c>
      <c r="Y1224" s="408">
        <f t="shared" si="270"/>
        <v>334080</v>
      </c>
      <c r="Z1224" s="409">
        <f>228/480</f>
        <v>0.47499999999999998</v>
      </c>
      <c r="AA1224" s="410">
        <f t="shared" si="265"/>
        <v>158688</v>
      </c>
      <c r="AB1224" s="411"/>
      <c r="AC1224" s="412">
        <v>0</v>
      </c>
      <c r="AD1224" s="421"/>
      <c r="AE1224" s="413"/>
      <c r="AF1224" s="424">
        <f t="shared" si="266"/>
        <v>158688</v>
      </c>
      <c r="AG1224" s="405" t="s">
        <v>1069</v>
      </c>
      <c r="AH1224" s="405"/>
      <c r="AI1224" s="414">
        <v>60</v>
      </c>
      <c r="AJ1224" s="405" t="s">
        <v>1584</v>
      </c>
      <c r="AK1224" s="425" t="s">
        <v>50</v>
      </c>
      <c r="AL1224" s="405">
        <v>95834</v>
      </c>
      <c r="AM1224" s="405" t="s">
        <v>52</v>
      </c>
      <c r="AN1224" s="405" t="s">
        <v>1071</v>
      </c>
      <c r="AO1224" s="405"/>
      <c r="AP1224" s="417"/>
      <c r="AQ1224" s="417" t="s">
        <v>37</v>
      </c>
      <c r="AR1224" s="417"/>
      <c r="AS1224" s="426"/>
      <c r="AT1224" s="426"/>
      <c r="AU1224" s="409"/>
      <c r="AV1224" s="402" t="str">
        <f>U1224</f>
        <v>TBD</v>
      </c>
      <c r="AW1224" s="402" cm="1">
        <f t="array" ref="AW1224">SUM(MID(0&amp;AV1224,LARGE(INDEX(ISNUMBER(--MID(AV1224,ROW($1:$8),1))*ROW($1:$8),),ROW($1:$8))+1,1)*10^ROW($1:$8)/10)</f>
        <v>0</v>
      </c>
      <c r="AX1224" s="402" t="e">
        <f>VLOOKUP($AW1224,'Item Master Data'!$A:$F,3,FALSE)</f>
        <v>#N/A</v>
      </c>
      <c r="AY1224" s="402" t="e">
        <f>VLOOKUP($AW1224,'Item Master Data'!$A:$F,6,FALSE)</f>
        <v>#N/A</v>
      </c>
      <c r="AZ1224" s="402" t="e">
        <f>X1224/BA1224</f>
        <v>#N/A</v>
      </c>
      <c r="BA1224" s="402" t="e">
        <f>VLOOKUP(AW1224,'Item Master Data'!$A:$G,7,FALSE)</f>
        <v>#N/A</v>
      </c>
      <c r="BC1224" s="402" t="e">
        <f>W1224-AY1224</f>
        <v>#N/A</v>
      </c>
    </row>
    <row r="1225" spans="1:55" s="402" customFormat="1">
      <c r="A1225" s="403"/>
      <c r="B1225" s="445" t="s">
        <v>4251</v>
      </c>
      <c r="C1225" s="445" t="s">
        <v>4251</v>
      </c>
      <c r="D1225" s="416" t="s">
        <v>1914</v>
      </c>
      <c r="E1225" s="405" t="s">
        <v>4253</v>
      </c>
      <c r="F1225" s="405"/>
      <c r="G1225" s="405">
        <v>2022</v>
      </c>
      <c r="H1225" s="405">
        <v>6</v>
      </c>
      <c r="I1225" s="416"/>
      <c r="J1225" s="406"/>
      <c r="K1225" s="414" t="s">
        <v>2110</v>
      </c>
      <c r="L1225" s="405" t="s">
        <v>1967</v>
      </c>
      <c r="M1225" s="418">
        <v>44595</v>
      </c>
      <c r="N1225" s="418">
        <v>44724</v>
      </c>
      <c r="O1225" s="418"/>
      <c r="P1225" s="406"/>
      <c r="Q1225" s="406"/>
      <c r="R1225" s="406"/>
      <c r="S1225" s="405" t="s">
        <v>1443</v>
      </c>
      <c r="T1225" s="405">
        <v>72</v>
      </c>
      <c r="U1225" s="405" t="s">
        <v>1102</v>
      </c>
      <c r="V1225" s="405" t="s">
        <v>1068</v>
      </c>
      <c r="W1225" s="405">
        <v>480</v>
      </c>
      <c r="X1225" s="407">
        <v>696</v>
      </c>
      <c r="Y1225" s="408">
        <f t="shared" si="270"/>
        <v>334080</v>
      </c>
      <c r="Z1225" s="409">
        <f>237.6/480</f>
        <v>0.495</v>
      </c>
      <c r="AA1225" s="410">
        <f t="shared" si="265"/>
        <v>165369.60000000001</v>
      </c>
      <c r="AB1225" s="411"/>
      <c r="AC1225" s="412">
        <v>0</v>
      </c>
      <c r="AD1225" s="421"/>
      <c r="AE1225" s="413"/>
      <c r="AF1225" s="424">
        <f t="shared" si="266"/>
        <v>165369.60000000001</v>
      </c>
      <c r="AG1225" s="405" t="s">
        <v>1069</v>
      </c>
      <c r="AH1225" s="405"/>
      <c r="AI1225" s="414" t="s">
        <v>1962</v>
      </c>
      <c r="AJ1225" s="405" t="s">
        <v>1584</v>
      </c>
      <c r="AK1225" s="425" t="s">
        <v>50</v>
      </c>
      <c r="AL1225" s="405">
        <v>95834</v>
      </c>
      <c r="AM1225" s="405" t="s">
        <v>52</v>
      </c>
      <c r="AN1225" s="405" t="s">
        <v>1071</v>
      </c>
      <c r="AO1225" s="405"/>
      <c r="AP1225" s="417"/>
      <c r="AQ1225" s="417" t="s">
        <v>37</v>
      </c>
      <c r="AR1225" s="417"/>
      <c r="AS1225" s="426"/>
      <c r="AT1225" s="426"/>
      <c r="AU1225" s="409"/>
    </row>
    <row r="1226" spans="1:55" s="402" customFormat="1">
      <c r="A1226" s="403"/>
      <c r="B1226" s="445"/>
      <c r="C1226" s="445"/>
      <c r="D1226" s="416" t="s">
        <v>1914</v>
      </c>
      <c r="E1226" s="405" t="s">
        <v>2065</v>
      </c>
      <c r="F1226" s="405"/>
      <c r="G1226" s="405">
        <v>2022</v>
      </c>
      <c r="H1226" s="405">
        <v>6</v>
      </c>
      <c r="I1226" s="416"/>
      <c r="J1226" s="406"/>
      <c r="K1226" s="414" t="s">
        <v>2066</v>
      </c>
      <c r="L1226" s="405" t="s">
        <v>1967</v>
      </c>
      <c r="M1226" s="418">
        <v>44544</v>
      </c>
      <c r="N1226" s="418">
        <v>44685</v>
      </c>
      <c r="O1226" s="418"/>
      <c r="P1226" s="406"/>
      <c r="Q1226" s="406"/>
      <c r="R1226" s="406"/>
      <c r="S1226" s="405" t="s">
        <v>1443</v>
      </c>
      <c r="T1226" s="405">
        <v>60</v>
      </c>
      <c r="U1226" s="405">
        <v>49204132</v>
      </c>
      <c r="V1226" s="405" t="s">
        <v>1192</v>
      </c>
      <c r="W1226" s="405">
        <v>360</v>
      </c>
      <c r="X1226" s="407">
        <v>624</v>
      </c>
      <c r="Y1226" s="408">
        <f t="shared" si="270"/>
        <v>224640</v>
      </c>
      <c r="Z1226" s="409">
        <f>284.4/360</f>
        <v>0.78999999999999992</v>
      </c>
      <c r="AA1226" s="410">
        <f t="shared" si="265"/>
        <v>177465.59999999998</v>
      </c>
      <c r="AB1226" s="411"/>
      <c r="AC1226" s="412">
        <v>0</v>
      </c>
      <c r="AD1226" s="421"/>
      <c r="AE1226" s="413"/>
      <c r="AF1226" s="424">
        <f t="shared" si="266"/>
        <v>177465.59999999998</v>
      </c>
      <c r="AG1226" s="405" t="s">
        <v>1069</v>
      </c>
      <c r="AH1226" s="405"/>
      <c r="AI1226" s="414" t="s">
        <v>1962</v>
      </c>
      <c r="AJ1226" s="405" t="s">
        <v>1616</v>
      </c>
      <c r="AK1226" s="425" t="s">
        <v>50</v>
      </c>
      <c r="AL1226" s="405">
        <v>93772</v>
      </c>
      <c r="AM1226" s="405" t="s">
        <v>52</v>
      </c>
      <c r="AN1226" s="405"/>
      <c r="AO1226" s="405"/>
      <c r="AP1226" s="417"/>
      <c r="AQ1226" s="417" t="s">
        <v>37</v>
      </c>
      <c r="AR1226" s="417"/>
      <c r="AS1226" s="426"/>
      <c r="AT1226" s="426"/>
      <c r="AU1226" s="409"/>
    </row>
    <row r="1227" spans="1:55" s="402" customFormat="1">
      <c r="A1227" s="403"/>
      <c r="B1227" s="445"/>
      <c r="C1227" s="445"/>
      <c r="D1227" s="416" t="s">
        <v>1914</v>
      </c>
      <c r="E1227" s="405" t="s">
        <v>2051</v>
      </c>
      <c r="F1227" s="405"/>
      <c r="G1227" s="405">
        <v>2022</v>
      </c>
      <c r="H1227" s="405">
        <v>6</v>
      </c>
      <c r="I1227" s="416"/>
      <c r="J1227" s="406"/>
      <c r="K1227" s="414" t="s">
        <v>2054</v>
      </c>
      <c r="L1227" s="405" t="s">
        <v>1967</v>
      </c>
      <c r="M1227" s="418">
        <v>44511</v>
      </c>
      <c r="N1227" s="418">
        <v>44596</v>
      </c>
      <c r="O1227" s="418"/>
      <c r="P1227" s="406"/>
      <c r="Q1227" s="406"/>
      <c r="R1227" s="406"/>
      <c r="S1227" s="405" t="s">
        <v>1443</v>
      </c>
      <c r="T1227" s="405">
        <v>60</v>
      </c>
      <c r="U1227" s="405">
        <v>49401140</v>
      </c>
      <c r="V1227" s="405" t="s">
        <v>973</v>
      </c>
      <c r="W1227" s="405">
        <v>400</v>
      </c>
      <c r="X1227" s="407">
        <v>768</v>
      </c>
      <c r="Y1227" s="408">
        <f t="shared" si="270"/>
        <v>307200</v>
      </c>
      <c r="Z1227" s="409">
        <f t="shared" ref="Z1227:Z1243" si="276">210/400</f>
        <v>0.52500000000000002</v>
      </c>
      <c r="AA1227" s="410">
        <f t="shared" si="265"/>
        <v>161280</v>
      </c>
      <c r="AB1227" s="411"/>
      <c r="AC1227" s="412">
        <v>0</v>
      </c>
      <c r="AD1227" s="421"/>
      <c r="AE1227" s="413"/>
      <c r="AF1227" s="424">
        <f t="shared" si="266"/>
        <v>161280</v>
      </c>
      <c r="AG1227" s="405" t="s">
        <v>1069</v>
      </c>
      <c r="AH1227" s="405"/>
      <c r="AI1227" s="414">
        <v>60</v>
      </c>
      <c r="AJ1227" s="405" t="s">
        <v>2053</v>
      </c>
      <c r="AK1227" s="425" t="s">
        <v>1136</v>
      </c>
      <c r="AL1227" s="405">
        <v>78216</v>
      </c>
      <c r="AM1227" s="405" t="s">
        <v>52</v>
      </c>
      <c r="AN1227" s="405"/>
      <c r="AO1227" s="405"/>
      <c r="AP1227" s="417"/>
      <c r="AQ1227" s="417" t="s">
        <v>37</v>
      </c>
      <c r="AR1227" s="417"/>
      <c r="AS1227" s="426"/>
      <c r="AT1227" s="426"/>
      <c r="AU1227" s="409"/>
    </row>
    <row r="1228" spans="1:55" s="402" customFormat="1">
      <c r="A1228" s="403"/>
      <c r="B1228" s="445"/>
      <c r="C1228" s="445"/>
      <c r="D1228" s="416" t="s">
        <v>1914</v>
      </c>
      <c r="E1228" s="405" t="s">
        <v>2051</v>
      </c>
      <c r="F1228" s="405"/>
      <c r="G1228" s="405">
        <v>2022</v>
      </c>
      <c r="H1228" s="405">
        <v>6</v>
      </c>
      <c r="I1228" s="416"/>
      <c r="J1228" s="406"/>
      <c r="K1228" s="414" t="s">
        <v>2055</v>
      </c>
      <c r="L1228" s="405" t="s">
        <v>1967</v>
      </c>
      <c r="M1228" s="418">
        <v>44511</v>
      </c>
      <c r="N1228" s="418">
        <v>44596</v>
      </c>
      <c r="O1228" s="418"/>
      <c r="P1228" s="406"/>
      <c r="Q1228" s="406"/>
      <c r="R1228" s="406"/>
      <c r="S1228" s="405" t="s">
        <v>1443</v>
      </c>
      <c r="T1228" s="405">
        <v>60</v>
      </c>
      <c r="U1228" s="405">
        <v>49401140</v>
      </c>
      <c r="V1228" s="405" t="s">
        <v>973</v>
      </c>
      <c r="W1228" s="405">
        <v>400</v>
      </c>
      <c r="X1228" s="407">
        <v>768</v>
      </c>
      <c r="Y1228" s="408">
        <f t="shared" si="270"/>
        <v>307200</v>
      </c>
      <c r="Z1228" s="409">
        <f t="shared" si="276"/>
        <v>0.52500000000000002</v>
      </c>
      <c r="AA1228" s="410">
        <f t="shared" si="265"/>
        <v>161280</v>
      </c>
      <c r="AB1228" s="411"/>
      <c r="AC1228" s="412">
        <v>0</v>
      </c>
      <c r="AD1228" s="421"/>
      <c r="AE1228" s="413"/>
      <c r="AF1228" s="424">
        <f t="shared" si="266"/>
        <v>161280</v>
      </c>
      <c r="AG1228" s="405" t="s">
        <v>1069</v>
      </c>
      <c r="AH1228" s="405"/>
      <c r="AI1228" s="414">
        <v>60</v>
      </c>
      <c r="AJ1228" s="405" t="s">
        <v>2053</v>
      </c>
      <c r="AK1228" s="425" t="s">
        <v>1136</v>
      </c>
      <c r="AL1228" s="405">
        <v>78216</v>
      </c>
      <c r="AM1228" s="405" t="s">
        <v>52</v>
      </c>
      <c r="AN1228" s="405"/>
      <c r="AO1228" s="405"/>
      <c r="AP1228" s="417"/>
      <c r="AQ1228" s="417" t="s">
        <v>37</v>
      </c>
      <c r="AR1228" s="417"/>
      <c r="AS1228" s="426"/>
      <c r="AT1228" s="426"/>
      <c r="AU1228" s="409"/>
    </row>
    <row r="1229" spans="1:55" s="402" customFormat="1">
      <c r="A1229" s="403"/>
      <c r="B1229" s="445"/>
      <c r="C1229" s="445"/>
      <c r="D1229" s="416" t="s">
        <v>1914</v>
      </c>
      <c r="E1229" s="405" t="s">
        <v>2051</v>
      </c>
      <c r="F1229" s="405"/>
      <c r="G1229" s="405">
        <v>2022</v>
      </c>
      <c r="H1229" s="405">
        <v>6</v>
      </c>
      <c r="I1229" s="416"/>
      <c r="J1229" s="406"/>
      <c r="K1229" s="414" t="s">
        <v>2056</v>
      </c>
      <c r="L1229" s="405" t="s">
        <v>1967</v>
      </c>
      <c r="M1229" s="418">
        <v>44511</v>
      </c>
      <c r="N1229" s="418">
        <v>44596</v>
      </c>
      <c r="O1229" s="418"/>
      <c r="P1229" s="406"/>
      <c r="Q1229" s="406"/>
      <c r="R1229" s="406"/>
      <c r="S1229" s="405" t="s">
        <v>1443</v>
      </c>
      <c r="T1229" s="405">
        <v>60</v>
      </c>
      <c r="U1229" s="405">
        <v>49401140</v>
      </c>
      <c r="V1229" s="405" t="s">
        <v>973</v>
      </c>
      <c r="W1229" s="405">
        <v>400</v>
      </c>
      <c r="X1229" s="407">
        <v>768</v>
      </c>
      <c r="Y1229" s="408">
        <f t="shared" si="270"/>
        <v>307200</v>
      </c>
      <c r="Z1229" s="409">
        <f t="shared" si="276"/>
        <v>0.52500000000000002</v>
      </c>
      <c r="AA1229" s="410">
        <f t="shared" ref="AA1229:AA1292" si="277">Z1229*Y1229</f>
        <v>161280</v>
      </c>
      <c r="AB1229" s="411"/>
      <c r="AC1229" s="412">
        <v>0</v>
      </c>
      <c r="AD1229" s="421"/>
      <c r="AE1229" s="413"/>
      <c r="AF1229" s="424">
        <f t="shared" ref="AF1229:AF1292" si="278">AA1229+AE1229</f>
        <v>161280</v>
      </c>
      <c r="AG1229" s="405" t="s">
        <v>1069</v>
      </c>
      <c r="AH1229" s="405"/>
      <c r="AI1229" s="414">
        <v>60</v>
      </c>
      <c r="AJ1229" s="405" t="s">
        <v>2053</v>
      </c>
      <c r="AK1229" s="425" t="s">
        <v>1136</v>
      </c>
      <c r="AL1229" s="405">
        <v>78216</v>
      </c>
      <c r="AM1229" s="405" t="s">
        <v>52</v>
      </c>
      <c r="AN1229" s="405"/>
      <c r="AO1229" s="405"/>
      <c r="AP1229" s="417"/>
      <c r="AQ1229" s="417" t="s">
        <v>37</v>
      </c>
      <c r="AR1229" s="417"/>
      <c r="AS1229" s="426"/>
      <c r="AT1229" s="426"/>
      <c r="AU1229" s="409"/>
      <c r="AV1229" s="402">
        <f>U1229</f>
        <v>49401140</v>
      </c>
      <c r="AW1229" s="402" cm="1">
        <f t="array" ref="AW1229">SUM(MID(0&amp;AV1229,LARGE(INDEX(ISNUMBER(--MID(AV1229,ROW($1:$8),1))*ROW($1:$8),),ROW($1:$8))+1,1)*10^ROW($1:$8)/10)</f>
        <v>49401140</v>
      </c>
      <c r="AX1229" s="402" t="str">
        <f>VLOOKUP($AW1229,'Item Master Data'!$A:$F,3,FALSE)</f>
        <v>Q.PEAK DUO BLK ML G10.a+</v>
      </c>
      <c r="AY1229" s="402">
        <f>VLOOKUP($AW1229,'Item Master Data'!$A:$F,6,FALSE)</f>
        <v>400</v>
      </c>
      <c r="AZ1229" s="402">
        <f>X1229/BA1229</f>
        <v>24</v>
      </c>
      <c r="BA1229" s="402">
        <f>VLOOKUP(AW1229,'Item Master Data'!$A:$G,7,FALSE)</f>
        <v>32</v>
      </c>
      <c r="BC1229" s="402">
        <f>W1229-AY1229</f>
        <v>0</v>
      </c>
    </row>
    <row r="1230" spans="1:55" s="402" customFormat="1">
      <c r="A1230" s="403"/>
      <c r="B1230" s="445"/>
      <c r="C1230" s="445"/>
      <c r="D1230" s="416" t="s">
        <v>1914</v>
      </c>
      <c r="E1230" s="405" t="s">
        <v>2051</v>
      </c>
      <c r="F1230" s="405"/>
      <c r="G1230" s="405">
        <v>2022</v>
      </c>
      <c r="H1230" s="405">
        <v>6</v>
      </c>
      <c r="I1230" s="416"/>
      <c r="J1230" s="406"/>
      <c r="K1230" s="414" t="s">
        <v>2057</v>
      </c>
      <c r="L1230" s="405" t="s">
        <v>1967</v>
      </c>
      <c r="M1230" s="418">
        <v>44511</v>
      </c>
      <c r="N1230" s="418">
        <v>44596</v>
      </c>
      <c r="O1230" s="418"/>
      <c r="P1230" s="406"/>
      <c r="Q1230" s="406"/>
      <c r="R1230" s="406"/>
      <c r="S1230" s="405" t="s">
        <v>1443</v>
      </c>
      <c r="T1230" s="405">
        <v>60</v>
      </c>
      <c r="U1230" s="405">
        <v>49401140</v>
      </c>
      <c r="V1230" s="405" t="s">
        <v>973</v>
      </c>
      <c r="W1230" s="405">
        <v>400</v>
      </c>
      <c r="X1230" s="407">
        <v>768</v>
      </c>
      <c r="Y1230" s="408">
        <f t="shared" si="270"/>
        <v>307200</v>
      </c>
      <c r="Z1230" s="409">
        <f t="shared" si="276"/>
        <v>0.52500000000000002</v>
      </c>
      <c r="AA1230" s="410">
        <f t="shared" si="277"/>
        <v>161280</v>
      </c>
      <c r="AB1230" s="411"/>
      <c r="AC1230" s="412">
        <v>0</v>
      </c>
      <c r="AD1230" s="421"/>
      <c r="AE1230" s="413"/>
      <c r="AF1230" s="424">
        <f t="shared" si="278"/>
        <v>161280</v>
      </c>
      <c r="AG1230" s="405" t="s">
        <v>1069</v>
      </c>
      <c r="AH1230" s="405"/>
      <c r="AI1230" s="414">
        <v>60</v>
      </c>
      <c r="AJ1230" s="405" t="s">
        <v>2053</v>
      </c>
      <c r="AK1230" s="425" t="s">
        <v>1136</v>
      </c>
      <c r="AL1230" s="405">
        <v>78216</v>
      </c>
      <c r="AM1230" s="405" t="s">
        <v>52</v>
      </c>
      <c r="AN1230" s="405"/>
      <c r="AO1230" s="405"/>
      <c r="AP1230" s="417"/>
      <c r="AQ1230" s="417" t="s">
        <v>37</v>
      </c>
      <c r="AR1230" s="417"/>
      <c r="AS1230" s="426"/>
      <c r="AT1230" s="426"/>
      <c r="AU1230" s="409"/>
      <c r="AV1230" s="402">
        <f>U1230</f>
        <v>49401140</v>
      </c>
      <c r="AW1230" s="402" cm="1">
        <f t="array" ref="AW1230">SUM(MID(0&amp;AV1230,LARGE(INDEX(ISNUMBER(--MID(AV1230,ROW($1:$8),1))*ROW($1:$8),),ROW($1:$8))+1,1)*10^ROW($1:$8)/10)</f>
        <v>49401140</v>
      </c>
      <c r="AX1230" s="402" t="str">
        <f>VLOOKUP($AW1230,'Item Master Data'!$A:$F,3,FALSE)</f>
        <v>Q.PEAK DUO BLK ML G10.a+</v>
      </c>
      <c r="AY1230" s="402">
        <f>VLOOKUP($AW1230,'Item Master Data'!$A:$F,6,FALSE)</f>
        <v>400</v>
      </c>
      <c r="AZ1230" s="402">
        <f>X1230/BA1230</f>
        <v>24</v>
      </c>
      <c r="BA1230" s="402">
        <f>VLOOKUP(AW1230,'Item Master Data'!$A:$G,7,FALSE)</f>
        <v>32</v>
      </c>
      <c r="BC1230" s="402">
        <f>W1230-AY1230</f>
        <v>0</v>
      </c>
    </row>
    <row r="1231" spans="1:55" s="402" customFormat="1">
      <c r="A1231" s="403"/>
      <c r="B1231" s="445"/>
      <c r="C1231" s="445"/>
      <c r="D1231" s="416" t="s">
        <v>1914</v>
      </c>
      <c r="E1231" s="405" t="s">
        <v>2051</v>
      </c>
      <c r="F1231" s="405"/>
      <c r="G1231" s="405">
        <v>2022</v>
      </c>
      <c r="H1231" s="405">
        <v>6</v>
      </c>
      <c r="I1231" s="416"/>
      <c r="J1231" s="406"/>
      <c r="K1231" s="414" t="s">
        <v>2058</v>
      </c>
      <c r="L1231" s="405" t="s">
        <v>1967</v>
      </c>
      <c r="M1231" s="418">
        <v>44511</v>
      </c>
      <c r="N1231" s="418">
        <v>44596</v>
      </c>
      <c r="O1231" s="418"/>
      <c r="P1231" s="406"/>
      <c r="Q1231" s="406"/>
      <c r="R1231" s="406"/>
      <c r="S1231" s="405" t="s">
        <v>1443</v>
      </c>
      <c r="T1231" s="405">
        <v>60</v>
      </c>
      <c r="U1231" s="405">
        <v>49401140</v>
      </c>
      <c r="V1231" s="405" t="s">
        <v>973</v>
      </c>
      <c r="W1231" s="405">
        <v>400</v>
      </c>
      <c r="X1231" s="407">
        <v>768</v>
      </c>
      <c r="Y1231" s="408">
        <f t="shared" si="270"/>
        <v>307200</v>
      </c>
      <c r="Z1231" s="409">
        <f t="shared" si="276"/>
        <v>0.52500000000000002</v>
      </c>
      <c r="AA1231" s="410">
        <f t="shared" si="277"/>
        <v>161280</v>
      </c>
      <c r="AB1231" s="411"/>
      <c r="AC1231" s="412">
        <v>0</v>
      </c>
      <c r="AD1231" s="421"/>
      <c r="AE1231" s="413"/>
      <c r="AF1231" s="424">
        <f t="shared" si="278"/>
        <v>161280</v>
      </c>
      <c r="AG1231" s="405" t="s">
        <v>1069</v>
      </c>
      <c r="AH1231" s="405"/>
      <c r="AI1231" s="414">
        <v>60</v>
      </c>
      <c r="AJ1231" s="405" t="s">
        <v>2053</v>
      </c>
      <c r="AK1231" s="425" t="s">
        <v>1136</v>
      </c>
      <c r="AL1231" s="405">
        <v>78216</v>
      </c>
      <c r="AM1231" s="405" t="s">
        <v>52</v>
      </c>
      <c r="AN1231" s="405"/>
      <c r="AO1231" s="405"/>
      <c r="AP1231" s="417"/>
      <c r="AQ1231" s="417" t="s">
        <v>37</v>
      </c>
      <c r="AR1231" s="417"/>
      <c r="AS1231" s="426"/>
      <c r="AT1231" s="426"/>
      <c r="AU1231" s="409"/>
      <c r="AV1231" s="402">
        <f>U1231</f>
        <v>49401140</v>
      </c>
      <c r="AW1231" s="402" cm="1">
        <f t="array" ref="AW1231">SUM(MID(0&amp;AV1231,LARGE(INDEX(ISNUMBER(--MID(AV1231,ROW($1:$8),1))*ROW($1:$8),),ROW($1:$8))+1,1)*10^ROW($1:$8)/10)</f>
        <v>49401140</v>
      </c>
      <c r="AX1231" s="402" t="str">
        <f>VLOOKUP($AW1231,'Item Master Data'!$A:$F,3,FALSE)</f>
        <v>Q.PEAK DUO BLK ML G10.a+</v>
      </c>
      <c r="AY1231" s="402">
        <f>VLOOKUP($AW1231,'Item Master Data'!$A:$F,6,FALSE)</f>
        <v>400</v>
      </c>
      <c r="AZ1231" s="402">
        <f>X1231/BA1231</f>
        <v>24</v>
      </c>
      <c r="BA1231" s="402">
        <f>VLOOKUP(AW1231,'Item Master Data'!$A:$G,7,FALSE)</f>
        <v>32</v>
      </c>
      <c r="BC1231" s="402">
        <f>W1231-AY1231</f>
        <v>0</v>
      </c>
    </row>
    <row r="1232" spans="1:55" s="402" customFormat="1">
      <c r="A1232" s="403"/>
      <c r="B1232" s="445"/>
      <c r="C1232" s="445"/>
      <c r="D1232" s="416" t="s">
        <v>1914</v>
      </c>
      <c r="E1232" s="405" t="s">
        <v>2051</v>
      </c>
      <c r="F1232" s="405"/>
      <c r="G1232" s="405">
        <v>2022</v>
      </c>
      <c r="H1232" s="405">
        <v>6</v>
      </c>
      <c r="I1232" s="416"/>
      <c r="J1232" s="406"/>
      <c r="K1232" s="414" t="s">
        <v>2059</v>
      </c>
      <c r="L1232" s="405" t="s">
        <v>1967</v>
      </c>
      <c r="M1232" s="418">
        <v>44511</v>
      </c>
      <c r="N1232" s="418">
        <v>44625</v>
      </c>
      <c r="O1232" s="418"/>
      <c r="P1232" s="406"/>
      <c r="Q1232" s="406"/>
      <c r="R1232" s="406"/>
      <c r="S1232" s="405" t="s">
        <v>1443</v>
      </c>
      <c r="T1232" s="405">
        <v>60</v>
      </c>
      <c r="U1232" s="405">
        <v>49401140</v>
      </c>
      <c r="V1232" s="405" t="s">
        <v>973</v>
      </c>
      <c r="W1232" s="405">
        <v>400</v>
      </c>
      <c r="X1232" s="407">
        <v>768</v>
      </c>
      <c r="Y1232" s="408">
        <f t="shared" si="270"/>
        <v>307200</v>
      </c>
      <c r="Z1232" s="409">
        <f t="shared" si="276"/>
        <v>0.52500000000000002</v>
      </c>
      <c r="AA1232" s="410">
        <f t="shared" si="277"/>
        <v>161280</v>
      </c>
      <c r="AB1232" s="411"/>
      <c r="AC1232" s="412">
        <v>0</v>
      </c>
      <c r="AD1232" s="421"/>
      <c r="AE1232" s="413"/>
      <c r="AF1232" s="424">
        <f t="shared" si="278"/>
        <v>161280</v>
      </c>
      <c r="AG1232" s="405" t="s">
        <v>1069</v>
      </c>
      <c r="AH1232" s="405"/>
      <c r="AI1232" s="414">
        <v>60</v>
      </c>
      <c r="AJ1232" s="405" t="s">
        <v>2053</v>
      </c>
      <c r="AK1232" s="425" t="s">
        <v>1136</v>
      </c>
      <c r="AL1232" s="405">
        <v>78216</v>
      </c>
      <c r="AM1232" s="405" t="s">
        <v>52</v>
      </c>
      <c r="AN1232" s="405"/>
      <c r="AO1232" s="405"/>
      <c r="AP1232" s="417"/>
      <c r="AQ1232" s="417" t="s">
        <v>37</v>
      </c>
      <c r="AR1232" s="417"/>
      <c r="AS1232" s="426"/>
      <c r="AT1232" s="426"/>
      <c r="AU1232" s="409"/>
    </row>
    <row r="1233" spans="1:55" s="402" customFormat="1">
      <c r="A1233" s="403"/>
      <c r="B1233" s="445"/>
      <c r="C1233" s="445"/>
      <c r="D1233" s="416" t="s">
        <v>1914</v>
      </c>
      <c r="E1233" s="405"/>
      <c r="F1233" s="405"/>
      <c r="G1233" s="405">
        <v>2022</v>
      </c>
      <c r="H1233" s="405">
        <v>6</v>
      </c>
      <c r="I1233" s="416"/>
      <c r="J1233" s="406"/>
      <c r="K1233" s="414" t="s">
        <v>2060</v>
      </c>
      <c r="L1233" s="405" t="s">
        <v>1967</v>
      </c>
      <c r="M1233" s="418">
        <v>44511</v>
      </c>
      <c r="N1233" s="418">
        <v>44625</v>
      </c>
      <c r="O1233" s="418"/>
      <c r="P1233" s="406"/>
      <c r="Q1233" s="406"/>
      <c r="R1233" s="406"/>
      <c r="S1233" s="405" t="s">
        <v>1443</v>
      </c>
      <c r="T1233" s="405">
        <v>60</v>
      </c>
      <c r="U1233" s="405">
        <v>49401140</v>
      </c>
      <c r="V1233" s="405" t="s">
        <v>973</v>
      </c>
      <c r="W1233" s="405">
        <v>400</v>
      </c>
      <c r="X1233" s="407">
        <v>768</v>
      </c>
      <c r="Y1233" s="408">
        <f t="shared" si="270"/>
        <v>307200</v>
      </c>
      <c r="Z1233" s="409">
        <f t="shared" si="276"/>
        <v>0.52500000000000002</v>
      </c>
      <c r="AA1233" s="410">
        <f t="shared" si="277"/>
        <v>161280</v>
      </c>
      <c r="AB1233" s="411"/>
      <c r="AC1233" s="412">
        <v>0</v>
      </c>
      <c r="AD1233" s="421"/>
      <c r="AE1233" s="413"/>
      <c r="AF1233" s="424">
        <f t="shared" si="278"/>
        <v>161280</v>
      </c>
      <c r="AG1233" s="405" t="s">
        <v>1069</v>
      </c>
      <c r="AH1233" s="405"/>
      <c r="AI1233" s="414">
        <v>60</v>
      </c>
      <c r="AJ1233" s="405" t="s">
        <v>2053</v>
      </c>
      <c r="AK1233" s="425" t="s">
        <v>1136</v>
      </c>
      <c r="AL1233" s="405">
        <v>78216</v>
      </c>
      <c r="AM1233" s="405" t="s">
        <v>52</v>
      </c>
      <c r="AN1233" s="405"/>
      <c r="AO1233" s="405"/>
      <c r="AP1233" s="417"/>
      <c r="AQ1233" s="417" t="s">
        <v>37</v>
      </c>
      <c r="AR1233" s="417"/>
      <c r="AS1233" s="426"/>
      <c r="AT1233" s="426"/>
      <c r="AU1233" s="409"/>
      <c r="AV1233" s="402">
        <f t="shared" ref="AV1233:AV1241" si="279">U1233</f>
        <v>49401140</v>
      </c>
      <c r="AW1233" s="402" cm="1">
        <f t="array" ref="AW1233">SUM(MID(0&amp;AV1233,LARGE(INDEX(ISNUMBER(--MID(AV1233,ROW($1:$8),1))*ROW($1:$8),),ROW($1:$8))+1,1)*10^ROW($1:$8)/10)</f>
        <v>49401140</v>
      </c>
      <c r="AX1233" s="402" t="str">
        <f>VLOOKUP($AW1233,'Item Master Data'!$A:$F,3,FALSE)</f>
        <v>Q.PEAK DUO BLK ML G10.a+</v>
      </c>
      <c r="AY1233" s="402">
        <f>VLOOKUP($AW1233,'Item Master Data'!$A:$F,6,FALSE)</f>
        <v>400</v>
      </c>
      <c r="AZ1233" s="402">
        <f t="shared" ref="AZ1233:AZ1241" si="280">X1233/BA1233</f>
        <v>24</v>
      </c>
      <c r="BA1233" s="402">
        <f>VLOOKUP(AW1233,'Item Master Data'!$A:$G,7,FALSE)</f>
        <v>32</v>
      </c>
      <c r="BC1233" s="402">
        <f t="shared" ref="BC1233:BC1241" si="281">W1233-AY1233</f>
        <v>0</v>
      </c>
    </row>
    <row r="1234" spans="1:55" s="402" customFormat="1">
      <c r="A1234" s="403"/>
      <c r="B1234" s="445"/>
      <c r="C1234" s="445"/>
      <c r="D1234" s="416" t="s">
        <v>1914</v>
      </c>
      <c r="E1234" s="405"/>
      <c r="F1234" s="405"/>
      <c r="G1234" s="405">
        <v>2022</v>
      </c>
      <c r="H1234" s="405">
        <v>6</v>
      </c>
      <c r="I1234" s="416"/>
      <c r="J1234" s="406"/>
      <c r="K1234" s="414" t="s">
        <v>2102</v>
      </c>
      <c r="L1234" s="405" t="s">
        <v>1967</v>
      </c>
      <c r="M1234" s="418">
        <v>44511</v>
      </c>
      <c r="N1234" s="418">
        <v>44654</v>
      </c>
      <c r="O1234" s="418"/>
      <c r="P1234" s="406"/>
      <c r="Q1234" s="406"/>
      <c r="R1234" s="406"/>
      <c r="S1234" s="405" t="s">
        <v>1443</v>
      </c>
      <c r="T1234" s="405">
        <v>60</v>
      </c>
      <c r="U1234" s="405" t="s">
        <v>1237</v>
      </c>
      <c r="V1234" s="405" t="s">
        <v>973</v>
      </c>
      <c r="W1234" s="405">
        <v>400</v>
      </c>
      <c r="X1234" s="407">
        <v>768</v>
      </c>
      <c r="Y1234" s="408">
        <f t="shared" si="270"/>
        <v>307200</v>
      </c>
      <c r="Z1234" s="409">
        <f t="shared" si="276"/>
        <v>0.52500000000000002</v>
      </c>
      <c r="AA1234" s="410">
        <f t="shared" si="277"/>
        <v>161280</v>
      </c>
      <c r="AB1234" s="411"/>
      <c r="AC1234" s="412">
        <v>0</v>
      </c>
      <c r="AD1234" s="421"/>
      <c r="AE1234" s="413"/>
      <c r="AF1234" s="424">
        <f t="shared" si="278"/>
        <v>161280</v>
      </c>
      <c r="AG1234" s="405" t="s">
        <v>1069</v>
      </c>
      <c r="AH1234" s="405"/>
      <c r="AI1234" s="414">
        <v>60</v>
      </c>
      <c r="AJ1234" s="405" t="s">
        <v>2053</v>
      </c>
      <c r="AK1234" s="425" t="s">
        <v>1136</v>
      </c>
      <c r="AL1234" s="405">
        <v>78216</v>
      </c>
      <c r="AM1234" s="405" t="s">
        <v>52</v>
      </c>
      <c r="AN1234" s="405"/>
      <c r="AO1234" s="405"/>
      <c r="AP1234" s="417"/>
      <c r="AQ1234" s="417" t="s">
        <v>37</v>
      </c>
      <c r="AR1234" s="417"/>
      <c r="AS1234" s="426"/>
      <c r="AT1234" s="426"/>
      <c r="AU1234" s="409"/>
      <c r="AV1234" s="402" t="str">
        <f t="shared" si="279"/>
        <v>30390456H</v>
      </c>
      <c r="AW1234" s="402" cm="1">
        <f t="array" ref="AW1234">SUM(MID(0&amp;AV1234,LARGE(INDEX(ISNUMBER(--MID(AV1234,ROW($1:$8),1))*ROW($1:$8),),ROW($1:$8))+1,1)*10^ROW($1:$8)/10)</f>
        <v>30390456</v>
      </c>
      <c r="AX1234" s="402" t="str">
        <f>VLOOKUP($AW1234,'Item Master Data'!$A:$F,3,FALSE)</f>
        <v>Q.PEAK DUO BLK ML G10+</v>
      </c>
      <c r="AY1234" s="402">
        <f>VLOOKUP($AW1234,'Item Master Data'!$A:$F,6,FALSE)</f>
        <v>400</v>
      </c>
      <c r="AZ1234" s="402">
        <f t="shared" si="280"/>
        <v>24</v>
      </c>
      <c r="BA1234" s="402">
        <f>VLOOKUP(AW1234,'Item Master Data'!$A:$G,7,FALSE)</f>
        <v>32</v>
      </c>
      <c r="BC1234" s="402">
        <f t="shared" si="281"/>
        <v>0</v>
      </c>
    </row>
    <row r="1235" spans="1:55" s="402" customFormat="1">
      <c r="A1235" s="403"/>
      <c r="B1235" s="445"/>
      <c r="C1235" s="445"/>
      <c r="D1235" s="416" t="s">
        <v>1914</v>
      </c>
      <c r="E1235" s="405"/>
      <c r="F1235" s="405"/>
      <c r="G1235" s="405">
        <v>2022</v>
      </c>
      <c r="H1235" s="405">
        <v>6</v>
      </c>
      <c r="I1235" s="416"/>
      <c r="J1235" s="406"/>
      <c r="K1235" s="414" t="s">
        <v>2103</v>
      </c>
      <c r="L1235" s="405" t="s">
        <v>1967</v>
      </c>
      <c r="M1235" s="418">
        <v>44511</v>
      </c>
      <c r="N1235" s="418">
        <v>44654</v>
      </c>
      <c r="O1235" s="418"/>
      <c r="P1235" s="406"/>
      <c r="Q1235" s="406"/>
      <c r="R1235" s="406"/>
      <c r="S1235" s="405" t="s">
        <v>1443</v>
      </c>
      <c r="T1235" s="405">
        <v>60</v>
      </c>
      <c r="U1235" s="405" t="s">
        <v>1237</v>
      </c>
      <c r="V1235" s="405" t="s">
        <v>973</v>
      </c>
      <c r="W1235" s="405">
        <v>400</v>
      </c>
      <c r="X1235" s="407">
        <v>768</v>
      </c>
      <c r="Y1235" s="408">
        <f t="shared" si="270"/>
        <v>307200</v>
      </c>
      <c r="Z1235" s="409">
        <f t="shared" si="276"/>
        <v>0.52500000000000002</v>
      </c>
      <c r="AA1235" s="410">
        <f t="shared" si="277"/>
        <v>161280</v>
      </c>
      <c r="AB1235" s="411"/>
      <c r="AC1235" s="412">
        <v>0</v>
      </c>
      <c r="AD1235" s="421"/>
      <c r="AE1235" s="413"/>
      <c r="AF1235" s="424">
        <f t="shared" si="278"/>
        <v>161280</v>
      </c>
      <c r="AG1235" s="405" t="s">
        <v>1069</v>
      </c>
      <c r="AH1235" s="405"/>
      <c r="AI1235" s="414">
        <v>60</v>
      </c>
      <c r="AJ1235" s="405" t="s">
        <v>2053</v>
      </c>
      <c r="AK1235" s="425" t="s">
        <v>1136</v>
      </c>
      <c r="AL1235" s="405">
        <v>78216</v>
      </c>
      <c r="AM1235" s="405" t="s">
        <v>52</v>
      </c>
      <c r="AN1235" s="405"/>
      <c r="AO1235" s="405"/>
      <c r="AP1235" s="417"/>
      <c r="AQ1235" s="417" t="s">
        <v>37</v>
      </c>
      <c r="AR1235" s="417"/>
      <c r="AS1235" s="426"/>
      <c r="AT1235" s="426"/>
      <c r="AU1235" s="409"/>
      <c r="AV1235" s="402" t="str">
        <f t="shared" si="279"/>
        <v>30390456H</v>
      </c>
      <c r="AW1235" s="402" cm="1">
        <f t="array" ref="AW1235">SUM(MID(0&amp;AV1235,LARGE(INDEX(ISNUMBER(--MID(AV1235,ROW($1:$8),1))*ROW($1:$8),),ROW($1:$8))+1,1)*10^ROW($1:$8)/10)</f>
        <v>30390456</v>
      </c>
      <c r="AX1235" s="402" t="str">
        <f>VLOOKUP($AW1235,'Item Master Data'!$A:$F,3,FALSE)</f>
        <v>Q.PEAK DUO BLK ML G10+</v>
      </c>
      <c r="AY1235" s="402">
        <f>VLOOKUP($AW1235,'Item Master Data'!$A:$F,6,FALSE)</f>
        <v>400</v>
      </c>
      <c r="AZ1235" s="402">
        <f t="shared" si="280"/>
        <v>24</v>
      </c>
      <c r="BA1235" s="402">
        <f>VLOOKUP(AW1235,'Item Master Data'!$A:$G,7,FALSE)</f>
        <v>32</v>
      </c>
      <c r="BC1235" s="402">
        <f t="shared" si="281"/>
        <v>0</v>
      </c>
    </row>
    <row r="1236" spans="1:55" s="402" customFormat="1">
      <c r="A1236" s="403"/>
      <c r="B1236" s="445"/>
      <c r="C1236" s="445"/>
      <c r="D1236" s="416" t="s">
        <v>1914</v>
      </c>
      <c r="E1236" s="405"/>
      <c r="F1236" s="405"/>
      <c r="G1236" s="405">
        <v>2022</v>
      </c>
      <c r="H1236" s="405">
        <v>6</v>
      </c>
      <c r="I1236" s="416"/>
      <c r="J1236" s="406"/>
      <c r="K1236" s="414" t="s">
        <v>2104</v>
      </c>
      <c r="L1236" s="405" t="s">
        <v>1967</v>
      </c>
      <c r="M1236" s="418">
        <v>44511</v>
      </c>
      <c r="N1236" s="418">
        <v>44654</v>
      </c>
      <c r="O1236" s="418"/>
      <c r="P1236" s="406"/>
      <c r="Q1236" s="406"/>
      <c r="R1236" s="406"/>
      <c r="S1236" s="405" t="s">
        <v>1443</v>
      </c>
      <c r="T1236" s="405">
        <v>60</v>
      </c>
      <c r="U1236" s="405" t="s">
        <v>1237</v>
      </c>
      <c r="V1236" s="405" t="s">
        <v>973</v>
      </c>
      <c r="W1236" s="405">
        <v>400</v>
      </c>
      <c r="X1236" s="407">
        <v>768</v>
      </c>
      <c r="Y1236" s="408">
        <f t="shared" si="270"/>
        <v>307200</v>
      </c>
      <c r="Z1236" s="409">
        <f t="shared" si="276"/>
        <v>0.52500000000000002</v>
      </c>
      <c r="AA1236" s="410">
        <f t="shared" si="277"/>
        <v>161280</v>
      </c>
      <c r="AB1236" s="411"/>
      <c r="AC1236" s="412">
        <v>0</v>
      </c>
      <c r="AD1236" s="421"/>
      <c r="AE1236" s="413"/>
      <c r="AF1236" s="424">
        <f t="shared" si="278"/>
        <v>161280</v>
      </c>
      <c r="AG1236" s="405" t="s">
        <v>1069</v>
      </c>
      <c r="AH1236" s="405"/>
      <c r="AI1236" s="414">
        <v>60</v>
      </c>
      <c r="AJ1236" s="405" t="s">
        <v>2053</v>
      </c>
      <c r="AK1236" s="425" t="s">
        <v>1136</v>
      </c>
      <c r="AL1236" s="405">
        <v>78216</v>
      </c>
      <c r="AM1236" s="405" t="s">
        <v>52</v>
      </c>
      <c r="AN1236" s="405"/>
      <c r="AO1236" s="405"/>
      <c r="AP1236" s="417"/>
      <c r="AQ1236" s="417" t="s">
        <v>37</v>
      </c>
      <c r="AR1236" s="417"/>
      <c r="AS1236" s="426"/>
      <c r="AT1236" s="426"/>
      <c r="AU1236" s="409"/>
      <c r="AV1236" s="402" t="str">
        <f t="shared" si="279"/>
        <v>30390456H</v>
      </c>
      <c r="AW1236" s="402" cm="1">
        <f t="array" ref="AW1236">SUM(MID(0&amp;AV1236,LARGE(INDEX(ISNUMBER(--MID(AV1236,ROW($1:$8),1))*ROW($1:$8),),ROW($1:$8))+1,1)*10^ROW($1:$8)/10)</f>
        <v>30390456</v>
      </c>
      <c r="AX1236" s="402" t="str">
        <f>VLOOKUP($AW1236,'Item Master Data'!$A:$F,3,FALSE)</f>
        <v>Q.PEAK DUO BLK ML G10+</v>
      </c>
      <c r="AY1236" s="402">
        <f>VLOOKUP($AW1236,'Item Master Data'!$A:$F,6,FALSE)</f>
        <v>400</v>
      </c>
      <c r="AZ1236" s="402">
        <f t="shared" si="280"/>
        <v>24</v>
      </c>
      <c r="BA1236" s="402">
        <f>VLOOKUP(AW1236,'Item Master Data'!$A:$G,7,FALSE)</f>
        <v>32</v>
      </c>
      <c r="BC1236" s="402">
        <f t="shared" si="281"/>
        <v>0</v>
      </c>
    </row>
    <row r="1237" spans="1:55" s="402" customFormat="1">
      <c r="A1237" s="403"/>
      <c r="B1237" s="445"/>
      <c r="C1237" s="445"/>
      <c r="D1237" s="416" t="s">
        <v>1914</v>
      </c>
      <c r="E1237" s="405"/>
      <c r="F1237" s="405"/>
      <c r="G1237" s="405">
        <v>2022</v>
      </c>
      <c r="H1237" s="405">
        <v>6</v>
      </c>
      <c r="I1237" s="416"/>
      <c r="J1237" s="406"/>
      <c r="K1237" s="414" t="s">
        <v>2105</v>
      </c>
      <c r="L1237" s="405" t="s">
        <v>1967</v>
      </c>
      <c r="M1237" s="418">
        <v>44511</v>
      </c>
      <c r="N1237" s="418">
        <v>44654</v>
      </c>
      <c r="O1237" s="418"/>
      <c r="P1237" s="406"/>
      <c r="Q1237" s="406"/>
      <c r="R1237" s="406"/>
      <c r="S1237" s="405" t="s">
        <v>1443</v>
      </c>
      <c r="T1237" s="405">
        <v>60</v>
      </c>
      <c r="U1237" s="405" t="s">
        <v>1237</v>
      </c>
      <c r="V1237" s="405" t="s">
        <v>973</v>
      </c>
      <c r="W1237" s="405">
        <v>400</v>
      </c>
      <c r="X1237" s="407">
        <v>768</v>
      </c>
      <c r="Y1237" s="408">
        <f t="shared" si="270"/>
        <v>307200</v>
      </c>
      <c r="Z1237" s="409">
        <f t="shared" si="276"/>
        <v>0.52500000000000002</v>
      </c>
      <c r="AA1237" s="410">
        <f t="shared" si="277"/>
        <v>161280</v>
      </c>
      <c r="AB1237" s="411"/>
      <c r="AC1237" s="412">
        <v>0</v>
      </c>
      <c r="AD1237" s="421"/>
      <c r="AE1237" s="413"/>
      <c r="AF1237" s="424">
        <f t="shared" si="278"/>
        <v>161280</v>
      </c>
      <c r="AG1237" s="405" t="s">
        <v>1069</v>
      </c>
      <c r="AH1237" s="405"/>
      <c r="AI1237" s="414">
        <v>60</v>
      </c>
      <c r="AJ1237" s="405" t="s">
        <v>2053</v>
      </c>
      <c r="AK1237" s="425" t="s">
        <v>1136</v>
      </c>
      <c r="AL1237" s="405">
        <v>78216</v>
      </c>
      <c r="AM1237" s="405" t="s">
        <v>52</v>
      </c>
      <c r="AN1237" s="405"/>
      <c r="AO1237" s="405"/>
      <c r="AP1237" s="417"/>
      <c r="AQ1237" s="417" t="s">
        <v>37</v>
      </c>
      <c r="AR1237" s="417"/>
      <c r="AS1237" s="426"/>
      <c r="AT1237" s="426"/>
      <c r="AU1237" s="409"/>
      <c r="AV1237" s="402" t="str">
        <f t="shared" si="279"/>
        <v>30390456H</v>
      </c>
      <c r="AW1237" s="402" cm="1">
        <f t="array" ref="AW1237">SUM(MID(0&amp;AV1237,LARGE(INDEX(ISNUMBER(--MID(AV1237,ROW($1:$8),1))*ROW($1:$8),),ROW($1:$8))+1,1)*10^ROW($1:$8)/10)</f>
        <v>30390456</v>
      </c>
      <c r="AX1237" s="402" t="str">
        <f>VLOOKUP($AW1237,'Item Master Data'!$A:$F,3,FALSE)</f>
        <v>Q.PEAK DUO BLK ML G10+</v>
      </c>
      <c r="AY1237" s="402">
        <f>VLOOKUP($AW1237,'Item Master Data'!$A:$F,6,FALSE)</f>
        <v>400</v>
      </c>
      <c r="AZ1237" s="402">
        <f t="shared" si="280"/>
        <v>24</v>
      </c>
      <c r="BA1237" s="402">
        <f>VLOOKUP(AW1237,'Item Master Data'!$A:$G,7,FALSE)</f>
        <v>32</v>
      </c>
      <c r="BC1237" s="402">
        <f t="shared" si="281"/>
        <v>0</v>
      </c>
    </row>
    <row r="1238" spans="1:55" s="402" customFormat="1">
      <c r="A1238" s="403"/>
      <c r="B1238" s="445"/>
      <c r="C1238" s="445"/>
      <c r="D1238" s="416" t="s">
        <v>1914</v>
      </c>
      <c r="E1238" s="405"/>
      <c r="F1238" s="405"/>
      <c r="G1238" s="405">
        <v>2022</v>
      </c>
      <c r="H1238" s="405">
        <v>6</v>
      </c>
      <c r="I1238" s="416"/>
      <c r="J1238" s="406"/>
      <c r="K1238" s="414" t="s">
        <v>2106</v>
      </c>
      <c r="L1238" s="405" t="s">
        <v>1967</v>
      </c>
      <c r="M1238" s="418">
        <v>44511</v>
      </c>
      <c r="N1238" s="418">
        <v>44654</v>
      </c>
      <c r="O1238" s="418"/>
      <c r="P1238" s="406"/>
      <c r="Q1238" s="406"/>
      <c r="R1238" s="406"/>
      <c r="S1238" s="405" t="s">
        <v>1443</v>
      </c>
      <c r="T1238" s="405">
        <v>60</v>
      </c>
      <c r="U1238" s="405" t="s">
        <v>1237</v>
      </c>
      <c r="V1238" s="405" t="s">
        <v>973</v>
      </c>
      <c r="W1238" s="405">
        <v>400</v>
      </c>
      <c r="X1238" s="407">
        <v>768</v>
      </c>
      <c r="Y1238" s="408">
        <f t="shared" si="270"/>
        <v>307200</v>
      </c>
      <c r="Z1238" s="409">
        <f t="shared" si="276"/>
        <v>0.52500000000000002</v>
      </c>
      <c r="AA1238" s="410">
        <f t="shared" si="277"/>
        <v>161280</v>
      </c>
      <c r="AB1238" s="411"/>
      <c r="AC1238" s="412">
        <v>0</v>
      </c>
      <c r="AD1238" s="421"/>
      <c r="AE1238" s="413"/>
      <c r="AF1238" s="424">
        <f t="shared" si="278"/>
        <v>161280</v>
      </c>
      <c r="AG1238" s="405" t="s">
        <v>1069</v>
      </c>
      <c r="AH1238" s="405"/>
      <c r="AI1238" s="414">
        <v>60</v>
      </c>
      <c r="AJ1238" s="405" t="s">
        <v>2053</v>
      </c>
      <c r="AK1238" s="425" t="s">
        <v>1136</v>
      </c>
      <c r="AL1238" s="405">
        <v>78216</v>
      </c>
      <c r="AM1238" s="405" t="s">
        <v>52</v>
      </c>
      <c r="AN1238" s="405"/>
      <c r="AO1238" s="405"/>
      <c r="AP1238" s="417"/>
      <c r="AQ1238" s="417" t="s">
        <v>37</v>
      </c>
      <c r="AR1238" s="417"/>
      <c r="AS1238" s="426"/>
      <c r="AT1238" s="426"/>
      <c r="AU1238" s="409"/>
      <c r="AV1238" s="402" t="str">
        <f t="shared" si="279"/>
        <v>30390456H</v>
      </c>
      <c r="AW1238" s="402" cm="1">
        <f t="array" ref="AW1238">SUM(MID(0&amp;AV1238,LARGE(INDEX(ISNUMBER(--MID(AV1238,ROW($1:$8),1))*ROW($1:$8),),ROW($1:$8))+1,1)*10^ROW($1:$8)/10)</f>
        <v>30390456</v>
      </c>
      <c r="AX1238" s="402" t="str">
        <f>VLOOKUP($AW1238,'Item Master Data'!$A:$F,3,FALSE)</f>
        <v>Q.PEAK DUO BLK ML G10+</v>
      </c>
      <c r="AY1238" s="402">
        <f>VLOOKUP($AW1238,'Item Master Data'!$A:$F,6,FALSE)</f>
        <v>400</v>
      </c>
      <c r="AZ1238" s="402">
        <f t="shared" si="280"/>
        <v>24</v>
      </c>
      <c r="BA1238" s="402">
        <f>VLOOKUP(AW1238,'Item Master Data'!$A:$G,7,FALSE)</f>
        <v>32</v>
      </c>
      <c r="BC1238" s="402">
        <f t="shared" si="281"/>
        <v>0</v>
      </c>
    </row>
    <row r="1239" spans="1:55" s="402" customFormat="1">
      <c r="A1239" s="403"/>
      <c r="B1239" s="445"/>
      <c r="C1239" s="445"/>
      <c r="D1239" s="416" t="s">
        <v>1914</v>
      </c>
      <c r="E1239" s="405" t="s">
        <v>1053</v>
      </c>
      <c r="F1239" s="405"/>
      <c r="G1239" s="405">
        <v>2022</v>
      </c>
      <c r="H1239" s="405">
        <v>6</v>
      </c>
      <c r="I1239" s="416"/>
      <c r="J1239" s="406"/>
      <c r="K1239" s="414" t="s">
        <v>2017</v>
      </c>
      <c r="L1239" s="405" t="s">
        <v>1967</v>
      </c>
      <c r="M1239" s="418">
        <v>44484</v>
      </c>
      <c r="N1239" s="418">
        <v>44599</v>
      </c>
      <c r="O1239" s="418"/>
      <c r="P1239" s="406"/>
      <c r="Q1239" s="406"/>
      <c r="R1239" s="406"/>
      <c r="S1239" s="405" t="s">
        <v>1443</v>
      </c>
      <c r="T1239" s="405">
        <v>60</v>
      </c>
      <c r="U1239" s="405">
        <v>49403140</v>
      </c>
      <c r="V1239" s="405" t="s">
        <v>973</v>
      </c>
      <c r="W1239" s="405">
        <v>400</v>
      </c>
      <c r="X1239" s="407">
        <v>768</v>
      </c>
      <c r="Y1239" s="408">
        <f t="shared" si="270"/>
        <v>307200</v>
      </c>
      <c r="Z1239" s="409">
        <f t="shared" si="276"/>
        <v>0.52500000000000002</v>
      </c>
      <c r="AA1239" s="410">
        <f t="shared" si="277"/>
        <v>161280</v>
      </c>
      <c r="AB1239" s="411"/>
      <c r="AC1239" s="412">
        <v>0</v>
      </c>
      <c r="AD1239" s="421"/>
      <c r="AE1239" s="413"/>
      <c r="AF1239" s="424">
        <f t="shared" si="278"/>
        <v>161280</v>
      </c>
      <c r="AG1239" s="405" t="s">
        <v>1069</v>
      </c>
      <c r="AH1239" s="405"/>
      <c r="AI1239" s="414">
        <v>60</v>
      </c>
      <c r="AJ1239" s="405" t="s">
        <v>1573</v>
      </c>
      <c r="AK1239" s="425" t="s">
        <v>50</v>
      </c>
      <c r="AL1239" s="405">
        <v>93308</v>
      </c>
      <c r="AM1239" s="405" t="s">
        <v>52</v>
      </c>
      <c r="AN1239" s="405" t="s">
        <v>1071</v>
      </c>
      <c r="AO1239" s="405"/>
      <c r="AP1239" s="417"/>
      <c r="AQ1239" s="417" t="s">
        <v>37</v>
      </c>
      <c r="AR1239" s="417"/>
      <c r="AS1239" s="426"/>
      <c r="AT1239" s="426"/>
      <c r="AU1239" s="409"/>
      <c r="AV1239" s="402">
        <f t="shared" si="279"/>
        <v>49403140</v>
      </c>
      <c r="AW1239" s="402" cm="1">
        <f t="array" ref="AW1239">SUM(MID(0&amp;AV1239,LARGE(INDEX(ISNUMBER(--MID(AV1239,ROW($1:$8),1))*ROW($1:$8),),ROW($1:$8))+1,1)*10^ROW($1:$8)/10)</f>
        <v>49403140</v>
      </c>
      <c r="AX1239" s="402" t="str">
        <f>VLOOKUP($AW1239,'Item Master Data'!$A:$F,3,FALSE)</f>
        <v>Q.PEAK DUO BLK ML G10+</v>
      </c>
      <c r="AY1239" s="402">
        <f>VLOOKUP($AW1239,'Item Master Data'!$A:$F,6,FALSE)</f>
        <v>400</v>
      </c>
      <c r="AZ1239" s="402">
        <f t="shared" si="280"/>
        <v>24</v>
      </c>
      <c r="BA1239" s="402">
        <f>VLOOKUP(AW1239,'Item Master Data'!$A:$G,7,FALSE)</f>
        <v>32</v>
      </c>
      <c r="BC1239" s="402">
        <f t="shared" si="281"/>
        <v>0</v>
      </c>
    </row>
    <row r="1240" spans="1:55" s="402" customFormat="1">
      <c r="A1240" s="403"/>
      <c r="B1240" s="445"/>
      <c r="C1240" s="445"/>
      <c r="D1240" s="416" t="s">
        <v>1914</v>
      </c>
      <c r="E1240" s="405" t="s">
        <v>1982</v>
      </c>
      <c r="F1240" s="405"/>
      <c r="G1240" s="405">
        <v>2022</v>
      </c>
      <c r="H1240" s="405">
        <v>6</v>
      </c>
      <c r="I1240" s="416"/>
      <c r="J1240" s="406"/>
      <c r="K1240" s="414" t="s">
        <v>2018</v>
      </c>
      <c r="L1240" s="405" t="s">
        <v>1967</v>
      </c>
      <c r="M1240" s="418">
        <v>44484</v>
      </c>
      <c r="N1240" s="418">
        <v>44605</v>
      </c>
      <c r="O1240" s="418"/>
      <c r="P1240" s="406"/>
      <c r="Q1240" s="406"/>
      <c r="R1240" s="406"/>
      <c r="S1240" s="405" t="s">
        <v>1443</v>
      </c>
      <c r="T1240" s="405">
        <v>60</v>
      </c>
      <c r="U1240" s="405">
        <v>49403140</v>
      </c>
      <c r="V1240" s="405" t="s">
        <v>973</v>
      </c>
      <c r="W1240" s="405">
        <v>400</v>
      </c>
      <c r="X1240" s="407">
        <v>768</v>
      </c>
      <c r="Y1240" s="408">
        <f t="shared" si="270"/>
        <v>307200</v>
      </c>
      <c r="Z1240" s="409">
        <f t="shared" si="276"/>
        <v>0.52500000000000002</v>
      </c>
      <c r="AA1240" s="410">
        <f t="shared" si="277"/>
        <v>161280</v>
      </c>
      <c r="AB1240" s="411"/>
      <c r="AC1240" s="412">
        <v>0</v>
      </c>
      <c r="AD1240" s="421"/>
      <c r="AE1240" s="413"/>
      <c r="AF1240" s="424">
        <f t="shared" si="278"/>
        <v>161280</v>
      </c>
      <c r="AG1240" s="405" t="s">
        <v>1069</v>
      </c>
      <c r="AH1240" s="405"/>
      <c r="AI1240" s="414">
        <v>60</v>
      </c>
      <c r="AJ1240" s="405" t="s">
        <v>1573</v>
      </c>
      <c r="AK1240" s="425" t="s">
        <v>50</v>
      </c>
      <c r="AL1240" s="405">
        <v>93308</v>
      </c>
      <c r="AM1240" s="405" t="s">
        <v>52</v>
      </c>
      <c r="AN1240" s="405" t="s">
        <v>1071</v>
      </c>
      <c r="AO1240" s="405"/>
      <c r="AP1240" s="417"/>
      <c r="AQ1240" s="417" t="s">
        <v>37</v>
      </c>
      <c r="AR1240" s="417"/>
      <c r="AS1240" s="426"/>
      <c r="AT1240" s="426"/>
      <c r="AU1240" s="409"/>
      <c r="AV1240" s="402">
        <f t="shared" si="279"/>
        <v>49403140</v>
      </c>
      <c r="AW1240" s="402" cm="1">
        <f t="array" ref="AW1240">SUM(MID(0&amp;AV1240,LARGE(INDEX(ISNUMBER(--MID(AV1240,ROW($1:$8),1))*ROW($1:$8),),ROW($1:$8))+1,1)*10^ROW($1:$8)/10)</f>
        <v>49403140</v>
      </c>
      <c r="AX1240" s="402" t="str">
        <f>VLOOKUP($AW1240,'Item Master Data'!$A:$F,3,FALSE)</f>
        <v>Q.PEAK DUO BLK ML G10+</v>
      </c>
      <c r="AY1240" s="402">
        <f>VLOOKUP($AW1240,'Item Master Data'!$A:$F,6,FALSE)</f>
        <v>400</v>
      </c>
      <c r="AZ1240" s="402">
        <f t="shared" si="280"/>
        <v>24</v>
      </c>
      <c r="BA1240" s="402">
        <f>VLOOKUP(AW1240,'Item Master Data'!$A:$G,7,FALSE)</f>
        <v>32</v>
      </c>
      <c r="BC1240" s="402">
        <f t="shared" si="281"/>
        <v>0</v>
      </c>
    </row>
    <row r="1241" spans="1:55" s="402" customFormat="1">
      <c r="A1241" s="403"/>
      <c r="B1241" s="445"/>
      <c r="C1241" s="445"/>
      <c r="D1241" s="416" t="s">
        <v>1914</v>
      </c>
      <c r="E1241" s="405" t="s">
        <v>1064</v>
      </c>
      <c r="F1241" s="405"/>
      <c r="G1241" s="405">
        <v>2022</v>
      </c>
      <c r="H1241" s="405">
        <v>6</v>
      </c>
      <c r="I1241" s="416"/>
      <c r="J1241" s="406"/>
      <c r="K1241" s="414" t="s">
        <v>2019</v>
      </c>
      <c r="L1241" s="405" t="s">
        <v>1967</v>
      </c>
      <c r="M1241" s="418">
        <v>44496</v>
      </c>
      <c r="N1241" s="418">
        <v>44610</v>
      </c>
      <c r="O1241" s="418"/>
      <c r="P1241" s="406"/>
      <c r="Q1241" s="406"/>
      <c r="R1241" s="406"/>
      <c r="S1241" s="405" t="s">
        <v>1443</v>
      </c>
      <c r="T1241" s="405">
        <v>60</v>
      </c>
      <c r="U1241" s="405">
        <v>49403140</v>
      </c>
      <c r="V1241" s="405" t="s">
        <v>973</v>
      </c>
      <c r="W1241" s="405">
        <v>400</v>
      </c>
      <c r="X1241" s="407">
        <v>768</v>
      </c>
      <c r="Y1241" s="408">
        <f t="shared" si="270"/>
        <v>307200</v>
      </c>
      <c r="Z1241" s="409">
        <f t="shared" si="276"/>
        <v>0.52500000000000002</v>
      </c>
      <c r="AA1241" s="410">
        <f t="shared" si="277"/>
        <v>161280</v>
      </c>
      <c r="AB1241" s="411"/>
      <c r="AC1241" s="412">
        <v>0</v>
      </c>
      <c r="AD1241" s="421"/>
      <c r="AE1241" s="413"/>
      <c r="AF1241" s="424">
        <f t="shared" si="278"/>
        <v>161280</v>
      </c>
      <c r="AG1241" s="405" t="s">
        <v>1069</v>
      </c>
      <c r="AH1241" s="405"/>
      <c r="AI1241" s="414" t="s">
        <v>1962</v>
      </c>
      <c r="AJ1241" s="405" t="s">
        <v>1969</v>
      </c>
      <c r="AK1241" s="425" t="s">
        <v>1125</v>
      </c>
      <c r="AL1241" s="405">
        <v>85008</v>
      </c>
      <c r="AM1241" s="405" t="s">
        <v>52</v>
      </c>
      <c r="AN1241" s="405" t="s">
        <v>1071</v>
      </c>
      <c r="AO1241" s="405"/>
      <c r="AP1241" s="417"/>
      <c r="AQ1241" s="417" t="s">
        <v>37</v>
      </c>
      <c r="AR1241" s="417"/>
      <c r="AS1241" s="426"/>
      <c r="AT1241" s="426"/>
      <c r="AU1241" s="409"/>
      <c r="AV1241" s="402">
        <f t="shared" si="279"/>
        <v>49403140</v>
      </c>
      <c r="AW1241" s="402" cm="1">
        <f t="array" ref="AW1241">SUM(MID(0&amp;AV1241,LARGE(INDEX(ISNUMBER(--MID(AV1241,ROW($1:$8),1))*ROW($1:$8),),ROW($1:$8))+1,1)*10^ROW($1:$8)/10)</f>
        <v>49403140</v>
      </c>
      <c r="AX1241" s="402" t="str">
        <f>VLOOKUP($AW1241,'Item Master Data'!$A:$F,3,FALSE)</f>
        <v>Q.PEAK DUO BLK ML G10+</v>
      </c>
      <c r="AY1241" s="402">
        <f>VLOOKUP($AW1241,'Item Master Data'!$A:$F,6,FALSE)</f>
        <v>400</v>
      </c>
      <c r="AZ1241" s="402">
        <f t="shared" si="280"/>
        <v>24</v>
      </c>
      <c r="BA1241" s="402">
        <f>VLOOKUP(AW1241,'Item Master Data'!$A:$G,7,FALSE)</f>
        <v>32</v>
      </c>
      <c r="BC1241" s="402">
        <f t="shared" si="281"/>
        <v>0</v>
      </c>
    </row>
    <row r="1242" spans="1:55" s="402" customFormat="1">
      <c r="A1242" s="403"/>
      <c r="B1242" s="445"/>
      <c r="C1242" s="445"/>
      <c r="D1242" s="416" t="s">
        <v>1914</v>
      </c>
      <c r="E1242" s="405" t="s">
        <v>1064</v>
      </c>
      <c r="F1242" s="405"/>
      <c r="G1242" s="405">
        <v>2022</v>
      </c>
      <c r="H1242" s="405">
        <v>6</v>
      </c>
      <c r="I1242" s="416"/>
      <c r="J1242" s="406"/>
      <c r="K1242" s="414" t="s">
        <v>2020</v>
      </c>
      <c r="L1242" s="405" t="s">
        <v>1967</v>
      </c>
      <c r="M1242" s="418">
        <v>44512</v>
      </c>
      <c r="N1242" s="418">
        <v>44597</v>
      </c>
      <c r="O1242" s="418"/>
      <c r="P1242" s="406"/>
      <c r="Q1242" s="406"/>
      <c r="R1242" s="406"/>
      <c r="S1242" s="405" t="s">
        <v>1443</v>
      </c>
      <c r="T1242" s="405">
        <v>60</v>
      </c>
      <c r="U1242" s="405">
        <v>49401140</v>
      </c>
      <c r="V1242" s="405" t="s">
        <v>973</v>
      </c>
      <c r="W1242" s="405">
        <v>400</v>
      </c>
      <c r="X1242" s="407">
        <v>768</v>
      </c>
      <c r="Y1242" s="408">
        <f t="shared" si="270"/>
        <v>307200</v>
      </c>
      <c r="Z1242" s="409">
        <f t="shared" si="276"/>
        <v>0.52500000000000002</v>
      </c>
      <c r="AA1242" s="410">
        <f t="shared" si="277"/>
        <v>161280</v>
      </c>
      <c r="AB1242" s="411"/>
      <c r="AC1242" s="412">
        <v>0</v>
      </c>
      <c r="AD1242" s="421"/>
      <c r="AE1242" s="413"/>
      <c r="AF1242" s="424">
        <f t="shared" si="278"/>
        <v>161280</v>
      </c>
      <c r="AG1242" s="405" t="s">
        <v>1069</v>
      </c>
      <c r="AH1242" s="405"/>
      <c r="AI1242" s="414">
        <v>60</v>
      </c>
      <c r="AJ1242" s="405" t="s">
        <v>1969</v>
      </c>
      <c r="AK1242" s="425" t="s">
        <v>1125</v>
      </c>
      <c r="AL1242" s="405">
        <v>85008</v>
      </c>
      <c r="AM1242" s="405" t="s">
        <v>52</v>
      </c>
      <c r="AN1242" s="405"/>
      <c r="AO1242" s="405"/>
      <c r="AP1242" s="417"/>
      <c r="AQ1242" s="417" t="s">
        <v>37</v>
      </c>
      <c r="AR1242" s="417"/>
      <c r="AS1242" s="426"/>
      <c r="AT1242" s="426"/>
      <c r="AU1242" s="409"/>
    </row>
    <row r="1243" spans="1:55" s="402" customFormat="1">
      <c r="A1243" s="403"/>
      <c r="B1243" s="445"/>
      <c r="C1243" s="445"/>
      <c r="D1243" s="416" t="s">
        <v>1914</v>
      </c>
      <c r="E1243" s="405" t="s">
        <v>1064</v>
      </c>
      <c r="F1243" s="405"/>
      <c r="G1243" s="405">
        <v>2022</v>
      </c>
      <c r="H1243" s="405">
        <v>6</v>
      </c>
      <c r="I1243" s="416"/>
      <c r="J1243" s="406"/>
      <c r="K1243" s="414" t="s">
        <v>2067</v>
      </c>
      <c r="L1243" s="405" t="s">
        <v>1967</v>
      </c>
      <c r="M1243" s="418">
        <v>44512</v>
      </c>
      <c r="N1243" s="418">
        <v>44635</v>
      </c>
      <c r="O1243" s="418"/>
      <c r="P1243" s="406"/>
      <c r="Q1243" s="406"/>
      <c r="R1243" s="406"/>
      <c r="S1243" s="405" t="s">
        <v>1443</v>
      </c>
      <c r="T1243" s="405">
        <v>60</v>
      </c>
      <c r="U1243" s="405">
        <v>49401140</v>
      </c>
      <c r="V1243" s="405" t="s">
        <v>973</v>
      </c>
      <c r="W1243" s="405">
        <v>400</v>
      </c>
      <c r="X1243" s="407">
        <v>768</v>
      </c>
      <c r="Y1243" s="408">
        <f t="shared" si="270"/>
        <v>307200</v>
      </c>
      <c r="Z1243" s="409">
        <f t="shared" si="276"/>
        <v>0.52500000000000002</v>
      </c>
      <c r="AA1243" s="410">
        <f t="shared" si="277"/>
        <v>161280</v>
      </c>
      <c r="AB1243" s="411"/>
      <c r="AC1243" s="412">
        <v>0</v>
      </c>
      <c r="AD1243" s="421"/>
      <c r="AE1243" s="413"/>
      <c r="AF1243" s="424">
        <f t="shared" si="278"/>
        <v>161280</v>
      </c>
      <c r="AG1243" s="405" t="s">
        <v>1069</v>
      </c>
      <c r="AH1243" s="405"/>
      <c r="AI1243" s="414">
        <v>60</v>
      </c>
      <c r="AJ1243" s="405" t="s">
        <v>1969</v>
      </c>
      <c r="AK1243" s="425" t="s">
        <v>1125</v>
      </c>
      <c r="AL1243" s="405">
        <v>85008</v>
      </c>
      <c r="AM1243" s="405" t="s">
        <v>52</v>
      </c>
      <c r="AN1243" s="405" t="s">
        <v>1071</v>
      </c>
      <c r="AO1243" s="405"/>
      <c r="AP1243" s="417"/>
      <c r="AQ1243" s="417" t="s">
        <v>37</v>
      </c>
      <c r="AR1243" s="417"/>
      <c r="AS1243" s="426"/>
      <c r="AT1243" s="426"/>
      <c r="AU1243" s="409"/>
      <c r="AV1243" s="402">
        <f t="shared" ref="AV1243:AV1248" si="282">U1243</f>
        <v>49401140</v>
      </c>
      <c r="AW1243" s="402" cm="1">
        <f t="array" ref="AW1243">SUM(MID(0&amp;AV1243,LARGE(INDEX(ISNUMBER(--MID(AV1243,ROW($1:$8),1))*ROW($1:$8),),ROW($1:$8))+1,1)*10^ROW($1:$8)/10)</f>
        <v>49401140</v>
      </c>
      <c r="AX1243" s="402" t="str">
        <f>VLOOKUP($AW1243,'Item Master Data'!$A:$F,3,FALSE)</f>
        <v>Q.PEAK DUO BLK ML G10.a+</v>
      </c>
      <c r="AY1243" s="402">
        <f>VLOOKUP($AW1243,'Item Master Data'!$A:$F,6,FALSE)</f>
        <v>400</v>
      </c>
      <c r="AZ1243" s="402">
        <f t="shared" ref="AZ1243:AZ1248" si="283">X1243/BA1243</f>
        <v>24</v>
      </c>
      <c r="BA1243" s="402">
        <f>VLOOKUP(AW1243,'Item Master Data'!$A:$G,7,FALSE)</f>
        <v>32</v>
      </c>
      <c r="BC1243" s="402">
        <f t="shared" ref="BC1243:BC1248" si="284">W1243-AY1243</f>
        <v>0</v>
      </c>
    </row>
    <row r="1244" spans="1:55" s="402" customFormat="1">
      <c r="A1244" s="403"/>
      <c r="B1244" s="445"/>
      <c r="C1244" s="445"/>
      <c r="D1244" s="416" t="s">
        <v>1914</v>
      </c>
      <c r="E1244" s="405" t="s">
        <v>4220</v>
      </c>
      <c r="F1244" s="405"/>
      <c r="G1244" s="405">
        <v>2022</v>
      </c>
      <c r="H1244" s="405">
        <v>6</v>
      </c>
      <c r="I1244" s="416"/>
      <c r="J1244" s="406"/>
      <c r="K1244" s="414" t="s">
        <v>2002</v>
      </c>
      <c r="L1244" s="405" t="s">
        <v>1967</v>
      </c>
      <c r="M1244" s="418">
        <v>44524</v>
      </c>
      <c r="N1244" s="418">
        <v>44576</v>
      </c>
      <c r="O1244" s="418"/>
      <c r="P1244" s="406"/>
      <c r="Q1244" s="406"/>
      <c r="R1244" s="406"/>
      <c r="S1244" s="405" t="s">
        <v>1443</v>
      </c>
      <c r="T1244" s="405">
        <v>60</v>
      </c>
      <c r="U1244" s="405">
        <v>49204132</v>
      </c>
      <c r="V1244" s="405" t="s">
        <v>1192</v>
      </c>
      <c r="W1244" s="405">
        <v>360</v>
      </c>
      <c r="X1244" s="407">
        <v>624</v>
      </c>
      <c r="Y1244" s="408">
        <f t="shared" si="270"/>
        <v>224640</v>
      </c>
      <c r="Z1244" s="409">
        <f>284.4/360</f>
        <v>0.78999999999999992</v>
      </c>
      <c r="AA1244" s="410">
        <f t="shared" si="277"/>
        <v>177465.59999999998</v>
      </c>
      <c r="AB1244" s="411"/>
      <c r="AC1244" s="412">
        <v>0</v>
      </c>
      <c r="AD1244" s="421"/>
      <c r="AE1244" s="413"/>
      <c r="AF1244" s="424">
        <f t="shared" si="278"/>
        <v>177465.59999999998</v>
      </c>
      <c r="AG1244" s="405" t="s">
        <v>1069</v>
      </c>
      <c r="AH1244" s="405"/>
      <c r="AI1244" s="414" t="s">
        <v>1962</v>
      </c>
      <c r="AJ1244" s="405" t="s">
        <v>1969</v>
      </c>
      <c r="AK1244" s="425" t="s">
        <v>1125</v>
      </c>
      <c r="AL1244" s="405">
        <v>85008</v>
      </c>
      <c r="AM1244" s="405" t="s">
        <v>52</v>
      </c>
      <c r="AN1244" s="405" t="s">
        <v>1071</v>
      </c>
      <c r="AO1244" s="405"/>
      <c r="AP1244" s="417"/>
      <c r="AQ1244" s="417" t="s">
        <v>37</v>
      </c>
      <c r="AR1244" s="417"/>
      <c r="AS1244" s="426"/>
      <c r="AT1244" s="426"/>
      <c r="AU1244" s="409"/>
      <c r="AV1244" s="402">
        <f t="shared" si="282"/>
        <v>49204132</v>
      </c>
      <c r="AW1244" s="402" cm="1">
        <f t="array" ref="AW1244">SUM(MID(0&amp;AV1244,LARGE(INDEX(ISNUMBER(--MID(AV1244,ROW($1:$8),1))*ROW($1:$8),),ROW($1:$8))+1,1)*10^ROW($1:$8)/10)</f>
        <v>49204132</v>
      </c>
      <c r="AX1244" s="402" t="str">
        <f>VLOOKUP($AW1244,'Item Master Data'!$A:$F,3,FALSE)</f>
        <v>Q.PEAK DUO BLK G10+/AC</v>
      </c>
      <c r="AY1244" s="402">
        <f>VLOOKUP($AW1244,'Item Master Data'!$A:$F,6,FALSE)</f>
        <v>360</v>
      </c>
      <c r="AZ1244" s="402">
        <f t="shared" si="283"/>
        <v>24</v>
      </c>
      <c r="BA1244" s="402">
        <f>VLOOKUP(AW1244,'Item Master Data'!$A:$G,7,FALSE)</f>
        <v>26</v>
      </c>
      <c r="BC1244" s="402">
        <f t="shared" si="284"/>
        <v>0</v>
      </c>
    </row>
    <row r="1245" spans="1:55" s="402" customFormat="1">
      <c r="A1245" s="403"/>
      <c r="B1245" s="445"/>
      <c r="C1245" s="445"/>
      <c r="D1245" s="416" t="s">
        <v>1914</v>
      </c>
      <c r="E1245" s="405"/>
      <c r="F1245" s="405"/>
      <c r="G1245" s="405">
        <v>2022</v>
      </c>
      <c r="H1245" s="405">
        <v>6</v>
      </c>
      <c r="I1245" s="416"/>
      <c r="J1245" s="406"/>
      <c r="K1245" s="414" t="s">
        <v>2111</v>
      </c>
      <c r="L1245" s="405" t="s">
        <v>1967</v>
      </c>
      <c r="M1245" s="418">
        <v>44512</v>
      </c>
      <c r="N1245" s="418">
        <v>44686</v>
      </c>
      <c r="O1245" s="418"/>
      <c r="P1245" s="406"/>
      <c r="Q1245" s="406"/>
      <c r="R1245" s="406"/>
      <c r="S1245" s="405" t="s">
        <v>1443</v>
      </c>
      <c r="T1245" s="405">
        <v>60</v>
      </c>
      <c r="U1245" s="405" t="s">
        <v>1237</v>
      </c>
      <c r="V1245" s="405" t="s">
        <v>973</v>
      </c>
      <c r="W1245" s="405">
        <v>400</v>
      </c>
      <c r="X1245" s="407">
        <v>768</v>
      </c>
      <c r="Y1245" s="408">
        <f t="shared" si="270"/>
        <v>307200</v>
      </c>
      <c r="Z1245" s="409">
        <f>222/400</f>
        <v>0.55500000000000005</v>
      </c>
      <c r="AA1245" s="410">
        <f t="shared" si="277"/>
        <v>170496.00000000003</v>
      </c>
      <c r="AB1245" s="411"/>
      <c r="AC1245" s="412">
        <v>0</v>
      </c>
      <c r="AD1245" s="421"/>
      <c r="AE1245" s="413"/>
      <c r="AF1245" s="424">
        <f t="shared" si="278"/>
        <v>170496.00000000003</v>
      </c>
      <c r="AG1245" s="405" t="s">
        <v>1069</v>
      </c>
      <c r="AH1245" s="405"/>
      <c r="AI1245" s="414">
        <v>60</v>
      </c>
      <c r="AJ1245" s="405" t="s">
        <v>1969</v>
      </c>
      <c r="AK1245" s="425" t="s">
        <v>1125</v>
      </c>
      <c r="AL1245" s="405">
        <v>85008</v>
      </c>
      <c r="AM1245" s="405" t="s">
        <v>52</v>
      </c>
      <c r="AN1245" s="405"/>
      <c r="AO1245" s="405"/>
      <c r="AP1245" s="417"/>
      <c r="AQ1245" s="417" t="s">
        <v>37</v>
      </c>
      <c r="AR1245" s="417"/>
      <c r="AS1245" s="426"/>
      <c r="AT1245" s="426"/>
      <c r="AU1245" s="409"/>
      <c r="AV1245" s="402" t="str">
        <f t="shared" si="282"/>
        <v>30390456H</v>
      </c>
      <c r="AW1245" s="402" cm="1">
        <f t="array" ref="AW1245">SUM(MID(0&amp;AV1245,LARGE(INDEX(ISNUMBER(--MID(AV1245,ROW($1:$8),1))*ROW($1:$8),),ROW($1:$8))+1,1)*10^ROW($1:$8)/10)</f>
        <v>30390456</v>
      </c>
      <c r="AX1245" s="402" t="str">
        <f>VLOOKUP($AW1245,'Item Master Data'!$A:$F,3,FALSE)</f>
        <v>Q.PEAK DUO BLK ML G10+</v>
      </c>
      <c r="AY1245" s="402">
        <f>VLOOKUP($AW1245,'Item Master Data'!$A:$F,6,FALSE)</f>
        <v>400</v>
      </c>
      <c r="AZ1245" s="402">
        <f t="shared" si="283"/>
        <v>24</v>
      </c>
      <c r="BA1245" s="402">
        <f>VLOOKUP(AW1245,'Item Master Data'!$A:$G,7,FALSE)</f>
        <v>32</v>
      </c>
      <c r="BC1245" s="402">
        <f t="shared" si="284"/>
        <v>0</v>
      </c>
    </row>
    <row r="1246" spans="1:55" s="402" customFormat="1">
      <c r="A1246" s="403"/>
      <c r="B1246" s="445"/>
      <c r="C1246" s="445"/>
      <c r="D1246" s="416" t="s">
        <v>1914</v>
      </c>
      <c r="E1246" s="405" t="s">
        <v>2155</v>
      </c>
      <c r="F1246" s="405"/>
      <c r="G1246" s="405">
        <v>2022</v>
      </c>
      <c r="H1246" s="405">
        <v>6</v>
      </c>
      <c r="I1246" s="416"/>
      <c r="J1246" s="406"/>
      <c r="K1246" s="414" t="s">
        <v>3409</v>
      </c>
      <c r="L1246" s="405" t="s">
        <v>1967</v>
      </c>
      <c r="M1246" s="418">
        <v>44545</v>
      </c>
      <c r="N1246" s="418">
        <v>44602</v>
      </c>
      <c r="O1246" s="418"/>
      <c r="P1246" s="406"/>
      <c r="Q1246" s="406"/>
      <c r="R1246" s="406"/>
      <c r="S1246" s="405" t="s">
        <v>1443</v>
      </c>
      <c r="T1246" s="405">
        <v>60</v>
      </c>
      <c r="U1246" s="405">
        <v>49204132</v>
      </c>
      <c r="V1246" s="405" t="s">
        <v>1192</v>
      </c>
      <c r="W1246" s="405">
        <v>360</v>
      </c>
      <c r="X1246" s="407">
        <v>832</v>
      </c>
      <c r="Y1246" s="408">
        <f t="shared" si="270"/>
        <v>299520</v>
      </c>
      <c r="Z1246" s="409">
        <v>0.83</v>
      </c>
      <c r="AA1246" s="410">
        <f t="shared" si="277"/>
        <v>248601.59999999998</v>
      </c>
      <c r="AB1246" s="411"/>
      <c r="AC1246" s="412">
        <f>AB1246*Y1246</f>
        <v>0</v>
      </c>
      <c r="AD1246" s="421"/>
      <c r="AE1246" s="413"/>
      <c r="AF1246" s="424">
        <f t="shared" si="278"/>
        <v>248601.59999999998</v>
      </c>
      <c r="AG1246" s="405" t="s">
        <v>1069</v>
      </c>
      <c r="AH1246" s="405"/>
      <c r="AI1246" s="414">
        <v>61</v>
      </c>
      <c r="AJ1246" s="405" t="s">
        <v>1968</v>
      </c>
      <c r="AK1246" s="425" t="s">
        <v>1599</v>
      </c>
      <c r="AL1246" s="405">
        <v>97211</v>
      </c>
      <c r="AM1246" s="405" t="s">
        <v>52</v>
      </c>
      <c r="AN1246" s="405"/>
      <c r="AO1246" s="405"/>
      <c r="AP1246" s="417"/>
      <c r="AQ1246" s="417" t="s">
        <v>37</v>
      </c>
      <c r="AR1246" s="417"/>
      <c r="AS1246" s="426"/>
      <c r="AT1246" s="426"/>
      <c r="AU1246" s="409"/>
      <c r="AV1246" s="402">
        <f t="shared" si="282"/>
        <v>49204132</v>
      </c>
      <c r="AW1246" s="402" cm="1">
        <f t="array" ref="AW1246">SUM(MID(0&amp;AV1246,LARGE(INDEX(ISNUMBER(--MID(AV1246,ROW($1:$8),1))*ROW($1:$8),),ROW($1:$8))+1,1)*10^ROW($1:$8)/10)</f>
        <v>49204132</v>
      </c>
      <c r="AX1246" s="402" t="str">
        <f>VLOOKUP($AW1246,'Item Master Data'!$A:$F,3,FALSE)</f>
        <v>Q.PEAK DUO BLK G10+/AC</v>
      </c>
      <c r="AY1246" s="402">
        <f>VLOOKUP($AW1246,'Item Master Data'!$A:$F,6,FALSE)</f>
        <v>360</v>
      </c>
      <c r="AZ1246" s="402">
        <f t="shared" si="283"/>
        <v>32</v>
      </c>
      <c r="BA1246" s="402">
        <f>VLOOKUP(AW1246,'Item Master Data'!$A:$G,7,FALSE)</f>
        <v>26</v>
      </c>
      <c r="BC1246" s="402">
        <f t="shared" si="284"/>
        <v>0</v>
      </c>
    </row>
    <row r="1247" spans="1:55" s="402" customFormat="1">
      <c r="A1247" s="403"/>
      <c r="B1247" s="445">
        <v>44580</v>
      </c>
      <c r="C1247" s="445">
        <v>44615</v>
      </c>
      <c r="D1247" s="416" t="s">
        <v>1914</v>
      </c>
      <c r="E1247" s="405" t="s">
        <v>2131</v>
      </c>
      <c r="F1247" s="405"/>
      <c r="G1247" s="405">
        <v>2022</v>
      </c>
      <c r="H1247" s="405">
        <v>7</v>
      </c>
      <c r="I1247" s="416"/>
      <c r="J1247" s="406"/>
      <c r="K1247" s="414" t="s">
        <v>2132</v>
      </c>
      <c r="L1247" s="405" t="s">
        <v>1915</v>
      </c>
      <c r="M1247" s="418">
        <v>44540</v>
      </c>
      <c r="N1247" s="418">
        <v>44719</v>
      </c>
      <c r="O1247" s="418"/>
      <c r="P1247" s="406"/>
      <c r="Q1247" s="406"/>
      <c r="R1247" s="406"/>
      <c r="S1247" s="405" t="s">
        <v>1443</v>
      </c>
      <c r="T1247" s="405">
        <v>60</v>
      </c>
      <c r="U1247" s="405" t="s">
        <v>1237</v>
      </c>
      <c r="V1247" s="405" t="s">
        <v>973</v>
      </c>
      <c r="W1247" s="405">
        <v>400</v>
      </c>
      <c r="X1247" s="407">
        <v>6656</v>
      </c>
      <c r="Y1247" s="408">
        <f t="shared" si="270"/>
        <v>2662400</v>
      </c>
      <c r="Z1247" s="409">
        <v>0.47</v>
      </c>
      <c r="AA1247" s="410">
        <f t="shared" si="277"/>
        <v>1251328</v>
      </c>
      <c r="AB1247" s="411"/>
      <c r="AC1247" s="412">
        <v>0</v>
      </c>
      <c r="AD1247" s="421"/>
      <c r="AE1247" s="413"/>
      <c r="AF1247" s="424">
        <f t="shared" si="278"/>
        <v>1251328</v>
      </c>
      <c r="AG1247" s="405" t="s">
        <v>47</v>
      </c>
      <c r="AH1247" s="405"/>
      <c r="AI1247" s="414" t="s">
        <v>1916</v>
      </c>
      <c r="AJ1247" s="405" t="s">
        <v>1917</v>
      </c>
      <c r="AK1247" s="425" t="s">
        <v>50</v>
      </c>
      <c r="AL1247" s="405">
        <v>91730</v>
      </c>
      <c r="AM1247" s="405" t="s">
        <v>52</v>
      </c>
      <c r="AN1247" s="405"/>
      <c r="AO1247" s="405"/>
      <c r="AP1247" s="417"/>
      <c r="AQ1247" s="417" t="s">
        <v>37</v>
      </c>
      <c r="AR1247" s="417"/>
      <c r="AS1247" s="426"/>
      <c r="AT1247" s="426"/>
      <c r="AU1247" s="409"/>
      <c r="AV1247" s="402" t="str">
        <f t="shared" si="282"/>
        <v>30390456H</v>
      </c>
      <c r="AW1247" s="402" cm="1">
        <f t="array" ref="AW1247">SUM(MID(0&amp;AV1247,LARGE(INDEX(ISNUMBER(--MID(AV1247,ROW($1:$8),1))*ROW($1:$8),),ROW($1:$8))+1,1)*10^ROW($1:$8)/10)</f>
        <v>30390456</v>
      </c>
      <c r="AX1247" s="402" t="str">
        <f>VLOOKUP($AW1247,'Item Master Data'!$A:$F,3,FALSE)</f>
        <v>Q.PEAK DUO BLK ML G10+</v>
      </c>
      <c r="AY1247" s="402">
        <f>VLOOKUP($AW1247,'Item Master Data'!$A:$F,6,FALSE)</f>
        <v>400</v>
      </c>
      <c r="AZ1247" s="402">
        <f t="shared" si="283"/>
        <v>208</v>
      </c>
      <c r="BA1247" s="402">
        <f>VLOOKUP(AW1247,'Item Master Data'!$A:$G,7,FALSE)</f>
        <v>32</v>
      </c>
      <c r="BC1247" s="402">
        <f t="shared" si="284"/>
        <v>0</v>
      </c>
    </row>
    <row r="1248" spans="1:55" s="402" customFormat="1">
      <c r="A1248" s="403"/>
      <c r="B1248" s="445">
        <v>44580</v>
      </c>
      <c r="C1248" s="445">
        <v>44615</v>
      </c>
      <c r="D1248" s="416" t="s">
        <v>1914</v>
      </c>
      <c r="E1248" s="405" t="s">
        <v>2131</v>
      </c>
      <c r="F1248" s="405"/>
      <c r="G1248" s="405">
        <v>2022</v>
      </c>
      <c r="H1248" s="405">
        <v>7</v>
      </c>
      <c r="I1248" s="416"/>
      <c r="J1248" s="406"/>
      <c r="K1248" s="414" t="s">
        <v>2133</v>
      </c>
      <c r="L1248" s="405" t="s">
        <v>1915</v>
      </c>
      <c r="M1248" s="418">
        <v>44540</v>
      </c>
      <c r="N1248" s="418">
        <v>44721</v>
      </c>
      <c r="O1248" s="418"/>
      <c r="P1248" s="406"/>
      <c r="Q1248" s="406"/>
      <c r="R1248" s="406"/>
      <c r="S1248" s="405" t="s">
        <v>1443</v>
      </c>
      <c r="T1248" s="405">
        <v>60</v>
      </c>
      <c r="U1248" s="405" t="s">
        <v>1237</v>
      </c>
      <c r="V1248" s="405" t="s">
        <v>973</v>
      </c>
      <c r="W1248" s="405">
        <v>400</v>
      </c>
      <c r="X1248" s="407">
        <v>5824</v>
      </c>
      <c r="Y1248" s="408">
        <f t="shared" si="270"/>
        <v>2329600</v>
      </c>
      <c r="Z1248" s="409">
        <v>0.47</v>
      </c>
      <c r="AA1248" s="410">
        <f t="shared" si="277"/>
        <v>1094912</v>
      </c>
      <c r="AB1248" s="411"/>
      <c r="AC1248" s="412">
        <v>0</v>
      </c>
      <c r="AD1248" s="421"/>
      <c r="AE1248" s="413"/>
      <c r="AF1248" s="424">
        <f t="shared" si="278"/>
        <v>1094912</v>
      </c>
      <c r="AG1248" s="405" t="s">
        <v>47</v>
      </c>
      <c r="AH1248" s="405"/>
      <c r="AI1248" s="414" t="s">
        <v>1916</v>
      </c>
      <c r="AJ1248" s="405" t="s">
        <v>1917</v>
      </c>
      <c r="AK1248" s="425" t="s">
        <v>50</v>
      </c>
      <c r="AL1248" s="405">
        <v>91730</v>
      </c>
      <c r="AM1248" s="405" t="s">
        <v>52</v>
      </c>
      <c r="AN1248" s="405"/>
      <c r="AO1248" s="405"/>
      <c r="AP1248" s="417"/>
      <c r="AQ1248" s="417" t="s">
        <v>37</v>
      </c>
      <c r="AR1248" s="417"/>
      <c r="AS1248" s="426"/>
      <c r="AT1248" s="426"/>
      <c r="AU1248" s="409"/>
      <c r="AV1248" s="402" t="str">
        <f t="shared" si="282"/>
        <v>30390456H</v>
      </c>
      <c r="AW1248" s="402" cm="1">
        <f t="array" ref="AW1248">SUM(MID(0&amp;AV1248,LARGE(INDEX(ISNUMBER(--MID(AV1248,ROW($1:$8),1))*ROW($1:$8),),ROW($1:$8))+1,1)*10^ROW($1:$8)/10)</f>
        <v>30390456</v>
      </c>
      <c r="AX1248" s="402" t="str">
        <f>VLOOKUP($AW1248,'Item Master Data'!$A:$F,3,FALSE)</f>
        <v>Q.PEAK DUO BLK ML G10+</v>
      </c>
      <c r="AY1248" s="402">
        <f>VLOOKUP($AW1248,'Item Master Data'!$A:$F,6,FALSE)</f>
        <v>400</v>
      </c>
      <c r="AZ1248" s="402">
        <f t="shared" si="283"/>
        <v>182</v>
      </c>
      <c r="BA1248" s="402">
        <f>VLOOKUP(AW1248,'Item Master Data'!$A:$G,7,FALSE)</f>
        <v>32</v>
      </c>
      <c r="BC1248" s="402">
        <f t="shared" si="284"/>
        <v>0</v>
      </c>
    </row>
    <row r="1249" spans="1:55" s="402" customFormat="1">
      <c r="A1249" s="403"/>
      <c r="B1249" s="445">
        <v>44580</v>
      </c>
      <c r="C1249" s="445">
        <v>44615</v>
      </c>
      <c r="D1249" s="416" t="s">
        <v>1914</v>
      </c>
      <c r="E1249" s="405" t="s">
        <v>2134</v>
      </c>
      <c r="F1249" s="405"/>
      <c r="G1249" s="405">
        <v>2022</v>
      </c>
      <c r="H1249" s="405">
        <v>7</v>
      </c>
      <c r="I1249" s="416"/>
      <c r="J1249" s="406"/>
      <c r="K1249" s="414" t="s">
        <v>2135</v>
      </c>
      <c r="L1249" s="405" t="s">
        <v>1915</v>
      </c>
      <c r="M1249" s="418">
        <v>44543</v>
      </c>
      <c r="N1249" s="418">
        <v>44720</v>
      </c>
      <c r="O1249" s="418"/>
      <c r="P1249" s="406"/>
      <c r="Q1249" s="406"/>
      <c r="R1249" s="406"/>
      <c r="S1249" s="405" t="s">
        <v>1443</v>
      </c>
      <c r="T1249" s="405">
        <v>60</v>
      </c>
      <c r="U1249" s="405" t="s">
        <v>1237</v>
      </c>
      <c r="V1249" s="405" t="s">
        <v>973</v>
      </c>
      <c r="W1249" s="405">
        <v>400</v>
      </c>
      <c r="X1249" s="407">
        <v>9152</v>
      </c>
      <c r="Y1249" s="408">
        <f t="shared" si="270"/>
        <v>3660800</v>
      </c>
      <c r="Z1249" s="409">
        <v>0.47</v>
      </c>
      <c r="AA1249" s="410">
        <f t="shared" si="277"/>
        <v>1720576</v>
      </c>
      <c r="AB1249" s="411"/>
      <c r="AC1249" s="412">
        <v>0</v>
      </c>
      <c r="AD1249" s="421"/>
      <c r="AE1249" s="413"/>
      <c r="AF1249" s="424">
        <f t="shared" si="278"/>
        <v>1720576</v>
      </c>
      <c r="AG1249" s="405" t="s">
        <v>47</v>
      </c>
      <c r="AH1249" s="405"/>
      <c r="AI1249" s="414" t="s">
        <v>1916</v>
      </c>
      <c r="AJ1249" s="405" t="s">
        <v>1449</v>
      </c>
      <c r="AK1249" s="425" t="s">
        <v>1070</v>
      </c>
      <c r="AL1249" s="405">
        <v>21075</v>
      </c>
      <c r="AM1249" s="405" t="s">
        <v>52</v>
      </c>
      <c r="AN1249" s="405"/>
      <c r="AO1249" s="405"/>
      <c r="AP1249" s="417"/>
      <c r="AQ1249" s="417" t="s">
        <v>37</v>
      </c>
      <c r="AR1249" s="417"/>
      <c r="AS1249" s="426"/>
      <c r="AT1249" s="426"/>
      <c r="AU1249" s="409"/>
    </row>
    <row r="1250" spans="1:55" s="402" customFormat="1">
      <c r="A1250" s="403"/>
      <c r="B1250" s="445">
        <v>44580</v>
      </c>
      <c r="C1250" s="445">
        <v>44615</v>
      </c>
      <c r="D1250" s="416" t="s">
        <v>1914</v>
      </c>
      <c r="E1250" s="405" t="s">
        <v>2134</v>
      </c>
      <c r="F1250" s="405"/>
      <c r="G1250" s="405">
        <v>2022</v>
      </c>
      <c r="H1250" s="405">
        <v>7</v>
      </c>
      <c r="I1250" s="416"/>
      <c r="J1250" s="406"/>
      <c r="K1250" s="414" t="s">
        <v>2136</v>
      </c>
      <c r="L1250" s="405" t="s">
        <v>1915</v>
      </c>
      <c r="M1250" s="418">
        <v>44547</v>
      </c>
      <c r="N1250" s="418">
        <v>44704</v>
      </c>
      <c r="O1250" s="418"/>
      <c r="P1250" s="406"/>
      <c r="Q1250" s="406"/>
      <c r="R1250" s="406"/>
      <c r="S1250" s="405" t="s">
        <v>1443</v>
      </c>
      <c r="T1250" s="405">
        <v>60</v>
      </c>
      <c r="U1250" s="405" t="s">
        <v>1237</v>
      </c>
      <c r="V1250" s="405" t="s">
        <v>973</v>
      </c>
      <c r="W1250" s="405">
        <v>400</v>
      </c>
      <c r="X1250" s="407">
        <v>8320</v>
      </c>
      <c r="Y1250" s="408">
        <f t="shared" si="270"/>
        <v>3328000</v>
      </c>
      <c r="Z1250" s="409">
        <v>0.47</v>
      </c>
      <c r="AA1250" s="410">
        <f t="shared" si="277"/>
        <v>1564160</v>
      </c>
      <c r="AB1250" s="411"/>
      <c r="AC1250" s="412">
        <v>0</v>
      </c>
      <c r="AD1250" s="421"/>
      <c r="AE1250" s="413"/>
      <c r="AF1250" s="424">
        <f t="shared" si="278"/>
        <v>1564160</v>
      </c>
      <c r="AG1250" s="405" t="s">
        <v>47</v>
      </c>
      <c r="AH1250" s="405"/>
      <c r="AI1250" s="414" t="s">
        <v>1916</v>
      </c>
      <c r="AJ1250" s="405" t="s">
        <v>1919</v>
      </c>
      <c r="AK1250" s="425" t="s">
        <v>1292</v>
      </c>
      <c r="AL1250" s="405">
        <v>17402</v>
      </c>
      <c r="AM1250" s="405" t="s">
        <v>52</v>
      </c>
      <c r="AN1250" s="405"/>
      <c r="AO1250" s="405"/>
      <c r="AP1250" s="417"/>
      <c r="AQ1250" s="417" t="s">
        <v>37</v>
      </c>
      <c r="AR1250" s="417"/>
      <c r="AS1250" s="426"/>
      <c r="AT1250" s="426"/>
      <c r="AU1250" s="409"/>
      <c r="AV1250" s="402" t="str">
        <f>U1250</f>
        <v>30390456H</v>
      </c>
      <c r="AW1250" s="402" cm="1">
        <f t="array" ref="AW1250">SUM(MID(0&amp;AV1250,LARGE(INDEX(ISNUMBER(--MID(AV1250,ROW($1:$8),1))*ROW($1:$8),),ROW($1:$8))+1,1)*10^ROW($1:$8)/10)</f>
        <v>30390456</v>
      </c>
      <c r="AX1250" s="402" t="str">
        <f>VLOOKUP($AW1250,'Item Master Data'!$A:$F,3,FALSE)</f>
        <v>Q.PEAK DUO BLK ML G10+</v>
      </c>
      <c r="AY1250" s="402">
        <f>VLOOKUP($AW1250,'Item Master Data'!$A:$F,6,FALSE)</f>
        <v>400</v>
      </c>
      <c r="AZ1250" s="402">
        <f>X1250/BA1250</f>
        <v>260</v>
      </c>
      <c r="BA1250" s="402">
        <f>VLOOKUP(AW1250,'Item Master Data'!$A:$G,7,FALSE)</f>
        <v>32</v>
      </c>
      <c r="BC1250" s="402">
        <f>W1250-AY1250</f>
        <v>0</v>
      </c>
    </row>
    <row r="1251" spans="1:55" s="402" customFormat="1">
      <c r="A1251" s="403"/>
      <c r="B1251" s="445">
        <v>44580</v>
      </c>
      <c r="C1251" s="445">
        <v>44615</v>
      </c>
      <c r="D1251" s="416" t="s">
        <v>1914</v>
      </c>
      <c r="E1251" s="405" t="s">
        <v>2134</v>
      </c>
      <c r="F1251" s="405"/>
      <c r="G1251" s="405">
        <v>2022</v>
      </c>
      <c r="H1251" s="405">
        <v>7</v>
      </c>
      <c r="I1251" s="416"/>
      <c r="J1251" s="406"/>
      <c r="K1251" s="414" t="s">
        <v>2137</v>
      </c>
      <c r="L1251" s="405" t="s">
        <v>1915</v>
      </c>
      <c r="M1251" s="418">
        <v>44547</v>
      </c>
      <c r="N1251" s="418">
        <v>44706</v>
      </c>
      <c r="O1251" s="418"/>
      <c r="P1251" s="406"/>
      <c r="Q1251" s="406"/>
      <c r="R1251" s="406"/>
      <c r="S1251" s="405" t="s">
        <v>1443</v>
      </c>
      <c r="T1251" s="405">
        <v>60</v>
      </c>
      <c r="U1251" s="405" t="s">
        <v>1237</v>
      </c>
      <c r="V1251" s="405" t="s">
        <v>973</v>
      </c>
      <c r="W1251" s="405">
        <v>400</v>
      </c>
      <c r="X1251" s="407">
        <v>8320</v>
      </c>
      <c r="Y1251" s="408">
        <f t="shared" si="270"/>
        <v>3328000</v>
      </c>
      <c r="Z1251" s="409">
        <v>0.47</v>
      </c>
      <c r="AA1251" s="410">
        <f t="shared" si="277"/>
        <v>1564160</v>
      </c>
      <c r="AB1251" s="411"/>
      <c r="AC1251" s="412">
        <v>0</v>
      </c>
      <c r="AD1251" s="421"/>
      <c r="AE1251" s="413"/>
      <c r="AF1251" s="424">
        <f t="shared" si="278"/>
        <v>1564160</v>
      </c>
      <c r="AG1251" s="405" t="s">
        <v>47</v>
      </c>
      <c r="AH1251" s="405"/>
      <c r="AI1251" s="414" t="s">
        <v>1916</v>
      </c>
      <c r="AJ1251" s="405" t="s">
        <v>1919</v>
      </c>
      <c r="AK1251" s="425" t="s">
        <v>1292</v>
      </c>
      <c r="AL1251" s="405">
        <v>17402</v>
      </c>
      <c r="AM1251" s="405" t="s">
        <v>52</v>
      </c>
      <c r="AN1251" s="405"/>
      <c r="AO1251" s="405"/>
      <c r="AP1251" s="417"/>
      <c r="AQ1251" s="417" t="s">
        <v>37</v>
      </c>
      <c r="AR1251" s="417"/>
      <c r="AS1251" s="426"/>
      <c r="AT1251" s="426"/>
      <c r="AU1251" s="409"/>
      <c r="AV1251" s="402" t="str">
        <f>U1251</f>
        <v>30390456H</v>
      </c>
      <c r="AW1251" s="402" cm="1">
        <f t="array" ref="AW1251">SUM(MID(0&amp;AV1251,LARGE(INDEX(ISNUMBER(--MID(AV1251,ROW($1:$8),1))*ROW($1:$8),),ROW($1:$8))+1,1)*10^ROW($1:$8)/10)</f>
        <v>30390456</v>
      </c>
      <c r="AX1251" s="402" t="str">
        <f>VLOOKUP($AW1251,'Item Master Data'!$A:$F,3,FALSE)</f>
        <v>Q.PEAK DUO BLK ML G10+</v>
      </c>
      <c r="AY1251" s="402">
        <f>VLOOKUP($AW1251,'Item Master Data'!$A:$F,6,FALSE)</f>
        <v>400</v>
      </c>
      <c r="AZ1251" s="402">
        <f>X1251/BA1251</f>
        <v>260</v>
      </c>
      <c r="BA1251" s="402">
        <f>VLOOKUP(AW1251,'Item Master Data'!$A:$G,7,FALSE)</f>
        <v>32</v>
      </c>
      <c r="BC1251" s="402">
        <f>W1251-AY1251</f>
        <v>0</v>
      </c>
    </row>
    <row r="1252" spans="1:55" s="402" customFormat="1">
      <c r="A1252" s="403"/>
      <c r="B1252" s="445">
        <v>44580</v>
      </c>
      <c r="C1252" s="445">
        <v>44615</v>
      </c>
      <c r="D1252" s="416" t="s">
        <v>1914</v>
      </c>
      <c r="E1252" s="405" t="s">
        <v>2134</v>
      </c>
      <c r="F1252" s="405"/>
      <c r="G1252" s="405">
        <v>2022</v>
      </c>
      <c r="H1252" s="405">
        <v>7</v>
      </c>
      <c r="I1252" s="416"/>
      <c r="J1252" s="406"/>
      <c r="K1252" s="414" t="s">
        <v>2138</v>
      </c>
      <c r="L1252" s="405" t="s">
        <v>1915</v>
      </c>
      <c r="M1252" s="418">
        <v>44547</v>
      </c>
      <c r="N1252" s="418">
        <v>44708</v>
      </c>
      <c r="O1252" s="418"/>
      <c r="P1252" s="406"/>
      <c r="Q1252" s="406"/>
      <c r="R1252" s="406"/>
      <c r="S1252" s="405" t="s">
        <v>1443</v>
      </c>
      <c r="T1252" s="405">
        <v>60</v>
      </c>
      <c r="U1252" s="405" t="s">
        <v>1237</v>
      </c>
      <c r="V1252" s="405" t="s">
        <v>973</v>
      </c>
      <c r="W1252" s="405">
        <v>400</v>
      </c>
      <c r="X1252" s="407">
        <v>8320</v>
      </c>
      <c r="Y1252" s="408">
        <f t="shared" si="270"/>
        <v>3328000</v>
      </c>
      <c r="Z1252" s="409">
        <v>0.47</v>
      </c>
      <c r="AA1252" s="410">
        <f t="shared" si="277"/>
        <v>1564160</v>
      </c>
      <c r="AB1252" s="411"/>
      <c r="AC1252" s="412">
        <v>0</v>
      </c>
      <c r="AD1252" s="421"/>
      <c r="AE1252" s="413"/>
      <c r="AF1252" s="424">
        <f t="shared" si="278"/>
        <v>1564160</v>
      </c>
      <c r="AG1252" s="405" t="s">
        <v>47</v>
      </c>
      <c r="AH1252" s="405"/>
      <c r="AI1252" s="414" t="s">
        <v>1916</v>
      </c>
      <c r="AJ1252" s="405" t="s">
        <v>1919</v>
      </c>
      <c r="AK1252" s="425" t="s">
        <v>1292</v>
      </c>
      <c r="AL1252" s="405">
        <v>17402</v>
      </c>
      <c r="AM1252" s="405" t="s">
        <v>52</v>
      </c>
      <c r="AN1252" s="405"/>
      <c r="AO1252" s="405"/>
      <c r="AP1252" s="417"/>
      <c r="AQ1252" s="417" t="s">
        <v>37</v>
      </c>
      <c r="AR1252" s="417"/>
      <c r="AS1252" s="426"/>
      <c r="AT1252" s="426"/>
      <c r="AU1252" s="409"/>
    </row>
    <row r="1253" spans="1:55" s="402" customFormat="1">
      <c r="A1253" s="403"/>
      <c r="B1253" s="445">
        <v>44580</v>
      </c>
      <c r="C1253" s="445">
        <v>44615</v>
      </c>
      <c r="D1253" s="416" t="s">
        <v>1914</v>
      </c>
      <c r="E1253" s="405" t="s">
        <v>2134</v>
      </c>
      <c r="F1253" s="405"/>
      <c r="G1253" s="405">
        <v>2022</v>
      </c>
      <c r="H1253" s="405">
        <v>7</v>
      </c>
      <c r="I1253" s="416"/>
      <c r="J1253" s="406"/>
      <c r="K1253" s="414" t="s">
        <v>2139</v>
      </c>
      <c r="L1253" s="405" t="s">
        <v>1915</v>
      </c>
      <c r="M1253" s="418">
        <v>44547</v>
      </c>
      <c r="N1253" s="418">
        <v>44733</v>
      </c>
      <c r="O1253" s="418"/>
      <c r="P1253" s="406"/>
      <c r="Q1253" s="406"/>
      <c r="R1253" s="406"/>
      <c r="S1253" s="405" t="s">
        <v>1443</v>
      </c>
      <c r="T1253" s="405">
        <v>60</v>
      </c>
      <c r="U1253" s="405" t="s">
        <v>1237</v>
      </c>
      <c r="V1253" s="405" t="s">
        <v>973</v>
      </c>
      <c r="W1253" s="405">
        <v>400</v>
      </c>
      <c r="X1253" s="407">
        <v>8320</v>
      </c>
      <c r="Y1253" s="408">
        <f t="shared" si="270"/>
        <v>3328000</v>
      </c>
      <c r="Z1253" s="409">
        <v>0.47</v>
      </c>
      <c r="AA1253" s="410">
        <f t="shared" si="277"/>
        <v>1564160</v>
      </c>
      <c r="AB1253" s="411"/>
      <c r="AC1253" s="412">
        <v>0</v>
      </c>
      <c r="AD1253" s="421"/>
      <c r="AE1253" s="413"/>
      <c r="AF1253" s="424">
        <f t="shared" si="278"/>
        <v>1564160</v>
      </c>
      <c r="AG1253" s="405" t="s">
        <v>47</v>
      </c>
      <c r="AH1253" s="405"/>
      <c r="AI1253" s="414" t="s">
        <v>1916</v>
      </c>
      <c r="AJ1253" s="405" t="s">
        <v>1919</v>
      </c>
      <c r="AK1253" s="425" t="s">
        <v>1292</v>
      </c>
      <c r="AL1253" s="405">
        <v>17402</v>
      </c>
      <c r="AM1253" s="405" t="s">
        <v>52</v>
      </c>
      <c r="AN1253" s="405"/>
      <c r="AO1253" s="405"/>
      <c r="AP1253" s="417"/>
      <c r="AQ1253" s="417" t="s">
        <v>37</v>
      </c>
      <c r="AR1253" s="417"/>
      <c r="AS1253" s="426"/>
      <c r="AT1253" s="426"/>
      <c r="AU1253" s="409"/>
      <c r="AV1253" s="402" t="str">
        <f>U1253</f>
        <v>30390456H</v>
      </c>
      <c r="AW1253" s="402" cm="1">
        <f t="array" ref="AW1253">SUM(MID(0&amp;AV1253,LARGE(INDEX(ISNUMBER(--MID(AV1253,ROW($1:$8),1))*ROW($1:$8),),ROW($1:$8))+1,1)*10^ROW($1:$8)/10)</f>
        <v>30390456</v>
      </c>
      <c r="AX1253" s="402" t="str">
        <f>VLOOKUP($AW1253,'Item Master Data'!$A:$F,3,FALSE)</f>
        <v>Q.PEAK DUO BLK ML G10+</v>
      </c>
      <c r="AY1253" s="402">
        <f>VLOOKUP($AW1253,'Item Master Data'!$A:$F,6,FALSE)</f>
        <v>400</v>
      </c>
      <c r="AZ1253" s="402">
        <f>X1253/BA1253</f>
        <v>260</v>
      </c>
      <c r="BA1253" s="402">
        <f>VLOOKUP(AW1253,'Item Master Data'!$A:$G,7,FALSE)</f>
        <v>32</v>
      </c>
      <c r="BC1253" s="402">
        <f>W1253-AY1253</f>
        <v>0</v>
      </c>
    </row>
    <row r="1254" spans="1:55" s="402" customFormat="1">
      <c r="A1254" s="403"/>
      <c r="B1254" s="445">
        <v>44580</v>
      </c>
      <c r="C1254" s="445">
        <v>44615</v>
      </c>
      <c r="D1254" s="416" t="s">
        <v>1914</v>
      </c>
      <c r="E1254" s="405" t="s">
        <v>2134</v>
      </c>
      <c r="F1254" s="405"/>
      <c r="G1254" s="405">
        <v>2022</v>
      </c>
      <c r="H1254" s="405">
        <v>7</v>
      </c>
      <c r="I1254" s="416"/>
      <c r="J1254" s="406"/>
      <c r="K1254" s="414" t="s">
        <v>2140</v>
      </c>
      <c r="L1254" s="405" t="s">
        <v>1915</v>
      </c>
      <c r="M1254" s="418">
        <v>44547</v>
      </c>
      <c r="N1254" s="418">
        <v>44765</v>
      </c>
      <c r="O1254" s="418"/>
      <c r="P1254" s="406"/>
      <c r="Q1254" s="406"/>
      <c r="R1254" s="406"/>
      <c r="S1254" s="405" t="s">
        <v>1443</v>
      </c>
      <c r="T1254" s="405">
        <v>60</v>
      </c>
      <c r="U1254" s="405" t="s">
        <v>1237</v>
      </c>
      <c r="V1254" s="405" t="s">
        <v>973</v>
      </c>
      <c r="W1254" s="405">
        <v>400</v>
      </c>
      <c r="X1254" s="407">
        <v>8320</v>
      </c>
      <c r="Y1254" s="408">
        <f t="shared" si="270"/>
        <v>3328000</v>
      </c>
      <c r="Z1254" s="409">
        <v>0.47</v>
      </c>
      <c r="AA1254" s="410">
        <f t="shared" si="277"/>
        <v>1564160</v>
      </c>
      <c r="AB1254" s="411"/>
      <c r="AC1254" s="412">
        <v>0</v>
      </c>
      <c r="AD1254" s="421"/>
      <c r="AE1254" s="413"/>
      <c r="AF1254" s="424">
        <f t="shared" si="278"/>
        <v>1564160</v>
      </c>
      <c r="AG1254" s="405" t="s">
        <v>47</v>
      </c>
      <c r="AH1254" s="405"/>
      <c r="AI1254" s="414" t="s">
        <v>1916</v>
      </c>
      <c r="AJ1254" s="405" t="s">
        <v>1919</v>
      </c>
      <c r="AK1254" s="425" t="s">
        <v>1292</v>
      </c>
      <c r="AL1254" s="405">
        <v>17402</v>
      </c>
      <c r="AM1254" s="405" t="s">
        <v>52</v>
      </c>
      <c r="AN1254" s="405"/>
      <c r="AO1254" s="405"/>
      <c r="AP1254" s="417"/>
      <c r="AQ1254" s="417" t="s">
        <v>37</v>
      </c>
      <c r="AR1254" s="417"/>
      <c r="AS1254" s="426"/>
      <c r="AT1254" s="426"/>
      <c r="AU1254" s="409"/>
    </row>
    <row r="1255" spans="1:55" s="402" customFormat="1">
      <c r="A1255" s="403"/>
      <c r="B1255" s="445"/>
      <c r="C1255" s="445">
        <v>44636</v>
      </c>
      <c r="D1255" s="416" t="s">
        <v>1914</v>
      </c>
      <c r="E1255" s="405"/>
      <c r="F1255" s="405"/>
      <c r="G1255" s="405">
        <v>2022</v>
      </c>
      <c r="H1255" s="405">
        <v>7</v>
      </c>
      <c r="I1255" s="416"/>
      <c r="J1255" s="406"/>
      <c r="K1255" s="414" t="s">
        <v>2084</v>
      </c>
      <c r="L1255" s="405" t="s">
        <v>2085</v>
      </c>
      <c r="M1255" s="418">
        <v>44628</v>
      </c>
      <c r="N1255" s="418">
        <v>44648</v>
      </c>
      <c r="O1255" s="418"/>
      <c r="P1255" s="406"/>
      <c r="Q1255" s="406"/>
      <c r="R1255" s="406"/>
      <c r="S1255" s="405" t="s">
        <v>1443</v>
      </c>
      <c r="T1255" s="405">
        <v>72</v>
      </c>
      <c r="U1255" s="405" t="s">
        <v>1237</v>
      </c>
      <c r="V1255" s="405" t="s">
        <v>1103</v>
      </c>
      <c r="W1255" s="405">
        <v>480</v>
      </c>
      <c r="X1255" s="407">
        <v>832</v>
      </c>
      <c r="Y1255" s="408">
        <f t="shared" si="270"/>
        <v>399360</v>
      </c>
      <c r="Z1255" s="409">
        <f>237.6/480</f>
        <v>0.495</v>
      </c>
      <c r="AA1255" s="410">
        <f t="shared" si="277"/>
        <v>197683.20000000001</v>
      </c>
      <c r="AB1255" s="411"/>
      <c r="AC1255" s="412">
        <f>AB1255*Y1255</f>
        <v>0</v>
      </c>
      <c r="AD1255" s="421"/>
      <c r="AE1255" s="413"/>
      <c r="AF1255" s="424">
        <f t="shared" si="278"/>
        <v>197683.20000000001</v>
      </c>
      <c r="AG1255" s="405" t="s">
        <v>47</v>
      </c>
      <c r="AH1255" s="405"/>
      <c r="AI1255" s="414" t="s">
        <v>1916</v>
      </c>
      <c r="AJ1255" s="405" t="s">
        <v>2086</v>
      </c>
      <c r="AK1255" s="425" t="s">
        <v>1292</v>
      </c>
      <c r="AL1255" s="405">
        <v>17026</v>
      </c>
      <c r="AM1255" s="405" t="s">
        <v>52</v>
      </c>
      <c r="AN1255" s="405" t="s">
        <v>1071</v>
      </c>
      <c r="AO1255" s="405"/>
      <c r="AP1255" s="417"/>
      <c r="AQ1255" s="417" t="s">
        <v>37</v>
      </c>
      <c r="AR1255" s="417"/>
      <c r="AS1255" s="426"/>
      <c r="AT1255" s="426"/>
      <c r="AU1255" s="409"/>
      <c r="AV1255" s="402" t="str">
        <f>U1255</f>
        <v>30390456H</v>
      </c>
      <c r="AW1255" s="402" cm="1">
        <f t="array" ref="AW1255">SUM(MID(0&amp;AV1255,LARGE(INDEX(ISNUMBER(--MID(AV1255,ROW($1:$8),1))*ROW($1:$8),),ROW($1:$8))+1,1)*10^ROW($1:$8)/10)</f>
        <v>30390456</v>
      </c>
      <c r="AX1255" s="402" t="str">
        <f>VLOOKUP($AW1255,'Item Master Data'!$A:$F,3,FALSE)</f>
        <v>Q.PEAK DUO BLK ML G10+</v>
      </c>
      <c r="AY1255" s="402">
        <f>VLOOKUP($AW1255,'Item Master Data'!$A:$F,6,FALSE)</f>
        <v>400</v>
      </c>
      <c r="AZ1255" s="402">
        <f>X1255/BA1255</f>
        <v>26</v>
      </c>
      <c r="BA1255" s="402">
        <f>VLOOKUP(AW1255,'Item Master Data'!$A:$G,7,FALSE)</f>
        <v>32</v>
      </c>
      <c r="BC1255" s="402">
        <f>W1255-AY1255</f>
        <v>80</v>
      </c>
    </row>
    <row r="1256" spans="1:55" s="402" customFormat="1">
      <c r="A1256" s="403"/>
      <c r="B1256" s="445"/>
      <c r="C1256" s="445">
        <v>44636</v>
      </c>
      <c r="D1256" s="416" t="s">
        <v>1914</v>
      </c>
      <c r="E1256" s="405"/>
      <c r="F1256" s="405"/>
      <c r="G1256" s="405">
        <v>2022</v>
      </c>
      <c r="H1256" s="405">
        <v>7</v>
      </c>
      <c r="I1256" s="416"/>
      <c r="J1256" s="406"/>
      <c r="K1256" s="414" t="s">
        <v>2087</v>
      </c>
      <c r="L1256" s="405" t="s">
        <v>2085</v>
      </c>
      <c r="M1256" s="418">
        <v>44628</v>
      </c>
      <c r="N1256" s="418">
        <v>44648</v>
      </c>
      <c r="O1256" s="418"/>
      <c r="P1256" s="406"/>
      <c r="Q1256" s="406"/>
      <c r="R1256" s="406"/>
      <c r="S1256" s="405" t="s">
        <v>1443</v>
      </c>
      <c r="T1256" s="405">
        <v>72</v>
      </c>
      <c r="U1256" s="405" t="s">
        <v>1237</v>
      </c>
      <c r="V1256" s="405" t="s">
        <v>1103</v>
      </c>
      <c r="W1256" s="405">
        <v>480</v>
      </c>
      <c r="X1256" s="407">
        <v>832</v>
      </c>
      <c r="Y1256" s="408">
        <f t="shared" si="270"/>
        <v>399360</v>
      </c>
      <c r="Z1256" s="409">
        <f>237.6/480</f>
        <v>0.495</v>
      </c>
      <c r="AA1256" s="410">
        <f t="shared" si="277"/>
        <v>197683.20000000001</v>
      </c>
      <c r="AB1256" s="411"/>
      <c r="AC1256" s="412">
        <f>AB1256*Y1256</f>
        <v>0</v>
      </c>
      <c r="AD1256" s="421"/>
      <c r="AE1256" s="413"/>
      <c r="AF1256" s="424">
        <f t="shared" si="278"/>
        <v>197683.20000000001</v>
      </c>
      <c r="AG1256" s="405" t="s">
        <v>47</v>
      </c>
      <c r="AH1256" s="405"/>
      <c r="AI1256" s="414" t="s">
        <v>1916</v>
      </c>
      <c r="AJ1256" s="405" t="s">
        <v>1609</v>
      </c>
      <c r="AK1256" s="425" t="s">
        <v>50</v>
      </c>
      <c r="AL1256" s="405">
        <v>93291</v>
      </c>
      <c r="AM1256" s="405" t="s">
        <v>52</v>
      </c>
      <c r="AN1256" s="405" t="s">
        <v>1071</v>
      </c>
      <c r="AO1256" s="405"/>
      <c r="AP1256" s="417"/>
      <c r="AQ1256" s="417" t="s">
        <v>37</v>
      </c>
      <c r="AR1256" s="417"/>
      <c r="AS1256" s="426"/>
      <c r="AT1256" s="426"/>
      <c r="AU1256" s="409"/>
    </row>
    <row r="1257" spans="1:55" s="402" customFormat="1">
      <c r="A1257" s="403"/>
      <c r="B1257" s="445"/>
      <c r="C1257" s="445">
        <v>44636</v>
      </c>
      <c r="D1257" s="416" t="s">
        <v>1914</v>
      </c>
      <c r="E1257" s="405"/>
      <c r="F1257" s="405"/>
      <c r="G1257" s="405">
        <v>2022</v>
      </c>
      <c r="H1257" s="405">
        <v>7</v>
      </c>
      <c r="I1257" s="416"/>
      <c r="J1257" s="406"/>
      <c r="K1257" s="414" t="s">
        <v>2141</v>
      </c>
      <c r="L1257" s="405" t="s">
        <v>2085</v>
      </c>
      <c r="M1257" s="418">
        <v>44628</v>
      </c>
      <c r="N1257" s="418">
        <v>44753</v>
      </c>
      <c r="O1257" s="418"/>
      <c r="P1257" s="406"/>
      <c r="Q1257" s="406"/>
      <c r="R1257" s="406"/>
      <c r="S1257" s="405" t="s">
        <v>1443</v>
      </c>
      <c r="T1257" s="405">
        <v>72</v>
      </c>
      <c r="U1257" s="405" t="s">
        <v>1237</v>
      </c>
      <c r="V1257" s="405" t="s">
        <v>1103</v>
      </c>
      <c r="W1257" s="405">
        <v>480</v>
      </c>
      <c r="X1257" s="407">
        <v>832</v>
      </c>
      <c r="Y1257" s="408">
        <f t="shared" si="270"/>
        <v>399360</v>
      </c>
      <c r="Z1257" s="409">
        <f>237.6/480</f>
        <v>0.495</v>
      </c>
      <c r="AA1257" s="410">
        <f t="shared" si="277"/>
        <v>197683.20000000001</v>
      </c>
      <c r="AB1257" s="411"/>
      <c r="AC1257" s="412">
        <f>AB1257*Y1257</f>
        <v>0</v>
      </c>
      <c r="AD1257" s="421"/>
      <c r="AE1257" s="413"/>
      <c r="AF1257" s="424">
        <f t="shared" si="278"/>
        <v>197683.20000000001</v>
      </c>
      <c r="AG1257" s="405" t="s">
        <v>47</v>
      </c>
      <c r="AH1257" s="405"/>
      <c r="AI1257" s="414" t="s">
        <v>1916</v>
      </c>
      <c r="AJ1257" s="405" t="s">
        <v>1609</v>
      </c>
      <c r="AK1257" s="425" t="s">
        <v>50</v>
      </c>
      <c r="AL1257" s="405">
        <v>93291</v>
      </c>
      <c r="AM1257" s="405" t="s">
        <v>52</v>
      </c>
      <c r="AN1257" s="405" t="s">
        <v>1071</v>
      </c>
      <c r="AO1257" s="405"/>
      <c r="AP1257" s="417"/>
      <c r="AQ1257" s="417" t="s">
        <v>37</v>
      </c>
      <c r="AR1257" s="417"/>
      <c r="AS1257" s="426"/>
      <c r="AT1257" s="426"/>
      <c r="AU1257" s="409"/>
    </row>
    <row r="1258" spans="1:55" s="402" customFormat="1">
      <c r="A1258" s="403"/>
      <c r="B1258" s="445"/>
      <c r="C1258" s="445"/>
      <c r="D1258" s="416" t="s">
        <v>1914</v>
      </c>
      <c r="E1258" s="405"/>
      <c r="F1258" s="405" t="s">
        <v>1139</v>
      </c>
      <c r="G1258" s="405">
        <v>2022</v>
      </c>
      <c r="H1258" s="405">
        <v>7</v>
      </c>
      <c r="I1258" s="416"/>
      <c r="J1258" s="406"/>
      <c r="K1258" s="414" t="s">
        <v>2088</v>
      </c>
      <c r="L1258" s="405" t="s">
        <v>1514</v>
      </c>
      <c r="M1258" s="418">
        <v>44504</v>
      </c>
      <c r="N1258" s="418">
        <v>44683</v>
      </c>
      <c r="O1258" s="418"/>
      <c r="P1258" s="406"/>
      <c r="Q1258" s="406"/>
      <c r="R1258" s="406"/>
      <c r="S1258" s="405" t="s">
        <v>1923</v>
      </c>
      <c r="T1258" s="405">
        <v>60</v>
      </c>
      <c r="U1258" s="405" t="s">
        <v>1237</v>
      </c>
      <c r="V1258" s="405" t="s">
        <v>973</v>
      </c>
      <c r="W1258" s="405">
        <v>400</v>
      </c>
      <c r="X1258" s="407">
        <v>768</v>
      </c>
      <c r="Y1258" s="408">
        <f t="shared" si="270"/>
        <v>307200</v>
      </c>
      <c r="Z1258" s="409">
        <f>220/400</f>
        <v>0.55000000000000004</v>
      </c>
      <c r="AA1258" s="410">
        <f t="shared" si="277"/>
        <v>168960</v>
      </c>
      <c r="AB1258" s="411"/>
      <c r="AC1258" s="412">
        <v>0</v>
      </c>
      <c r="AD1258" s="421"/>
      <c r="AE1258" s="413"/>
      <c r="AF1258" s="424">
        <f t="shared" si="278"/>
        <v>168960</v>
      </c>
      <c r="AG1258" s="405" t="s">
        <v>1069</v>
      </c>
      <c r="AH1258" s="405">
        <v>0</v>
      </c>
      <c r="AI1258" s="414">
        <v>60</v>
      </c>
      <c r="AJ1258" s="405" t="s">
        <v>1515</v>
      </c>
      <c r="AK1258" s="425" t="s">
        <v>50</v>
      </c>
      <c r="AL1258" s="405" t="s">
        <v>1529</v>
      </c>
      <c r="AM1258" s="405" t="s">
        <v>52</v>
      </c>
      <c r="AN1258" s="405" t="s">
        <v>1071</v>
      </c>
      <c r="AO1258" s="405"/>
      <c r="AP1258" s="417"/>
      <c r="AQ1258" s="417"/>
      <c r="AR1258" s="417" t="s">
        <v>1925</v>
      </c>
      <c r="AS1258" s="426"/>
      <c r="AT1258" s="426"/>
      <c r="AU1258" s="409">
        <v>0.48</v>
      </c>
      <c r="AV1258" s="402" t="str">
        <f>U1258</f>
        <v>30390456H</v>
      </c>
      <c r="AW1258" s="402" cm="1">
        <f t="array" ref="AW1258">SUM(MID(0&amp;AV1258,LARGE(INDEX(ISNUMBER(--MID(AV1258,ROW($1:$8),1))*ROW($1:$8),),ROW($1:$8))+1,1)*10^ROW($1:$8)/10)</f>
        <v>30390456</v>
      </c>
      <c r="AX1258" s="402" t="str">
        <f>VLOOKUP($AW1258,'Item Master Data'!$A:$F,3,FALSE)</f>
        <v>Q.PEAK DUO BLK ML G10+</v>
      </c>
      <c r="AY1258" s="402">
        <f>VLOOKUP($AW1258,'Item Master Data'!$A:$F,6,FALSE)</f>
        <v>400</v>
      </c>
      <c r="AZ1258" s="402">
        <f>X1258/BA1258</f>
        <v>24</v>
      </c>
      <c r="BA1258" s="402">
        <f>VLOOKUP(AW1258,'Item Master Data'!$A:$G,7,FALSE)</f>
        <v>32</v>
      </c>
      <c r="BC1258" s="402">
        <f>W1258-AY1258</f>
        <v>0</v>
      </c>
    </row>
    <row r="1259" spans="1:55" s="402" customFormat="1">
      <c r="A1259" s="403"/>
      <c r="B1259" s="445">
        <v>44508</v>
      </c>
      <c r="C1259" s="445">
        <v>44593</v>
      </c>
      <c r="D1259" s="416" t="s">
        <v>1914</v>
      </c>
      <c r="E1259" s="405" t="s">
        <v>1239</v>
      </c>
      <c r="F1259" s="405"/>
      <c r="G1259" s="405">
        <v>2022</v>
      </c>
      <c r="H1259" s="405">
        <v>7</v>
      </c>
      <c r="I1259" s="416"/>
      <c r="J1259" s="406"/>
      <c r="K1259" s="414" t="s">
        <v>2070</v>
      </c>
      <c r="L1259" s="405" t="s">
        <v>1928</v>
      </c>
      <c r="M1259" s="418">
        <v>44505</v>
      </c>
      <c r="N1259" s="418">
        <v>44652</v>
      </c>
      <c r="O1259" s="418"/>
      <c r="P1259" s="406"/>
      <c r="Q1259" s="406"/>
      <c r="R1259" s="406"/>
      <c r="S1259" s="405" t="s">
        <v>1923</v>
      </c>
      <c r="T1259" s="405">
        <v>60</v>
      </c>
      <c r="U1259" s="405" t="s">
        <v>1237</v>
      </c>
      <c r="V1259" s="405" t="s">
        <v>985</v>
      </c>
      <c r="W1259" s="405">
        <v>400</v>
      </c>
      <c r="X1259" s="407">
        <v>1280</v>
      </c>
      <c r="Y1259" s="408">
        <v>512000</v>
      </c>
      <c r="Z1259" s="409">
        <f>220/400</f>
        <v>0.55000000000000004</v>
      </c>
      <c r="AA1259" s="410">
        <f t="shared" si="277"/>
        <v>281600</v>
      </c>
      <c r="AB1259" s="411"/>
      <c r="AC1259" s="412">
        <v>0</v>
      </c>
      <c r="AD1259" s="421"/>
      <c r="AE1259" s="413"/>
      <c r="AF1259" s="424">
        <f t="shared" si="278"/>
        <v>281600</v>
      </c>
      <c r="AG1259" s="405" t="s">
        <v>1069</v>
      </c>
      <c r="AH1259" s="405"/>
      <c r="AI1259" s="414">
        <v>60</v>
      </c>
      <c r="AJ1259" s="405" t="s">
        <v>1929</v>
      </c>
      <c r="AK1259" s="425" t="s">
        <v>1930</v>
      </c>
      <c r="AL1259" s="405">
        <v>80223</v>
      </c>
      <c r="AM1259" s="405" t="s">
        <v>52</v>
      </c>
      <c r="AN1259" s="405" t="s">
        <v>1071</v>
      </c>
      <c r="AO1259" s="405"/>
      <c r="AP1259" s="417"/>
      <c r="AQ1259" s="417"/>
      <c r="AR1259" s="417" t="s">
        <v>1925</v>
      </c>
      <c r="AS1259" s="426"/>
      <c r="AT1259" s="426"/>
      <c r="AU1259" s="409">
        <v>0.48</v>
      </c>
      <c r="AV1259" s="402" t="str">
        <f>U1259</f>
        <v>30390456H</v>
      </c>
      <c r="AW1259" s="402" cm="1">
        <f t="array" ref="AW1259">SUM(MID(0&amp;AV1259,LARGE(INDEX(ISNUMBER(--MID(AV1259,ROW($1:$8),1))*ROW($1:$8),),ROW($1:$8))+1,1)*10^ROW($1:$8)/10)</f>
        <v>30390456</v>
      </c>
      <c r="AX1259" s="402" t="str">
        <f>VLOOKUP($AW1259,'Item Master Data'!$A:$F,3,FALSE)</f>
        <v>Q.PEAK DUO BLK ML G10+</v>
      </c>
      <c r="AY1259" s="402">
        <f>VLOOKUP($AW1259,'Item Master Data'!$A:$F,6,FALSE)</f>
        <v>400</v>
      </c>
      <c r="AZ1259" s="402">
        <f>X1259/BA1259</f>
        <v>40</v>
      </c>
      <c r="BA1259" s="402">
        <f>VLOOKUP(AW1259,'Item Master Data'!$A:$G,7,FALSE)</f>
        <v>32</v>
      </c>
      <c r="BC1259" s="402">
        <f>W1259-AY1259</f>
        <v>0</v>
      </c>
    </row>
    <row r="1260" spans="1:55" s="402" customFormat="1">
      <c r="A1260" s="403"/>
      <c r="B1260" s="445"/>
      <c r="C1260" s="445"/>
      <c r="D1260" s="416" t="s">
        <v>1914</v>
      </c>
      <c r="E1260" s="405"/>
      <c r="F1260" s="405" t="s">
        <v>1139</v>
      </c>
      <c r="G1260" s="405">
        <v>2022</v>
      </c>
      <c r="H1260" s="405">
        <v>7</v>
      </c>
      <c r="I1260" s="416"/>
      <c r="J1260" s="406"/>
      <c r="K1260" s="414" t="s">
        <v>2069</v>
      </c>
      <c r="L1260" s="405" t="s">
        <v>1682</v>
      </c>
      <c r="M1260" s="418">
        <v>44505</v>
      </c>
      <c r="N1260" s="418">
        <v>44655</v>
      </c>
      <c r="O1260" s="418"/>
      <c r="P1260" s="406"/>
      <c r="Q1260" s="406"/>
      <c r="R1260" s="406"/>
      <c r="S1260" s="405" t="s">
        <v>1923</v>
      </c>
      <c r="T1260" s="405">
        <v>60</v>
      </c>
      <c r="U1260" s="405">
        <v>49401140</v>
      </c>
      <c r="V1260" s="405" t="s">
        <v>973</v>
      </c>
      <c r="W1260" s="405">
        <v>400</v>
      </c>
      <c r="X1260" s="407">
        <v>768</v>
      </c>
      <c r="Y1260" s="408">
        <f t="shared" ref="Y1260:Y1275" si="285">X1260*W1260</f>
        <v>307200</v>
      </c>
      <c r="Z1260" s="409">
        <f>220/400</f>
        <v>0.55000000000000004</v>
      </c>
      <c r="AA1260" s="410">
        <f t="shared" si="277"/>
        <v>168960</v>
      </c>
      <c r="AB1260" s="411"/>
      <c r="AC1260" s="412">
        <v>0</v>
      </c>
      <c r="AD1260" s="421"/>
      <c r="AE1260" s="413"/>
      <c r="AF1260" s="424">
        <f t="shared" si="278"/>
        <v>168960</v>
      </c>
      <c r="AG1260" s="405" t="s">
        <v>1069</v>
      </c>
      <c r="AH1260" s="405">
        <v>0</v>
      </c>
      <c r="AI1260" s="414">
        <v>60</v>
      </c>
      <c r="AJ1260" s="405" t="s">
        <v>1684</v>
      </c>
      <c r="AK1260" s="425" t="s">
        <v>50</v>
      </c>
      <c r="AL1260" s="405" t="s">
        <v>1685</v>
      </c>
      <c r="AM1260" s="405" t="s">
        <v>52</v>
      </c>
      <c r="AN1260" s="405" t="s">
        <v>1071</v>
      </c>
      <c r="AO1260" s="405"/>
      <c r="AP1260" s="417"/>
      <c r="AQ1260" s="417"/>
      <c r="AR1260" s="417" t="s">
        <v>1925</v>
      </c>
      <c r="AS1260" s="426"/>
      <c r="AT1260" s="426"/>
      <c r="AU1260" s="409">
        <v>0.48</v>
      </c>
      <c r="AV1260" s="402">
        <f>U1260</f>
        <v>49401140</v>
      </c>
      <c r="AW1260" s="402" cm="1">
        <f t="array" ref="AW1260">SUM(MID(0&amp;AV1260,LARGE(INDEX(ISNUMBER(--MID(AV1260,ROW($1:$8),1))*ROW($1:$8),),ROW($1:$8))+1,1)*10^ROW($1:$8)/10)</f>
        <v>49401140</v>
      </c>
      <c r="AX1260" s="402" t="str">
        <f>VLOOKUP($AW1260,'Item Master Data'!$A:$F,3,FALSE)</f>
        <v>Q.PEAK DUO BLK ML G10.a+</v>
      </c>
      <c r="AY1260" s="402">
        <f>VLOOKUP($AW1260,'Item Master Data'!$A:$F,6,FALSE)</f>
        <v>400</v>
      </c>
      <c r="AZ1260" s="402">
        <f>X1260/BA1260</f>
        <v>24</v>
      </c>
      <c r="BA1260" s="402">
        <f>VLOOKUP(AW1260,'Item Master Data'!$A:$G,7,FALSE)</f>
        <v>32</v>
      </c>
      <c r="BC1260" s="402">
        <f>W1260-AY1260</f>
        <v>0</v>
      </c>
    </row>
    <row r="1261" spans="1:55" s="402" customFormat="1">
      <c r="A1261" s="403"/>
      <c r="B1261" s="445"/>
      <c r="C1261" s="445"/>
      <c r="D1261" s="416" t="s">
        <v>1914</v>
      </c>
      <c r="E1261" s="405"/>
      <c r="F1261" s="405" t="s">
        <v>1139</v>
      </c>
      <c r="G1261" s="405">
        <v>2022</v>
      </c>
      <c r="H1261" s="405">
        <v>7</v>
      </c>
      <c r="I1261" s="416"/>
      <c r="J1261" s="406"/>
      <c r="K1261" s="414" t="s">
        <v>2116</v>
      </c>
      <c r="L1261" s="405" t="s">
        <v>1682</v>
      </c>
      <c r="M1261" s="418">
        <v>44505</v>
      </c>
      <c r="N1261" s="418">
        <v>44684</v>
      </c>
      <c r="O1261" s="418"/>
      <c r="P1261" s="406"/>
      <c r="Q1261" s="406"/>
      <c r="R1261" s="406"/>
      <c r="S1261" s="405" t="s">
        <v>1923</v>
      </c>
      <c r="T1261" s="405">
        <v>60</v>
      </c>
      <c r="U1261" s="405" t="s">
        <v>1237</v>
      </c>
      <c r="V1261" s="405" t="s">
        <v>973</v>
      </c>
      <c r="W1261" s="405">
        <v>400</v>
      </c>
      <c r="X1261" s="407">
        <v>1920</v>
      </c>
      <c r="Y1261" s="408">
        <f t="shared" si="285"/>
        <v>768000</v>
      </c>
      <c r="Z1261" s="409">
        <f>220/400</f>
        <v>0.55000000000000004</v>
      </c>
      <c r="AA1261" s="410">
        <f t="shared" si="277"/>
        <v>422400.00000000006</v>
      </c>
      <c r="AB1261" s="411"/>
      <c r="AC1261" s="412">
        <v>0</v>
      </c>
      <c r="AD1261" s="421"/>
      <c r="AE1261" s="413"/>
      <c r="AF1261" s="424">
        <f t="shared" si="278"/>
        <v>422400.00000000006</v>
      </c>
      <c r="AG1261" s="405" t="s">
        <v>1069</v>
      </c>
      <c r="AH1261" s="405">
        <v>0</v>
      </c>
      <c r="AI1261" s="414">
        <v>60</v>
      </c>
      <c r="AJ1261" s="405" t="s">
        <v>1684</v>
      </c>
      <c r="AK1261" s="425" t="s">
        <v>50</v>
      </c>
      <c r="AL1261" s="405" t="s">
        <v>1685</v>
      </c>
      <c r="AM1261" s="405" t="s">
        <v>52</v>
      </c>
      <c r="AN1261" s="405" t="s">
        <v>1071</v>
      </c>
      <c r="AO1261" s="405"/>
      <c r="AP1261" s="417"/>
      <c r="AQ1261" s="417"/>
      <c r="AR1261" s="417" t="s">
        <v>1925</v>
      </c>
      <c r="AS1261" s="426"/>
      <c r="AT1261" s="426"/>
      <c r="AU1261" s="409">
        <v>0.48</v>
      </c>
      <c r="AV1261" s="402" t="str">
        <f>U1261</f>
        <v>30390456H</v>
      </c>
      <c r="AW1261" s="402" cm="1">
        <f t="array" ref="AW1261">SUM(MID(0&amp;AV1261,LARGE(INDEX(ISNUMBER(--MID(AV1261,ROW($1:$8),1))*ROW($1:$8),),ROW($1:$8))+1,1)*10^ROW($1:$8)/10)</f>
        <v>30390456</v>
      </c>
      <c r="AX1261" s="402" t="str">
        <f>VLOOKUP($AW1261,'Item Master Data'!$A:$F,3,FALSE)</f>
        <v>Q.PEAK DUO BLK ML G10+</v>
      </c>
      <c r="AY1261" s="402">
        <f>VLOOKUP($AW1261,'Item Master Data'!$A:$F,6,FALSE)</f>
        <v>400</v>
      </c>
      <c r="AZ1261" s="402">
        <f>X1261/BA1261</f>
        <v>60</v>
      </c>
      <c r="BA1261" s="402">
        <f>VLOOKUP(AW1261,'Item Master Data'!$A:$G,7,FALSE)</f>
        <v>32</v>
      </c>
      <c r="BC1261" s="402">
        <f>W1261-AY1261</f>
        <v>0</v>
      </c>
    </row>
    <row r="1262" spans="1:55" s="402" customFormat="1">
      <c r="A1262" s="403"/>
      <c r="B1262" s="445"/>
      <c r="C1262" s="445"/>
      <c r="D1262" s="416" t="s">
        <v>1914</v>
      </c>
      <c r="E1262" s="405"/>
      <c r="F1262" s="405"/>
      <c r="G1262" s="405">
        <v>2022</v>
      </c>
      <c r="H1262" s="405">
        <v>7</v>
      </c>
      <c r="I1262" s="416"/>
      <c r="J1262" s="406"/>
      <c r="K1262" s="414" t="s">
        <v>2168</v>
      </c>
      <c r="L1262" s="405" t="s">
        <v>1936</v>
      </c>
      <c r="M1262" s="418">
        <v>44530</v>
      </c>
      <c r="N1262" s="418">
        <v>44683</v>
      </c>
      <c r="O1262" s="418"/>
      <c r="P1262" s="406"/>
      <c r="Q1262" s="406"/>
      <c r="R1262" s="406"/>
      <c r="S1262" s="405" t="s">
        <v>1443</v>
      </c>
      <c r="T1262" s="405">
        <v>60</v>
      </c>
      <c r="U1262" s="405" t="s">
        <v>1237</v>
      </c>
      <c r="V1262" s="405" t="s">
        <v>985</v>
      </c>
      <c r="W1262" s="405">
        <v>400</v>
      </c>
      <c r="X1262" s="407">
        <v>4160</v>
      </c>
      <c r="Y1262" s="408">
        <f t="shared" si="285"/>
        <v>1664000</v>
      </c>
      <c r="Z1262" s="409">
        <f>184/400</f>
        <v>0.46</v>
      </c>
      <c r="AA1262" s="410">
        <f t="shared" si="277"/>
        <v>765440</v>
      </c>
      <c r="AB1262" s="411"/>
      <c r="AC1262" s="412">
        <v>0</v>
      </c>
      <c r="AD1262" s="421"/>
      <c r="AE1262" s="413"/>
      <c r="AF1262" s="424">
        <f t="shared" si="278"/>
        <v>765440</v>
      </c>
      <c r="AG1262" s="405" t="s">
        <v>1069</v>
      </c>
      <c r="AH1262" s="405"/>
      <c r="AI1262" s="414">
        <v>60</v>
      </c>
      <c r="AJ1262" s="405" t="s">
        <v>1938</v>
      </c>
      <c r="AK1262" s="425" t="s">
        <v>50</v>
      </c>
      <c r="AL1262" s="405">
        <v>93065</v>
      </c>
      <c r="AM1262" s="405" t="s">
        <v>52</v>
      </c>
      <c r="AN1262" s="405"/>
      <c r="AO1262" s="405"/>
      <c r="AP1262" s="417"/>
      <c r="AQ1262" s="417" t="s">
        <v>37</v>
      </c>
      <c r="AR1262" s="417"/>
      <c r="AS1262" s="426"/>
      <c r="AT1262" s="426"/>
      <c r="AU1262" s="409"/>
    </row>
    <row r="1263" spans="1:55" s="402" customFormat="1">
      <c r="A1263" s="403"/>
      <c r="B1263" s="445"/>
      <c r="C1263" s="445"/>
      <c r="D1263" s="416" t="s">
        <v>1914</v>
      </c>
      <c r="E1263" s="405"/>
      <c r="F1263" s="405"/>
      <c r="G1263" s="405">
        <v>2022</v>
      </c>
      <c r="H1263" s="405">
        <v>7</v>
      </c>
      <c r="I1263" s="416"/>
      <c r="J1263" s="406"/>
      <c r="K1263" s="414" t="s">
        <v>2145</v>
      </c>
      <c r="L1263" s="405" t="s">
        <v>1960</v>
      </c>
      <c r="M1263" s="418">
        <v>44463</v>
      </c>
      <c r="N1263" s="418">
        <v>44213</v>
      </c>
      <c r="O1263" s="418"/>
      <c r="P1263" s="406"/>
      <c r="Q1263" s="406"/>
      <c r="R1263" s="406"/>
      <c r="S1263" s="405" t="s">
        <v>1443</v>
      </c>
      <c r="T1263" s="405">
        <v>60</v>
      </c>
      <c r="U1263" s="405" t="s">
        <v>1237</v>
      </c>
      <c r="V1263" s="405" t="s">
        <v>985</v>
      </c>
      <c r="W1263" s="405">
        <v>395</v>
      </c>
      <c r="X1263" s="407">
        <v>832</v>
      </c>
      <c r="Y1263" s="408">
        <f t="shared" si="285"/>
        <v>328640</v>
      </c>
      <c r="Z1263" s="409">
        <v>0.53</v>
      </c>
      <c r="AA1263" s="410">
        <f t="shared" si="277"/>
        <v>174179.20000000001</v>
      </c>
      <c r="AB1263" s="411"/>
      <c r="AC1263" s="412">
        <v>0</v>
      </c>
      <c r="AD1263" s="421"/>
      <c r="AE1263" s="413"/>
      <c r="AF1263" s="424">
        <f t="shared" si="278"/>
        <v>174179.20000000001</v>
      </c>
      <c r="AG1263" s="405" t="s">
        <v>47</v>
      </c>
      <c r="AH1263" s="405" t="s">
        <v>1963</v>
      </c>
      <c r="AI1263" s="414">
        <v>60</v>
      </c>
      <c r="AJ1263" s="405" t="s">
        <v>1958</v>
      </c>
      <c r="AK1263" s="425" t="s">
        <v>1136</v>
      </c>
      <c r="AL1263" s="405" t="s">
        <v>1999</v>
      </c>
      <c r="AM1263" s="405" t="s">
        <v>52</v>
      </c>
      <c r="AN1263" s="405" t="s">
        <v>50</v>
      </c>
      <c r="AO1263" s="405"/>
      <c r="AP1263" s="417" t="s">
        <v>38</v>
      </c>
      <c r="AQ1263" s="417" t="s">
        <v>37</v>
      </c>
      <c r="AR1263" s="417"/>
      <c r="AS1263" s="426"/>
      <c r="AT1263" s="426"/>
      <c r="AU1263" s="409"/>
    </row>
    <row r="1264" spans="1:55" s="402" customFormat="1">
      <c r="A1264" s="403"/>
      <c r="B1264" s="445"/>
      <c r="C1264" s="445"/>
      <c r="D1264" s="416" t="s">
        <v>1914</v>
      </c>
      <c r="E1264" s="405"/>
      <c r="F1264" s="405"/>
      <c r="G1264" s="405">
        <v>2022</v>
      </c>
      <c r="H1264" s="405">
        <v>7</v>
      </c>
      <c r="I1264" s="416"/>
      <c r="J1264" s="406"/>
      <c r="K1264" s="414" t="s">
        <v>2146</v>
      </c>
      <c r="L1264" s="405" t="s">
        <v>1960</v>
      </c>
      <c r="M1264" s="418">
        <v>44463</v>
      </c>
      <c r="N1264" s="418">
        <v>44571</v>
      </c>
      <c r="O1264" s="418"/>
      <c r="P1264" s="406"/>
      <c r="Q1264" s="406"/>
      <c r="R1264" s="406"/>
      <c r="S1264" s="405" t="s">
        <v>1443</v>
      </c>
      <c r="T1264" s="405">
        <v>60</v>
      </c>
      <c r="U1264" s="405" t="s">
        <v>1237</v>
      </c>
      <c r="V1264" s="405" t="s">
        <v>985</v>
      </c>
      <c r="W1264" s="405">
        <v>395</v>
      </c>
      <c r="X1264" s="407">
        <v>832</v>
      </c>
      <c r="Y1264" s="408">
        <f t="shared" si="285"/>
        <v>328640</v>
      </c>
      <c r="Z1264" s="409">
        <v>0.53</v>
      </c>
      <c r="AA1264" s="410">
        <f t="shared" si="277"/>
        <v>174179.20000000001</v>
      </c>
      <c r="AB1264" s="411"/>
      <c r="AC1264" s="412">
        <v>0</v>
      </c>
      <c r="AD1264" s="421"/>
      <c r="AE1264" s="413"/>
      <c r="AF1264" s="424">
        <f t="shared" si="278"/>
        <v>174179.20000000001</v>
      </c>
      <c r="AG1264" s="405" t="s">
        <v>47</v>
      </c>
      <c r="AH1264" s="405" t="s">
        <v>1963</v>
      </c>
      <c r="AI1264" s="414">
        <v>60</v>
      </c>
      <c r="AJ1264" s="405" t="s">
        <v>1500</v>
      </c>
      <c r="AK1264" s="425" t="s">
        <v>1082</v>
      </c>
      <c r="AL1264" s="405" t="s">
        <v>1989</v>
      </c>
      <c r="AM1264" s="405" t="s">
        <v>52</v>
      </c>
      <c r="AN1264" s="405" t="s">
        <v>1071</v>
      </c>
      <c r="AO1264" s="405"/>
      <c r="AP1264" s="417"/>
      <c r="AQ1264" s="417" t="s">
        <v>37</v>
      </c>
      <c r="AR1264" s="417"/>
      <c r="AS1264" s="426"/>
      <c r="AT1264" s="426"/>
      <c r="AU1264" s="409"/>
    </row>
    <row r="1265" spans="1:55" s="402" customFormat="1">
      <c r="A1265" s="403"/>
      <c r="B1265" s="445"/>
      <c r="C1265" s="445"/>
      <c r="D1265" s="416" t="s">
        <v>1914</v>
      </c>
      <c r="E1265" s="405"/>
      <c r="F1265" s="405"/>
      <c r="G1265" s="405">
        <v>2022</v>
      </c>
      <c r="H1265" s="405">
        <v>7</v>
      </c>
      <c r="I1265" s="416"/>
      <c r="J1265" s="406"/>
      <c r="K1265" s="414" t="s">
        <v>2147</v>
      </c>
      <c r="L1265" s="405" t="s">
        <v>1960</v>
      </c>
      <c r="M1265" s="418">
        <v>44463</v>
      </c>
      <c r="N1265" s="418">
        <v>44606</v>
      </c>
      <c r="O1265" s="418"/>
      <c r="P1265" s="406"/>
      <c r="Q1265" s="406"/>
      <c r="R1265" s="406"/>
      <c r="S1265" s="405" t="s">
        <v>1443</v>
      </c>
      <c r="T1265" s="405">
        <v>60</v>
      </c>
      <c r="U1265" s="405" t="s">
        <v>1237</v>
      </c>
      <c r="V1265" s="405" t="s">
        <v>985</v>
      </c>
      <c r="W1265" s="405">
        <v>395</v>
      </c>
      <c r="X1265" s="407">
        <v>832</v>
      </c>
      <c r="Y1265" s="408">
        <f t="shared" si="285"/>
        <v>328640</v>
      </c>
      <c r="Z1265" s="409">
        <v>0.53</v>
      </c>
      <c r="AA1265" s="410">
        <f t="shared" si="277"/>
        <v>174179.20000000001</v>
      </c>
      <c r="AB1265" s="411"/>
      <c r="AC1265" s="412">
        <v>0</v>
      </c>
      <c r="AD1265" s="421"/>
      <c r="AE1265" s="413"/>
      <c r="AF1265" s="424">
        <f t="shared" si="278"/>
        <v>174179.20000000001</v>
      </c>
      <c r="AG1265" s="405" t="s">
        <v>47</v>
      </c>
      <c r="AH1265" s="405" t="s">
        <v>1963</v>
      </c>
      <c r="AI1265" s="414">
        <v>60</v>
      </c>
      <c r="AJ1265" s="405" t="s">
        <v>1958</v>
      </c>
      <c r="AK1265" s="425" t="s">
        <v>1136</v>
      </c>
      <c r="AL1265" s="405" t="s">
        <v>1999</v>
      </c>
      <c r="AM1265" s="405" t="s">
        <v>52</v>
      </c>
      <c r="AN1265" s="405" t="s">
        <v>1071</v>
      </c>
      <c r="AO1265" s="405"/>
      <c r="AP1265" s="417"/>
      <c r="AQ1265" s="417" t="s">
        <v>37</v>
      </c>
      <c r="AR1265" s="417"/>
      <c r="AS1265" s="426"/>
      <c r="AT1265" s="426"/>
      <c r="AU1265" s="409"/>
    </row>
    <row r="1266" spans="1:55" s="402" customFormat="1">
      <c r="A1266" s="403"/>
      <c r="B1266" s="445"/>
      <c r="C1266" s="445"/>
      <c r="D1266" s="416" t="s">
        <v>1914</v>
      </c>
      <c r="E1266" s="405" t="s">
        <v>2065</v>
      </c>
      <c r="F1266" s="405"/>
      <c r="G1266" s="405">
        <v>2022</v>
      </c>
      <c r="H1266" s="405">
        <v>7</v>
      </c>
      <c r="I1266" s="416"/>
      <c r="J1266" s="406"/>
      <c r="K1266" s="414" t="s">
        <v>2148</v>
      </c>
      <c r="L1266" s="405" t="s">
        <v>1960</v>
      </c>
      <c r="M1266" s="418">
        <v>44482</v>
      </c>
      <c r="N1266" s="418">
        <v>44747</v>
      </c>
      <c r="O1266" s="418"/>
      <c r="P1266" s="406"/>
      <c r="Q1266" s="406"/>
      <c r="R1266" s="406"/>
      <c r="S1266" s="405" t="s">
        <v>1443</v>
      </c>
      <c r="T1266" s="405">
        <v>60</v>
      </c>
      <c r="U1266" s="405" t="s">
        <v>1237</v>
      </c>
      <c r="V1266" s="405" t="s">
        <v>985</v>
      </c>
      <c r="W1266" s="405">
        <v>395</v>
      </c>
      <c r="X1266" s="407">
        <v>832</v>
      </c>
      <c r="Y1266" s="408">
        <f t="shared" si="285"/>
        <v>328640</v>
      </c>
      <c r="Z1266" s="409">
        <v>0.53</v>
      </c>
      <c r="AA1266" s="410">
        <f t="shared" si="277"/>
        <v>174179.20000000001</v>
      </c>
      <c r="AB1266" s="411"/>
      <c r="AC1266" s="412">
        <v>0</v>
      </c>
      <c r="AD1266" s="421"/>
      <c r="AE1266" s="413"/>
      <c r="AF1266" s="424">
        <f t="shared" si="278"/>
        <v>174179.20000000001</v>
      </c>
      <c r="AG1266" s="405" t="s">
        <v>47</v>
      </c>
      <c r="AH1266" s="405" t="s">
        <v>1963</v>
      </c>
      <c r="AI1266" s="414">
        <v>60</v>
      </c>
      <c r="AJ1266" s="405" t="s">
        <v>1584</v>
      </c>
      <c r="AK1266" s="425" t="s">
        <v>50</v>
      </c>
      <c r="AL1266" s="405" t="s">
        <v>1966</v>
      </c>
      <c r="AM1266" s="405" t="s">
        <v>52</v>
      </c>
      <c r="AN1266" s="405"/>
      <c r="AO1266" s="405"/>
      <c r="AP1266" s="417"/>
      <c r="AQ1266" s="417"/>
      <c r="AR1266" s="417"/>
      <c r="AS1266" s="426"/>
      <c r="AT1266" s="426"/>
      <c r="AU1266" s="409"/>
    </row>
    <row r="1267" spans="1:55" s="402" customFormat="1">
      <c r="A1267" s="403"/>
      <c r="B1267" s="445"/>
      <c r="C1267" s="445"/>
      <c r="D1267" s="416" t="s">
        <v>1914</v>
      </c>
      <c r="E1267" s="405" t="s">
        <v>2065</v>
      </c>
      <c r="F1267" s="405"/>
      <c r="G1267" s="405">
        <v>2022</v>
      </c>
      <c r="H1267" s="405">
        <v>7</v>
      </c>
      <c r="I1267" s="416"/>
      <c r="J1267" s="406"/>
      <c r="K1267" s="414" t="s">
        <v>2149</v>
      </c>
      <c r="L1267" s="405" t="s">
        <v>1960</v>
      </c>
      <c r="M1267" s="418">
        <v>44482</v>
      </c>
      <c r="N1267" s="418">
        <v>44757</v>
      </c>
      <c r="O1267" s="418"/>
      <c r="P1267" s="406"/>
      <c r="Q1267" s="406"/>
      <c r="R1267" s="406"/>
      <c r="S1267" s="405" t="s">
        <v>1443</v>
      </c>
      <c r="T1267" s="405">
        <v>60</v>
      </c>
      <c r="U1267" s="405" t="s">
        <v>1237</v>
      </c>
      <c r="V1267" s="405" t="s">
        <v>985</v>
      </c>
      <c r="W1267" s="405">
        <v>395</v>
      </c>
      <c r="X1267" s="407">
        <v>832</v>
      </c>
      <c r="Y1267" s="408">
        <f t="shared" si="285"/>
        <v>328640</v>
      </c>
      <c r="Z1267" s="409">
        <v>0.53</v>
      </c>
      <c r="AA1267" s="410">
        <f t="shared" si="277"/>
        <v>174179.20000000001</v>
      </c>
      <c r="AB1267" s="411"/>
      <c r="AC1267" s="412">
        <v>0</v>
      </c>
      <c r="AD1267" s="421"/>
      <c r="AE1267" s="413"/>
      <c r="AF1267" s="424">
        <f t="shared" si="278"/>
        <v>174179.20000000001</v>
      </c>
      <c r="AG1267" s="405" t="s">
        <v>47</v>
      </c>
      <c r="AH1267" s="405" t="s">
        <v>1963</v>
      </c>
      <c r="AI1267" s="414">
        <v>60</v>
      </c>
      <c r="AJ1267" s="405" t="s">
        <v>1584</v>
      </c>
      <c r="AK1267" s="425" t="s">
        <v>50</v>
      </c>
      <c r="AL1267" s="405" t="s">
        <v>1966</v>
      </c>
      <c r="AM1267" s="405" t="s">
        <v>52</v>
      </c>
      <c r="AN1267" s="405"/>
      <c r="AO1267" s="405"/>
      <c r="AP1267" s="417"/>
      <c r="AQ1267" s="417"/>
      <c r="AR1267" s="417"/>
      <c r="AS1267" s="426"/>
      <c r="AT1267" s="426"/>
      <c r="AU1267" s="409"/>
    </row>
    <row r="1268" spans="1:55" s="402" customFormat="1">
      <c r="A1268" s="403"/>
      <c r="B1268" s="445"/>
      <c r="C1268" s="445"/>
      <c r="D1268" s="416" t="s">
        <v>1914</v>
      </c>
      <c r="E1268" s="405" t="s">
        <v>2065</v>
      </c>
      <c r="F1268" s="405"/>
      <c r="G1268" s="405">
        <v>2022</v>
      </c>
      <c r="H1268" s="405">
        <v>7</v>
      </c>
      <c r="I1268" s="416"/>
      <c r="J1268" s="406"/>
      <c r="K1268" s="414" t="s">
        <v>2150</v>
      </c>
      <c r="L1268" s="405" t="s">
        <v>1960</v>
      </c>
      <c r="M1268" s="418">
        <v>44482</v>
      </c>
      <c r="N1268" s="418">
        <v>44767</v>
      </c>
      <c r="O1268" s="418"/>
      <c r="P1268" s="406"/>
      <c r="Q1268" s="406"/>
      <c r="R1268" s="406"/>
      <c r="S1268" s="405" t="s">
        <v>1443</v>
      </c>
      <c r="T1268" s="405">
        <v>60</v>
      </c>
      <c r="U1268" s="405" t="s">
        <v>1237</v>
      </c>
      <c r="V1268" s="405" t="s">
        <v>985</v>
      </c>
      <c r="W1268" s="405">
        <v>395</v>
      </c>
      <c r="X1268" s="407">
        <v>832</v>
      </c>
      <c r="Y1268" s="408">
        <f t="shared" si="285"/>
        <v>328640</v>
      </c>
      <c r="Z1268" s="409">
        <v>0.53</v>
      </c>
      <c r="AA1268" s="410">
        <f t="shared" si="277"/>
        <v>174179.20000000001</v>
      </c>
      <c r="AB1268" s="411"/>
      <c r="AC1268" s="412">
        <v>0</v>
      </c>
      <c r="AD1268" s="421"/>
      <c r="AE1268" s="413"/>
      <c r="AF1268" s="424">
        <f t="shared" si="278"/>
        <v>174179.20000000001</v>
      </c>
      <c r="AG1268" s="405" t="s">
        <v>47</v>
      </c>
      <c r="AH1268" s="405" t="s">
        <v>1963</v>
      </c>
      <c r="AI1268" s="414">
        <v>60</v>
      </c>
      <c r="AJ1268" s="405" t="s">
        <v>1584</v>
      </c>
      <c r="AK1268" s="425" t="s">
        <v>50</v>
      </c>
      <c r="AL1268" s="405" t="s">
        <v>1966</v>
      </c>
      <c r="AM1268" s="405" t="s">
        <v>52</v>
      </c>
      <c r="AN1268" s="405"/>
      <c r="AO1268" s="405"/>
      <c r="AP1268" s="417"/>
      <c r="AQ1268" s="417"/>
      <c r="AR1268" s="417"/>
      <c r="AS1268" s="426"/>
      <c r="AT1268" s="426"/>
      <c r="AU1268" s="409"/>
    </row>
    <row r="1269" spans="1:55" s="402" customFormat="1">
      <c r="A1269" s="403"/>
      <c r="B1269" s="445"/>
      <c r="C1269" s="445"/>
      <c r="D1269" s="416" t="s">
        <v>1914</v>
      </c>
      <c r="E1269" s="405" t="s">
        <v>2065</v>
      </c>
      <c r="F1269" s="405"/>
      <c r="G1269" s="405">
        <v>2022</v>
      </c>
      <c r="H1269" s="405">
        <v>7</v>
      </c>
      <c r="I1269" s="416"/>
      <c r="J1269" s="406"/>
      <c r="K1269" s="414" t="s">
        <v>2151</v>
      </c>
      <c r="L1269" s="405" t="s">
        <v>1960</v>
      </c>
      <c r="M1269" s="418">
        <v>44482</v>
      </c>
      <c r="N1269" s="418">
        <v>44750</v>
      </c>
      <c r="O1269" s="418"/>
      <c r="P1269" s="406"/>
      <c r="Q1269" s="406"/>
      <c r="R1269" s="406"/>
      <c r="S1269" s="405" t="s">
        <v>1443</v>
      </c>
      <c r="T1269" s="405">
        <v>60</v>
      </c>
      <c r="U1269" s="405" t="s">
        <v>1237</v>
      </c>
      <c r="V1269" s="405" t="s">
        <v>985</v>
      </c>
      <c r="W1269" s="405">
        <v>395</v>
      </c>
      <c r="X1269" s="407">
        <v>832</v>
      </c>
      <c r="Y1269" s="408">
        <f t="shared" si="285"/>
        <v>328640</v>
      </c>
      <c r="Z1269" s="409">
        <v>0.53</v>
      </c>
      <c r="AA1269" s="410">
        <f t="shared" si="277"/>
        <v>174179.20000000001</v>
      </c>
      <c r="AB1269" s="411"/>
      <c r="AC1269" s="412">
        <v>0</v>
      </c>
      <c r="AD1269" s="421"/>
      <c r="AE1269" s="413"/>
      <c r="AF1269" s="424">
        <f t="shared" si="278"/>
        <v>174179.20000000001</v>
      </c>
      <c r="AG1269" s="405" t="s">
        <v>47</v>
      </c>
      <c r="AH1269" s="405" t="s">
        <v>1963</v>
      </c>
      <c r="AI1269" s="414">
        <v>60</v>
      </c>
      <c r="AJ1269" s="405" t="s">
        <v>1965</v>
      </c>
      <c r="AK1269" s="425" t="s">
        <v>50</v>
      </c>
      <c r="AL1269" s="405" t="s">
        <v>1997</v>
      </c>
      <c r="AM1269" s="405" t="s">
        <v>52</v>
      </c>
      <c r="AN1269" s="405"/>
      <c r="AO1269" s="405"/>
      <c r="AP1269" s="417"/>
      <c r="AQ1269" s="417"/>
      <c r="AR1269" s="417"/>
      <c r="AS1269" s="426"/>
      <c r="AT1269" s="426"/>
      <c r="AU1269" s="409"/>
      <c r="AV1269" s="402" t="str">
        <f>U1269</f>
        <v>30390456H</v>
      </c>
      <c r="AW1269" s="402" cm="1">
        <f t="array" ref="AW1269">SUM(MID(0&amp;AV1269,LARGE(INDEX(ISNUMBER(--MID(AV1269,ROW($1:$8),1))*ROW($1:$8),),ROW($1:$8))+1,1)*10^ROW($1:$8)/10)</f>
        <v>30390456</v>
      </c>
      <c r="AX1269" s="402" t="str">
        <f>VLOOKUP($AW1269,'Item Master Data'!$A:$F,3,FALSE)</f>
        <v>Q.PEAK DUO BLK ML G10+</v>
      </c>
      <c r="AY1269" s="402">
        <f>VLOOKUP($AW1269,'Item Master Data'!$A:$F,6,FALSE)</f>
        <v>400</v>
      </c>
      <c r="AZ1269" s="402">
        <f>X1269/BA1269</f>
        <v>26</v>
      </c>
      <c r="BA1269" s="402">
        <f>VLOOKUP(AW1269,'Item Master Data'!$A:$G,7,FALSE)</f>
        <v>32</v>
      </c>
      <c r="BC1269" s="402">
        <f>W1269-AY1269</f>
        <v>-5</v>
      </c>
    </row>
    <row r="1270" spans="1:55" s="402" customFormat="1">
      <c r="A1270" s="403"/>
      <c r="B1270" s="445"/>
      <c r="C1270" s="445"/>
      <c r="D1270" s="416" t="s">
        <v>1914</v>
      </c>
      <c r="E1270" s="405" t="s">
        <v>2065</v>
      </c>
      <c r="F1270" s="405"/>
      <c r="G1270" s="405">
        <v>2022</v>
      </c>
      <c r="H1270" s="405">
        <v>7</v>
      </c>
      <c r="I1270" s="416"/>
      <c r="J1270" s="406"/>
      <c r="K1270" s="414" t="s">
        <v>2152</v>
      </c>
      <c r="L1270" s="405" t="s">
        <v>1960</v>
      </c>
      <c r="M1270" s="418">
        <v>44482</v>
      </c>
      <c r="N1270" s="418">
        <v>44761</v>
      </c>
      <c r="O1270" s="418"/>
      <c r="P1270" s="406"/>
      <c r="Q1270" s="406"/>
      <c r="R1270" s="406"/>
      <c r="S1270" s="405" t="s">
        <v>1443</v>
      </c>
      <c r="T1270" s="405">
        <v>60</v>
      </c>
      <c r="U1270" s="405" t="s">
        <v>1237</v>
      </c>
      <c r="V1270" s="405" t="s">
        <v>985</v>
      </c>
      <c r="W1270" s="405">
        <v>395</v>
      </c>
      <c r="X1270" s="407">
        <v>832</v>
      </c>
      <c r="Y1270" s="408">
        <f t="shared" si="285"/>
        <v>328640</v>
      </c>
      <c r="Z1270" s="409">
        <v>0.53</v>
      </c>
      <c r="AA1270" s="410">
        <f t="shared" si="277"/>
        <v>174179.20000000001</v>
      </c>
      <c r="AB1270" s="411"/>
      <c r="AC1270" s="412">
        <v>0</v>
      </c>
      <c r="AD1270" s="421"/>
      <c r="AE1270" s="413"/>
      <c r="AF1270" s="424">
        <f t="shared" si="278"/>
        <v>174179.20000000001</v>
      </c>
      <c r="AG1270" s="405" t="s">
        <v>47</v>
      </c>
      <c r="AH1270" s="405" t="s">
        <v>1963</v>
      </c>
      <c r="AI1270" s="414">
        <v>60</v>
      </c>
      <c r="AJ1270" s="405" t="s">
        <v>1965</v>
      </c>
      <c r="AK1270" s="425" t="s">
        <v>50</v>
      </c>
      <c r="AL1270" s="405" t="s">
        <v>1997</v>
      </c>
      <c r="AM1270" s="405" t="s">
        <v>52</v>
      </c>
      <c r="AN1270" s="405"/>
      <c r="AO1270" s="405"/>
      <c r="AP1270" s="417"/>
      <c r="AQ1270" s="417"/>
      <c r="AR1270" s="417"/>
      <c r="AS1270" s="426"/>
      <c r="AT1270" s="426"/>
      <c r="AU1270" s="409"/>
    </row>
    <row r="1271" spans="1:55" s="402" customFormat="1">
      <c r="A1271" s="403"/>
      <c r="B1271" s="445"/>
      <c r="C1271" s="445"/>
      <c r="D1271" s="416" t="s">
        <v>1914</v>
      </c>
      <c r="E1271" s="405" t="s">
        <v>2065</v>
      </c>
      <c r="F1271" s="405"/>
      <c r="G1271" s="405">
        <v>2022</v>
      </c>
      <c r="H1271" s="405">
        <v>7</v>
      </c>
      <c r="I1271" s="416"/>
      <c r="J1271" s="406"/>
      <c r="K1271" s="414" t="s">
        <v>2153</v>
      </c>
      <c r="L1271" s="405" t="s">
        <v>1960</v>
      </c>
      <c r="M1271" s="418">
        <v>44482</v>
      </c>
      <c r="N1271" s="418">
        <v>44750</v>
      </c>
      <c r="O1271" s="418"/>
      <c r="P1271" s="406"/>
      <c r="Q1271" s="406"/>
      <c r="R1271" s="406"/>
      <c r="S1271" s="405" t="s">
        <v>1443</v>
      </c>
      <c r="T1271" s="405">
        <v>60</v>
      </c>
      <c r="U1271" s="405" t="s">
        <v>1237</v>
      </c>
      <c r="V1271" s="405" t="s">
        <v>985</v>
      </c>
      <c r="W1271" s="405">
        <v>395</v>
      </c>
      <c r="X1271" s="407">
        <v>832</v>
      </c>
      <c r="Y1271" s="408">
        <f t="shared" si="285"/>
        <v>328640</v>
      </c>
      <c r="Z1271" s="409">
        <v>0.53</v>
      </c>
      <c r="AA1271" s="410">
        <f t="shared" si="277"/>
        <v>174179.20000000001</v>
      </c>
      <c r="AB1271" s="411"/>
      <c r="AC1271" s="412">
        <v>0</v>
      </c>
      <c r="AD1271" s="421"/>
      <c r="AE1271" s="413"/>
      <c r="AF1271" s="424">
        <f t="shared" si="278"/>
        <v>174179.20000000001</v>
      </c>
      <c r="AG1271" s="405" t="s">
        <v>47</v>
      </c>
      <c r="AH1271" s="405" t="s">
        <v>1963</v>
      </c>
      <c r="AI1271" s="414">
        <v>60</v>
      </c>
      <c r="AJ1271" s="405" t="s">
        <v>1958</v>
      </c>
      <c r="AK1271" s="425" t="s">
        <v>1136</v>
      </c>
      <c r="AL1271" s="405" t="s">
        <v>1989</v>
      </c>
      <c r="AM1271" s="405" t="s">
        <v>52</v>
      </c>
      <c r="AN1271" s="405"/>
      <c r="AO1271" s="405"/>
      <c r="AP1271" s="417"/>
      <c r="AQ1271" s="417"/>
      <c r="AR1271" s="417"/>
      <c r="AS1271" s="426"/>
      <c r="AT1271" s="426"/>
      <c r="AU1271" s="409"/>
    </row>
    <row r="1272" spans="1:55" s="402" customFormat="1">
      <c r="A1272" s="403"/>
      <c r="B1272" s="445"/>
      <c r="C1272" s="445"/>
      <c r="D1272" s="416" t="s">
        <v>1914</v>
      </c>
      <c r="E1272" s="405" t="s">
        <v>2065</v>
      </c>
      <c r="F1272" s="405"/>
      <c r="G1272" s="405">
        <v>2022</v>
      </c>
      <c r="H1272" s="405">
        <v>7</v>
      </c>
      <c r="I1272" s="416"/>
      <c r="J1272" s="406"/>
      <c r="K1272" s="414" t="s">
        <v>2154</v>
      </c>
      <c r="L1272" s="405" t="s">
        <v>1960</v>
      </c>
      <c r="M1272" s="418">
        <v>44482</v>
      </c>
      <c r="N1272" s="418">
        <v>44761</v>
      </c>
      <c r="O1272" s="418"/>
      <c r="P1272" s="406"/>
      <c r="Q1272" s="406"/>
      <c r="R1272" s="406"/>
      <c r="S1272" s="405" t="s">
        <v>1443</v>
      </c>
      <c r="T1272" s="405">
        <v>60</v>
      </c>
      <c r="U1272" s="405" t="s">
        <v>1237</v>
      </c>
      <c r="V1272" s="405" t="s">
        <v>985</v>
      </c>
      <c r="W1272" s="405">
        <v>395</v>
      </c>
      <c r="X1272" s="407">
        <v>832</v>
      </c>
      <c r="Y1272" s="408">
        <f t="shared" si="285"/>
        <v>328640</v>
      </c>
      <c r="Z1272" s="409">
        <v>0.53</v>
      </c>
      <c r="AA1272" s="410">
        <f t="shared" si="277"/>
        <v>174179.20000000001</v>
      </c>
      <c r="AB1272" s="411"/>
      <c r="AC1272" s="412">
        <v>0</v>
      </c>
      <c r="AD1272" s="421"/>
      <c r="AE1272" s="413"/>
      <c r="AF1272" s="424">
        <f t="shared" si="278"/>
        <v>174179.20000000001</v>
      </c>
      <c r="AG1272" s="405" t="s">
        <v>47</v>
      </c>
      <c r="AH1272" s="405" t="s">
        <v>1963</v>
      </c>
      <c r="AI1272" s="414">
        <v>60</v>
      </c>
      <c r="AJ1272" s="405" t="s">
        <v>1958</v>
      </c>
      <c r="AK1272" s="425" t="s">
        <v>1136</v>
      </c>
      <c r="AL1272" s="405" t="s">
        <v>1989</v>
      </c>
      <c r="AM1272" s="405" t="s">
        <v>52</v>
      </c>
      <c r="AN1272" s="405"/>
      <c r="AO1272" s="405"/>
      <c r="AP1272" s="417"/>
      <c r="AQ1272" s="417"/>
      <c r="AR1272" s="417"/>
      <c r="AS1272" s="426"/>
      <c r="AT1272" s="426"/>
      <c r="AU1272" s="409"/>
    </row>
    <row r="1273" spans="1:55" s="402" customFormat="1">
      <c r="A1273" s="403"/>
      <c r="B1273" s="445"/>
      <c r="C1273" s="445"/>
      <c r="D1273" s="416" t="s">
        <v>1914</v>
      </c>
      <c r="E1273" s="405"/>
      <c r="F1273" s="405"/>
      <c r="G1273" s="405">
        <v>2022</v>
      </c>
      <c r="H1273" s="405">
        <v>7</v>
      </c>
      <c r="I1273" s="416"/>
      <c r="J1273" s="406"/>
      <c r="K1273" s="414" t="s">
        <v>2123</v>
      </c>
      <c r="L1273" s="405" t="s">
        <v>1967</v>
      </c>
      <c r="M1273" s="418">
        <v>44511</v>
      </c>
      <c r="N1273" s="418">
        <v>44625</v>
      </c>
      <c r="O1273" s="418"/>
      <c r="P1273" s="406"/>
      <c r="Q1273" s="406"/>
      <c r="R1273" s="406"/>
      <c r="S1273" s="405" t="s">
        <v>1443</v>
      </c>
      <c r="T1273" s="405">
        <v>60</v>
      </c>
      <c r="U1273" s="405">
        <v>49401140</v>
      </c>
      <c r="V1273" s="405" t="s">
        <v>973</v>
      </c>
      <c r="W1273" s="405">
        <v>400</v>
      </c>
      <c r="X1273" s="407">
        <v>768</v>
      </c>
      <c r="Y1273" s="408">
        <f t="shared" si="285"/>
        <v>307200</v>
      </c>
      <c r="Z1273" s="409">
        <f>210/400</f>
        <v>0.52500000000000002</v>
      </c>
      <c r="AA1273" s="410">
        <f t="shared" si="277"/>
        <v>161280</v>
      </c>
      <c r="AB1273" s="411"/>
      <c r="AC1273" s="412">
        <v>0</v>
      </c>
      <c r="AD1273" s="421"/>
      <c r="AE1273" s="413"/>
      <c r="AF1273" s="424">
        <f t="shared" si="278"/>
        <v>161280</v>
      </c>
      <c r="AG1273" s="405" t="s">
        <v>1069</v>
      </c>
      <c r="AH1273" s="405"/>
      <c r="AI1273" s="414">
        <v>60</v>
      </c>
      <c r="AJ1273" s="405" t="s">
        <v>2053</v>
      </c>
      <c r="AK1273" s="425" t="s">
        <v>1136</v>
      </c>
      <c r="AL1273" s="405">
        <v>78216</v>
      </c>
      <c r="AM1273" s="405" t="s">
        <v>52</v>
      </c>
      <c r="AN1273" s="405"/>
      <c r="AO1273" s="405"/>
      <c r="AP1273" s="417"/>
      <c r="AQ1273" s="417" t="s">
        <v>37</v>
      </c>
      <c r="AR1273" s="417"/>
      <c r="AS1273" s="426"/>
      <c r="AT1273" s="426"/>
      <c r="AU1273" s="409"/>
    </row>
    <row r="1274" spans="1:55" s="402" customFormat="1">
      <c r="A1274" s="403"/>
      <c r="B1274" s="445"/>
      <c r="C1274" s="445"/>
      <c r="D1274" s="416" t="s">
        <v>1914</v>
      </c>
      <c r="E1274" s="405"/>
      <c r="F1274" s="405"/>
      <c r="G1274" s="405">
        <v>2022</v>
      </c>
      <c r="H1274" s="405">
        <v>7</v>
      </c>
      <c r="I1274" s="416"/>
      <c r="J1274" s="406"/>
      <c r="K1274" s="414" t="s">
        <v>2124</v>
      </c>
      <c r="L1274" s="405" t="s">
        <v>1967</v>
      </c>
      <c r="M1274" s="418">
        <v>44511</v>
      </c>
      <c r="N1274" s="418">
        <v>44625</v>
      </c>
      <c r="O1274" s="418"/>
      <c r="P1274" s="406"/>
      <c r="Q1274" s="406"/>
      <c r="R1274" s="406"/>
      <c r="S1274" s="405" t="s">
        <v>1443</v>
      </c>
      <c r="T1274" s="405">
        <v>60</v>
      </c>
      <c r="U1274" s="405">
        <v>49401140</v>
      </c>
      <c r="V1274" s="405" t="s">
        <v>973</v>
      </c>
      <c r="W1274" s="405">
        <v>400</v>
      </c>
      <c r="X1274" s="407">
        <v>768</v>
      </c>
      <c r="Y1274" s="408">
        <f t="shared" si="285"/>
        <v>307200</v>
      </c>
      <c r="Z1274" s="409">
        <f>210/400</f>
        <v>0.52500000000000002</v>
      </c>
      <c r="AA1274" s="410">
        <f t="shared" si="277"/>
        <v>161280</v>
      </c>
      <c r="AB1274" s="411"/>
      <c r="AC1274" s="412">
        <v>0</v>
      </c>
      <c r="AD1274" s="421"/>
      <c r="AE1274" s="413"/>
      <c r="AF1274" s="424">
        <f t="shared" si="278"/>
        <v>161280</v>
      </c>
      <c r="AG1274" s="405" t="s">
        <v>1069</v>
      </c>
      <c r="AH1274" s="405"/>
      <c r="AI1274" s="414">
        <v>60</v>
      </c>
      <c r="AJ1274" s="405" t="s">
        <v>2053</v>
      </c>
      <c r="AK1274" s="425" t="s">
        <v>1136</v>
      </c>
      <c r="AL1274" s="405">
        <v>78216</v>
      </c>
      <c r="AM1274" s="405" t="s">
        <v>52</v>
      </c>
      <c r="AN1274" s="405"/>
      <c r="AO1274" s="405"/>
      <c r="AP1274" s="417"/>
      <c r="AQ1274" s="417" t="s">
        <v>37</v>
      </c>
      <c r="AR1274" s="417"/>
      <c r="AS1274" s="426"/>
      <c r="AT1274" s="426"/>
      <c r="AU1274" s="409"/>
      <c r="AV1274" s="402">
        <f>U1274</f>
        <v>49401140</v>
      </c>
      <c r="AW1274" s="402" cm="1">
        <f t="array" ref="AW1274">SUM(MID(0&amp;AV1274,LARGE(INDEX(ISNUMBER(--MID(AV1274,ROW($1:$8),1))*ROW($1:$8),),ROW($1:$8))+1,1)*10^ROW($1:$8)/10)</f>
        <v>49401140</v>
      </c>
      <c r="AX1274" s="402" t="str">
        <f>VLOOKUP($AW1274,'Item Master Data'!$A:$F,3,FALSE)</f>
        <v>Q.PEAK DUO BLK ML G10.a+</v>
      </c>
      <c r="AY1274" s="402">
        <f>VLOOKUP($AW1274,'Item Master Data'!$A:$F,6,FALSE)</f>
        <v>400</v>
      </c>
      <c r="AZ1274" s="402">
        <f>X1274/BA1274</f>
        <v>24</v>
      </c>
      <c r="BA1274" s="402">
        <f>VLOOKUP(AW1274,'Item Master Data'!$A:$G,7,FALSE)</f>
        <v>32</v>
      </c>
      <c r="BC1274" s="402">
        <f>W1274-AY1274</f>
        <v>0</v>
      </c>
    </row>
    <row r="1275" spans="1:55" s="402" customFormat="1">
      <c r="A1275" s="403"/>
      <c r="B1275" s="445"/>
      <c r="C1275" s="445"/>
      <c r="D1275" s="416" t="s">
        <v>1914</v>
      </c>
      <c r="E1275" s="405"/>
      <c r="F1275" s="405"/>
      <c r="G1275" s="405">
        <v>2022</v>
      </c>
      <c r="H1275" s="405">
        <v>7</v>
      </c>
      <c r="I1275" s="416"/>
      <c r="J1275" s="406"/>
      <c r="K1275" s="414" t="s">
        <v>2125</v>
      </c>
      <c r="L1275" s="405" t="s">
        <v>1967</v>
      </c>
      <c r="M1275" s="418">
        <v>44511</v>
      </c>
      <c r="N1275" s="418">
        <v>44625</v>
      </c>
      <c r="O1275" s="418"/>
      <c r="P1275" s="406"/>
      <c r="Q1275" s="406"/>
      <c r="R1275" s="406"/>
      <c r="S1275" s="405" t="s">
        <v>1443</v>
      </c>
      <c r="T1275" s="405">
        <v>60</v>
      </c>
      <c r="U1275" s="405">
        <v>49401140</v>
      </c>
      <c r="V1275" s="405" t="s">
        <v>973</v>
      </c>
      <c r="W1275" s="405">
        <v>400</v>
      </c>
      <c r="X1275" s="407">
        <v>768</v>
      </c>
      <c r="Y1275" s="408">
        <f t="shared" si="285"/>
        <v>307200</v>
      </c>
      <c r="Z1275" s="409">
        <f>210/400</f>
        <v>0.52500000000000002</v>
      </c>
      <c r="AA1275" s="410">
        <f t="shared" si="277"/>
        <v>161280</v>
      </c>
      <c r="AB1275" s="411"/>
      <c r="AC1275" s="412">
        <v>0</v>
      </c>
      <c r="AD1275" s="421"/>
      <c r="AE1275" s="413"/>
      <c r="AF1275" s="424">
        <f t="shared" si="278"/>
        <v>161280</v>
      </c>
      <c r="AG1275" s="405" t="s">
        <v>1069</v>
      </c>
      <c r="AH1275" s="405"/>
      <c r="AI1275" s="414">
        <v>60</v>
      </c>
      <c r="AJ1275" s="405" t="s">
        <v>2053</v>
      </c>
      <c r="AK1275" s="425" t="s">
        <v>1136</v>
      </c>
      <c r="AL1275" s="405">
        <v>78216</v>
      </c>
      <c r="AM1275" s="405" t="s">
        <v>52</v>
      </c>
      <c r="AN1275" s="405"/>
      <c r="AO1275" s="405"/>
      <c r="AP1275" s="417"/>
      <c r="AQ1275" s="417" t="s">
        <v>37</v>
      </c>
      <c r="AR1275" s="417"/>
      <c r="AS1275" s="426"/>
      <c r="AT1275" s="426"/>
      <c r="AU1275" s="409"/>
      <c r="AV1275" s="402">
        <f>U1275</f>
        <v>49401140</v>
      </c>
      <c r="AW1275" s="402" cm="1">
        <f t="array" ref="AW1275">SUM(MID(0&amp;AV1275,LARGE(INDEX(ISNUMBER(--MID(AV1275,ROW($1:$8),1))*ROW($1:$8),),ROW($1:$8))+1,1)*10^ROW($1:$8)/10)</f>
        <v>49401140</v>
      </c>
      <c r="AX1275" s="402" t="str">
        <f>VLOOKUP($AW1275,'Item Master Data'!$A:$F,3,FALSE)</f>
        <v>Q.PEAK DUO BLK ML G10.a+</v>
      </c>
      <c r="AY1275" s="402">
        <f>VLOOKUP($AW1275,'Item Master Data'!$A:$F,6,FALSE)</f>
        <v>400</v>
      </c>
      <c r="AZ1275" s="402">
        <f>X1275/BA1275</f>
        <v>24</v>
      </c>
      <c r="BA1275" s="402">
        <f>VLOOKUP(AW1275,'Item Master Data'!$A:$G,7,FALSE)</f>
        <v>32</v>
      </c>
      <c r="BC1275" s="402">
        <f>W1275-AY1275</f>
        <v>0</v>
      </c>
    </row>
    <row r="1276" spans="1:55" s="402" customFormat="1">
      <c r="A1276" s="403"/>
      <c r="B1276" s="445">
        <v>44599</v>
      </c>
      <c r="C1276" s="445"/>
      <c r="D1276" s="416" t="s">
        <v>1914</v>
      </c>
      <c r="E1276" s="405" t="s">
        <v>2155</v>
      </c>
      <c r="F1276" s="405"/>
      <c r="G1276" s="405">
        <v>2022</v>
      </c>
      <c r="H1276" s="405">
        <v>7</v>
      </c>
      <c r="I1276" s="416"/>
      <c r="J1276" s="406"/>
      <c r="K1276" s="414" t="s">
        <v>2156</v>
      </c>
      <c r="L1276" s="405" t="s">
        <v>1967</v>
      </c>
      <c r="M1276" s="418">
        <v>44596</v>
      </c>
      <c r="N1276" s="418">
        <v>44658</v>
      </c>
      <c r="O1276" s="418"/>
      <c r="P1276" s="406"/>
      <c r="Q1276" s="406"/>
      <c r="R1276" s="406"/>
      <c r="S1276" s="405" t="s">
        <v>1443</v>
      </c>
      <c r="T1276" s="405">
        <v>60</v>
      </c>
      <c r="U1276" s="405" t="s">
        <v>1237</v>
      </c>
      <c r="V1276" s="405" t="s">
        <v>973</v>
      </c>
      <c r="W1276" s="405">
        <v>400</v>
      </c>
      <c r="X1276" s="407">
        <v>768</v>
      </c>
      <c r="Y1276" s="408">
        <v>307200</v>
      </c>
      <c r="Z1276" s="409">
        <v>0.55500000000000005</v>
      </c>
      <c r="AA1276" s="410">
        <f t="shared" si="277"/>
        <v>170496.00000000003</v>
      </c>
      <c r="AB1276" s="411"/>
      <c r="AC1276" s="412">
        <v>0</v>
      </c>
      <c r="AD1276" s="421"/>
      <c r="AE1276" s="413"/>
      <c r="AF1276" s="424">
        <f t="shared" si="278"/>
        <v>170496.00000000003</v>
      </c>
      <c r="AG1276" s="405" t="s">
        <v>1069</v>
      </c>
      <c r="AH1276" s="405"/>
      <c r="AI1276" s="414" t="s">
        <v>2157</v>
      </c>
      <c r="AJ1276" s="405" t="s">
        <v>1983</v>
      </c>
      <c r="AK1276" s="425" t="s">
        <v>1136</v>
      </c>
      <c r="AL1276" s="405">
        <v>75063</v>
      </c>
      <c r="AM1276" s="405" t="s">
        <v>52</v>
      </c>
      <c r="AN1276" s="405"/>
      <c r="AO1276" s="405"/>
      <c r="AP1276" s="417"/>
      <c r="AQ1276" s="417" t="s">
        <v>37</v>
      </c>
      <c r="AR1276" s="417"/>
      <c r="AS1276" s="426"/>
      <c r="AT1276" s="426"/>
      <c r="AU1276" s="409"/>
    </row>
    <row r="1277" spans="1:55" s="402" customFormat="1">
      <c r="A1277" s="403"/>
      <c r="B1277" s="445">
        <v>44599</v>
      </c>
      <c r="C1277" s="445"/>
      <c r="D1277" s="416" t="s">
        <v>1914</v>
      </c>
      <c r="E1277" s="405" t="s">
        <v>2155</v>
      </c>
      <c r="F1277" s="405"/>
      <c r="G1277" s="405">
        <v>2022</v>
      </c>
      <c r="H1277" s="405">
        <v>7</v>
      </c>
      <c r="I1277" s="416"/>
      <c r="J1277" s="406"/>
      <c r="K1277" s="414" t="s">
        <v>2158</v>
      </c>
      <c r="L1277" s="405" t="s">
        <v>1967</v>
      </c>
      <c r="M1277" s="418">
        <v>44596</v>
      </c>
      <c r="N1277" s="418">
        <v>44661</v>
      </c>
      <c r="O1277" s="418"/>
      <c r="P1277" s="406"/>
      <c r="Q1277" s="406"/>
      <c r="R1277" s="406"/>
      <c r="S1277" s="405" t="s">
        <v>1443</v>
      </c>
      <c r="T1277" s="405">
        <v>60</v>
      </c>
      <c r="U1277" s="405" t="s">
        <v>1237</v>
      </c>
      <c r="V1277" s="405" t="s">
        <v>973</v>
      </c>
      <c r="W1277" s="405">
        <v>400</v>
      </c>
      <c r="X1277" s="407">
        <v>768</v>
      </c>
      <c r="Y1277" s="408">
        <v>307200</v>
      </c>
      <c r="Z1277" s="409">
        <v>0.55500000000000005</v>
      </c>
      <c r="AA1277" s="410">
        <f t="shared" si="277"/>
        <v>170496.00000000003</v>
      </c>
      <c r="AB1277" s="411"/>
      <c r="AC1277" s="412">
        <v>0</v>
      </c>
      <c r="AD1277" s="421"/>
      <c r="AE1277" s="413"/>
      <c r="AF1277" s="424">
        <f t="shared" si="278"/>
        <v>170496.00000000003</v>
      </c>
      <c r="AG1277" s="405" t="s">
        <v>1069</v>
      </c>
      <c r="AH1277" s="405"/>
      <c r="AI1277" s="414" t="s">
        <v>2159</v>
      </c>
      <c r="AJ1277" s="405" t="s">
        <v>1983</v>
      </c>
      <c r="AK1277" s="425" t="s">
        <v>1136</v>
      </c>
      <c r="AL1277" s="405">
        <v>75064</v>
      </c>
      <c r="AM1277" s="405" t="s">
        <v>52</v>
      </c>
      <c r="AN1277" s="405"/>
      <c r="AO1277" s="405"/>
      <c r="AP1277" s="417"/>
      <c r="AQ1277" s="417" t="s">
        <v>37</v>
      </c>
      <c r="AR1277" s="417"/>
      <c r="AS1277" s="426"/>
      <c r="AT1277" s="426"/>
      <c r="AU1277" s="409"/>
      <c r="AV1277" s="402" t="str">
        <f>U1277</f>
        <v>30390456H</v>
      </c>
      <c r="AW1277" s="402" cm="1">
        <f t="array" ref="AW1277">SUM(MID(0&amp;AV1277,LARGE(INDEX(ISNUMBER(--MID(AV1277,ROW($1:$8),1))*ROW($1:$8),),ROW($1:$8))+1,1)*10^ROW($1:$8)/10)</f>
        <v>30390456</v>
      </c>
      <c r="AX1277" s="402" t="str">
        <f>VLOOKUP($AW1277,'Item Master Data'!$A:$F,3,FALSE)</f>
        <v>Q.PEAK DUO BLK ML G10+</v>
      </c>
      <c r="AY1277" s="402">
        <f>VLOOKUP($AW1277,'Item Master Data'!$A:$F,6,FALSE)</f>
        <v>400</v>
      </c>
      <c r="AZ1277" s="402">
        <f>X1277/BA1277</f>
        <v>24</v>
      </c>
      <c r="BA1277" s="402">
        <f>VLOOKUP(AW1277,'Item Master Data'!$A:$G,7,FALSE)</f>
        <v>32</v>
      </c>
      <c r="BC1277" s="402">
        <f>W1277-AY1277</f>
        <v>0</v>
      </c>
    </row>
    <row r="1278" spans="1:55" s="402" customFormat="1">
      <c r="A1278" s="403"/>
      <c r="B1278" s="445">
        <v>44599</v>
      </c>
      <c r="C1278" s="445"/>
      <c r="D1278" s="416" t="s">
        <v>1914</v>
      </c>
      <c r="E1278" s="405" t="s">
        <v>2155</v>
      </c>
      <c r="F1278" s="405"/>
      <c r="G1278" s="405">
        <v>2022</v>
      </c>
      <c r="H1278" s="405">
        <v>7</v>
      </c>
      <c r="I1278" s="416"/>
      <c r="J1278" s="406"/>
      <c r="K1278" s="414" t="s">
        <v>2160</v>
      </c>
      <c r="L1278" s="405" t="s">
        <v>1967</v>
      </c>
      <c r="M1278" s="418">
        <v>44596</v>
      </c>
      <c r="N1278" s="418">
        <v>44663</v>
      </c>
      <c r="O1278" s="418"/>
      <c r="P1278" s="406"/>
      <c r="Q1278" s="406"/>
      <c r="R1278" s="406"/>
      <c r="S1278" s="405" t="s">
        <v>1443</v>
      </c>
      <c r="T1278" s="405">
        <v>60</v>
      </c>
      <c r="U1278" s="405" t="s">
        <v>1237</v>
      </c>
      <c r="V1278" s="405" t="s">
        <v>973</v>
      </c>
      <c r="W1278" s="405">
        <v>400</v>
      </c>
      <c r="X1278" s="407">
        <v>768</v>
      </c>
      <c r="Y1278" s="408">
        <v>307200</v>
      </c>
      <c r="Z1278" s="409">
        <v>0.55500000000000005</v>
      </c>
      <c r="AA1278" s="410">
        <f t="shared" si="277"/>
        <v>170496.00000000003</v>
      </c>
      <c r="AB1278" s="411"/>
      <c r="AC1278" s="412">
        <v>0</v>
      </c>
      <c r="AD1278" s="421"/>
      <c r="AE1278" s="413"/>
      <c r="AF1278" s="424">
        <f t="shared" si="278"/>
        <v>170496.00000000003</v>
      </c>
      <c r="AG1278" s="405" t="s">
        <v>1069</v>
      </c>
      <c r="AH1278" s="405"/>
      <c r="AI1278" s="414" t="s">
        <v>2161</v>
      </c>
      <c r="AJ1278" s="405" t="s">
        <v>1983</v>
      </c>
      <c r="AK1278" s="425" t="s">
        <v>1136</v>
      </c>
      <c r="AL1278" s="405">
        <v>75065</v>
      </c>
      <c r="AM1278" s="405" t="s">
        <v>52</v>
      </c>
      <c r="AN1278" s="405"/>
      <c r="AO1278" s="405"/>
      <c r="AP1278" s="417"/>
      <c r="AQ1278" s="417" t="s">
        <v>37</v>
      </c>
      <c r="AR1278" s="417"/>
      <c r="AS1278" s="426"/>
      <c r="AT1278" s="426"/>
      <c r="AU1278" s="409"/>
    </row>
    <row r="1279" spans="1:55" s="402" customFormat="1">
      <c r="A1279" s="403"/>
      <c r="B1279" s="445">
        <v>44557</v>
      </c>
      <c r="C1279" s="445">
        <v>44587</v>
      </c>
      <c r="D1279" s="416" t="s">
        <v>1914</v>
      </c>
      <c r="E1279" s="405" t="s">
        <v>1239</v>
      </c>
      <c r="F1279" s="405"/>
      <c r="G1279" s="405">
        <v>2022</v>
      </c>
      <c r="H1279" s="405">
        <v>7</v>
      </c>
      <c r="I1279" s="416"/>
      <c r="J1279" s="406"/>
      <c r="K1279" s="414" t="s">
        <v>2162</v>
      </c>
      <c r="L1279" s="405" t="s">
        <v>1967</v>
      </c>
      <c r="M1279" s="418">
        <v>44544</v>
      </c>
      <c r="N1279" s="418">
        <v>44747</v>
      </c>
      <c r="O1279" s="418"/>
      <c r="P1279" s="406"/>
      <c r="Q1279" s="406"/>
      <c r="R1279" s="406"/>
      <c r="S1279" s="405" t="s">
        <v>1443</v>
      </c>
      <c r="T1279" s="405">
        <v>60</v>
      </c>
      <c r="U1279" s="405">
        <v>49204132</v>
      </c>
      <c r="V1279" s="405" t="s">
        <v>1192</v>
      </c>
      <c r="W1279" s="405">
        <v>360</v>
      </c>
      <c r="X1279" s="407">
        <v>832</v>
      </c>
      <c r="Y1279" s="408">
        <f t="shared" ref="Y1279:Y1290" si="286">X1279*W1279</f>
        <v>299520</v>
      </c>
      <c r="Z1279" s="409">
        <v>0.79</v>
      </c>
      <c r="AA1279" s="410">
        <f t="shared" si="277"/>
        <v>236620.80000000002</v>
      </c>
      <c r="AB1279" s="411"/>
      <c r="AC1279" s="412">
        <v>0</v>
      </c>
      <c r="AD1279" s="421"/>
      <c r="AE1279" s="413"/>
      <c r="AF1279" s="424">
        <f t="shared" si="278"/>
        <v>236620.80000000002</v>
      </c>
      <c r="AG1279" s="405" t="s">
        <v>1069</v>
      </c>
      <c r="AH1279" s="405"/>
      <c r="AI1279" s="414" t="s">
        <v>1962</v>
      </c>
      <c r="AJ1279" s="405" t="s">
        <v>1968</v>
      </c>
      <c r="AK1279" s="425" t="s">
        <v>1599</v>
      </c>
      <c r="AL1279" s="405">
        <v>97210</v>
      </c>
      <c r="AM1279" s="405" t="s">
        <v>52</v>
      </c>
      <c r="AN1279" s="405" t="s">
        <v>1071</v>
      </c>
      <c r="AO1279" s="405"/>
      <c r="AP1279" s="417"/>
      <c r="AQ1279" s="417" t="s">
        <v>37</v>
      </c>
      <c r="AR1279" s="417"/>
      <c r="AS1279" s="426"/>
      <c r="AT1279" s="426"/>
      <c r="AU1279" s="409"/>
    </row>
    <row r="1280" spans="1:55" s="402" customFormat="1">
      <c r="A1280" s="403"/>
      <c r="B1280" s="445">
        <v>44557</v>
      </c>
      <c r="C1280" s="445">
        <v>44587</v>
      </c>
      <c r="D1280" s="416" t="s">
        <v>1914</v>
      </c>
      <c r="E1280" s="405" t="s">
        <v>1239</v>
      </c>
      <c r="F1280" s="405"/>
      <c r="G1280" s="405">
        <v>2022</v>
      </c>
      <c r="H1280" s="405">
        <v>7</v>
      </c>
      <c r="I1280" s="416"/>
      <c r="J1280" s="406"/>
      <c r="K1280" s="414" t="s">
        <v>2163</v>
      </c>
      <c r="L1280" s="405" t="s">
        <v>1967</v>
      </c>
      <c r="M1280" s="418">
        <v>44546</v>
      </c>
      <c r="N1280" s="418">
        <v>44754</v>
      </c>
      <c r="O1280" s="418"/>
      <c r="P1280" s="406"/>
      <c r="Q1280" s="406"/>
      <c r="R1280" s="406"/>
      <c r="S1280" s="405" t="s">
        <v>1443</v>
      </c>
      <c r="T1280" s="405">
        <v>60</v>
      </c>
      <c r="U1280" s="405">
        <v>49204132</v>
      </c>
      <c r="V1280" s="405" t="s">
        <v>1192</v>
      </c>
      <c r="W1280" s="405">
        <v>360</v>
      </c>
      <c r="X1280" s="407">
        <v>832</v>
      </c>
      <c r="Y1280" s="408">
        <f t="shared" si="286"/>
        <v>299520</v>
      </c>
      <c r="Z1280" s="409">
        <v>0.79</v>
      </c>
      <c r="AA1280" s="410">
        <f t="shared" si="277"/>
        <v>236620.80000000002</v>
      </c>
      <c r="AB1280" s="411"/>
      <c r="AC1280" s="412">
        <v>0</v>
      </c>
      <c r="AD1280" s="421"/>
      <c r="AE1280" s="413"/>
      <c r="AF1280" s="424">
        <f t="shared" si="278"/>
        <v>236620.80000000002</v>
      </c>
      <c r="AG1280" s="405" t="s">
        <v>1069</v>
      </c>
      <c r="AH1280" s="405"/>
      <c r="AI1280" s="414" t="s">
        <v>1962</v>
      </c>
      <c r="AJ1280" s="405" t="s">
        <v>1968</v>
      </c>
      <c r="AK1280" s="425" t="s">
        <v>1599</v>
      </c>
      <c r="AL1280" s="405">
        <v>97210</v>
      </c>
      <c r="AM1280" s="405" t="s">
        <v>52</v>
      </c>
      <c r="AN1280" s="405" t="s">
        <v>1071</v>
      </c>
      <c r="AO1280" s="405"/>
      <c r="AP1280" s="417"/>
      <c r="AQ1280" s="417" t="s">
        <v>37</v>
      </c>
      <c r="AR1280" s="417"/>
      <c r="AS1280" s="426"/>
      <c r="AT1280" s="426"/>
      <c r="AU1280" s="409"/>
      <c r="AV1280" s="402">
        <f>U1280</f>
        <v>49204132</v>
      </c>
      <c r="AW1280" s="402" cm="1">
        <f t="array" ref="AW1280">SUM(MID(0&amp;AV1280,LARGE(INDEX(ISNUMBER(--MID(AV1280,ROW($1:$8),1))*ROW($1:$8),),ROW($1:$8))+1,1)*10^ROW($1:$8)/10)</f>
        <v>49204132</v>
      </c>
      <c r="AX1280" s="402" t="str">
        <f>VLOOKUP($AW1280,'Item Master Data'!$A:$F,3,FALSE)</f>
        <v>Q.PEAK DUO BLK G10+/AC</v>
      </c>
      <c r="AY1280" s="402">
        <f>VLOOKUP($AW1280,'Item Master Data'!$A:$F,6,FALSE)</f>
        <v>360</v>
      </c>
      <c r="AZ1280" s="402">
        <f>X1280/BA1280</f>
        <v>32</v>
      </c>
      <c r="BA1280" s="402">
        <f>VLOOKUP(AW1280,'Item Master Data'!$A:$G,7,FALSE)</f>
        <v>26</v>
      </c>
      <c r="BC1280" s="402">
        <f>W1280-AY1280</f>
        <v>0</v>
      </c>
    </row>
    <row r="1281" spans="1:55" s="402" customFormat="1">
      <c r="A1281" s="403"/>
      <c r="B1281" s="445"/>
      <c r="C1281" s="445"/>
      <c r="D1281" s="416" t="s">
        <v>1914</v>
      </c>
      <c r="E1281" s="405" t="s">
        <v>1053</v>
      </c>
      <c r="F1281" s="405"/>
      <c r="G1281" s="405">
        <v>2022</v>
      </c>
      <c r="H1281" s="405">
        <v>7</v>
      </c>
      <c r="I1281" s="416"/>
      <c r="J1281" s="406"/>
      <c r="K1281" s="414" t="s">
        <v>2126</v>
      </c>
      <c r="L1281" s="405" t="s">
        <v>1967</v>
      </c>
      <c r="M1281" s="418">
        <v>44483</v>
      </c>
      <c r="N1281" s="418">
        <v>44639</v>
      </c>
      <c r="O1281" s="418"/>
      <c r="P1281" s="406"/>
      <c r="Q1281" s="406"/>
      <c r="R1281" s="406"/>
      <c r="S1281" s="405" t="s">
        <v>1443</v>
      </c>
      <c r="T1281" s="405">
        <v>60</v>
      </c>
      <c r="U1281" s="405">
        <v>49401140</v>
      </c>
      <c r="V1281" s="405" t="s">
        <v>973</v>
      </c>
      <c r="W1281" s="405">
        <v>400</v>
      </c>
      <c r="X1281" s="407">
        <v>768</v>
      </c>
      <c r="Y1281" s="408">
        <f t="shared" si="286"/>
        <v>307200</v>
      </c>
      <c r="Z1281" s="409">
        <f>210/400</f>
        <v>0.52500000000000002</v>
      </c>
      <c r="AA1281" s="410">
        <f t="shared" si="277"/>
        <v>161280</v>
      </c>
      <c r="AB1281" s="411"/>
      <c r="AC1281" s="412">
        <v>0</v>
      </c>
      <c r="AD1281" s="421"/>
      <c r="AE1281" s="413"/>
      <c r="AF1281" s="424">
        <f t="shared" si="278"/>
        <v>161280</v>
      </c>
      <c r="AG1281" s="405" t="s">
        <v>1069</v>
      </c>
      <c r="AH1281" s="405"/>
      <c r="AI1281" s="414">
        <v>60</v>
      </c>
      <c r="AJ1281" s="405" t="s">
        <v>1584</v>
      </c>
      <c r="AK1281" s="425" t="s">
        <v>50</v>
      </c>
      <c r="AL1281" s="405">
        <v>95834</v>
      </c>
      <c r="AM1281" s="405" t="s">
        <v>52</v>
      </c>
      <c r="AN1281" s="405" t="s">
        <v>1071</v>
      </c>
      <c r="AO1281" s="405"/>
      <c r="AP1281" s="417"/>
      <c r="AQ1281" s="417" t="s">
        <v>37</v>
      </c>
      <c r="AR1281" s="417"/>
      <c r="AS1281" s="426"/>
      <c r="AT1281" s="426"/>
      <c r="AU1281" s="409"/>
      <c r="AV1281" s="402">
        <f>U1281</f>
        <v>49401140</v>
      </c>
      <c r="AW1281" s="402" cm="1">
        <f t="array" ref="AW1281">SUM(MID(0&amp;AV1281,LARGE(INDEX(ISNUMBER(--MID(AV1281,ROW($1:$8),1))*ROW($1:$8),),ROW($1:$8))+1,1)*10^ROW($1:$8)/10)</f>
        <v>49401140</v>
      </c>
      <c r="AX1281" s="402" t="str">
        <f>VLOOKUP($AW1281,'Item Master Data'!$A:$F,3,FALSE)</f>
        <v>Q.PEAK DUO BLK ML G10.a+</v>
      </c>
      <c r="AY1281" s="402">
        <f>VLOOKUP($AW1281,'Item Master Data'!$A:$F,6,FALSE)</f>
        <v>400</v>
      </c>
      <c r="AZ1281" s="402">
        <f>X1281/BA1281</f>
        <v>24</v>
      </c>
      <c r="BA1281" s="402">
        <f>VLOOKUP(AW1281,'Item Master Data'!$A:$G,7,FALSE)</f>
        <v>32</v>
      </c>
      <c r="BC1281" s="402">
        <f>W1281-AY1281</f>
        <v>0</v>
      </c>
    </row>
    <row r="1282" spans="1:55" s="402" customFormat="1">
      <c r="A1282" s="403"/>
      <c r="B1282" s="445" t="s">
        <v>4251</v>
      </c>
      <c r="C1282" s="445">
        <v>44673</v>
      </c>
      <c r="D1282" s="416" t="s">
        <v>1914</v>
      </c>
      <c r="E1282" s="405" t="s">
        <v>3571</v>
      </c>
      <c r="F1282" s="405"/>
      <c r="G1282" s="405">
        <v>2022</v>
      </c>
      <c r="H1282" s="405">
        <v>7</v>
      </c>
      <c r="I1282" s="416"/>
      <c r="J1282" s="406"/>
      <c r="K1282" s="414" t="s">
        <v>2164</v>
      </c>
      <c r="L1282" s="405" t="s">
        <v>1967</v>
      </c>
      <c r="M1282" s="418">
        <v>44636</v>
      </c>
      <c r="N1282" s="418">
        <v>44752</v>
      </c>
      <c r="O1282" s="418"/>
      <c r="P1282" s="406"/>
      <c r="Q1282" s="406"/>
      <c r="R1282" s="406"/>
      <c r="S1282" s="405" t="s">
        <v>1443</v>
      </c>
      <c r="T1282" s="405">
        <v>72</v>
      </c>
      <c r="U1282" s="405" t="s">
        <v>1102</v>
      </c>
      <c r="V1282" s="405" t="s">
        <v>1068</v>
      </c>
      <c r="W1282" s="405">
        <v>480</v>
      </c>
      <c r="X1282" s="407">
        <v>696</v>
      </c>
      <c r="Y1282" s="408">
        <f t="shared" si="286"/>
        <v>334080</v>
      </c>
      <c r="Z1282" s="409">
        <f>237.6/480</f>
        <v>0.495</v>
      </c>
      <c r="AA1282" s="410">
        <f t="shared" si="277"/>
        <v>165369.60000000001</v>
      </c>
      <c r="AB1282" s="411"/>
      <c r="AC1282" s="412">
        <v>0</v>
      </c>
      <c r="AD1282" s="421"/>
      <c r="AE1282" s="413"/>
      <c r="AF1282" s="424">
        <f t="shared" si="278"/>
        <v>165369.60000000001</v>
      </c>
      <c r="AG1282" s="405" t="s">
        <v>1069</v>
      </c>
      <c r="AH1282" s="405"/>
      <c r="AI1282" s="414">
        <v>60</v>
      </c>
      <c r="AJ1282" s="405" t="s">
        <v>1584</v>
      </c>
      <c r="AK1282" s="425" t="s">
        <v>50</v>
      </c>
      <c r="AL1282" s="405">
        <v>95834</v>
      </c>
      <c r="AM1282" s="405" t="s">
        <v>52</v>
      </c>
      <c r="AN1282" s="405" t="s">
        <v>1071</v>
      </c>
      <c r="AO1282" s="405"/>
      <c r="AP1282" s="417"/>
      <c r="AQ1282" s="417" t="s">
        <v>37</v>
      </c>
      <c r="AR1282" s="417"/>
      <c r="AS1282" s="426"/>
      <c r="AT1282" s="426"/>
      <c r="AU1282" s="409"/>
      <c r="AV1282" s="402" t="str">
        <f>U1282</f>
        <v>TBD</v>
      </c>
      <c r="AW1282" s="402" cm="1">
        <f t="array" ref="AW1282">SUM(MID(0&amp;AV1282,LARGE(INDEX(ISNUMBER(--MID(AV1282,ROW($1:$8),1))*ROW($1:$8),),ROW($1:$8))+1,1)*10^ROW($1:$8)/10)</f>
        <v>0</v>
      </c>
      <c r="AX1282" s="402" t="e">
        <f>VLOOKUP($AW1282,'Item Master Data'!$A:$F,3,FALSE)</f>
        <v>#N/A</v>
      </c>
      <c r="AY1282" s="402" t="e">
        <f>VLOOKUP($AW1282,'Item Master Data'!$A:$F,6,FALSE)</f>
        <v>#N/A</v>
      </c>
      <c r="AZ1282" s="402" t="e">
        <f>X1282/BA1282</f>
        <v>#N/A</v>
      </c>
      <c r="BA1282" s="402" t="e">
        <f>VLOOKUP(AW1282,'Item Master Data'!$A:$G,7,FALSE)</f>
        <v>#N/A</v>
      </c>
      <c r="BC1282" s="402" t="e">
        <f>W1282-AY1282</f>
        <v>#N/A</v>
      </c>
    </row>
    <row r="1283" spans="1:55" s="402" customFormat="1">
      <c r="A1283" s="403"/>
      <c r="B1283" s="445"/>
      <c r="C1283" s="445"/>
      <c r="D1283" s="416" t="s">
        <v>1914</v>
      </c>
      <c r="E1283" s="405"/>
      <c r="F1283" s="405"/>
      <c r="G1283" s="405">
        <v>2022</v>
      </c>
      <c r="H1283" s="405">
        <v>7</v>
      </c>
      <c r="I1283" s="416"/>
      <c r="J1283" s="406"/>
      <c r="K1283" s="414" t="s">
        <v>2127</v>
      </c>
      <c r="L1283" s="405" t="s">
        <v>1967</v>
      </c>
      <c r="M1283" s="418">
        <v>44510</v>
      </c>
      <c r="N1283" s="418">
        <v>44566</v>
      </c>
      <c r="O1283" s="418"/>
      <c r="P1283" s="406"/>
      <c r="Q1283" s="406"/>
      <c r="R1283" s="406"/>
      <c r="S1283" s="405" t="s">
        <v>1443</v>
      </c>
      <c r="T1283" s="405">
        <v>60</v>
      </c>
      <c r="U1283" s="405">
        <v>49401140</v>
      </c>
      <c r="V1283" s="405" t="s">
        <v>973</v>
      </c>
      <c r="W1283" s="405">
        <v>400</v>
      </c>
      <c r="X1283" s="407">
        <v>768</v>
      </c>
      <c r="Y1283" s="408">
        <f t="shared" si="286"/>
        <v>307200</v>
      </c>
      <c r="Z1283" s="409">
        <f>210/400</f>
        <v>0.52500000000000002</v>
      </c>
      <c r="AA1283" s="410">
        <f t="shared" si="277"/>
        <v>161280</v>
      </c>
      <c r="AB1283" s="411"/>
      <c r="AC1283" s="412">
        <v>0</v>
      </c>
      <c r="AD1283" s="421"/>
      <c r="AE1283" s="413"/>
      <c r="AF1283" s="424">
        <f t="shared" si="278"/>
        <v>161280</v>
      </c>
      <c r="AG1283" s="405" t="s">
        <v>1069</v>
      </c>
      <c r="AH1283" s="405"/>
      <c r="AI1283" s="414" t="s">
        <v>1962</v>
      </c>
      <c r="AJ1283" s="405" t="s">
        <v>1616</v>
      </c>
      <c r="AK1283" s="425" t="s">
        <v>50</v>
      </c>
      <c r="AL1283" s="405">
        <v>93722</v>
      </c>
      <c r="AM1283" s="405" t="s">
        <v>52</v>
      </c>
      <c r="AN1283" s="405"/>
      <c r="AO1283" s="405"/>
      <c r="AP1283" s="417"/>
      <c r="AQ1283" s="417" t="s">
        <v>37</v>
      </c>
      <c r="AR1283" s="417"/>
      <c r="AS1283" s="426"/>
      <c r="AT1283" s="426"/>
      <c r="AU1283" s="409"/>
      <c r="AV1283" s="402">
        <f>U1283</f>
        <v>49401140</v>
      </c>
      <c r="AW1283" s="402" cm="1">
        <f t="array" ref="AW1283">SUM(MID(0&amp;AV1283,LARGE(INDEX(ISNUMBER(--MID(AV1283,ROW($1:$8),1))*ROW($1:$8),),ROW($1:$8))+1,1)*10^ROW($1:$8)/10)</f>
        <v>49401140</v>
      </c>
      <c r="AX1283" s="402" t="str">
        <f>VLOOKUP($AW1283,'Item Master Data'!$A:$F,3,FALSE)</f>
        <v>Q.PEAK DUO BLK ML G10.a+</v>
      </c>
      <c r="AY1283" s="402">
        <f>VLOOKUP($AW1283,'Item Master Data'!$A:$F,6,FALSE)</f>
        <v>400</v>
      </c>
      <c r="AZ1283" s="402">
        <f>X1283/BA1283</f>
        <v>24</v>
      </c>
      <c r="BA1283" s="402">
        <f>VLOOKUP(AW1283,'Item Master Data'!$A:$G,7,FALSE)</f>
        <v>32</v>
      </c>
      <c r="BC1283" s="402">
        <f>W1283-AY1283</f>
        <v>0</v>
      </c>
    </row>
    <row r="1284" spans="1:55" s="402" customFormat="1">
      <c r="A1284" s="403"/>
      <c r="B1284" s="445"/>
      <c r="C1284" s="445"/>
      <c r="D1284" s="416" t="s">
        <v>1914</v>
      </c>
      <c r="E1284" s="405"/>
      <c r="F1284" s="405"/>
      <c r="G1284" s="405">
        <v>2022</v>
      </c>
      <c r="H1284" s="405">
        <v>7</v>
      </c>
      <c r="I1284" s="416"/>
      <c r="J1284" s="406"/>
      <c r="K1284" s="414" t="s">
        <v>2128</v>
      </c>
      <c r="L1284" s="405" t="s">
        <v>1967</v>
      </c>
      <c r="M1284" s="418">
        <v>44510</v>
      </c>
      <c r="N1284" s="418">
        <v>44607</v>
      </c>
      <c r="O1284" s="418"/>
      <c r="P1284" s="406"/>
      <c r="Q1284" s="406"/>
      <c r="R1284" s="406"/>
      <c r="S1284" s="405" t="s">
        <v>1443</v>
      </c>
      <c r="T1284" s="405">
        <v>60</v>
      </c>
      <c r="U1284" s="405">
        <v>49401140</v>
      </c>
      <c r="V1284" s="405" t="s">
        <v>973</v>
      </c>
      <c r="W1284" s="405">
        <v>400</v>
      </c>
      <c r="X1284" s="407">
        <v>768</v>
      </c>
      <c r="Y1284" s="408">
        <f t="shared" si="286"/>
        <v>307200</v>
      </c>
      <c r="Z1284" s="409">
        <f>210/400</f>
        <v>0.52500000000000002</v>
      </c>
      <c r="AA1284" s="410">
        <f t="shared" si="277"/>
        <v>161280</v>
      </c>
      <c r="AB1284" s="411"/>
      <c r="AC1284" s="412">
        <v>0</v>
      </c>
      <c r="AD1284" s="421"/>
      <c r="AE1284" s="413"/>
      <c r="AF1284" s="424">
        <f t="shared" si="278"/>
        <v>161280</v>
      </c>
      <c r="AG1284" s="405" t="s">
        <v>1069</v>
      </c>
      <c r="AH1284" s="405"/>
      <c r="AI1284" s="414" t="s">
        <v>1962</v>
      </c>
      <c r="AJ1284" s="405" t="s">
        <v>1616</v>
      </c>
      <c r="AK1284" s="425" t="s">
        <v>50</v>
      </c>
      <c r="AL1284" s="405">
        <v>93722</v>
      </c>
      <c r="AM1284" s="405" t="s">
        <v>52</v>
      </c>
      <c r="AN1284" s="405"/>
      <c r="AO1284" s="405"/>
      <c r="AP1284" s="417"/>
      <c r="AQ1284" s="417" t="s">
        <v>37</v>
      </c>
      <c r="AR1284" s="417"/>
      <c r="AS1284" s="426"/>
      <c r="AT1284" s="426"/>
      <c r="AU1284" s="409"/>
      <c r="AV1284" s="402">
        <f>U1284</f>
        <v>49401140</v>
      </c>
      <c r="AW1284" s="402" cm="1">
        <f t="array" ref="AW1284">SUM(MID(0&amp;AV1284,LARGE(INDEX(ISNUMBER(--MID(AV1284,ROW($1:$8),1))*ROW($1:$8),),ROW($1:$8))+1,1)*10^ROW($1:$8)/10)</f>
        <v>49401140</v>
      </c>
      <c r="AX1284" s="402" t="str">
        <f>VLOOKUP($AW1284,'Item Master Data'!$A:$F,3,FALSE)</f>
        <v>Q.PEAK DUO BLK ML G10.a+</v>
      </c>
      <c r="AY1284" s="402">
        <f>VLOOKUP($AW1284,'Item Master Data'!$A:$F,6,FALSE)</f>
        <v>400</v>
      </c>
      <c r="AZ1284" s="402">
        <f>X1284/BA1284</f>
        <v>24</v>
      </c>
      <c r="BA1284" s="402">
        <f>VLOOKUP(AW1284,'Item Master Data'!$A:$G,7,FALSE)</f>
        <v>32</v>
      </c>
      <c r="BC1284" s="402">
        <f>W1284-AY1284</f>
        <v>0</v>
      </c>
    </row>
    <row r="1285" spans="1:55" s="402" customFormat="1">
      <c r="A1285" s="403"/>
      <c r="B1285" s="445"/>
      <c r="C1285" s="445"/>
      <c r="D1285" s="416" t="s">
        <v>1914</v>
      </c>
      <c r="E1285" s="405"/>
      <c r="F1285" s="405"/>
      <c r="G1285" s="405">
        <v>2022</v>
      </c>
      <c r="H1285" s="405">
        <v>7</v>
      </c>
      <c r="I1285" s="416"/>
      <c r="J1285" s="406"/>
      <c r="K1285" s="414" t="s">
        <v>2129</v>
      </c>
      <c r="L1285" s="405" t="s">
        <v>1967</v>
      </c>
      <c r="M1285" s="418">
        <v>44512</v>
      </c>
      <c r="N1285" s="418">
        <v>44602</v>
      </c>
      <c r="O1285" s="418"/>
      <c r="P1285" s="406"/>
      <c r="Q1285" s="406"/>
      <c r="R1285" s="406"/>
      <c r="S1285" s="405" t="s">
        <v>1443</v>
      </c>
      <c r="T1285" s="405">
        <v>60</v>
      </c>
      <c r="U1285" s="405">
        <v>49401140</v>
      </c>
      <c r="V1285" s="405" t="s">
        <v>973</v>
      </c>
      <c r="W1285" s="405">
        <v>400</v>
      </c>
      <c r="X1285" s="407">
        <v>768</v>
      </c>
      <c r="Y1285" s="408">
        <f t="shared" si="286"/>
        <v>307200</v>
      </c>
      <c r="Z1285" s="409">
        <f>210/400</f>
        <v>0.52500000000000002</v>
      </c>
      <c r="AA1285" s="410">
        <f t="shared" si="277"/>
        <v>161280</v>
      </c>
      <c r="AB1285" s="411"/>
      <c r="AC1285" s="412">
        <v>0</v>
      </c>
      <c r="AD1285" s="421"/>
      <c r="AE1285" s="413"/>
      <c r="AF1285" s="424">
        <f t="shared" si="278"/>
        <v>161280</v>
      </c>
      <c r="AG1285" s="405" t="s">
        <v>1069</v>
      </c>
      <c r="AH1285" s="405"/>
      <c r="AI1285" s="414">
        <v>60</v>
      </c>
      <c r="AJ1285" s="405" t="s">
        <v>1969</v>
      </c>
      <c r="AK1285" s="425" t="s">
        <v>1125</v>
      </c>
      <c r="AL1285" s="405">
        <v>85008</v>
      </c>
      <c r="AM1285" s="405" t="s">
        <v>52</v>
      </c>
      <c r="AN1285" s="405"/>
      <c r="AO1285" s="405"/>
      <c r="AP1285" s="417"/>
      <c r="AQ1285" s="417" t="s">
        <v>37</v>
      </c>
      <c r="AR1285" s="417"/>
      <c r="AS1285" s="426"/>
      <c r="AT1285" s="426"/>
      <c r="AU1285" s="409"/>
    </row>
    <row r="1286" spans="1:55" s="402" customFormat="1">
      <c r="A1286" s="403"/>
      <c r="B1286" s="445"/>
      <c r="C1286" s="445"/>
      <c r="D1286" s="416" t="s">
        <v>1914</v>
      </c>
      <c r="E1286" s="405"/>
      <c r="F1286" s="405"/>
      <c r="G1286" s="405">
        <v>2022</v>
      </c>
      <c r="H1286" s="405">
        <v>7</v>
      </c>
      <c r="I1286" s="416"/>
      <c r="J1286" s="406"/>
      <c r="K1286" s="414" t="s">
        <v>2130</v>
      </c>
      <c r="L1286" s="405" t="s">
        <v>1967</v>
      </c>
      <c r="M1286" s="418">
        <v>44512</v>
      </c>
      <c r="N1286" s="418">
        <v>44630</v>
      </c>
      <c r="O1286" s="418"/>
      <c r="P1286" s="406"/>
      <c r="Q1286" s="406"/>
      <c r="R1286" s="406"/>
      <c r="S1286" s="405" t="s">
        <v>1443</v>
      </c>
      <c r="T1286" s="405">
        <v>60</v>
      </c>
      <c r="U1286" s="405">
        <v>49401140</v>
      </c>
      <c r="V1286" s="405" t="s">
        <v>973</v>
      </c>
      <c r="W1286" s="405">
        <v>400</v>
      </c>
      <c r="X1286" s="407">
        <v>768</v>
      </c>
      <c r="Y1286" s="408">
        <f t="shared" si="286"/>
        <v>307200</v>
      </c>
      <c r="Z1286" s="409">
        <f>210/400</f>
        <v>0.52500000000000002</v>
      </c>
      <c r="AA1286" s="410">
        <f t="shared" si="277"/>
        <v>161280</v>
      </c>
      <c r="AB1286" s="411"/>
      <c r="AC1286" s="412">
        <v>0</v>
      </c>
      <c r="AD1286" s="421"/>
      <c r="AE1286" s="413"/>
      <c r="AF1286" s="424">
        <f t="shared" si="278"/>
        <v>161280</v>
      </c>
      <c r="AG1286" s="405" t="s">
        <v>1069</v>
      </c>
      <c r="AH1286" s="405"/>
      <c r="AI1286" s="414">
        <v>60</v>
      </c>
      <c r="AJ1286" s="405" t="s">
        <v>1969</v>
      </c>
      <c r="AK1286" s="425" t="s">
        <v>1125</v>
      </c>
      <c r="AL1286" s="405">
        <v>85008</v>
      </c>
      <c r="AM1286" s="405" t="s">
        <v>52</v>
      </c>
      <c r="AN1286" s="405" t="s">
        <v>1071</v>
      </c>
      <c r="AO1286" s="405"/>
      <c r="AP1286" s="417"/>
      <c r="AQ1286" s="417" t="s">
        <v>37</v>
      </c>
      <c r="AR1286" s="417"/>
      <c r="AS1286" s="426"/>
      <c r="AT1286" s="426"/>
      <c r="AU1286" s="409"/>
      <c r="AV1286" s="402">
        <f t="shared" ref="AV1286:AV1291" si="287">U1286</f>
        <v>49401140</v>
      </c>
      <c r="AW1286" s="402" cm="1">
        <f t="array" ref="AW1286">SUM(MID(0&amp;AV1286,LARGE(INDEX(ISNUMBER(--MID(AV1286,ROW($1:$8),1))*ROW($1:$8),),ROW($1:$8))+1,1)*10^ROW($1:$8)/10)</f>
        <v>49401140</v>
      </c>
      <c r="AX1286" s="402" t="str">
        <f>VLOOKUP($AW1286,'Item Master Data'!$A:$F,3,FALSE)</f>
        <v>Q.PEAK DUO BLK ML G10.a+</v>
      </c>
      <c r="AY1286" s="402">
        <f>VLOOKUP($AW1286,'Item Master Data'!$A:$F,6,FALSE)</f>
        <v>400</v>
      </c>
      <c r="AZ1286" s="402">
        <f t="shared" ref="AZ1286:AZ1291" si="288">X1286/BA1286</f>
        <v>24</v>
      </c>
      <c r="BA1286" s="402">
        <f>VLOOKUP(AW1286,'Item Master Data'!$A:$G,7,FALSE)</f>
        <v>32</v>
      </c>
      <c r="BC1286" s="402">
        <f t="shared" ref="BC1286:BC1291" si="289">W1286-AY1286</f>
        <v>0</v>
      </c>
    </row>
    <row r="1287" spans="1:55" s="402" customFormat="1">
      <c r="A1287" s="403"/>
      <c r="B1287" s="445"/>
      <c r="C1287" s="445"/>
      <c r="D1287" s="416" t="s">
        <v>1914</v>
      </c>
      <c r="E1287" s="405" t="s">
        <v>4220</v>
      </c>
      <c r="F1287" s="405"/>
      <c r="G1287" s="405">
        <v>2022</v>
      </c>
      <c r="H1287" s="405">
        <v>7</v>
      </c>
      <c r="I1287" s="416"/>
      <c r="J1287" s="406"/>
      <c r="K1287" s="414" t="s">
        <v>2003</v>
      </c>
      <c r="L1287" s="405" t="s">
        <v>1967</v>
      </c>
      <c r="M1287" s="418">
        <v>44524</v>
      </c>
      <c r="N1287" s="418">
        <v>44607</v>
      </c>
      <c r="O1287" s="418"/>
      <c r="P1287" s="406"/>
      <c r="Q1287" s="406"/>
      <c r="R1287" s="406"/>
      <c r="S1287" s="405" t="s">
        <v>1443</v>
      </c>
      <c r="T1287" s="405">
        <v>60</v>
      </c>
      <c r="U1287" s="405">
        <v>49204132</v>
      </c>
      <c r="V1287" s="405" t="s">
        <v>1192</v>
      </c>
      <c r="W1287" s="405">
        <v>360</v>
      </c>
      <c r="X1287" s="407">
        <v>624</v>
      </c>
      <c r="Y1287" s="408">
        <f t="shared" si="286"/>
        <v>224640</v>
      </c>
      <c r="Z1287" s="409">
        <f>284.4/360</f>
        <v>0.78999999999999992</v>
      </c>
      <c r="AA1287" s="410">
        <f t="shared" si="277"/>
        <v>177465.59999999998</v>
      </c>
      <c r="AB1287" s="411"/>
      <c r="AC1287" s="412">
        <v>0</v>
      </c>
      <c r="AD1287" s="421"/>
      <c r="AE1287" s="413"/>
      <c r="AF1287" s="424">
        <f t="shared" si="278"/>
        <v>177465.59999999998</v>
      </c>
      <c r="AG1287" s="405" t="s">
        <v>1069</v>
      </c>
      <c r="AH1287" s="405"/>
      <c r="AI1287" s="414" t="s">
        <v>1962</v>
      </c>
      <c r="AJ1287" s="405" t="s">
        <v>1969</v>
      </c>
      <c r="AK1287" s="425" t="s">
        <v>1125</v>
      </c>
      <c r="AL1287" s="405">
        <v>85008</v>
      </c>
      <c r="AM1287" s="405" t="s">
        <v>52</v>
      </c>
      <c r="AN1287" s="405" t="s">
        <v>1071</v>
      </c>
      <c r="AO1287" s="405"/>
      <c r="AP1287" s="417"/>
      <c r="AQ1287" s="417" t="s">
        <v>37</v>
      </c>
      <c r="AR1287" s="417"/>
      <c r="AS1287" s="426"/>
      <c r="AT1287" s="426"/>
      <c r="AU1287" s="409"/>
      <c r="AV1287" s="402">
        <f t="shared" si="287"/>
        <v>49204132</v>
      </c>
      <c r="AW1287" s="402" cm="1">
        <f t="array" ref="AW1287">SUM(MID(0&amp;AV1287,LARGE(INDEX(ISNUMBER(--MID(AV1287,ROW($1:$8),1))*ROW($1:$8),),ROW($1:$8))+1,1)*10^ROW($1:$8)/10)</f>
        <v>49204132</v>
      </c>
      <c r="AX1287" s="402" t="str">
        <f>VLOOKUP($AW1287,'Item Master Data'!$A:$F,3,FALSE)</f>
        <v>Q.PEAK DUO BLK G10+/AC</v>
      </c>
      <c r="AY1287" s="402">
        <f>VLOOKUP($AW1287,'Item Master Data'!$A:$F,6,FALSE)</f>
        <v>360</v>
      </c>
      <c r="AZ1287" s="402">
        <f t="shared" si="288"/>
        <v>24</v>
      </c>
      <c r="BA1287" s="402">
        <f>VLOOKUP(AW1287,'Item Master Data'!$A:$G,7,FALSE)</f>
        <v>26</v>
      </c>
      <c r="BC1287" s="402">
        <f t="shared" si="289"/>
        <v>0</v>
      </c>
    </row>
    <row r="1288" spans="1:55" s="402" customFormat="1">
      <c r="A1288" s="403"/>
      <c r="B1288" s="445"/>
      <c r="C1288" s="445"/>
      <c r="D1288" s="416" t="s">
        <v>1914</v>
      </c>
      <c r="E1288" s="405" t="s">
        <v>1239</v>
      </c>
      <c r="F1288" s="405"/>
      <c r="G1288" s="405">
        <v>2022</v>
      </c>
      <c r="H1288" s="405">
        <v>7</v>
      </c>
      <c r="I1288" s="416"/>
      <c r="J1288" s="406"/>
      <c r="K1288" s="414" t="s">
        <v>2021</v>
      </c>
      <c r="L1288" s="405" t="s">
        <v>1967</v>
      </c>
      <c r="M1288" s="418">
        <v>44524</v>
      </c>
      <c r="N1288" s="418">
        <v>44666</v>
      </c>
      <c r="O1288" s="418"/>
      <c r="P1288" s="406"/>
      <c r="Q1288" s="406"/>
      <c r="R1288" s="406"/>
      <c r="S1288" s="405" t="s">
        <v>1443</v>
      </c>
      <c r="T1288" s="405">
        <v>60</v>
      </c>
      <c r="U1288" s="405">
        <v>49204132</v>
      </c>
      <c r="V1288" s="405" t="s">
        <v>1192</v>
      </c>
      <c r="W1288" s="405">
        <v>360</v>
      </c>
      <c r="X1288" s="407">
        <v>624</v>
      </c>
      <c r="Y1288" s="408">
        <f t="shared" si="286"/>
        <v>224640</v>
      </c>
      <c r="Z1288" s="409">
        <f>284.4/360</f>
        <v>0.78999999999999992</v>
      </c>
      <c r="AA1288" s="410">
        <f t="shared" si="277"/>
        <v>177465.59999999998</v>
      </c>
      <c r="AB1288" s="411"/>
      <c r="AC1288" s="412">
        <v>0</v>
      </c>
      <c r="AD1288" s="421"/>
      <c r="AE1288" s="413"/>
      <c r="AF1288" s="424">
        <f t="shared" si="278"/>
        <v>177465.59999999998</v>
      </c>
      <c r="AG1288" s="405" t="s">
        <v>1069</v>
      </c>
      <c r="AH1288" s="405"/>
      <c r="AI1288" s="414" t="s">
        <v>1962</v>
      </c>
      <c r="AJ1288" s="405" t="s">
        <v>1969</v>
      </c>
      <c r="AK1288" s="425" t="s">
        <v>1125</v>
      </c>
      <c r="AL1288" s="405">
        <v>85008</v>
      </c>
      <c r="AM1288" s="405" t="s">
        <v>52</v>
      </c>
      <c r="AN1288" s="405"/>
      <c r="AO1288" s="405"/>
      <c r="AP1288" s="417"/>
      <c r="AQ1288" s="417" t="s">
        <v>37</v>
      </c>
      <c r="AR1288" s="417"/>
      <c r="AS1288" s="426"/>
      <c r="AT1288" s="426"/>
      <c r="AU1288" s="409"/>
      <c r="AV1288" s="402">
        <f t="shared" si="287"/>
        <v>49204132</v>
      </c>
      <c r="AW1288" s="402" cm="1">
        <f t="array" ref="AW1288">SUM(MID(0&amp;AV1288,LARGE(INDEX(ISNUMBER(--MID(AV1288,ROW($1:$8),1))*ROW($1:$8),),ROW($1:$8))+1,1)*10^ROW($1:$8)/10)</f>
        <v>49204132</v>
      </c>
      <c r="AX1288" s="402" t="str">
        <f>VLOOKUP($AW1288,'Item Master Data'!$A:$F,3,FALSE)</f>
        <v>Q.PEAK DUO BLK G10+/AC</v>
      </c>
      <c r="AY1288" s="402">
        <f>VLOOKUP($AW1288,'Item Master Data'!$A:$F,6,FALSE)</f>
        <v>360</v>
      </c>
      <c r="AZ1288" s="402">
        <f t="shared" si="288"/>
        <v>24</v>
      </c>
      <c r="BA1288" s="402">
        <f>VLOOKUP(AW1288,'Item Master Data'!$A:$G,7,FALSE)</f>
        <v>26</v>
      </c>
      <c r="BC1288" s="402">
        <f t="shared" si="289"/>
        <v>0</v>
      </c>
    </row>
    <row r="1289" spans="1:55" s="402" customFormat="1">
      <c r="A1289" s="403"/>
      <c r="B1289" s="445">
        <v>44557</v>
      </c>
      <c r="C1289" s="445">
        <v>44587</v>
      </c>
      <c r="D1289" s="416" t="s">
        <v>1914</v>
      </c>
      <c r="E1289" s="405" t="s">
        <v>1239</v>
      </c>
      <c r="F1289" s="405"/>
      <c r="G1289" s="405">
        <v>2022</v>
      </c>
      <c r="H1289" s="405">
        <v>7</v>
      </c>
      <c r="I1289" s="416"/>
      <c r="J1289" s="406"/>
      <c r="K1289" s="414" t="s">
        <v>2114</v>
      </c>
      <c r="L1289" s="405" t="s">
        <v>1967</v>
      </c>
      <c r="M1289" s="418">
        <v>44524</v>
      </c>
      <c r="N1289" s="418">
        <v>44727</v>
      </c>
      <c r="O1289" s="418"/>
      <c r="P1289" s="406"/>
      <c r="Q1289" s="406"/>
      <c r="R1289" s="406"/>
      <c r="S1289" s="405" t="s">
        <v>1443</v>
      </c>
      <c r="T1289" s="405">
        <v>60</v>
      </c>
      <c r="U1289" s="405">
        <v>49204132</v>
      </c>
      <c r="V1289" s="405" t="s">
        <v>1192</v>
      </c>
      <c r="W1289" s="405">
        <v>360</v>
      </c>
      <c r="X1289" s="407">
        <v>624</v>
      </c>
      <c r="Y1289" s="408">
        <f t="shared" si="286"/>
        <v>224640</v>
      </c>
      <c r="Z1289" s="409">
        <f>284.4/360</f>
        <v>0.78999999999999992</v>
      </c>
      <c r="AA1289" s="410">
        <f t="shared" si="277"/>
        <v>177465.59999999998</v>
      </c>
      <c r="AB1289" s="411"/>
      <c r="AC1289" s="412">
        <v>0</v>
      </c>
      <c r="AD1289" s="421"/>
      <c r="AE1289" s="413"/>
      <c r="AF1289" s="424">
        <f t="shared" si="278"/>
        <v>177465.59999999998</v>
      </c>
      <c r="AG1289" s="405" t="s">
        <v>1069</v>
      </c>
      <c r="AH1289" s="405"/>
      <c r="AI1289" s="414" t="s">
        <v>1962</v>
      </c>
      <c r="AJ1289" s="405" t="s">
        <v>1969</v>
      </c>
      <c r="AK1289" s="425" t="s">
        <v>1125</v>
      </c>
      <c r="AL1289" s="405">
        <v>85008</v>
      </c>
      <c r="AM1289" s="405" t="s">
        <v>52</v>
      </c>
      <c r="AN1289" s="405"/>
      <c r="AO1289" s="405"/>
      <c r="AP1289" s="417"/>
      <c r="AQ1289" s="417" t="s">
        <v>37</v>
      </c>
      <c r="AR1289" s="417"/>
      <c r="AS1289" s="426"/>
      <c r="AT1289" s="426"/>
      <c r="AU1289" s="409"/>
      <c r="AV1289" s="402">
        <f t="shared" si="287"/>
        <v>49204132</v>
      </c>
      <c r="AW1289" s="402" cm="1">
        <f t="array" ref="AW1289">SUM(MID(0&amp;AV1289,LARGE(INDEX(ISNUMBER(--MID(AV1289,ROW($1:$8),1))*ROW($1:$8),),ROW($1:$8))+1,1)*10^ROW($1:$8)/10)</f>
        <v>49204132</v>
      </c>
      <c r="AX1289" s="402" t="str">
        <f>VLOOKUP($AW1289,'Item Master Data'!$A:$F,3,FALSE)</f>
        <v>Q.PEAK DUO BLK G10+/AC</v>
      </c>
      <c r="AY1289" s="402">
        <f>VLOOKUP($AW1289,'Item Master Data'!$A:$F,6,FALSE)</f>
        <v>360</v>
      </c>
      <c r="AZ1289" s="402">
        <f t="shared" si="288"/>
        <v>24</v>
      </c>
      <c r="BA1289" s="402">
        <f>VLOOKUP(AW1289,'Item Master Data'!$A:$G,7,FALSE)</f>
        <v>26</v>
      </c>
      <c r="BC1289" s="402">
        <f t="shared" si="289"/>
        <v>0</v>
      </c>
    </row>
    <row r="1290" spans="1:55" s="402" customFormat="1">
      <c r="A1290" s="403"/>
      <c r="B1290" s="445">
        <v>44557</v>
      </c>
      <c r="C1290" s="445">
        <v>44587</v>
      </c>
      <c r="D1290" s="416" t="s">
        <v>1914</v>
      </c>
      <c r="E1290" s="405" t="s">
        <v>1239</v>
      </c>
      <c r="F1290" s="405"/>
      <c r="G1290" s="405">
        <v>2022</v>
      </c>
      <c r="H1290" s="405">
        <v>7</v>
      </c>
      <c r="I1290" s="416"/>
      <c r="J1290" s="406"/>
      <c r="K1290" s="414" t="s">
        <v>2165</v>
      </c>
      <c r="L1290" s="405" t="s">
        <v>1967</v>
      </c>
      <c r="M1290" s="418">
        <v>44544</v>
      </c>
      <c r="N1290" s="418">
        <v>44752</v>
      </c>
      <c r="O1290" s="418"/>
      <c r="P1290" s="406"/>
      <c r="Q1290" s="406"/>
      <c r="R1290" s="406"/>
      <c r="S1290" s="405" t="s">
        <v>1443</v>
      </c>
      <c r="T1290" s="405">
        <v>60</v>
      </c>
      <c r="U1290" s="405">
        <v>49204132</v>
      </c>
      <c r="V1290" s="405" t="s">
        <v>1192</v>
      </c>
      <c r="W1290" s="405">
        <v>360</v>
      </c>
      <c r="X1290" s="407">
        <v>624</v>
      </c>
      <c r="Y1290" s="408">
        <f t="shared" si="286"/>
        <v>224640</v>
      </c>
      <c r="Z1290" s="409">
        <v>0.79</v>
      </c>
      <c r="AA1290" s="410">
        <f t="shared" si="277"/>
        <v>177465.60000000001</v>
      </c>
      <c r="AB1290" s="411"/>
      <c r="AC1290" s="412">
        <v>0</v>
      </c>
      <c r="AD1290" s="421"/>
      <c r="AE1290" s="413"/>
      <c r="AF1290" s="424">
        <f t="shared" si="278"/>
        <v>177465.60000000001</v>
      </c>
      <c r="AG1290" s="405" t="s">
        <v>1069</v>
      </c>
      <c r="AH1290" s="405"/>
      <c r="AI1290" s="414" t="s">
        <v>1962</v>
      </c>
      <c r="AJ1290" s="405" t="s">
        <v>1969</v>
      </c>
      <c r="AK1290" s="425" t="s">
        <v>1125</v>
      </c>
      <c r="AL1290" s="405">
        <v>85008</v>
      </c>
      <c r="AM1290" s="405" t="s">
        <v>52</v>
      </c>
      <c r="AN1290" s="405" t="s">
        <v>1071</v>
      </c>
      <c r="AO1290" s="405"/>
      <c r="AP1290" s="417"/>
      <c r="AQ1290" s="417" t="s">
        <v>37</v>
      </c>
      <c r="AR1290" s="417"/>
      <c r="AS1290" s="426"/>
      <c r="AT1290" s="426"/>
      <c r="AU1290" s="409"/>
      <c r="AV1290" s="402">
        <f t="shared" si="287"/>
        <v>49204132</v>
      </c>
      <c r="AW1290" s="402" cm="1">
        <f t="array" ref="AW1290">SUM(MID(0&amp;AV1290,LARGE(INDEX(ISNUMBER(--MID(AV1290,ROW($1:$8),1))*ROW($1:$8),),ROW($1:$8))+1,1)*10^ROW($1:$8)/10)</f>
        <v>49204132</v>
      </c>
      <c r="AX1290" s="402" t="str">
        <f>VLOOKUP($AW1290,'Item Master Data'!$A:$F,3,FALSE)</f>
        <v>Q.PEAK DUO BLK G10+/AC</v>
      </c>
      <c r="AY1290" s="402">
        <f>VLOOKUP($AW1290,'Item Master Data'!$A:$F,6,FALSE)</f>
        <v>360</v>
      </c>
      <c r="AZ1290" s="402">
        <f t="shared" si="288"/>
        <v>24</v>
      </c>
      <c r="BA1290" s="402">
        <f>VLOOKUP(AW1290,'Item Master Data'!$A:$G,7,FALSE)</f>
        <v>26</v>
      </c>
      <c r="BC1290" s="402">
        <f t="shared" si="289"/>
        <v>0</v>
      </c>
    </row>
    <row r="1291" spans="1:55" s="402" customFormat="1">
      <c r="A1291" s="403"/>
      <c r="B1291" s="445">
        <v>44557</v>
      </c>
      <c r="C1291" s="445"/>
      <c r="D1291" s="416" t="s">
        <v>1914</v>
      </c>
      <c r="E1291" s="405" t="s">
        <v>2155</v>
      </c>
      <c r="F1291" s="405"/>
      <c r="G1291" s="405">
        <v>2022</v>
      </c>
      <c r="H1291" s="405">
        <v>7</v>
      </c>
      <c r="I1291" s="416"/>
      <c r="J1291" s="406"/>
      <c r="K1291" s="414" t="s">
        <v>2166</v>
      </c>
      <c r="L1291" s="405" t="s">
        <v>2004</v>
      </c>
      <c r="M1291" s="418">
        <v>44544</v>
      </c>
      <c r="N1291" s="418">
        <v>44656</v>
      </c>
      <c r="O1291" s="418"/>
      <c r="P1291" s="406"/>
      <c r="Q1291" s="406"/>
      <c r="R1291" s="406"/>
      <c r="S1291" s="405" t="s">
        <v>1443</v>
      </c>
      <c r="T1291" s="405">
        <v>60</v>
      </c>
      <c r="U1291" s="405" t="s">
        <v>1237</v>
      </c>
      <c r="V1291" s="405" t="s">
        <v>973</v>
      </c>
      <c r="W1291" s="405">
        <v>400</v>
      </c>
      <c r="X1291" s="407">
        <v>768</v>
      </c>
      <c r="Y1291" s="408">
        <v>307200</v>
      </c>
      <c r="Z1291" s="409">
        <v>0.55500000000000005</v>
      </c>
      <c r="AA1291" s="410">
        <f t="shared" si="277"/>
        <v>170496.00000000003</v>
      </c>
      <c r="AB1291" s="411"/>
      <c r="AC1291" s="412">
        <v>0</v>
      </c>
      <c r="AD1291" s="421"/>
      <c r="AE1291" s="413"/>
      <c r="AF1291" s="424">
        <f t="shared" si="278"/>
        <v>170496.00000000003</v>
      </c>
      <c r="AG1291" s="405" t="s">
        <v>1069</v>
      </c>
      <c r="AH1291" s="405"/>
      <c r="AI1291" s="414" t="s">
        <v>1962</v>
      </c>
      <c r="AJ1291" s="405" t="s">
        <v>1616</v>
      </c>
      <c r="AK1291" s="425" t="s">
        <v>50</v>
      </c>
      <c r="AL1291" s="405">
        <v>93722</v>
      </c>
      <c r="AM1291" s="405" t="s">
        <v>52</v>
      </c>
      <c r="AN1291" s="405"/>
      <c r="AO1291" s="405"/>
      <c r="AP1291" s="417"/>
      <c r="AQ1291" s="417" t="s">
        <v>37</v>
      </c>
      <c r="AR1291" s="417"/>
      <c r="AS1291" s="426"/>
      <c r="AT1291" s="426"/>
      <c r="AU1291" s="409"/>
      <c r="AV1291" s="402" t="str">
        <f t="shared" si="287"/>
        <v>30390456H</v>
      </c>
      <c r="AW1291" s="402" cm="1">
        <f t="array" ref="AW1291">SUM(MID(0&amp;AV1291,LARGE(INDEX(ISNUMBER(--MID(AV1291,ROW($1:$8),1))*ROW($1:$8),),ROW($1:$8))+1,1)*10^ROW($1:$8)/10)</f>
        <v>30390456</v>
      </c>
      <c r="AX1291" s="402" t="str">
        <f>VLOOKUP($AW1291,'Item Master Data'!$A:$F,3,FALSE)</f>
        <v>Q.PEAK DUO BLK ML G10+</v>
      </c>
      <c r="AY1291" s="402">
        <f>VLOOKUP($AW1291,'Item Master Data'!$A:$F,6,FALSE)</f>
        <v>400</v>
      </c>
      <c r="AZ1291" s="402">
        <f t="shared" si="288"/>
        <v>24</v>
      </c>
      <c r="BA1291" s="402">
        <f>VLOOKUP(AW1291,'Item Master Data'!$A:$G,7,FALSE)</f>
        <v>32</v>
      </c>
      <c r="BC1291" s="402">
        <f t="shared" si="289"/>
        <v>0</v>
      </c>
    </row>
    <row r="1292" spans="1:55" s="402" customFormat="1">
      <c r="A1292" s="403"/>
      <c r="B1292" s="445">
        <v>44557</v>
      </c>
      <c r="C1292" s="445">
        <v>44587</v>
      </c>
      <c r="D1292" s="416" t="s">
        <v>1914</v>
      </c>
      <c r="E1292" s="405" t="s">
        <v>1239</v>
      </c>
      <c r="F1292" s="405"/>
      <c r="G1292" s="405">
        <v>2022</v>
      </c>
      <c r="H1292" s="405">
        <v>7</v>
      </c>
      <c r="I1292" s="416"/>
      <c r="J1292" s="406"/>
      <c r="K1292" s="414" t="s">
        <v>2115</v>
      </c>
      <c r="L1292" s="405" t="s">
        <v>2004</v>
      </c>
      <c r="M1292" s="418">
        <v>44544</v>
      </c>
      <c r="N1292" s="418">
        <v>44716</v>
      </c>
      <c r="O1292" s="418"/>
      <c r="P1292" s="406"/>
      <c r="Q1292" s="406"/>
      <c r="R1292" s="406"/>
      <c r="S1292" s="405" t="s">
        <v>1443</v>
      </c>
      <c r="T1292" s="405">
        <v>60</v>
      </c>
      <c r="U1292" s="405">
        <v>49204132</v>
      </c>
      <c r="V1292" s="405" t="s">
        <v>1192</v>
      </c>
      <c r="W1292" s="405">
        <v>360</v>
      </c>
      <c r="X1292" s="407">
        <v>624</v>
      </c>
      <c r="Y1292" s="408">
        <f t="shared" ref="Y1292:Y1312" si="290">X1292*W1292</f>
        <v>224640</v>
      </c>
      <c r="Z1292" s="409">
        <v>0.78999999999999992</v>
      </c>
      <c r="AA1292" s="410">
        <f t="shared" si="277"/>
        <v>177465.59999999998</v>
      </c>
      <c r="AB1292" s="411"/>
      <c r="AC1292" s="412">
        <v>0</v>
      </c>
      <c r="AD1292" s="421"/>
      <c r="AE1292" s="413"/>
      <c r="AF1292" s="424">
        <f t="shared" si="278"/>
        <v>177465.59999999998</v>
      </c>
      <c r="AG1292" s="405" t="s">
        <v>1069</v>
      </c>
      <c r="AH1292" s="405"/>
      <c r="AI1292" s="414" t="s">
        <v>1962</v>
      </c>
      <c r="AJ1292" s="405" t="s">
        <v>1616</v>
      </c>
      <c r="AK1292" s="425" t="s">
        <v>50</v>
      </c>
      <c r="AL1292" s="405">
        <v>93722</v>
      </c>
      <c r="AM1292" s="405" t="s">
        <v>52</v>
      </c>
      <c r="AN1292" s="405"/>
      <c r="AO1292" s="405"/>
      <c r="AP1292" s="417"/>
      <c r="AQ1292" s="417" t="s">
        <v>37</v>
      </c>
      <c r="AR1292" s="417"/>
      <c r="AS1292" s="426"/>
      <c r="AT1292" s="426"/>
      <c r="AU1292" s="409"/>
    </row>
    <row r="1293" spans="1:55" s="402" customFormat="1">
      <c r="A1293" s="403"/>
      <c r="B1293" s="445">
        <v>44557</v>
      </c>
      <c r="C1293" s="445">
        <v>44587</v>
      </c>
      <c r="D1293" s="416" t="s">
        <v>1914</v>
      </c>
      <c r="E1293" s="405" t="s">
        <v>1239</v>
      </c>
      <c r="F1293" s="405"/>
      <c r="G1293" s="405">
        <v>2022</v>
      </c>
      <c r="H1293" s="405">
        <v>7</v>
      </c>
      <c r="I1293" s="416"/>
      <c r="J1293" s="406"/>
      <c r="K1293" s="414" t="s">
        <v>2167</v>
      </c>
      <c r="L1293" s="405" t="s">
        <v>2004</v>
      </c>
      <c r="M1293" s="418">
        <v>44544</v>
      </c>
      <c r="N1293" s="418">
        <v>44754</v>
      </c>
      <c r="O1293" s="418"/>
      <c r="P1293" s="406"/>
      <c r="Q1293" s="406"/>
      <c r="R1293" s="406"/>
      <c r="S1293" s="405" t="s">
        <v>1443</v>
      </c>
      <c r="T1293" s="405">
        <v>60</v>
      </c>
      <c r="U1293" s="405">
        <v>49204132</v>
      </c>
      <c r="V1293" s="405" t="s">
        <v>1192</v>
      </c>
      <c r="W1293" s="405">
        <v>360</v>
      </c>
      <c r="X1293" s="407">
        <v>624</v>
      </c>
      <c r="Y1293" s="408">
        <f t="shared" si="290"/>
        <v>224640</v>
      </c>
      <c r="Z1293" s="409">
        <v>0.78999999999999992</v>
      </c>
      <c r="AA1293" s="410">
        <f t="shared" ref="AA1293:AA1356" si="291">Z1293*Y1293</f>
        <v>177465.59999999998</v>
      </c>
      <c r="AB1293" s="411"/>
      <c r="AC1293" s="412">
        <v>0</v>
      </c>
      <c r="AD1293" s="421"/>
      <c r="AE1293" s="413"/>
      <c r="AF1293" s="424">
        <f t="shared" ref="AF1293:AF1356" si="292">AA1293+AE1293</f>
        <v>177465.59999999998</v>
      </c>
      <c r="AG1293" s="405" t="s">
        <v>1069</v>
      </c>
      <c r="AH1293" s="405"/>
      <c r="AI1293" s="414" t="s">
        <v>1962</v>
      </c>
      <c r="AJ1293" s="405" t="s">
        <v>1616</v>
      </c>
      <c r="AK1293" s="425" t="s">
        <v>50</v>
      </c>
      <c r="AL1293" s="405">
        <v>93722</v>
      </c>
      <c r="AM1293" s="405" t="s">
        <v>52</v>
      </c>
      <c r="AN1293" s="405"/>
      <c r="AO1293" s="405"/>
      <c r="AP1293" s="417"/>
      <c r="AQ1293" s="417" t="s">
        <v>37</v>
      </c>
      <c r="AR1293" s="417"/>
      <c r="AS1293" s="426"/>
      <c r="AT1293" s="426"/>
      <c r="AU1293" s="409"/>
    </row>
    <row r="1294" spans="1:55" s="402" customFormat="1">
      <c r="A1294" s="403"/>
      <c r="B1294" s="445"/>
      <c r="C1294" s="445">
        <v>44636</v>
      </c>
      <c r="D1294" s="416" t="s">
        <v>1914</v>
      </c>
      <c r="E1294" s="405"/>
      <c r="F1294" s="405"/>
      <c r="G1294" s="405">
        <v>2022</v>
      </c>
      <c r="H1294" s="405">
        <v>8</v>
      </c>
      <c r="I1294" s="416"/>
      <c r="J1294" s="406"/>
      <c r="K1294" s="414" t="s">
        <v>2084</v>
      </c>
      <c r="L1294" s="405" t="s">
        <v>2085</v>
      </c>
      <c r="M1294" s="418">
        <v>44628</v>
      </c>
      <c r="N1294" s="418">
        <v>44753</v>
      </c>
      <c r="O1294" s="418"/>
      <c r="P1294" s="406"/>
      <c r="Q1294" s="406"/>
      <c r="R1294" s="406"/>
      <c r="S1294" s="405" t="s">
        <v>1443</v>
      </c>
      <c r="T1294" s="405">
        <v>72</v>
      </c>
      <c r="U1294" s="405" t="s">
        <v>1237</v>
      </c>
      <c r="V1294" s="405" t="s">
        <v>1103</v>
      </c>
      <c r="W1294" s="405">
        <v>480</v>
      </c>
      <c r="X1294" s="407">
        <v>832</v>
      </c>
      <c r="Y1294" s="408">
        <f t="shared" si="290"/>
        <v>399360</v>
      </c>
      <c r="Z1294" s="409">
        <f>237.6/480</f>
        <v>0.495</v>
      </c>
      <c r="AA1294" s="410">
        <f t="shared" si="291"/>
        <v>197683.20000000001</v>
      </c>
      <c r="AB1294" s="411"/>
      <c r="AC1294" s="412">
        <f>AB1294*Y1294</f>
        <v>0</v>
      </c>
      <c r="AD1294" s="421"/>
      <c r="AE1294" s="413"/>
      <c r="AF1294" s="424">
        <f t="shared" si="292"/>
        <v>197683.20000000001</v>
      </c>
      <c r="AG1294" s="405" t="s">
        <v>47</v>
      </c>
      <c r="AH1294" s="405"/>
      <c r="AI1294" s="414" t="s">
        <v>1916</v>
      </c>
      <c r="AJ1294" s="405" t="s">
        <v>2086</v>
      </c>
      <c r="AK1294" s="425" t="s">
        <v>1292</v>
      </c>
      <c r="AL1294" s="405">
        <v>17026</v>
      </c>
      <c r="AM1294" s="405" t="s">
        <v>52</v>
      </c>
      <c r="AN1294" s="405" t="s">
        <v>1071</v>
      </c>
      <c r="AO1294" s="405"/>
      <c r="AP1294" s="417"/>
      <c r="AQ1294" s="417" t="s">
        <v>37</v>
      </c>
      <c r="AR1294" s="417"/>
      <c r="AS1294" s="426"/>
      <c r="AT1294" s="426"/>
      <c r="AU1294" s="409"/>
      <c r="AV1294" s="402" t="str">
        <f>U1294</f>
        <v>30390456H</v>
      </c>
      <c r="AW1294" s="402" cm="1">
        <f t="array" ref="AW1294">SUM(MID(0&amp;AV1294,LARGE(INDEX(ISNUMBER(--MID(AV1294,ROW($1:$8),1))*ROW($1:$8),),ROW($1:$8))+1,1)*10^ROW($1:$8)/10)</f>
        <v>30390456</v>
      </c>
      <c r="AX1294" s="402" t="str">
        <f>VLOOKUP($AW1294,'Item Master Data'!$A:$F,3,FALSE)</f>
        <v>Q.PEAK DUO BLK ML G10+</v>
      </c>
      <c r="AY1294" s="402">
        <f>VLOOKUP($AW1294,'Item Master Data'!$A:$F,6,FALSE)</f>
        <v>400</v>
      </c>
      <c r="AZ1294" s="402">
        <f>X1294/BA1294</f>
        <v>26</v>
      </c>
      <c r="BA1294" s="402">
        <f>VLOOKUP(AW1294,'Item Master Data'!$A:$G,7,FALSE)</f>
        <v>32</v>
      </c>
      <c r="BC1294" s="402">
        <f>W1294-AY1294</f>
        <v>80</v>
      </c>
    </row>
    <row r="1295" spans="1:55" s="402" customFormat="1">
      <c r="A1295" s="403"/>
      <c r="B1295" s="445"/>
      <c r="C1295" s="445">
        <v>44636</v>
      </c>
      <c r="D1295" s="416" t="s">
        <v>1914</v>
      </c>
      <c r="E1295" s="405"/>
      <c r="F1295" s="405"/>
      <c r="G1295" s="405">
        <v>2022</v>
      </c>
      <c r="H1295" s="405">
        <v>8</v>
      </c>
      <c r="I1295" s="416"/>
      <c r="J1295" s="406"/>
      <c r="K1295" s="414" t="s">
        <v>2087</v>
      </c>
      <c r="L1295" s="405" t="s">
        <v>2085</v>
      </c>
      <c r="M1295" s="418">
        <v>44628</v>
      </c>
      <c r="N1295" s="418">
        <v>44748</v>
      </c>
      <c r="O1295" s="418"/>
      <c r="P1295" s="406"/>
      <c r="Q1295" s="406"/>
      <c r="R1295" s="406"/>
      <c r="S1295" s="405" t="s">
        <v>1443</v>
      </c>
      <c r="T1295" s="405">
        <v>72</v>
      </c>
      <c r="U1295" s="405" t="s">
        <v>1237</v>
      </c>
      <c r="V1295" s="405" t="s">
        <v>1103</v>
      </c>
      <c r="W1295" s="405">
        <v>480</v>
      </c>
      <c r="X1295" s="407">
        <v>832</v>
      </c>
      <c r="Y1295" s="408">
        <f t="shared" si="290"/>
        <v>399360</v>
      </c>
      <c r="Z1295" s="409">
        <f>237.6/480</f>
        <v>0.495</v>
      </c>
      <c r="AA1295" s="410">
        <f t="shared" si="291"/>
        <v>197683.20000000001</v>
      </c>
      <c r="AB1295" s="411"/>
      <c r="AC1295" s="412">
        <f>AB1295*Y1295</f>
        <v>0</v>
      </c>
      <c r="AD1295" s="421"/>
      <c r="AE1295" s="413"/>
      <c r="AF1295" s="424">
        <f t="shared" si="292"/>
        <v>197683.20000000001</v>
      </c>
      <c r="AG1295" s="405" t="s">
        <v>47</v>
      </c>
      <c r="AH1295" s="405"/>
      <c r="AI1295" s="414" t="s">
        <v>1916</v>
      </c>
      <c r="AJ1295" s="405" t="s">
        <v>1609</v>
      </c>
      <c r="AK1295" s="425" t="s">
        <v>50</v>
      </c>
      <c r="AL1295" s="405">
        <v>93291</v>
      </c>
      <c r="AM1295" s="405" t="s">
        <v>52</v>
      </c>
      <c r="AN1295" s="405" t="s">
        <v>1071</v>
      </c>
      <c r="AO1295" s="405"/>
      <c r="AP1295" s="417"/>
      <c r="AQ1295" s="417" t="s">
        <v>37</v>
      </c>
      <c r="AR1295" s="417"/>
      <c r="AS1295" s="426"/>
      <c r="AT1295" s="426"/>
      <c r="AU1295" s="409"/>
    </row>
    <row r="1296" spans="1:55" s="402" customFormat="1">
      <c r="A1296" s="403"/>
      <c r="B1296" s="445"/>
      <c r="C1296" s="445">
        <v>44636</v>
      </c>
      <c r="D1296" s="416" t="s">
        <v>1914</v>
      </c>
      <c r="E1296" s="405"/>
      <c r="F1296" s="405"/>
      <c r="G1296" s="405">
        <v>2022</v>
      </c>
      <c r="H1296" s="405">
        <v>8</v>
      </c>
      <c r="I1296" s="416"/>
      <c r="J1296" s="406"/>
      <c r="K1296" s="414" t="s">
        <v>2141</v>
      </c>
      <c r="L1296" s="405" t="s">
        <v>2085</v>
      </c>
      <c r="M1296" s="418">
        <v>44628</v>
      </c>
      <c r="N1296" s="418">
        <v>44781</v>
      </c>
      <c r="O1296" s="418"/>
      <c r="P1296" s="406"/>
      <c r="Q1296" s="406"/>
      <c r="R1296" s="406"/>
      <c r="S1296" s="405" t="s">
        <v>1443</v>
      </c>
      <c r="T1296" s="405">
        <v>72</v>
      </c>
      <c r="U1296" s="405" t="s">
        <v>1237</v>
      </c>
      <c r="V1296" s="405" t="s">
        <v>1103</v>
      </c>
      <c r="W1296" s="405">
        <v>480</v>
      </c>
      <c r="X1296" s="407">
        <v>832</v>
      </c>
      <c r="Y1296" s="408">
        <f t="shared" si="290"/>
        <v>399360</v>
      </c>
      <c r="Z1296" s="409">
        <f>237.6/480</f>
        <v>0.495</v>
      </c>
      <c r="AA1296" s="410">
        <f t="shared" si="291"/>
        <v>197683.20000000001</v>
      </c>
      <c r="AB1296" s="411"/>
      <c r="AC1296" s="412">
        <f>AB1296*Y1296</f>
        <v>0</v>
      </c>
      <c r="AD1296" s="421"/>
      <c r="AE1296" s="413"/>
      <c r="AF1296" s="424">
        <f t="shared" si="292"/>
        <v>197683.20000000001</v>
      </c>
      <c r="AG1296" s="405" t="s">
        <v>47</v>
      </c>
      <c r="AH1296" s="405"/>
      <c r="AI1296" s="414" t="s">
        <v>1916</v>
      </c>
      <c r="AJ1296" s="405" t="s">
        <v>1609</v>
      </c>
      <c r="AK1296" s="425" t="s">
        <v>50</v>
      </c>
      <c r="AL1296" s="405">
        <v>93291</v>
      </c>
      <c r="AM1296" s="405" t="s">
        <v>52</v>
      </c>
      <c r="AN1296" s="405" t="s">
        <v>1071</v>
      </c>
      <c r="AO1296" s="405"/>
      <c r="AP1296" s="417"/>
      <c r="AQ1296" s="417" t="s">
        <v>37</v>
      </c>
      <c r="AR1296" s="417"/>
      <c r="AS1296" s="426"/>
      <c r="AT1296" s="426"/>
      <c r="AU1296" s="409"/>
      <c r="AV1296" s="402" t="str">
        <f t="shared" ref="AV1296:AV1308" si="293">U1296</f>
        <v>30390456H</v>
      </c>
      <c r="AW1296" s="402" cm="1">
        <f t="array" ref="AW1296">SUM(MID(0&amp;AV1296,LARGE(INDEX(ISNUMBER(--MID(AV1296,ROW($1:$8),1))*ROW($1:$8),),ROW($1:$8))+1,1)*10^ROW($1:$8)/10)</f>
        <v>30390456</v>
      </c>
      <c r="AX1296" s="402" t="str">
        <f>VLOOKUP($AW1296,'Item Master Data'!$A:$F,3,FALSE)</f>
        <v>Q.PEAK DUO BLK ML G10+</v>
      </c>
      <c r="AY1296" s="402">
        <f>VLOOKUP($AW1296,'Item Master Data'!$A:$F,6,FALSE)</f>
        <v>400</v>
      </c>
      <c r="AZ1296" s="402">
        <f t="shared" ref="AZ1296:AZ1308" si="294">X1296/BA1296</f>
        <v>26</v>
      </c>
      <c r="BA1296" s="402">
        <f>VLOOKUP(AW1296,'Item Master Data'!$A:$G,7,FALSE)</f>
        <v>32</v>
      </c>
      <c r="BC1296" s="402">
        <f t="shared" ref="BC1296:BC1308" si="295">W1296-AY1296</f>
        <v>80</v>
      </c>
    </row>
    <row r="1297" spans="1:55" s="402" customFormat="1">
      <c r="A1297" s="403"/>
      <c r="B1297" s="445"/>
      <c r="C1297" s="445"/>
      <c r="D1297" s="416" t="s">
        <v>1914</v>
      </c>
      <c r="E1297" s="405"/>
      <c r="F1297" s="405" t="s">
        <v>1139</v>
      </c>
      <c r="G1297" s="405">
        <v>2022</v>
      </c>
      <c r="H1297" s="405">
        <v>8</v>
      </c>
      <c r="I1297" s="416"/>
      <c r="J1297" s="406"/>
      <c r="K1297" s="414" t="s">
        <v>2118</v>
      </c>
      <c r="L1297" s="405" t="s">
        <v>1514</v>
      </c>
      <c r="M1297" s="418">
        <v>44504</v>
      </c>
      <c r="N1297" s="418">
        <v>44718</v>
      </c>
      <c r="O1297" s="418"/>
      <c r="P1297" s="406"/>
      <c r="Q1297" s="406"/>
      <c r="R1297" s="406"/>
      <c r="S1297" s="405" t="s">
        <v>1923</v>
      </c>
      <c r="T1297" s="405">
        <v>60</v>
      </c>
      <c r="U1297" s="405" t="s">
        <v>1237</v>
      </c>
      <c r="V1297" s="405" t="s">
        <v>973</v>
      </c>
      <c r="W1297" s="405">
        <v>400</v>
      </c>
      <c r="X1297" s="407">
        <v>768</v>
      </c>
      <c r="Y1297" s="408">
        <f t="shared" si="290"/>
        <v>307200</v>
      </c>
      <c r="Z1297" s="409">
        <f>220/400</f>
        <v>0.55000000000000004</v>
      </c>
      <c r="AA1297" s="410">
        <f t="shared" si="291"/>
        <v>168960</v>
      </c>
      <c r="AB1297" s="411"/>
      <c r="AC1297" s="412">
        <v>0</v>
      </c>
      <c r="AD1297" s="421"/>
      <c r="AE1297" s="413"/>
      <c r="AF1297" s="424">
        <f t="shared" si="292"/>
        <v>168960</v>
      </c>
      <c r="AG1297" s="405" t="s">
        <v>1069</v>
      </c>
      <c r="AH1297" s="405">
        <v>0</v>
      </c>
      <c r="AI1297" s="414">
        <v>60</v>
      </c>
      <c r="AJ1297" s="405" t="s">
        <v>1515</v>
      </c>
      <c r="AK1297" s="425" t="s">
        <v>50</v>
      </c>
      <c r="AL1297" s="405" t="s">
        <v>1529</v>
      </c>
      <c r="AM1297" s="405" t="s">
        <v>52</v>
      </c>
      <c r="AN1297" s="405" t="s">
        <v>1071</v>
      </c>
      <c r="AO1297" s="405"/>
      <c r="AP1297" s="417"/>
      <c r="AQ1297" s="417"/>
      <c r="AR1297" s="417" t="s">
        <v>1925</v>
      </c>
      <c r="AS1297" s="426"/>
      <c r="AT1297" s="426"/>
      <c r="AU1297" s="409">
        <v>0.48</v>
      </c>
      <c r="AV1297" s="402" t="str">
        <f t="shared" si="293"/>
        <v>30390456H</v>
      </c>
      <c r="AW1297" s="402" cm="1">
        <f t="array" ref="AW1297">SUM(MID(0&amp;AV1297,LARGE(INDEX(ISNUMBER(--MID(AV1297,ROW($1:$8),1))*ROW($1:$8),),ROW($1:$8))+1,1)*10^ROW($1:$8)/10)</f>
        <v>30390456</v>
      </c>
      <c r="AX1297" s="402" t="str">
        <f>VLOOKUP($AW1297,'Item Master Data'!$A:$F,3,FALSE)</f>
        <v>Q.PEAK DUO BLK ML G10+</v>
      </c>
      <c r="AY1297" s="402">
        <f>VLOOKUP($AW1297,'Item Master Data'!$A:$F,6,FALSE)</f>
        <v>400</v>
      </c>
      <c r="AZ1297" s="402">
        <f t="shared" si="294"/>
        <v>24</v>
      </c>
      <c r="BA1297" s="402">
        <f>VLOOKUP(AW1297,'Item Master Data'!$A:$G,7,FALSE)</f>
        <v>32</v>
      </c>
      <c r="BC1297" s="402">
        <f t="shared" si="295"/>
        <v>0</v>
      </c>
    </row>
    <row r="1298" spans="1:55" s="402" customFormat="1">
      <c r="A1298" s="403"/>
      <c r="B1298" s="445"/>
      <c r="C1298" s="445"/>
      <c r="D1298" s="416" t="s">
        <v>1914</v>
      </c>
      <c r="E1298" s="405" t="s">
        <v>2120</v>
      </c>
      <c r="F1298" s="405"/>
      <c r="G1298" s="405">
        <v>2022</v>
      </c>
      <c r="H1298" s="405">
        <v>8</v>
      </c>
      <c r="I1298" s="416"/>
      <c r="J1298" s="406"/>
      <c r="K1298" s="414" t="s">
        <v>2121</v>
      </c>
      <c r="L1298" s="405" t="s">
        <v>1514</v>
      </c>
      <c r="M1298" s="418">
        <v>44641</v>
      </c>
      <c r="N1298" s="418">
        <v>44743</v>
      </c>
      <c r="O1298" s="418"/>
      <c r="P1298" s="406"/>
      <c r="Q1298" s="406"/>
      <c r="R1298" s="406"/>
      <c r="S1298" s="405" t="s">
        <v>1443</v>
      </c>
      <c r="T1298" s="405">
        <v>60</v>
      </c>
      <c r="U1298" s="405" t="s">
        <v>1237</v>
      </c>
      <c r="V1298" s="405" t="s">
        <v>973</v>
      </c>
      <c r="W1298" s="405">
        <v>400</v>
      </c>
      <c r="X1298" s="407">
        <v>1536</v>
      </c>
      <c r="Y1298" s="408">
        <f t="shared" si="290"/>
        <v>614400</v>
      </c>
      <c r="Z1298" s="409">
        <f>220/400</f>
        <v>0.55000000000000004</v>
      </c>
      <c r="AA1298" s="410">
        <f t="shared" si="291"/>
        <v>337920</v>
      </c>
      <c r="AB1298" s="411"/>
      <c r="AC1298" s="412">
        <f>AB1298*Y1298</f>
        <v>0</v>
      </c>
      <c r="AD1298" s="421"/>
      <c r="AE1298" s="413"/>
      <c r="AF1298" s="424">
        <f t="shared" si="292"/>
        <v>337920</v>
      </c>
      <c r="AG1298" s="405" t="s">
        <v>1069</v>
      </c>
      <c r="AH1298" s="405"/>
      <c r="AI1298" s="414">
        <v>60</v>
      </c>
      <c r="AJ1298" s="405" t="s">
        <v>1515</v>
      </c>
      <c r="AK1298" s="425" t="s">
        <v>1913</v>
      </c>
      <c r="AL1298" s="405">
        <v>92806</v>
      </c>
      <c r="AM1298" s="405" t="s">
        <v>52</v>
      </c>
      <c r="AN1298" s="405" t="s">
        <v>1071</v>
      </c>
      <c r="AO1298" s="405"/>
      <c r="AP1298" s="417"/>
      <c r="AQ1298" s="417"/>
      <c r="AR1298" s="417" t="s">
        <v>1934</v>
      </c>
      <c r="AS1298" s="426"/>
      <c r="AT1298" s="426"/>
      <c r="AU1298" s="409"/>
      <c r="AV1298" s="402" t="str">
        <f t="shared" si="293"/>
        <v>30390456H</v>
      </c>
      <c r="AW1298" s="402" cm="1">
        <f t="array" ref="AW1298">SUM(MID(0&amp;AV1298,LARGE(INDEX(ISNUMBER(--MID(AV1298,ROW($1:$8),1))*ROW($1:$8),),ROW($1:$8))+1,1)*10^ROW($1:$8)/10)</f>
        <v>30390456</v>
      </c>
      <c r="AX1298" s="402" t="str">
        <f>VLOOKUP($AW1298,'Item Master Data'!$A:$F,3,FALSE)</f>
        <v>Q.PEAK DUO BLK ML G10+</v>
      </c>
      <c r="AY1298" s="402">
        <f>VLOOKUP($AW1298,'Item Master Data'!$A:$F,6,FALSE)</f>
        <v>400</v>
      </c>
      <c r="AZ1298" s="402">
        <f t="shared" si="294"/>
        <v>48</v>
      </c>
      <c r="BA1298" s="402">
        <f>VLOOKUP(AW1298,'Item Master Data'!$A:$G,7,FALSE)</f>
        <v>32</v>
      </c>
      <c r="BC1298" s="402">
        <f t="shared" si="295"/>
        <v>0</v>
      </c>
    </row>
    <row r="1299" spans="1:55" s="402" customFormat="1">
      <c r="A1299" s="403"/>
      <c r="B1299" s="445"/>
      <c r="C1299" s="445"/>
      <c r="D1299" s="416" t="s">
        <v>1914</v>
      </c>
      <c r="E1299" s="405" t="s">
        <v>2120</v>
      </c>
      <c r="F1299" s="405"/>
      <c r="G1299" s="405">
        <v>2022</v>
      </c>
      <c r="H1299" s="405">
        <v>8</v>
      </c>
      <c r="I1299" s="416"/>
      <c r="J1299" s="406"/>
      <c r="K1299" s="414" t="s">
        <v>2142</v>
      </c>
      <c r="L1299" s="405" t="s">
        <v>1514</v>
      </c>
      <c r="M1299" s="418">
        <v>44641</v>
      </c>
      <c r="N1299" s="418">
        <v>44743</v>
      </c>
      <c r="O1299" s="418"/>
      <c r="P1299" s="406"/>
      <c r="Q1299" s="406"/>
      <c r="R1299" s="406"/>
      <c r="S1299" s="405" t="s">
        <v>1443</v>
      </c>
      <c r="T1299" s="405">
        <v>60</v>
      </c>
      <c r="U1299" s="405" t="s">
        <v>1237</v>
      </c>
      <c r="V1299" s="405" t="s">
        <v>973</v>
      </c>
      <c r="W1299" s="405">
        <v>400</v>
      </c>
      <c r="X1299" s="407">
        <f>3552-768-768</f>
        <v>2016</v>
      </c>
      <c r="Y1299" s="408">
        <f t="shared" si="290"/>
        <v>806400</v>
      </c>
      <c r="Z1299" s="409">
        <f>220/400</f>
        <v>0.55000000000000004</v>
      </c>
      <c r="AA1299" s="410">
        <f t="shared" si="291"/>
        <v>443520.00000000006</v>
      </c>
      <c r="AB1299" s="411"/>
      <c r="AC1299" s="412">
        <f>AB1299*Y1299</f>
        <v>0</v>
      </c>
      <c r="AD1299" s="421"/>
      <c r="AE1299" s="413"/>
      <c r="AF1299" s="424">
        <f t="shared" si="292"/>
        <v>443520.00000000006</v>
      </c>
      <c r="AG1299" s="405" t="s">
        <v>1069</v>
      </c>
      <c r="AH1299" s="405"/>
      <c r="AI1299" s="414">
        <v>60</v>
      </c>
      <c r="AJ1299" s="405" t="s">
        <v>1515</v>
      </c>
      <c r="AK1299" s="425" t="s">
        <v>1913</v>
      </c>
      <c r="AL1299" s="405">
        <v>92806</v>
      </c>
      <c r="AM1299" s="405" t="s">
        <v>52</v>
      </c>
      <c r="AN1299" s="405" t="s">
        <v>1071</v>
      </c>
      <c r="AO1299" s="405"/>
      <c r="AP1299" s="417"/>
      <c r="AQ1299" s="417"/>
      <c r="AR1299" s="417" t="s">
        <v>1934</v>
      </c>
      <c r="AS1299" s="426"/>
      <c r="AT1299" s="426"/>
      <c r="AU1299" s="409"/>
      <c r="AV1299" s="402" t="str">
        <f t="shared" si="293"/>
        <v>30390456H</v>
      </c>
      <c r="AW1299" s="402" cm="1">
        <f t="array" ref="AW1299">SUM(MID(0&amp;AV1299,LARGE(INDEX(ISNUMBER(--MID(AV1299,ROW($1:$8),1))*ROW($1:$8),),ROW($1:$8))+1,1)*10^ROW($1:$8)/10)</f>
        <v>30390456</v>
      </c>
      <c r="AX1299" s="402" t="str">
        <f>VLOOKUP($AW1299,'Item Master Data'!$A:$F,3,FALSE)</f>
        <v>Q.PEAK DUO BLK ML G10+</v>
      </c>
      <c r="AY1299" s="402">
        <f>VLOOKUP($AW1299,'Item Master Data'!$A:$F,6,FALSE)</f>
        <v>400</v>
      </c>
      <c r="AZ1299" s="402">
        <f t="shared" si="294"/>
        <v>63</v>
      </c>
      <c r="BA1299" s="402">
        <f>VLOOKUP(AW1299,'Item Master Data'!$A:$G,7,FALSE)</f>
        <v>32</v>
      </c>
      <c r="BC1299" s="402">
        <f t="shared" si="295"/>
        <v>0</v>
      </c>
    </row>
    <row r="1300" spans="1:55" s="402" customFormat="1">
      <c r="A1300" s="403"/>
      <c r="B1300" s="445"/>
      <c r="C1300" s="445"/>
      <c r="D1300" s="416" t="s">
        <v>1914</v>
      </c>
      <c r="E1300" s="405" t="s">
        <v>2034</v>
      </c>
      <c r="F1300" s="405"/>
      <c r="G1300" s="405">
        <v>2022</v>
      </c>
      <c r="H1300" s="405">
        <v>8</v>
      </c>
      <c r="I1300" s="416"/>
      <c r="J1300" s="406"/>
      <c r="K1300" s="414" t="s">
        <v>2089</v>
      </c>
      <c r="L1300" s="405" t="s">
        <v>1926</v>
      </c>
      <c r="M1300" s="418">
        <v>44504</v>
      </c>
      <c r="N1300" s="418">
        <v>44682</v>
      </c>
      <c r="O1300" s="418"/>
      <c r="P1300" s="406"/>
      <c r="Q1300" s="406"/>
      <c r="R1300" s="406"/>
      <c r="S1300" s="405" t="s">
        <v>1923</v>
      </c>
      <c r="T1300" s="405">
        <v>60</v>
      </c>
      <c r="U1300" s="405">
        <v>49401140</v>
      </c>
      <c r="V1300" s="405" t="s">
        <v>973</v>
      </c>
      <c r="W1300" s="405">
        <v>400</v>
      </c>
      <c r="X1300" s="407">
        <v>832</v>
      </c>
      <c r="Y1300" s="408">
        <f t="shared" si="290"/>
        <v>332800</v>
      </c>
      <c r="Z1300" s="409">
        <v>0.48</v>
      </c>
      <c r="AA1300" s="410">
        <f t="shared" si="291"/>
        <v>159744</v>
      </c>
      <c r="AB1300" s="411"/>
      <c r="AC1300" s="412">
        <v>0</v>
      </c>
      <c r="AD1300" s="421"/>
      <c r="AE1300" s="413"/>
      <c r="AF1300" s="424">
        <f t="shared" si="292"/>
        <v>159744</v>
      </c>
      <c r="AG1300" s="405" t="s">
        <v>1069</v>
      </c>
      <c r="AH1300" s="405"/>
      <c r="AI1300" s="414">
        <v>60</v>
      </c>
      <c r="AJ1300" s="405" t="s">
        <v>1927</v>
      </c>
      <c r="AK1300" s="425" t="s">
        <v>1136</v>
      </c>
      <c r="AL1300" s="405">
        <v>78744</v>
      </c>
      <c r="AM1300" s="405" t="s">
        <v>52</v>
      </c>
      <c r="AN1300" s="405" t="s">
        <v>1071</v>
      </c>
      <c r="AO1300" s="405"/>
      <c r="AP1300" s="417"/>
      <c r="AQ1300" s="417"/>
      <c r="AR1300" s="417" t="s">
        <v>1925</v>
      </c>
      <c r="AS1300" s="426"/>
      <c r="AT1300" s="426"/>
      <c r="AU1300" s="409">
        <v>0.48</v>
      </c>
      <c r="AV1300" s="402">
        <f t="shared" si="293"/>
        <v>49401140</v>
      </c>
      <c r="AW1300" s="402" cm="1">
        <f t="array" ref="AW1300">SUM(MID(0&amp;AV1300,LARGE(INDEX(ISNUMBER(--MID(AV1300,ROW($1:$8),1))*ROW($1:$8),),ROW($1:$8))+1,1)*10^ROW($1:$8)/10)</f>
        <v>49401140</v>
      </c>
      <c r="AX1300" s="402" t="str">
        <f>VLOOKUP($AW1300,'Item Master Data'!$A:$F,3,FALSE)</f>
        <v>Q.PEAK DUO BLK ML G10.a+</v>
      </c>
      <c r="AY1300" s="402">
        <f>VLOOKUP($AW1300,'Item Master Data'!$A:$F,6,FALSE)</f>
        <v>400</v>
      </c>
      <c r="AZ1300" s="402">
        <f t="shared" si="294"/>
        <v>26</v>
      </c>
      <c r="BA1300" s="402">
        <f>VLOOKUP(AW1300,'Item Master Data'!$A:$G,7,FALSE)</f>
        <v>32</v>
      </c>
      <c r="BC1300" s="402">
        <f t="shared" si="295"/>
        <v>0</v>
      </c>
    </row>
    <row r="1301" spans="1:55" s="402" customFormat="1">
      <c r="A1301" s="403"/>
      <c r="B1301" s="445"/>
      <c r="C1301" s="445"/>
      <c r="D1301" s="416" t="s">
        <v>1914</v>
      </c>
      <c r="E1301" s="405"/>
      <c r="F1301" s="405" t="s">
        <v>1139</v>
      </c>
      <c r="G1301" s="405">
        <v>2022</v>
      </c>
      <c r="H1301" s="405">
        <v>8</v>
      </c>
      <c r="I1301" s="416"/>
      <c r="J1301" s="406"/>
      <c r="K1301" s="414" t="s">
        <v>2117</v>
      </c>
      <c r="L1301" s="405" t="s">
        <v>1682</v>
      </c>
      <c r="M1301" s="418">
        <v>44505</v>
      </c>
      <c r="N1301" s="418">
        <v>44718</v>
      </c>
      <c r="O1301" s="418"/>
      <c r="P1301" s="406"/>
      <c r="Q1301" s="406"/>
      <c r="R1301" s="406"/>
      <c r="S1301" s="405" t="s">
        <v>1923</v>
      </c>
      <c r="T1301" s="405">
        <v>60</v>
      </c>
      <c r="U1301" s="405" t="s">
        <v>1237</v>
      </c>
      <c r="V1301" s="405" t="s">
        <v>973</v>
      </c>
      <c r="W1301" s="405">
        <v>400</v>
      </c>
      <c r="X1301" s="407">
        <v>768</v>
      </c>
      <c r="Y1301" s="408">
        <f t="shared" si="290"/>
        <v>307200</v>
      </c>
      <c r="Z1301" s="409">
        <f>220/400</f>
        <v>0.55000000000000004</v>
      </c>
      <c r="AA1301" s="410">
        <f t="shared" si="291"/>
        <v>168960</v>
      </c>
      <c r="AB1301" s="411"/>
      <c r="AC1301" s="412">
        <v>0</v>
      </c>
      <c r="AD1301" s="421"/>
      <c r="AE1301" s="413"/>
      <c r="AF1301" s="424">
        <f t="shared" si="292"/>
        <v>168960</v>
      </c>
      <c r="AG1301" s="405" t="s">
        <v>1069</v>
      </c>
      <c r="AH1301" s="405">
        <v>0</v>
      </c>
      <c r="AI1301" s="414">
        <v>60</v>
      </c>
      <c r="AJ1301" s="405" t="s">
        <v>1684</v>
      </c>
      <c r="AK1301" s="425" t="s">
        <v>50</v>
      </c>
      <c r="AL1301" s="405" t="s">
        <v>1685</v>
      </c>
      <c r="AM1301" s="405" t="s">
        <v>52</v>
      </c>
      <c r="AN1301" s="405" t="s">
        <v>1071</v>
      </c>
      <c r="AO1301" s="405"/>
      <c r="AP1301" s="417"/>
      <c r="AQ1301" s="417"/>
      <c r="AR1301" s="417" t="s">
        <v>1925</v>
      </c>
      <c r="AS1301" s="426"/>
      <c r="AT1301" s="426"/>
      <c r="AU1301" s="409">
        <v>0.48</v>
      </c>
      <c r="AV1301" s="402" t="str">
        <f t="shared" si="293"/>
        <v>30390456H</v>
      </c>
      <c r="AW1301" s="402" cm="1">
        <f t="array" ref="AW1301">SUM(MID(0&amp;AV1301,LARGE(INDEX(ISNUMBER(--MID(AV1301,ROW($1:$8),1))*ROW($1:$8),),ROW($1:$8))+1,1)*10^ROW($1:$8)/10)</f>
        <v>30390456</v>
      </c>
      <c r="AX1301" s="402" t="str">
        <f>VLOOKUP($AW1301,'Item Master Data'!$A:$F,3,FALSE)</f>
        <v>Q.PEAK DUO BLK ML G10+</v>
      </c>
      <c r="AY1301" s="402">
        <f>VLOOKUP($AW1301,'Item Master Data'!$A:$F,6,FALSE)</f>
        <v>400</v>
      </c>
      <c r="AZ1301" s="402">
        <f t="shared" si="294"/>
        <v>24</v>
      </c>
      <c r="BA1301" s="402">
        <f>VLOOKUP(AW1301,'Item Master Data'!$A:$G,7,FALSE)</f>
        <v>32</v>
      </c>
      <c r="BC1301" s="402">
        <f t="shared" si="295"/>
        <v>0</v>
      </c>
    </row>
    <row r="1302" spans="1:55" s="402" customFormat="1">
      <c r="A1302" s="403"/>
      <c r="B1302" s="445"/>
      <c r="C1302" s="445"/>
      <c r="D1302" s="416" t="s">
        <v>1914</v>
      </c>
      <c r="E1302" s="405"/>
      <c r="F1302" s="405"/>
      <c r="G1302" s="405">
        <v>2022</v>
      </c>
      <c r="H1302" s="405">
        <v>8</v>
      </c>
      <c r="I1302" s="416"/>
      <c r="J1302" s="406"/>
      <c r="K1302" s="414" t="s">
        <v>2205</v>
      </c>
      <c r="L1302" s="405" t="s">
        <v>1936</v>
      </c>
      <c r="M1302" s="418">
        <v>44530</v>
      </c>
      <c r="N1302" s="418">
        <v>44714</v>
      </c>
      <c r="O1302" s="418"/>
      <c r="P1302" s="406"/>
      <c r="Q1302" s="406"/>
      <c r="R1302" s="406"/>
      <c r="S1302" s="405" t="s">
        <v>1443</v>
      </c>
      <c r="T1302" s="405">
        <v>60</v>
      </c>
      <c r="U1302" s="405">
        <v>49401140</v>
      </c>
      <c r="V1302" s="405" t="s">
        <v>985</v>
      </c>
      <c r="W1302" s="405">
        <v>400</v>
      </c>
      <c r="X1302" s="407">
        <v>4160</v>
      </c>
      <c r="Y1302" s="408">
        <f t="shared" si="290"/>
        <v>1664000</v>
      </c>
      <c r="Z1302" s="409">
        <f>184/400</f>
        <v>0.46</v>
      </c>
      <c r="AA1302" s="410">
        <f t="shared" si="291"/>
        <v>765440</v>
      </c>
      <c r="AB1302" s="411"/>
      <c r="AC1302" s="412">
        <v>0</v>
      </c>
      <c r="AD1302" s="421"/>
      <c r="AE1302" s="413"/>
      <c r="AF1302" s="424">
        <f t="shared" si="292"/>
        <v>765440</v>
      </c>
      <c r="AG1302" s="405" t="s">
        <v>1069</v>
      </c>
      <c r="AH1302" s="405"/>
      <c r="AI1302" s="414">
        <v>60</v>
      </c>
      <c r="AJ1302" s="405" t="s">
        <v>1938</v>
      </c>
      <c r="AK1302" s="425" t="s">
        <v>50</v>
      </c>
      <c r="AL1302" s="405">
        <v>93065</v>
      </c>
      <c r="AM1302" s="405" t="s">
        <v>52</v>
      </c>
      <c r="AN1302" s="405"/>
      <c r="AO1302" s="405"/>
      <c r="AP1302" s="417"/>
      <c r="AQ1302" s="417" t="s">
        <v>37</v>
      </c>
      <c r="AR1302" s="417"/>
      <c r="AS1302" s="426"/>
      <c r="AT1302" s="426"/>
      <c r="AU1302" s="409"/>
      <c r="AV1302" s="402">
        <f t="shared" si="293"/>
        <v>49401140</v>
      </c>
      <c r="AW1302" s="402" cm="1">
        <f t="array" ref="AW1302">SUM(MID(0&amp;AV1302,LARGE(INDEX(ISNUMBER(--MID(AV1302,ROW($1:$8),1))*ROW($1:$8),),ROW($1:$8))+1,1)*10^ROW($1:$8)/10)</f>
        <v>49401140</v>
      </c>
      <c r="AX1302" s="402" t="str">
        <f>VLOOKUP($AW1302,'Item Master Data'!$A:$F,3,FALSE)</f>
        <v>Q.PEAK DUO BLK ML G10.a+</v>
      </c>
      <c r="AY1302" s="402">
        <f>VLOOKUP($AW1302,'Item Master Data'!$A:$F,6,FALSE)</f>
        <v>400</v>
      </c>
      <c r="AZ1302" s="402">
        <f t="shared" si="294"/>
        <v>130</v>
      </c>
      <c r="BA1302" s="402">
        <f>VLOOKUP(AW1302,'Item Master Data'!$A:$G,7,FALSE)</f>
        <v>32</v>
      </c>
      <c r="BC1302" s="402">
        <f t="shared" si="295"/>
        <v>0</v>
      </c>
    </row>
    <row r="1303" spans="1:55" s="402" customFormat="1">
      <c r="A1303" s="403"/>
      <c r="B1303" s="445"/>
      <c r="C1303" s="445"/>
      <c r="D1303" s="416" t="s">
        <v>1914</v>
      </c>
      <c r="E1303" s="405"/>
      <c r="F1303" s="405"/>
      <c r="G1303" s="405">
        <v>2022</v>
      </c>
      <c r="H1303" s="405">
        <v>8</v>
      </c>
      <c r="I1303" s="416"/>
      <c r="J1303" s="406"/>
      <c r="K1303" s="414" t="s">
        <v>2176</v>
      </c>
      <c r="L1303" s="405" t="s">
        <v>1960</v>
      </c>
      <c r="M1303" s="418">
        <v>44463</v>
      </c>
      <c r="N1303" s="418">
        <v>44613</v>
      </c>
      <c r="O1303" s="418"/>
      <c r="P1303" s="406"/>
      <c r="Q1303" s="406"/>
      <c r="R1303" s="406"/>
      <c r="S1303" s="405" t="s">
        <v>1443</v>
      </c>
      <c r="T1303" s="405">
        <v>60</v>
      </c>
      <c r="U1303" s="405" t="s">
        <v>1237</v>
      </c>
      <c r="V1303" s="405" t="s">
        <v>985</v>
      </c>
      <c r="W1303" s="405">
        <v>395</v>
      </c>
      <c r="X1303" s="407">
        <v>832</v>
      </c>
      <c r="Y1303" s="408">
        <f t="shared" si="290"/>
        <v>328640</v>
      </c>
      <c r="Z1303" s="409">
        <v>0.53</v>
      </c>
      <c r="AA1303" s="410">
        <f t="shared" si="291"/>
        <v>174179.20000000001</v>
      </c>
      <c r="AB1303" s="411"/>
      <c r="AC1303" s="412">
        <v>0</v>
      </c>
      <c r="AD1303" s="421"/>
      <c r="AE1303" s="413"/>
      <c r="AF1303" s="424">
        <f t="shared" si="292"/>
        <v>174179.20000000001</v>
      </c>
      <c r="AG1303" s="405" t="s">
        <v>47</v>
      </c>
      <c r="AH1303" s="405" t="s">
        <v>1963</v>
      </c>
      <c r="AI1303" s="414">
        <v>60</v>
      </c>
      <c r="AJ1303" s="405" t="s">
        <v>1987</v>
      </c>
      <c r="AK1303" s="425" t="s">
        <v>1081</v>
      </c>
      <c r="AL1303" s="405" t="s">
        <v>1964</v>
      </c>
      <c r="AM1303" s="405" t="s">
        <v>52</v>
      </c>
      <c r="AN1303" s="405" t="s">
        <v>1071</v>
      </c>
      <c r="AO1303" s="405"/>
      <c r="AP1303" s="417"/>
      <c r="AQ1303" s="417" t="s">
        <v>37</v>
      </c>
      <c r="AR1303" s="417"/>
      <c r="AS1303" s="426"/>
      <c r="AT1303" s="426"/>
      <c r="AU1303" s="409"/>
      <c r="AV1303" s="402" t="str">
        <f t="shared" si="293"/>
        <v>30390456H</v>
      </c>
      <c r="AW1303" s="402" cm="1">
        <f t="array" ref="AW1303">SUM(MID(0&amp;AV1303,LARGE(INDEX(ISNUMBER(--MID(AV1303,ROW($1:$8),1))*ROW($1:$8),),ROW($1:$8))+1,1)*10^ROW($1:$8)/10)</f>
        <v>30390456</v>
      </c>
      <c r="AX1303" s="402" t="str">
        <f>VLOOKUP($AW1303,'Item Master Data'!$A:$F,3,FALSE)</f>
        <v>Q.PEAK DUO BLK ML G10+</v>
      </c>
      <c r="AY1303" s="402">
        <f>VLOOKUP($AW1303,'Item Master Data'!$A:$F,6,FALSE)</f>
        <v>400</v>
      </c>
      <c r="AZ1303" s="402">
        <f t="shared" si="294"/>
        <v>26</v>
      </c>
      <c r="BA1303" s="402">
        <f>VLOOKUP(AW1303,'Item Master Data'!$A:$G,7,FALSE)</f>
        <v>32</v>
      </c>
      <c r="BC1303" s="402">
        <f t="shared" si="295"/>
        <v>-5</v>
      </c>
    </row>
    <row r="1304" spans="1:55" s="402" customFormat="1">
      <c r="A1304" s="403"/>
      <c r="B1304" s="445"/>
      <c r="C1304" s="445"/>
      <c r="D1304" s="416" t="s">
        <v>1914</v>
      </c>
      <c r="E1304" s="405"/>
      <c r="F1304" s="405"/>
      <c r="G1304" s="405">
        <v>2022</v>
      </c>
      <c r="H1304" s="405">
        <v>8</v>
      </c>
      <c r="I1304" s="416"/>
      <c r="J1304" s="406"/>
      <c r="K1304" s="414" t="s">
        <v>2177</v>
      </c>
      <c r="L1304" s="405" t="s">
        <v>1960</v>
      </c>
      <c r="M1304" s="418">
        <v>44463</v>
      </c>
      <c r="N1304" s="418">
        <v>44613</v>
      </c>
      <c r="O1304" s="418"/>
      <c r="P1304" s="406"/>
      <c r="Q1304" s="406"/>
      <c r="R1304" s="406"/>
      <c r="S1304" s="405" t="s">
        <v>1443</v>
      </c>
      <c r="T1304" s="405">
        <v>60</v>
      </c>
      <c r="U1304" s="405" t="s">
        <v>1237</v>
      </c>
      <c r="V1304" s="405" t="s">
        <v>985</v>
      </c>
      <c r="W1304" s="405">
        <v>395</v>
      </c>
      <c r="X1304" s="407">
        <v>832</v>
      </c>
      <c r="Y1304" s="408">
        <f t="shared" si="290"/>
        <v>328640</v>
      </c>
      <c r="Z1304" s="409">
        <v>0.53</v>
      </c>
      <c r="AA1304" s="410">
        <f t="shared" si="291"/>
        <v>174179.20000000001</v>
      </c>
      <c r="AB1304" s="411"/>
      <c r="AC1304" s="412">
        <v>0</v>
      </c>
      <c r="AD1304" s="421"/>
      <c r="AE1304" s="413"/>
      <c r="AF1304" s="424">
        <f t="shared" si="292"/>
        <v>174179.20000000001</v>
      </c>
      <c r="AG1304" s="405" t="s">
        <v>47</v>
      </c>
      <c r="AH1304" s="405" t="s">
        <v>1963</v>
      </c>
      <c r="AI1304" s="414">
        <v>60</v>
      </c>
      <c r="AJ1304" s="405" t="s">
        <v>1500</v>
      </c>
      <c r="AK1304" s="425" t="s">
        <v>1082</v>
      </c>
      <c r="AL1304" s="405" t="s">
        <v>1989</v>
      </c>
      <c r="AM1304" s="405" t="s">
        <v>52</v>
      </c>
      <c r="AN1304" s="405" t="s">
        <v>1071</v>
      </c>
      <c r="AO1304" s="405"/>
      <c r="AP1304" s="417"/>
      <c r="AQ1304" s="417" t="s">
        <v>37</v>
      </c>
      <c r="AR1304" s="417"/>
      <c r="AS1304" s="426"/>
      <c r="AT1304" s="426"/>
      <c r="AU1304" s="409"/>
      <c r="AV1304" s="402" t="str">
        <f t="shared" si="293"/>
        <v>30390456H</v>
      </c>
      <c r="AW1304" s="402" cm="1">
        <f t="array" ref="AW1304">SUM(MID(0&amp;AV1304,LARGE(INDEX(ISNUMBER(--MID(AV1304,ROW($1:$8),1))*ROW($1:$8),),ROW($1:$8))+1,1)*10^ROW($1:$8)/10)</f>
        <v>30390456</v>
      </c>
      <c r="AX1304" s="402" t="str">
        <f>VLOOKUP($AW1304,'Item Master Data'!$A:$F,3,FALSE)</f>
        <v>Q.PEAK DUO BLK ML G10+</v>
      </c>
      <c r="AY1304" s="402">
        <f>VLOOKUP($AW1304,'Item Master Data'!$A:$F,6,FALSE)</f>
        <v>400</v>
      </c>
      <c r="AZ1304" s="402">
        <f t="shared" si="294"/>
        <v>26</v>
      </c>
      <c r="BA1304" s="402">
        <f>VLOOKUP(AW1304,'Item Master Data'!$A:$G,7,FALSE)</f>
        <v>32</v>
      </c>
      <c r="BC1304" s="402">
        <f t="shared" si="295"/>
        <v>-5</v>
      </c>
    </row>
    <row r="1305" spans="1:55" s="402" customFormat="1">
      <c r="A1305" s="403"/>
      <c r="B1305" s="445"/>
      <c r="C1305" s="445"/>
      <c r="D1305" s="416" t="s">
        <v>1914</v>
      </c>
      <c r="E1305" s="405"/>
      <c r="F1305" s="405"/>
      <c r="G1305" s="405">
        <v>2022</v>
      </c>
      <c r="H1305" s="405">
        <v>8</v>
      </c>
      <c r="I1305" s="416"/>
      <c r="J1305" s="406"/>
      <c r="K1305" s="414" t="s">
        <v>2178</v>
      </c>
      <c r="L1305" s="405" t="s">
        <v>1960</v>
      </c>
      <c r="M1305" s="418">
        <v>44463</v>
      </c>
      <c r="N1305" s="418">
        <v>44624</v>
      </c>
      <c r="O1305" s="418"/>
      <c r="P1305" s="406"/>
      <c r="Q1305" s="406"/>
      <c r="R1305" s="406"/>
      <c r="S1305" s="405" t="s">
        <v>1443</v>
      </c>
      <c r="T1305" s="405">
        <v>60</v>
      </c>
      <c r="U1305" s="405" t="s">
        <v>1237</v>
      </c>
      <c r="V1305" s="405" t="s">
        <v>985</v>
      </c>
      <c r="W1305" s="405">
        <v>395</v>
      </c>
      <c r="X1305" s="407">
        <v>832</v>
      </c>
      <c r="Y1305" s="408">
        <f t="shared" si="290"/>
        <v>328640</v>
      </c>
      <c r="Z1305" s="409">
        <v>0.53</v>
      </c>
      <c r="AA1305" s="410">
        <f t="shared" si="291"/>
        <v>174179.20000000001</v>
      </c>
      <c r="AB1305" s="411"/>
      <c r="AC1305" s="412">
        <v>0</v>
      </c>
      <c r="AD1305" s="421"/>
      <c r="AE1305" s="413"/>
      <c r="AF1305" s="424">
        <f t="shared" si="292"/>
        <v>174179.20000000001</v>
      </c>
      <c r="AG1305" s="405" t="s">
        <v>47</v>
      </c>
      <c r="AH1305" s="405" t="s">
        <v>1963</v>
      </c>
      <c r="AI1305" s="414">
        <v>60</v>
      </c>
      <c r="AJ1305" s="405" t="s">
        <v>1584</v>
      </c>
      <c r="AK1305" s="425" t="s">
        <v>50</v>
      </c>
      <c r="AL1305" s="405" t="s">
        <v>1966</v>
      </c>
      <c r="AM1305" s="405" t="s">
        <v>52</v>
      </c>
      <c r="AN1305" s="405"/>
      <c r="AO1305" s="405"/>
      <c r="AP1305" s="417"/>
      <c r="AQ1305" s="417"/>
      <c r="AR1305" s="417"/>
      <c r="AS1305" s="426"/>
      <c r="AT1305" s="426"/>
      <c r="AU1305" s="409"/>
      <c r="AV1305" s="402" t="str">
        <f t="shared" si="293"/>
        <v>30390456H</v>
      </c>
      <c r="AW1305" s="402" cm="1">
        <f t="array" ref="AW1305">SUM(MID(0&amp;AV1305,LARGE(INDEX(ISNUMBER(--MID(AV1305,ROW($1:$8),1))*ROW($1:$8),),ROW($1:$8))+1,1)*10^ROW($1:$8)/10)</f>
        <v>30390456</v>
      </c>
      <c r="AX1305" s="402" t="str">
        <f>VLOOKUP($AW1305,'Item Master Data'!$A:$F,3,FALSE)</f>
        <v>Q.PEAK DUO BLK ML G10+</v>
      </c>
      <c r="AY1305" s="402">
        <f>VLOOKUP($AW1305,'Item Master Data'!$A:$F,6,FALSE)</f>
        <v>400</v>
      </c>
      <c r="AZ1305" s="402">
        <f t="shared" si="294"/>
        <v>26</v>
      </c>
      <c r="BA1305" s="402">
        <f>VLOOKUP(AW1305,'Item Master Data'!$A:$G,7,FALSE)</f>
        <v>32</v>
      </c>
      <c r="BC1305" s="402">
        <f t="shared" si="295"/>
        <v>-5</v>
      </c>
    </row>
    <row r="1306" spans="1:55" s="402" customFormat="1">
      <c r="A1306" s="403"/>
      <c r="B1306" s="445"/>
      <c r="C1306" s="445"/>
      <c r="D1306" s="416" t="s">
        <v>1914</v>
      </c>
      <c r="E1306" s="405" t="s">
        <v>2065</v>
      </c>
      <c r="F1306" s="405"/>
      <c r="G1306" s="405">
        <v>2022</v>
      </c>
      <c r="H1306" s="405">
        <v>8</v>
      </c>
      <c r="I1306" s="416"/>
      <c r="J1306" s="406"/>
      <c r="K1306" s="414" t="s">
        <v>2179</v>
      </c>
      <c r="L1306" s="405" t="s">
        <v>1960</v>
      </c>
      <c r="M1306" s="418">
        <v>44482</v>
      </c>
      <c r="N1306" s="418">
        <v>44747</v>
      </c>
      <c r="O1306" s="418"/>
      <c r="P1306" s="406"/>
      <c r="Q1306" s="406"/>
      <c r="R1306" s="406"/>
      <c r="S1306" s="405" t="s">
        <v>1443</v>
      </c>
      <c r="T1306" s="405">
        <v>60</v>
      </c>
      <c r="U1306" s="405" t="s">
        <v>1237</v>
      </c>
      <c r="V1306" s="405" t="s">
        <v>985</v>
      </c>
      <c r="W1306" s="405">
        <v>395</v>
      </c>
      <c r="X1306" s="407">
        <v>832</v>
      </c>
      <c r="Y1306" s="408">
        <f t="shared" si="290"/>
        <v>328640</v>
      </c>
      <c r="Z1306" s="409">
        <v>0.53</v>
      </c>
      <c r="AA1306" s="410">
        <f t="shared" si="291"/>
        <v>174179.20000000001</v>
      </c>
      <c r="AB1306" s="411"/>
      <c r="AC1306" s="412">
        <v>0</v>
      </c>
      <c r="AD1306" s="421"/>
      <c r="AE1306" s="413"/>
      <c r="AF1306" s="424">
        <f t="shared" si="292"/>
        <v>174179.20000000001</v>
      </c>
      <c r="AG1306" s="405" t="s">
        <v>47</v>
      </c>
      <c r="AH1306" s="405" t="s">
        <v>1963</v>
      </c>
      <c r="AI1306" s="414">
        <v>60</v>
      </c>
      <c r="AJ1306" s="405" t="s">
        <v>1965</v>
      </c>
      <c r="AK1306" s="425" t="s">
        <v>50</v>
      </c>
      <c r="AL1306" s="405" t="s">
        <v>1997</v>
      </c>
      <c r="AM1306" s="405" t="s">
        <v>52</v>
      </c>
      <c r="AN1306" s="405"/>
      <c r="AO1306" s="405"/>
      <c r="AP1306" s="417"/>
      <c r="AQ1306" s="417"/>
      <c r="AR1306" s="417"/>
      <c r="AS1306" s="426"/>
      <c r="AT1306" s="426"/>
      <c r="AU1306" s="409"/>
      <c r="AV1306" s="402" t="str">
        <f t="shared" si="293"/>
        <v>30390456H</v>
      </c>
      <c r="AW1306" s="402" cm="1">
        <f t="array" ref="AW1306">SUM(MID(0&amp;AV1306,LARGE(INDEX(ISNUMBER(--MID(AV1306,ROW($1:$8),1))*ROW($1:$8),),ROW($1:$8))+1,1)*10^ROW($1:$8)/10)</f>
        <v>30390456</v>
      </c>
      <c r="AX1306" s="402" t="str">
        <f>VLOOKUP($AW1306,'Item Master Data'!$A:$F,3,FALSE)</f>
        <v>Q.PEAK DUO BLK ML G10+</v>
      </c>
      <c r="AY1306" s="402">
        <f>VLOOKUP($AW1306,'Item Master Data'!$A:$F,6,FALSE)</f>
        <v>400</v>
      </c>
      <c r="AZ1306" s="402">
        <f t="shared" si="294"/>
        <v>26</v>
      </c>
      <c r="BA1306" s="402">
        <f>VLOOKUP(AW1306,'Item Master Data'!$A:$G,7,FALSE)</f>
        <v>32</v>
      </c>
      <c r="BC1306" s="402">
        <f t="shared" si="295"/>
        <v>-5</v>
      </c>
    </row>
    <row r="1307" spans="1:55" s="402" customFormat="1">
      <c r="A1307" s="403"/>
      <c r="B1307" s="445"/>
      <c r="C1307" s="445"/>
      <c r="D1307" s="416" t="s">
        <v>1914</v>
      </c>
      <c r="E1307" s="405" t="s">
        <v>2065</v>
      </c>
      <c r="F1307" s="405"/>
      <c r="G1307" s="405">
        <v>2022</v>
      </c>
      <c r="H1307" s="405">
        <v>8</v>
      </c>
      <c r="I1307" s="416"/>
      <c r="J1307" s="406"/>
      <c r="K1307" s="414" t="s">
        <v>2180</v>
      </c>
      <c r="L1307" s="405" t="s">
        <v>1960</v>
      </c>
      <c r="M1307" s="418">
        <v>44482</v>
      </c>
      <c r="N1307" s="418">
        <v>44747</v>
      </c>
      <c r="O1307" s="418"/>
      <c r="P1307" s="406"/>
      <c r="Q1307" s="406"/>
      <c r="R1307" s="406"/>
      <c r="S1307" s="405" t="s">
        <v>1443</v>
      </c>
      <c r="T1307" s="405">
        <v>60</v>
      </c>
      <c r="U1307" s="405" t="s">
        <v>1237</v>
      </c>
      <c r="V1307" s="405" t="s">
        <v>985</v>
      </c>
      <c r="W1307" s="405">
        <v>395</v>
      </c>
      <c r="X1307" s="407">
        <v>832</v>
      </c>
      <c r="Y1307" s="408">
        <f t="shared" si="290"/>
        <v>328640</v>
      </c>
      <c r="Z1307" s="409">
        <v>0.53</v>
      </c>
      <c r="AA1307" s="410">
        <f t="shared" si="291"/>
        <v>174179.20000000001</v>
      </c>
      <c r="AB1307" s="411"/>
      <c r="AC1307" s="412">
        <v>0</v>
      </c>
      <c r="AD1307" s="421"/>
      <c r="AE1307" s="413"/>
      <c r="AF1307" s="424">
        <f t="shared" si="292"/>
        <v>174179.20000000001</v>
      </c>
      <c r="AG1307" s="405" t="s">
        <v>47</v>
      </c>
      <c r="AH1307" s="405" t="s">
        <v>1963</v>
      </c>
      <c r="AI1307" s="414">
        <v>60</v>
      </c>
      <c r="AJ1307" s="405" t="s">
        <v>1965</v>
      </c>
      <c r="AK1307" s="425" t="s">
        <v>50</v>
      </c>
      <c r="AL1307" s="405" t="s">
        <v>1997</v>
      </c>
      <c r="AM1307" s="405" t="s">
        <v>52</v>
      </c>
      <c r="AN1307" s="405"/>
      <c r="AO1307" s="405"/>
      <c r="AP1307" s="417"/>
      <c r="AQ1307" s="417"/>
      <c r="AR1307" s="417"/>
      <c r="AS1307" s="426"/>
      <c r="AT1307" s="426"/>
      <c r="AU1307" s="409"/>
      <c r="AV1307" s="402" t="str">
        <f t="shared" si="293"/>
        <v>30390456H</v>
      </c>
      <c r="AW1307" s="402" cm="1">
        <f t="array" ref="AW1307">SUM(MID(0&amp;AV1307,LARGE(INDEX(ISNUMBER(--MID(AV1307,ROW($1:$8),1))*ROW($1:$8),),ROW($1:$8))+1,1)*10^ROW($1:$8)/10)</f>
        <v>30390456</v>
      </c>
      <c r="AX1307" s="402" t="str">
        <f>VLOOKUP($AW1307,'Item Master Data'!$A:$F,3,FALSE)</f>
        <v>Q.PEAK DUO BLK ML G10+</v>
      </c>
      <c r="AY1307" s="402">
        <f>VLOOKUP($AW1307,'Item Master Data'!$A:$F,6,FALSE)</f>
        <v>400</v>
      </c>
      <c r="AZ1307" s="402">
        <f t="shared" si="294"/>
        <v>26</v>
      </c>
      <c r="BA1307" s="402">
        <f>VLOOKUP(AW1307,'Item Master Data'!$A:$G,7,FALSE)</f>
        <v>32</v>
      </c>
      <c r="BC1307" s="402">
        <f t="shared" si="295"/>
        <v>-5</v>
      </c>
    </row>
    <row r="1308" spans="1:55" s="402" customFormat="1">
      <c r="A1308" s="403"/>
      <c r="B1308" s="445"/>
      <c r="C1308" s="445"/>
      <c r="D1308" s="416" t="s">
        <v>1914</v>
      </c>
      <c r="E1308" s="405" t="s">
        <v>2065</v>
      </c>
      <c r="F1308" s="405"/>
      <c r="G1308" s="405">
        <v>2022</v>
      </c>
      <c r="H1308" s="405">
        <v>8</v>
      </c>
      <c r="I1308" s="416"/>
      <c r="J1308" s="406"/>
      <c r="K1308" s="414" t="s">
        <v>2181</v>
      </c>
      <c r="L1308" s="405" t="s">
        <v>1960</v>
      </c>
      <c r="M1308" s="418">
        <v>44482</v>
      </c>
      <c r="N1308" s="418">
        <v>44757</v>
      </c>
      <c r="O1308" s="418"/>
      <c r="P1308" s="406"/>
      <c r="Q1308" s="406"/>
      <c r="R1308" s="406"/>
      <c r="S1308" s="405" t="s">
        <v>1443</v>
      </c>
      <c r="T1308" s="405">
        <v>60</v>
      </c>
      <c r="U1308" s="405" t="s">
        <v>1237</v>
      </c>
      <c r="V1308" s="405" t="s">
        <v>985</v>
      </c>
      <c r="W1308" s="405">
        <v>395</v>
      </c>
      <c r="X1308" s="407">
        <v>832</v>
      </c>
      <c r="Y1308" s="408">
        <f t="shared" si="290"/>
        <v>328640</v>
      </c>
      <c r="Z1308" s="409">
        <v>0.53</v>
      </c>
      <c r="AA1308" s="410">
        <f t="shared" si="291"/>
        <v>174179.20000000001</v>
      </c>
      <c r="AB1308" s="411"/>
      <c r="AC1308" s="412">
        <v>0</v>
      </c>
      <c r="AD1308" s="421"/>
      <c r="AE1308" s="413"/>
      <c r="AF1308" s="424">
        <f t="shared" si="292"/>
        <v>174179.20000000001</v>
      </c>
      <c r="AG1308" s="405" t="s">
        <v>47</v>
      </c>
      <c r="AH1308" s="405" t="s">
        <v>1963</v>
      </c>
      <c r="AI1308" s="414">
        <v>60</v>
      </c>
      <c r="AJ1308" s="405" t="s">
        <v>1965</v>
      </c>
      <c r="AK1308" s="425" t="s">
        <v>50</v>
      </c>
      <c r="AL1308" s="405" t="s">
        <v>1997</v>
      </c>
      <c r="AM1308" s="405" t="s">
        <v>52</v>
      </c>
      <c r="AN1308" s="405"/>
      <c r="AO1308" s="405"/>
      <c r="AP1308" s="417"/>
      <c r="AQ1308" s="417"/>
      <c r="AR1308" s="417"/>
      <c r="AS1308" s="426"/>
      <c r="AT1308" s="426"/>
      <c r="AU1308" s="409"/>
      <c r="AV1308" s="402" t="str">
        <f t="shared" si="293"/>
        <v>30390456H</v>
      </c>
      <c r="AW1308" s="402" cm="1">
        <f t="array" ref="AW1308">SUM(MID(0&amp;AV1308,LARGE(INDEX(ISNUMBER(--MID(AV1308,ROW($1:$8),1))*ROW($1:$8),),ROW($1:$8))+1,1)*10^ROW($1:$8)/10)</f>
        <v>30390456</v>
      </c>
      <c r="AX1308" s="402" t="str">
        <f>VLOOKUP($AW1308,'Item Master Data'!$A:$F,3,FALSE)</f>
        <v>Q.PEAK DUO BLK ML G10+</v>
      </c>
      <c r="AY1308" s="402">
        <f>VLOOKUP($AW1308,'Item Master Data'!$A:$F,6,FALSE)</f>
        <v>400</v>
      </c>
      <c r="AZ1308" s="402">
        <f t="shared" si="294"/>
        <v>26</v>
      </c>
      <c r="BA1308" s="402">
        <f>VLOOKUP(AW1308,'Item Master Data'!$A:$G,7,FALSE)</f>
        <v>32</v>
      </c>
      <c r="BC1308" s="402">
        <f t="shared" si="295"/>
        <v>-5</v>
      </c>
    </row>
    <row r="1309" spans="1:55" s="402" customFormat="1">
      <c r="A1309" s="403"/>
      <c r="B1309" s="445"/>
      <c r="C1309" s="445"/>
      <c r="D1309" s="416" t="s">
        <v>1914</v>
      </c>
      <c r="E1309" s="405" t="s">
        <v>2065</v>
      </c>
      <c r="F1309" s="405"/>
      <c r="G1309" s="405">
        <v>2022</v>
      </c>
      <c r="H1309" s="405">
        <v>8</v>
      </c>
      <c r="I1309" s="416"/>
      <c r="J1309" s="406"/>
      <c r="K1309" s="414" t="s">
        <v>2182</v>
      </c>
      <c r="L1309" s="405" t="s">
        <v>1960</v>
      </c>
      <c r="M1309" s="418">
        <v>44482</v>
      </c>
      <c r="N1309" s="418">
        <v>44767</v>
      </c>
      <c r="O1309" s="418"/>
      <c r="P1309" s="406"/>
      <c r="Q1309" s="406"/>
      <c r="R1309" s="406"/>
      <c r="S1309" s="405" t="s">
        <v>1443</v>
      </c>
      <c r="T1309" s="405">
        <v>60</v>
      </c>
      <c r="U1309" s="405" t="s">
        <v>1237</v>
      </c>
      <c r="V1309" s="405" t="s">
        <v>985</v>
      </c>
      <c r="W1309" s="405">
        <v>395</v>
      </c>
      <c r="X1309" s="407">
        <v>832</v>
      </c>
      <c r="Y1309" s="408">
        <f t="shared" si="290"/>
        <v>328640</v>
      </c>
      <c r="Z1309" s="409">
        <v>0.53</v>
      </c>
      <c r="AA1309" s="410">
        <f t="shared" si="291"/>
        <v>174179.20000000001</v>
      </c>
      <c r="AB1309" s="411"/>
      <c r="AC1309" s="412">
        <v>0</v>
      </c>
      <c r="AD1309" s="421"/>
      <c r="AE1309" s="413"/>
      <c r="AF1309" s="424">
        <f t="shared" si="292"/>
        <v>174179.20000000001</v>
      </c>
      <c r="AG1309" s="405" t="s">
        <v>47</v>
      </c>
      <c r="AH1309" s="405" t="s">
        <v>1963</v>
      </c>
      <c r="AI1309" s="414">
        <v>60</v>
      </c>
      <c r="AJ1309" s="405" t="s">
        <v>1965</v>
      </c>
      <c r="AK1309" s="425" t="s">
        <v>50</v>
      </c>
      <c r="AL1309" s="405" t="s">
        <v>1997</v>
      </c>
      <c r="AM1309" s="405" t="s">
        <v>52</v>
      </c>
      <c r="AN1309" s="405"/>
      <c r="AO1309" s="405"/>
      <c r="AP1309" s="417"/>
      <c r="AQ1309" s="417"/>
      <c r="AR1309" s="417"/>
      <c r="AS1309" s="426"/>
      <c r="AT1309" s="426"/>
      <c r="AU1309" s="409"/>
    </row>
    <row r="1310" spans="1:55" s="402" customFormat="1">
      <c r="A1310" s="403"/>
      <c r="B1310" s="445"/>
      <c r="C1310" s="445"/>
      <c r="D1310" s="416" t="s">
        <v>1914</v>
      </c>
      <c r="E1310" s="405" t="s">
        <v>2065</v>
      </c>
      <c r="F1310" s="405"/>
      <c r="G1310" s="405">
        <v>2022</v>
      </c>
      <c r="H1310" s="405">
        <v>8</v>
      </c>
      <c r="I1310" s="416"/>
      <c r="J1310" s="406"/>
      <c r="K1310" s="414" t="s">
        <v>2183</v>
      </c>
      <c r="L1310" s="405" t="s">
        <v>1960</v>
      </c>
      <c r="M1310" s="418">
        <v>44482</v>
      </c>
      <c r="N1310" s="418">
        <v>44750</v>
      </c>
      <c r="O1310" s="418"/>
      <c r="P1310" s="406"/>
      <c r="Q1310" s="406"/>
      <c r="R1310" s="406"/>
      <c r="S1310" s="405" t="s">
        <v>1443</v>
      </c>
      <c r="T1310" s="405">
        <v>60</v>
      </c>
      <c r="U1310" s="405" t="s">
        <v>1237</v>
      </c>
      <c r="V1310" s="405" t="s">
        <v>985</v>
      </c>
      <c r="W1310" s="405">
        <v>395</v>
      </c>
      <c r="X1310" s="407">
        <v>832</v>
      </c>
      <c r="Y1310" s="408">
        <f t="shared" si="290"/>
        <v>328640</v>
      </c>
      <c r="Z1310" s="409">
        <v>0.53</v>
      </c>
      <c r="AA1310" s="410">
        <f t="shared" si="291"/>
        <v>174179.20000000001</v>
      </c>
      <c r="AB1310" s="411"/>
      <c r="AC1310" s="412">
        <v>0</v>
      </c>
      <c r="AD1310" s="421"/>
      <c r="AE1310" s="413"/>
      <c r="AF1310" s="424">
        <f t="shared" si="292"/>
        <v>174179.20000000001</v>
      </c>
      <c r="AG1310" s="405" t="s">
        <v>47</v>
      </c>
      <c r="AH1310" s="405" t="s">
        <v>1963</v>
      </c>
      <c r="AI1310" s="414">
        <v>60</v>
      </c>
      <c r="AJ1310" s="405" t="s">
        <v>1500</v>
      </c>
      <c r="AK1310" s="425" t="s">
        <v>1082</v>
      </c>
      <c r="AL1310" s="405" t="s">
        <v>1989</v>
      </c>
      <c r="AM1310" s="405" t="s">
        <v>52</v>
      </c>
      <c r="AN1310" s="405"/>
      <c r="AO1310" s="405"/>
      <c r="AP1310" s="417"/>
      <c r="AQ1310" s="417"/>
      <c r="AR1310" s="417"/>
      <c r="AS1310" s="426"/>
      <c r="AT1310" s="426"/>
      <c r="AU1310" s="409"/>
    </row>
    <row r="1311" spans="1:55" s="402" customFormat="1">
      <c r="A1311" s="403"/>
      <c r="B1311" s="445"/>
      <c r="C1311" s="445"/>
      <c r="D1311" s="416" t="s">
        <v>1914</v>
      </c>
      <c r="E1311" s="405" t="s">
        <v>2065</v>
      </c>
      <c r="F1311" s="405"/>
      <c r="G1311" s="405">
        <v>2022</v>
      </c>
      <c r="H1311" s="405">
        <v>8</v>
      </c>
      <c r="I1311" s="416"/>
      <c r="J1311" s="406"/>
      <c r="K1311" s="414" t="s">
        <v>2184</v>
      </c>
      <c r="L1311" s="405" t="s">
        <v>1960</v>
      </c>
      <c r="M1311" s="418">
        <v>44482</v>
      </c>
      <c r="N1311" s="418">
        <v>44760</v>
      </c>
      <c r="O1311" s="418"/>
      <c r="P1311" s="406"/>
      <c r="Q1311" s="406"/>
      <c r="R1311" s="406"/>
      <c r="S1311" s="405" t="s">
        <v>1443</v>
      </c>
      <c r="T1311" s="405">
        <v>60</v>
      </c>
      <c r="U1311" s="405" t="s">
        <v>1237</v>
      </c>
      <c r="V1311" s="405" t="s">
        <v>985</v>
      </c>
      <c r="W1311" s="405">
        <v>395</v>
      </c>
      <c r="X1311" s="407">
        <v>832</v>
      </c>
      <c r="Y1311" s="408">
        <f t="shared" si="290"/>
        <v>328640</v>
      </c>
      <c r="Z1311" s="409">
        <v>0.53</v>
      </c>
      <c r="AA1311" s="410">
        <f t="shared" si="291"/>
        <v>174179.20000000001</v>
      </c>
      <c r="AB1311" s="411"/>
      <c r="AC1311" s="412">
        <v>0</v>
      </c>
      <c r="AD1311" s="421"/>
      <c r="AE1311" s="413"/>
      <c r="AF1311" s="424">
        <f t="shared" si="292"/>
        <v>174179.20000000001</v>
      </c>
      <c r="AG1311" s="405" t="s">
        <v>47</v>
      </c>
      <c r="AH1311" s="405" t="s">
        <v>1963</v>
      </c>
      <c r="AI1311" s="414">
        <v>60</v>
      </c>
      <c r="AJ1311" s="405" t="s">
        <v>1500</v>
      </c>
      <c r="AK1311" s="425" t="s">
        <v>1082</v>
      </c>
      <c r="AL1311" s="405" t="s">
        <v>1989</v>
      </c>
      <c r="AM1311" s="405" t="s">
        <v>52</v>
      </c>
      <c r="AN1311" s="405"/>
      <c r="AO1311" s="405"/>
      <c r="AP1311" s="417"/>
      <c r="AQ1311" s="417"/>
      <c r="AR1311" s="417"/>
      <c r="AS1311" s="426"/>
      <c r="AT1311" s="426"/>
      <c r="AU1311" s="409"/>
    </row>
    <row r="1312" spans="1:55" s="402" customFormat="1">
      <c r="A1312" s="403"/>
      <c r="B1312" s="445"/>
      <c r="C1312" s="445"/>
      <c r="D1312" s="416" t="s">
        <v>1914</v>
      </c>
      <c r="E1312" s="405" t="s">
        <v>2065</v>
      </c>
      <c r="F1312" s="405"/>
      <c r="G1312" s="405">
        <v>2022</v>
      </c>
      <c r="H1312" s="405">
        <v>8</v>
      </c>
      <c r="I1312" s="416"/>
      <c r="J1312" s="406"/>
      <c r="K1312" s="414" t="s">
        <v>2185</v>
      </c>
      <c r="L1312" s="405" t="s">
        <v>1960</v>
      </c>
      <c r="M1312" s="418">
        <v>44482</v>
      </c>
      <c r="N1312" s="418">
        <v>44778</v>
      </c>
      <c r="O1312" s="418"/>
      <c r="P1312" s="406"/>
      <c r="Q1312" s="406"/>
      <c r="R1312" s="406"/>
      <c r="S1312" s="405" t="s">
        <v>1443</v>
      </c>
      <c r="T1312" s="405">
        <v>60</v>
      </c>
      <c r="U1312" s="405" t="s">
        <v>1237</v>
      </c>
      <c r="V1312" s="405" t="s">
        <v>985</v>
      </c>
      <c r="W1312" s="405">
        <v>395</v>
      </c>
      <c r="X1312" s="407">
        <v>832</v>
      </c>
      <c r="Y1312" s="408">
        <f t="shared" si="290"/>
        <v>328640</v>
      </c>
      <c r="Z1312" s="409">
        <v>0.53</v>
      </c>
      <c r="AA1312" s="410">
        <f t="shared" si="291"/>
        <v>174179.20000000001</v>
      </c>
      <c r="AB1312" s="411"/>
      <c r="AC1312" s="412">
        <v>0</v>
      </c>
      <c r="AD1312" s="421"/>
      <c r="AE1312" s="413"/>
      <c r="AF1312" s="424">
        <f t="shared" si="292"/>
        <v>174179.20000000001</v>
      </c>
      <c r="AG1312" s="405" t="s">
        <v>47</v>
      </c>
      <c r="AH1312" s="405" t="s">
        <v>1963</v>
      </c>
      <c r="AI1312" s="414">
        <v>60</v>
      </c>
      <c r="AJ1312" s="405" t="s">
        <v>1584</v>
      </c>
      <c r="AK1312" s="425" t="s">
        <v>50</v>
      </c>
      <c r="AL1312" s="405" t="s">
        <v>1966</v>
      </c>
      <c r="AM1312" s="405" t="s">
        <v>52</v>
      </c>
      <c r="AN1312" s="405"/>
      <c r="AO1312" s="405"/>
      <c r="AP1312" s="417"/>
      <c r="AQ1312" s="417"/>
      <c r="AR1312" s="417"/>
      <c r="AS1312" s="426"/>
      <c r="AT1312" s="426"/>
      <c r="AU1312" s="409"/>
    </row>
    <row r="1313" spans="1:55" s="402" customFormat="1">
      <c r="A1313" s="403"/>
      <c r="B1313" s="445">
        <v>44599</v>
      </c>
      <c r="C1313" s="445"/>
      <c r="D1313" s="416" t="s">
        <v>1914</v>
      </c>
      <c r="E1313" s="405" t="s">
        <v>2155</v>
      </c>
      <c r="F1313" s="405"/>
      <c r="G1313" s="405">
        <v>2022</v>
      </c>
      <c r="H1313" s="405">
        <v>8</v>
      </c>
      <c r="I1313" s="416"/>
      <c r="J1313" s="406"/>
      <c r="K1313" s="414" t="s">
        <v>2188</v>
      </c>
      <c r="L1313" s="405" t="s">
        <v>1967</v>
      </c>
      <c r="M1313" s="418">
        <v>44596</v>
      </c>
      <c r="N1313" s="418">
        <v>44688</v>
      </c>
      <c r="O1313" s="418"/>
      <c r="P1313" s="406"/>
      <c r="Q1313" s="406"/>
      <c r="R1313" s="406"/>
      <c r="S1313" s="405" t="s">
        <v>1443</v>
      </c>
      <c r="T1313" s="405">
        <v>60</v>
      </c>
      <c r="U1313" s="405" t="s">
        <v>1237</v>
      </c>
      <c r="V1313" s="405" t="s">
        <v>973</v>
      </c>
      <c r="W1313" s="405">
        <v>400</v>
      </c>
      <c r="X1313" s="407">
        <v>768</v>
      </c>
      <c r="Y1313" s="408">
        <v>307200</v>
      </c>
      <c r="Z1313" s="409">
        <v>0.55500000000000005</v>
      </c>
      <c r="AA1313" s="410">
        <f t="shared" si="291"/>
        <v>170496.00000000003</v>
      </c>
      <c r="AB1313" s="411"/>
      <c r="AC1313" s="412">
        <v>0</v>
      </c>
      <c r="AD1313" s="421"/>
      <c r="AE1313" s="413"/>
      <c r="AF1313" s="424">
        <f t="shared" si="292"/>
        <v>170496.00000000003</v>
      </c>
      <c r="AG1313" s="405" t="s">
        <v>1069</v>
      </c>
      <c r="AH1313" s="405"/>
      <c r="AI1313" s="414" t="s">
        <v>2189</v>
      </c>
      <c r="AJ1313" s="405" t="s">
        <v>1983</v>
      </c>
      <c r="AK1313" s="425" t="s">
        <v>1136</v>
      </c>
      <c r="AL1313" s="405">
        <v>75066</v>
      </c>
      <c r="AM1313" s="405" t="s">
        <v>52</v>
      </c>
      <c r="AN1313" s="405"/>
      <c r="AO1313" s="405"/>
      <c r="AP1313" s="417"/>
      <c r="AQ1313" s="417" t="s">
        <v>37</v>
      </c>
      <c r="AR1313" s="417"/>
      <c r="AS1313" s="426"/>
      <c r="AT1313" s="426"/>
      <c r="AU1313" s="409"/>
    </row>
    <row r="1314" spans="1:55" s="402" customFormat="1">
      <c r="A1314" s="403"/>
      <c r="B1314" s="445">
        <v>44599</v>
      </c>
      <c r="C1314" s="445"/>
      <c r="D1314" s="416" t="s">
        <v>1914</v>
      </c>
      <c r="E1314" s="405" t="s">
        <v>2155</v>
      </c>
      <c r="F1314" s="405"/>
      <c r="G1314" s="405">
        <v>2022</v>
      </c>
      <c r="H1314" s="405">
        <v>8</v>
      </c>
      <c r="I1314" s="416"/>
      <c r="J1314" s="406"/>
      <c r="K1314" s="414" t="s">
        <v>2190</v>
      </c>
      <c r="L1314" s="405" t="s">
        <v>1967</v>
      </c>
      <c r="M1314" s="418">
        <v>44596</v>
      </c>
      <c r="N1314" s="418">
        <v>44691</v>
      </c>
      <c r="O1314" s="418"/>
      <c r="P1314" s="406"/>
      <c r="Q1314" s="406"/>
      <c r="R1314" s="406"/>
      <c r="S1314" s="405" t="s">
        <v>1443</v>
      </c>
      <c r="T1314" s="405">
        <v>60</v>
      </c>
      <c r="U1314" s="405" t="s">
        <v>1237</v>
      </c>
      <c r="V1314" s="405" t="s">
        <v>973</v>
      </c>
      <c r="W1314" s="405">
        <v>400</v>
      </c>
      <c r="X1314" s="407">
        <v>768</v>
      </c>
      <c r="Y1314" s="408">
        <v>307200</v>
      </c>
      <c r="Z1314" s="409">
        <v>0.55500000000000005</v>
      </c>
      <c r="AA1314" s="410">
        <f t="shared" si="291"/>
        <v>170496.00000000003</v>
      </c>
      <c r="AB1314" s="411"/>
      <c r="AC1314" s="412">
        <v>0</v>
      </c>
      <c r="AD1314" s="421"/>
      <c r="AE1314" s="413"/>
      <c r="AF1314" s="424">
        <f t="shared" si="292"/>
        <v>170496.00000000003</v>
      </c>
      <c r="AG1314" s="405" t="s">
        <v>1069</v>
      </c>
      <c r="AH1314" s="405"/>
      <c r="AI1314" s="414" t="s">
        <v>1961</v>
      </c>
      <c r="AJ1314" s="405" t="s">
        <v>1983</v>
      </c>
      <c r="AK1314" s="425" t="s">
        <v>1136</v>
      </c>
      <c r="AL1314" s="405">
        <v>75067</v>
      </c>
      <c r="AM1314" s="405" t="s">
        <v>52</v>
      </c>
      <c r="AN1314" s="405"/>
      <c r="AO1314" s="405"/>
      <c r="AP1314" s="417"/>
      <c r="AQ1314" s="417" t="s">
        <v>37</v>
      </c>
      <c r="AR1314" s="417"/>
      <c r="AS1314" s="426"/>
      <c r="AT1314" s="426"/>
      <c r="AU1314" s="409"/>
    </row>
    <row r="1315" spans="1:55" s="402" customFormat="1">
      <c r="A1315" s="403"/>
      <c r="B1315" s="445">
        <v>44599</v>
      </c>
      <c r="C1315" s="445"/>
      <c r="D1315" s="416" t="s">
        <v>1914</v>
      </c>
      <c r="E1315" s="405" t="s">
        <v>2155</v>
      </c>
      <c r="F1315" s="405"/>
      <c r="G1315" s="405">
        <v>2022</v>
      </c>
      <c r="H1315" s="405">
        <v>8</v>
      </c>
      <c r="I1315" s="416"/>
      <c r="J1315" s="406"/>
      <c r="K1315" s="414" t="s">
        <v>2191</v>
      </c>
      <c r="L1315" s="405" t="s">
        <v>1967</v>
      </c>
      <c r="M1315" s="418">
        <v>44596</v>
      </c>
      <c r="N1315" s="418">
        <v>44693</v>
      </c>
      <c r="O1315" s="418"/>
      <c r="P1315" s="406"/>
      <c r="Q1315" s="406"/>
      <c r="R1315" s="406"/>
      <c r="S1315" s="405" t="s">
        <v>1443</v>
      </c>
      <c r="T1315" s="405">
        <v>60</v>
      </c>
      <c r="U1315" s="405" t="s">
        <v>1237</v>
      </c>
      <c r="V1315" s="405" t="s">
        <v>973</v>
      </c>
      <c r="W1315" s="405">
        <v>400</v>
      </c>
      <c r="X1315" s="407">
        <v>768</v>
      </c>
      <c r="Y1315" s="408">
        <v>307200</v>
      </c>
      <c r="Z1315" s="409">
        <v>0.55500000000000005</v>
      </c>
      <c r="AA1315" s="410">
        <f t="shared" si="291"/>
        <v>170496.00000000003</v>
      </c>
      <c r="AB1315" s="411"/>
      <c r="AC1315" s="412">
        <v>0</v>
      </c>
      <c r="AD1315" s="421"/>
      <c r="AE1315" s="413"/>
      <c r="AF1315" s="424">
        <f t="shared" si="292"/>
        <v>170496.00000000003</v>
      </c>
      <c r="AG1315" s="405" t="s">
        <v>1069</v>
      </c>
      <c r="AH1315" s="405"/>
      <c r="AI1315" s="414" t="s">
        <v>2192</v>
      </c>
      <c r="AJ1315" s="405" t="s">
        <v>1983</v>
      </c>
      <c r="AK1315" s="425" t="s">
        <v>1136</v>
      </c>
      <c r="AL1315" s="405">
        <v>75068</v>
      </c>
      <c r="AM1315" s="405" t="s">
        <v>52</v>
      </c>
      <c r="AN1315" s="405"/>
      <c r="AO1315" s="405"/>
      <c r="AP1315" s="417"/>
      <c r="AQ1315" s="417" t="s">
        <v>37</v>
      </c>
      <c r="AR1315" s="417"/>
      <c r="AS1315" s="426"/>
      <c r="AT1315" s="426"/>
      <c r="AU1315" s="409"/>
    </row>
    <row r="1316" spans="1:55" s="402" customFormat="1">
      <c r="A1316" s="403"/>
      <c r="B1316" s="445"/>
      <c r="C1316" s="445"/>
      <c r="D1316" s="416" t="s">
        <v>1914</v>
      </c>
      <c r="E1316" s="405" t="s">
        <v>2169</v>
      </c>
      <c r="F1316" s="405"/>
      <c r="G1316" s="405">
        <v>2022</v>
      </c>
      <c r="H1316" s="405">
        <v>8</v>
      </c>
      <c r="I1316" s="416"/>
      <c r="J1316" s="406"/>
      <c r="K1316" s="414" t="s">
        <v>2170</v>
      </c>
      <c r="L1316" s="405" t="s">
        <v>1967</v>
      </c>
      <c r="M1316" s="418">
        <v>44483</v>
      </c>
      <c r="N1316" s="418">
        <v>44632</v>
      </c>
      <c r="O1316" s="418"/>
      <c r="P1316" s="406"/>
      <c r="Q1316" s="406"/>
      <c r="R1316" s="406"/>
      <c r="S1316" s="405" t="s">
        <v>1443</v>
      </c>
      <c r="T1316" s="405">
        <v>60</v>
      </c>
      <c r="U1316" s="405">
        <v>49401140</v>
      </c>
      <c r="V1316" s="405" t="s">
        <v>973</v>
      </c>
      <c r="W1316" s="405">
        <v>400</v>
      </c>
      <c r="X1316" s="407">
        <v>768</v>
      </c>
      <c r="Y1316" s="408">
        <f t="shared" ref="Y1316:Y1346" si="296">X1316*W1316</f>
        <v>307200</v>
      </c>
      <c r="Z1316" s="409">
        <f>210/400</f>
        <v>0.52500000000000002</v>
      </c>
      <c r="AA1316" s="410">
        <f t="shared" si="291"/>
        <v>161280</v>
      </c>
      <c r="AB1316" s="411"/>
      <c r="AC1316" s="412">
        <v>0</v>
      </c>
      <c r="AD1316" s="421"/>
      <c r="AE1316" s="413"/>
      <c r="AF1316" s="424">
        <f t="shared" si="292"/>
        <v>161280</v>
      </c>
      <c r="AG1316" s="405" t="s">
        <v>1069</v>
      </c>
      <c r="AH1316" s="405"/>
      <c r="AI1316" s="414">
        <v>60</v>
      </c>
      <c r="AJ1316" s="405" t="s">
        <v>1584</v>
      </c>
      <c r="AK1316" s="425" t="s">
        <v>50</v>
      </c>
      <c r="AL1316" s="405">
        <v>95834</v>
      </c>
      <c r="AM1316" s="405" t="s">
        <v>52</v>
      </c>
      <c r="AN1316" s="405" t="s">
        <v>1071</v>
      </c>
      <c r="AO1316" s="405"/>
      <c r="AP1316" s="417"/>
      <c r="AQ1316" s="417" t="s">
        <v>37</v>
      </c>
      <c r="AR1316" s="417"/>
      <c r="AS1316" s="426"/>
      <c r="AT1316" s="426"/>
      <c r="AU1316" s="409"/>
    </row>
    <row r="1317" spans="1:55" s="402" customFormat="1">
      <c r="A1317" s="403"/>
      <c r="B1317" s="445" t="s">
        <v>4251</v>
      </c>
      <c r="C1317" s="445">
        <v>44673</v>
      </c>
      <c r="D1317" s="416" t="s">
        <v>1914</v>
      </c>
      <c r="E1317" s="405" t="s">
        <v>3571</v>
      </c>
      <c r="F1317" s="405"/>
      <c r="G1317" s="405">
        <v>2022</v>
      </c>
      <c r="H1317" s="405">
        <v>8</v>
      </c>
      <c r="I1317" s="416"/>
      <c r="J1317" s="406"/>
      <c r="K1317" s="414" t="s">
        <v>2193</v>
      </c>
      <c r="L1317" s="405" t="s">
        <v>1967</v>
      </c>
      <c r="M1317" s="418">
        <v>44636</v>
      </c>
      <c r="N1317" s="418">
        <v>44783</v>
      </c>
      <c r="O1317" s="418"/>
      <c r="P1317" s="406"/>
      <c r="Q1317" s="406"/>
      <c r="R1317" s="406"/>
      <c r="S1317" s="405" t="s">
        <v>1443</v>
      </c>
      <c r="T1317" s="405">
        <v>72</v>
      </c>
      <c r="U1317" s="405" t="s">
        <v>1102</v>
      </c>
      <c r="V1317" s="405" t="s">
        <v>1068</v>
      </c>
      <c r="W1317" s="405">
        <v>480</v>
      </c>
      <c r="X1317" s="407">
        <v>696</v>
      </c>
      <c r="Y1317" s="408">
        <f t="shared" si="296"/>
        <v>334080</v>
      </c>
      <c r="Z1317" s="409">
        <f>237.6/480</f>
        <v>0.495</v>
      </c>
      <c r="AA1317" s="410">
        <f t="shared" si="291"/>
        <v>165369.60000000001</v>
      </c>
      <c r="AB1317" s="411"/>
      <c r="AC1317" s="412">
        <v>0</v>
      </c>
      <c r="AD1317" s="421"/>
      <c r="AE1317" s="413"/>
      <c r="AF1317" s="424">
        <f t="shared" si="292"/>
        <v>165369.60000000001</v>
      </c>
      <c r="AG1317" s="405" t="s">
        <v>1069</v>
      </c>
      <c r="AH1317" s="405"/>
      <c r="AI1317" s="414">
        <v>60</v>
      </c>
      <c r="AJ1317" s="405" t="s">
        <v>1584</v>
      </c>
      <c r="AK1317" s="425" t="s">
        <v>50</v>
      </c>
      <c r="AL1317" s="405">
        <v>95834</v>
      </c>
      <c r="AM1317" s="405" t="s">
        <v>52</v>
      </c>
      <c r="AN1317" s="405" t="s">
        <v>1071</v>
      </c>
      <c r="AO1317" s="405"/>
      <c r="AP1317" s="417"/>
      <c r="AQ1317" s="417" t="s">
        <v>37</v>
      </c>
      <c r="AR1317" s="417"/>
      <c r="AS1317" s="426"/>
      <c r="AT1317" s="426"/>
      <c r="AU1317" s="409"/>
    </row>
    <row r="1318" spans="1:55" s="402" customFormat="1">
      <c r="A1318" s="403"/>
      <c r="B1318" s="445"/>
      <c r="C1318" s="445"/>
      <c r="D1318" s="416" t="s">
        <v>1914</v>
      </c>
      <c r="E1318" s="405" t="s">
        <v>2065</v>
      </c>
      <c r="F1318" s="405"/>
      <c r="G1318" s="405">
        <v>2022</v>
      </c>
      <c r="H1318" s="405">
        <v>8</v>
      </c>
      <c r="I1318" s="416"/>
      <c r="J1318" s="406"/>
      <c r="K1318" s="414" t="s">
        <v>2194</v>
      </c>
      <c r="L1318" s="405" t="s">
        <v>1967</v>
      </c>
      <c r="M1318" s="418">
        <v>44545</v>
      </c>
      <c r="N1318" s="418">
        <v>44787</v>
      </c>
      <c r="O1318" s="418"/>
      <c r="P1318" s="406"/>
      <c r="Q1318" s="406"/>
      <c r="R1318" s="406"/>
      <c r="S1318" s="405" t="s">
        <v>1443</v>
      </c>
      <c r="T1318" s="405">
        <v>60</v>
      </c>
      <c r="U1318" s="405">
        <v>49204132</v>
      </c>
      <c r="V1318" s="405" t="s">
        <v>1192</v>
      </c>
      <c r="W1318" s="405">
        <v>360</v>
      </c>
      <c r="X1318" s="407">
        <v>624</v>
      </c>
      <c r="Y1318" s="408">
        <f t="shared" si="296"/>
        <v>224640</v>
      </c>
      <c r="Z1318" s="409">
        <f>284.4/360</f>
        <v>0.78999999999999992</v>
      </c>
      <c r="AA1318" s="410">
        <f t="shared" si="291"/>
        <v>177465.59999999998</v>
      </c>
      <c r="AB1318" s="411"/>
      <c r="AC1318" s="412">
        <v>0</v>
      </c>
      <c r="AD1318" s="421"/>
      <c r="AE1318" s="413"/>
      <c r="AF1318" s="424">
        <f t="shared" si="292"/>
        <v>177465.59999999998</v>
      </c>
      <c r="AG1318" s="405" t="s">
        <v>1069</v>
      </c>
      <c r="AH1318" s="405"/>
      <c r="AI1318" s="414" t="s">
        <v>1962</v>
      </c>
      <c r="AJ1318" s="405" t="s">
        <v>1616</v>
      </c>
      <c r="AK1318" s="425" t="s">
        <v>50</v>
      </c>
      <c r="AL1318" s="405">
        <v>93722</v>
      </c>
      <c r="AM1318" s="405" t="s">
        <v>52</v>
      </c>
      <c r="AN1318" s="405"/>
      <c r="AO1318" s="405"/>
      <c r="AP1318" s="417"/>
      <c r="AQ1318" s="417" t="s">
        <v>37</v>
      </c>
      <c r="AR1318" s="417"/>
      <c r="AS1318" s="426"/>
      <c r="AT1318" s="426"/>
      <c r="AU1318" s="409"/>
    </row>
    <row r="1319" spans="1:55" s="402" customFormat="1">
      <c r="A1319" s="403"/>
      <c r="B1319" s="445"/>
      <c r="C1319" s="445"/>
      <c r="D1319" s="416" t="s">
        <v>1914</v>
      </c>
      <c r="E1319" s="405" t="s">
        <v>1053</v>
      </c>
      <c r="F1319" s="405"/>
      <c r="G1319" s="405">
        <v>2022</v>
      </c>
      <c r="H1319" s="405">
        <v>8</v>
      </c>
      <c r="I1319" s="416"/>
      <c r="J1319" s="406"/>
      <c r="K1319" s="414" t="s">
        <v>2171</v>
      </c>
      <c r="L1319" s="405" t="s">
        <v>1967</v>
      </c>
      <c r="M1319" s="418">
        <v>44484</v>
      </c>
      <c r="N1319" s="418">
        <v>44602</v>
      </c>
      <c r="O1319" s="418"/>
      <c r="P1319" s="406"/>
      <c r="Q1319" s="406"/>
      <c r="R1319" s="406"/>
      <c r="S1319" s="405" t="s">
        <v>1443</v>
      </c>
      <c r="T1319" s="405">
        <v>60</v>
      </c>
      <c r="U1319" s="405">
        <v>49403140</v>
      </c>
      <c r="V1319" s="405" t="s">
        <v>973</v>
      </c>
      <c r="W1319" s="405">
        <v>400</v>
      </c>
      <c r="X1319" s="407">
        <v>768</v>
      </c>
      <c r="Y1319" s="408">
        <f t="shared" si="296"/>
        <v>307200</v>
      </c>
      <c r="Z1319" s="409">
        <f>210/400</f>
        <v>0.52500000000000002</v>
      </c>
      <c r="AA1319" s="410">
        <f t="shared" si="291"/>
        <v>161280</v>
      </c>
      <c r="AB1319" s="411"/>
      <c r="AC1319" s="412">
        <v>0</v>
      </c>
      <c r="AD1319" s="421"/>
      <c r="AE1319" s="413"/>
      <c r="AF1319" s="424">
        <f t="shared" si="292"/>
        <v>161280</v>
      </c>
      <c r="AG1319" s="405" t="s">
        <v>1069</v>
      </c>
      <c r="AH1319" s="405"/>
      <c r="AI1319" s="414">
        <v>60</v>
      </c>
      <c r="AJ1319" s="405" t="s">
        <v>1924</v>
      </c>
      <c r="AK1319" s="425" t="s">
        <v>50</v>
      </c>
      <c r="AL1319" s="405">
        <v>90620</v>
      </c>
      <c r="AM1319" s="405" t="s">
        <v>52</v>
      </c>
      <c r="AN1319" s="405" t="s">
        <v>1071</v>
      </c>
      <c r="AO1319" s="405"/>
      <c r="AP1319" s="417"/>
      <c r="AQ1319" s="417" t="s">
        <v>37</v>
      </c>
      <c r="AR1319" s="417"/>
      <c r="AS1319" s="426"/>
      <c r="AT1319" s="426"/>
      <c r="AU1319" s="409"/>
      <c r="AV1319" s="402">
        <f>U1319</f>
        <v>49403140</v>
      </c>
      <c r="AW1319" s="402" cm="1">
        <f t="array" ref="AW1319">SUM(MID(0&amp;AV1319,LARGE(INDEX(ISNUMBER(--MID(AV1319,ROW($1:$8),1))*ROW($1:$8),),ROW($1:$8))+1,1)*10^ROW($1:$8)/10)</f>
        <v>49403140</v>
      </c>
      <c r="AX1319" s="402" t="str">
        <f>VLOOKUP($AW1319,'Item Master Data'!$A:$F,3,FALSE)</f>
        <v>Q.PEAK DUO BLK ML G10+</v>
      </c>
      <c r="AY1319" s="402">
        <f>VLOOKUP($AW1319,'Item Master Data'!$A:$F,6,FALSE)</f>
        <v>400</v>
      </c>
      <c r="AZ1319" s="402">
        <f>X1319/BA1319</f>
        <v>24</v>
      </c>
      <c r="BA1319" s="402">
        <f>VLOOKUP(AW1319,'Item Master Data'!$A:$G,7,FALSE)</f>
        <v>32</v>
      </c>
      <c r="BC1319" s="402">
        <f>W1319-AY1319</f>
        <v>0</v>
      </c>
    </row>
    <row r="1320" spans="1:55" s="402" customFormat="1">
      <c r="A1320" s="403"/>
      <c r="B1320" s="445"/>
      <c r="C1320" s="445"/>
      <c r="D1320" s="416" t="s">
        <v>1914</v>
      </c>
      <c r="E1320" s="405"/>
      <c r="F1320" s="405"/>
      <c r="G1320" s="405">
        <v>2022</v>
      </c>
      <c r="H1320" s="405">
        <v>8</v>
      </c>
      <c r="I1320" s="416"/>
      <c r="J1320" s="406"/>
      <c r="K1320" s="414" t="s">
        <v>2172</v>
      </c>
      <c r="L1320" s="405" t="s">
        <v>1967</v>
      </c>
      <c r="M1320" s="418">
        <v>44512</v>
      </c>
      <c r="N1320" s="418">
        <v>44625</v>
      </c>
      <c r="O1320" s="418"/>
      <c r="P1320" s="406"/>
      <c r="Q1320" s="406"/>
      <c r="R1320" s="406"/>
      <c r="S1320" s="405" t="s">
        <v>1443</v>
      </c>
      <c r="T1320" s="405">
        <v>60</v>
      </c>
      <c r="U1320" s="405">
        <v>49401140</v>
      </c>
      <c r="V1320" s="405" t="s">
        <v>973</v>
      </c>
      <c r="W1320" s="405">
        <v>400</v>
      </c>
      <c r="X1320" s="407">
        <v>768</v>
      </c>
      <c r="Y1320" s="408">
        <f t="shared" si="296"/>
        <v>307200</v>
      </c>
      <c r="Z1320" s="409">
        <f>210/400</f>
        <v>0.52500000000000002</v>
      </c>
      <c r="AA1320" s="410">
        <f t="shared" si="291"/>
        <v>161280</v>
      </c>
      <c r="AB1320" s="411"/>
      <c r="AC1320" s="412">
        <v>0</v>
      </c>
      <c r="AD1320" s="421"/>
      <c r="AE1320" s="413"/>
      <c r="AF1320" s="424">
        <f t="shared" si="292"/>
        <v>161280</v>
      </c>
      <c r="AG1320" s="405" t="s">
        <v>1069</v>
      </c>
      <c r="AH1320" s="405"/>
      <c r="AI1320" s="414">
        <v>60</v>
      </c>
      <c r="AJ1320" s="405" t="s">
        <v>1969</v>
      </c>
      <c r="AK1320" s="425" t="s">
        <v>1125</v>
      </c>
      <c r="AL1320" s="405">
        <v>85008</v>
      </c>
      <c r="AM1320" s="405" t="s">
        <v>52</v>
      </c>
      <c r="AN1320" s="405"/>
      <c r="AO1320" s="405"/>
      <c r="AP1320" s="417"/>
      <c r="AQ1320" s="417" t="s">
        <v>37</v>
      </c>
      <c r="AR1320" s="417"/>
      <c r="AS1320" s="426"/>
      <c r="AT1320" s="426"/>
      <c r="AU1320" s="409"/>
      <c r="AV1320" s="402">
        <f>U1320</f>
        <v>49401140</v>
      </c>
      <c r="AW1320" s="402" cm="1">
        <f t="array" ref="AW1320">SUM(MID(0&amp;AV1320,LARGE(INDEX(ISNUMBER(--MID(AV1320,ROW($1:$8),1))*ROW($1:$8),),ROW($1:$8))+1,1)*10^ROW($1:$8)/10)</f>
        <v>49401140</v>
      </c>
      <c r="AX1320" s="402" t="str">
        <f>VLOOKUP($AW1320,'Item Master Data'!$A:$F,3,FALSE)</f>
        <v>Q.PEAK DUO BLK ML G10.a+</v>
      </c>
      <c r="AY1320" s="402">
        <f>VLOOKUP($AW1320,'Item Master Data'!$A:$F,6,FALSE)</f>
        <v>400</v>
      </c>
      <c r="AZ1320" s="402">
        <f>X1320/BA1320</f>
        <v>24</v>
      </c>
      <c r="BA1320" s="402">
        <f>VLOOKUP(AW1320,'Item Master Data'!$A:$G,7,FALSE)</f>
        <v>32</v>
      </c>
      <c r="BC1320" s="402">
        <f>W1320-AY1320</f>
        <v>0</v>
      </c>
    </row>
    <row r="1321" spans="1:55" s="402" customFormat="1">
      <c r="A1321" s="403"/>
      <c r="B1321" s="445">
        <v>44557</v>
      </c>
      <c r="C1321" s="445">
        <v>44587</v>
      </c>
      <c r="D1321" s="416" t="s">
        <v>1914</v>
      </c>
      <c r="E1321" s="405" t="s">
        <v>1239</v>
      </c>
      <c r="F1321" s="405"/>
      <c r="G1321" s="405">
        <v>2022</v>
      </c>
      <c r="H1321" s="405">
        <v>8</v>
      </c>
      <c r="I1321" s="416"/>
      <c r="J1321" s="406"/>
      <c r="K1321" s="414" t="s">
        <v>2200</v>
      </c>
      <c r="L1321" s="405" t="s">
        <v>1967</v>
      </c>
      <c r="M1321" s="418">
        <v>44545</v>
      </c>
      <c r="N1321" s="418">
        <v>44781</v>
      </c>
      <c r="O1321" s="418"/>
      <c r="P1321" s="406"/>
      <c r="Q1321" s="406"/>
      <c r="R1321" s="406"/>
      <c r="S1321" s="405" t="s">
        <v>1443</v>
      </c>
      <c r="T1321" s="405">
        <v>60</v>
      </c>
      <c r="U1321" s="405">
        <v>49204132</v>
      </c>
      <c r="V1321" s="405" t="s">
        <v>1192</v>
      </c>
      <c r="W1321" s="405">
        <v>360</v>
      </c>
      <c r="X1321" s="407">
        <v>624</v>
      </c>
      <c r="Y1321" s="408">
        <f t="shared" si="296"/>
        <v>224640</v>
      </c>
      <c r="Z1321" s="409">
        <v>0.79</v>
      </c>
      <c r="AA1321" s="410">
        <f t="shared" si="291"/>
        <v>177465.60000000001</v>
      </c>
      <c r="AB1321" s="411"/>
      <c r="AC1321" s="412">
        <v>0</v>
      </c>
      <c r="AD1321" s="421"/>
      <c r="AE1321" s="413"/>
      <c r="AF1321" s="424">
        <f t="shared" si="292"/>
        <v>177465.60000000001</v>
      </c>
      <c r="AG1321" s="405" t="s">
        <v>1069</v>
      </c>
      <c r="AH1321" s="405"/>
      <c r="AI1321" s="414" t="s">
        <v>1962</v>
      </c>
      <c r="AJ1321" s="405" t="s">
        <v>1969</v>
      </c>
      <c r="AK1321" s="425" t="s">
        <v>1125</v>
      </c>
      <c r="AL1321" s="405">
        <v>85008</v>
      </c>
      <c r="AM1321" s="405" t="s">
        <v>52</v>
      </c>
      <c r="AN1321" s="405" t="s">
        <v>1071</v>
      </c>
      <c r="AO1321" s="405"/>
      <c r="AP1321" s="417"/>
      <c r="AQ1321" s="417" t="s">
        <v>37</v>
      </c>
      <c r="AR1321" s="417"/>
      <c r="AS1321" s="426"/>
      <c r="AT1321" s="426"/>
      <c r="AU1321" s="409"/>
      <c r="AV1321" s="402">
        <f>U1321</f>
        <v>49204132</v>
      </c>
      <c r="AW1321" s="402" cm="1">
        <f t="array" ref="AW1321">SUM(MID(0&amp;AV1321,LARGE(INDEX(ISNUMBER(--MID(AV1321,ROW($1:$8),1))*ROW($1:$8),),ROW($1:$8))+1,1)*10^ROW($1:$8)/10)</f>
        <v>49204132</v>
      </c>
      <c r="AX1321" s="402" t="str">
        <f>VLOOKUP($AW1321,'Item Master Data'!$A:$F,3,FALSE)</f>
        <v>Q.PEAK DUO BLK G10+/AC</v>
      </c>
      <c r="AY1321" s="402">
        <f>VLOOKUP($AW1321,'Item Master Data'!$A:$F,6,FALSE)</f>
        <v>360</v>
      </c>
      <c r="AZ1321" s="402">
        <f>X1321/BA1321</f>
        <v>24</v>
      </c>
      <c r="BA1321" s="402">
        <f>VLOOKUP(AW1321,'Item Master Data'!$A:$G,7,FALSE)</f>
        <v>26</v>
      </c>
      <c r="BC1321" s="402">
        <f>W1321-AY1321</f>
        <v>0</v>
      </c>
    </row>
    <row r="1322" spans="1:55" s="402" customFormat="1">
      <c r="A1322" s="403"/>
      <c r="B1322" s="445">
        <v>44557</v>
      </c>
      <c r="C1322" s="445">
        <v>44587</v>
      </c>
      <c r="D1322" s="416" t="s">
        <v>1914</v>
      </c>
      <c r="E1322" s="405" t="s">
        <v>1239</v>
      </c>
      <c r="F1322" s="405"/>
      <c r="G1322" s="405">
        <v>2022</v>
      </c>
      <c r="H1322" s="405">
        <v>8</v>
      </c>
      <c r="I1322" s="416"/>
      <c r="J1322" s="406"/>
      <c r="K1322" s="414" t="s">
        <v>2201</v>
      </c>
      <c r="L1322" s="405" t="s">
        <v>1967</v>
      </c>
      <c r="M1322" s="418">
        <v>44545</v>
      </c>
      <c r="N1322" s="418">
        <v>44789</v>
      </c>
      <c r="O1322" s="418"/>
      <c r="P1322" s="406"/>
      <c r="Q1322" s="406"/>
      <c r="R1322" s="406"/>
      <c r="S1322" s="405" t="s">
        <v>1443</v>
      </c>
      <c r="T1322" s="405">
        <v>60</v>
      </c>
      <c r="U1322" s="405">
        <v>49204132</v>
      </c>
      <c r="V1322" s="405" t="s">
        <v>1192</v>
      </c>
      <c r="W1322" s="405">
        <v>360</v>
      </c>
      <c r="X1322" s="407">
        <v>624</v>
      </c>
      <c r="Y1322" s="408">
        <f t="shared" si="296"/>
        <v>224640</v>
      </c>
      <c r="Z1322" s="409">
        <v>0.79</v>
      </c>
      <c r="AA1322" s="410">
        <f t="shared" si="291"/>
        <v>177465.60000000001</v>
      </c>
      <c r="AB1322" s="411"/>
      <c r="AC1322" s="412">
        <v>0</v>
      </c>
      <c r="AD1322" s="421"/>
      <c r="AE1322" s="413"/>
      <c r="AF1322" s="424">
        <f t="shared" si="292"/>
        <v>177465.60000000001</v>
      </c>
      <c r="AG1322" s="405" t="s">
        <v>1069</v>
      </c>
      <c r="AH1322" s="405"/>
      <c r="AI1322" s="414" t="s">
        <v>1962</v>
      </c>
      <c r="AJ1322" s="405" t="s">
        <v>1969</v>
      </c>
      <c r="AK1322" s="425" t="s">
        <v>1125</v>
      </c>
      <c r="AL1322" s="405">
        <v>85008</v>
      </c>
      <c r="AM1322" s="405" t="s">
        <v>52</v>
      </c>
      <c r="AN1322" s="405" t="s">
        <v>1071</v>
      </c>
      <c r="AO1322" s="405"/>
      <c r="AP1322" s="417"/>
      <c r="AQ1322" s="417" t="s">
        <v>37</v>
      </c>
      <c r="AR1322" s="417"/>
      <c r="AS1322" s="426"/>
      <c r="AT1322" s="426"/>
      <c r="AU1322" s="409"/>
    </row>
    <row r="1323" spans="1:55" s="402" customFormat="1">
      <c r="A1323" s="403"/>
      <c r="B1323" s="445">
        <v>44557</v>
      </c>
      <c r="C1323" s="445">
        <v>44587</v>
      </c>
      <c r="D1323" s="416" t="s">
        <v>1914</v>
      </c>
      <c r="E1323" s="405" t="s">
        <v>1239</v>
      </c>
      <c r="F1323" s="405"/>
      <c r="G1323" s="405">
        <v>2022</v>
      </c>
      <c r="H1323" s="405">
        <v>8</v>
      </c>
      <c r="I1323" s="416"/>
      <c r="J1323" s="406"/>
      <c r="K1323" s="414" t="s">
        <v>2202</v>
      </c>
      <c r="L1323" s="405" t="s">
        <v>2004</v>
      </c>
      <c r="M1323" s="418">
        <v>44545</v>
      </c>
      <c r="N1323" s="418">
        <v>44778</v>
      </c>
      <c r="O1323" s="418"/>
      <c r="P1323" s="406"/>
      <c r="Q1323" s="406"/>
      <c r="R1323" s="406"/>
      <c r="S1323" s="405" t="s">
        <v>1443</v>
      </c>
      <c r="T1323" s="405">
        <v>60</v>
      </c>
      <c r="U1323" s="405">
        <v>49204132</v>
      </c>
      <c r="V1323" s="405" t="s">
        <v>1192</v>
      </c>
      <c r="W1323" s="405">
        <v>360</v>
      </c>
      <c r="X1323" s="407">
        <v>832</v>
      </c>
      <c r="Y1323" s="408">
        <f t="shared" si="296"/>
        <v>299520</v>
      </c>
      <c r="Z1323" s="409">
        <v>0.78999999999999992</v>
      </c>
      <c r="AA1323" s="410">
        <f t="shared" si="291"/>
        <v>236620.79999999999</v>
      </c>
      <c r="AB1323" s="411"/>
      <c r="AC1323" s="412">
        <v>0</v>
      </c>
      <c r="AD1323" s="421"/>
      <c r="AE1323" s="413"/>
      <c r="AF1323" s="424">
        <f t="shared" si="292"/>
        <v>236620.79999999999</v>
      </c>
      <c r="AG1323" s="405" t="s">
        <v>1069</v>
      </c>
      <c r="AH1323" s="405"/>
      <c r="AI1323" s="414" t="s">
        <v>1962</v>
      </c>
      <c r="AJ1323" s="405" t="s">
        <v>1968</v>
      </c>
      <c r="AK1323" s="425" t="s">
        <v>1599</v>
      </c>
      <c r="AL1323" s="405">
        <v>97210</v>
      </c>
      <c r="AM1323" s="405" t="s">
        <v>52</v>
      </c>
      <c r="AN1323" s="405"/>
      <c r="AO1323" s="405"/>
      <c r="AP1323" s="417"/>
      <c r="AQ1323" s="417" t="s">
        <v>37</v>
      </c>
      <c r="AR1323" s="417"/>
      <c r="AS1323" s="426"/>
      <c r="AT1323" s="426"/>
      <c r="AU1323" s="409"/>
      <c r="AV1323" s="402">
        <f>U1323</f>
        <v>49204132</v>
      </c>
      <c r="AW1323" s="402" cm="1">
        <f t="array" ref="AW1323">SUM(MID(0&amp;AV1323,LARGE(INDEX(ISNUMBER(--MID(AV1323,ROW($1:$8),1))*ROW($1:$8),),ROW($1:$8))+1,1)*10^ROW($1:$8)/10)</f>
        <v>49204132</v>
      </c>
      <c r="AX1323" s="402" t="str">
        <f>VLOOKUP($AW1323,'Item Master Data'!$A:$F,3,FALSE)</f>
        <v>Q.PEAK DUO BLK G10+/AC</v>
      </c>
      <c r="AY1323" s="402">
        <f>VLOOKUP($AW1323,'Item Master Data'!$A:$F,6,FALSE)</f>
        <v>360</v>
      </c>
      <c r="AZ1323" s="402">
        <f>X1323/BA1323</f>
        <v>32</v>
      </c>
      <c r="BA1323" s="402">
        <f>VLOOKUP(AW1323,'Item Master Data'!$A:$G,7,FALSE)</f>
        <v>26</v>
      </c>
      <c r="BC1323" s="402">
        <f>W1323-AY1323</f>
        <v>0</v>
      </c>
    </row>
    <row r="1324" spans="1:55" s="402" customFormat="1">
      <c r="A1324" s="403"/>
      <c r="B1324" s="445">
        <v>44557</v>
      </c>
      <c r="C1324" s="445">
        <v>44587</v>
      </c>
      <c r="D1324" s="416" t="s">
        <v>1914</v>
      </c>
      <c r="E1324" s="405" t="s">
        <v>1239</v>
      </c>
      <c r="F1324" s="405"/>
      <c r="G1324" s="405">
        <v>2022</v>
      </c>
      <c r="H1324" s="405">
        <v>8</v>
      </c>
      <c r="I1324" s="416"/>
      <c r="J1324" s="406"/>
      <c r="K1324" s="414" t="s">
        <v>2203</v>
      </c>
      <c r="L1324" s="405" t="s">
        <v>2004</v>
      </c>
      <c r="M1324" s="418">
        <v>44544</v>
      </c>
      <c r="N1324" s="418">
        <v>44787</v>
      </c>
      <c r="O1324" s="418"/>
      <c r="P1324" s="406"/>
      <c r="Q1324" s="406"/>
      <c r="R1324" s="406"/>
      <c r="S1324" s="405" t="s">
        <v>1443</v>
      </c>
      <c r="T1324" s="405">
        <v>60</v>
      </c>
      <c r="U1324" s="405">
        <v>49204132</v>
      </c>
      <c r="V1324" s="405" t="s">
        <v>1192</v>
      </c>
      <c r="W1324" s="405">
        <v>360</v>
      </c>
      <c r="X1324" s="407">
        <v>832</v>
      </c>
      <c r="Y1324" s="408">
        <f t="shared" si="296"/>
        <v>299520</v>
      </c>
      <c r="Z1324" s="409">
        <v>0.78999999999999992</v>
      </c>
      <c r="AA1324" s="410">
        <f t="shared" si="291"/>
        <v>236620.79999999999</v>
      </c>
      <c r="AB1324" s="411"/>
      <c r="AC1324" s="412">
        <v>0</v>
      </c>
      <c r="AD1324" s="421"/>
      <c r="AE1324" s="413"/>
      <c r="AF1324" s="424">
        <f t="shared" si="292"/>
        <v>236620.79999999999</v>
      </c>
      <c r="AG1324" s="405" t="s">
        <v>1069</v>
      </c>
      <c r="AH1324" s="405"/>
      <c r="AI1324" s="414" t="s">
        <v>1962</v>
      </c>
      <c r="AJ1324" s="405" t="s">
        <v>1968</v>
      </c>
      <c r="AK1324" s="425" t="s">
        <v>1599</v>
      </c>
      <c r="AL1324" s="405">
        <v>97210</v>
      </c>
      <c r="AM1324" s="405" t="s">
        <v>52</v>
      </c>
      <c r="AN1324" s="405"/>
      <c r="AO1324" s="405"/>
      <c r="AP1324" s="417"/>
      <c r="AQ1324" s="417" t="s">
        <v>37</v>
      </c>
      <c r="AR1324" s="417"/>
      <c r="AS1324" s="426"/>
      <c r="AT1324" s="426"/>
      <c r="AU1324" s="409"/>
      <c r="AV1324" s="402">
        <f>U1324</f>
        <v>49204132</v>
      </c>
      <c r="AW1324" s="402" cm="1">
        <f t="array" ref="AW1324">SUM(MID(0&amp;AV1324,LARGE(INDEX(ISNUMBER(--MID(AV1324,ROW($1:$8),1))*ROW($1:$8),),ROW($1:$8))+1,1)*10^ROW($1:$8)/10)</f>
        <v>49204132</v>
      </c>
      <c r="AX1324" s="402" t="str">
        <f>VLOOKUP($AW1324,'Item Master Data'!$A:$F,3,FALSE)</f>
        <v>Q.PEAK DUO BLK G10+/AC</v>
      </c>
      <c r="AY1324" s="402">
        <f>VLOOKUP($AW1324,'Item Master Data'!$A:$F,6,FALSE)</f>
        <v>360</v>
      </c>
      <c r="AZ1324" s="402">
        <f>X1324/BA1324</f>
        <v>32</v>
      </c>
      <c r="BA1324" s="402">
        <f>VLOOKUP(AW1324,'Item Master Data'!$A:$G,7,FALSE)</f>
        <v>26</v>
      </c>
      <c r="BC1324" s="402">
        <f>W1324-AY1324</f>
        <v>0</v>
      </c>
    </row>
    <row r="1325" spans="1:55" s="402" customFormat="1">
      <c r="A1325" s="403"/>
      <c r="B1325" s="445">
        <v>44557</v>
      </c>
      <c r="C1325" s="445">
        <v>44587</v>
      </c>
      <c r="D1325" s="416" t="s">
        <v>1914</v>
      </c>
      <c r="E1325" s="405" t="s">
        <v>1239</v>
      </c>
      <c r="F1325" s="405"/>
      <c r="G1325" s="405">
        <v>2022</v>
      </c>
      <c r="H1325" s="405">
        <v>8</v>
      </c>
      <c r="I1325" s="416"/>
      <c r="J1325" s="406"/>
      <c r="K1325" s="414" t="s">
        <v>2204</v>
      </c>
      <c r="L1325" s="405" t="s">
        <v>2004</v>
      </c>
      <c r="M1325" s="418">
        <v>44545</v>
      </c>
      <c r="N1325" s="418">
        <v>44778</v>
      </c>
      <c r="O1325" s="418"/>
      <c r="P1325" s="406"/>
      <c r="Q1325" s="406"/>
      <c r="R1325" s="406"/>
      <c r="S1325" s="405" t="s">
        <v>1443</v>
      </c>
      <c r="T1325" s="405">
        <v>60</v>
      </c>
      <c r="U1325" s="405">
        <v>49204132</v>
      </c>
      <c r="V1325" s="405" t="s">
        <v>1192</v>
      </c>
      <c r="W1325" s="405">
        <v>360</v>
      </c>
      <c r="X1325" s="407">
        <v>624</v>
      </c>
      <c r="Y1325" s="408">
        <f t="shared" si="296"/>
        <v>224640</v>
      </c>
      <c r="Z1325" s="409">
        <v>0.78999999999999992</v>
      </c>
      <c r="AA1325" s="410">
        <f t="shared" si="291"/>
        <v>177465.59999999998</v>
      </c>
      <c r="AB1325" s="411"/>
      <c r="AC1325" s="412">
        <v>0</v>
      </c>
      <c r="AD1325" s="421"/>
      <c r="AE1325" s="413"/>
      <c r="AF1325" s="424">
        <f t="shared" si="292"/>
        <v>177465.59999999998</v>
      </c>
      <c r="AG1325" s="405" t="s">
        <v>1069</v>
      </c>
      <c r="AH1325" s="405"/>
      <c r="AI1325" s="414" t="s">
        <v>1962</v>
      </c>
      <c r="AJ1325" s="405" t="s">
        <v>1616</v>
      </c>
      <c r="AK1325" s="425" t="s">
        <v>50</v>
      </c>
      <c r="AL1325" s="405">
        <v>93722</v>
      </c>
      <c r="AM1325" s="405" t="s">
        <v>52</v>
      </c>
      <c r="AN1325" s="405"/>
      <c r="AO1325" s="405"/>
      <c r="AP1325" s="417"/>
      <c r="AQ1325" s="417" t="s">
        <v>37</v>
      </c>
      <c r="AR1325" s="417"/>
      <c r="AS1325" s="426"/>
      <c r="AT1325" s="426"/>
      <c r="AU1325" s="409"/>
      <c r="AV1325" s="402">
        <f>U1325</f>
        <v>49204132</v>
      </c>
      <c r="AW1325" s="402" cm="1">
        <f t="array" ref="AW1325">SUM(MID(0&amp;AV1325,LARGE(INDEX(ISNUMBER(--MID(AV1325,ROW($1:$8),1))*ROW($1:$8),),ROW($1:$8))+1,1)*10^ROW($1:$8)/10)</f>
        <v>49204132</v>
      </c>
      <c r="AX1325" s="402" t="str">
        <f>VLOOKUP($AW1325,'Item Master Data'!$A:$F,3,FALSE)</f>
        <v>Q.PEAK DUO BLK G10+/AC</v>
      </c>
      <c r="AY1325" s="402">
        <f>VLOOKUP($AW1325,'Item Master Data'!$A:$F,6,FALSE)</f>
        <v>360</v>
      </c>
      <c r="AZ1325" s="402">
        <f>X1325/BA1325</f>
        <v>24</v>
      </c>
      <c r="BA1325" s="402">
        <f>VLOOKUP(AW1325,'Item Master Data'!$A:$G,7,FALSE)</f>
        <v>26</v>
      </c>
      <c r="BC1325" s="402">
        <f>W1325-AY1325</f>
        <v>0</v>
      </c>
    </row>
    <row r="1326" spans="1:55" s="402" customFormat="1">
      <c r="A1326" s="403"/>
      <c r="B1326" s="445"/>
      <c r="C1326" s="445">
        <v>44636</v>
      </c>
      <c r="D1326" s="416" t="s">
        <v>1914</v>
      </c>
      <c r="E1326" s="405"/>
      <c r="F1326" s="405"/>
      <c r="G1326" s="405">
        <v>2022</v>
      </c>
      <c r="H1326" s="405">
        <v>9</v>
      </c>
      <c r="I1326" s="416"/>
      <c r="J1326" s="406"/>
      <c r="K1326" s="414" t="s">
        <v>2084</v>
      </c>
      <c r="L1326" s="405" t="s">
        <v>2085</v>
      </c>
      <c r="M1326" s="418">
        <v>44628</v>
      </c>
      <c r="N1326" s="418">
        <v>44809</v>
      </c>
      <c r="O1326" s="418"/>
      <c r="P1326" s="406"/>
      <c r="Q1326" s="406"/>
      <c r="R1326" s="406"/>
      <c r="S1326" s="405" t="s">
        <v>1443</v>
      </c>
      <c r="T1326" s="405">
        <v>72</v>
      </c>
      <c r="U1326" s="405"/>
      <c r="V1326" s="405" t="s">
        <v>1103</v>
      </c>
      <c r="W1326" s="405">
        <v>480</v>
      </c>
      <c r="X1326" s="407">
        <v>832</v>
      </c>
      <c r="Y1326" s="408">
        <f t="shared" si="296"/>
        <v>399360</v>
      </c>
      <c r="Z1326" s="409">
        <f>237.6/480</f>
        <v>0.495</v>
      </c>
      <c r="AA1326" s="410">
        <f t="shared" si="291"/>
        <v>197683.20000000001</v>
      </c>
      <c r="AB1326" s="411"/>
      <c r="AC1326" s="412">
        <f>AB1326*Y1326</f>
        <v>0</v>
      </c>
      <c r="AD1326" s="421"/>
      <c r="AE1326" s="413"/>
      <c r="AF1326" s="424">
        <f t="shared" si="292"/>
        <v>197683.20000000001</v>
      </c>
      <c r="AG1326" s="405" t="s">
        <v>47</v>
      </c>
      <c r="AH1326" s="405"/>
      <c r="AI1326" s="414" t="s">
        <v>1916</v>
      </c>
      <c r="AJ1326" s="405" t="s">
        <v>2086</v>
      </c>
      <c r="AK1326" s="425" t="s">
        <v>1292</v>
      </c>
      <c r="AL1326" s="405">
        <v>17026</v>
      </c>
      <c r="AM1326" s="405" t="s">
        <v>52</v>
      </c>
      <c r="AN1326" s="405" t="s">
        <v>1071</v>
      </c>
      <c r="AO1326" s="405"/>
      <c r="AP1326" s="417"/>
      <c r="AQ1326" s="417" t="s">
        <v>37</v>
      </c>
      <c r="AR1326" s="417"/>
      <c r="AS1326" s="426"/>
      <c r="AT1326" s="426"/>
      <c r="AU1326" s="409"/>
    </row>
    <row r="1327" spans="1:55" s="402" customFormat="1">
      <c r="A1327" s="403"/>
      <c r="B1327" s="445"/>
      <c r="C1327" s="445">
        <v>44636</v>
      </c>
      <c r="D1327" s="416" t="s">
        <v>1914</v>
      </c>
      <c r="E1327" s="405"/>
      <c r="F1327" s="405"/>
      <c r="G1327" s="405">
        <v>2022</v>
      </c>
      <c r="H1327" s="405">
        <v>9</v>
      </c>
      <c r="I1327" s="416"/>
      <c r="J1327" s="406"/>
      <c r="K1327" s="414" t="s">
        <v>2141</v>
      </c>
      <c r="L1327" s="405" t="s">
        <v>2085</v>
      </c>
      <c r="M1327" s="418">
        <v>44628</v>
      </c>
      <c r="N1327" s="418">
        <v>44809</v>
      </c>
      <c r="O1327" s="418"/>
      <c r="P1327" s="406"/>
      <c r="Q1327" s="406"/>
      <c r="R1327" s="406"/>
      <c r="S1327" s="405" t="s">
        <v>1443</v>
      </c>
      <c r="T1327" s="405">
        <v>72</v>
      </c>
      <c r="U1327" s="405"/>
      <c r="V1327" s="405" t="s">
        <v>1103</v>
      </c>
      <c r="W1327" s="405">
        <v>480</v>
      </c>
      <c r="X1327" s="407">
        <v>832</v>
      </c>
      <c r="Y1327" s="408">
        <f t="shared" si="296"/>
        <v>399360</v>
      </c>
      <c r="Z1327" s="409">
        <f>237.6/480</f>
        <v>0.495</v>
      </c>
      <c r="AA1327" s="410">
        <f t="shared" si="291"/>
        <v>197683.20000000001</v>
      </c>
      <c r="AB1327" s="411"/>
      <c r="AC1327" s="412">
        <f>AB1327*Y1327</f>
        <v>0</v>
      </c>
      <c r="AD1327" s="421"/>
      <c r="AE1327" s="413"/>
      <c r="AF1327" s="424">
        <f t="shared" si="292"/>
        <v>197683.20000000001</v>
      </c>
      <c r="AG1327" s="405" t="s">
        <v>47</v>
      </c>
      <c r="AH1327" s="405"/>
      <c r="AI1327" s="414" t="s">
        <v>1916</v>
      </c>
      <c r="AJ1327" s="405" t="s">
        <v>1609</v>
      </c>
      <c r="AK1327" s="425" t="s">
        <v>50</v>
      </c>
      <c r="AL1327" s="405">
        <v>93291</v>
      </c>
      <c r="AM1327" s="405" t="s">
        <v>52</v>
      </c>
      <c r="AN1327" s="405" t="s">
        <v>1071</v>
      </c>
      <c r="AO1327" s="405"/>
      <c r="AP1327" s="417"/>
      <c r="AQ1327" s="417" t="s">
        <v>37</v>
      </c>
      <c r="AR1327" s="417"/>
      <c r="AS1327" s="426"/>
      <c r="AT1327" s="426"/>
      <c r="AU1327" s="409"/>
    </row>
    <row r="1328" spans="1:55" s="402" customFormat="1">
      <c r="A1328" s="403"/>
      <c r="B1328" s="445">
        <v>44547</v>
      </c>
      <c r="C1328" s="445">
        <v>44593</v>
      </c>
      <c r="D1328" s="416" t="s">
        <v>1914</v>
      </c>
      <c r="E1328" s="405"/>
      <c r="F1328" s="405"/>
      <c r="G1328" s="405">
        <v>2022</v>
      </c>
      <c r="H1328" s="405">
        <v>9</v>
      </c>
      <c r="I1328" s="416"/>
      <c r="J1328" s="406"/>
      <c r="K1328" s="414" t="s">
        <v>2173</v>
      </c>
      <c r="L1328" s="405" t="s">
        <v>1514</v>
      </c>
      <c r="M1328" s="418">
        <v>44504</v>
      </c>
      <c r="N1328" s="418">
        <v>44683</v>
      </c>
      <c r="O1328" s="418"/>
      <c r="P1328" s="406"/>
      <c r="Q1328" s="406"/>
      <c r="R1328" s="406"/>
      <c r="S1328" s="405" t="s">
        <v>1923</v>
      </c>
      <c r="T1328" s="405">
        <v>60</v>
      </c>
      <c r="U1328" s="405" t="s">
        <v>1237</v>
      </c>
      <c r="V1328" s="405" t="s">
        <v>973</v>
      </c>
      <c r="W1328" s="405">
        <v>400</v>
      </c>
      <c r="X1328" s="407">
        <v>768</v>
      </c>
      <c r="Y1328" s="408">
        <f t="shared" si="296"/>
        <v>307200</v>
      </c>
      <c r="Z1328" s="409">
        <f>220/400</f>
        <v>0.55000000000000004</v>
      </c>
      <c r="AA1328" s="410">
        <f t="shared" si="291"/>
        <v>168960</v>
      </c>
      <c r="AB1328" s="411"/>
      <c r="AC1328" s="412">
        <f>AB1328*Y1328</f>
        <v>0</v>
      </c>
      <c r="AD1328" s="421"/>
      <c r="AE1328" s="413"/>
      <c r="AF1328" s="424">
        <f t="shared" si="292"/>
        <v>168960</v>
      </c>
      <c r="AG1328" s="405" t="s">
        <v>1069</v>
      </c>
      <c r="AH1328" s="405">
        <v>0</v>
      </c>
      <c r="AI1328" s="414">
        <v>60</v>
      </c>
      <c r="AJ1328" s="405" t="s">
        <v>1515</v>
      </c>
      <c r="AK1328" s="425" t="s">
        <v>50</v>
      </c>
      <c r="AL1328" s="405" t="s">
        <v>1529</v>
      </c>
      <c r="AM1328" s="405" t="s">
        <v>52</v>
      </c>
      <c r="AN1328" s="405" t="s">
        <v>1071</v>
      </c>
      <c r="AO1328" s="405"/>
      <c r="AP1328" s="417"/>
      <c r="AQ1328" s="417"/>
      <c r="AR1328" s="417" t="s">
        <v>1925</v>
      </c>
      <c r="AS1328" s="426"/>
      <c r="AT1328" s="426"/>
      <c r="AU1328" s="409">
        <v>0.48</v>
      </c>
      <c r="AV1328" s="402" t="str">
        <f t="shared" ref="AV1328:AV1338" si="297">U1328</f>
        <v>30390456H</v>
      </c>
      <c r="AW1328" s="402" cm="1">
        <f t="array" ref="AW1328">SUM(MID(0&amp;AV1328,LARGE(INDEX(ISNUMBER(--MID(AV1328,ROW($1:$8),1))*ROW($1:$8),),ROW($1:$8))+1,1)*10^ROW($1:$8)/10)</f>
        <v>30390456</v>
      </c>
      <c r="AX1328" s="402" t="str">
        <f>VLOOKUP($AW1328,'Item Master Data'!$A:$F,3,FALSE)</f>
        <v>Q.PEAK DUO BLK ML G10+</v>
      </c>
      <c r="AY1328" s="402">
        <f>VLOOKUP($AW1328,'Item Master Data'!$A:$F,6,FALSE)</f>
        <v>400</v>
      </c>
      <c r="AZ1328" s="402">
        <f t="shared" ref="AZ1328:AZ1338" si="298">X1328/BA1328</f>
        <v>24</v>
      </c>
      <c r="BA1328" s="402">
        <f>VLOOKUP(AW1328,'Item Master Data'!$A:$G,7,FALSE)</f>
        <v>32</v>
      </c>
      <c r="BC1328" s="402">
        <f t="shared" ref="BC1328:BC1338" si="299">W1328-AY1328</f>
        <v>0</v>
      </c>
    </row>
    <row r="1329" spans="1:55" s="402" customFormat="1">
      <c r="A1329" s="403"/>
      <c r="B1329" s="445"/>
      <c r="C1329" s="445"/>
      <c r="D1329" s="416" t="s">
        <v>1914</v>
      </c>
      <c r="E1329" s="405"/>
      <c r="F1329" s="405" t="s">
        <v>1139</v>
      </c>
      <c r="G1329" s="405">
        <v>2022</v>
      </c>
      <c r="H1329" s="405">
        <v>9</v>
      </c>
      <c r="I1329" s="416"/>
      <c r="J1329" s="406"/>
      <c r="K1329" s="414" t="s">
        <v>2119</v>
      </c>
      <c r="L1329" s="405" t="s">
        <v>1682</v>
      </c>
      <c r="M1329" s="418">
        <v>44505</v>
      </c>
      <c r="N1329" s="418">
        <v>44718</v>
      </c>
      <c r="O1329" s="418"/>
      <c r="P1329" s="406"/>
      <c r="Q1329" s="406"/>
      <c r="R1329" s="406"/>
      <c r="S1329" s="405" t="s">
        <v>1923</v>
      </c>
      <c r="T1329" s="405">
        <v>60</v>
      </c>
      <c r="U1329" s="405" t="s">
        <v>1237</v>
      </c>
      <c r="V1329" s="405" t="s">
        <v>973</v>
      </c>
      <c r="W1329" s="405">
        <v>400</v>
      </c>
      <c r="X1329" s="407">
        <v>768</v>
      </c>
      <c r="Y1329" s="408">
        <f t="shared" si="296"/>
        <v>307200</v>
      </c>
      <c r="Z1329" s="409">
        <f>220/400</f>
        <v>0.55000000000000004</v>
      </c>
      <c r="AA1329" s="410">
        <f t="shared" si="291"/>
        <v>168960</v>
      </c>
      <c r="AB1329" s="411"/>
      <c r="AC1329" s="412">
        <v>0</v>
      </c>
      <c r="AD1329" s="421"/>
      <c r="AE1329" s="413"/>
      <c r="AF1329" s="424">
        <f t="shared" si="292"/>
        <v>168960</v>
      </c>
      <c r="AG1329" s="405" t="s">
        <v>1069</v>
      </c>
      <c r="AH1329" s="405">
        <v>0</v>
      </c>
      <c r="AI1329" s="414">
        <v>60</v>
      </c>
      <c r="AJ1329" s="405" t="s">
        <v>1684</v>
      </c>
      <c r="AK1329" s="425" t="s">
        <v>50</v>
      </c>
      <c r="AL1329" s="405" t="s">
        <v>1685</v>
      </c>
      <c r="AM1329" s="405" t="s">
        <v>52</v>
      </c>
      <c r="AN1329" s="405" t="s">
        <v>1071</v>
      </c>
      <c r="AO1329" s="405"/>
      <c r="AP1329" s="417"/>
      <c r="AQ1329" s="417"/>
      <c r="AR1329" s="417" t="s">
        <v>1925</v>
      </c>
      <c r="AS1329" s="426"/>
      <c r="AT1329" s="426"/>
      <c r="AU1329" s="409">
        <v>0.48</v>
      </c>
      <c r="AV1329" s="402" t="str">
        <f t="shared" si="297"/>
        <v>30390456H</v>
      </c>
      <c r="AW1329" s="402" cm="1">
        <f t="array" ref="AW1329">SUM(MID(0&amp;AV1329,LARGE(INDEX(ISNUMBER(--MID(AV1329,ROW($1:$8),1))*ROW($1:$8),),ROW($1:$8))+1,1)*10^ROW($1:$8)/10)</f>
        <v>30390456</v>
      </c>
      <c r="AX1329" s="402" t="str">
        <f>VLOOKUP($AW1329,'Item Master Data'!$A:$F,3,FALSE)</f>
        <v>Q.PEAK DUO BLK ML G10+</v>
      </c>
      <c r="AY1329" s="402">
        <f>VLOOKUP($AW1329,'Item Master Data'!$A:$F,6,FALSE)</f>
        <v>400</v>
      </c>
      <c r="AZ1329" s="402">
        <f t="shared" si="298"/>
        <v>24</v>
      </c>
      <c r="BA1329" s="402">
        <f>VLOOKUP(AW1329,'Item Master Data'!$A:$G,7,FALSE)</f>
        <v>32</v>
      </c>
      <c r="BC1329" s="402">
        <f t="shared" si="299"/>
        <v>0</v>
      </c>
    </row>
    <row r="1330" spans="1:55" s="402" customFormat="1">
      <c r="A1330" s="403"/>
      <c r="B1330" s="445"/>
      <c r="C1330" s="445"/>
      <c r="D1330" s="416" t="s">
        <v>1914</v>
      </c>
      <c r="E1330" s="405" t="s">
        <v>2120</v>
      </c>
      <c r="F1330" s="405"/>
      <c r="G1330" s="405">
        <v>2022</v>
      </c>
      <c r="H1330" s="405">
        <v>9</v>
      </c>
      <c r="I1330" s="416"/>
      <c r="J1330" s="406"/>
      <c r="K1330" s="414" t="s">
        <v>2143</v>
      </c>
      <c r="L1330" s="405" t="s">
        <v>1682</v>
      </c>
      <c r="M1330" s="418">
        <v>44642</v>
      </c>
      <c r="N1330" s="418">
        <v>44746</v>
      </c>
      <c r="O1330" s="418"/>
      <c r="P1330" s="406"/>
      <c r="Q1330" s="406"/>
      <c r="R1330" s="406"/>
      <c r="S1330" s="405" t="s">
        <v>1443</v>
      </c>
      <c r="T1330" s="405">
        <v>60</v>
      </c>
      <c r="U1330" s="405" t="s">
        <v>1237</v>
      </c>
      <c r="V1330" s="405" t="s">
        <v>973</v>
      </c>
      <c r="W1330" s="405">
        <v>400</v>
      </c>
      <c r="X1330" s="407">
        <v>2496</v>
      </c>
      <c r="Y1330" s="408">
        <f t="shared" si="296"/>
        <v>998400</v>
      </c>
      <c r="Z1330" s="409">
        <f>220/400</f>
        <v>0.55000000000000004</v>
      </c>
      <c r="AA1330" s="410">
        <f t="shared" si="291"/>
        <v>549120</v>
      </c>
      <c r="AB1330" s="411"/>
      <c r="AC1330" s="412">
        <f>AB1330*Y1330</f>
        <v>0</v>
      </c>
      <c r="AD1330" s="421"/>
      <c r="AE1330" s="413"/>
      <c r="AF1330" s="424">
        <f t="shared" si="292"/>
        <v>549120</v>
      </c>
      <c r="AG1330" s="405" t="s">
        <v>1069</v>
      </c>
      <c r="AH1330" s="405"/>
      <c r="AI1330" s="414">
        <v>60</v>
      </c>
      <c r="AJ1330" s="405" t="s">
        <v>1584</v>
      </c>
      <c r="AK1330" s="425" t="s">
        <v>50</v>
      </c>
      <c r="AL1330" s="405">
        <v>95834</v>
      </c>
      <c r="AM1330" s="405" t="s">
        <v>52</v>
      </c>
      <c r="AN1330" s="405" t="s">
        <v>1071</v>
      </c>
      <c r="AO1330" s="405"/>
      <c r="AP1330" s="417"/>
      <c r="AQ1330" s="417"/>
      <c r="AR1330" s="417" t="s">
        <v>1934</v>
      </c>
      <c r="AS1330" s="426"/>
      <c r="AT1330" s="426"/>
      <c r="AU1330" s="409"/>
      <c r="AV1330" s="402" t="str">
        <f t="shared" si="297"/>
        <v>30390456H</v>
      </c>
      <c r="AW1330" s="402" cm="1">
        <f t="array" ref="AW1330">SUM(MID(0&amp;AV1330,LARGE(INDEX(ISNUMBER(--MID(AV1330,ROW($1:$8),1))*ROW($1:$8),),ROW($1:$8))+1,1)*10^ROW($1:$8)/10)</f>
        <v>30390456</v>
      </c>
      <c r="AX1330" s="402" t="str">
        <f>VLOOKUP($AW1330,'Item Master Data'!$A:$F,3,FALSE)</f>
        <v>Q.PEAK DUO BLK ML G10+</v>
      </c>
      <c r="AY1330" s="402">
        <f>VLOOKUP($AW1330,'Item Master Data'!$A:$F,6,FALSE)</f>
        <v>400</v>
      </c>
      <c r="AZ1330" s="402">
        <f t="shared" si="298"/>
        <v>78</v>
      </c>
      <c r="BA1330" s="402">
        <f>VLOOKUP(AW1330,'Item Master Data'!$A:$G,7,FALSE)</f>
        <v>32</v>
      </c>
      <c r="BC1330" s="402">
        <f t="shared" si="299"/>
        <v>0</v>
      </c>
    </row>
    <row r="1331" spans="1:55" s="402" customFormat="1">
      <c r="A1331" s="403"/>
      <c r="B1331" s="445"/>
      <c r="C1331" s="445"/>
      <c r="D1331" s="416" t="s">
        <v>1914</v>
      </c>
      <c r="E1331" s="405" t="s">
        <v>2120</v>
      </c>
      <c r="F1331" s="405"/>
      <c r="G1331" s="405">
        <v>2022</v>
      </c>
      <c r="H1331" s="405">
        <v>9</v>
      </c>
      <c r="I1331" s="416"/>
      <c r="J1331" s="406"/>
      <c r="K1331" s="414" t="s">
        <v>2144</v>
      </c>
      <c r="L1331" s="405" t="s">
        <v>1682</v>
      </c>
      <c r="M1331" s="418">
        <v>44642</v>
      </c>
      <c r="N1331" s="418">
        <v>44746</v>
      </c>
      <c r="O1331" s="418"/>
      <c r="P1331" s="406"/>
      <c r="Q1331" s="406"/>
      <c r="R1331" s="406"/>
      <c r="S1331" s="405" t="s">
        <v>1443</v>
      </c>
      <c r="T1331" s="405">
        <v>60</v>
      </c>
      <c r="U1331" s="405" t="s">
        <v>1237</v>
      </c>
      <c r="V1331" s="405" t="s">
        <v>973</v>
      </c>
      <c r="W1331" s="405">
        <v>400</v>
      </c>
      <c r="X1331" s="407">
        <v>1344</v>
      </c>
      <c r="Y1331" s="408">
        <f t="shared" si="296"/>
        <v>537600</v>
      </c>
      <c r="Z1331" s="409">
        <f>220/400</f>
        <v>0.55000000000000004</v>
      </c>
      <c r="AA1331" s="410">
        <f t="shared" si="291"/>
        <v>295680</v>
      </c>
      <c r="AB1331" s="411"/>
      <c r="AC1331" s="412">
        <f>AB1331*Y1331</f>
        <v>0</v>
      </c>
      <c r="AD1331" s="421"/>
      <c r="AE1331" s="413"/>
      <c r="AF1331" s="424">
        <f t="shared" si="292"/>
        <v>295680</v>
      </c>
      <c r="AG1331" s="405" t="s">
        <v>1069</v>
      </c>
      <c r="AH1331" s="405"/>
      <c r="AI1331" s="414">
        <v>60</v>
      </c>
      <c r="AJ1331" s="405" t="s">
        <v>1584</v>
      </c>
      <c r="AK1331" s="425" t="s">
        <v>50</v>
      </c>
      <c r="AL1331" s="405">
        <v>95834</v>
      </c>
      <c r="AM1331" s="405" t="s">
        <v>52</v>
      </c>
      <c r="AN1331" s="405" t="s">
        <v>1071</v>
      </c>
      <c r="AO1331" s="405"/>
      <c r="AP1331" s="417"/>
      <c r="AQ1331" s="417"/>
      <c r="AR1331" s="417" t="s">
        <v>1934</v>
      </c>
      <c r="AS1331" s="426"/>
      <c r="AT1331" s="426"/>
      <c r="AU1331" s="409"/>
      <c r="AV1331" s="402" t="str">
        <f t="shared" si="297"/>
        <v>30390456H</v>
      </c>
      <c r="AW1331" s="402" cm="1">
        <f t="array" ref="AW1331">SUM(MID(0&amp;AV1331,LARGE(INDEX(ISNUMBER(--MID(AV1331,ROW($1:$8),1))*ROW($1:$8),),ROW($1:$8))+1,1)*10^ROW($1:$8)/10)</f>
        <v>30390456</v>
      </c>
      <c r="AX1331" s="402" t="str">
        <f>VLOOKUP($AW1331,'Item Master Data'!$A:$F,3,FALSE)</f>
        <v>Q.PEAK DUO BLK ML G10+</v>
      </c>
      <c r="AY1331" s="402">
        <f>VLOOKUP($AW1331,'Item Master Data'!$A:$F,6,FALSE)</f>
        <v>400</v>
      </c>
      <c r="AZ1331" s="402">
        <f t="shared" si="298"/>
        <v>42</v>
      </c>
      <c r="BA1331" s="402">
        <f>VLOOKUP(AW1331,'Item Master Data'!$A:$G,7,FALSE)</f>
        <v>32</v>
      </c>
      <c r="BC1331" s="402">
        <f t="shared" si="299"/>
        <v>0</v>
      </c>
    </row>
    <row r="1332" spans="1:55" s="402" customFormat="1">
      <c r="A1332" s="403"/>
      <c r="B1332" s="445"/>
      <c r="C1332" s="445"/>
      <c r="D1332" s="416" t="s">
        <v>1914</v>
      </c>
      <c r="E1332" s="405" t="s">
        <v>2065</v>
      </c>
      <c r="F1332" s="405"/>
      <c r="G1332" s="405">
        <v>2022</v>
      </c>
      <c r="H1332" s="405">
        <v>9</v>
      </c>
      <c r="I1332" s="416"/>
      <c r="J1332" s="406"/>
      <c r="K1332" s="414" t="s">
        <v>2208</v>
      </c>
      <c r="L1332" s="405" t="s">
        <v>1960</v>
      </c>
      <c r="M1332" s="418">
        <v>44482</v>
      </c>
      <c r="N1332" s="418">
        <v>44788</v>
      </c>
      <c r="O1332" s="418"/>
      <c r="P1332" s="406"/>
      <c r="Q1332" s="406"/>
      <c r="R1332" s="406"/>
      <c r="S1332" s="405" t="s">
        <v>1443</v>
      </c>
      <c r="T1332" s="405">
        <v>60</v>
      </c>
      <c r="U1332" s="405">
        <v>49401139</v>
      </c>
      <c r="V1332" s="405" t="s">
        <v>985</v>
      </c>
      <c r="W1332" s="405">
        <v>395</v>
      </c>
      <c r="X1332" s="407">
        <v>832</v>
      </c>
      <c r="Y1332" s="408">
        <f t="shared" si="296"/>
        <v>328640</v>
      </c>
      <c r="Z1332" s="409">
        <v>0.53</v>
      </c>
      <c r="AA1332" s="410">
        <f t="shared" si="291"/>
        <v>174179.20000000001</v>
      </c>
      <c r="AB1332" s="411"/>
      <c r="AC1332" s="412">
        <v>0</v>
      </c>
      <c r="AD1332" s="421"/>
      <c r="AE1332" s="413"/>
      <c r="AF1332" s="424">
        <f t="shared" si="292"/>
        <v>174179.20000000001</v>
      </c>
      <c r="AG1332" s="405" t="s">
        <v>47</v>
      </c>
      <c r="AH1332" s="405" t="s">
        <v>1963</v>
      </c>
      <c r="AI1332" s="414">
        <v>60</v>
      </c>
      <c r="AJ1332" s="405" t="s">
        <v>1584</v>
      </c>
      <c r="AK1332" s="425" t="s">
        <v>50</v>
      </c>
      <c r="AL1332" s="405" t="s">
        <v>1966</v>
      </c>
      <c r="AM1332" s="405" t="s">
        <v>52</v>
      </c>
      <c r="AN1332" s="405"/>
      <c r="AO1332" s="405"/>
      <c r="AP1332" s="417"/>
      <c r="AQ1332" s="417"/>
      <c r="AR1332" s="417"/>
      <c r="AS1332" s="426"/>
      <c r="AT1332" s="426"/>
      <c r="AU1332" s="409"/>
      <c r="AV1332" s="402">
        <f t="shared" si="297"/>
        <v>49401139</v>
      </c>
      <c r="AW1332" s="402" cm="1">
        <f t="array" ref="AW1332">SUM(MID(0&amp;AV1332,LARGE(INDEX(ISNUMBER(--MID(AV1332,ROW($1:$8),1))*ROW($1:$8),),ROW($1:$8))+1,1)*10^ROW($1:$8)/10)</f>
        <v>49401139</v>
      </c>
      <c r="AX1332" s="402" t="str">
        <f>VLOOKUP($AW1332,'Item Master Data'!$A:$F,3,FALSE)</f>
        <v>Q.PEAK DUO BLK ML G10.a+</v>
      </c>
      <c r="AY1332" s="402">
        <f>VLOOKUP($AW1332,'Item Master Data'!$A:$F,6,FALSE)</f>
        <v>395</v>
      </c>
      <c r="AZ1332" s="402">
        <f t="shared" si="298"/>
        <v>26</v>
      </c>
      <c r="BA1332" s="402">
        <f>VLOOKUP(AW1332,'Item Master Data'!$A:$G,7,FALSE)</f>
        <v>32</v>
      </c>
      <c r="BC1332" s="402">
        <f t="shared" si="299"/>
        <v>0</v>
      </c>
    </row>
    <row r="1333" spans="1:55" s="402" customFormat="1">
      <c r="A1333" s="403"/>
      <c r="B1333" s="445"/>
      <c r="C1333" s="445"/>
      <c r="D1333" s="416" t="s">
        <v>1914</v>
      </c>
      <c r="E1333" s="405" t="s">
        <v>2065</v>
      </c>
      <c r="F1333" s="405"/>
      <c r="G1333" s="405">
        <v>2022</v>
      </c>
      <c r="H1333" s="405">
        <v>9</v>
      </c>
      <c r="I1333" s="416"/>
      <c r="J1333" s="406"/>
      <c r="K1333" s="414" t="s">
        <v>2209</v>
      </c>
      <c r="L1333" s="405" t="s">
        <v>1960</v>
      </c>
      <c r="M1333" s="418">
        <v>44482</v>
      </c>
      <c r="N1333" s="418">
        <v>44797</v>
      </c>
      <c r="O1333" s="418"/>
      <c r="P1333" s="406"/>
      <c r="Q1333" s="406"/>
      <c r="R1333" s="406"/>
      <c r="S1333" s="405" t="s">
        <v>1443</v>
      </c>
      <c r="T1333" s="405">
        <v>60</v>
      </c>
      <c r="U1333" s="405">
        <v>49401139</v>
      </c>
      <c r="V1333" s="405" t="s">
        <v>985</v>
      </c>
      <c r="W1333" s="405">
        <v>395</v>
      </c>
      <c r="X1333" s="407">
        <v>832</v>
      </c>
      <c r="Y1333" s="408">
        <f t="shared" si="296"/>
        <v>328640</v>
      </c>
      <c r="Z1333" s="409">
        <v>0.53</v>
      </c>
      <c r="AA1333" s="410">
        <f t="shared" si="291"/>
        <v>174179.20000000001</v>
      </c>
      <c r="AB1333" s="411"/>
      <c r="AC1333" s="412">
        <v>0</v>
      </c>
      <c r="AD1333" s="421"/>
      <c r="AE1333" s="413"/>
      <c r="AF1333" s="424">
        <f t="shared" si="292"/>
        <v>174179.20000000001</v>
      </c>
      <c r="AG1333" s="405" t="s">
        <v>47</v>
      </c>
      <c r="AH1333" s="405" t="s">
        <v>1963</v>
      </c>
      <c r="AI1333" s="414">
        <v>60</v>
      </c>
      <c r="AJ1333" s="405" t="s">
        <v>1584</v>
      </c>
      <c r="AK1333" s="425" t="s">
        <v>50</v>
      </c>
      <c r="AL1333" s="405" t="s">
        <v>1966</v>
      </c>
      <c r="AM1333" s="405" t="s">
        <v>52</v>
      </c>
      <c r="AN1333" s="405"/>
      <c r="AO1333" s="405"/>
      <c r="AP1333" s="417"/>
      <c r="AQ1333" s="417"/>
      <c r="AR1333" s="417"/>
      <c r="AS1333" s="426"/>
      <c r="AT1333" s="426"/>
      <c r="AU1333" s="409"/>
      <c r="AV1333" s="402">
        <f t="shared" si="297"/>
        <v>49401139</v>
      </c>
      <c r="AW1333" s="402" cm="1">
        <f t="array" ref="AW1333">SUM(MID(0&amp;AV1333,LARGE(INDEX(ISNUMBER(--MID(AV1333,ROW($1:$8),1))*ROW($1:$8),),ROW($1:$8))+1,1)*10^ROW($1:$8)/10)</f>
        <v>49401139</v>
      </c>
      <c r="AX1333" s="402" t="str">
        <f>VLOOKUP($AW1333,'Item Master Data'!$A:$F,3,FALSE)</f>
        <v>Q.PEAK DUO BLK ML G10.a+</v>
      </c>
      <c r="AY1333" s="402">
        <f>VLOOKUP($AW1333,'Item Master Data'!$A:$F,6,FALSE)</f>
        <v>395</v>
      </c>
      <c r="AZ1333" s="402">
        <f t="shared" si="298"/>
        <v>26</v>
      </c>
      <c r="BA1333" s="402">
        <f>VLOOKUP(AW1333,'Item Master Data'!$A:$G,7,FALSE)</f>
        <v>32</v>
      </c>
      <c r="BC1333" s="402">
        <f t="shared" si="299"/>
        <v>0</v>
      </c>
    </row>
    <row r="1334" spans="1:55" s="402" customFormat="1">
      <c r="A1334" s="403"/>
      <c r="B1334" s="445"/>
      <c r="C1334" s="445"/>
      <c r="D1334" s="416" t="s">
        <v>1914</v>
      </c>
      <c r="E1334" s="405" t="s">
        <v>2065</v>
      </c>
      <c r="F1334" s="405"/>
      <c r="G1334" s="405">
        <v>2022</v>
      </c>
      <c r="H1334" s="405">
        <v>9</v>
      </c>
      <c r="I1334" s="416"/>
      <c r="J1334" s="406"/>
      <c r="K1334" s="414" t="s">
        <v>2210</v>
      </c>
      <c r="L1334" s="405" t="s">
        <v>1960</v>
      </c>
      <c r="M1334" s="418">
        <v>44482</v>
      </c>
      <c r="N1334" s="418">
        <v>44781</v>
      </c>
      <c r="O1334" s="418"/>
      <c r="P1334" s="406"/>
      <c r="Q1334" s="406"/>
      <c r="R1334" s="406"/>
      <c r="S1334" s="405" t="s">
        <v>1443</v>
      </c>
      <c r="T1334" s="405">
        <v>60</v>
      </c>
      <c r="U1334" s="405">
        <v>49401139</v>
      </c>
      <c r="V1334" s="405" t="s">
        <v>985</v>
      </c>
      <c r="W1334" s="405">
        <v>395</v>
      </c>
      <c r="X1334" s="407">
        <v>832</v>
      </c>
      <c r="Y1334" s="408">
        <f t="shared" si="296"/>
        <v>328640</v>
      </c>
      <c r="Z1334" s="409">
        <v>0.53</v>
      </c>
      <c r="AA1334" s="410">
        <f t="shared" si="291"/>
        <v>174179.20000000001</v>
      </c>
      <c r="AB1334" s="411"/>
      <c r="AC1334" s="412">
        <v>0</v>
      </c>
      <c r="AD1334" s="421"/>
      <c r="AE1334" s="413"/>
      <c r="AF1334" s="424">
        <f t="shared" si="292"/>
        <v>174179.20000000001</v>
      </c>
      <c r="AG1334" s="405" t="s">
        <v>47</v>
      </c>
      <c r="AH1334" s="405" t="s">
        <v>1963</v>
      </c>
      <c r="AI1334" s="414">
        <v>60</v>
      </c>
      <c r="AJ1334" s="405" t="s">
        <v>1965</v>
      </c>
      <c r="AK1334" s="425" t="s">
        <v>50</v>
      </c>
      <c r="AL1334" s="405" t="s">
        <v>1997</v>
      </c>
      <c r="AM1334" s="405" t="s">
        <v>52</v>
      </c>
      <c r="AN1334" s="405"/>
      <c r="AO1334" s="405"/>
      <c r="AP1334" s="417"/>
      <c r="AQ1334" s="417"/>
      <c r="AR1334" s="417"/>
      <c r="AS1334" s="426"/>
      <c r="AT1334" s="426"/>
      <c r="AU1334" s="409"/>
      <c r="AV1334" s="402">
        <f t="shared" si="297"/>
        <v>49401139</v>
      </c>
      <c r="AW1334" s="402" cm="1">
        <f t="array" ref="AW1334">SUM(MID(0&amp;AV1334,LARGE(INDEX(ISNUMBER(--MID(AV1334,ROW($1:$8),1))*ROW($1:$8),),ROW($1:$8))+1,1)*10^ROW($1:$8)/10)</f>
        <v>49401139</v>
      </c>
      <c r="AX1334" s="402" t="str">
        <f>VLOOKUP($AW1334,'Item Master Data'!$A:$F,3,FALSE)</f>
        <v>Q.PEAK DUO BLK ML G10.a+</v>
      </c>
      <c r="AY1334" s="402">
        <f>VLOOKUP($AW1334,'Item Master Data'!$A:$F,6,FALSE)</f>
        <v>395</v>
      </c>
      <c r="AZ1334" s="402">
        <f t="shared" si="298"/>
        <v>26</v>
      </c>
      <c r="BA1334" s="402">
        <f>VLOOKUP(AW1334,'Item Master Data'!$A:$G,7,FALSE)</f>
        <v>32</v>
      </c>
      <c r="BC1334" s="402">
        <f t="shared" si="299"/>
        <v>0</v>
      </c>
    </row>
    <row r="1335" spans="1:55" s="402" customFormat="1">
      <c r="A1335" s="403"/>
      <c r="B1335" s="445"/>
      <c r="C1335" s="445"/>
      <c r="D1335" s="416" t="s">
        <v>1914</v>
      </c>
      <c r="E1335" s="405" t="s">
        <v>2065</v>
      </c>
      <c r="F1335" s="405"/>
      <c r="G1335" s="405">
        <v>2022</v>
      </c>
      <c r="H1335" s="405">
        <v>9</v>
      </c>
      <c r="I1335" s="416"/>
      <c r="J1335" s="406"/>
      <c r="K1335" s="414" t="s">
        <v>2211</v>
      </c>
      <c r="L1335" s="405" t="s">
        <v>1960</v>
      </c>
      <c r="M1335" s="418">
        <v>44482</v>
      </c>
      <c r="N1335" s="418">
        <v>44795</v>
      </c>
      <c r="O1335" s="418"/>
      <c r="P1335" s="406"/>
      <c r="Q1335" s="406"/>
      <c r="R1335" s="406"/>
      <c r="S1335" s="405" t="s">
        <v>1443</v>
      </c>
      <c r="T1335" s="405">
        <v>60</v>
      </c>
      <c r="U1335" s="405">
        <v>49401139</v>
      </c>
      <c r="V1335" s="405" t="s">
        <v>985</v>
      </c>
      <c r="W1335" s="405">
        <v>395</v>
      </c>
      <c r="X1335" s="407">
        <v>832</v>
      </c>
      <c r="Y1335" s="408">
        <f t="shared" si="296"/>
        <v>328640</v>
      </c>
      <c r="Z1335" s="409">
        <v>0.53</v>
      </c>
      <c r="AA1335" s="410">
        <f t="shared" si="291"/>
        <v>174179.20000000001</v>
      </c>
      <c r="AB1335" s="411"/>
      <c r="AC1335" s="412">
        <v>0</v>
      </c>
      <c r="AD1335" s="421"/>
      <c r="AE1335" s="413"/>
      <c r="AF1335" s="424">
        <f t="shared" si="292"/>
        <v>174179.20000000001</v>
      </c>
      <c r="AG1335" s="405" t="s">
        <v>47</v>
      </c>
      <c r="AH1335" s="405" t="s">
        <v>1963</v>
      </c>
      <c r="AI1335" s="414">
        <v>60</v>
      </c>
      <c r="AJ1335" s="405" t="s">
        <v>1965</v>
      </c>
      <c r="AK1335" s="425" t="s">
        <v>50</v>
      </c>
      <c r="AL1335" s="405" t="s">
        <v>1997</v>
      </c>
      <c r="AM1335" s="405" t="s">
        <v>52</v>
      </c>
      <c r="AN1335" s="405"/>
      <c r="AO1335" s="405"/>
      <c r="AP1335" s="417"/>
      <c r="AQ1335" s="417"/>
      <c r="AR1335" s="417"/>
      <c r="AS1335" s="426"/>
      <c r="AT1335" s="426"/>
      <c r="AU1335" s="409"/>
      <c r="AV1335" s="402">
        <f t="shared" si="297"/>
        <v>49401139</v>
      </c>
      <c r="AW1335" s="402" cm="1">
        <f t="array" ref="AW1335">SUM(MID(0&amp;AV1335,LARGE(INDEX(ISNUMBER(--MID(AV1335,ROW($1:$8),1))*ROW($1:$8),),ROW($1:$8))+1,1)*10^ROW($1:$8)/10)</f>
        <v>49401139</v>
      </c>
      <c r="AX1335" s="402" t="str">
        <f>VLOOKUP($AW1335,'Item Master Data'!$A:$F,3,FALSE)</f>
        <v>Q.PEAK DUO BLK ML G10.a+</v>
      </c>
      <c r="AY1335" s="402">
        <f>VLOOKUP($AW1335,'Item Master Data'!$A:$F,6,FALSE)</f>
        <v>395</v>
      </c>
      <c r="AZ1335" s="402">
        <f t="shared" si="298"/>
        <v>26</v>
      </c>
      <c r="BA1335" s="402">
        <f>VLOOKUP(AW1335,'Item Master Data'!$A:$G,7,FALSE)</f>
        <v>32</v>
      </c>
      <c r="BC1335" s="402">
        <f t="shared" si="299"/>
        <v>0</v>
      </c>
    </row>
    <row r="1336" spans="1:55" s="402" customFormat="1">
      <c r="A1336" s="403"/>
      <c r="B1336" s="445"/>
      <c r="C1336" s="445"/>
      <c r="D1336" s="416" t="s">
        <v>1914</v>
      </c>
      <c r="E1336" s="405" t="s">
        <v>2065</v>
      </c>
      <c r="F1336" s="405"/>
      <c r="G1336" s="405">
        <v>2022</v>
      </c>
      <c r="H1336" s="405">
        <v>9</v>
      </c>
      <c r="I1336" s="416"/>
      <c r="J1336" s="406"/>
      <c r="K1336" s="414" t="s">
        <v>2212</v>
      </c>
      <c r="L1336" s="405" t="s">
        <v>1960</v>
      </c>
      <c r="M1336" s="418">
        <v>44482</v>
      </c>
      <c r="N1336" s="418">
        <v>44781</v>
      </c>
      <c r="O1336" s="418"/>
      <c r="P1336" s="406"/>
      <c r="Q1336" s="406"/>
      <c r="R1336" s="406"/>
      <c r="S1336" s="405" t="s">
        <v>1443</v>
      </c>
      <c r="T1336" s="405">
        <v>60</v>
      </c>
      <c r="U1336" s="405">
        <v>49401139</v>
      </c>
      <c r="V1336" s="405" t="s">
        <v>985</v>
      </c>
      <c r="W1336" s="405">
        <v>395</v>
      </c>
      <c r="X1336" s="407">
        <v>832</v>
      </c>
      <c r="Y1336" s="408">
        <f t="shared" si="296"/>
        <v>328640</v>
      </c>
      <c r="Z1336" s="409">
        <v>0.53</v>
      </c>
      <c r="AA1336" s="410">
        <f t="shared" si="291"/>
        <v>174179.20000000001</v>
      </c>
      <c r="AB1336" s="411"/>
      <c r="AC1336" s="412">
        <v>0</v>
      </c>
      <c r="AD1336" s="421"/>
      <c r="AE1336" s="413"/>
      <c r="AF1336" s="424">
        <f t="shared" si="292"/>
        <v>174179.20000000001</v>
      </c>
      <c r="AG1336" s="405" t="s">
        <v>47</v>
      </c>
      <c r="AH1336" s="405" t="s">
        <v>1963</v>
      </c>
      <c r="AI1336" s="414">
        <v>60</v>
      </c>
      <c r="AJ1336" s="405" t="s">
        <v>1958</v>
      </c>
      <c r="AK1336" s="425" t="s">
        <v>1136</v>
      </c>
      <c r="AL1336" s="405" t="s">
        <v>1989</v>
      </c>
      <c r="AM1336" s="405" t="s">
        <v>52</v>
      </c>
      <c r="AN1336" s="405"/>
      <c r="AO1336" s="405"/>
      <c r="AP1336" s="417"/>
      <c r="AQ1336" s="417"/>
      <c r="AR1336" s="417"/>
      <c r="AS1336" s="426"/>
      <c r="AT1336" s="426"/>
      <c r="AU1336" s="409"/>
      <c r="AV1336" s="402">
        <f t="shared" si="297"/>
        <v>49401139</v>
      </c>
      <c r="AW1336" s="402" cm="1">
        <f t="array" ref="AW1336">SUM(MID(0&amp;AV1336,LARGE(INDEX(ISNUMBER(--MID(AV1336,ROW($1:$8),1))*ROW($1:$8),),ROW($1:$8))+1,1)*10^ROW($1:$8)/10)</f>
        <v>49401139</v>
      </c>
      <c r="AX1336" s="402" t="str">
        <f>VLOOKUP($AW1336,'Item Master Data'!$A:$F,3,FALSE)</f>
        <v>Q.PEAK DUO BLK ML G10.a+</v>
      </c>
      <c r="AY1336" s="402">
        <f>VLOOKUP($AW1336,'Item Master Data'!$A:$F,6,FALSE)</f>
        <v>395</v>
      </c>
      <c r="AZ1336" s="402">
        <f t="shared" si="298"/>
        <v>26</v>
      </c>
      <c r="BA1336" s="402">
        <f>VLOOKUP(AW1336,'Item Master Data'!$A:$G,7,FALSE)</f>
        <v>32</v>
      </c>
      <c r="BC1336" s="402">
        <f t="shared" si="299"/>
        <v>0</v>
      </c>
    </row>
    <row r="1337" spans="1:55" s="402" customFormat="1">
      <c r="A1337" s="403"/>
      <c r="B1337" s="445"/>
      <c r="C1337" s="445"/>
      <c r="D1337" s="416" t="s">
        <v>1914</v>
      </c>
      <c r="E1337" s="405" t="s">
        <v>2065</v>
      </c>
      <c r="F1337" s="405"/>
      <c r="G1337" s="405">
        <v>2022</v>
      </c>
      <c r="H1337" s="405">
        <v>9</v>
      </c>
      <c r="I1337" s="416"/>
      <c r="J1337" s="406"/>
      <c r="K1337" s="414" t="s">
        <v>2213</v>
      </c>
      <c r="L1337" s="405" t="s">
        <v>1960</v>
      </c>
      <c r="M1337" s="418">
        <v>44482</v>
      </c>
      <c r="N1337" s="418">
        <v>44795</v>
      </c>
      <c r="O1337" s="418"/>
      <c r="P1337" s="406"/>
      <c r="Q1337" s="406"/>
      <c r="R1337" s="406"/>
      <c r="S1337" s="405" t="s">
        <v>1443</v>
      </c>
      <c r="T1337" s="405">
        <v>60</v>
      </c>
      <c r="U1337" s="405">
        <v>49401139</v>
      </c>
      <c r="V1337" s="405" t="s">
        <v>985</v>
      </c>
      <c r="W1337" s="405">
        <v>395</v>
      </c>
      <c r="X1337" s="407">
        <v>832</v>
      </c>
      <c r="Y1337" s="408">
        <f t="shared" si="296"/>
        <v>328640</v>
      </c>
      <c r="Z1337" s="409">
        <v>0.53</v>
      </c>
      <c r="AA1337" s="410">
        <f t="shared" si="291"/>
        <v>174179.20000000001</v>
      </c>
      <c r="AB1337" s="411"/>
      <c r="AC1337" s="412">
        <v>0</v>
      </c>
      <c r="AD1337" s="421"/>
      <c r="AE1337" s="413"/>
      <c r="AF1337" s="424">
        <f t="shared" si="292"/>
        <v>174179.20000000001</v>
      </c>
      <c r="AG1337" s="405" t="s">
        <v>47</v>
      </c>
      <c r="AH1337" s="405" t="s">
        <v>1963</v>
      </c>
      <c r="AI1337" s="414">
        <v>60</v>
      </c>
      <c r="AJ1337" s="405" t="s">
        <v>1958</v>
      </c>
      <c r="AK1337" s="425" t="s">
        <v>1136</v>
      </c>
      <c r="AL1337" s="405" t="s">
        <v>1989</v>
      </c>
      <c r="AM1337" s="405" t="s">
        <v>52</v>
      </c>
      <c r="AN1337" s="405"/>
      <c r="AO1337" s="405"/>
      <c r="AP1337" s="417"/>
      <c r="AQ1337" s="417"/>
      <c r="AR1337" s="417"/>
      <c r="AS1337" s="426"/>
      <c r="AT1337" s="426"/>
      <c r="AU1337" s="409"/>
      <c r="AV1337" s="402">
        <f t="shared" si="297"/>
        <v>49401139</v>
      </c>
      <c r="AW1337" s="402" cm="1">
        <f t="array" ref="AW1337">SUM(MID(0&amp;AV1337,LARGE(INDEX(ISNUMBER(--MID(AV1337,ROW($1:$8),1))*ROW($1:$8),),ROW($1:$8))+1,1)*10^ROW($1:$8)/10)</f>
        <v>49401139</v>
      </c>
      <c r="AX1337" s="402" t="str">
        <f>VLOOKUP($AW1337,'Item Master Data'!$A:$F,3,FALSE)</f>
        <v>Q.PEAK DUO BLK ML G10.a+</v>
      </c>
      <c r="AY1337" s="402">
        <f>VLOOKUP($AW1337,'Item Master Data'!$A:$F,6,FALSE)</f>
        <v>395</v>
      </c>
      <c r="AZ1337" s="402">
        <f t="shared" si="298"/>
        <v>26</v>
      </c>
      <c r="BA1337" s="402">
        <f>VLOOKUP(AW1337,'Item Master Data'!$A:$G,7,FALSE)</f>
        <v>32</v>
      </c>
      <c r="BC1337" s="402">
        <f t="shared" si="299"/>
        <v>0</v>
      </c>
    </row>
    <row r="1338" spans="1:55" s="402" customFormat="1">
      <c r="A1338" s="403"/>
      <c r="B1338" s="445"/>
      <c r="C1338" s="445"/>
      <c r="D1338" s="416" t="s">
        <v>1914</v>
      </c>
      <c r="E1338" s="405" t="s">
        <v>2065</v>
      </c>
      <c r="F1338" s="405"/>
      <c r="G1338" s="405">
        <v>2022</v>
      </c>
      <c r="H1338" s="405">
        <v>9</v>
      </c>
      <c r="I1338" s="416"/>
      <c r="J1338" s="406"/>
      <c r="K1338" s="414" t="s">
        <v>2214</v>
      </c>
      <c r="L1338" s="405" t="s">
        <v>1960</v>
      </c>
      <c r="M1338" s="418">
        <v>44482</v>
      </c>
      <c r="N1338" s="418">
        <v>44778</v>
      </c>
      <c r="O1338" s="418"/>
      <c r="P1338" s="406"/>
      <c r="Q1338" s="406"/>
      <c r="R1338" s="406"/>
      <c r="S1338" s="405" t="s">
        <v>1443</v>
      </c>
      <c r="T1338" s="405">
        <v>60</v>
      </c>
      <c r="U1338" s="405">
        <v>49401139</v>
      </c>
      <c r="V1338" s="405" t="s">
        <v>985</v>
      </c>
      <c r="W1338" s="405">
        <v>395</v>
      </c>
      <c r="X1338" s="407">
        <v>832</v>
      </c>
      <c r="Y1338" s="408">
        <f t="shared" si="296"/>
        <v>328640</v>
      </c>
      <c r="Z1338" s="409">
        <v>0.53</v>
      </c>
      <c r="AA1338" s="410">
        <f t="shared" si="291"/>
        <v>174179.20000000001</v>
      </c>
      <c r="AB1338" s="411"/>
      <c r="AC1338" s="412">
        <v>0</v>
      </c>
      <c r="AD1338" s="421"/>
      <c r="AE1338" s="413"/>
      <c r="AF1338" s="424">
        <f t="shared" si="292"/>
        <v>174179.20000000001</v>
      </c>
      <c r="AG1338" s="405" t="s">
        <v>47</v>
      </c>
      <c r="AH1338" s="405" t="s">
        <v>1963</v>
      </c>
      <c r="AI1338" s="414">
        <v>60</v>
      </c>
      <c r="AJ1338" s="405" t="s">
        <v>1965</v>
      </c>
      <c r="AK1338" s="425" t="s">
        <v>50</v>
      </c>
      <c r="AL1338" s="405" t="s">
        <v>1997</v>
      </c>
      <c r="AM1338" s="405" t="s">
        <v>52</v>
      </c>
      <c r="AN1338" s="405"/>
      <c r="AO1338" s="405"/>
      <c r="AP1338" s="417"/>
      <c r="AQ1338" s="417"/>
      <c r="AR1338" s="417"/>
      <c r="AS1338" s="426"/>
      <c r="AT1338" s="426"/>
      <c r="AU1338" s="409"/>
      <c r="AV1338" s="402">
        <f t="shared" si="297"/>
        <v>49401139</v>
      </c>
      <c r="AW1338" s="402" cm="1">
        <f t="array" ref="AW1338">SUM(MID(0&amp;AV1338,LARGE(INDEX(ISNUMBER(--MID(AV1338,ROW($1:$8),1))*ROW($1:$8),),ROW($1:$8))+1,1)*10^ROW($1:$8)/10)</f>
        <v>49401139</v>
      </c>
      <c r="AX1338" s="402" t="str">
        <f>VLOOKUP($AW1338,'Item Master Data'!$A:$F,3,FALSE)</f>
        <v>Q.PEAK DUO BLK ML G10.a+</v>
      </c>
      <c r="AY1338" s="402">
        <f>VLOOKUP($AW1338,'Item Master Data'!$A:$F,6,FALSE)</f>
        <v>395</v>
      </c>
      <c r="AZ1338" s="402">
        <f t="shared" si="298"/>
        <v>26</v>
      </c>
      <c r="BA1338" s="402">
        <f>VLOOKUP(AW1338,'Item Master Data'!$A:$G,7,FALSE)</f>
        <v>32</v>
      </c>
      <c r="BC1338" s="402">
        <f t="shared" si="299"/>
        <v>0</v>
      </c>
    </row>
    <row r="1339" spans="1:55" s="402" customFormat="1">
      <c r="A1339" s="403"/>
      <c r="B1339" s="445"/>
      <c r="C1339" s="445"/>
      <c r="D1339" s="416" t="s">
        <v>1914</v>
      </c>
      <c r="E1339" s="405" t="s">
        <v>2065</v>
      </c>
      <c r="F1339" s="405"/>
      <c r="G1339" s="405">
        <v>2022</v>
      </c>
      <c r="H1339" s="405">
        <v>9</v>
      </c>
      <c r="I1339" s="416"/>
      <c r="J1339" s="406"/>
      <c r="K1339" s="414" t="s">
        <v>2215</v>
      </c>
      <c r="L1339" s="405" t="s">
        <v>1960</v>
      </c>
      <c r="M1339" s="418">
        <v>44482</v>
      </c>
      <c r="N1339" s="418">
        <v>44788</v>
      </c>
      <c r="O1339" s="418"/>
      <c r="P1339" s="406"/>
      <c r="Q1339" s="406"/>
      <c r="R1339" s="406"/>
      <c r="S1339" s="405" t="s">
        <v>1443</v>
      </c>
      <c r="T1339" s="405">
        <v>60</v>
      </c>
      <c r="U1339" s="405">
        <v>49401139</v>
      </c>
      <c r="V1339" s="405" t="s">
        <v>985</v>
      </c>
      <c r="W1339" s="405">
        <v>395</v>
      </c>
      <c r="X1339" s="407">
        <v>832</v>
      </c>
      <c r="Y1339" s="408">
        <f t="shared" si="296"/>
        <v>328640</v>
      </c>
      <c r="Z1339" s="409">
        <v>0.53</v>
      </c>
      <c r="AA1339" s="410">
        <f t="shared" si="291"/>
        <v>174179.20000000001</v>
      </c>
      <c r="AB1339" s="411"/>
      <c r="AC1339" s="412">
        <v>0</v>
      </c>
      <c r="AD1339" s="421"/>
      <c r="AE1339" s="413"/>
      <c r="AF1339" s="424">
        <f t="shared" si="292"/>
        <v>174179.20000000001</v>
      </c>
      <c r="AG1339" s="405" t="s">
        <v>47</v>
      </c>
      <c r="AH1339" s="405" t="s">
        <v>1963</v>
      </c>
      <c r="AI1339" s="414">
        <v>60</v>
      </c>
      <c r="AJ1339" s="405" t="s">
        <v>1965</v>
      </c>
      <c r="AK1339" s="425" t="s">
        <v>50</v>
      </c>
      <c r="AL1339" s="405" t="s">
        <v>1997</v>
      </c>
      <c r="AM1339" s="405" t="s">
        <v>52</v>
      </c>
      <c r="AN1339" s="405"/>
      <c r="AO1339" s="405"/>
      <c r="AP1339" s="417"/>
      <c r="AQ1339" s="417"/>
      <c r="AR1339" s="417"/>
      <c r="AS1339" s="426"/>
      <c r="AT1339" s="426"/>
      <c r="AU1339" s="409"/>
    </row>
    <row r="1340" spans="1:55" s="402" customFormat="1">
      <c r="A1340" s="403"/>
      <c r="B1340" s="445"/>
      <c r="C1340" s="445"/>
      <c r="D1340" s="416" t="s">
        <v>1914</v>
      </c>
      <c r="E1340" s="405" t="s">
        <v>2065</v>
      </c>
      <c r="F1340" s="405"/>
      <c r="G1340" s="405">
        <v>2022</v>
      </c>
      <c r="H1340" s="405">
        <v>9</v>
      </c>
      <c r="I1340" s="416"/>
      <c r="J1340" s="406"/>
      <c r="K1340" s="414" t="s">
        <v>2216</v>
      </c>
      <c r="L1340" s="405" t="s">
        <v>1960</v>
      </c>
      <c r="M1340" s="418">
        <v>44482</v>
      </c>
      <c r="N1340" s="418">
        <v>44797</v>
      </c>
      <c r="O1340" s="418"/>
      <c r="P1340" s="406"/>
      <c r="Q1340" s="406"/>
      <c r="R1340" s="406"/>
      <c r="S1340" s="405" t="s">
        <v>1443</v>
      </c>
      <c r="T1340" s="405">
        <v>60</v>
      </c>
      <c r="U1340" s="405">
        <v>49401139</v>
      </c>
      <c r="V1340" s="405" t="s">
        <v>985</v>
      </c>
      <c r="W1340" s="405">
        <v>395</v>
      </c>
      <c r="X1340" s="407">
        <v>832</v>
      </c>
      <c r="Y1340" s="408">
        <f t="shared" si="296"/>
        <v>328640</v>
      </c>
      <c r="Z1340" s="409">
        <v>0.53</v>
      </c>
      <c r="AA1340" s="410">
        <f t="shared" si="291"/>
        <v>174179.20000000001</v>
      </c>
      <c r="AB1340" s="411"/>
      <c r="AC1340" s="412">
        <v>0</v>
      </c>
      <c r="AD1340" s="421"/>
      <c r="AE1340" s="413"/>
      <c r="AF1340" s="424">
        <f t="shared" si="292"/>
        <v>174179.20000000001</v>
      </c>
      <c r="AG1340" s="405" t="s">
        <v>47</v>
      </c>
      <c r="AH1340" s="405" t="s">
        <v>1963</v>
      </c>
      <c r="AI1340" s="414">
        <v>60</v>
      </c>
      <c r="AJ1340" s="405" t="s">
        <v>1965</v>
      </c>
      <c r="AK1340" s="425" t="s">
        <v>50</v>
      </c>
      <c r="AL1340" s="405" t="s">
        <v>1997</v>
      </c>
      <c r="AM1340" s="405" t="s">
        <v>52</v>
      </c>
      <c r="AN1340" s="405"/>
      <c r="AO1340" s="405"/>
      <c r="AP1340" s="417"/>
      <c r="AQ1340" s="417"/>
      <c r="AR1340" s="417"/>
      <c r="AS1340" s="426"/>
      <c r="AT1340" s="426"/>
      <c r="AU1340" s="409"/>
      <c r="AV1340" s="402">
        <f>U1340</f>
        <v>49401139</v>
      </c>
      <c r="AW1340" s="402" cm="1">
        <f t="array" ref="AW1340">SUM(MID(0&amp;AV1340,LARGE(INDEX(ISNUMBER(--MID(AV1340,ROW($1:$8),1))*ROW($1:$8),),ROW($1:$8))+1,1)*10^ROW($1:$8)/10)</f>
        <v>49401139</v>
      </c>
      <c r="AX1340" s="402" t="str">
        <f>VLOOKUP($AW1340,'Item Master Data'!$A:$F,3,FALSE)</f>
        <v>Q.PEAK DUO BLK ML G10.a+</v>
      </c>
      <c r="AY1340" s="402">
        <f>VLOOKUP($AW1340,'Item Master Data'!$A:$F,6,FALSE)</f>
        <v>395</v>
      </c>
      <c r="AZ1340" s="402">
        <f>X1340/BA1340</f>
        <v>26</v>
      </c>
      <c r="BA1340" s="402">
        <f>VLOOKUP(AW1340,'Item Master Data'!$A:$G,7,FALSE)</f>
        <v>32</v>
      </c>
      <c r="BC1340" s="402">
        <f>W1340-AY1340</f>
        <v>0</v>
      </c>
    </row>
    <row r="1341" spans="1:55" s="402" customFormat="1">
      <c r="A1341" s="403"/>
      <c r="B1341" s="445"/>
      <c r="C1341" s="445"/>
      <c r="D1341" s="416" t="s">
        <v>1914</v>
      </c>
      <c r="E1341" s="405" t="s">
        <v>2065</v>
      </c>
      <c r="F1341" s="405"/>
      <c r="G1341" s="405">
        <v>2022</v>
      </c>
      <c r="H1341" s="405">
        <v>9</v>
      </c>
      <c r="I1341" s="416"/>
      <c r="J1341" s="406"/>
      <c r="K1341" s="414" t="s">
        <v>2217</v>
      </c>
      <c r="L1341" s="405" t="s">
        <v>1960</v>
      </c>
      <c r="M1341" s="418">
        <v>44482</v>
      </c>
      <c r="N1341" s="418">
        <v>44781</v>
      </c>
      <c r="O1341" s="418"/>
      <c r="P1341" s="406"/>
      <c r="Q1341" s="406"/>
      <c r="R1341" s="406"/>
      <c r="S1341" s="405" t="s">
        <v>1443</v>
      </c>
      <c r="T1341" s="405">
        <v>60</v>
      </c>
      <c r="U1341" s="405">
        <v>49401139</v>
      </c>
      <c r="V1341" s="405" t="s">
        <v>985</v>
      </c>
      <c r="W1341" s="405">
        <v>395</v>
      </c>
      <c r="X1341" s="407">
        <v>832</v>
      </c>
      <c r="Y1341" s="408">
        <f t="shared" si="296"/>
        <v>328640</v>
      </c>
      <c r="Z1341" s="409">
        <v>0.53</v>
      </c>
      <c r="AA1341" s="410">
        <f t="shared" si="291"/>
        <v>174179.20000000001</v>
      </c>
      <c r="AB1341" s="411"/>
      <c r="AC1341" s="412">
        <v>0</v>
      </c>
      <c r="AD1341" s="421"/>
      <c r="AE1341" s="413"/>
      <c r="AF1341" s="424">
        <f t="shared" si="292"/>
        <v>174179.20000000001</v>
      </c>
      <c r="AG1341" s="405" t="s">
        <v>47</v>
      </c>
      <c r="AH1341" s="405" t="s">
        <v>1963</v>
      </c>
      <c r="AI1341" s="414">
        <v>60</v>
      </c>
      <c r="AJ1341" s="405" t="s">
        <v>1500</v>
      </c>
      <c r="AK1341" s="425" t="s">
        <v>1082</v>
      </c>
      <c r="AL1341" s="405" t="s">
        <v>1989</v>
      </c>
      <c r="AM1341" s="405" t="s">
        <v>52</v>
      </c>
      <c r="AN1341" s="405"/>
      <c r="AO1341" s="405"/>
      <c r="AP1341" s="417"/>
      <c r="AQ1341" s="417"/>
      <c r="AR1341" s="417"/>
      <c r="AS1341" s="426"/>
      <c r="AT1341" s="426"/>
      <c r="AU1341" s="409"/>
      <c r="AV1341" s="402">
        <f>U1341</f>
        <v>49401139</v>
      </c>
      <c r="AW1341" s="402" cm="1">
        <f t="array" ref="AW1341">SUM(MID(0&amp;AV1341,LARGE(INDEX(ISNUMBER(--MID(AV1341,ROW($1:$8),1))*ROW($1:$8),),ROW($1:$8))+1,1)*10^ROW($1:$8)/10)</f>
        <v>49401139</v>
      </c>
      <c r="AX1341" s="402" t="str">
        <f>VLOOKUP($AW1341,'Item Master Data'!$A:$F,3,FALSE)</f>
        <v>Q.PEAK DUO BLK ML G10.a+</v>
      </c>
      <c r="AY1341" s="402">
        <f>VLOOKUP($AW1341,'Item Master Data'!$A:$F,6,FALSE)</f>
        <v>395</v>
      </c>
      <c r="AZ1341" s="402">
        <f>X1341/BA1341</f>
        <v>26</v>
      </c>
      <c r="BA1341" s="402">
        <f>VLOOKUP(AW1341,'Item Master Data'!$A:$G,7,FALSE)</f>
        <v>32</v>
      </c>
      <c r="BC1341" s="402">
        <f>W1341-AY1341</f>
        <v>0</v>
      </c>
    </row>
    <row r="1342" spans="1:55" s="402" customFormat="1">
      <c r="A1342" s="403"/>
      <c r="B1342" s="445">
        <v>44522</v>
      </c>
      <c r="C1342" s="445"/>
      <c r="D1342" s="416" t="s">
        <v>1914</v>
      </c>
      <c r="E1342" s="405" t="s">
        <v>2218</v>
      </c>
      <c r="F1342" s="405"/>
      <c r="G1342" s="405">
        <v>2022</v>
      </c>
      <c r="H1342" s="405">
        <v>9</v>
      </c>
      <c r="I1342" s="416"/>
      <c r="J1342" s="406"/>
      <c r="K1342" s="414" t="s">
        <v>2219</v>
      </c>
      <c r="L1342" s="405" t="s">
        <v>1967</v>
      </c>
      <c r="M1342" s="418">
        <v>44518</v>
      </c>
      <c r="N1342" s="418">
        <v>44568</v>
      </c>
      <c r="O1342" s="418"/>
      <c r="P1342" s="406"/>
      <c r="Q1342" s="406"/>
      <c r="R1342" s="406"/>
      <c r="S1342" s="405" t="s">
        <v>1443</v>
      </c>
      <c r="T1342" s="405">
        <v>60</v>
      </c>
      <c r="U1342" s="405">
        <v>49401140</v>
      </c>
      <c r="V1342" s="405" t="s">
        <v>973</v>
      </c>
      <c r="W1342" s="405">
        <v>400</v>
      </c>
      <c r="X1342" s="407">
        <v>768</v>
      </c>
      <c r="Y1342" s="408">
        <f t="shared" si="296"/>
        <v>307200</v>
      </c>
      <c r="Z1342" s="409">
        <f>210/400</f>
        <v>0.52500000000000002</v>
      </c>
      <c r="AA1342" s="410">
        <f t="shared" si="291"/>
        <v>161280</v>
      </c>
      <c r="AB1342" s="411"/>
      <c r="AC1342" s="412">
        <f>AB1342*Y1342</f>
        <v>0</v>
      </c>
      <c r="AD1342" s="421"/>
      <c r="AE1342" s="413"/>
      <c r="AF1342" s="424">
        <f t="shared" si="292"/>
        <v>161280</v>
      </c>
      <c r="AG1342" s="405" t="s">
        <v>1069</v>
      </c>
      <c r="AH1342" s="405"/>
      <c r="AI1342" s="414" t="s">
        <v>1962</v>
      </c>
      <c r="AJ1342" s="405" t="s">
        <v>2053</v>
      </c>
      <c r="AK1342" s="425" t="s">
        <v>1136</v>
      </c>
      <c r="AL1342" s="405">
        <v>78216</v>
      </c>
      <c r="AM1342" s="405" t="s">
        <v>52</v>
      </c>
      <c r="AN1342" s="405"/>
      <c r="AO1342" s="405"/>
      <c r="AP1342" s="417"/>
      <c r="AQ1342" s="417"/>
      <c r="AR1342" s="417"/>
      <c r="AS1342" s="426"/>
      <c r="AT1342" s="426"/>
      <c r="AU1342" s="409"/>
    </row>
    <row r="1343" spans="1:55" s="402" customFormat="1">
      <c r="A1343" s="403"/>
      <c r="B1343" s="445">
        <v>44522</v>
      </c>
      <c r="C1343" s="445"/>
      <c r="D1343" s="416" t="s">
        <v>1914</v>
      </c>
      <c r="E1343" s="405" t="s">
        <v>2218</v>
      </c>
      <c r="F1343" s="405"/>
      <c r="G1343" s="405">
        <v>2022</v>
      </c>
      <c r="H1343" s="405">
        <v>9</v>
      </c>
      <c r="I1343" s="416"/>
      <c r="J1343" s="406"/>
      <c r="K1343" s="414" t="s">
        <v>2220</v>
      </c>
      <c r="L1343" s="405" t="s">
        <v>1967</v>
      </c>
      <c r="M1343" s="418">
        <v>44518</v>
      </c>
      <c r="N1343" s="418">
        <v>44575</v>
      </c>
      <c r="O1343" s="418"/>
      <c r="P1343" s="406"/>
      <c r="Q1343" s="406"/>
      <c r="R1343" s="406"/>
      <c r="S1343" s="405" t="s">
        <v>1443</v>
      </c>
      <c r="T1343" s="405">
        <v>60</v>
      </c>
      <c r="U1343" s="405">
        <v>49401140</v>
      </c>
      <c r="V1343" s="405" t="s">
        <v>973</v>
      </c>
      <c r="W1343" s="405">
        <v>400</v>
      </c>
      <c r="X1343" s="407">
        <v>768</v>
      </c>
      <c r="Y1343" s="408">
        <f t="shared" si="296"/>
        <v>307200</v>
      </c>
      <c r="Z1343" s="409">
        <f>210/400</f>
        <v>0.52500000000000002</v>
      </c>
      <c r="AA1343" s="410">
        <f t="shared" si="291"/>
        <v>161280</v>
      </c>
      <c r="AB1343" s="411"/>
      <c r="AC1343" s="412">
        <f>AB1343*Y1343</f>
        <v>0</v>
      </c>
      <c r="AD1343" s="421"/>
      <c r="AE1343" s="413"/>
      <c r="AF1343" s="424">
        <f t="shared" si="292"/>
        <v>161280</v>
      </c>
      <c r="AG1343" s="405" t="s">
        <v>1069</v>
      </c>
      <c r="AH1343" s="405"/>
      <c r="AI1343" s="414" t="s">
        <v>1962</v>
      </c>
      <c r="AJ1343" s="405" t="s">
        <v>2053</v>
      </c>
      <c r="AK1343" s="425" t="s">
        <v>1136</v>
      </c>
      <c r="AL1343" s="405">
        <v>78216</v>
      </c>
      <c r="AM1343" s="405" t="s">
        <v>52</v>
      </c>
      <c r="AN1343" s="405"/>
      <c r="AO1343" s="405"/>
      <c r="AP1343" s="417"/>
      <c r="AQ1343" s="417"/>
      <c r="AR1343" s="417"/>
      <c r="AS1343" s="426"/>
      <c r="AT1343" s="426"/>
      <c r="AU1343" s="409"/>
      <c r="AV1343" s="402">
        <f>U1343</f>
        <v>49401140</v>
      </c>
      <c r="AW1343" s="402" cm="1">
        <f t="array" ref="AW1343">SUM(MID(0&amp;AV1343,LARGE(INDEX(ISNUMBER(--MID(AV1343,ROW($1:$8),1))*ROW($1:$8),),ROW($1:$8))+1,1)*10^ROW($1:$8)/10)</f>
        <v>49401140</v>
      </c>
      <c r="AX1343" s="402" t="str">
        <f>VLOOKUP($AW1343,'Item Master Data'!$A:$F,3,FALSE)</f>
        <v>Q.PEAK DUO BLK ML G10.a+</v>
      </c>
      <c r="AY1343" s="402">
        <f>VLOOKUP($AW1343,'Item Master Data'!$A:$F,6,FALSE)</f>
        <v>400</v>
      </c>
      <c r="AZ1343" s="402">
        <f>X1343/BA1343</f>
        <v>24</v>
      </c>
      <c r="BA1343" s="402">
        <f>VLOOKUP(AW1343,'Item Master Data'!$A:$G,7,FALSE)</f>
        <v>32</v>
      </c>
      <c r="BC1343" s="402">
        <f>W1343-AY1343</f>
        <v>0</v>
      </c>
    </row>
    <row r="1344" spans="1:55" s="402" customFormat="1">
      <c r="A1344" s="403"/>
      <c r="B1344" s="445">
        <v>44522</v>
      </c>
      <c r="C1344" s="445"/>
      <c r="D1344" s="416" t="s">
        <v>1914</v>
      </c>
      <c r="E1344" s="405" t="s">
        <v>2218</v>
      </c>
      <c r="F1344" s="405"/>
      <c r="G1344" s="405">
        <v>2022</v>
      </c>
      <c r="H1344" s="405">
        <v>9</v>
      </c>
      <c r="I1344" s="416"/>
      <c r="J1344" s="406"/>
      <c r="K1344" s="414" t="s">
        <v>2221</v>
      </c>
      <c r="L1344" s="405" t="s">
        <v>1967</v>
      </c>
      <c r="M1344" s="418">
        <v>44518</v>
      </c>
      <c r="N1344" s="418">
        <v>44599</v>
      </c>
      <c r="O1344" s="418"/>
      <c r="P1344" s="406"/>
      <c r="Q1344" s="406"/>
      <c r="R1344" s="406"/>
      <c r="S1344" s="405" t="s">
        <v>1443</v>
      </c>
      <c r="T1344" s="405">
        <v>60</v>
      </c>
      <c r="U1344" s="405">
        <v>49401140</v>
      </c>
      <c r="V1344" s="405" t="s">
        <v>973</v>
      </c>
      <c r="W1344" s="405">
        <v>400</v>
      </c>
      <c r="X1344" s="407">
        <v>768</v>
      </c>
      <c r="Y1344" s="408">
        <f t="shared" si="296"/>
        <v>307200</v>
      </c>
      <c r="Z1344" s="409">
        <f>210/400</f>
        <v>0.52500000000000002</v>
      </c>
      <c r="AA1344" s="410">
        <f t="shared" si="291"/>
        <v>161280</v>
      </c>
      <c r="AB1344" s="411"/>
      <c r="AC1344" s="412">
        <f>AB1344*Y1344</f>
        <v>0</v>
      </c>
      <c r="AD1344" s="421"/>
      <c r="AE1344" s="413"/>
      <c r="AF1344" s="424">
        <f t="shared" si="292"/>
        <v>161280</v>
      </c>
      <c r="AG1344" s="405" t="s">
        <v>1069</v>
      </c>
      <c r="AH1344" s="405"/>
      <c r="AI1344" s="414" t="s">
        <v>1962</v>
      </c>
      <c r="AJ1344" s="405" t="s">
        <v>2053</v>
      </c>
      <c r="AK1344" s="425" t="s">
        <v>1136</v>
      </c>
      <c r="AL1344" s="405">
        <v>78216</v>
      </c>
      <c r="AM1344" s="405" t="s">
        <v>52</v>
      </c>
      <c r="AN1344" s="405"/>
      <c r="AO1344" s="405"/>
      <c r="AP1344" s="417"/>
      <c r="AQ1344" s="417"/>
      <c r="AR1344" s="417"/>
      <c r="AS1344" s="426"/>
      <c r="AT1344" s="426"/>
      <c r="AU1344" s="409"/>
      <c r="AV1344" s="402">
        <f>U1344</f>
        <v>49401140</v>
      </c>
      <c r="AW1344" s="402" cm="1">
        <f t="array" ref="AW1344">SUM(MID(0&amp;AV1344,LARGE(INDEX(ISNUMBER(--MID(AV1344,ROW($1:$8),1))*ROW($1:$8),),ROW($1:$8))+1,1)*10^ROW($1:$8)/10)</f>
        <v>49401140</v>
      </c>
      <c r="AX1344" s="402" t="str">
        <f>VLOOKUP($AW1344,'Item Master Data'!$A:$F,3,FALSE)</f>
        <v>Q.PEAK DUO BLK ML G10.a+</v>
      </c>
      <c r="AY1344" s="402">
        <f>VLOOKUP($AW1344,'Item Master Data'!$A:$F,6,FALSE)</f>
        <v>400</v>
      </c>
      <c r="AZ1344" s="402">
        <f>X1344/BA1344</f>
        <v>24</v>
      </c>
      <c r="BA1344" s="402">
        <f>VLOOKUP(AW1344,'Item Master Data'!$A:$G,7,FALSE)</f>
        <v>32</v>
      </c>
      <c r="BC1344" s="402">
        <f>W1344-AY1344</f>
        <v>0</v>
      </c>
    </row>
    <row r="1345" spans="1:55" s="402" customFormat="1">
      <c r="A1345" s="403"/>
      <c r="B1345" s="445">
        <v>44522</v>
      </c>
      <c r="C1345" s="445"/>
      <c r="D1345" s="416" t="s">
        <v>1914</v>
      </c>
      <c r="E1345" s="405" t="s">
        <v>2218</v>
      </c>
      <c r="F1345" s="405"/>
      <c r="G1345" s="405">
        <v>2022</v>
      </c>
      <c r="H1345" s="405">
        <v>9</v>
      </c>
      <c r="I1345" s="416"/>
      <c r="J1345" s="406"/>
      <c r="K1345" s="414" t="s">
        <v>2222</v>
      </c>
      <c r="L1345" s="405" t="s">
        <v>1967</v>
      </c>
      <c r="M1345" s="418">
        <v>44518</v>
      </c>
      <c r="N1345" s="418">
        <v>44606</v>
      </c>
      <c r="O1345" s="418"/>
      <c r="P1345" s="406"/>
      <c r="Q1345" s="406"/>
      <c r="R1345" s="406"/>
      <c r="S1345" s="405" t="s">
        <v>1443</v>
      </c>
      <c r="T1345" s="405">
        <v>60</v>
      </c>
      <c r="U1345" s="405">
        <v>49401140</v>
      </c>
      <c r="V1345" s="405" t="s">
        <v>973</v>
      </c>
      <c r="W1345" s="405">
        <v>400</v>
      </c>
      <c r="X1345" s="407">
        <v>768</v>
      </c>
      <c r="Y1345" s="408">
        <f t="shared" si="296"/>
        <v>307200</v>
      </c>
      <c r="Z1345" s="409">
        <f>210/400</f>
        <v>0.52500000000000002</v>
      </c>
      <c r="AA1345" s="410">
        <f t="shared" si="291"/>
        <v>161280</v>
      </c>
      <c r="AB1345" s="411"/>
      <c r="AC1345" s="412">
        <f>AB1345*Y1345</f>
        <v>0</v>
      </c>
      <c r="AD1345" s="421"/>
      <c r="AE1345" s="413"/>
      <c r="AF1345" s="424">
        <f t="shared" si="292"/>
        <v>161280</v>
      </c>
      <c r="AG1345" s="405" t="s">
        <v>1069</v>
      </c>
      <c r="AH1345" s="405"/>
      <c r="AI1345" s="414" t="s">
        <v>1962</v>
      </c>
      <c r="AJ1345" s="405" t="s">
        <v>2053</v>
      </c>
      <c r="AK1345" s="425" t="s">
        <v>1136</v>
      </c>
      <c r="AL1345" s="405">
        <v>78216</v>
      </c>
      <c r="AM1345" s="405" t="s">
        <v>52</v>
      </c>
      <c r="AN1345" s="405"/>
      <c r="AO1345" s="405"/>
      <c r="AP1345" s="417"/>
      <c r="AQ1345" s="417"/>
      <c r="AR1345" s="417"/>
      <c r="AS1345" s="426"/>
      <c r="AT1345" s="426"/>
      <c r="AU1345" s="409"/>
      <c r="AV1345" s="402">
        <f>U1345</f>
        <v>49401140</v>
      </c>
      <c r="AW1345" s="402" cm="1">
        <f t="array" ref="AW1345">SUM(MID(0&amp;AV1345,LARGE(INDEX(ISNUMBER(--MID(AV1345,ROW($1:$8),1))*ROW($1:$8),),ROW($1:$8))+1,1)*10^ROW($1:$8)/10)</f>
        <v>49401140</v>
      </c>
      <c r="AX1345" s="402" t="str">
        <f>VLOOKUP($AW1345,'Item Master Data'!$A:$F,3,FALSE)</f>
        <v>Q.PEAK DUO BLK ML G10.a+</v>
      </c>
      <c r="AY1345" s="402">
        <f>VLOOKUP($AW1345,'Item Master Data'!$A:$F,6,FALSE)</f>
        <v>400</v>
      </c>
      <c r="AZ1345" s="402">
        <f>X1345/BA1345</f>
        <v>24</v>
      </c>
      <c r="BA1345" s="402">
        <f>VLOOKUP(AW1345,'Item Master Data'!$A:$G,7,FALSE)</f>
        <v>32</v>
      </c>
      <c r="BC1345" s="402">
        <f>W1345-AY1345</f>
        <v>0</v>
      </c>
    </row>
    <row r="1346" spans="1:55" s="402" customFormat="1">
      <c r="A1346" s="403"/>
      <c r="B1346" s="445">
        <v>44522</v>
      </c>
      <c r="C1346" s="445"/>
      <c r="D1346" s="416" t="s">
        <v>1914</v>
      </c>
      <c r="E1346" s="405" t="s">
        <v>2218</v>
      </c>
      <c r="F1346" s="405"/>
      <c r="G1346" s="405">
        <v>2022</v>
      </c>
      <c r="H1346" s="405">
        <v>9</v>
      </c>
      <c r="I1346" s="416"/>
      <c r="J1346" s="406"/>
      <c r="K1346" s="414" t="s">
        <v>2223</v>
      </c>
      <c r="L1346" s="405" t="s">
        <v>1967</v>
      </c>
      <c r="M1346" s="418">
        <v>44518</v>
      </c>
      <c r="N1346" s="418">
        <v>44627</v>
      </c>
      <c r="O1346" s="418"/>
      <c r="P1346" s="406"/>
      <c r="Q1346" s="406"/>
      <c r="R1346" s="406"/>
      <c r="S1346" s="405" t="s">
        <v>1443</v>
      </c>
      <c r="T1346" s="405">
        <v>60</v>
      </c>
      <c r="U1346" s="405">
        <v>49401140</v>
      </c>
      <c r="V1346" s="405" t="s">
        <v>973</v>
      </c>
      <c r="W1346" s="405">
        <v>400</v>
      </c>
      <c r="X1346" s="407">
        <v>768</v>
      </c>
      <c r="Y1346" s="408">
        <f t="shared" si="296"/>
        <v>307200</v>
      </c>
      <c r="Z1346" s="409">
        <f>210/400</f>
        <v>0.52500000000000002</v>
      </c>
      <c r="AA1346" s="410">
        <f t="shared" si="291"/>
        <v>161280</v>
      </c>
      <c r="AB1346" s="411"/>
      <c r="AC1346" s="412">
        <f>AB1346*Y1346</f>
        <v>0</v>
      </c>
      <c r="AD1346" s="421"/>
      <c r="AE1346" s="413"/>
      <c r="AF1346" s="424">
        <f t="shared" si="292"/>
        <v>161280</v>
      </c>
      <c r="AG1346" s="405" t="s">
        <v>1069</v>
      </c>
      <c r="AH1346" s="405"/>
      <c r="AI1346" s="414" t="s">
        <v>1962</v>
      </c>
      <c r="AJ1346" s="405" t="s">
        <v>2053</v>
      </c>
      <c r="AK1346" s="425" t="s">
        <v>1136</v>
      </c>
      <c r="AL1346" s="405">
        <v>78216</v>
      </c>
      <c r="AM1346" s="405" t="s">
        <v>52</v>
      </c>
      <c r="AN1346" s="405"/>
      <c r="AO1346" s="405"/>
      <c r="AP1346" s="417"/>
      <c r="AQ1346" s="417"/>
      <c r="AR1346" s="417"/>
      <c r="AS1346" s="426"/>
      <c r="AT1346" s="426"/>
      <c r="AU1346" s="409"/>
      <c r="AV1346" s="402">
        <f>U1346</f>
        <v>49401140</v>
      </c>
      <c r="AW1346" s="402" cm="1">
        <f t="array" ref="AW1346">SUM(MID(0&amp;AV1346,LARGE(INDEX(ISNUMBER(--MID(AV1346,ROW($1:$8),1))*ROW($1:$8),),ROW($1:$8))+1,1)*10^ROW($1:$8)/10)</f>
        <v>49401140</v>
      </c>
      <c r="AX1346" s="402" t="str">
        <f>VLOOKUP($AW1346,'Item Master Data'!$A:$F,3,FALSE)</f>
        <v>Q.PEAK DUO BLK ML G10.a+</v>
      </c>
      <c r="AY1346" s="402">
        <f>VLOOKUP($AW1346,'Item Master Data'!$A:$F,6,FALSE)</f>
        <v>400</v>
      </c>
      <c r="AZ1346" s="402">
        <f>X1346/BA1346</f>
        <v>24</v>
      </c>
      <c r="BA1346" s="402">
        <f>VLOOKUP(AW1346,'Item Master Data'!$A:$G,7,FALSE)</f>
        <v>32</v>
      </c>
      <c r="BC1346" s="402">
        <f>W1346-AY1346</f>
        <v>0</v>
      </c>
    </row>
    <row r="1347" spans="1:55" s="402" customFormat="1">
      <c r="A1347" s="403"/>
      <c r="B1347" s="445">
        <v>44522</v>
      </c>
      <c r="C1347" s="445"/>
      <c r="D1347" s="416" t="s">
        <v>1914</v>
      </c>
      <c r="E1347" s="405" t="s">
        <v>2155</v>
      </c>
      <c r="F1347" s="405"/>
      <c r="G1347" s="405">
        <v>2022</v>
      </c>
      <c r="H1347" s="405">
        <v>9</v>
      </c>
      <c r="I1347" s="416"/>
      <c r="J1347" s="406"/>
      <c r="K1347" s="414" t="s">
        <v>2226</v>
      </c>
      <c r="L1347" s="405" t="s">
        <v>1967</v>
      </c>
      <c r="M1347" s="418">
        <v>44518</v>
      </c>
      <c r="N1347" s="418">
        <v>44716</v>
      </c>
      <c r="O1347" s="418"/>
      <c r="P1347" s="406"/>
      <c r="Q1347" s="406"/>
      <c r="R1347" s="406"/>
      <c r="S1347" s="405" t="s">
        <v>1443</v>
      </c>
      <c r="T1347" s="405">
        <v>60</v>
      </c>
      <c r="U1347" s="405">
        <v>49401140</v>
      </c>
      <c r="V1347" s="405" t="s">
        <v>973</v>
      </c>
      <c r="W1347" s="405">
        <v>400</v>
      </c>
      <c r="X1347" s="407">
        <v>768</v>
      </c>
      <c r="Y1347" s="408">
        <v>307200</v>
      </c>
      <c r="Z1347" s="409">
        <v>0.64</v>
      </c>
      <c r="AA1347" s="410">
        <f t="shared" si="291"/>
        <v>196608</v>
      </c>
      <c r="AB1347" s="411"/>
      <c r="AC1347" s="412">
        <v>0</v>
      </c>
      <c r="AD1347" s="421"/>
      <c r="AE1347" s="413"/>
      <c r="AF1347" s="424">
        <f t="shared" si="292"/>
        <v>196608</v>
      </c>
      <c r="AG1347" s="405" t="s">
        <v>1069</v>
      </c>
      <c r="AH1347" s="405"/>
      <c r="AI1347" s="414" t="s">
        <v>1962</v>
      </c>
      <c r="AJ1347" s="405" t="s">
        <v>1944</v>
      </c>
      <c r="AK1347" s="425" t="s">
        <v>1136</v>
      </c>
      <c r="AL1347" s="405">
        <v>75063</v>
      </c>
      <c r="AM1347" s="405" t="s">
        <v>52</v>
      </c>
      <c r="AN1347" s="405"/>
      <c r="AO1347" s="405"/>
      <c r="AP1347" s="417"/>
      <c r="AQ1347" s="417"/>
      <c r="AR1347" s="417"/>
      <c r="AS1347" s="426"/>
      <c r="AT1347" s="426"/>
      <c r="AU1347" s="409"/>
    </row>
    <row r="1348" spans="1:55" s="402" customFormat="1">
      <c r="A1348" s="403"/>
      <c r="B1348" s="445" t="s">
        <v>4251</v>
      </c>
      <c r="C1348" s="445" t="s">
        <v>4251</v>
      </c>
      <c r="D1348" s="416" t="s">
        <v>1914</v>
      </c>
      <c r="E1348" s="405" t="s">
        <v>4254</v>
      </c>
      <c r="F1348" s="405"/>
      <c r="G1348" s="405">
        <v>2022</v>
      </c>
      <c r="H1348" s="405">
        <v>9</v>
      </c>
      <c r="I1348" s="416"/>
      <c r="J1348" s="406"/>
      <c r="K1348" s="414" t="s">
        <v>2005</v>
      </c>
      <c r="L1348" s="405" t="s">
        <v>1967</v>
      </c>
      <c r="M1348" s="418">
        <v>44595</v>
      </c>
      <c r="N1348" s="418">
        <v>44658</v>
      </c>
      <c r="O1348" s="418"/>
      <c r="P1348" s="406"/>
      <c r="Q1348" s="406"/>
      <c r="R1348" s="406"/>
      <c r="S1348" s="405" t="s">
        <v>1443</v>
      </c>
      <c r="T1348" s="405">
        <v>72</v>
      </c>
      <c r="U1348" s="405" t="s">
        <v>1102</v>
      </c>
      <c r="V1348" s="405" t="s">
        <v>1068</v>
      </c>
      <c r="W1348" s="405">
        <v>480</v>
      </c>
      <c r="X1348" s="407">
        <v>696</v>
      </c>
      <c r="Y1348" s="408">
        <f>X1348*W1348</f>
        <v>334080</v>
      </c>
      <c r="Z1348" s="409">
        <f>237.6/480</f>
        <v>0.495</v>
      </c>
      <c r="AA1348" s="410">
        <f t="shared" si="291"/>
        <v>165369.60000000001</v>
      </c>
      <c r="AB1348" s="411"/>
      <c r="AC1348" s="412">
        <v>0</v>
      </c>
      <c r="AD1348" s="421"/>
      <c r="AE1348" s="413"/>
      <c r="AF1348" s="424">
        <f t="shared" si="292"/>
        <v>165369.60000000001</v>
      </c>
      <c r="AG1348" s="405" t="s">
        <v>1069</v>
      </c>
      <c r="AH1348" s="405"/>
      <c r="AI1348" s="414" t="s">
        <v>1962</v>
      </c>
      <c r="AJ1348" s="405" t="s">
        <v>1584</v>
      </c>
      <c r="AK1348" s="425" t="s">
        <v>50</v>
      </c>
      <c r="AL1348" s="405">
        <v>95834</v>
      </c>
      <c r="AM1348" s="405" t="s">
        <v>52</v>
      </c>
      <c r="AN1348" s="405" t="s">
        <v>1071</v>
      </c>
      <c r="AO1348" s="405"/>
      <c r="AP1348" s="417"/>
      <c r="AQ1348" s="417" t="s">
        <v>37</v>
      </c>
      <c r="AR1348" s="417"/>
      <c r="AS1348" s="426"/>
      <c r="AT1348" s="426"/>
      <c r="AU1348" s="409"/>
    </row>
    <row r="1349" spans="1:55" s="402" customFormat="1">
      <c r="A1349" s="403"/>
      <c r="B1349" s="445" t="s">
        <v>4251</v>
      </c>
      <c r="C1349" s="445" t="s">
        <v>4251</v>
      </c>
      <c r="D1349" s="416" t="s">
        <v>1914</v>
      </c>
      <c r="E1349" s="405" t="s">
        <v>4255</v>
      </c>
      <c r="F1349" s="405"/>
      <c r="G1349" s="405">
        <v>2022</v>
      </c>
      <c r="H1349" s="405">
        <v>9</v>
      </c>
      <c r="I1349" s="416"/>
      <c r="J1349" s="406"/>
      <c r="K1349" s="414" t="s">
        <v>2064</v>
      </c>
      <c r="L1349" s="405" t="s">
        <v>1967</v>
      </c>
      <c r="M1349" s="418">
        <v>44595</v>
      </c>
      <c r="N1349" s="418">
        <v>44693</v>
      </c>
      <c r="O1349" s="418"/>
      <c r="P1349" s="406"/>
      <c r="Q1349" s="406"/>
      <c r="R1349" s="406"/>
      <c r="S1349" s="405" t="s">
        <v>1443</v>
      </c>
      <c r="T1349" s="405">
        <v>72</v>
      </c>
      <c r="U1349" s="405" t="s">
        <v>1102</v>
      </c>
      <c r="V1349" s="405" t="s">
        <v>1068</v>
      </c>
      <c r="W1349" s="405">
        <v>480</v>
      </c>
      <c r="X1349" s="407">
        <v>696</v>
      </c>
      <c r="Y1349" s="408">
        <f>X1349*W1349</f>
        <v>334080</v>
      </c>
      <c r="Z1349" s="409">
        <f>237.6/480</f>
        <v>0.495</v>
      </c>
      <c r="AA1349" s="410">
        <f t="shared" si="291"/>
        <v>165369.60000000001</v>
      </c>
      <c r="AB1349" s="411"/>
      <c r="AC1349" s="412">
        <v>0</v>
      </c>
      <c r="AD1349" s="421"/>
      <c r="AE1349" s="413"/>
      <c r="AF1349" s="424">
        <f t="shared" si="292"/>
        <v>165369.60000000001</v>
      </c>
      <c r="AG1349" s="405" t="s">
        <v>1069</v>
      </c>
      <c r="AH1349" s="405"/>
      <c r="AI1349" s="414" t="s">
        <v>1962</v>
      </c>
      <c r="AJ1349" s="405" t="s">
        <v>1584</v>
      </c>
      <c r="AK1349" s="425" t="s">
        <v>50</v>
      </c>
      <c r="AL1349" s="405">
        <v>95834</v>
      </c>
      <c r="AM1349" s="405" t="s">
        <v>52</v>
      </c>
      <c r="AN1349" s="405" t="s">
        <v>1071</v>
      </c>
      <c r="AO1349" s="405"/>
      <c r="AP1349" s="417"/>
      <c r="AQ1349" s="417" t="s">
        <v>37</v>
      </c>
      <c r="AR1349" s="417"/>
      <c r="AS1349" s="426"/>
      <c r="AT1349" s="426"/>
      <c r="AU1349" s="409"/>
    </row>
    <row r="1350" spans="1:55" s="402" customFormat="1">
      <c r="A1350" s="403"/>
      <c r="B1350" s="445" t="s">
        <v>4251</v>
      </c>
      <c r="C1350" s="445">
        <v>44673</v>
      </c>
      <c r="D1350" s="416" t="s">
        <v>1914</v>
      </c>
      <c r="E1350" s="405" t="s">
        <v>3571</v>
      </c>
      <c r="F1350" s="405"/>
      <c r="G1350" s="405">
        <v>2022</v>
      </c>
      <c r="H1350" s="405">
        <v>9</v>
      </c>
      <c r="I1350" s="416"/>
      <c r="J1350" s="406"/>
      <c r="K1350" s="414" t="s">
        <v>2227</v>
      </c>
      <c r="L1350" s="405" t="s">
        <v>1967</v>
      </c>
      <c r="M1350" s="418">
        <v>44636</v>
      </c>
      <c r="N1350" s="418">
        <v>44814</v>
      </c>
      <c r="O1350" s="418"/>
      <c r="P1350" s="406"/>
      <c r="Q1350" s="406"/>
      <c r="R1350" s="406"/>
      <c r="S1350" s="405" t="s">
        <v>1443</v>
      </c>
      <c r="T1350" s="405">
        <v>72</v>
      </c>
      <c r="U1350" s="405" t="s">
        <v>1102</v>
      </c>
      <c r="V1350" s="405" t="s">
        <v>1068</v>
      </c>
      <c r="W1350" s="405">
        <v>480</v>
      </c>
      <c r="X1350" s="407">
        <v>696</v>
      </c>
      <c r="Y1350" s="408">
        <f>X1350*W1350</f>
        <v>334080</v>
      </c>
      <c r="Z1350" s="409">
        <f>237.6/480</f>
        <v>0.495</v>
      </c>
      <c r="AA1350" s="410">
        <f t="shared" si="291"/>
        <v>165369.60000000001</v>
      </c>
      <c r="AB1350" s="411"/>
      <c r="AC1350" s="412">
        <v>0</v>
      </c>
      <c r="AD1350" s="421"/>
      <c r="AE1350" s="413"/>
      <c r="AF1350" s="424">
        <f t="shared" si="292"/>
        <v>165369.60000000001</v>
      </c>
      <c r="AG1350" s="405" t="s">
        <v>1069</v>
      </c>
      <c r="AH1350" s="405"/>
      <c r="AI1350" s="414">
        <v>60</v>
      </c>
      <c r="AJ1350" s="405" t="s">
        <v>1584</v>
      </c>
      <c r="AK1350" s="425" t="s">
        <v>50</v>
      </c>
      <c r="AL1350" s="405">
        <v>95834</v>
      </c>
      <c r="AM1350" s="405" t="s">
        <v>52</v>
      </c>
      <c r="AN1350" s="405" t="s">
        <v>1071</v>
      </c>
      <c r="AO1350" s="405"/>
      <c r="AP1350" s="417"/>
      <c r="AQ1350" s="417" t="s">
        <v>37</v>
      </c>
      <c r="AR1350" s="417"/>
      <c r="AS1350" s="426"/>
      <c r="AT1350" s="426"/>
      <c r="AU1350" s="409"/>
    </row>
    <row r="1351" spans="1:55" s="402" customFormat="1">
      <c r="A1351" s="403"/>
      <c r="B1351" s="445">
        <v>44522</v>
      </c>
      <c r="C1351" s="445"/>
      <c r="D1351" s="416" t="s">
        <v>1914</v>
      </c>
      <c r="E1351" s="405" t="s">
        <v>4741</v>
      </c>
      <c r="F1351" s="405"/>
      <c r="G1351" s="405">
        <v>2022</v>
      </c>
      <c r="H1351" s="405">
        <v>9</v>
      </c>
      <c r="I1351" s="416"/>
      <c r="J1351" s="406"/>
      <c r="K1351" s="414" t="s">
        <v>2230</v>
      </c>
      <c r="L1351" s="405" t="s">
        <v>1967</v>
      </c>
      <c r="M1351" s="418">
        <v>44505</v>
      </c>
      <c r="N1351" s="418">
        <v>44718</v>
      </c>
      <c r="O1351" s="418"/>
      <c r="P1351" s="406"/>
      <c r="Q1351" s="406"/>
      <c r="R1351" s="406"/>
      <c r="S1351" s="405" t="s">
        <v>1443</v>
      </c>
      <c r="T1351" s="405">
        <v>60</v>
      </c>
      <c r="U1351" s="405">
        <v>49401140</v>
      </c>
      <c r="V1351" s="405" t="s">
        <v>1970</v>
      </c>
      <c r="W1351" s="405">
        <v>400</v>
      </c>
      <c r="X1351" s="407">
        <v>768</v>
      </c>
      <c r="Y1351" s="408">
        <v>307200</v>
      </c>
      <c r="Z1351" s="409">
        <v>0.64</v>
      </c>
      <c r="AA1351" s="410">
        <f t="shared" si="291"/>
        <v>196608</v>
      </c>
      <c r="AB1351" s="411"/>
      <c r="AC1351" s="412">
        <v>0</v>
      </c>
      <c r="AD1351" s="421"/>
      <c r="AE1351" s="413"/>
      <c r="AF1351" s="424">
        <f t="shared" si="292"/>
        <v>196608</v>
      </c>
      <c r="AG1351" s="405" t="s">
        <v>1069</v>
      </c>
      <c r="AH1351" s="405"/>
      <c r="AI1351" s="414" t="s">
        <v>1962</v>
      </c>
      <c r="AJ1351" s="405" t="s">
        <v>1573</v>
      </c>
      <c r="AK1351" s="425" t="s">
        <v>50</v>
      </c>
      <c r="AL1351" s="405" t="s">
        <v>1700</v>
      </c>
      <c r="AM1351" s="405" t="s">
        <v>52</v>
      </c>
      <c r="AN1351" s="405"/>
      <c r="AO1351" s="405"/>
      <c r="AP1351" s="417"/>
      <c r="AQ1351" s="417" t="s">
        <v>37</v>
      </c>
      <c r="AR1351" s="417"/>
      <c r="AS1351" s="426"/>
      <c r="AT1351" s="426"/>
      <c r="AU1351" s="409"/>
    </row>
    <row r="1352" spans="1:55" s="402" customFormat="1">
      <c r="A1352" s="403"/>
      <c r="B1352" s="445">
        <v>44522</v>
      </c>
      <c r="C1352" s="445"/>
      <c r="D1352" s="416" t="s">
        <v>1914</v>
      </c>
      <c r="E1352" s="405" t="s">
        <v>2155</v>
      </c>
      <c r="F1352" s="405"/>
      <c r="G1352" s="405">
        <v>2022</v>
      </c>
      <c r="H1352" s="405">
        <v>9</v>
      </c>
      <c r="I1352" s="416"/>
      <c r="J1352" s="406"/>
      <c r="K1352" s="414" t="s">
        <v>2232</v>
      </c>
      <c r="L1352" s="405" t="s">
        <v>1967</v>
      </c>
      <c r="M1352" s="418">
        <v>44505</v>
      </c>
      <c r="N1352" s="418">
        <v>44718</v>
      </c>
      <c r="O1352" s="418"/>
      <c r="P1352" s="406"/>
      <c r="Q1352" s="406"/>
      <c r="R1352" s="406"/>
      <c r="S1352" s="405" t="s">
        <v>1443</v>
      </c>
      <c r="T1352" s="405">
        <v>60</v>
      </c>
      <c r="U1352" s="405">
        <v>49401140</v>
      </c>
      <c r="V1352" s="405" t="s">
        <v>1970</v>
      </c>
      <c r="W1352" s="405">
        <v>400</v>
      </c>
      <c r="X1352" s="407">
        <v>768</v>
      </c>
      <c r="Y1352" s="408">
        <v>307200</v>
      </c>
      <c r="Z1352" s="409">
        <v>0.64</v>
      </c>
      <c r="AA1352" s="410">
        <f t="shared" si="291"/>
        <v>196608</v>
      </c>
      <c r="AB1352" s="411"/>
      <c r="AC1352" s="412">
        <v>0</v>
      </c>
      <c r="AD1352" s="421"/>
      <c r="AE1352" s="413"/>
      <c r="AF1352" s="424">
        <f t="shared" si="292"/>
        <v>196608</v>
      </c>
      <c r="AG1352" s="405" t="s">
        <v>1069</v>
      </c>
      <c r="AH1352" s="405"/>
      <c r="AI1352" s="414" t="s">
        <v>1962</v>
      </c>
      <c r="AJ1352" s="405" t="s">
        <v>1969</v>
      </c>
      <c r="AK1352" s="425" t="s">
        <v>1125</v>
      </c>
      <c r="AL1352" s="405" t="s">
        <v>2016</v>
      </c>
      <c r="AM1352" s="405" t="s">
        <v>52</v>
      </c>
      <c r="AN1352" s="405"/>
      <c r="AO1352" s="405"/>
      <c r="AP1352" s="417"/>
      <c r="AQ1352" s="417" t="s">
        <v>37</v>
      </c>
      <c r="AR1352" s="417"/>
      <c r="AS1352" s="426"/>
      <c r="AT1352" s="426"/>
      <c r="AU1352" s="409"/>
    </row>
    <row r="1353" spans="1:55" s="402" customFormat="1">
      <c r="A1353" s="403"/>
      <c r="B1353" s="445">
        <v>44557</v>
      </c>
      <c r="C1353" s="445">
        <v>44587</v>
      </c>
      <c r="D1353" s="416" t="s">
        <v>1914</v>
      </c>
      <c r="E1353" s="405" t="s">
        <v>1239</v>
      </c>
      <c r="F1353" s="405"/>
      <c r="G1353" s="405">
        <v>2022</v>
      </c>
      <c r="H1353" s="405">
        <v>9</v>
      </c>
      <c r="I1353" s="416"/>
      <c r="J1353" s="406"/>
      <c r="K1353" s="414" t="s">
        <v>2233</v>
      </c>
      <c r="L1353" s="405" t="s">
        <v>1967</v>
      </c>
      <c r="M1353" s="418">
        <v>44545</v>
      </c>
      <c r="N1353" s="418">
        <v>44814</v>
      </c>
      <c r="O1353" s="418"/>
      <c r="P1353" s="406"/>
      <c r="Q1353" s="406"/>
      <c r="R1353" s="406"/>
      <c r="S1353" s="405" t="s">
        <v>1443</v>
      </c>
      <c r="T1353" s="405">
        <v>60</v>
      </c>
      <c r="U1353" s="405">
        <v>49204132</v>
      </c>
      <c r="V1353" s="405" t="s">
        <v>1192</v>
      </c>
      <c r="W1353" s="405">
        <v>360</v>
      </c>
      <c r="X1353" s="407">
        <v>624</v>
      </c>
      <c r="Y1353" s="408">
        <f t="shared" ref="Y1353:Y1416" si="300">X1353*W1353</f>
        <v>224640</v>
      </c>
      <c r="Z1353" s="409">
        <v>0.79</v>
      </c>
      <c r="AA1353" s="410">
        <f t="shared" si="291"/>
        <v>177465.60000000001</v>
      </c>
      <c r="AB1353" s="411"/>
      <c r="AC1353" s="412">
        <v>0</v>
      </c>
      <c r="AD1353" s="421"/>
      <c r="AE1353" s="413"/>
      <c r="AF1353" s="424">
        <f t="shared" si="292"/>
        <v>177465.60000000001</v>
      </c>
      <c r="AG1353" s="405" t="s">
        <v>1069</v>
      </c>
      <c r="AH1353" s="405"/>
      <c r="AI1353" s="414" t="s">
        <v>1962</v>
      </c>
      <c r="AJ1353" s="405" t="s">
        <v>1969</v>
      </c>
      <c r="AK1353" s="425" t="s">
        <v>1125</v>
      </c>
      <c r="AL1353" s="405">
        <v>85008</v>
      </c>
      <c r="AM1353" s="405" t="s">
        <v>52</v>
      </c>
      <c r="AN1353" s="405" t="s">
        <v>1071</v>
      </c>
      <c r="AO1353" s="405"/>
      <c r="AP1353" s="417"/>
      <c r="AQ1353" s="417" t="s">
        <v>37</v>
      </c>
      <c r="AR1353" s="417"/>
      <c r="AS1353" s="426"/>
      <c r="AT1353" s="426"/>
      <c r="AU1353" s="409"/>
      <c r="AV1353" s="402">
        <f>U1353</f>
        <v>49204132</v>
      </c>
      <c r="AW1353" s="402" cm="1">
        <f t="array" ref="AW1353">SUM(MID(0&amp;AV1353,LARGE(INDEX(ISNUMBER(--MID(AV1353,ROW($1:$8),1))*ROW($1:$8),),ROW($1:$8))+1,1)*10^ROW($1:$8)/10)</f>
        <v>49204132</v>
      </c>
      <c r="AX1353" s="402" t="str">
        <f>VLOOKUP($AW1353,'Item Master Data'!$A:$F,3,FALSE)</f>
        <v>Q.PEAK DUO BLK G10+/AC</v>
      </c>
      <c r="AY1353" s="402">
        <f>VLOOKUP($AW1353,'Item Master Data'!$A:$F,6,FALSE)</f>
        <v>360</v>
      </c>
      <c r="AZ1353" s="402">
        <f>X1353/BA1353</f>
        <v>24</v>
      </c>
      <c r="BA1353" s="402">
        <f>VLOOKUP(AW1353,'Item Master Data'!$A:$G,7,FALSE)</f>
        <v>26</v>
      </c>
      <c r="BC1353" s="402">
        <f>W1353-AY1353</f>
        <v>0</v>
      </c>
    </row>
    <row r="1354" spans="1:55" s="402" customFormat="1">
      <c r="A1354" s="403"/>
      <c r="B1354" s="445">
        <v>44557</v>
      </c>
      <c r="C1354" s="445">
        <v>44587</v>
      </c>
      <c r="D1354" s="416" t="s">
        <v>1914</v>
      </c>
      <c r="E1354" s="405" t="s">
        <v>1239</v>
      </c>
      <c r="F1354" s="405"/>
      <c r="G1354" s="405">
        <v>2022</v>
      </c>
      <c r="H1354" s="405">
        <v>9</v>
      </c>
      <c r="I1354" s="416"/>
      <c r="J1354" s="406"/>
      <c r="K1354" s="414" t="s">
        <v>2234</v>
      </c>
      <c r="L1354" s="405" t="s">
        <v>2004</v>
      </c>
      <c r="M1354" s="418">
        <v>44545</v>
      </c>
      <c r="N1354" s="418">
        <v>44809</v>
      </c>
      <c r="O1354" s="418"/>
      <c r="P1354" s="406"/>
      <c r="Q1354" s="406"/>
      <c r="R1354" s="406"/>
      <c r="S1354" s="405" t="s">
        <v>1443</v>
      </c>
      <c r="T1354" s="405">
        <v>60</v>
      </c>
      <c r="U1354" s="405">
        <v>49204132</v>
      </c>
      <c r="V1354" s="405" t="s">
        <v>1192</v>
      </c>
      <c r="W1354" s="405">
        <v>360</v>
      </c>
      <c r="X1354" s="407">
        <v>832</v>
      </c>
      <c r="Y1354" s="408">
        <f t="shared" si="300"/>
        <v>299520</v>
      </c>
      <c r="Z1354" s="409">
        <v>0.78999999999999992</v>
      </c>
      <c r="AA1354" s="410">
        <f t="shared" si="291"/>
        <v>236620.79999999999</v>
      </c>
      <c r="AB1354" s="411"/>
      <c r="AC1354" s="412">
        <v>0</v>
      </c>
      <c r="AD1354" s="421"/>
      <c r="AE1354" s="413"/>
      <c r="AF1354" s="424">
        <f t="shared" si="292"/>
        <v>236620.79999999999</v>
      </c>
      <c r="AG1354" s="405" t="s">
        <v>1069</v>
      </c>
      <c r="AH1354" s="405"/>
      <c r="AI1354" s="414" t="s">
        <v>1962</v>
      </c>
      <c r="AJ1354" s="405" t="s">
        <v>1968</v>
      </c>
      <c r="AK1354" s="425" t="s">
        <v>1599</v>
      </c>
      <c r="AL1354" s="405">
        <v>97210</v>
      </c>
      <c r="AM1354" s="405" t="s">
        <v>52</v>
      </c>
      <c r="AN1354" s="405"/>
      <c r="AO1354" s="405"/>
      <c r="AP1354" s="417"/>
      <c r="AQ1354" s="417" t="s">
        <v>37</v>
      </c>
      <c r="AR1354" s="417"/>
      <c r="AS1354" s="426"/>
      <c r="AT1354" s="426"/>
      <c r="AU1354" s="409"/>
      <c r="AV1354" s="402">
        <f>U1354</f>
        <v>49204132</v>
      </c>
      <c r="AW1354" s="402" cm="1">
        <f t="array" ref="AW1354">SUM(MID(0&amp;AV1354,LARGE(INDEX(ISNUMBER(--MID(AV1354,ROW($1:$8),1))*ROW($1:$8),),ROW($1:$8))+1,1)*10^ROW($1:$8)/10)</f>
        <v>49204132</v>
      </c>
      <c r="AX1354" s="402" t="str">
        <f>VLOOKUP($AW1354,'Item Master Data'!$A:$F,3,FALSE)</f>
        <v>Q.PEAK DUO BLK G10+/AC</v>
      </c>
      <c r="AY1354" s="402">
        <f>VLOOKUP($AW1354,'Item Master Data'!$A:$F,6,FALSE)</f>
        <v>360</v>
      </c>
      <c r="AZ1354" s="402">
        <f>X1354/BA1354</f>
        <v>32</v>
      </c>
      <c r="BA1354" s="402">
        <f>VLOOKUP(AW1354,'Item Master Data'!$A:$G,7,FALSE)</f>
        <v>26</v>
      </c>
      <c r="BC1354" s="402">
        <f>W1354-AY1354</f>
        <v>0</v>
      </c>
    </row>
    <row r="1355" spans="1:55" s="402" customFormat="1">
      <c r="A1355" s="403"/>
      <c r="B1355" s="445">
        <v>44557</v>
      </c>
      <c r="C1355" s="445">
        <v>44587</v>
      </c>
      <c r="D1355" s="416" t="s">
        <v>1914</v>
      </c>
      <c r="E1355" s="405" t="s">
        <v>1239</v>
      </c>
      <c r="F1355" s="405"/>
      <c r="G1355" s="405">
        <v>2022</v>
      </c>
      <c r="H1355" s="405">
        <v>9</v>
      </c>
      <c r="I1355" s="416"/>
      <c r="J1355" s="406"/>
      <c r="K1355" s="414" t="s">
        <v>2235</v>
      </c>
      <c r="L1355" s="405" t="s">
        <v>2004</v>
      </c>
      <c r="M1355" s="418">
        <v>44545</v>
      </c>
      <c r="N1355" s="418">
        <v>44819</v>
      </c>
      <c r="O1355" s="418"/>
      <c r="P1355" s="406"/>
      <c r="Q1355" s="406"/>
      <c r="R1355" s="406"/>
      <c r="S1355" s="405" t="s">
        <v>1443</v>
      </c>
      <c r="T1355" s="405">
        <v>60</v>
      </c>
      <c r="U1355" s="405">
        <v>49204132</v>
      </c>
      <c r="V1355" s="405" t="s">
        <v>1192</v>
      </c>
      <c r="W1355" s="405">
        <v>360</v>
      </c>
      <c r="X1355" s="407">
        <v>832</v>
      </c>
      <c r="Y1355" s="408">
        <f t="shared" si="300"/>
        <v>299520</v>
      </c>
      <c r="Z1355" s="409">
        <v>0.78999999999999992</v>
      </c>
      <c r="AA1355" s="410">
        <f t="shared" si="291"/>
        <v>236620.79999999999</v>
      </c>
      <c r="AB1355" s="411"/>
      <c r="AC1355" s="412">
        <v>0</v>
      </c>
      <c r="AD1355" s="421"/>
      <c r="AE1355" s="413"/>
      <c r="AF1355" s="424">
        <f t="shared" si="292"/>
        <v>236620.79999999999</v>
      </c>
      <c r="AG1355" s="405" t="s">
        <v>1069</v>
      </c>
      <c r="AH1355" s="405"/>
      <c r="AI1355" s="414" t="s">
        <v>1962</v>
      </c>
      <c r="AJ1355" s="405" t="s">
        <v>1968</v>
      </c>
      <c r="AK1355" s="425" t="s">
        <v>1599</v>
      </c>
      <c r="AL1355" s="405">
        <v>97210</v>
      </c>
      <c r="AM1355" s="405" t="s">
        <v>52</v>
      </c>
      <c r="AN1355" s="405"/>
      <c r="AO1355" s="405"/>
      <c r="AP1355" s="417"/>
      <c r="AQ1355" s="417" t="s">
        <v>37</v>
      </c>
      <c r="AR1355" s="417"/>
      <c r="AS1355" s="426"/>
      <c r="AT1355" s="426"/>
      <c r="AU1355" s="409"/>
    </row>
    <row r="1356" spans="1:55" s="402" customFormat="1">
      <c r="A1356" s="403"/>
      <c r="B1356" s="445">
        <v>44557</v>
      </c>
      <c r="C1356" s="445">
        <v>44587</v>
      </c>
      <c r="D1356" s="416" t="s">
        <v>1914</v>
      </c>
      <c r="E1356" s="405" t="s">
        <v>1239</v>
      </c>
      <c r="F1356" s="405"/>
      <c r="G1356" s="405">
        <v>2022</v>
      </c>
      <c r="H1356" s="405">
        <v>9</v>
      </c>
      <c r="I1356" s="416"/>
      <c r="J1356" s="406"/>
      <c r="K1356" s="414" t="s">
        <v>2236</v>
      </c>
      <c r="L1356" s="405" t="s">
        <v>2004</v>
      </c>
      <c r="M1356" s="418">
        <v>44545</v>
      </c>
      <c r="N1356" s="418">
        <v>44814</v>
      </c>
      <c r="O1356" s="418"/>
      <c r="P1356" s="406"/>
      <c r="Q1356" s="406"/>
      <c r="R1356" s="406"/>
      <c r="S1356" s="405" t="s">
        <v>1443</v>
      </c>
      <c r="T1356" s="405">
        <v>60</v>
      </c>
      <c r="U1356" s="405">
        <v>49204132</v>
      </c>
      <c r="V1356" s="405" t="s">
        <v>1192</v>
      </c>
      <c r="W1356" s="405">
        <v>360</v>
      </c>
      <c r="X1356" s="407">
        <v>832</v>
      </c>
      <c r="Y1356" s="408">
        <f t="shared" si="300"/>
        <v>299520</v>
      </c>
      <c r="Z1356" s="409">
        <v>0.78999999999999992</v>
      </c>
      <c r="AA1356" s="410">
        <f t="shared" si="291"/>
        <v>236620.79999999999</v>
      </c>
      <c r="AB1356" s="411"/>
      <c r="AC1356" s="412">
        <v>0</v>
      </c>
      <c r="AD1356" s="421"/>
      <c r="AE1356" s="413"/>
      <c r="AF1356" s="424">
        <f t="shared" si="292"/>
        <v>236620.79999999999</v>
      </c>
      <c r="AG1356" s="405" t="s">
        <v>1069</v>
      </c>
      <c r="AH1356" s="405"/>
      <c r="AI1356" s="414" t="s">
        <v>1962</v>
      </c>
      <c r="AJ1356" s="405" t="s">
        <v>1968</v>
      </c>
      <c r="AK1356" s="425" t="s">
        <v>1599</v>
      </c>
      <c r="AL1356" s="405">
        <v>97210</v>
      </c>
      <c r="AM1356" s="405" t="s">
        <v>52</v>
      </c>
      <c r="AN1356" s="405"/>
      <c r="AO1356" s="405"/>
      <c r="AP1356" s="417"/>
      <c r="AQ1356" s="417" t="s">
        <v>37</v>
      </c>
      <c r="AR1356" s="417"/>
      <c r="AS1356" s="426"/>
      <c r="AT1356" s="426"/>
      <c r="AU1356" s="409"/>
      <c r="AV1356" s="402">
        <f>U1356</f>
        <v>49204132</v>
      </c>
      <c r="AW1356" s="402" cm="1">
        <f t="array" ref="AW1356">SUM(MID(0&amp;AV1356,LARGE(INDEX(ISNUMBER(--MID(AV1356,ROW($1:$8),1))*ROW($1:$8),),ROW($1:$8))+1,1)*10^ROW($1:$8)/10)</f>
        <v>49204132</v>
      </c>
      <c r="AX1356" s="402" t="str">
        <f>VLOOKUP($AW1356,'Item Master Data'!$A:$F,3,FALSE)</f>
        <v>Q.PEAK DUO BLK G10+/AC</v>
      </c>
      <c r="AY1356" s="402">
        <f>VLOOKUP($AW1356,'Item Master Data'!$A:$F,6,FALSE)</f>
        <v>360</v>
      </c>
      <c r="AZ1356" s="402">
        <f>X1356/BA1356</f>
        <v>32</v>
      </c>
      <c r="BA1356" s="402">
        <f>VLOOKUP(AW1356,'Item Master Data'!$A:$G,7,FALSE)</f>
        <v>26</v>
      </c>
      <c r="BC1356" s="402">
        <f>W1356-AY1356</f>
        <v>0</v>
      </c>
    </row>
    <row r="1357" spans="1:55" s="402" customFormat="1">
      <c r="A1357" s="403"/>
      <c r="B1357" s="445">
        <v>44557</v>
      </c>
      <c r="C1357" s="445">
        <v>44587</v>
      </c>
      <c r="D1357" s="416" t="s">
        <v>1914</v>
      </c>
      <c r="E1357" s="405" t="s">
        <v>1239</v>
      </c>
      <c r="F1357" s="405"/>
      <c r="G1357" s="405">
        <v>2022</v>
      </c>
      <c r="H1357" s="405">
        <v>9</v>
      </c>
      <c r="I1357" s="416"/>
      <c r="J1357" s="406"/>
      <c r="K1357" s="414" t="s">
        <v>2237</v>
      </c>
      <c r="L1357" s="405" t="s">
        <v>2004</v>
      </c>
      <c r="M1357" s="418">
        <v>44545</v>
      </c>
      <c r="N1357" s="418">
        <v>44816</v>
      </c>
      <c r="O1357" s="418"/>
      <c r="P1357" s="406"/>
      <c r="Q1357" s="406"/>
      <c r="R1357" s="406"/>
      <c r="S1357" s="405" t="s">
        <v>1443</v>
      </c>
      <c r="T1357" s="405">
        <v>60</v>
      </c>
      <c r="U1357" s="405">
        <v>49204132</v>
      </c>
      <c r="V1357" s="405" t="s">
        <v>1192</v>
      </c>
      <c r="W1357" s="405">
        <v>360</v>
      </c>
      <c r="X1357" s="407">
        <v>624</v>
      </c>
      <c r="Y1357" s="408">
        <f t="shared" si="300"/>
        <v>224640</v>
      </c>
      <c r="Z1357" s="409">
        <v>0.78999999999999992</v>
      </c>
      <c r="AA1357" s="410">
        <f t="shared" ref="AA1357:AA1420" si="301">Z1357*Y1357</f>
        <v>177465.59999999998</v>
      </c>
      <c r="AB1357" s="411"/>
      <c r="AC1357" s="412">
        <v>0</v>
      </c>
      <c r="AD1357" s="421"/>
      <c r="AE1357" s="413"/>
      <c r="AF1357" s="424">
        <f t="shared" ref="AF1357:AF1420" si="302">AA1357+AE1357</f>
        <v>177465.59999999998</v>
      </c>
      <c r="AG1357" s="405" t="s">
        <v>1069</v>
      </c>
      <c r="AH1357" s="405"/>
      <c r="AI1357" s="414" t="s">
        <v>1962</v>
      </c>
      <c r="AJ1357" s="405" t="s">
        <v>1616</v>
      </c>
      <c r="AK1357" s="425" t="s">
        <v>50</v>
      </c>
      <c r="AL1357" s="405">
        <v>93722</v>
      </c>
      <c r="AM1357" s="405" t="s">
        <v>52</v>
      </c>
      <c r="AN1357" s="405"/>
      <c r="AO1357" s="405"/>
      <c r="AP1357" s="417"/>
      <c r="AQ1357" s="417" t="s">
        <v>37</v>
      </c>
      <c r="AR1357" s="417"/>
      <c r="AS1357" s="426"/>
      <c r="AT1357" s="426"/>
      <c r="AU1357" s="409"/>
      <c r="AV1357" s="402">
        <f>U1357</f>
        <v>49204132</v>
      </c>
      <c r="AW1357" s="402" cm="1">
        <f t="array" ref="AW1357">SUM(MID(0&amp;AV1357,LARGE(INDEX(ISNUMBER(--MID(AV1357,ROW($1:$8),1))*ROW($1:$8),),ROW($1:$8))+1,1)*10^ROW($1:$8)/10)</f>
        <v>49204132</v>
      </c>
      <c r="AX1357" s="402" t="str">
        <f>VLOOKUP($AW1357,'Item Master Data'!$A:$F,3,FALSE)</f>
        <v>Q.PEAK DUO BLK G10+/AC</v>
      </c>
      <c r="AY1357" s="402">
        <f>VLOOKUP($AW1357,'Item Master Data'!$A:$F,6,FALSE)</f>
        <v>360</v>
      </c>
      <c r="AZ1357" s="402">
        <f>X1357/BA1357</f>
        <v>24</v>
      </c>
      <c r="BA1357" s="402">
        <f>VLOOKUP(AW1357,'Item Master Data'!$A:$G,7,FALSE)</f>
        <v>26</v>
      </c>
      <c r="BC1357" s="402">
        <f>W1357-AY1357</f>
        <v>0</v>
      </c>
    </row>
    <row r="1358" spans="1:55" s="402" customFormat="1">
      <c r="A1358" s="403"/>
      <c r="B1358" s="445"/>
      <c r="C1358" s="445"/>
      <c r="D1358" s="416" t="s">
        <v>1914</v>
      </c>
      <c r="E1358" s="405" t="s">
        <v>2120</v>
      </c>
      <c r="F1358" s="405"/>
      <c r="G1358" s="405">
        <v>2022</v>
      </c>
      <c r="H1358" s="405">
        <v>10</v>
      </c>
      <c r="I1358" s="416"/>
      <c r="J1358" s="406"/>
      <c r="K1358" s="414" t="s">
        <v>2174</v>
      </c>
      <c r="L1358" s="405" t="s">
        <v>1514</v>
      </c>
      <c r="M1358" s="418">
        <v>44641</v>
      </c>
      <c r="N1358" s="418">
        <v>44774</v>
      </c>
      <c r="O1358" s="418"/>
      <c r="P1358" s="406"/>
      <c r="Q1358" s="406"/>
      <c r="R1358" s="406"/>
      <c r="S1358" s="405" t="s">
        <v>1443</v>
      </c>
      <c r="T1358" s="405">
        <v>60</v>
      </c>
      <c r="U1358" s="405" t="s">
        <v>1237</v>
      </c>
      <c r="V1358" s="405" t="s">
        <v>973</v>
      </c>
      <c r="W1358" s="405">
        <v>400</v>
      </c>
      <c r="X1358" s="407">
        <f>4320-2304</f>
        <v>2016</v>
      </c>
      <c r="Y1358" s="408">
        <f t="shared" si="300"/>
        <v>806400</v>
      </c>
      <c r="Z1358" s="409">
        <f>220/400</f>
        <v>0.55000000000000004</v>
      </c>
      <c r="AA1358" s="410">
        <f t="shared" si="301"/>
        <v>443520.00000000006</v>
      </c>
      <c r="AB1358" s="411"/>
      <c r="AC1358" s="412">
        <f t="shared" ref="AC1358:AC1365" si="303">AB1358*Y1358</f>
        <v>0</v>
      </c>
      <c r="AD1358" s="421"/>
      <c r="AE1358" s="413"/>
      <c r="AF1358" s="424">
        <f t="shared" si="302"/>
        <v>443520.00000000006</v>
      </c>
      <c r="AG1358" s="405" t="s">
        <v>1069</v>
      </c>
      <c r="AH1358" s="405"/>
      <c r="AI1358" s="414">
        <v>60</v>
      </c>
      <c r="AJ1358" s="405" t="s">
        <v>1515</v>
      </c>
      <c r="AK1358" s="425" t="s">
        <v>1913</v>
      </c>
      <c r="AL1358" s="405">
        <v>92806</v>
      </c>
      <c r="AM1358" s="405" t="s">
        <v>52</v>
      </c>
      <c r="AN1358" s="405" t="s">
        <v>1071</v>
      </c>
      <c r="AO1358" s="405"/>
      <c r="AP1358" s="417"/>
      <c r="AQ1358" s="417"/>
      <c r="AR1358" s="417" t="s">
        <v>1934</v>
      </c>
      <c r="AS1358" s="426"/>
      <c r="AT1358" s="426"/>
      <c r="AU1358" s="409"/>
      <c r="AV1358" s="402" t="str">
        <f>U1358</f>
        <v>30390456H</v>
      </c>
      <c r="AW1358" s="402" cm="1">
        <f t="array" ref="AW1358">SUM(MID(0&amp;AV1358,LARGE(INDEX(ISNUMBER(--MID(AV1358,ROW($1:$8),1))*ROW($1:$8),),ROW($1:$8))+1,1)*10^ROW($1:$8)/10)</f>
        <v>30390456</v>
      </c>
      <c r="AX1358" s="402" t="str">
        <f>VLOOKUP($AW1358,'Item Master Data'!$A:$F,3,FALSE)</f>
        <v>Q.PEAK DUO BLK ML G10+</v>
      </c>
      <c r="AY1358" s="402">
        <f>VLOOKUP($AW1358,'Item Master Data'!$A:$F,6,FALSE)</f>
        <v>400</v>
      </c>
      <c r="AZ1358" s="402">
        <f>X1358/BA1358</f>
        <v>63</v>
      </c>
      <c r="BA1358" s="402">
        <f>VLOOKUP(AW1358,'Item Master Data'!$A:$G,7,FALSE)</f>
        <v>32</v>
      </c>
      <c r="BC1358" s="402">
        <f>W1358-AY1358</f>
        <v>0</v>
      </c>
    </row>
    <row r="1359" spans="1:55" s="402" customFormat="1">
      <c r="A1359" s="403"/>
      <c r="B1359" s="445"/>
      <c r="C1359" s="445"/>
      <c r="D1359" s="416" t="s">
        <v>1914</v>
      </c>
      <c r="E1359" s="405" t="s">
        <v>2120</v>
      </c>
      <c r="F1359" s="405"/>
      <c r="G1359" s="405">
        <v>2022</v>
      </c>
      <c r="H1359" s="405">
        <v>10</v>
      </c>
      <c r="I1359" s="416"/>
      <c r="J1359" s="406"/>
      <c r="K1359" s="414" t="s">
        <v>2206</v>
      </c>
      <c r="L1359" s="405" t="s">
        <v>1514</v>
      </c>
      <c r="M1359" s="418">
        <v>44641</v>
      </c>
      <c r="N1359" s="418">
        <v>44805</v>
      </c>
      <c r="O1359" s="418"/>
      <c r="P1359" s="406"/>
      <c r="Q1359" s="406"/>
      <c r="R1359" s="406"/>
      <c r="S1359" s="405" t="s">
        <v>1443</v>
      </c>
      <c r="T1359" s="405">
        <v>60</v>
      </c>
      <c r="U1359" s="405">
        <v>49403140</v>
      </c>
      <c r="V1359" s="405" t="s">
        <v>973</v>
      </c>
      <c r="W1359" s="405">
        <v>400</v>
      </c>
      <c r="X1359" s="407">
        <v>3936</v>
      </c>
      <c r="Y1359" s="408">
        <f t="shared" si="300"/>
        <v>1574400</v>
      </c>
      <c r="Z1359" s="409">
        <f>220/400</f>
        <v>0.55000000000000004</v>
      </c>
      <c r="AA1359" s="410">
        <f t="shared" si="301"/>
        <v>865920.00000000012</v>
      </c>
      <c r="AB1359" s="411"/>
      <c r="AC1359" s="412">
        <f t="shared" si="303"/>
        <v>0</v>
      </c>
      <c r="AD1359" s="421"/>
      <c r="AE1359" s="413"/>
      <c r="AF1359" s="424">
        <f t="shared" si="302"/>
        <v>865920.00000000012</v>
      </c>
      <c r="AG1359" s="405" t="s">
        <v>1069</v>
      </c>
      <c r="AH1359" s="405"/>
      <c r="AI1359" s="414">
        <v>60</v>
      </c>
      <c r="AJ1359" s="405" t="s">
        <v>1515</v>
      </c>
      <c r="AK1359" s="425" t="s">
        <v>1913</v>
      </c>
      <c r="AL1359" s="405">
        <v>92806</v>
      </c>
      <c r="AM1359" s="405" t="s">
        <v>52</v>
      </c>
      <c r="AN1359" s="405" t="s">
        <v>1071</v>
      </c>
      <c r="AO1359" s="405"/>
      <c r="AP1359" s="417"/>
      <c r="AQ1359" s="417"/>
      <c r="AR1359" s="417" t="s">
        <v>1934</v>
      </c>
      <c r="AS1359" s="426"/>
      <c r="AT1359" s="426"/>
      <c r="AU1359" s="409"/>
    </row>
    <row r="1360" spans="1:55" s="402" customFormat="1">
      <c r="A1360" s="403"/>
      <c r="B1360" s="445" t="s">
        <v>1186</v>
      </c>
      <c r="C1360" s="445" t="s">
        <v>1186</v>
      </c>
      <c r="D1360" s="416" t="s">
        <v>1914</v>
      </c>
      <c r="E1360" s="405" t="s">
        <v>1239</v>
      </c>
      <c r="F1360" s="405"/>
      <c r="G1360" s="405">
        <v>2022</v>
      </c>
      <c r="H1360" s="405">
        <v>10</v>
      </c>
      <c r="I1360" s="416"/>
      <c r="J1360" s="406"/>
      <c r="K1360" s="414" t="s">
        <v>2145</v>
      </c>
      <c r="L1360" s="405" t="s">
        <v>1960</v>
      </c>
      <c r="M1360" s="418">
        <v>44658</v>
      </c>
      <c r="N1360" s="418">
        <v>44839</v>
      </c>
      <c r="O1360" s="418"/>
      <c r="P1360" s="406"/>
      <c r="Q1360" s="406"/>
      <c r="R1360" s="406"/>
      <c r="S1360" s="405" t="s">
        <v>1443</v>
      </c>
      <c r="T1360" s="405">
        <v>60</v>
      </c>
      <c r="U1360" s="405" t="s">
        <v>1102</v>
      </c>
      <c r="V1360" s="405" t="s">
        <v>973</v>
      </c>
      <c r="W1360" s="405">
        <v>395</v>
      </c>
      <c r="X1360" s="407">
        <v>832</v>
      </c>
      <c r="Y1360" s="408">
        <f t="shared" si="300"/>
        <v>328640</v>
      </c>
      <c r="Z1360" s="409">
        <v>0.56000000000000005</v>
      </c>
      <c r="AA1360" s="410">
        <f t="shared" si="301"/>
        <v>184038.40000000002</v>
      </c>
      <c r="AB1360" s="411"/>
      <c r="AC1360" s="412">
        <f t="shared" si="303"/>
        <v>0</v>
      </c>
      <c r="AD1360" s="421"/>
      <c r="AE1360" s="413"/>
      <c r="AF1360" s="424">
        <f t="shared" si="302"/>
        <v>184038.40000000002</v>
      </c>
      <c r="AG1360" s="405" t="s">
        <v>47</v>
      </c>
      <c r="AH1360" s="405"/>
      <c r="AI1360" s="414">
        <v>60</v>
      </c>
      <c r="AJ1360" s="405" t="s">
        <v>1958</v>
      </c>
      <c r="AK1360" s="425" t="s">
        <v>1136</v>
      </c>
      <c r="AL1360" s="405">
        <v>78218</v>
      </c>
      <c r="AM1360" s="405" t="s">
        <v>52</v>
      </c>
      <c r="AN1360" s="405"/>
      <c r="AO1360" s="405"/>
      <c r="AP1360" s="417"/>
      <c r="AQ1360" s="417"/>
      <c r="AR1360" s="417" t="s">
        <v>1934</v>
      </c>
      <c r="AS1360" s="426"/>
      <c r="AT1360" s="426"/>
      <c r="AU1360" s="409"/>
    </row>
    <row r="1361" spans="1:55" s="402" customFormat="1">
      <c r="A1361" s="403"/>
      <c r="B1361" s="445" t="s">
        <v>1186</v>
      </c>
      <c r="C1361" s="445" t="s">
        <v>1186</v>
      </c>
      <c r="D1361" s="416" t="s">
        <v>1914</v>
      </c>
      <c r="E1361" s="405" t="s">
        <v>1239</v>
      </c>
      <c r="F1361" s="405"/>
      <c r="G1361" s="405">
        <v>2022</v>
      </c>
      <c r="H1361" s="405">
        <v>10</v>
      </c>
      <c r="I1361" s="416"/>
      <c r="J1361" s="406"/>
      <c r="K1361" s="414" t="s">
        <v>2146</v>
      </c>
      <c r="L1361" s="405" t="s">
        <v>1960</v>
      </c>
      <c r="M1361" s="418">
        <v>44658</v>
      </c>
      <c r="N1361" s="418">
        <v>44839</v>
      </c>
      <c r="O1361" s="418"/>
      <c r="P1361" s="406"/>
      <c r="Q1361" s="406"/>
      <c r="R1361" s="406"/>
      <c r="S1361" s="405" t="s">
        <v>1443</v>
      </c>
      <c r="T1361" s="405">
        <v>60</v>
      </c>
      <c r="U1361" s="405" t="s">
        <v>1102</v>
      </c>
      <c r="V1361" s="405" t="s">
        <v>973</v>
      </c>
      <c r="W1361" s="405">
        <v>395</v>
      </c>
      <c r="X1361" s="407">
        <v>832</v>
      </c>
      <c r="Y1361" s="408">
        <f t="shared" si="300"/>
        <v>328640</v>
      </c>
      <c r="Z1361" s="409">
        <v>0.56000000000000005</v>
      </c>
      <c r="AA1361" s="410">
        <f t="shared" si="301"/>
        <v>184038.40000000002</v>
      </c>
      <c r="AB1361" s="411"/>
      <c r="AC1361" s="412">
        <f t="shared" si="303"/>
        <v>0</v>
      </c>
      <c r="AD1361" s="421"/>
      <c r="AE1361" s="413"/>
      <c r="AF1361" s="424">
        <f t="shared" si="302"/>
        <v>184038.40000000002</v>
      </c>
      <c r="AG1361" s="405" t="s">
        <v>47</v>
      </c>
      <c r="AH1361" s="405"/>
      <c r="AI1361" s="414">
        <v>60</v>
      </c>
      <c r="AJ1361" s="405" t="s">
        <v>1500</v>
      </c>
      <c r="AK1361" s="425" t="s">
        <v>1082</v>
      </c>
      <c r="AL1361" s="405" t="s">
        <v>1989</v>
      </c>
      <c r="AM1361" s="405" t="s">
        <v>52</v>
      </c>
      <c r="AN1361" s="405"/>
      <c r="AO1361" s="405"/>
      <c r="AP1361" s="417"/>
      <c r="AQ1361" s="417"/>
      <c r="AR1361" s="417" t="s">
        <v>1934</v>
      </c>
      <c r="AS1361" s="426"/>
      <c r="AT1361" s="426"/>
      <c r="AU1361" s="409"/>
      <c r="AV1361" s="402" t="str">
        <f>U1361</f>
        <v>TBD</v>
      </c>
      <c r="AW1361" s="402" cm="1">
        <f t="array" ref="AW1361">SUM(MID(0&amp;AV1361,LARGE(INDEX(ISNUMBER(--MID(AV1361,ROW($1:$8),1))*ROW($1:$8),),ROW($1:$8))+1,1)*10^ROW($1:$8)/10)</f>
        <v>0</v>
      </c>
      <c r="AX1361" s="402" t="e">
        <f>VLOOKUP($AW1361,'Item Master Data'!$A:$F,3,FALSE)</f>
        <v>#N/A</v>
      </c>
      <c r="AY1361" s="402" t="e">
        <f>VLOOKUP($AW1361,'Item Master Data'!$A:$F,6,FALSE)</f>
        <v>#N/A</v>
      </c>
      <c r="AZ1361" s="402" t="e">
        <f>X1361/BA1361</f>
        <v>#N/A</v>
      </c>
      <c r="BA1361" s="402" t="e">
        <f>VLOOKUP(AW1361,'Item Master Data'!$A:$G,7,FALSE)</f>
        <v>#N/A</v>
      </c>
      <c r="BC1361" s="402" t="e">
        <f>W1361-AY1361</f>
        <v>#N/A</v>
      </c>
    </row>
    <row r="1362" spans="1:55" s="402" customFormat="1">
      <c r="A1362" s="403"/>
      <c r="B1362" s="445" t="s">
        <v>1186</v>
      </c>
      <c r="C1362" s="445" t="s">
        <v>1186</v>
      </c>
      <c r="D1362" s="416" t="s">
        <v>1914</v>
      </c>
      <c r="E1362" s="405" t="s">
        <v>1239</v>
      </c>
      <c r="F1362" s="405"/>
      <c r="G1362" s="405">
        <v>2022</v>
      </c>
      <c r="H1362" s="405">
        <v>10</v>
      </c>
      <c r="I1362" s="416"/>
      <c r="J1362" s="406"/>
      <c r="K1362" s="414" t="s">
        <v>2147</v>
      </c>
      <c r="L1362" s="405" t="s">
        <v>1960</v>
      </c>
      <c r="M1362" s="418">
        <v>44658</v>
      </c>
      <c r="N1362" s="418">
        <v>44839</v>
      </c>
      <c r="O1362" s="418"/>
      <c r="P1362" s="406"/>
      <c r="Q1362" s="406"/>
      <c r="R1362" s="406"/>
      <c r="S1362" s="405" t="s">
        <v>1443</v>
      </c>
      <c r="T1362" s="405">
        <v>60</v>
      </c>
      <c r="U1362" s="405" t="s">
        <v>1102</v>
      </c>
      <c r="V1362" s="405" t="s">
        <v>973</v>
      </c>
      <c r="W1362" s="405">
        <v>395</v>
      </c>
      <c r="X1362" s="407">
        <v>832</v>
      </c>
      <c r="Y1362" s="408">
        <f t="shared" si="300"/>
        <v>328640</v>
      </c>
      <c r="Z1362" s="409">
        <v>0.56000000000000005</v>
      </c>
      <c r="AA1362" s="410">
        <f t="shared" si="301"/>
        <v>184038.40000000002</v>
      </c>
      <c r="AB1362" s="411"/>
      <c r="AC1362" s="412">
        <f t="shared" si="303"/>
        <v>0</v>
      </c>
      <c r="AD1362" s="421"/>
      <c r="AE1362" s="413"/>
      <c r="AF1362" s="424">
        <f t="shared" si="302"/>
        <v>184038.40000000002</v>
      </c>
      <c r="AG1362" s="405" t="s">
        <v>47</v>
      </c>
      <c r="AH1362" s="405"/>
      <c r="AI1362" s="414">
        <v>60</v>
      </c>
      <c r="AJ1362" s="405" t="s">
        <v>1881</v>
      </c>
      <c r="AK1362" s="425" t="s">
        <v>1081</v>
      </c>
      <c r="AL1362" s="405">
        <v>32819</v>
      </c>
      <c r="AM1362" s="405" t="s">
        <v>52</v>
      </c>
      <c r="AN1362" s="405"/>
      <c r="AO1362" s="405"/>
      <c r="AP1362" s="417"/>
      <c r="AQ1362" s="417"/>
      <c r="AR1362" s="417" t="s">
        <v>1934</v>
      </c>
      <c r="AS1362" s="426"/>
      <c r="AT1362" s="426"/>
      <c r="AU1362" s="409"/>
      <c r="AV1362" s="402" t="str">
        <f>U1362</f>
        <v>TBD</v>
      </c>
      <c r="AW1362" s="402" cm="1">
        <f t="array" ref="AW1362">SUM(MID(0&amp;AV1362,LARGE(INDEX(ISNUMBER(--MID(AV1362,ROW($1:$8),1))*ROW($1:$8),),ROW($1:$8))+1,1)*10^ROW($1:$8)/10)</f>
        <v>0</v>
      </c>
      <c r="AX1362" s="402" t="e">
        <f>VLOOKUP($AW1362,'Item Master Data'!$A:$F,3,FALSE)</f>
        <v>#N/A</v>
      </c>
      <c r="AY1362" s="402" t="e">
        <f>VLOOKUP($AW1362,'Item Master Data'!$A:$F,6,FALSE)</f>
        <v>#N/A</v>
      </c>
      <c r="AZ1362" s="402" t="e">
        <f>X1362/BA1362</f>
        <v>#N/A</v>
      </c>
      <c r="BA1362" s="402" t="e">
        <f>VLOOKUP(AW1362,'Item Master Data'!$A:$G,7,FALSE)</f>
        <v>#N/A</v>
      </c>
      <c r="BC1362" s="402" t="e">
        <f>W1362-AY1362</f>
        <v>#N/A</v>
      </c>
    </row>
    <row r="1363" spans="1:55" s="402" customFormat="1">
      <c r="A1363" s="403"/>
      <c r="B1363" s="445" t="s">
        <v>1186</v>
      </c>
      <c r="C1363" s="445" t="s">
        <v>1186</v>
      </c>
      <c r="D1363" s="416" t="s">
        <v>1914</v>
      </c>
      <c r="E1363" s="405" t="s">
        <v>1239</v>
      </c>
      <c r="F1363" s="405"/>
      <c r="G1363" s="405">
        <v>2022</v>
      </c>
      <c r="H1363" s="405">
        <v>10</v>
      </c>
      <c r="I1363" s="416"/>
      <c r="J1363" s="406"/>
      <c r="K1363" s="414" t="s">
        <v>2176</v>
      </c>
      <c r="L1363" s="405" t="s">
        <v>1960</v>
      </c>
      <c r="M1363" s="418">
        <v>44658</v>
      </c>
      <c r="N1363" s="418">
        <v>44839</v>
      </c>
      <c r="O1363" s="418"/>
      <c r="P1363" s="406"/>
      <c r="Q1363" s="406"/>
      <c r="R1363" s="406"/>
      <c r="S1363" s="405" t="s">
        <v>1443</v>
      </c>
      <c r="T1363" s="405">
        <v>60</v>
      </c>
      <c r="U1363" s="405" t="s">
        <v>1102</v>
      </c>
      <c r="V1363" s="405" t="s">
        <v>973</v>
      </c>
      <c r="W1363" s="405">
        <v>395</v>
      </c>
      <c r="X1363" s="407">
        <v>832</v>
      </c>
      <c r="Y1363" s="408">
        <f t="shared" si="300"/>
        <v>328640</v>
      </c>
      <c r="Z1363" s="409">
        <v>0.56000000000000005</v>
      </c>
      <c r="AA1363" s="410">
        <f t="shared" si="301"/>
        <v>184038.40000000002</v>
      </c>
      <c r="AB1363" s="411"/>
      <c r="AC1363" s="412">
        <f t="shared" si="303"/>
        <v>0</v>
      </c>
      <c r="AD1363" s="421"/>
      <c r="AE1363" s="413"/>
      <c r="AF1363" s="424">
        <f t="shared" si="302"/>
        <v>184038.40000000002</v>
      </c>
      <c r="AG1363" s="405" t="s">
        <v>47</v>
      </c>
      <c r="AH1363" s="405"/>
      <c r="AI1363" s="414">
        <v>60</v>
      </c>
      <c r="AJ1363" s="405" t="s">
        <v>1584</v>
      </c>
      <c r="AK1363" s="425" t="s">
        <v>50</v>
      </c>
      <c r="AL1363" s="405">
        <v>95838</v>
      </c>
      <c r="AM1363" s="405" t="s">
        <v>52</v>
      </c>
      <c r="AN1363" s="405"/>
      <c r="AO1363" s="405"/>
      <c r="AP1363" s="417"/>
      <c r="AQ1363" s="417"/>
      <c r="AR1363" s="417" t="s">
        <v>1934</v>
      </c>
      <c r="AS1363" s="426"/>
      <c r="AT1363" s="426"/>
      <c r="AU1363" s="409"/>
      <c r="AV1363" s="402" t="str">
        <f>U1363</f>
        <v>TBD</v>
      </c>
      <c r="AW1363" s="402" cm="1">
        <f t="array" ref="AW1363">SUM(MID(0&amp;AV1363,LARGE(INDEX(ISNUMBER(--MID(AV1363,ROW($1:$8),1))*ROW($1:$8),),ROW($1:$8))+1,1)*10^ROW($1:$8)/10)</f>
        <v>0</v>
      </c>
      <c r="AX1363" s="402" t="e">
        <f>VLOOKUP($AW1363,'Item Master Data'!$A:$F,3,FALSE)</f>
        <v>#N/A</v>
      </c>
      <c r="AY1363" s="402" t="e">
        <f>VLOOKUP($AW1363,'Item Master Data'!$A:$F,6,FALSE)</f>
        <v>#N/A</v>
      </c>
      <c r="AZ1363" s="402" t="e">
        <f>X1363/BA1363</f>
        <v>#N/A</v>
      </c>
      <c r="BA1363" s="402" t="e">
        <f>VLOOKUP(AW1363,'Item Master Data'!$A:$G,7,FALSE)</f>
        <v>#N/A</v>
      </c>
      <c r="BC1363" s="402" t="e">
        <f>W1363-AY1363</f>
        <v>#N/A</v>
      </c>
    </row>
    <row r="1364" spans="1:55" s="402" customFormat="1">
      <c r="A1364" s="403"/>
      <c r="B1364" s="445" t="s">
        <v>1186</v>
      </c>
      <c r="C1364" s="445" t="s">
        <v>1186</v>
      </c>
      <c r="D1364" s="416" t="s">
        <v>1914</v>
      </c>
      <c r="E1364" s="405" t="s">
        <v>1239</v>
      </c>
      <c r="F1364" s="405"/>
      <c r="G1364" s="405">
        <v>2022</v>
      </c>
      <c r="H1364" s="405">
        <v>10</v>
      </c>
      <c r="I1364" s="416"/>
      <c r="J1364" s="406"/>
      <c r="K1364" s="414" t="s">
        <v>2177</v>
      </c>
      <c r="L1364" s="405" t="s">
        <v>1960</v>
      </c>
      <c r="M1364" s="418">
        <v>44658</v>
      </c>
      <c r="N1364" s="418">
        <v>44839</v>
      </c>
      <c r="O1364" s="418"/>
      <c r="P1364" s="406"/>
      <c r="Q1364" s="406"/>
      <c r="R1364" s="406"/>
      <c r="S1364" s="405" t="s">
        <v>1443</v>
      </c>
      <c r="T1364" s="405">
        <v>60</v>
      </c>
      <c r="U1364" s="405" t="s">
        <v>1102</v>
      </c>
      <c r="V1364" s="405" t="s">
        <v>973</v>
      </c>
      <c r="W1364" s="405">
        <v>395</v>
      </c>
      <c r="X1364" s="407">
        <v>832</v>
      </c>
      <c r="Y1364" s="408">
        <f t="shared" si="300"/>
        <v>328640</v>
      </c>
      <c r="Z1364" s="409">
        <v>0.56000000000000005</v>
      </c>
      <c r="AA1364" s="410">
        <f t="shared" si="301"/>
        <v>184038.40000000002</v>
      </c>
      <c r="AB1364" s="411"/>
      <c r="AC1364" s="412">
        <f t="shared" si="303"/>
        <v>0</v>
      </c>
      <c r="AD1364" s="421"/>
      <c r="AE1364" s="413"/>
      <c r="AF1364" s="424">
        <f t="shared" si="302"/>
        <v>184038.40000000002</v>
      </c>
      <c r="AG1364" s="405" t="s">
        <v>47</v>
      </c>
      <c r="AH1364" s="405"/>
      <c r="AI1364" s="414">
        <v>60</v>
      </c>
      <c r="AJ1364" s="405" t="s">
        <v>1965</v>
      </c>
      <c r="AK1364" s="425" t="s">
        <v>50</v>
      </c>
      <c r="AL1364" s="405">
        <v>92337</v>
      </c>
      <c r="AM1364" s="405" t="s">
        <v>52</v>
      </c>
      <c r="AN1364" s="405"/>
      <c r="AO1364" s="405"/>
      <c r="AP1364" s="417"/>
      <c r="AQ1364" s="417"/>
      <c r="AR1364" s="417" t="s">
        <v>1934</v>
      </c>
      <c r="AS1364" s="426"/>
      <c r="AT1364" s="426"/>
      <c r="AU1364" s="409"/>
    </row>
    <row r="1365" spans="1:55" s="402" customFormat="1">
      <c r="A1365" s="403"/>
      <c r="B1365" s="445" t="s">
        <v>1186</v>
      </c>
      <c r="C1365" s="445" t="s">
        <v>1186</v>
      </c>
      <c r="D1365" s="416" t="s">
        <v>1914</v>
      </c>
      <c r="E1365" s="405" t="s">
        <v>1239</v>
      </c>
      <c r="F1365" s="405"/>
      <c r="G1365" s="405">
        <v>2022</v>
      </c>
      <c r="H1365" s="405">
        <v>10</v>
      </c>
      <c r="I1365" s="416"/>
      <c r="J1365" s="406"/>
      <c r="K1365" s="414" t="s">
        <v>2178</v>
      </c>
      <c r="L1365" s="405" t="s">
        <v>1960</v>
      </c>
      <c r="M1365" s="418">
        <v>44658</v>
      </c>
      <c r="N1365" s="418">
        <v>44849</v>
      </c>
      <c r="O1365" s="418"/>
      <c r="P1365" s="406"/>
      <c r="Q1365" s="406"/>
      <c r="R1365" s="406"/>
      <c r="S1365" s="405" t="s">
        <v>1443</v>
      </c>
      <c r="T1365" s="405">
        <v>60</v>
      </c>
      <c r="U1365" s="405" t="s">
        <v>1102</v>
      </c>
      <c r="V1365" s="405" t="s">
        <v>973</v>
      </c>
      <c r="W1365" s="405">
        <v>395</v>
      </c>
      <c r="X1365" s="407">
        <v>832</v>
      </c>
      <c r="Y1365" s="408">
        <f t="shared" si="300"/>
        <v>328640</v>
      </c>
      <c r="Z1365" s="409">
        <v>0.56000000000000005</v>
      </c>
      <c r="AA1365" s="410">
        <f t="shared" si="301"/>
        <v>184038.40000000002</v>
      </c>
      <c r="AB1365" s="411"/>
      <c r="AC1365" s="412">
        <f t="shared" si="303"/>
        <v>0</v>
      </c>
      <c r="AD1365" s="421"/>
      <c r="AE1365" s="413"/>
      <c r="AF1365" s="424">
        <f t="shared" si="302"/>
        <v>184038.40000000002</v>
      </c>
      <c r="AG1365" s="405" t="s">
        <v>47</v>
      </c>
      <c r="AH1365" s="405"/>
      <c r="AI1365" s="414">
        <v>60</v>
      </c>
      <c r="AJ1365" s="405" t="s">
        <v>1584</v>
      </c>
      <c r="AK1365" s="425" t="s">
        <v>50</v>
      </c>
      <c r="AL1365" s="405">
        <v>95838</v>
      </c>
      <c r="AM1365" s="405" t="s">
        <v>52</v>
      </c>
      <c r="AN1365" s="405"/>
      <c r="AO1365" s="405"/>
      <c r="AP1365" s="417"/>
      <c r="AQ1365" s="417"/>
      <c r="AR1365" s="417" t="s">
        <v>1934</v>
      </c>
      <c r="AS1365" s="426"/>
      <c r="AT1365" s="426"/>
      <c r="AU1365" s="409"/>
    </row>
    <row r="1366" spans="1:55" s="402" customFormat="1">
      <c r="A1366" s="403"/>
      <c r="B1366" s="445"/>
      <c r="C1366" s="445"/>
      <c r="D1366" s="416" t="s">
        <v>1914</v>
      </c>
      <c r="E1366" s="405"/>
      <c r="F1366" s="405"/>
      <c r="G1366" s="405">
        <v>2022</v>
      </c>
      <c r="H1366" s="405">
        <v>10</v>
      </c>
      <c r="I1366" s="416"/>
      <c r="J1366" s="406"/>
      <c r="K1366" s="414" t="s">
        <v>2240</v>
      </c>
      <c r="L1366" s="405" t="s">
        <v>1960</v>
      </c>
      <c r="M1366" s="418">
        <v>44463</v>
      </c>
      <c r="N1366" s="418">
        <v>44634</v>
      </c>
      <c r="O1366" s="418"/>
      <c r="P1366" s="406"/>
      <c r="Q1366" s="406"/>
      <c r="R1366" s="406"/>
      <c r="S1366" s="405" t="s">
        <v>1443</v>
      </c>
      <c r="T1366" s="405">
        <v>60</v>
      </c>
      <c r="U1366" s="405">
        <v>49401139</v>
      </c>
      <c r="V1366" s="405" t="s">
        <v>985</v>
      </c>
      <c r="W1366" s="405">
        <v>395</v>
      </c>
      <c r="X1366" s="407">
        <v>832</v>
      </c>
      <c r="Y1366" s="408">
        <f t="shared" si="300"/>
        <v>328640</v>
      </c>
      <c r="Z1366" s="409">
        <v>0.53</v>
      </c>
      <c r="AA1366" s="410">
        <f t="shared" si="301"/>
        <v>174179.20000000001</v>
      </c>
      <c r="AB1366" s="411"/>
      <c r="AC1366" s="412">
        <v>0</v>
      </c>
      <c r="AD1366" s="421"/>
      <c r="AE1366" s="413"/>
      <c r="AF1366" s="424">
        <f t="shared" si="302"/>
        <v>174179.20000000001</v>
      </c>
      <c r="AG1366" s="405" t="s">
        <v>47</v>
      </c>
      <c r="AH1366" s="405" t="s">
        <v>1963</v>
      </c>
      <c r="AI1366" s="414">
        <v>60</v>
      </c>
      <c r="AJ1366" s="405" t="s">
        <v>1584</v>
      </c>
      <c r="AK1366" s="425" t="s">
        <v>50</v>
      </c>
      <c r="AL1366" s="405" t="s">
        <v>1966</v>
      </c>
      <c r="AM1366" s="405" t="s">
        <v>52</v>
      </c>
      <c r="AN1366" s="405"/>
      <c r="AO1366" s="405"/>
      <c r="AP1366" s="417"/>
      <c r="AQ1366" s="417"/>
      <c r="AR1366" s="417"/>
      <c r="AS1366" s="426"/>
      <c r="AT1366" s="426"/>
      <c r="AU1366" s="409"/>
      <c r="AV1366" s="402">
        <f>U1366</f>
        <v>49401139</v>
      </c>
      <c r="AW1366" s="402" cm="1">
        <f t="array" ref="AW1366">SUM(MID(0&amp;AV1366,LARGE(INDEX(ISNUMBER(--MID(AV1366,ROW($1:$8),1))*ROW($1:$8),),ROW($1:$8))+1,1)*10^ROW($1:$8)/10)</f>
        <v>49401139</v>
      </c>
      <c r="AX1366" s="402" t="str">
        <f>VLOOKUP($AW1366,'Item Master Data'!$A:$F,3,FALSE)</f>
        <v>Q.PEAK DUO BLK ML G10.a+</v>
      </c>
      <c r="AY1366" s="402">
        <f>VLOOKUP($AW1366,'Item Master Data'!$A:$F,6,FALSE)</f>
        <v>395</v>
      </c>
      <c r="AZ1366" s="402">
        <f>X1366/BA1366</f>
        <v>26</v>
      </c>
      <c r="BA1366" s="402">
        <f>VLOOKUP(AW1366,'Item Master Data'!$A:$G,7,FALSE)</f>
        <v>32</v>
      </c>
      <c r="BC1366" s="402">
        <f>W1366-AY1366</f>
        <v>0</v>
      </c>
    </row>
    <row r="1367" spans="1:55" s="402" customFormat="1">
      <c r="A1367" s="403"/>
      <c r="B1367" s="445"/>
      <c r="C1367" s="445"/>
      <c r="D1367" s="416" t="s">
        <v>1914</v>
      </c>
      <c r="E1367" s="405"/>
      <c r="F1367" s="405"/>
      <c r="G1367" s="405">
        <v>2022</v>
      </c>
      <c r="H1367" s="405">
        <v>10</v>
      </c>
      <c r="I1367" s="416"/>
      <c r="J1367" s="406"/>
      <c r="K1367" s="414" t="s">
        <v>2241</v>
      </c>
      <c r="L1367" s="405" t="s">
        <v>1960</v>
      </c>
      <c r="M1367" s="418">
        <v>44463</v>
      </c>
      <c r="N1367" s="418">
        <v>44643</v>
      </c>
      <c r="O1367" s="418"/>
      <c r="P1367" s="406"/>
      <c r="Q1367" s="406"/>
      <c r="R1367" s="406"/>
      <c r="S1367" s="405" t="s">
        <v>1443</v>
      </c>
      <c r="T1367" s="405">
        <v>60</v>
      </c>
      <c r="U1367" s="405">
        <v>49401139</v>
      </c>
      <c r="V1367" s="405" t="s">
        <v>985</v>
      </c>
      <c r="W1367" s="405">
        <v>395</v>
      </c>
      <c r="X1367" s="407">
        <v>832</v>
      </c>
      <c r="Y1367" s="408">
        <f t="shared" si="300"/>
        <v>328640</v>
      </c>
      <c r="Z1367" s="409">
        <v>0.53</v>
      </c>
      <c r="AA1367" s="410">
        <f t="shared" si="301"/>
        <v>174179.20000000001</v>
      </c>
      <c r="AB1367" s="411"/>
      <c r="AC1367" s="412">
        <v>0</v>
      </c>
      <c r="AD1367" s="421"/>
      <c r="AE1367" s="413"/>
      <c r="AF1367" s="424">
        <f t="shared" si="302"/>
        <v>174179.20000000001</v>
      </c>
      <c r="AG1367" s="405" t="s">
        <v>47</v>
      </c>
      <c r="AH1367" s="405" t="s">
        <v>1963</v>
      </c>
      <c r="AI1367" s="414">
        <v>60</v>
      </c>
      <c r="AJ1367" s="405" t="s">
        <v>1584</v>
      </c>
      <c r="AK1367" s="425" t="s">
        <v>50</v>
      </c>
      <c r="AL1367" s="405" t="s">
        <v>1966</v>
      </c>
      <c r="AM1367" s="405" t="s">
        <v>52</v>
      </c>
      <c r="AN1367" s="405"/>
      <c r="AO1367" s="405"/>
      <c r="AP1367" s="417"/>
      <c r="AQ1367" s="417"/>
      <c r="AR1367" s="417"/>
      <c r="AS1367" s="426"/>
      <c r="AT1367" s="426"/>
      <c r="AU1367" s="409"/>
      <c r="AV1367" s="402">
        <f>U1367</f>
        <v>49401139</v>
      </c>
      <c r="AW1367" s="402" cm="1">
        <f t="array" ref="AW1367">SUM(MID(0&amp;AV1367,LARGE(INDEX(ISNUMBER(--MID(AV1367,ROW($1:$8),1))*ROW($1:$8),),ROW($1:$8))+1,1)*10^ROW($1:$8)/10)</f>
        <v>49401139</v>
      </c>
      <c r="AX1367" s="402" t="str">
        <f>VLOOKUP($AW1367,'Item Master Data'!$A:$F,3,FALSE)</f>
        <v>Q.PEAK DUO BLK ML G10.a+</v>
      </c>
      <c r="AY1367" s="402">
        <f>VLOOKUP($AW1367,'Item Master Data'!$A:$F,6,FALSE)</f>
        <v>395</v>
      </c>
      <c r="AZ1367" s="402">
        <f>X1367/BA1367</f>
        <v>26</v>
      </c>
      <c r="BA1367" s="402">
        <f>VLOOKUP(AW1367,'Item Master Data'!$A:$G,7,FALSE)</f>
        <v>32</v>
      </c>
      <c r="BC1367" s="402">
        <f>W1367-AY1367</f>
        <v>0</v>
      </c>
    </row>
    <row r="1368" spans="1:55" s="402" customFormat="1">
      <c r="A1368" s="403"/>
      <c r="B1368" s="445"/>
      <c r="C1368" s="445"/>
      <c r="D1368" s="416" t="s">
        <v>1914</v>
      </c>
      <c r="E1368" s="405"/>
      <c r="F1368" s="405"/>
      <c r="G1368" s="405">
        <v>2022</v>
      </c>
      <c r="H1368" s="405">
        <v>10</v>
      </c>
      <c r="I1368" s="416"/>
      <c r="J1368" s="406"/>
      <c r="K1368" s="414" t="s">
        <v>2242</v>
      </c>
      <c r="L1368" s="405" t="s">
        <v>1960</v>
      </c>
      <c r="M1368" s="418">
        <v>44463</v>
      </c>
      <c r="N1368" s="418">
        <v>44627</v>
      </c>
      <c r="O1368" s="418"/>
      <c r="P1368" s="406"/>
      <c r="Q1368" s="406"/>
      <c r="R1368" s="406"/>
      <c r="S1368" s="405" t="s">
        <v>1443</v>
      </c>
      <c r="T1368" s="405">
        <v>60</v>
      </c>
      <c r="U1368" s="405">
        <v>49401139</v>
      </c>
      <c r="V1368" s="405" t="s">
        <v>985</v>
      </c>
      <c r="W1368" s="405">
        <v>395</v>
      </c>
      <c r="X1368" s="407">
        <v>832</v>
      </c>
      <c r="Y1368" s="408">
        <f t="shared" si="300"/>
        <v>328640</v>
      </c>
      <c r="Z1368" s="409">
        <v>0.53</v>
      </c>
      <c r="AA1368" s="410">
        <f t="shared" si="301"/>
        <v>174179.20000000001</v>
      </c>
      <c r="AB1368" s="411"/>
      <c r="AC1368" s="412">
        <v>0</v>
      </c>
      <c r="AD1368" s="421"/>
      <c r="AE1368" s="413"/>
      <c r="AF1368" s="424">
        <f t="shared" si="302"/>
        <v>174179.20000000001</v>
      </c>
      <c r="AG1368" s="405" t="s">
        <v>47</v>
      </c>
      <c r="AH1368" s="405" t="s">
        <v>1963</v>
      </c>
      <c r="AI1368" s="414">
        <v>60</v>
      </c>
      <c r="AJ1368" s="405" t="s">
        <v>1965</v>
      </c>
      <c r="AK1368" s="425" t="s">
        <v>50</v>
      </c>
      <c r="AL1368" s="405" t="s">
        <v>1997</v>
      </c>
      <c r="AM1368" s="405" t="s">
        <v>52</v>
      </c>
      <c r="AN1368" s="405"/>
      <c r="AO1368" s="405"/>
      <c r="AP1368" s="417"/>
      <c r="AQ1368" s="417"/>
      <c r="AR1368" s="417"/>
      <c r="AS1368" s="426"/>
      <c r="AT1368" s="426"/>
      <c r="AU1368" s="409"/>
      <c r="AV1368" s="402">
        <f>U1368</f>
        <v>49401139</v>
      </c>
      <c r="AW1368" s="402" cm="1">
        <f t="array" ref="AW1368">SUM(MID(0&amp;AV1368,LARGE(INDEX(ISNUMBER(--MID(AV1368,ROW($1:$8),1))*ROW($1:$8),),ROW($1:$8))+1,1)*10^ROW($1:$8)/10)</f>
        <v>49401139</v>
      </c>
      <c r="AX1368" s="402" t="str">
        <f>VLOOKUP($AW1368,'Item Master Data'!$A:$F,3,FALSE)</f>
        <v>Q.PEAK DUO BLK ML G10.a+</v>
      </c>
      <c r="AY1368" s="402">
        <f>VLOOKUP($AW1368,'Item Master Data'!$A:$F,6,FALSE)</f>
        <v>395</v>
      </c>
      <c r="AZ1368" s="402">
        <f>X1368/BA1368</f>
        <v>26</v>
      </c>
      <c r="BA1368" s="402">
        <f>VLOOKUP(AW1368,'Item Master Data'!$A:$G,7,FALSE)</f>
        <v>32</v>
      </c>
      <c r="BC1368" s="402">
        <f>W1368-AY1368</f>
        <v>0</v>
      </c>
    </row>
    <row r="1369" spans="1:55" s="402" customFormat="1">
      <c r="A1369" s="403"/>
      <c r="B1369" s="445" t="s">
        <v>1186</v>
      </c>
      <c r="C1369" s="445" t="s">
        <v>1186</v>
      </c>
      <c r="D1369" s="416" t="s">
        <v>1914</v>
      </c>
      <c r="E1369" s="405" t="s">
        <v>1239</v>
      </c>
      <c r="F1369" s="405"/>
      <c r="G1369" s="405">
        <v>2022</v>
      </c>
      <c r="H1369" s="405">
        <v>10</v>
      </c>
      <c r="I1369" s="416"/>
      <c r="J1369" s="406"/>
      <c r="K1369" s="414" t="s">
        <v>2242</v>
      </c>
      <c r="L1369" s="405" t="s">
        <v>1960</v>
      </c>
      <c r="M1369" s="418">
        <v>44658</v>
      </c>
      <c r="N1369" s="418">
        <v>44849</v>
      </c>
      <c r="O1369" s="418"/>
      <c r="P1369" s="406"/>
      <c r="Q1369" s="406"/>
      <c r="R1369" s="406"/>
      <c r="S1369" s="405" t="s">
        <v>1443</v>
      </c>
      <c r="T1369" s="405">
        <v>60</v>
      </c>
      <c r="U1369" s="405" t="s">
        <v>1102</v>
      </c>
      <c r="V1369" s="405" t="s">
        <v>973</v>
      </c>
      <c r="W1369" s="405">
        <v>395</v>
      </c>
      <c r="X1369" s="407">
        <v>832</v>
      </c>
      <c r="Y1369" s="408">
        <f t="shared" si="300"/>
        <v>328640</v>
      </c>
      <c r="Z1369" s="409">
        <v>0.56000000000000005</v>
      </c>
      <c r="AA1369" s="410">
        <f t="shared" si="301"/>
        <v>184038.40000000002</v>
      </c>
      <c r="AB1369" s="411"/>
      <c r="AC1369" s="412">
        <f>AB1369*Y1369</f>
        <v>0</v>
      </c>
      <c r="AD1369" s="421"/>
      <c r="AE1369" s="413"/>
      <c r="AF1369" s="424">
        <f t="shared" si="302"/>
        <v>184038.40000000002</v>
      </c>
      <c r="AG1369" s="405" t="s">
        <v>47</v>
      </c>
      <c r="AH1369" s="405"/>
      <c r="AI1369" s="414">
        <v>60</v>
      </c>
      <c r="AJ1369" s="405" t="s">
        <v>1965</v>
      </c>
      <c r="AK1369" s="425" t="s">
        <v>50</v>
      </c>
      <c r="AL1369" s="405">
        <v>92337</v>
      </c>
      <c r="AM1369" s="405" t="s">
        <v>52</v>
      </c>
      <c r="AN1369" s="405"/>
      <c r="AO1369" s="405"/>
      <c r="AP1369" s="417"/>
      <c r="AQ1369" s="417"/>
      <c r="AR1369" s="417" t="s">
        <v>1934</v>
      </c>
      <c r="AS1369" s="426"/>
      <c r="AT1369" s="426"/>
      <c r="AU1369" s="409"/>
    </row>
    <row r="1370" spans="1:55" s="402" customFormat="1">
      <c r="A1370" s="403"/>
      <c r="B1370" s="445" t="s">
        <v>1186</v>
      </c>
      <c r="C1370" s="445" t="s">
        <v>1186</v>
      </c>
      <c r="D1370" s="416" t="s">
        <v>1914</v>
      </c>
      <c r="E1370" s="405" t="s">
        <v>1239</v>
      </c>
      <c r="F1370" s="405"/>
      <c r="G1370" s="405">
        <v>2022</v>
      </c>
      <c r="H1370" s="405">
        <v>10</v>
      </c>
      <c r="I1370" s="416"/>
      <c r="J1370" s="406"/>
      <c r="K1370" s="414" t="s">
        <v>2308</v>
      </c>
      <c r="L1370" s="405" t="s">
        <v>1960</v>
      </c>
      <c r="M1370" s="418">
        <v>44658</v>
      </c>
      <c r="N1370" s="418">
        <v>44849</v>
      </c>
      <c r="O1370" s="418"/>
      <c r="P1370" s="406"/>
      <c r="Q1370" s="406"/>
      <c r="R1370" s="406"/>
      <c r="S1370" s="405" t="s">
        <v>1443</v>
      </c>
      <c r="T1370" s="405">
        <v>60</v>
      </c>
      <c r="U1370" s="405" t="s">
        <v>1102</v>
      </c>
      <c r="V1370" s="405" t="s">
        <v>973</v>
      </c>
      <c r="W1370" s="405">
        <v>395</v>
      </c>
      <c r="X1370" s="407">
        <v>832</v>
      </c>
      <c r="Y1370" s="408">
        <f t="shared" si="300"/>
        <v>328640</v>
      </c>
      <c r="Z1370" s="409">
        <v>0.56000000000000005</v>
      </c>
      <c r="AA1370" s="410">
        <f t="shared" si="301"/>
        <v>184038.40000000002</v>
      </c>
      <c r="AB1370" s="411"/>
      <c r="AC1370" s="412">
        <f>AB1370*Y1370</f>
        <v>0</v>
      </c>
      <c r="AD1370" s="421"/>
      <c r="AE1370" s="413"/>
      <c r="AF1370" s="424">
        <f t="shared" si="302"/>
        <v>184038.40000000002</v>
      </c>
      <c r="AG1370" s="405" t="s">
        <v>47</v>
      </c>
      <c r="AH1370" s="405"/>
      <c r="AI1370" s="414">
        <v>60</v>
      </c>
      <c r="AJ1370" s="405" t="s">
        <v>1881</v>
      </c>
      <c r="AK1370" s="425" t="s">
        <v>1081</v>
      </c>
      <c r="AL1370" s="405" t="s">
        <v>1964</v>
      </c>
      <c r="AM1370" s="405" t="s">
        <v>52</v>
      </c>
      <c r="AN1370" s="405"/>
      <c r="AO1370" s="405"/>
      <c r="AP1370" s="417"/>
      <c r="AQ1370" s="417"/>
      <c r="AR1370" s="417" t="s">
        <v>1934</v>
      </c>
      <c r="AS1370" s="426"/>
      <c r="AT1370" s="426"/>
      <c r="AU1370" s="409"/>
    </row>
    <row r="1371" spans="1:55" s="402" customFormat="1">
      <c r="A1371" s="403"/>
      <c r="B1371" s="445"/>
      <c r="C1371" s="445"/>
      <c r="D1371" s="416" t="s">
        <v>1914</v>
      </c>
      <c r="E1371" s="405" t="s">
        <v>2065</v>
      </c>
      <c r="F1371" s="405"/>
      <c r="G1371" s="405">
        <v>2022</v>
      </c>
      <c r="H1371" s="405">
        <v>10</v>
      </c>
      <c r="I1371" s="416"/>
      <c r="J1371" s="406"/>
      <c r="K1371" s="414" t="s">
        <v>2243</v>
      </c>
      <c r="L1371" s="405" t="s">
        <v>1960</v>
      </c>
      <c r="M1371" s="418">
        <v>44482</v>
      </c>
      <c r="N1371" s="418">
        <v>44795</v>
      </c>
      <c r="O1371" s="418"/>
      <c r="P1371" s="406"/>
      <c r="Q1371" s="406"/>
      <c r="R1371" s="406"/>
      <c r="S1371" s="405" t="s">
        <v>1443</v>
      </c>
      <c r="T1371" s="405">
        <v>60</v>
      </c>
      <c r="U1371" s="405">
        <v>49401139</v>
      </c>
      <c r="V1371" s="405" t="s">
        <v>985</v>
      </c>
      <c r="W1371" s="405">
        <v>395</v>
      </c>
      <c r="X1371" s="407">
        <v>832</v>
      </c>
      <c r="Y1371" s="408">
        <f t="shared" si="300"/>
        <v>328640</v>
      </c>
      <c r="Z1371" s="409">
        <v>0.53</v>
      </c>
      <c r="AA1371" s="410">
        <f t="shared" si="301"/>
        <v>174179.20000000001</v>
      </c>
      <c r="AB1371" s="411"/>
      <c r="AC1371" s="412">
        <v>0</v>
      </c>
      <c r="AD1371" s="421"/>
      <c r="AE1371" s="413"/>
      <c r="AF1371" s="424">
        <f t="shared" si="302"/>
        <v>174179.20000000001</v>
      </c>
      <c r="AG1371" s="405" t="s">
        <v>47</v>
      </c>
      <c r="AH1371" s="405" t="s">
        <v>1963</v>
      </c>
      <c r="AI1371" s="414">
        <v>60</v>
      </c>
      <c r="AJ1371" s="405" t="s">
        <v>1500</v>
      </c>
      <c r="AK1371" s="425" t="s">
        <v>1082</v>
      </c>
      <c r="AL1371" s="405" t="s">
        <v>1989</v>
      </c>
      <c r="AM1371" s="405" t="s">
        <v>52</v>
      </c>
      <c r="AN1371" s="405"/>
      <c r="AO1371" s="405"/>
      <c r="AP1371" s="417"/>
      <c r="AQ1371" s="417"/>
      <c r="AR1371" s="417"/>
      <c r="AS1371" s="426"/>
      <c r="AT1371" s="426"/>
      <c r="AU1371" s="409"/>
      <c r="AV1371" s="402">
        <f>U1371</f>
        <v>49401139</v>
      </c>
      <c r="AW1371" s="402" cm="1">
        <f t="array" ref="AW1371">SUM(MID(0&amp;AV1371,LARGE(INDEX(ISNUMBER(--MID(AV1371,ROW($1:$8),1))*ROW($1:$8),),ROW($1:$8))+1,1)*10^ROW($1:$8)/10)</f>
        <v>49401139</v>
      </c>
      <c r="AX1371" s="402" t="str">
        <f>VLOOKUP($AW1371,'Item Master Data'!$A:$F,3,FALSE)</f>
        <v>Q.PEAK DUO BLK ML G10.a+</v>
      </c>
      <c r="AY1371" s="402">
        <f>VLOOKUP($AW1371,'Item Master Data'!$A:$F,6,FALSE)</f>
        <v>395</v>
      </c>
      <c r="AZ1371" s="402">
        <f>X1371/BA1371</f>
        <v>26</v>
      </c>
      <c r="BA1371" s="402">
        <f>VLOOKUP(AW1371,'Item Master Data'!$A:$G,7,FALSE)</f>
        <v>32</v>
      </c>
      <c r="BC1371" s="402">
        <f>W1371-AY1371</f>
        <v>0</v>
      </c>
    </row>
    <row r="1372" spans="1:55" s="402" customFormat="1">
      <c r="A1372" s="403"/>
      <c r="B1372" s="445"/>
      <c r="C1372" s="445"/>
      <c r="D1372" s="416" t="s">
        <v>1914</v>
      </c>
      <c r="E1372" s="405" t="s">
        <v>2065</v>
      </c>
      <c r="F1372" s="405"/>
      <c r="G1372" s="405">
        <v>2022</v>
      </c>
      <c r="H1372" s="405">
        <v>10</v>
      </c>
      <c r="I1372" s="416"/>
      <c r="J1372" s="406"/>
      <c r="K1372" s="414" t="s">
        <v>2244</v>
      </c>
      <c r="L1372" s="405" t="s">
        <v>1960</v>
      </c>
      <c r="M1372" s="418">
        <v>44482</v>
      </c>
      <c r="N1372" s="418">
        <v>44809</v>
      </c>
      <c r="O1372" s="418"/>
      <c r="P1372" s="406"/>
      <c r="Q1372" s="406"/>
      <c r="R1372" s="406"/>
      <c r="S1372" s="405" t="s">
        <v>1443</v>
      </c>
      <c r="T1372" s="405">
        <v>60</v>
      </c>
      <c r="U1372" s="405">
        <v>49401139</v>
      </c>
      <c r="V1372" s="405" t="s">
        <v>985</v>
      </c>
      <c r="W1372" s="405">
        <v>395</v>
      </c>
      <c r="X1372" s="407">
        <v>832</v>
      </c>
      <c r="Y1372" s="408">
        <f t="shared" si="300"/>
        <v>328640</v>
      </c>
      <c r="Z1372" s="409">
        <v>0.53</v>
      </c>
      <c r="AA1372" s="410">
        <f t="shared" si="301"/>
        <v>174179.20000000001</v>
      </c>
      <c r="AB1372" s="411"/>
      <c r="AC1372" s="412">
        <v>0</v>
      </c>
      <c r="AD1372" s="421"/>
      <c r="AE1372" s="413"/>
      <c r="AF1372" s="424">
        <f t="shared" si="302"/>
        <v>174179.20000000001</v>
      </c>
      <c r="AG1372" s="405" t="s">
        <v>47</v>
      </c>
      <c r="AH1372" s="405" t="s">
        <v>1963</v>
      </c>
      <c r="AI1372" s="414">
        <v>60</v>
      </c>
      <c r="AJ1372" s="405" t="s">
        <v>1584</v>
      </c>
      <c r="AK1372" s="425" t="s">
        <v>50</v>
      </c>
      <c r="AL1372" s="405" t="s">
        <v>1966</v>
      </c>
      <c r="AM1372" s="405" t="s">
        <v>52</v>
      </c>
      <c r="AN1372" s="405"/>
      <c r="AO1372" s="405"/>
      <c r="AP1372" s="417"/>
      <c r="AQ1372" s="417"/>
      <c r="AR1372" s="417"/>
      <c r="AS1372" s="426"/>
      <c r="AT1372" s="426"/>
      <c r="AU1372" s="409"/>
      <c r="AV1372" s="402">
        <f>U1372</f>
        <v>49401139</v>
      </c>
      <c r="AW1372" s="402" cm="1">
        <f t="array" ref="AW1372">SUM(MID(0&amp;AV1372,LARGE(INDEX(ISNUMBER(--MID(AV1372,ROW($1:$8),1))*ROW($1:$8),),ROW($1:$8))+1,1)*10^ROW($1:$8)/10)</f>
        <v>49401139</v>
      </c>
      <c r="AX1372" s="402" t="str">
        <f>VLOOKUP($AW1372,'Item Master Data'!$A:$F,3,FALSE)</f>
        <v>Q.PEAK DUO BLK ML G10.a+</v>
      </c>
      <c r="AY1372" s="402">
        <f>VLOOKUP($AW1372,'Item Master Data'!$A:$F,6,FALSE)</f>
        <v>395</v>
      </c>
      <c r="AZ1372" s="402">
        <f>X1372/BA1372</f>
        <v>26</v>
      </c>
      <c r="BA1372" s="402">
        <f>VLOOKUP(AW1372,'Item Master Data'!$A:$G,7,FALSE)</f>
        <v>32</v>
      </c>
      <c r="BC1372" s="402">
        <f>W1372-AY1372</f>
        <v>0</v>
      </c>
    </row>
    <row r="1373" spans="1:55" s="402" customFormat="1">
      <c r="A1373" s="403"/>
      <c r="B1373" s="445"/>
      <c r="C1373" s="445"/>
      <c r="D1373" s="416" t="s">
        <v>1914</v>
      </c>
      <c r="E1373" s="405" t="s">
        <v>2065</v>
      </c>
      <c r="F1373" s="405"/>
      <c r="G1373" s="405">
        <v>2022</v>
      </c>
      <c r="H1373" s="405">
        <v>10</v>
      </c>
      <c r="I1373" s="416"/>
      <c r="J1373" s="406"/>
      <c r="K1373" s="414" t="s">
        <v>2245</v>
      </c>
      <c r="L1373" s="405" t="s">
        <v>1960</v>
      </c>
      <c r="M1373" s="418">
        <v>44482</v>
      </c>
      <c r="N1373" s="418">
        <v>44819</v>
      </c>
      <c r="O1373" s="418"/>
      <c r="P1373" s="406"/>
      <c r="Q1373" s="406"/>
      <c r="R1373" s="406"/>
      <c r="S1373" s="405" t="s">
        <v>1443</v>
      </c>
      <c r="T1373" s="405">
        <v>60</v>
      </c>
      <c r="U1373" s="405">
        <v>49401139</v>
      </c>
      <c r="V1373" s="405" t="s">
        <v>985</v>
      </c>
      <c r="W1373" s="405">
        <v>395</v>
      </c>
      <c r="X1373" s="407">
        <v>832</v>
      </c>
      <c r="Y1373" s="408">
        <f t="shared" si="300"/>
        <v>328640</v>
      </c>
      <c r="Z1373" s="409">
        <v>0.53</v>
      </c>
      <c r="AA1373" s="410">
        <f t="shared" si="301"/>
        <v>174179.20000000001</v>
      </c>
      <c r="AB1373" s="411"/>
      <c r="AC1373" s="412">
        <v>0</v>
      </c>
      <c r="AD1373" s="421"/>
      <c r="AE1373" s="413"/>
      <c r="AF1373" s="424">
        <f t="shared" si="302"/>
        <v>174179.20000000001</v>
      </c>
      <c r="AG1373" s="405" t="s">
        <v>47</v>
      </c>
      <c r="AH1373" s="405" t="s">
        <v>1963</v>
      </c>
      <c r="AI1373" s="414">
        <v>60</v>
      </c>
      <c r="AJ1373" s="405" t="s">
        <v>1584</v>
      </c>
      <c r="AK1373" s="425" t="s">
        <v>50</v>
      </c>
      <c r="AL1373" s="405" t="s">
        <v>1966</v>
      </c>
      <c r="AM1373" s="405" t="s">
        <v>52</v>
      </c>
      <c r="AN1373" s="405"/>
      <c r="AO1373" s="405"/>
      <c r="AP1373" s="417"/>
      <c r="AQ1373" s="417"/>
      <c r="AR1373" s="417"/>
      <c r="AS1373" s="426"/>
      <c r="AT1373" s="426"/>
      <c r="AU1373" s="409"/>
      <c r="AV1373" s="402">
        <f>U1373</f>
        <v>49401139</v>
      </c>
      <c r="AW1373" s="402" cm="1">
        <f t="array" ref="AW1373">SUM(MID(0&amp;AV1373,LARGE(INDEX(ISNUMBER(--MID(AV1373,ROW($1:$8),1))*ROW($1:$8),),ROW($1:$8))+1,1)*10^ROW($1:$8)/10)</f>
        <v>49401139</v>
      </c>
      <c r="AX1373" s="402" t="str">
        <f>VLOOKUP($AW1373,'Item Master Data'!$A:$F,3,FALSE)</f>
        <v>Q.PEAK DUO BLK ML G10.a+</v>
      </c>
      <c r="AY1373" s="402">
        <f>VLOOKUP($AW1373,'Item Master Data'!$A:$F,6,FALSE)</f>
        <v>395</v>
      </c>
      <c r="AZ1373" s="402">
        <f>X1373/BA1373</f>
        <v>26</v>
      </c>
      <c r="BA1373" s="402">
        <f>VLOOKUP(AW1373,'Item Master Data'!$A:$G,7,FALSE)</f>
        <v>32</v>
      </c>
      <c r="BC1373" s="402">
        <f>W1373-AY1373</f>
        <v>0</v>
      </c>
    </row>
    <row r="1374" spans="1:55" s="402" customFormat="1">
      <c r="A1374" s="403"/>
      <c r="B1374" s="445"/>
      <c r="C1374" s="445"/>
      <c r="D1374" s="416" t="s">
        <v>1914</v>
      </c>
      <c r="E1374" s="405" t="s">
        <v>2065</v>
      </c>
      <c r="F1374" s="405"/>
      <c r="G1374" s="405">
        <v>2022</v>
      </c>
      <c r="H1374" s="405">
        <v>10</v>
      </c>
      <c r="I1374" s="416"/>
      <c r="J1374" s="406"/>
      <c r="K1374" s="414" t="s">
        <v>2246</v>
      </c>
      <c r="L1374" s="405" t="s">
        <v>1960</v>
      </c>
      <c r="M1374" s="418">
        <v>44482</v>
      </c>
      <c r="N1374" s="418">
        <v>44827</v>
      </c>
      <c r="O1374" s="418"/>
      <c r="P1374" s="406"/>
      <c r="Q1374" s="406"/>
      <c r="R1374" s="406"/>
      <c r="S1374" s="405" t="s">
        <v>1443</v>
      </c>
      <c r="T1374" s="405">
        <v>60</v>
      </c>
      <c r="U1374" s="405">
        <v>49401139</v>
      </c>
      <c r="V1374" s="405" t="s">
        <v>985</v>
      </c>
      <c r="W1374" s="405">
        <v>395</v>
      </c>
      <c r="X1374" s="407">
        <v>832</v>
      </c>
      <c r="Y1374" s="408">
        <f t="shared" si="300"/>
        <v>328640</v>
      </c>
      <c r="Z1374" s="409">
        <v>0.53</v>
      </c>
      <c r="AA1374" s="410">
        <f t="shared" si="301"/>
        <v>174179.20000000001</v>
      </c>
      <c r="AB1374" s="411"/>
      <c r="AC1374" s="412">
        <v>0</v>
      </c>
      <c r="AD1374" s="421"/>
      <c r="AE1374" s="413"/>
      <c r="AF1374" s="424">
        <f t="shared" si="302"/>
        <v>174179.20000000001</v>
      </c>
      <c r="AG1374" s="405" t="s">
        <v>47</v>
      </c>
      <c r="AH1374" s="405" t="s">
        <v>1963</v>
      </c>
      <c r="AI1374" s="414">
        <v>60</v>
      </c>
      <c r="AJ1374" s="405" t="s">
        <v>1584</v>
      </c>
      <c r="AK1374" s="425" t="s">
        <v>50</v>
      </c>
      <c r="AL1374" s="405" t="s">
        <v>1966</v>
      </c>
      <c r="AM1374" s="405" t="s">
        <v>52</v>
      </c>
      <c r="AN1374" s="405"/>
      <c r="AO1374" s="405"/>
      <c r="AP1374" s="417"/>
      <c r="AQ1374" s="417"/>
      <c r="AR1374" s="417"/>
      <c r="AS1374" s="426"/>
      <c r="AT1374" s="426"/>
      <c r="AU1374" s="409"/>
    </row>
    <row r="1375" spans="1:55" s="402" customFormat="1">
      <c r="A1375" s="403"/>
      <c r="B1375" s="445"/>
      <c r="C1375" s="445"/>
      <c r="D1375" s="416" t="s">
        <v>1914</v>
      </c>
      <c r="E1375" s="405" t="s">
        <v>2065</v>
      </c>
      <c r="F1375" s="405"/>
      <c r="G1375" s="405">
        <v>2022</v>
      </c>
      <c r="H1375" s="405">
        <v>10</v>
      </c>
      <c r="I1375" s="416"/>
      <c r="J1375" s="406"/>
      <c r="K1375" s="414" t="s">
        <v>2247</v>
      </c>
      <c r="L1375" s="405" t="s">
        <v>1960</v>
      </c>
      <c r="M1375" s="418">
        <v>44482</v>
      </c>
      <c r="N1375" s="418">
        <v>44812</v>
      </c>
      <c r="O1375" s="418"/>
      <c r="P1375" s="406"/>
      <c r="Q1375" s="406"/>
      <c r="R1375" s="406"/>
      <c r="S1375" s="405" t="s">
        <v>1443</v>
      </c>
      <c r="T1375" s="405">
        <v>60</v>
      </c>
      <c r="U1375" s="405">
        <v>49401139</v>
      </c>
      <c r="V1375" s="405" t="s">
        <v>985</v>
      </c>
      <c r="W1375" s="405">
        <v>395</v>
      </c>
      <c r="X1375" s="407">
        <v>832</v>
      </c>
      <c r="Y1375" s="408">
        <f t="shared" si="300"/>
        <v>328640</v>
      </c>
      <c r="Z1375" s="409">
        <v>0.53</v>
      </c>
      <c r="AA1375" s="410">
        <f t="shared" si="301"/>
        <v>174179.20000000001</v>
      </c>
      <c r="AB1375" s="411"/>
      <c r="AC1375" s="412">
        <v>0</v>
      </c>
      <c r="AD1375" s="421"/>
      <c r="AE1375" s="413"/>
      <c r="AF1375" s="424">
        <f t="shared" si="302"/>
        <v>174179.20000000001</v>
      </c>
      <c r="AG1375" s="405" t="s">
        <v>47</v>
      </c>
      <c r="AH1375" s="405" t="s">
        <v>1963</v>
      </c>
      <c r="AI1375" s="414">
        <v>60</v>
      </c>
      <c r="AJ1375" s="405" t="s">
        <v>1965</v>
      </c>
      <c r="AK1375" s="425" t="s">
        <v>50</v>
      </c>
      <c r="AL1375" s="405" t="s">
        <v>1997</v>
      </c>
      <c r="AM1375" s="405" t="s">
        <v>52</v>
      </c>
      <c r="AN1375" s="405"/>
      <c r="AO1375" s="405"/>
      <c r="AP1375" s="417"/>
      <c r="AQ1375" s="417"/>
      <c r="AR1375" s="417"/>
      <c r="AS1375" s="426"/>
      <c r="AT1375" s="426"/>
      <c r="AU1375" s="409"/>
      <c r="AV1375" s="402">
        <f t="shared" ref="AV1375:AV1381" si="304">U1375</f>
        <v>49401139</v>
      </c>
      <c r="AW1375" s="402" cm="1">
        <f t="array" ref="AW1375">SUM(MID(0&amp;AV1375,LARGE(INDEX(ISNUMBER(--MID(AV1375,ROW($1:$8),1))*ROW($1:$8),),ROW($1:$8))+1,1)*10^ROW($1:$8)/10)</f>
        <v>49401139</v>
      </c>
      <c r="AX1375" s="402" t="str">
        <f>VLOOKUP($AW1375,'Item Master Data'!$A:$F,3,FALSE)</f>
        <v>Q.PEAK DUO BLK ML G10.a+</v>
      </c>
      <c r="AY1375" s="402">
        <f>VLOOKUP($AW1375,'Item Master Data'!$A:$F,6,FALSE)</f>
        <v>395</v>
      </c>
      <c r="AZ1375" s="402">
        <f t="shared" ref="AZ1375:AZ1381" si="305">X1375/BA1375</f>
        <v>26</v>
      </c>
      <c r="BA1375" s="402">
        <f>VLOOKUP(AW1375,'Item Master Data'!$A:$G,7,FALSE)</f>
        <v>32</v>
      </c>
      <c r="BC1375" s="402">
        <f t="shared" ref="BC1375:BC1381" si="306">W1375-AY1375</f>
        <v>0</v>
      </c>
    </row>
    <row r="1376" spans="1:55" s="402" customFormat="1">
      <c r="A1376" s="403"/>
      <c r="B1376" s="445"/>
      <c r="C1376" s="445"/>
      <c r="D1376" s="416" t="s">
        <v>1914</v>
      </c>
      <c r="E1376" s="405" t="s">
        <v>2065</v>
      </c>
      <c r="F1376" s="405"/>
      <c r="G1376" s="405">
        <v>2022</v>
      </c>
      <c r="H1376" s="405">
        <v>10</v>
      </c>
      <c r="I1376" s="416"/>
      <c r="J1376" s="406"/>
      <c r="K1376" s="414" t="s">
        <v>2248</v>
      </c>
      <c r="L1376" s="405" t="s">
        <v>1960</v>
      </c>
      <c r="M1376" s="418">
        <v>44482</v>
      </c>
      <c r="N1376" s="418">
        <v>44823</v>
      </c>
      <c r="O1376" s="418"/>
      <c r="P1376" s="406"/>
      <c r="Q1376" s="406"/>
      <c r="R1376" s="406"/>
      <c r="S1376" s="405" t="s">
        <v>1443</v>
      </c>
      <c r="T1376" s="405">
        <v>60</v>
      </c>
      <c r="U1376" s="405">
        <v>49401139</v>
      </c>
      <c r="V1376" s="405" t="s">
        <v>985</v>
      </c>
      <c r="W1376" s="405">
        <v>395</v>
      </c>
      <c r="X1376" s="407">
        <v>832</v>
      </c>
      <c r="Y1376" s="408">
        <f t="shared" si="300"/>
        <v>328640</v>
      </c>
      <c r="Z1376" s="409">
        <v>0.53</v>
      </c>
      <c r="AA1376" s="410">
        <f t="shared" si="301"/>
        <v>174179.20000000001</v>
      </c>
      <c r="AB1376" s="411"/>
      <c r="AC1376" s="412">
        <v>0</v>
      </c>
      <c r="AD1376" s="421"/>
      <c r="AE1376" s="413"/>
      <c r="AF1376" s="424">
        <f t="shared" si="302"/>
        <v>174179.20000000001</v>
      </c>
      <c r="AG1376" s="405" t="s">
        <v>47</v>
      </c>
      <c r="AH1376" s="405" t="s">
        <v>1963</v>
      </c>
      <c r="AI1376" s="414">
        <v>60</v>
      </c>
      <c r="AJ1376" s="405" t="s">
        <v>1965</v>
      </c>
      <c r="AK1376" s="425" t="s">
        <v>50</v>
      </c>
      <c r="AL1376" s="405" t="s">
        <v>1997</v>
      </c>
      <c r="AM1376" s="405" t="s">
        <v>52</v>
      </c>
      <c r="AN1376" s="405"/>
      <c r="AO1376" s="405"/>
      <c r="AP1376" s="417"/>
      <c r="AQ1376" s="417"/>
      <c r="AR1376" s="417"/>
      <c r="AS1376" s="426"/>
      <c r="AT1376" s="426"/>
      <c r="AU1376" s="409"/>
      <c r="AV1376" s="402">
        <f t="shared" si="304"/>
        <v>49401139</v>
      </c>
      <c r="AW1376" s="402" cm="1">
        <f t="array" ref="AW1376">SUM(MID(0&amp;AV1376,LARGE(INDEX(ISNUMBER(--MID(AV1376,ROW($1:$8),1))*ROW($1:$8),),ROW($1:$8))+1,1)*10^ROW($1:$8)/10)</f>
        <v>49401139</v>
      </c>
      <c r="AX1376" s="402" t="str">
        <f>VLOOKUP($AW1376,'Item Master Data'!$A:$F,3,FALSE)</f>
        <v>Q.PEAK DUO BLK ML G10.a+</v>
      </c>
      <c r="AY1376" s="402">
        <f>VLOOKUP($AW1376,'Item Master Data'!$A:$F,6,FALSE)</f>
        <v>395</v>
      </c>
      <c r="AZ1376" s="402">
        <f t="shared" si="305"/>
        <v>26</v>
      </c>
      <c r="BA1376" s="402">
        <f>VLOOKUP(AW1376,'Item Master Data'!$A:$G,7,FALSE)</f>
        <v>32</v>
      </c>
      <c r="BC1376" s="402">
        <f t="shared" si="306"/>
        <v>0</v>
      </c>
    </row>
    <row r="1377" spans="1:55" s="402" customFormat="1">
      <c r="A1377" s="403"/>
      <c r="B1377" s="445"/>
      <c r="C1377" s="445"/>
      <c r="D1377" s="416" t="s">
        <v>1914</v>
      </c>
      <c r="E1377" s="405" t="s">
        <v>2065</v>
      </c>
      <c r="F1377" s="405"/>
      <c r="G1377" s="405">
        <v>2022</v>
      </c>
      <c r="H1377" s="405">
        <v>10</v>
      </c>
      <c r="I1377" s="416"/>
      <c r="J1377" s="406"/>
      <c r="K1377" s="414" t="s">
        <v>2249</v>
      </c>
      <c r="L1377" s="405" t="s">
        <v>1960</v>
      </c>
      <c r="M1377" s="418">
        <v>44482</v>
      </c>
      <c r="N1377" s="418">
        <v>44812</v>
      </c>
      <c r="O1377" s="418"/>
      <c r="P1377" s="406"/>
      <c r="Q1377" s="406"/>
      <c r="R1377" s="406"/>
      <c r="S1377" s="405" t="s">
        <v>1443</v>
      </c>
      <c r="T1377" s="405">
        <v>60</v>
      </c>
      <c r="U1377" s="405">
        <v>49401139</v>
      </c>
      <c r="V1377" s="405" t="s">
        <v>985</v>
      </c>
      <c r="W1377" s="405">
        <v>395</v>
      </c>
      <c r="X1377" s="407">
        <v>832</v>
      </c>
      <c r="Y1377" s="408">
        <f t="shared" si="300"/>
        <v>328640</v>
      </c>
      <c r="Z1377" s="409">
        <v>0.53</v>
      </c>
      <c r="AA1377" s="410">
        <f t="shared" si="301"/>
        <v>174179.20000000001</v>
      </c>
      <c r="AB1377" s="411"/>
      <c r="AC1377" s="412">
        <v>0</v>
      </c>
      <c r="AD1377" s="421"/>
      <c r="AE1377" s="413"/>
      <c r="AF1377" s="424">
        <f t="shared" si="302"/>
        <v>174179.20000000001</v>
      </c>
      <c r="AG1377" s="405" t="s">
        <v>47</v>
      </c>
      <c r="AH1377" s="405" t="s">
        <v>1963</v>
      </c>
      <c r="AI1377" s="414">
        <v>60</v>
      </c>
      <c r="AJ1377" s="405" t="s">
        <v>1958</v>
      </c>
      <c r="AK1377" s="425" t="s">
        <v>1136</v>
      </c>
      <c r="AL1377" s="405" t="s">
        <v>1989</v>
      </c>
      <c r="AM1377" s="405" t="s">
        <v>52</v>
      </c>
      <c r="AN1377" s="405"/>
      <c r="AO1377" s="405"/>
      <c r="AP1377" s="417"/>
      <c r="AQ1377" s="417"/>
      <c r="AR1377" s="417"/>
      <c r="AS1377" s="426"/>
      <c r="AT1377" s="426"/>
      <c r="AU1377" s="409"/>
      <c r="AV1377" s="402">
        <f t="shared" si="304"/>
        <v>49401139</v>
      </c>
      <c r="AW1377" s="402" cm="1">
        <f t="array" ref="AW1377">SUM(MID(0&amp;AV1377,LARGE(INDEX(ISNUMBER(--MID(AV1377,ROW($1:$8),1))*ROW($1:$8),),ROW($1:$8))+1,1)*10^ROW($1:$8)/10)</f>
        <v>49401139</v>
      </c>
      <c r="AX1377" s="402" t="str">
        <f>VLOOKUP($AW1377,'Item Master Data'!$A:$F,3,FALSE)</f>
        <v>Q.PEAK DUO BLK ML G10.a+</v>
      </c>
      <c r="AY1377" s="402">
        <f>VLOOKUP($AW1377,'Item Master Data'!$A:$F,6,FALSE)</f>
        <v>395</v>
      </c>
      <c r="AZ1377" s="402">
        <f t="shared" si="305"/>
        <v>26</v>
      </c>
      <c r="BA1377" s="402">
        <f>VLOOKUP(AW1377,'Item Master Data'!$A:$G,7,FALSE)</f>
        <v>32</v>
      </c>
      <c r="BC1377" s="402">
        <f t="shared" si="306"/>
        <v>0</v>
      </c>
    </row>
    <row r="1378" spans="1:55" s="402" customFormat="1">
      <c r="A1378" s="403"/>
      <c r="B1378" s="445">
        <v>44522</v>
      </c>
      <c r="C1378" s="445"/>
      <c r="D1378" s="416" t="s">
        <v>1914</v>
      </c>
      <c r="E1378" s="405" t="s">
        <v>2218</v>
      </c>
      <c r="F1378" s="405"/>
      <c r="G1378" s="405">
        <v>2022</v>
      </c>
      <c r="H1378" s="405">
        <v>10</v>
      </c>
      <c r="I1378" s="416"/>
      <c r="J1378" s="406"/>
      <c r="K1378" s="414" t="s">
        <v>2250</v>
      </c>
      <c r="L1378" s="405" t="s">
        <v>1967</v>
      </c>
      <c r="M1378" s="418">
        <v>44518</v>
      </c>
      <c r="N1378" s="418">
        <v>44634</v>
      </c>
      <c r="O1378" s="418"/>
      <c r="P1378" s="406"/>
      <c r="Q1378" s="406"/>
      <c r="R1378" s="406"/>
      <c r="S1378" s="405" t="s">
        <v>1443</v>
      </c>
      <c r="T1378" s="405">
        <v>60</v>
      </c>
      <c r="U1378" s="405">
        <v>49401140</v>
      </c>
      <c r="V1378" s="405" t="s">
        <v>973</v>
      </c>
      <c r="W1378" s="405">
        <v>400</v>
      </c>
      <c r="X1378" s="407">
        <v>768</v>
      </c>
      <c r="Y1378" s="408">
        <f t="shared" si="300"/>
        <v>307200</v>
      </c>
      <c r="Z1378" s="409">
        <f t="shared" ref="Z1378:Z1384" si="307">210/400</f>
        <v>0.52500000000000002</v>
      </c>
      <c r="AA1378" s="410">
        <f t="shared" si="301"/>
        <v>161280</v>
      </c>
      <c r="AB1378" s="411"/>
      <c r="AC1378" s="412">
        <f t="shared" ref="AC1378:AC1390" si="308">AB1378*Y1378</f>
        <v>0</v>
      </c>
      <c r="AD1378" s="421"/>
      <c r="AE1378" s="413"/>
      <c r="AF1378" s="424">
        <f t="shared" si="302"/>
        <v>161280</v>
      </c>
      <c r="AG1378" s="405" t="s">
        <v>1069</v>
      </c>
      <c r="AH1378" s="405"/>
      <c r="AI1378" s="414" t="s">
        <v>1962</v>
      </c>
      <c r="AJ1378" s="405" t="s">
        <v>2053</v>
      </c>
      <c r="AK1378" s="425" t="s">
        <v>1136</v>
      </c>
      <c r="AL1378" s="405">
        <v>78216</v>
      </c>
      <c r="AM1378" s="405" t="s">
        <v>52</v>
      </c>
      <c r="AN1378" s="405"/>
      <c r="AO1378" s="405"/>
      <c r="AP1378" s="417"/>
      <c r="AQ1378" s="417"/>
      <c r="AR1378" s="417"/>
      <c r="AS1378" s="426"/>
      <c r="AT1378" s="426"/>
      <c r="AU1378" s="409"/>
      <c r="AV1378" s="402">
        <f t="shared" si="304"/>
        <v>49401140</v>
      </c>
      <c r="AW1378" s="402" cm="1">
        <f t="array" ref="AW1378">SUM(MID(0&amp;AV1378,LARGE(INDEX(ISNUMBER(--MID(AV1378,ROW($1:$8),1))*ROW($1:$8),),ROW($1:$8))+1,1)*10^ROW($1:$8)/10)</f>
        <v>49401140</v>
      </c>
      <c r="AX1378" s="402" t="str">
        <f>VLOOKUP($AW1378,'Item Master Data'!$A:$F,3,FALSE)</f>
        <v>Q.PEAK DUO BLK ML G10.a+</v>
      </c>
      <c r="AY1378" s="402">
        <f>VLOOKUP($AW1378,'Item Master Data'!$A:$F,6,FALSE)</f>
        <v>400</v>
      </c>
      <c r="AZ1378" s="402">
        <f t="shared" si="305"/>
        <v>24</v>
      </c>
      <c r="BA1378" s="402">
        <f>VLOOKUP(AW1378,'Item Master Data'!$A:$G,7,FALSE)</f>
        <v>32</v>
      </c>
      <c r="BC1378" s="402">
        <f t="shared" si="306"/>
        <v>0</v>
      </c>
    </row>
    <row r="1379" spans="1:55" s="402" customFormat="1">
      <c r="A1379" s="403"/>
      <c r="B1379" s="445">
        <v>44522</v>
      </c>
      <c r="C1379" s="445"/>
      <c r="D1379" s="416" t="s">
        <v>1914</v>
      </c>
      <c r="E1379" s="405" t="s">
        <v>2218</v>
      </c>
      <c r="F1379" s="405"/>
      <c r="G1379" s="405">
        <v>2022</v>
      </c>
      <c r="H1379" s="405">
        <v>10</v>
      </c>
      <c r="I1379" s="416"/>
      <c r="J1379" s="406"/>
      <c r="K1379" s="414" t="s">
        <v>2251</v>
      </c>
      <c r="L1379" s="405" t="s">
        <v>1967</v>
      </c>
      <c r="M1379" s="418">
        <v>44518</v>
      </c>
      <c r="N1379" s="418">
        <v>44658</v>
      </c>
      <c r="O1379" s="418" t="s">
        <v>2252</v>
      </c>
      <c r="P1379" s="406"/>
      <c r="Q1379" s="406"/>
      <c r="R1379" s="406"/>
      <c r="S1379" s="405" t="s">
        <v>1443</v>
      </c>
      <c r="T1379" s="405">
        <v>60</v>
      </c>
      <c r="U1379" s="405">
        <v>49401140</v>
      </c>
      <c r="V1379" s="405" t="s">
        <v>973</v>
      </c>
      <c r="W1379" s="405">
        <v>400</v>
      </c>
      <c r="X1379" s="407">
        <v>768</v>
      </c>
      <c r="Y1379" s="408">
        <f t="shared" si="300"/>
        <v>307200</v>
      </c>
      <c r="Z1379" s="409">
        <f t="shared" si="307"/>
        <v>0.52500000000000002</v>
      </c>
      <c r="AA1379" s="410">
        <f t="shared" si="301"/>
        <v>161280</v>
      </c>
      <c r="AB1379" s="411"/>
      <c r="AC1379" s="412">
        <f t="shared" si="308"/>
        <v>0</v>
      </c>
      <c r="AD1379" s="421"/>
      <c r="AE1379" s="413"/>
      <c r="AF1379" s="424">
        <f t="shared" si="302"/>
        <v>161280</v>
      </c>
      <c r="AG1379" s="405" t="s">
        <v>1069</v>
      </c>
      <c r="AH1379" s="405"/>
      <c r="AI1379" s="414" t="s">
        <v>1962</v>
      </c>
      <c r="AJ1379" s="405" t="s">
        <v>2053</v>
      </c>
      <c r="AK1379" s="425" t="s">
        <v>1136</v>
      </c>
      <c r="AL1379" s="405">
        <v>78216</v>
      </c>
      <c r="AM1379" s="405" t="s">
        <v>52</v>
      </c>
      <c r="AN1379" s="405"/>
      <c r="AO1379" s="405"/>
      <c r="AP1379" s="417"/>
      <c r="AQ1379" s="417"/>
      <c r="AR1379" s="417"/>
      <c r="AS1379" s="426"/>
      <c r="AT1379" s="426"/>
      <c r="AU1379" s="409"/>
      <c r="AV1379" s="402">
        <f t="shared" si="304"/>
        <v>49401140</v>
      </c>
      <c r="AW1379" s="402" cm="1">
        <f t="array" ref="AW1379">SUM(MID(0&amp;AV1379,LARGE(INDEX(ISNUMBER(--MID(AV1379,ROW($1:$8),1))*ROW($1:$8),),ROW($1:$8))+1,1)*10^ROW($1:$8)/10)</f>
        <v>49401140</v>
      </c>
      <c r="AX1379" s="402" t="str">
        <f>VLOOKUP($AW1379,'Item Master Data'!$A:$F,3,FALSE)</f>
        <v>Q.PEAK DUO BLK ML G10.a+</v>
      </c>
      <c r="AY1379" s="402">
        <f>VLOOKUP($AW1379,'Item Master Data'!$A:$F,6,FALSE)</f>
        <v>400</v>
      </c>
      <c r="AZ1379" s="402">
        <f t="shared" si="305"/>
        <v>24</v>
      </c>
      <c r="BA1379" s="402">
        <f>VLOOKUP(AW1379,'Item Master Data'!$A:$G,7,FALSE)</f>
        <v>32</v>
      </c>
      <c r="BC1379" s="402">
        <f t="shared" si="306"/>
        <v>0</v>
      </c>
    </row>
    <row r="1380" spans="1:55" s="402" customFormat="1">
      <c r="A1380" s="403"/>
      <c r="B1380" s="445">
        <v>44522</v>
      </c>
      <c r="C1380" s="445"/>
      <c r="D1380" s="416" t="s">
        <v>1914</v>
      </c>
      <c r="E1380" s="405" t="s">
        <v>2218</v>
      </c>
      <c r="F1380" s="405"/>
      <c r="G1380" s="405">
        <v>2022</v>
      </c>
      <c r="H1380" s="405">
        <v>10</v>
      </c>
      <c r="I1380" s="416"/>
      <c r="J1380" s="406"/>
      <c r="K1380" s="414" t="s">
        <v>2253</v>
      </c>
      <c r="L1380" s="405" t="s">
        <v>1967</v>
      </c>
      <c r="M1380" s="418">
        <v>44518</v>
      </c>
      <c r="N1380" s="418">
        <v>44665</v>
      </c>
      <c r="O1380" s="418" t="s">
        <v>2252</v>
      </c>
      <c r="P1380" s="406"/>
      <c r="Q1380" s="406"/>
      <c r="R1380" s="406"/>
      <c r="S1380" s="405" t="s">
        <v>1443</v>
      </c>
      <c r="T1380" s="405">
        <v>60</v>
      </c>
      <c r="U1380" s="405">
        <v>49401140</v>
      </c>
      <c r="V1380" s="405" t="s">
        <v>973</v>
      </c>
      <c r="W1380" s="405">
        <v>400</v>
      </c>
      <c r="X1380" s="407">
        <v>768</v>
      </c>
      <c r="Y1380" s="408">
        <f t="shared" si="300"/>
        <v>307200</v>
      </c>
      <c r="Z1380" s="409">
        <f t="shared" si="307"/>
        <v>0.52500000000000002</v>
      </c>
      <c r="AA1380" s="410">
        <f t="shared" si="301"/>
        <v>161280</v>
      </c>
      <c r="AB1380" s="411"/>
      <c r="AC1380" s="412">
        <f t="shared" si="308"/>
        <v>0</v>
      </c>
      <c r="AD1380" s="421"/>
      <c r="AE1380" s="413"/>
      <c r="AF1380" s="424">
        <f t="shared" si="302"/>
        <v>161280</v>
      </c>
      <c r="AG1380" s="405" t="s">
        <v>1069</v>
      </c>
      <c r="AH1380" s="405"/>
      <c r="AI1380" s="414" t="s">
        <v>1962</v>
      </c>
      <c r="AJ1380" s="405" t="s">
        <v>2053</v>
      </c>
      <c r="AK1380" s="425" t="s">
        <v>1136</v>
      </c>
      <c r="AL1380" s="405">
        <v>78216</v>
      </c>
      <c r="AM1380" s="405" t="s">
        <v>52</v>
      </c>
      <c r="AN1380" s="405"/>
      <c r="AO1380" s="405"/>
      <c r="AP1380" s="417"/>
      <c r="AQ1380" s="417"/>
      <c r="AR1380" s="417"/>
      <c r="AS1380" s="426"/>
      <c r="AT1380" s="426"/>
      <c r="AU1380" s="409"/>
      <c r="AV1380" s="402">
        <f t="shared" si="304"/>
        <v>49401140</v>
      </c>
      <c r="AW1380" s="402" cm="1">
        <f t="array" ref="AW1380">SUM(MID(0&amp;AV1380,LARGE(INDEX(ISNUMBER(--MID(AV1380,ROW($1:$8),1))*ROW($1:$8),),ROW($1:$8))+1,1)*10^ROW($1:$8)/10)</f>
        <v>49401140</v>
      </c>
      <c r="AX1380" s="402" t="str">
        <f>VLOOKUP($AW1380,'Item Master Data'!$A:$F,3,FALSE)</f>
        <v>Q.PEAK DUO BLK ML G10.a+</v>
      </c>
      <c r="AY1380" s="402">
        <f>VLOOKUP($AW1380,'Item Master Data'!$A:$F,6,FALSE)</f>
        <v>400</v>
      </c>
      <c r="AZ1380" s="402">
        <f t="shared" si="305"/>
        <v>24</v>
      </c>
      <c r="BA1380" s="402">
        <f>VLOOKUP(AW1380,'Item Master Data'!$A:$G,7,FALSE)</f>
        <v>32</v>
      </c>
      <c r="BC1380" s="402">
        <f t="shared" si="306"/>
        <v>0</v>
      </c>
    </row>
    <row r="1381" spans="1:55" s="402" customFormat="1">
      <c r="A1381" s="403"/>
      <c r="B1381" s="445">
        <v>44522</v>
      </c>
      <c r="C1381" s="445"/>
      <c r="D1381" s="416" t="s">
        <v>1914</v>
      </c>
      <c r="E1381" s="405" t="s">
        <v>2218</v>
      </c>
      <c r="F1381" s="405"/>
      <c r="G1381" s="405">
        <v>2022</v>
      </c>
      <c r="H1381" s="405">
        <v>10</v>
      </c>
      <c r="I1381" s="416"/>
      <c r="J1381" s="406"/>
      <c r="K1381" s="414" t="s">
        <v>2254</v>
      </c>
      <c r="L1381" s="405" t="s">
        <v>1967</v>
      </c>
      <c r="M1381" s="418">
        <v>44518</v>
      </c>
      <c r="N1381" s="418">
        <v>44688</v>
      </c>
      <c r="O1381" s="418" t="s">
        <v>1460</v>
      </c>
      <c r="P1381" s="406"/>
      <c r="Q1381" s="406"/>
      <c r="R1381" s="406"/>
      <c r="S1381" s="405" t="s">
        <v>1443</v>
      </c>
      <c r="T1381" s="405">
        <v>60</v>
      </c>
      <c r="U1381" s="405">
        <v>49401140</v>
      </c>
      <c r="V1381" s="405" t="s">
        <v>973</v>
      </c>
      <c r="W1381" s="405">
        <v>400</v>
      </c>
      <c r="X1381" s="407">
        <v>768</v>
      </c>
      <c r="Y1381" s="408">
        <f t="shared" si="300"/>
        <v>307200</v>
      </c>
      <c r="Z1381" s="409">
        <f t="shared" si="307"/>
        <v>0.52500000000000002</v>
      </c>
      <c r="AA1381" s="410">
        <f t="shared" si="301"/>
        <v>161280</v>
      </c>
      <c r="AB1381" s="411"/>
      <c r="AC1381" s="412">
        <f t="shared" si="308"/>
        <v>0</v>
      </c>
      <c r="AD1381" s="421"/>
      <c r="AE1381" s="413"/>
      <c r="AF1381" s="424">
        <f t="shared" si="302"/>
        <v>161280</v>
      </c>
      <c r="AG1381" s="405" t="s">
        <v>1069</v>
      </c>
      <c r="AH1381" s="405"/>
      <c r="AI1381" s="414" t="s">
        <v>1962</v>
      </c>
      <c r="AJ1381" s="405" t="s">
        <v>2053</v>
      </c>
      <c r="AK1381" s="425" t="s">
        <v>1136</v>
      </c>
      <c r="AL1381" s="405">
        <v>78216</v>
      </c>
      <c r="AM1381" s="405" t="s">
        <v>52</v>
      </c>
      <c r="AN1381" s="405"/>
      <c r="AO1381" s="405"/>
      <c r="AP1381" s="417"/>
      <c r="AQ1381" s="417"/>
      <c r="AR1381" s="417"/>
      <c r="AS1381" s="426"/>
      <c r="AT1381" s="426"/>
      <c r="AU1381" s="409"/>
      <c r="AV1381" s="402">
        <f t="shared" si="304"/>
        <v>49401140</v>
      </c>
      <c r="AW1381" s="402" cm="1">
        <f t="array" ref="AW1381">SUM(MID(0&amp;AV1381,LARGE(INDEX(ISNUMBER(--MID(AV1381,ROW($1:$8),1))*ROW($1:$8),),ROW($1:$8))+1,1)*10^ROW($1:$8)/10)</f>
        <v>49401140</v>
      </c>
      <c r="AX1381" s="402" t="str">
        <f>VLOOKUP($AW1381,'Item Master Data'!$A:$F,3,FALSE)</f>
        <v>Q.PEAK DUO BLK ML G10.a+</v>
      </c>
      <c r="AY1381" s="402">
        <f>VLOOKUP($AW1381,'Item Master Data'!$A:$F,6,FALSE)</f>
        <v>400</v>
      </c>
      <c r="AZ1381" s="402">
        <f t="shared" si="305"/>
        <v>24</v>
      </c>
      <c r="BA1381" s="402">
        <f>VLOOKUP(AW1381,'Item Master Data'!$A:$G,7,FALSE)</f>
        <v>32</v>
      </c>
      <c r="BC1381" s="402">
        <f t="shared" si="306"/>
        <v>0</v>
      </c>
    </row>
    <row r="1382" spans="1:55" s="402" customFormat="1">
      <c r="A1382" s="403"/>
      <c r="B1382" s="445">
        <v>44522</v>
      </c>
      <c r="C1382" s="445"/>
      <c r="D1382" s="416" t="s">
        <v>1914</v>
      </c>
      <c r="E1382" s="405" t="s">
        <v>2218</v>
      </c>
      <c r="F1382" s="405"/>
      <c r="G1382" s="405">
        <v>2022</v>
      </c>
      <c r="H1382" s="405">
        <v>10</v>
      </c>
      <c r="I1382" s="416"/>
      <c r="J1382" s="406"/>
      <c r="K1382" s="414" t="s">
        <v>2255</v>
      </c>
      <c r="L1382" s="405" t="s">
        <v>1967</v>
      </c>
      <c r="M1382" s="418">
        <v>44518</v>
      </c>
      <c r="N1382" s="418">
        <v>44695</v>
      </c>
      <c r="O1382" s="418" t="s">
        <v>1461</v>
      </c>
      <c r="P1382" s="406"/>
      <c r="Q1382" s="406"/>
      <c r="R1382" s="406"/>
      <c r="S1382" s="405" t="s">
        <v>1443</v>
      </c>
      <c r="T1382" s="405">
        <v>60</v>
      </c>
      <c r="U1382" s="405">
        <v>49401140</v>
      </c>
      <c r="V1382" s="405" t="s">
        <v>973</v>
      </c>
      <c r="W1382" s="405">
        <v>400</v>
      </c>
      <c r="X1382" s="407">
        <v>768</v>
      </c>
      <c r="Y1382" s="408">
        <f t="shared" si="300"/>
        <v>307200</v>
      </c>
      <c r="Z1382" s="409">
        <f t="shared" si="307"/>
        <v>0.52500000000000002</v>
      </c>
      <c r="AA1382" s="410">
        <f t="shared" si="301"/>
        <v>161280</v>
      </c>
      <c r="AB1382" s="411"/>
      <c r="AC1382" s="412">
        <f t="shared" si="308"/>
        <v>0</v>
      </c>
      <c r="AD1382" s="421"/>
      <c r="AE1382" s="413"/>
      <c r="AF1382" s="424">
        <f t="shared" si="302"/>
        <v>161280</v>
      </c>
      <c r="AG1382" s="405" t="s">
        <v>1069</v>
      </c>
      <c r="AH1382" s="405"/>
      <c r="AI1382" s="414" t="s">
        <v>1962</v>
      </c>
      <c r="AJ1382" s="405" t="s">
        <v>2053</v>
      </c>
      <c r="AK1382" s="425" t="s">
        <v>1136</v>
      </c>
      <c r="AL1382" s="405">
        <v>78216</v>
      </c>
      <c r="AM1382" s="405" t="s">
        <v>52</v>
      </c>
      <c r="AN1382" s="405"/>
      <c r="AO1382" s="405"/>
      <c r="AP1382" s="417"/>
      <c r="AQ1382" s="417"/>
      <c r="AR1382" s="417"/>
      <c r="AS1382" s="426"/>
      <c r="AT1382" s="426"/>
      <c r="AU1382" s="409"/>
    </row>
    <row r="1383" spans="1:55" s="402" customFormat="1">
      <c r="A1383" s="403"/>
      <c r="B1383" s="445">
        <v>44522</v>
      </c>
      <c r="C1383" s="445"/>
      <c r="D1383" s="416" t="s">
        <v>1914</v>
      </c>
      <c r="E1383" s="405" t="s">
        <v>2218</v>
      </c>
      <c r="F1383" s="405"/>
      <c r="G1383" s="405">
        <v>2022</v>
      </c>
      <c r="H1383" s="405">
        <v>10</v>
      </c>
      <c r="I1383" s="416"/>
      <c r="J1383" s="406"/>
      <c r="K1383" s="414" t="s">
        <v>2256</v>
      </c>
      <c r="L1383" s="405" t="s">
        <v>1967</v>
      </c>
      <c r="M1383" s="418">
        <v>44518</v>
      </c>
      <c r="N1383" s="418">
        <v>44719</v>
      </c>
      <c r="O1383" s="418" t="s">
        <v>1461</v>
      </c>
      <c r="P1383" s="406"/>
      <c r="Q1383" s="406"/>
      <c r="R1383" s="406"/>
      <c r="S1383" s="405" t="s">
        <v>1443</v>
      </c>
      <c r="T1383" s="405">
        <v>60</v>
      </c>
      <c r="U1383" s="405">
        <v>49401140</v>
      </c>
      <c r="V1383" s="405" t="s">
        <v>973</v>
      </c>
      <c r="W1383" s="405">
        <v>400</v>
      </c>
      <c r="X1383" s="407">
        <v>768</v>
      </c>
      <c r="Y1383" s="408">
        <f t="shared" si="300"/>
        <v>307200</v>
      </c>
      <c r="Z1383" s="409">
        <f t="shared" si="307"/>
        <v>0.52500000000000002</v>
      </c>
      <c r="AA1383" s="410">
        <f t="shared" si="301"/>
        <v>161280</v>
      </c>
      <c r="AB1383" s="411"/>
      <c r="AC1383" s="412">
        <f t="shared" si="308"/>
        <v>0</v>
      </c>
      <c r="AD1383" s="421"/>
      <c r="AE1383" s="413"/>
      <c r="AF1383" s="424">
        <f t="shared" si="302"/>
        <v>161280</v>
      </c>
      <c r="AG1383" s="405" t="s">
        <v>1069</v>
      </c>
      <c r="AH1383" s="405"/>
      <c r="AI1383" s="414" t="s">
        <v>1962</v>
      </c>
      <c r="AJ1383" s="405" t="s">
        <v>2053</v>
      </c>
      <c r="AK1383" s="425" t="s">
        <v>1136</v>
      </c>
      <c r="AL1383" s="405">
        <v>78216</v>
      </c>
      <c r="AM1383" s="405" t="s">
        <v>52</v>
      </c>
      <c r="AN1383" s="405"/>
      <c r="AO1383" s="405"/>
      <c r="AP1383" s="417"/>
      <c r="AQ1383" s="417"/>
      <c r="AR1383" s="417"/>
      <c r="AS1383" s="426"/>
      <c r="AT1383" s="426"/>
      <c r="AU1383" s="409"/>
    </row>
    <row r="1384" spans="1:55" s="402" customFormat="1">
      <c r="A1384" s="403"/>
      <c r="B1384" s="445">
        <v>44522</v>
      </c>
      <c r="C1384" s="445"/>
      <c r="D1384" s="416" t="s">
        <v>1914</v>
      </c>
      <c r="E1384" s="405" t="s">
        <v>2218</v>
      </c>
      <c r="F1384" s="405"/>
      <c r="G1384" s="405">
        <v>2022</v>
      </c>
      <c r="H1384" s="405">
        <v>10</v>
      </c>
      <c r="I1384" s="416"/>
      <c r="J1384" s="406"/>
      <c r="K1384" s="414" t="s">
        <v>2257</v>
      </c>
      <c r="L1384" s="405" t="s">
        <v>1967</v>
      </c>
      <c r="M1384" s="418">
        <v>44518</v>
      </c>
      <c r="N1384" s="418">
        <v>44726</v>
      </c>
      <c r="O1384" s="418" t="s">
        <v>1461</v>
      </c>
      <c r="P1384" s="406"/>
      <c r="Q1384" s="406"/>
      <c r="R1384" s="406"/>
      <c r="S1384" s="405" t="s">
        <v>1443</v>
      </c>
      <c r="T1384" s="405">
        <v>60</v>
      </c>
      <c r="U1384" s="405">
        <v>49401140</v>
      </c>
      <c r="V1384" s="405" t="s">
        <v>973</v>
      </c>
      <c r="W1384" s="405">
        <v>400</v>
      </c>
      <c r="X1384" s="407">
        <v>768</v>
      </c>
      <c r="Y1384" s="408">
        <f t="shared" si="300"/>
        <v>307200</v>
      </c>
      <c r="Z1384" s="409">
        <f t="shared" si="307"/>
        <v>0.52500000000000002</v>
      </c>
      <c r="AA1384" s="410">
        <f t="shared" si="301"/>
        <v>161280</v>
      </c>
      <c r="AB1384" s="411"/>
      <c r="AC1384" s="412">
        <f t="shared" si="308"/>
        <v>0</v>
      </c>
      <c r="AD1384" s="421"/>
      <c r="AE1384" s="413"/>
      <c r="AF1384" s="424">
        <f t="shared" si="302"/>
        <v>161280</v>
      </c>
      <c r="AG1384" s="405" t="s">
        <v>1069</v>
      </c>
      <c r="AH1384" s="405"/>
      <c r="AI1384" s="414" t="s">
        <v>1962</v>
      </c>
      <c r="AJ1384" s="405" t="s">
        <v>2053</v>
      </c>
      <c r="AK1384" s="425" t="s">
        <v>1136</v>
      </c>
      <c r="AL1384" s="405">
        <v>78216</v>
      </c>
      <c r="AM1384" s="405" t="s">
        <v>52</v>
      </c>
      <c r="AN1384" s="405"/>
      <c r="AO1384" s="405"/>
      <c r="AP1384" s="417"/>
      <c r="AQ1384" s="417"/>
      <c r="AR1384" s="417"/>
      <c r="AS1384" s="426"/>
      <c r="AT1384" s="426"/>
      <c r="AU1384" s="409"/>
    </row>
    <row r="1385" spans="1:55" s="402" customFormat="1">
      <c r="A1385" s="403"/>
      <c r="B1385" s="445">
        <v>44557</v>
      </c>
      <c r="C1385" s="445"/>
      <c r="D1385" s="416" t="s">
        <v>1914</v>
      </c>
      <c r="E1385" s="405" t="s">
        <v>2218</v>
      </c>
      <c r="F1385" s="405"/>
      <c r="G1385" s="405">
        <v>2022</v>
      </c>
      <c r="H1385" s="405">
        <v>10</v>
      </c>
      <c r="I1385" s="416"/>
      <c r="J1385" s="406"/>
      <c r="K1385" s="414" t="s">
        <v>2258</v>
      </c>
      <c r="L1385" s="405" t="s">
        <v>1967</v>
      </c>
      <c r="M1385" s="418">
        <v>44545</v>
      </c>
      <c r="N1385" s="418">
        <v>44686</v>
      </c>
      <c r="O1385" s="418"/>
      <c r="P1385" s="406"/>
      <c r="Q1385" s="406"/>
      <c r="R1385" s="406"/>
      <c r="S1385" s="405" t="s">
        <v>1443</v>
      </c>
      <c r="T1385" s="405">
        <v>60</v>
      </c>
      <c r="U1385" s="405">
        <v>49401140</v>
      </c>
      <c r="V1385" s="405" t="s">
        <v>973</v>
      </c>
      <c r="W1385" s="405">
        <v>400</v>
      </c>
      <c r="X1385" s="407">
        <v>768</v>
      </c>
      <c r="Y1385" s="408">
        <f t="shared" si="300"/>
        <v>307200</v>
      </c>
      <c r="Z1385" s="409">
        <v>0.52500000000000002</v>
      </c>
      <c r="AA1385" s="410">
        <f t="shared" si="301"/>
        <v>161280</v>
      </c>
      <c r="AB1385" s="411"/>
      <c r="AC1385" s="412">
        <f t="shared" si="308"/>
        <v>0</v>
      </c>
      <c r="AD1385" s="421"/>
      <c r="AE1385" s="413"/>
      <c r="AF1385" s="424">
        <f t="shared" si="302"/>
        <v>161280</v>
      </c>
      <c r="AG1385" s="405" t="s">
        <v>1069</v>
      </c>
      <c r="AH1385" s="405"/>
      <c r="AI1385" s="414">
        <v>60</v>
      </c>
      <c r="AJ1385" s="405" t="s">
        <v>2053</v>
      </c>
      <c r="AK1385" s="425" t="s">
        <v>1136</v>
      </c>
      <c r="AL1385" s="405">
        <v>78216</v>
      </c>
      <c r="AM1385" s="405" t="s">
        <v>52</v>
      </c>
      <c r="AN1385" s="405" t="s">
        <v>1071</v>
      </c>
      <c r="AO1385" s="405"/>
      <c r="AP1385" s="417"/>
      <c r="AQ1385" s="417" t="s">
        <v>37</v>
      </c>
      <c r="AR1385" s="417"/>
      <c r="AS1385" s="426"/>
      <c r="AT1385" s="426"/>
      <c r="AU1385" s="409"/>
      <c r="AV1385" s="402">
        <f>U1385</f>
        <v>49401140</v>
      </c>
      <c r="AW1385" s="402" cm="1">
        <f t="array" ref="AW1385">SUM(MID(0&amp;AV1385,LARGE(INDEX(ISNUMBER(--MID(AV1385,ROW($1:$8),1))*ROW($1:$8),),ROW($1:$8))+1,1)*10^ROW($1:$8)/10)</f>
        <v>49401140</v>
      </c>
      <c r="AX1385" s="402" t="str">
        <f>VLOOKUP($AW1385,'Item Master Data'!$A:$F,3,FALSE)</f>
        <v>Q.PEAK DUO BLK ML G10.a+</v>
      </c>
      <c r="AY1385" s="402">
        <f>VLOOKUP($AW1385,'Item Master Data'!$A:$F,6,FALSE)</f>
        <v>400</v>
      </c>
      <c r="AZ1385" s="402">
        <f>X1385/BA1385</f>
        <v>24</v>
      </c>
      <c r="BA1385" s="402">
        <f>VLOOKUP(AW1385,'Item Master Data'!$A:$G,7,FALSE)</f>
        <v>32</v>
      </c>
      <c r="BC1385" s="402">
        <f>W1385-AY1385</f>
        <v>0</v>
      </c>
    </row>
    <row r="1386" spans="1:55" s="402" customFormat="1">
      <c r="A1386" s="403"/>
      <c r="B1386" s="445">
        <v>44557</v>
      </c>
      <c r="C1386" s="445"/>
      <c r="D1386" s="416" t="s">
        <v>1914</v>
      </c>
      <c r="E1386" s="405" t="s">
        <v>2218</v>
      </c>
      <c r="F1386" s="405"/>
      <c r="G1386" s="405">
        <v>2022</v>
      </c>
      <c r="H1386" s="405">
        <v>10</v>
      </c>
      <c r="I1386" s="416"/>
      <c r="J1386" s="406"/>
      <c r="K1386" s="414" t="s">
        <v>2259</v>
      </c>
      <c r="L1386" s="405" t="s">
        <v>1967</v>
      </c>
      <c r="M1386" s="418">
        <v>44545</v>
      </c>
      <c r="N1386" s="418">
        <v>44744</v>
      </c>
      <c r="O1386" s="418"/>
      <c r="P1386" s="406"/>
      <c r="Q1386" s="406"/>
      <c r="R1386" s="406"/>
      <c r="S1386" s="405" t="s">
        <v>1443</v>
      </c>
      <c r="T1386" s="405">
        <v>60</v>
      </c>
      <c r="U1386" s="405">
        <v>49401140</v>
      </c>
      <c r="V1386" s="405" t="s">
        <v>973</v>
      </c>
      <c r="W1386" s="405">
        <v>400</v>
      </c>
      <c r="X1386" s="407">
        <v>768</v>
      </c>
      <c r="Y1386" s="408">
        <f t="shared" si="300"/>
        <v>307200</v>
      </c>
      <c r="Z1386" s="409">
        <v>0.52500000000000002</v>
      </c>
      <c r="AA1386" s="410">
        <f t="shared" si="301"/>
        <v>161280</v>
      </c>
      <c r="AB1386" s="411"/>
      <c r="AC1386" s="412">
        <f t="shared" si="308"/>
        <v>0</v>
      </c>
      <c r="AD1386" s="421"/>
      <c r="AE1386" s="413"/>
      <c r="AF1386" s="424">
        <f t="shared" si="302"/>
        <v>161280</v>
      </c>
      <c r="AG1386" s="405" t="s">
        <v>1069</v>
      </c>
      <c r="AH1386" s="405"/>
      <c r="AI1386" s="414">
        <v>60</v>
      </c>
      <c r="AJ1386" s="405" t="s">
        <v>2053</v>
      </c>
      <c r="AK1386" s="425" t="s">
        <v>1136</v>
      </c>
      <c r="AL1386" s="405">
        <v>78216</v>
      </c>
      <c r="AM1386" s="405" t="s">
        <v>52</v>
      </c>
      <c r="AN1386" s="405" t="s">
        <v>1071</v>
      </c>
      <c r="AO1386" s="405"/>
      <c r="AP1386" s="417"/>
      <c r="AQ1386" s="417" t="s">
        <v>37</v>
      </c>
      <c r="AR1386" s="417"/>
      <c r="AS1386" s="426"/>
      <c r="AT1386" s="426"/>
      <c r="AU1386" s="409"/>
    </row>
    <row r="1387" spans="1:55" s="402" customFormat="1">
      <c r="A1387" s="403"/>
      <c r="B1387" s="445">
        <v>44557</v>
      </c>
      <c r="C1387" s="445"/>
      <c r="D1387" s="416" t="s">
        <v>1914</v>
      </c>
      <c r="E1387" s="405" t="s">
        <v>2218</v>
      </c>
      <c r="F1387" s="405"/>
      <c r="G1387" s="405">
        <v>2022</v>
      </c>
      <c r="H1387" s="405">
        <v>10</v>
      </c>
      <c r="I1387" s="416"/>
      <c r="J1387" s="406"/>
      <c r="K1387" s="414" t="s">
        <v>2260</v>
      </c>
      <c r="L1387" s="405" t="s">
        <v>1967</v>
      </c>
      <c r="M1387" s="418">
        <v>44545</v>
      </c>
      <c r="N1387" s="418">
        <v>44747</v>
      </c>
      <c r="O1387" s="418"/>
      <c r="P1387" s="406"/>
      <c r="Q1387" s="406"/>
      <c r="R1387" s="406"/>
      <c r="S1387" s="405" t="s">
        <v>1443</v>
      </c>
      <c r="T1387" s="405">
        <v>60</v>
      </c>
      <c r="U1387" s="405">
        <v>49401140</v>
      </c>
      <c r="V1387" s="405" t="s">
        <v>973</v>
      </c>
      <c r="W1387" s="405">
        <v>400</v>
      </c>
      <c r="X1387" s="407">
        <v>768</v>
      </c>
      <c r="Y1387" s="408">
        <f t="shared" si="300"/>
        <v>307200</v>
      </c>
      <c r="Z1387" s="409">
        <v>0.52500000000000002</v>
      </c>
      <c r="AA1387" s="410">
        <f t="shared" si="301"/>
        <v>161280</v>
      </c>
      <c r="AB1387" s="411"/>
      <c r="AC1387" s="412">
        <f t="shared" si="308"/>
        <v>0</v>
      </c>
      <c r="AD1387" s="421"/>
      <c r="AE1387" s="413"/>
      <c r="AF1387" s="424">
        <f t="shared" si="302"/>
        <v>161280</v>
      </c>
      <c r="AG1387" s="405" t="s">
        <v>1069</v>
      </c>
      <c r="AH1387" s="405"/>
      <c r="AI1387" s="414">
        <v>60</v>
      </c>
      <c r="AJ1387" s="405" t="s">
        <v>2053</v>
      </c>
      <c r="AK1387" s="425" t="s">
        <v>1136</v>
      </c>
      <c r="AL1387" s="405">
        <v>78216</v>
      </c>
      <c r="AM1387" s="405" t="s">
        <v>52</v>
      </c>
      <c r="AN1387" s="405" t="s">
        <v>1071</v>
      </c>
      <c r="AO1387" s="405"/>
      <c r="AP1387" s="417"/>
      <c r="AQ1387" s="417" t="s">
        <v>37</v>
      </c>
      <c r="AR1387" s="417"/>
      <c r="AS1387" s="426"/>
      <c r="AT1387" s="426"/>
      <c r="AU1387" s="409"/>
    </row>
    <row r="1388" spans="1:55" s="402" customFormat="1">
      <c r="A1388" s="403"/>
      <c r="B1388" s="445">
        <v>44557</v>
      </c>
      <c r="C1388" s="445"/>
      <c r="D1388" s="416" t="s">
        <v>1914</v>
      </c>
      <c r="E1388" s="405" t="s">
        <v>2218</v>
      </c>
      <c r="F1388" s="405"/>
      <c r="G1388" s="405">
        <v>2022</v>
      </c>
      <c r="H1388" s="405">
        <v>10</v>
      </c>
      <c r="I1388" s="416"/>
      <c r="J1388" s="406"/>
      <c r="K1388" s="414" t="s">
        <v>2261</v>
      </c>
      <c r="L1388" s="405" t="s">
        <v>1967</v>
      </c>
      <c r="M1388" s="418">
        <v>44545</v>
      </c>
      <c r="N1388" s="418">
        <v>44751</v>
      </c>
      <c r="O1388" s="418"/>
      <c r="P1388" s="406"/>
      <c r="Q1388" s="406"/>
      <c r="R1388" s="406"/>
      <c r="S1388" s="405" t="s">
        <v>1443</v>
      </c>
      <c r="T1388" s="405">
        <v>60</v>
      </c>
      <c r="U1388" s="405">
        <v>49401140</v>
      </c>
      <c r="V1388" s="405" t="s">
        <v>973</v>
      </c>
      <c r="W1388" s="405">
        <v>400</v>
      </c>
      <c r="X1388" s="407">
        <v>768</v>
      </c>
      <c r="Y1388" s="408">
        <f t="shared" si="300"/>
        <v>307200</v>
      </c>
      <c r="Z1388" s="409">
        <v>0.52500000000000002</v>
      </c>
      <c r="AA1388" s="410">
        <f t="shared" si="301"/>
        <v>161280</v>
      </c>
      <c r="AB1388" s="411"/>
      <c r="AC1388" s="412">
        <f t="shared" si="308"/>
        <v>0</v>
      </c>
      <c r="AD1388" s="421"/>
      <c r="AE1388" s="413"/>
      <c r="AF1388" s="424">
        <f t="shared" si="302"/>
        <v>161280</v>
      </c>
      <c r="AG1388" s="405" t="s">
        <v>1069</v>
      </c>
      <c r="AH1388" s="405"/>
      <c r="AI1388" s="414">
        <v>60</v>
      </c>
      <c r="AJ1388" s="405" t="s">
        <v>2053</v>
      </c>
      <c r="AK1388" s="425" t="s">
        <v>1136</v>
      </c>
      <c r="AL1388" s="405">
        <v>78216</v>
      </c>
      <c r="AM1388" s="405" t="s">
        <v>52</v>
      </c>
      <c r="AN1388" s="405" t="s">
        <v>1071</v>
      </c>
      <c r="AO1388" s="405"/>
      <c r="AP1388" s="417"/>
      <c r="AQ1388" s="417" t="s">
        <v>37</v>
      </c>
      <c r="AR1388" s="417"/>
      <c r="AS1388" s="426"/>
      <c r="AT1388" s="426"/>
      <c r="AU1388" s="409"/>
    </row>
    <row r="1389" spans="1:55" s="402" customFormat="1">
      <c r="A1389" s="403"/>
      <c r="B1389" s="445">
        <v>44557</v>
      </c>
      <c r="C1389" s="445"/>
      <c r="D1389" s="416" t="s">
        <v>1914</v>
      </c>
      <c r="E1389" s="405" t="s">
        <v>2218</v>
      </c>
      <c r="F1389" s="405"/>
      <c r="G1389" s="405">
        <v>2022</v>
      </c>
      <c r="H1389" s="405">
        <v>10</v>
      </c>
      <c r="I1389" s="416"/>
      <c r="J1389" s="406"/>
      <c r="K1389" s="414" t="s">
        <v>2262</v>
      </c>
      <c r="L1389" s="405" t="s">
        <v>1967</v>
      </c>
      <c r="M1389" s="418">
        <v>44545</v>
      </c>
      <c r="N1389" s="418">
        <v>44754</v>
      </c>
      <c r="O1389" s="418"/>
      <c r="P1389" s="406"/>
      <c r="Q1389" s="406"/>
      <c r="R1389" s="406"/>
      <c r="S1389" s="405" t="s">
        <v>1443</v>
      </c>
      <c r="T1389" s="405">
        <v>60</v>
      </c>
      <c r="U1389" s="405">
        <v>49401140</v>
      </c>
      <c r="V1389" s="405" t="s">
        <v>973</v>
      </c>
      <c r="W1389" s="405">
        <v>400</v>
      </c>
      <c r="X1389" s="407">
        <v>768</v>
      </c>
      <c r="Y1389" s="408">
        <f t="shared" si="300"/>
        <v>307200</v>
      </c>
      <c r="Z1389" s="409">
        <v>0.52500000000000002</v>
      </c>
      <c r="AA1389" s="410">
        <f t="shared" si="301"/>
        <v>161280</v>
      </c>
      <c r="AB1389" s="411"/>
      <c r="AC1389" s="412">
        <f t="shared" si="308"/>
        <v>0</v>
      </c>
      <c r="AD1389" s="421"/>
      <c r="AE1389" s="413"/>
      <c r="AF1389" s="424">
        <f t="shared" si="302"/>
        <v>161280</v>
      </c>
      <c r="AG1389" s="405" t="s">
        <v>1069</v>
      </c>
      <c r="AH1389" s="405"/>
      <c r="AI1389" s="414">
        <v>60</v>
      </c>
      <c r="AJ1389" s="405" t="s">
        <v>2053</v>
      </c>
      <c r="AK1389" s="425" t="s">
        <v>1136</v>
      </c>
      <c r="AL1389" s="405">
        <v>78216</v>
      </c>
      <c r="AM1389" s="405" t="s">
        <v>52</v>
      </c>
      <c r="AN1389" s="405" t="s">
        <v>1071</v>
      </c>
      <c r="AO1389" s="405"/>
      <c r="AP1389" s="417"/>
      <c r="AQ1389" s="417" t="s">
        <v>37</v>
      </c>
      <c r="AR1389" s="417"/>
      <c r="AS1389" s="426"/>
      <c r="AT1389" s="426"/>
      <c r="AU1389" s="409"/>
      <c r="AV1389" s="402">
        <f>U1389</f>
        <v>49401140</v>
      </c>
      <c r="AW1389" s="402" cm="1">
        <f t="array" ref="AW1389">SUM(MID(0&amp;AV1389,LARGE(INDEX(ISNUMBER(--MID(AV1389,ROW($1:$8),1))*ROW($1:$8),),ROW($1:$8))+1,1)*10^ROW($1:$8)/10)</f>
        <v>49401140</v>
      </c>
      <c r="AX1389" s="402" t="str">
        <f>VLOOKUP($AW1389,'Item Master Data'!$A:$F,3,FALSE)</f>
        <v>Q.PEAK DUO BLK ML G10.a+</v>
      </c>
      <c r="AY1389" s="402">
        <f>VLOOKUP($AW1389,'Item Master Data'!$A:$F,6,FALSE)</f>
        <v>400</v>
      </c>
      <c r="AZ1389" s="402">
        <f>X1389/BA1389</f>
        <v>24</v>
      </c>
      <c r="BA1389" s="402">
        <f>VLOOKUP(AW1389,'Item Master Data'!$A:$G,7,FALSE)</f>
        <v>32</v>
      </c>
      <c r="BC1389" s="402">
        <f>W1389-AY1389</f>
        <v>0</v>
      </c>
    </row>
    <row r="1390" spans="1:55" s="402" customFormat="1">
      <c r="A1390" s="403"/>
      <c r="B1390" s="445">
        <v>44557</v>
      </c>
      <c r="C1390" s="445"/>
      <c r="D1390" s="416" t="s">
        <v>1914</v>
      </c>
      <c r="E1390" s="405" t="s">
        <v>2218</v>
      </c>
      <c r="F1390" s="405"/>
      <c r="G1390" s="405">
        <v>2022</v>
      </c>
      <c r="H1390" s="405">
        <v>10</v>
      </c>
      <c r="I1390" s="416"/>
      <c r="J1390" s="406"/>
      <c r="K1390" s="414" t="s">
        <v>2263</v>
      </c>
      <c r="L1390" s="405" t="s">
        <v>1967</v>
      </c>
      <c r="M1390" s="418">
        <v>44545</v>
      </c>
      <c r="N1390" s="418">
        <v>44757</v>
      </c>
      <c r="O1390" s="418"/>
      <c r="P1390" s="406"/>
      <c r="Q1390" s="406"/>
      <c r="R1390" s="406"/>
      <c r="S1390" s="405" t="s">
        <v>1443</v>
      </c>
      <c r="T1390" s="405">
        <v>60</v>
      </c>
      <c r="U1390" s="405">
        <v>49401140</v>
      </c>
      <c r="V1390" s="405" t="s">
        <v>973</v>
      </c>
      <c r="W1390" s="405">
        <v>400</v>
      </c>
      <c r="X1390" s="407">
        <v>768</v>
      </c>
      <c r="Y1390" s="408">
        <f t="shared" si="300"/>
        <v>307200</v>
      </c>
      <c r="Z1390" s="409">
        <v>0.52500000000000002</v>
      </c>
      <c r="AA1390" s="410">
        <f t="shared" si="301"/>
        <v>161280</v>
      </c>
      <c r="AB1390" s="411"/>
      <c r="AC1390" s="412">
        <f t="shared" si="308"/>
        <v>0</v>
      </c>
      <c r="AD1390" s="421"/>
      <c r="AE1390" s="413"/>
      <c r="AF1390" s="424">
        <f t="shared" si="302"/>
        <v>161280</v>
      </c>
      <c r="AG1390" s="405" t="s">
        <v>1069</v>
      </c>
      <c r="AH1390" s="405"/>
      <c r="AI1390" s="414">
        <v>60</v>
      </c>
      <c r="AJ1390" s="405" t="s">
        <v>2053</v>
      </c>
      <c r="AK1390" s="425" t="s">
        <v>1136</v>
      </c>
      <c r="AL1390" s="405">
        <v>78216</v>
      </c>
      <c r="AM1390" s="405" t="s">
        <v>52</v>
      </c>
      <c r="AN1390" s="405" t="s">
        <v>1071</v>
      </c>
      <c r="AO1390" s="405"/>
      <c r="AP1390" s="417"/>
      <c r="AQ1390" s="417" t="s">
        <v>37</v>
      </c>
      <c r="AR1390" s="417"/>
      <c r="AS1390" s="426"/>
      <c r="AT1390" s="426"/>
      <c r="AU1390" s="409"/>
    </row>
    <row r="1391" spans="1:55" s="402" customFormat="1">
      <c r="A1391" s="403"/>
      <c r="B1391" s="445" t="s">
        <v>4251</v>
      </c>
      <c r="C1391" s="445">
        <v>44673</v>
      </c>
      <c r="D1391" s="416" t="s">
        <v>1914</v>
      </c>
      <c r="E1391" s="405" t="s">
        <v>3571</v>
      </c>
      <c r="F1391" s="405"/>
      <c r="G1391" s="405">
        <v>2022</v>
      </c>
      <c r="H1391" s="405">
        <v>10</v>
      </c>
      <c r="I1391" s="416"/>
      <c r="J1391" s="406"/>
      <c r="K1391" s="414" t="s">
        <v>2264</v>
      </c>
      <c r="L1391" s="405" t="s">
        <v>1967</v>
      </c>
      <c r="M1391" s="418">
        <v>44636</v>
      </c>
      <c r="N1391" s="418">
        <v>44844</v>
      </c>
      <c r="O1391" s="418"/>
      <c r="P1391" s="406"/>
      <c r="Q1391" s="406"/>
      <c r="R1391" s="406"/>
      <c r="S1391" s="405" t="s">
        <v>1443</v>
      </c>
      <c r="T1391" s="405">
        <v>72</v>
      </c>
      <c r="U1391" s="405" t="s">
        <v>1102</v>
      </c>
      <c r="V1391" s="405" t="s">
        <v>1068</v>
      </c>
      <c r="W1391" s="405">
        <v>480</v>
      </c>
      <c r="X1391" s="407">
        <v>696</v>
      </c>
      <c r="Y1391" s="408">
        <f t="shared" si="300"/>
        <v>334080</v>
      </c>
      <c r="Z1391" s="409">
        <f>237.6/480</f>
        <v>0.495</v>
      </c>
      <c r="AA1391" s="410">
        <f t="shared" si="301"/>
        <v>165369.60000000001</v>
      </c>
      <c r="AB1391" s="411"/>
      <c r="AC1391" s="412">
        <v>0</v>
      </c>
      <c r="AD1391" s="421"/>
      <c r="AE1391" s="413"/>
      <c r="AF1391" s="424">
        <f t="shared" si="302"/>
        <v>165369.60000000001</v>
      </c>
      <c r="AG1391" s="405" t="s">
        <v>1069</v>
      </c>
      <c r="AH1391" s="405"/>
      <c r="AI1391" s="414">
        <v>60</v>
      </c>
      <c r="AJ1391" s="405" t="s">
        <v>1584</v>
      </c>
      <c r="AK1391" s="425" t="s">
        <v>50</v>
      </c>
      <c r="AL1391" s="405">
        <v>95834</v>
      </c>
      <c r="AM1391" s="405" t="s">
        <v>52</v>
      </c>
      <c r="AN1391" s="405" t="s">
        <v>1071</v>
      </c>
      <c r="AO1391" s="405"/>
      <c r="AP1391" s="417"/>
      <c r="AQ1391" s="417" t="s">
        <v>37</v>
      </c>
      <c r="AR1391" s="417"/>
      <c r="AS1391" s="426"/>
      <c r="AT1391" s="426"/>
      <c r="AU1391" s="409"/>
      <c r="AV1391" s="402" t="str">
        <f>U1391</f>
        <v>TBD</v>
      </c>
      <c r="AW1391" s="402" cm="1">
        <f t="array" ref="AW1391">SUM(MID(0&amp;AV1391,LARGE(INDEX(ISNUMBER(--MID(AV1391,ROW($1:$8),1))*ROW($1:$8),),ROW($1:$8))+1,1)*10^ROW($1:$8)/10)</f>
        <v>0</v>
      </c>
      <c r="AX1391" s="402" t="e">
        <f>VLOOKUP($AW1391,'Item Master Data'!$A:$F,3,FALSE)</f>
        <v>#N/A</v>
      </c>
      <c r="AY1391" s="402" t="e">
        <f>VLOOKUP($AW1391,'Item Master Data'!$A:$F,6,FALSE)</f>
        <v>#N/A</v>
      </c>
      <c r="AZ1391" s="402" t="e">
        <f>X1391/BA1391</f>
        <v>#N/A</v>
      </c>
      <c r="BA1391" s="402" t="e">
        <f>VLOOKUP(AW1391,'Item Master Data'!$A:$G,7,FALSE)</f>
        <v>#N/A</v>
      </c>
      <c r="BC1391" s="402" t="e">
        <f>W1391-AY1391</f>
        <v>#N/A</v>
      </c>
    </row>
    <row r="1392" spans="1:55" s="402" customFormat="1">
      <c r="A1392" s="403"/>
      <c r="B1392" s="445">
        <v>44557</v>
      </c>
      <c r="C1392" s="445">
        <v>44587</v>
      </c>
      <c r="D1392" s="416" t="s">
        <v>1914</v>
      </c>
      <c r="E1392" s="405" t="s">
        <v>1239</v>
      </c>
      <c r="F1392" s="405"/>
      <c r="G1392" s="405">
        <v>2022</v>
      </c>
      <c r="H1392" s="405">
        <v>10</v>
      </c>
      <c r="I1392" s="416"/>
      <c r="J1392" s="406"/>
      <c r="K1392" s="414" t="s">
        <v>2265</v>
      </c>
      <c r="L1392" s="405" t="s">
        <v>1967</v>
      </c>
      <c r="M1392" s="418">
        <v>44545</v>
      </c>
      <c r="N1392" s="418">
        <v>44844</v>
      </c>
      <c r="O1392" s="418"/>
      <c r="P1392" s="406"/>
      <c r="Q1392" s="406"/>
      <c r="R1392" s="406"/>
      <c r="S1392" s="405" t="s">
        <v>1443</v>
      </c>
      <c r="T1392" s="405">
        <v>60</v>
      </c>
      <c r="U1392" s="405">
        <v>49204132</v>
      </c>
      <c r="V1392" s="405" t="s">
        <v>1192</v>
      </c>
      <c r="W1392" s="405">
        <v>360</v>
      </c>
      <c r="X1392" s="407">
        <v>624</v>
      </c>
      <c r="Y1392" s="408">
        <f t="shared" si="300"/>
        <v>224640</v>
      </c>
      <c r="Z1392" s="409">
        <v>0.79</v>
      </c>
      <c r="AA1392" s="410">
        <f t="shared" si="301"/>
        <v>177465.60000000001</v>
      </c>
      <c r="AB1392" s="411"/>
      <c r="AC1392" s="412">
        <v>0</v>
      </c>
      <c r="AD1392" s="421"/>
      <c r="AE1392" s="413"/>
      <c r="AF1392" s="424">
        <f t="shared" si="302"/>
        <v>177465.60000000001</v>
      </c>
      <c r="AG1392" s="405" t="s">
        <v>1069</v>
      </c>
      <c r="AH1392" s="405"/>
      <c r="AI1392" s="414" t="s">
        <v>1962</v>
      </c>
      <c r="AJ1392" s="405" t="s">
        <v>1969</v>
      </c>
      <c r="AK1392" s="425" t="s">
        <v>1125</v>
      </c>
      <c r="AL1392" s="405">
        <v>85008</v>
      </c>
      <c r="AM1392" s="405" t="s">
        <v>52</v>
      </c>
      <c r="AN1392" s="405" t="s">
        <v>1071</v>
      </c>
      <c r="AO1392" s="405"/>
      <c r="AP1392" s="417"/>
      <c r="AQ1392" s="417" t="s">
        <v>37</v>
      </c>
      <c r="AR1392" s="417"/>
      <c r="AS1392" s="426"/>
      <c r="AT1392" s="426"/>
      <c r="AU1392" s="409"/>
      <c r="AV1392" s="402">
        <f>U1392</f>
        <v>49204132</v>
      </c>
      <c r="AW1392" s="402" cm="1">
        <f t="array" ref="AW1392">SUM(MID(0&amp;AV1392,LARGE(INDEX(ISNUMBER(--MID(AV1392,ROW($1:$8),1))*ROW($1:$8),),ROW($1:$8))+1,1)*10^ROW($1:$8)/10)</f>
        <v>49204132</v>
      </c>
      <c r="AX1392" s="402" t="str">
        <f>VLOOKUP($AW1392,'Item Master Data'!$A:$F,3,FALSE)</f>
        <v>Q.PEAK DUO BLK G10+/AC</v>
      </c>
      <c r="AY1392" s="402">
        <f>VLOOKUP($AW1392,'Item Master Data'!$A:$F,6,FALSE)</f>
        <v>360</v>
      </c>
      <c r="AZ1392" s="402">
        <f>X1392/BA1392</f>
        <v>24</v>
      </c>
      <c r="BA1392" s="402">
        <f>VLOOKUP(AW1392,'Item Master Data'!$A:$G,7,FALSE)</f>
        <v>26</v>
      </c>
      <c r="BC1392" s="402">
        <f>W1392-AY1392</f>
        <v>0</v>
      </c>
    </row>
    <row r="1393" spans="1:55" s="402" customFormat="1">
      <c r="A1393" s="403"/>
      <c r="B1393" s="445">
        <v>44557</v>
      </c>
      <c r="C1393" s="445">
        <v>44587</v>
      </c>
      <c r="D1393" s="416" t="s">
        <v>1914</v>
      </c>
      <c r="E1393" s="405" t="s">
        <v>1239</v>
      </c>
      <c r="F1393" s="405"/>
      <c r="G1393" s="405">
        <v>2022</v>
      </c>
      <c r="H1393" s="405">
        <v>10</v>
      </c>
      <c r="I1393" s="416"/>
      <c r="J1393" s="406"/>
      <c r="K1393" s="414" t="s">
        <v>2266</v>
      </c>
      <c r="L1393" s="405" t="s">
        <v>1967</v>
      </c>
      <c r="M1393" s="418">
        <v>44545</v>
      </c>
      <c r="N1393" s="418">
        <v>44854</v>
      </c>
      <c r="O1393" s="418"/>
      <c r="P1393" s="406"/>
      <c r="Q1393" s="406"/>
      <c r="R1393" s="406"/>
      <c r="S1393" s="405" t="s">
        <v>1443</v>
      </c>
      <c r="T1393" s="405">
        <v>60</v>
      </c>
      <c r="U1393" s="405">
        <v>49204132</v>
      </c>
      <c r="V1393" s="405" t="s">
        <v>1192</v>
      </c>
      <c r="W1393" s="405">
        <v>360</v>
      </c>
      <c r="X1393" s="407">
        <v>624</v>
      </c>
      <c r="Y1393" s="408">
        <f t="shared" si="300"/>
        <v>224640</v>
      </c>
      <c r="Z1393" s="409">
        <v>0.79</v>
      </c>
      <c r="AA1393" s="410">
        <f t="shared" si="301"/>
        <v>177465.60000000001</v>
      </c>
      <c r="AB1393" s="411"/>
      <c r="AC1393" s="412">
        <v>0</v>
      </c>
      <c r="AD1393" s="421"/>
      <c r="AE1393" s="413"/>
      <c r="AF1393" s="424">
        <f t="shared" si="302"/>
        <v>177465.60000000001</v>
      </c>
      <c r="AG1393" s="405" t="s">
        <v>1069</v>
      </c>
      <c r="AH1393" s="405"/>
      <c r="AI1393" s="414" t="s">
        <v>1962</v>
      </c>
      <c r="AJ1393" s="405" t="s">
        <v>1969</v>
      </c>
      <c r="AK1393" s="425" t="s">
        <v>1125</v>
      </c>
      <c r="AL1393" s="405">
        <v>85008</v>
      </c>
      <c r="AM1393" s="405" t="s">
        <v>52</v>
      </c>
      <c r="AN1393" s="405" t="s">
        <v>1071</v>
      </c>
      <c r="AO1393" s="405"/>
      <c r="AP1393" s="417"/>
      <c r="AQ1393" s="417" t="s">
        <v>37</v>
      </c>
      <c r="AR1393" s="417"/>
      <c r="AS1393" s="426"/>
      <c r="AT1393" s="426"/>
      <c r="AU1393" s="409"/>
    </row>
    <row r="1394" spans="1:55" s="402" customFormat="1">
      <c r="A1394" s="403"/>
      <c r="B1394" s="445">
        <v>44557</v>
      </c>
      <c r="C1394" s="445">
        <v>44587</v>
      </c>
      <c r="D1394" s="416" t="s">
        <v>1914</v>
      </c>
      <c r="E1394" s="405" t="s">
        <v>1239</v>
      </c>
      <c r="F1394" s="405"/>
      <c r="G1394" s="405">
        <v>2022</v>
      </c>
      <c r="H1394" s="405">
        <v>10</v>
      </c>
      <c r="I1394" s="416"/>
      <c r="J1394" s="406"/>
      <c r="K1394" s="414" t="s">
        <v>2267</v>
      </c>
      <c r="L1394" s="405" t="s">
        <v>2004</v>
      </c>
      <c r="M1394" s="418">
        <v>44545</v>
      </c>
      <c r="N1394" s="418">
        <v>44839</v>
      </c>
      <c r="O1394" s="418"/>
      <c r="P1394" s="406"/>
      <c r="Q1394" s="406"/>
      <c r="R1394" s="406"/>
      <c r="S1394" s="405" t="s">
        <v>1443</v>
      </c>
      <c r="T1394" s="405">
        <v>60</v>
      </c>
      <c r="U1394" s="405">
        <v>49204132</v>
      </c>
      <c r="V1394" s="405" t="s">
        <v>1192</v>
      </c>
      <c r="W1394" s="405">
        <v>360</v>
      </c>
      <c r="X1394" s="407">
        <v>832</v>
      </c>
      <c r="Y1394" s="408">
        <f t="shared" si="300"/>
        <v>299520</v>
      </c>
      <c r="Z1394" s="409">
        <v>0.78999999999999992</v>
      </c>
      <c r="AA1394" s="410">
        <f t="shared" si="301"/>
        <v>236620.79999999999</v>
      </c>
      <c r="AB1394" s="411"/>
      <c r="AC1394" s="412">
        <v>0</v>
      </c>
      <c r="AD1394" s="421"/>
      <c r="AE1394" s="413"/>
      <c r="AF1394" s="424">
        <f t="shared" si="302"/>
        <v>236620.79999999999</v>
      </c>
      <c r="AG1394" s="405" t="s">
        <v>1069</v>
      </c>
      <c r="AH1394" s="405"/>
      <c r="AI1394" s="414" t="s">
        <v>1962</v>
      </c>
      <c r="AJ1394" s="405" t="s">
        <v>1968</v>
      </c>
      <c r="AK1394" s="425" t="s">
        <v>1599</v>
      </c>
      <c r="AL1394" s="405">
        <v>97210</v>
      </c>
      <c r="AM1394" s="405" t="s">
        <v>52</v>
      </c>
      <c r="AN1394" s="405"/>
      <c r="AO1394" s="405"/>
      <c r="AP1394" s="417"/>
      <c r="AQ1394" s="417" t="s">
        <v>37</v>
      </c>
      <c r="AR1394" s="417"/>
      <c r="AS1394" s="426"/>
      <c r="AT1394" s="426"/>
      <c r="AU1394" s="409"/>
      <c r="AV1394" s="402">
        <f>U1394</f>
        <v>49204132</v>
      </c>
      <c r="AW1394" s="402" cm="1">
        <f t="array" ref="AW1394">SUM(MID(0&amp;AV1394,LARGE(INDEX(ISNUMBER(--MID(AV1394,ROW($1:$8),1))*ROW($1:$8),),ROW($1:$8))+1,1)*10^ROW($1:$8)/10)</f>
        <v>49204132</v>
      </c>
      <c r="AX1394" s="402" t="str">
        <f>VLOOKUP($AW1394,'Item Master Data'!$A:$F,3,FALSE)</f>
        <v>Q.PEAK DUO BLK G10+/AC</v>
      </c>
      <c r="AY1394" s="402">
        <f>VLOOKUP($AW1394,'Item Master Data'!$A:$F,6,FALSE)</f>
        <v>360</v>
      </c>
      <c r="AZ1394" s="402">
        <f>X1394/BA1394</f>
        <v>32</v>
      </c>
      <c r="BA1394" s="402">
        <f>VLOOKUP(AW1394,'Item Master Data'!$A:$G,7,FALSE)</f>
        <v>26</v>
      </c>
      <c r="BC1394" s="402">
        <f>W1394-AY1394</f>
        <v>0</v>
      </c>
    </row>
    <row r="1395" spans="1:55" s="402" customFormat="1">
      <c r="A1395" s="403"/>
      <c r="B1395" s="445">
        <v>44557</v>
      </c>
      <c r="C1395" s="445">
        <v>44587</v>
      </c>
      <c r="D1395" s="416" t="s">
        <v>1914</v>
      </c>
      <c r="E1395" s="405" t="s">
        <v>1239</v>
      </c>
      <c r="F1395" s="405"/>
      <c r="G1395" s="405">
        <v>2022</v>
      </c>
      <c r="H1395" s="405">
        <v>10</v>
      </c>
      <c r="I1395" s="416"/>
      <c r="J1395" s="406"/>
      <c r="K1395" s="414" t="s">
        <v>2268</v>
      </c>
      <c r="L1395" s="405" t="s">
        <v>2004</v>
      </c>
      <c r="M1395" s="418">
        <v>44545</v>
      </c>
      <c r="N1395" s="418">
        <v>44844</v>
      </c>
      <c r="O1395" s="418"/>
      <c r="P1395" s="406"/>
      <c r="Q1395" s="406"/>
      <c r="R1395" s="406"/>
      <c r="S1395" s="405" t="s">
        <v>1443</v>
      </c>
      <c r="T1395" s="405">
        <v>60</v>
      </c>
      <c r="U1395" s="405">
        <v>49204132</v>
      </c>
      <c r="V1395" s="405" t="s">
        <v>1192</v>
      </c>
      <c r="W1395" s="405">
        <v>360</v>
      </c>
      <c r="X1395" s="407">
        <v>832</v>
      </c>
      <c r="Y1395" s="408">
        <f t="shared" si="300"/>
        <v>299520</v>
      </c>
      <c r="Z1395" s="409">
        <v>0.78999999999999992</v>
      </c>
      <c r="AA1395" s="410">
        <f t="shared" si="301"/>
        <v>236620.79999999999</v>
      </c>
      <c r="AB1395" s="411"/>
      <c r="AC1395" s="412">
        <v>0</v>
      </c>
      <c r="AD1395" s="421"/>
      <c r="AE1395" s="413"/>
      <c r="AF1395" s="424">
        <f t="shared" si="302"/>
        <v>236620.79999999999</v>
      </c>
      <c r="AG1395" s="405" t="s">
        <v>1069</v>
      </c>
      <c r="AH1395" s="405"/>
      <c r="AI1395" s="414" t="s">
        <v>1962</v>
      </c>
      <c r="AJ1395" s="405" t="s">
        <v>1968</v>
      </c>
      <c r="AK1395" s="425" t="s">
        <v>1599</v>
      </c>
      <c r="AL1395" s="405">
        <v>97210</v>
      </c>
      <c r="AM1395" s="405" t="s">
        <v>52</v>
      </c>
      <c r="AN1395" s="405"/>
      <c r="AO1395" s="405"/>
      <c r="AP1395" s="417"/>
      <c r="AQ1395" s="417" t="s">
        <v>37</v>
      </c>
      <c r="AR1395" s="417"/>
      <c r="AS1395" s="426"/>
      <c r="AT1395" s="426"/>
      <c r="AU1395" s="409"/>
    </row>
    <row r="1396" spans="1:55" s="402" customFormat="1">
      <c r="A1396" s="403"/>
      <c r="B1396" s="445">
        <v>44557</v>
      </c>
      <c r="C1396" s="445">
        <v>44587</v>
      </c>
      <c r="D1396" s="416" t="s">
        <v>1914</v>
      </c>
      <c r="E1396" s="405" t="s">
        <v>1239</v>
      </c>
      <c r="F1396" s="405"/>
      <c r="G1396" s="405">
        <v>2022</v>
      </c>
      <c r="H1396" s="405">
        <v>10</v>
      </c>
      <c r="I1396" s="416"/>
      <c r="J1396" s="406"/>
      <c r="K1396" s="414" t="s">
        <v>2269</v>
      </c>
      <c r="L1396" s="405" t="s">
        <v>2004</v>
      </c>
      <c r="M1396" s="418">
        <v>44545</v>
      </c>
      <c r="N1396" s="418">
        <v>44838</v>
      </c>
      <c r="O1396" s="418"/>
      <c r="P1396" s="406"/>
      <c r="Q1396" s="406"/>
      <c r="R1396" s="406"/>
      <c r="S1396" s="405" t="s">
        <v>1443</v>
      </c>
      <c r="T1396" s="405">
        <v>60</v>
      </c>
      <c r="U1396" s="405">
        <v>49204132</v>
      </c>
      <c r="V1396" s="405" t="s">
        <v>1192</v>
      </c>
      <c r="W1396" s="405">
        <v>360</v>
      </c>
      <c r="X1396" s="407">
        <v>624</v>
      </c>
      <c r="Y1396" s="408">
        <f t="shared" si="300"/>
        <v>224640</v>
      </c>
      <c r="Z1396" s="409">
        <v>0.78999999999999992</v>
      </c>
      <c r="AA1396" s="410">
        <f t="shared" si="301"/>
        <v>177465.59999999998</v>
      </c>
      <c r="AB1396" s="411"/>
      <c r="AC1396" s="412">
        <v>0</v>
      </c>
      <c r="AD1396" s="421"/>
      <c r="AE1396" s="413"/>
      <c r="AF1396" s="424">
        <f t="shared" si="302"/>
        <v>177465.59999999998</v>
      </c>
      <c r="AG1396" s="405" t="s">
        <v>1069</v>
      </c>
      <c r="AH1396" s="405"/>
      <c r="AI1396" s="414" t="s">
        <v>1962</v>
      </c>
      <c r="AJ1396" s="405" t="s">
        <v>1616</v>
      </c>
      <c r="AK1396" s="425" t="s">
        <v>50</v>
      </c>
      <c r="AL1396" s="405">
        <v>93722</v>
      </c>
      <c r="AM1396" s="405" t="s">
        <v>52</v>
      </c>
      <c r="AN1396" s="405"/>
      <c r="AO1396" s="405"/>
      <c r="AP1396" s="417"/>
      <c r="AQ1396" s="417" t="s">
        <v>37</v>
      </c>
      <c r="AR1396" s="417"/>
      <c r="AS1396" s="426"/>
      <c r="AT1396" s="426"/>
      <c r="AU1396" s="409"/>
      <c r="AV1396" s="402">
        <f t="shared" ref="AV1396:AV1401" si="309">U1396</f>
        <v>49204132</v>
      </c>
      <c r="AW1396" s="402" cm="1">
        <f t="array" ref="AW1396">SUM(MID(0&amp;AV1396,LARGE(INDEX(ISNUMBER(--MID(AV1396,ROW($1:$8),1))*ROW($1:$8),),ROW($1:$8))+1,1)*10^ROW($1:$8)/10)</f>
        <v>49204132</v>
      </c>
      <c r="AX1396" s="402" t="str">
        <f>VLOOKUP($AW1396,'Item Master Data'!$A:$F,3,FALSE)</f>
        <v>Q.PEAK DUO BLK G10+/AC</v>
      </c>
      <c r="AY1396" s="402">
        <f>VLOOKUP($AW1396,'Item Master Data'!$A:$F,6,FALSE)</f>
        <v>360</v>
      </c>
      <c r="AZ1396" s="402">
        <f t="shared" ref="AZ1396:AZ1401" si="310">X1396/BA1396</f>
        <v>24</v>
      </c>
      <c r="BA1396" s="402">
        <f>VLOOKUP(AW1396,'Item Master Data'!$A:$G,7,FALSE)</f>
        <v>26</v>
      </c>
      <c r="BC1396" s="402">
        <f t="shared" ref="BC1396:BC1401" si="311">W1396-AY1396</f>
        <v>0</v>
      </c>
    </row>
    <row r="1397" spans="1:55" s="402" customFormat="1">
      <c r="A1397" s="403"/>
      <c r="B1397" s="445">
        <v>44557</v>
      </c>
      <c r="C1397" s="445">
        <v>44587</v>
      </c>
      <c r="D1397" s="416" t="s">
        <v>1914</v>
      </c>
      <c r="E1397" s="405" t="s">
        <v>1239</v>
      </c>
      <c r="F1397" s="405"/>
      <c r="G1397" s="405">
        <v>2022</v>
      </c>
      <c r="H1397" s="405">
        <v>10</v>
      </c>
      <c r="I1397" s="416"/>
      <c r="J1397" s="406"/>
      <c r="K1397" s="414" t="s">
        <v>2270</v>
      </c>
      <c r="L1397" s="405" t="s">
        <v>2004</v>
      </c>
      <c r="M1397" s="418">
        <v>44545</v>
      </c>
      <c r="N1397" s="418">
        <v>44848</v>
      </c>
      <c r="O1397" s="418"/>
      <c r="P1397" s="406"/>
      <c r="Q1397" s="406"/>
      <c r="R1397" s="406"/>
      <c r="S1397" s="405" t="s">
        <v>1443</v>
      </c>
      <c r="T1397" s="405">
        <v>60</v>
      </c>
      <c r="U1397" s="405">
        <v>49204132</v>
      </c>
      <c r="V1397" s="405" t="s">
        <v>1192</v>
      </c>
      <c r="W1397" s="405">
        <v>360</v>
      </c>
      <c r="X1397" s="407">
        <v>624</v>
      </c>
      <c r="Y1397" s="408">
        <f t="shared" si="300"/>
        <v>224640</v>
      </c>
      <c r="Z1397" s="409">
        <v>0.78999999999999992</v>
      </c>
      <c r="AA1397" s="410">
        <f t="shared" si="301"/>
        <v>177465.59999999998</v>
      </c>
      <c r="AB1397" s="411"/>
      <c r="AC1397" s="412">
        <v>0</v>
      </c>
      <c r="AD1397" s="421"/>
      <c r="AE1397" s="413"/>
      <c r="AF1397" s="424">
        <f t="shared" si="302"/>
        <v>177465.59999999998</v>
      </c>
      <c r="AG1397" s="405" t="s">
        <v>1069</v>
      </c>
      <c r="AH1397" s="405"/>
      <c r="AI1397" s="414" t="s">
        <v>1962</v>
      </c>
      <c r="AJ1397" s="405" t="s">
        <v>1616</v>
      </c>
      <c r="AK1397" s="425" t="s">
        <v>50</v>
      </c>
      <c r="AL1397" s="405">
        <v>93722</v>
      </c>
      <c r="AM1397" s="405" t="s">
        <v>52</v>
      </c>
      <c r="AN1397" s="405"/>
      <c r="AO1397" s="405"/>
      <c r="AP1397" s="417"/>
      <c r="AQ1397" s="417" t="s">
        <v>37</v>
      </c>
      <c r="AR1397" s="417"/>
      <c r="AS1397" s="426"/>
      <c r="AT1397" s="426"/>
      <c r="AU1397" s="409"/>
      <c r="AV1397" s="402">
        <f t="shared" si="309"/>
        <v>49204132</v>
      </c>
      <c r="AW1397" s="402" cm="1">
        <f t="array" ref="AW1397">SUM(MID(0&amp;AV1397,LARGE(INDEX(ISNUMBER(--MID(AV1397,ROW($1:$8),1))*ROW($1:$8),),ROW($1:$8))+1,1)*10^ROW($1:$8)/10)</f>
        <v>49204132</v>
      </c>
      <c r="AX1397" s="402" t="str">
        <f>VLOOKUP($AW1397,'Item Master Data'!$A:$F,3,FALSE)</f>
        <v>Q.PEAK DUO BLK G10+/AC</v>
      </c>
      <c r="AY1397" s="402">
        <f>VLOOKUP($AW1397,'Item Master Data'!$A:$F,6,FALSE)</f>
        <v>360</v>
      </c>
      <c r="AZ1397" s="402">
        <f t="shared" si="310"/>
        <v>24</v>
      </c>
      <c r="BA1397" s="402">
        <f>VLOOKUP(AW1397,'Item Master Data'!$A:$G,7,FALSE)</f>
        <v>26</v>
      </c>
      <c r="BC1397" s="402">
        <f t="shared" si="311"/>
        <v>0</v>
      </c>
    </row>
    <row r="1398" spans="1:55" s="402" customFormat="1">
      <c r="A1398" s="403"/>
      <c r="B1398" s="445"/>
      <c r="C1398" s="445"/>
      <c r="D1398" s="416" t="s">
        <v>1914</v>
      </c>
      <c r="E1398" s="405" t="s">
        <v>2120</v>
      </c>
      <c r="F1398" s="405"/>
      <c r="G1398" s="405">
        <v>2022</v>
      </c>
      <c r="H1398" s="405">
        <v>11</v>
      </c>
      <c r="I1398" s="416"/>
      <c r="J1398" s="406"/>
      <c r="K1398" s="414" t="s">
        <v>2175</v>
      </c>
      <c r="L1398" s="405" t="s">
        <v>1682</v>
      </c>
      <c r="M1398" s="418">
        <v>44642</v>
      </c>
      <c r="N1398" s="418">
        <v>44776</v>
      </c>
      <c r="O1398" s="418"/>
      <c r="P1398" s="406"/>
      <c r="Q1398" s="406"/>
      <c r="R1398" s="406"/>
      <c r="S1398" s="405" t="s">
        <v>1443</v>
      </c>
      <c r="T1398" s="405">
        <v>60</v>
      </c>
      <c r="U1398" s="405" t="s">
        <v>1237</v>
      </c>
      <c r="V1398" s="405" t="s">
        <v>973</v>
      </c>
      <c r="W1398" s="405">
        <v>400</v>
      </c>
      <c r="X1398" s="407">
        <v>4680</v>
      </c>
      <c r="Y1398" s="408">
        <f t="shared" si="300"/>
        <v>1872000</v>
      </c>
      <c r="Z1398" s="409">
        <f>220/400</f>
        <v>0.55000000000000004</v>
      </c>
      <c r="AA1398" s="410">
        <f t="shared" si="301"/>
        <v>1029600.0000000001</v>
      </c>
      <c r="AB1398" s="411"/>
      <c r="AC1398" s="412">
        <f>AB1398*Y1398</f>
        <v>0</v>
      </c>
      <c r="AD1398" s="421"/>
      <c r="AE1398" s="413"/>
      <c r="AF1398" s="424">
        <f t="shared" si="302"/>
        <v>1029600.0000000001</v>
      </c>
      <c r="AG1398" s="405" t="s">
        <v>1069</v>
      </c>
      <c r="AH1398" s="405"/>
      <c r="AI1398" s="414">
        <v>60</v>
      </c>
      <c r="AJ1398" s="405" t="s">
        <v>1584</v>
      </c>
      <c r="AK1398" s="425" t="s">
        <v>50</v>
      </c>
      <c r="AL1398" s="405">
        <v>95834</v>
      </c>
      <c r="AM1398" s="405" t="s">
        <v>52</v>
      </c>
      <c r="AN1398" s="405" t="s">
        <v>1071</v>
      </c>
      <c r="AO1398" s="405"/>
      <c r="AP1398" s="417"/>
      <c r="AQ1398" s="417"/>
      <c r="AR1398" s="417" t="s">
        <v>1934</v>
      </c>
      <c r="AS1398" s="426"/>
      <c r="AT1398" s="426"/>
      <c r="AU1398" s="409"/>
      <c r="AV1398" s="402" t="str">
        <f t="shared" si="309"/>
        <v>30390456H</v>
      </c>
      <c r="AW1398" s="402" cm="1">
        <f t="array" ref="AW1398">SUM(MID(0&amp;AV1398,LARGE(INDEX(ISNUMBER(--MID(AV1398,ROW($1:$8),1))*ROW($1:$8),),ROW($1:$8))+1,1)*10^ROW($1:$8)/10)</f>
        <v>30390456</v>
      </c>
      <c r="AX1398" s="402" t="str">
        <f>VLOOKUP($AW1398,'Item Master Data'!$A:$F,3,FALSE)</f>
        <v>Q.PEAK DUO BLK ML G10+</v>
      </c>
      <c r="AY1398" s="402">
        <f>VLOOKUP($AW1398,'Item Master Data'!$A:$F,6,FALSE)</f>
        <v>400</v>
      </c>
      <c r="AZ1398" s="402">
        <f t="shared" si="310"/>
        <v>146.25</v>
      </c>
      <c r="BA1398" s="402">
        <f>VLOOKUP(AW1398,'Item Master Data'!$A:$G,7,FALSE)</f>
        <v>32</v>
      </c>
      <c r="BC1398" s="402">
        <f t="shared" si="311"/>
        <v>0</v>
      </c>
    </row>
    <row r="1399" spans="1:55" s="402" customFormat="1">
      <c r="A1399" s="403"/>
      <c r="B1399" s="445"/>
      <c r="C1399" s="445"/>
      <c r="D1399" s="416" t="s">
        <v>1914</v>
      </c>
      <c r="E1399" s="405" t="s">
        <v>2120</v>
      </c>
      <c r="F1399" s="405"/>
      <c r="G1399" s="405">
        <v>2022</v>
      </c>
      <c r="H1399" s="405">
        <v>11</v>
      </c>
      <c r="I1399" s="416"/>
      <c r="J1399" s="406"/>
      <c r="K1399" s="414" t="s">
        <v>2207</v>
      </c>
      <c r="L1399" s="405" t="s">
        <v>1682</v>
      </c>
      <c r="M1399" s="418">
        <v>44642</v>
      </c>
      <c r="N1399" s="418">
        <v>44809</v>
      </c>
      <c r="O1399" s="418"/>
      <c r="P1399" s="406"/>
      <c r="Q1399" s="406"/>
      <c r="R1399" s="406"/>
      <c r="S1399" s="405" t="s">
        <v>1443</v>
      </c>
      <c r="T1399" s="405">
        <v>60</v>
      </c>
      <c r="U1399" s="405">
        <v>49403140</v>
      </c>
      <c r="V1399" s="405" t="s">
        <v>973</v>
      </c>
      <c r="W1399" s="405">
        <v>400</v>
      </c>
      <c r="X1399" s="407">
        <v>1536</v>
      </c>
      <c r="Y1399" s="408">
        <f t="shared" si="300"/>
        <v>614400</v>
      </c>
      <c r="Z1399" s="409">
        <f>220/400</f>
        <v>0.55000000000000004</v>
      </c>
      <c r="AA1399" s="410">
        <f t="shared" si="301"/>
        <v>337920</v>
      </c>
      <c r="AB1399" s="411"/>
      <c r="AC1399" s="412">
        <f>AB1399*Y1399</f>
        <v>0</v>
      </c>
      <c r="AD1399" s="421"/>
      <c r="AE1399" s="413"/>
      <c r="AF1399" s="424">
        <f t="shared" si="302"/>
        <v>337920</v>
      </c>
      <c r="AG1399" s="405" t="s">
        <v>1069</v>
      </c>
      <c r="AH1399" s="405"/>
      <c r="AI1399" s="414">
        <v>60</v>
      </c>
      <c r="AJ1399" s="405" t="s">
        <v>1584</v>
      </c>
      <c r="AK1399" s="425" t="s">
        <v>50</v>
      </c>
      <c r="AL1399" s="405">
        <v>95834</v>
      </c>
      <c r="AM1399" s="405" t="s">
        <v>52</v>
      </c>
      <c r="AN1399" s="405" t="s">
        <v>1071</v>
      </c>
      <c r="AO1399" s="405"/>
      <c r="AP1399" s="417"/>
      <c r="AQ1399" s="417"/>
      <c r="AR1399" s="417" t="s">
        <v>1934</v>
      </c>
      <c r="AS1399" s="426"/>
      <c r="AT1399" s="426"/>
      <c r="AU1399" s="409"/>
      <c r="AV1399" s="402">
        <f t="shared" si="309"/>
        <v>49403140</v>
      </c>
      <c r="AW1399" s="402" cm="1">
        <f t="array" ref="AW1399">SUM(MID(0&amp;AV1399,LARGE(INDEX(ISNUMBER(--MID(AV1399,ROW($1:$8),1))*ROW($1:$8),),ROW($1:$8))+1,1)*10^ROW($1:$8)/10)</f>
        <v>49403140</v>
      </c>
      <c r="AX1399" s="402" t="str">
        <f>VLOOKUP($AW1399,'Item Master Data'!$A:$F,3,FALSE)</f>
        <v>Q.PEAK DUO BLK ML G10+</v>
      </c>
      <c r="AY1399" s="402">
        <f>VLOOKUP($AW1399,'Item Master Data'!$A:$F,6,FALSE)</f>
        <v>400</v>
      </c>
      <c r="AZ1399" s="402">
        <f t="shared" si="310"/>
        <v>48</v>
      </c>
      <c r="BA1399" s="402">
        <f>VLOOKUP(AW1399,'Item Master Data'!$A:$G,7,FALSE)</f>
        <v>32</v>
      </c>
      <c r="BC1399" s="402">
        <f t="shared" si="311"/>
        <v>0</v>
      </c>
    </row>
    <row r="1400" spans="1:55" s="402" customFormat="1">
      <c r="A1400" s="403"/>
      <c r="B1400" s="445" t="s">
        <v>1186</v>
      </c>
      <c r="C1400" s="445" t="s">
        <v>1186</v>
      </c>
      <c r="D1400" s="416" t="s">
        <v>1914</v>
      </c>
      <c r="E1400" s="405" t="s">
        <v>1239</v>
      </c>
      <c r="F1400" s="405"/>
      <c r="G1400" s="405">
        <v>2022</v>
      </c>
      <c r="H1400" s="405">
        <v>11</v>
      </c>
      <c r="I1400" s="416"/>
      <c r="J1400" s="406"/>
      <c r="K1400" s="414" t="s">
        <v>2240</v>
      </c>
      <c r="L1400" s="405" t="s">
        <v>1960</v>
      </c>
      <c r="M1400" s="418">
        <v>44658</v>
      </c>
      <c r="N1400" s="418">
        <v>44870</v>
      </c>
      <c r="O1400" s="418"/>
      <c r="P1400" s="406"/>
      <c r="Q1400" s="406"/>
      <c r="R1400" s="406"/>
      <c r="S1400" s="405" t="s">
        <v>1443</v>
      </c>
      <c r="T1400" s="405">
        <v>60</v>
      </c>
      <c r="U1400" s="405" t="s">
        <v>1102</v>
      </c>
      <c r="V1400" s="405" t="s">
        <v>973</v>
      </c>
      <c r="W1400" s="405">
        <v>395</v>
      </c>
      <c r="X1400" s="407">
        <v>832</v>
      </c>
      <c r="Y1400" s="408">
        <f t="shared" si="300"/>
        <v>328640</v>
      </c>
      <c r="Z1400" s="409">
        <v>0.56000000000000005</v>
      </c>
      <c r="AA1400" s="410">
        <f t="shared" si="301"/>
        <v>184038.40000000002</v>
      </c>
      <c r="AB1400" s="411"/>
      <c r="AC1400" s="412">
        <f>AB1400*Y1400</f>
        <v>0</v>
      </c>
      <c r="AD1400" s="421"/>
      <c r="AE1400" s="413"/>
      <c r="AF1400" s="424">
        <f t="shared" si="302"/>
        <v>184038.40000000002</v>
      </c>
      <c r="AG1400" s="405" t="s">
        <v>47</v>
      </c>
      <c r="AH1400" s="405"/>
      <c r="AI1400" s="414">
        <v>60</v>
      </c>
      <c r="AJ1400" s="405" t="s">
        <v>1958</v>
      </c>
      <c r="AK1400" s="425" t="s">
        <v>1136</v>
      </c>
      <c r="AL1400" s="405">
        <v>78218</v>
      </c>
      <c r="AM1400" s="405" t="s">
        <v>52</v>
      </c>
      <c r="AN1400" s="405"/>
      <c r="AO1400" s="405"/>
      <c r="AP1400" s="417"/>
      <c r="AQ1400" s="417"/>
      <c r="AR1400" s="417" t="s">
        <v>1934</v>
      </c>
      <c r="AS1400" s="426"/>
      <c r="AT1400" s="426"/>
      <c r="AU1400" s="409"/>
      <c r="AV1400" s="402" t="str">
        <f t="shared" si="309"/>
        <v>TBD</v>
      </c>
      <c r="AW1400" s="402" cm="1">
        <f t="array" ref="AW1400">SUM(MID(0&amp;AV1400,LARGE(INDEX(ISNUMBER(--MID(AV1400,ROW($1:$8),1))*ROW($1:$8),),ROW($1:$8))+1,1)*10^ROW($1:$8)/10)</f>
        <v>0</v>
      </c>
      <c r="AX1400" s="402" t="e">
        <f>VLOOKUP($AW1400,'Item Master Data'!$A:$F,3,FALSE)</f>
        <v>#N/A</v>
      </c>
      <c r="AY1400" s="402" t="e">
        <f>VLOOKUP($AW1400,'Item Master Data'!$A:$F,6,FALSE)</f>
        <v>#N/A</v>
      </c>
      <c r="AZ1400" s="402" t="e">
        <f t="shared" si="310"/>
        <v>#N/A</v>
      </c>
      <c r="BA1400" s="402" t="e">
        <f>VLOOKUP(AW1400,'Item Master Data'!$A:$G,7,FALSE)</f>
        <v>#N/A</v>
      </c>
      <c r="BC1400" s="402" t="e">
        <f t="shared" si="311"/>
        <v>#N/A</v>
      </c>
    </row>
    <row r="1401" spans="1:55" s="402" customFormat="1">
      <c r="A1401" s="403"/>
      <c r="B1401" s="445" t="s">
        <v>1186</v>
      </c>
      <c r="C1401" s="445" t="s">
        <v>1186</v>
      </c>
      <c r="D1401" s="416" t="s">
        <v>1914</v>
      </c>
      <c r="E1401" s="405" t="s">
        <v>1239</v>
      </c>
      <c r="F1401" s="405"/>
      <c r="G1401" s="405">
        <v>2022</v>
      </c>
      <c r="H1401" s="405">
        <v>11</v>
      </c>
      <c r="I1401" s="416"/>
      <c r="J1401" s="406"/>
      <c r="K1401" s="414" t="s">
        <v>2241</v>
      </c>
      <c r="L1401" s="405" t="s">
        <v>1960</v>
      </c>
      <c r="M1401" s="418">
        <v>44658</v>
      </c>
      <c r="N1401" s="418">
        <v>44880</v>
      </c>
      <c r="O1401" s="418"/>
      <c r="P1401" s="406"/>
      <c r="Q1401" s="406"/>
      <c r="R1401" s="406"/>
      <c r="S1401" s="405" t="s">
        <v>1443</v>
      </c>
      <c r="T1401" s="405">
        <v>60</v>
      </c>
      <c r="U1401" s="405" t="s">
        <v>1102</v>
      </c>
      <c r="V1401" s="405" t="s">
        <v>973</v>
      </c>
      <c r="W1401" s="405">
        <v>395</v>
      </c>
      <c r="X1401" s="407">
        <v>832</v>
      </c>
      <c r="Y1401" s="408">
        <f t="shared" si="300"/>
        <v>328640</v>
      </c>
      <c r="Z1401" s="409">
        <v>0.56000000000000005</v>
      </c>
      <c r="AA1401" s="410">
        <f t="shared" si="301"/>
        <v>184038.40000000002</v>
      </c>
      <c r="AB1401" s="411"/>
      <c r="AC1401" s="412">
        <f>AB1401*Y1401</f>
        <v>0</v>
      </c>
      <c r="AD1401" s="421"/>
      <c r="AE1401" s="413"/>
      <c r="AF1401" s="424">
        <f t="shared" si="302"/>
        <v>184038.40000000002</v>
      </c>
      <c r="AG1401" s="405" t="s">
        <v>47</v>
      </c>
      <c r="AH1401" s="405"/>
      <c r="AI1401" s="414">
        <v>60</v>
      </c>
      <c r="AJ1401" s="405" t="s">
        <v>1881</v>
      </c>
      <c r="AK1401" s="425" t="s">
        <v>1081</v>
      </c>
      <c r="AL1401" s="405">
        <v>32819</v>
      </c>
      <c r="AM1401" s="405" t="s">
        <v>52</v>
      </c>
      <c r="AN1401" s="405"/>
      <c r="AO1401" s="405"/>
      <c r="AP1401" s="417"/>
      <c r="AQ1401" s="417"/>
      <c r="AR1401" s="417" t="s">
        <v>1934</v>
      </c>
      <c r="AS1401" s="426"/>
      <c r="AT1401" s="426"/>
      <c r="AU1401" s="409"/>
      <c r="AV1401" s="402" t="str">
        <f t="shared" si="309"/>
        <v>TBD</v>
      </c>
      <c r="AW1401" s="402" cm="1">
        <f t="array" ref="AW1401">SUM(MID(0&amp;AV1401,LARGE(INDEX(ISNUMBER(--MID(AV1401,ROW($1:$8),1))*ROW($1:$8),),ROW($1:$8))+1,1)*10^ROW($1:$8)/10)</f>
        <v>0</v>
      </c>
      <c r="AX1401" s="402" t="e">
        <f>VLOOKUP($AW1401,'Item Master Data'!$A:$F,3,FALSE)</f>
        <v>#N/A</v>
      </c>
      <c r="AY1401" s="402" t="e">
        <f>VLOOKUP($AW1401,'Item Master Data'!$A:$F,6,FALSE)</f>
        <v>#N/A</v>
      </c>
      <c r="AZ1401" s="402" t="e">
        <f t="shared" si="310"/>
        <v>#N/A</v>
      </c>
      <c r="BA1401" s="402" t="e">
        <f>VLOOKUP(AW1401,'Item Master Data'!$A:$G,7,FALSE)</f>
        <v>#N/A</v>
      </c>
      <c r="BC1401" s="402" t="e">
        <f t="shared" si="311"/>
        <v>#N/A</v>
      </c>
    </row>
    <row r="1402" spans="1:55" s="402" customFormat="1">
      <c r="A1402" s="403"/>
      <c r="B1402" s="445"/>
      <c r="C1402" s="445"/>
      <c r="D1402" s="416" t="s">
        <v>1914</v>
      </c>
      <c r="E1402" s="405"/>
      <c r="F1402" s="405"/>
      <c r="G1402" s="405">
        <v>2022</v>
      </c>
      <c r="H1402" s="405">
        <v>11</v>
      </c>
      <c r="I1402" s="416"/>
      <c r="J1402" s="406"/>
      <c r="K1402" s="414" t="s">
        <v>2273</v>
      </c>
      <c r="L1402" s="405" t="s">
        <v>1960</v>
      </c>
      <c r="M1402" s="418">
        <v>44463</v>
      </c>
      <c r="N1402" s="418">
        <v>44641</v>
      </c>
      <c r="O1402" s="418"/>
      <c r="P1402" s="406"/>
      <c r="Q1402" s="406"/>
      <c r="R1402" s="406"/>
      <c r="S1402" s="405" t="s">
        <v>1443</v>
      </c>
      <c r="T1402" s="405">
        <v>60</v>
      </c>
      <c r="U1402" s="405">
        <v>49401139</v>
      </c>
      <c r="V1402" s="405" t="s">
        <v>985</v>
      </c>
      <c r="W1402" s="405">
        <v>395</v>
      </c>
      <c r="X1402" s="407">
        <v>832</v>
      </c>
      <c r="Y1402" s="408">
        <f t="shared" si="300"/>
        <v>328640</v>
      </c>
      <c r="Z1402" s="409">
        <v>0.53</v>
      </c>
      <c r="AA1402" s="410">
        <f t="shared" si="301"/>
        <v>174179.20000000001</v>
      </c>
      <c r="AB1402" s="411"/>
      <c r="AC1402" s="412">
        <v>0</v>
      </c>
      <c r="AD1402" s="421"/>
      <c r="AE1402" s="413"/>
      <c r="AF1402" s="424">
        <f t="shared" si="302"/>
        <v>174179.20000000001</v>
      </c>
      <c r="AG1402" s="405" t="s">
        <v>47</v>
      </c>
      <c r="AH1402" s="405" t="s">
        <v>1963</v>
      </c>
      <c r="AI1402" s="414">
        <v>60</v>
      </c>
      <c r="AJ1402" s="405" t="s">
        <v>1965</v>
      </c>
      <c r="AK1402" s="425" t="s">
        <v>50</v>
      </c>
      <c r="AL1402" s="405" t="s">
        <v>1997</v>
      </c>
      <c r="AM1402" s="405" t="s">
        <v>52</v>
      </c>
      <c r="AN1402" s="405"/>
      <c r="AO1402" s="405"/>
      <c r="AP1402" s="417"/>
      <c r="AQ1402" s="417"/>
      <c r="AR1402" s="417"/>
      <c r="AS1402" s="426"/>
      <c r="AT1402" s="426"/>
      <c r="AU1402" s="409"/>
    </row>
    <row r="1403" spans="1:55" s="402" customFormat="1">
      <c r="A1403" s="403"/>
      <c r="B1403" s="445" t="s">
        <v>1186</v>
      </c>
      <c r="C1403" s="445" t="s">
        <v>1186</v>
      </c>
      <c r="D1403" s="416" t="s">
        <v>1914</v>
      </c>
      <c r="E1403" s="405" t="s">
        <v>1239</v>
      </c>
      <c r="F1403" s="405"/>
      <c r="G1403" s="405">
        <v>2022</v>
      </c>
      <c r="H1403" s="405">
        <v>11</v>
      </c>
      <c r="I1403" s="416"/>
      <c r="J1403" s="406"/>
      <c r="K1403" s="414" t="s">
        <v>2273</v>
      </c>
      <c r="L1403" s="405" t="s">
        <v>1960</v>
      </c>
      <c r="M1403" s="418">
        <v>44658</v>
      </c>
      <c r="N1403" s="418">
        <v>44870</v>
      </c>
      <c r="O1403" s="418"/>
      <c r="P1403" s="406"/>
      <c r="Q1403" s="406"/>
      <c r="R1403" s="406"/>
      <c r="S1403" s="405" t="s">
        <v>1443</v>
      </c>
      <c r="T1403" s="405">
        <v>60</v>
      </c>
      <c r="U1403" s="405" t="s">
        <v>1102</v>
      </c>
      <c r="V1403" s="405" t="s">
        <v>973</v>
      </c>
      <c r="W1403" s="405">
        <v>395</v>
      </c>
      <c r="X1403" s="407">
        <v>832</v>
      </c>
      <c r="Y1403" s="408">
        <f t="shared" si="300"/>
        <v>328640</v>
      </c>
      <c r="Z1403" s="409">
        <v>0.56000000000000005</v>
      </c>
      <c r="AA1403" s="410">
        <f t="shared" si="301"/>
        <v>184038.40000000002</v>
      </c>
      <c r="AB1403" s="411"/>
      <c r="AC1403" s="412">
        <f>AB1403*Y1403</f>
        <v>0</v>
      </c>
      <c r="AD1403" s="421"/>
      <c r="AE1403" s="413"/>
      <c r="AF1403" s="424">
        <f t="shared" si="302"/>
        <v>184038.40000000002</v>
      </c>
      <c r="AG1403" s="405" t="s">
        <v>47</v>
      </c>
      <c r="AH1403" s="405"/>
      <c r="AI1403" s="414">
        <v>60</v>
      </c>
      <c r="AJ1403" s="405" t="s">
        <v>1965</v>
      </c>
      <c r="AK1403" s="425" t="s">
        <v>50</v>
      </c>
      <c r="AL1403" s="405">
        <v>92337</v>
      </c>
      <c r="AM1403" s="405" t="s">
        <v>52</v>
      </c>
      <c r="AN1403" s="405"/>
      <c r="AO1403" s="405"/>
      <c r="AP1403" s="417"/>
      <c r="AQ1403" s="417"/>
      <c r="AR1403" s="417" t="s">
        <v>1934</v>
      </c>
      <c r="AS1403" s="426"/>
      <c r="AT1403" s="426"/>
      <c r="AU1403" s="409"/>
      <c r="AV1403" s="402" t="str">
        <f>U1403</f>
        <v>TBD</v>
      </c>
      <c r="AW1403" s="402" cm="1">
        <f t="array" ref="AW1403">SUM(MID(0&amp;AV1403,LARGE(INDEX(ISNUMBER(--MID(AV1403,ROW($1:$8),1))*ROW($1:$8),),ROW($1:$8))+1,1)*10^ROW($1:$8)/10)</f>
        <v>0</v>
      </c>
      <c r="AX1403" s="402" t="e">
        <f>VLOOKUP($AW1403,'Item Master Data'!$A:$F,3,FALSE)</f>
        <v>#N/A</v>
      </c>
      <c r="AY1403" s="402" t="e">
        <f>VLOOKUP($AW1403,'Item Master Data'!$A:$F,6,FALSE)</f>
        <v>#N/A</v>
      </c>
      <c r="AZ1403" s="402" t="e">
        <f>X1403/BA1403</f>
        <v>#N/A</v>
      </c>
      <c r="BA1403" s="402" t="e">
        <f>VLOOKUP(AW1403,'Item Master Data'!$A:$G,7,FALSE)</f>
        <v>#N/A</v>
      </c>
      <c r="BC1403" s="402" t="e">
        <f>W1403-AY1403</f>
        <v>#N/A</v>
      </c>
    </row>
    <row r="1404" spans="1:55" s="402" customFormat="1">
      <c r="A1404" s="403"/>
      <c r="B1404" s="445"/>
      <c r="C1404" s="445"/>
      <c r="D1404" s="416" t="s">
        <v>1914</v>
      </c>
      <c r="E1404" s="405"/>
      <c r="F1404" s="405"/>
      <c r="G1404" s="405">
        <v>2022</v>
      </c>
      <c r="H1404" s="405">
        <v>11</v>
      </c>
      <c r="I1404" s="416"/>
      <c r="J1404" s="406"/>
      <c r="K1404" s="414" t="s">
        <v>2274</v>
      </c>
      <c r="L1404" s="405" t="s">
        <v>1960</v>
      </c>
      <c r="M1404" s="418">
        <v>44463</v>
      </c>
      <c r="N1404" s="418">
        <v>44634</v>
      </c>
      <c r="O1404" s="418"/>
      <c r="P1404" s="406"/>
      <c r="Q1404" s="406"/>
      <c r="R1404" s="406"/>
      <c r="S1404" s="405" t="s">
        <v>1443</v>
      </c>
      <c r="T1404" s="405">
        <v>60</v>
      </c>
      <c r="U1404" s="405">
        <v>49401139</v>
      </c>
      <c r="V1404" s="405" t="s">
        <v>985</v>
      </c>
      <c r="W1404" s="405">
        <v>395</v>
      </c>
      <c r="X1404" s="407">
        <v>832</v>
      </c>
      <c r="Y1404" s="408">
        <f t="shared" si="300"/>
        <v>328640</v>
      </c>
      <c r="Z1404" s="409">
        <v>0.53</v>
      </c>
      <c r="AA1404" s="410">
        <f t="shared" si="301"/>
        <v>174179.20000000001</v>
      </c>
      <c r="AB1404" s="411"/>
      <c r="AC1404" s="412">
        <v>0</v>
      </c>
      <c r="AD1404" s="421"/>
      <c r="AE1404" s="413"/>
      <c r="AF1404" s="424">
        <f t="shared" si="302"/>
        <v>174179.20000000001</v>
      </c>
      <c r="AG1404" s="405" t="s">
        <v>47</v>
      </c>
      <c r="AH1404" s="405" t="s">
        <v>1963</v>
      </c>
      <c r="AI1404" s="414">
        <v>60</v>
      </c>
      <c r="AJ1404" s="405" t="s">
        <v>1958</v>
      </c>
      <c r="AK1404" s="425" t="s">
        <v>1136</v>
      </c>
      <c r="AL1404" s="405" t="s">
        <v>1999</v>
      </c>
      <c r="AM1404" s="405" t="s">
        <v>52</v>
      </c>
      <c r="AN1404" s="405"/>
      <c r="AO1404" s="405"/>
      <c r="AP1404" s="417"/>
      <c r="AQ1404" s="417"/>
      <c r="AR1404" s="417"/>
      <c r="AS1404" s="426"/>
      <c r="AT1404" s="426"/>
      <c r="AU1404" s="409"/>
    </row>
    <row r="1405" spans="1:55" s="402" customFormat="1">
      <c r="A1405" s="403"/>
      <c r="B1405" s="445" t="s">
        <v>1186</v>
      </c>
      <c r="C1405" s="445" t="s">
        <v>1186</v>
      </c>
      <c r="D1405" s="416" t="s">
        <v>1914</v>
      </c>
      <c r="E1405" s="405" t="s">
        <v>1239</v>
      </c>
      <c r="F1405" s="405"/>
      <c r="G1405" s="405">
        <v>2022</v>
      </c>
      <c r="H1405" s="405">
        <v>11</v>
      </c>
      <c r="I1405" s="416"/>
      <c r="J1405" s="406"/>
      <c r="K1405" s="414" t="s">
        <v>2274</v>
      </c>
      <c r="L1405" s="405" t="s">
        <v>1960</v>
      </c>
      <c r="M1405" s="418">
        <v>44658</v>
      </c>
      <c r="N1405" s="418">
        <v>44870</v>
      </c>
      <c r="O1405" s="418"/>
      <c r="P1405" s="406"/>
      <c r="Q1405" s="406"/>
      <c r="R1405" s="406"/>
      <c r="S1405" s="405" t="s">
        <v>1443</v>
      </c>
      <c r="T1405" s="405">
        <v>60</v>
      </c>
      <c r="U1405" s="405" t="s">
        <v>1102</v>
      </c>
      <c r="V1405" s="405" t="s">
        <v>973</v>
      </c>
      <c r="W1405" s="405">
        <v>395</v>
      </c>
      <c r="X1405" s="407">
        <v>832</v>
      </c>
      <c r="Y1405" s="408">
        <f t="shared" si="300"/>
        <v>328640</v>
      </c>
      <c r="Z1405" s="409">
        <v>0.56000000000000005</v>
      </c>
      <c r="AA1405" s="410">
        <f t="shared" si="301"/>
        <v>184038.40000000002</v>
      </c>
      <c r="AB1405" s="411"/>
      <c r="AC1405" s="412">
        <f>AB1405*Y1405</f>
        <v>0</v>
      </c>
      <c r="AD1405" s="421"/>
      <c r="AE1405" s="413"/>
      <c r="AF1405" s="424">
        <f t="shared" si="302"/>
        <v>184038.40000000002</v>
      </c>
      <c r="AG1405" s="405" t="s">
        <v>47</v>
      </c>
      <c r="AH1405" s="405"/>
      <c r="AI1405" s="414">
        <v>60</v>
      </c>
      <c r="AJ1405" s="405" t="s">
        <v>1881</v>
      </c>
      <c r="AK1405" s="425" t="s">
        <v>1081</v>
      </c>
      <c r="AL1405" s="405">
        <v>32819</v>
      </c>
      <c r="AM1405" s="405" t="s">
        <v>52</v>
      </c>
      <c r="AN1405" s="405"/>
      <c r="AO1405" s="405"/>
      <c r="AP1405" s="417"/>
      <c r="AQ1405" s="417"/>
      <c r="AR1405" s="417" t="s">
        <v>1934</v>
      </c>
      <c r="AS1405" s="426"/>
      <c r="AT1405" s="426"/>
      <c r="AU1405" s="409"/>
      <c r="AV1405" s="402" t="str">
        <f t="shared" ref="AV1405:AV1414" si="312">U1405</f>
        <v>TBD</v>
      </c>
      <c r="AW1405" s="402" cm="1">
        <f t="array" ref="AW1405">SUM(MID(0&amp;AV1405,LARGE(INDEX(ISNUMBER(--MID(AV1405,ROW($1:$8),1))*ROW($1:$8),),ROW($1:$8))+1,1)*10^ROW($1:$8)/10)</f>
        <v>0</v>
      </c>
      <c r="AX1405" s="402" t="e">
        <f>VLOOKUP($AW1405,'Item Master Data'!$A:$F,3,FALSE)</f>
        <v>#N/A</v>
      </c>
      <c r="AY1405" s="402" t="e">
        <f>VLOOKUP($AW1405,'Item Master Data'!$A:$F,6,FALSE)</f>
        <v>#N/A</v>
      </c>
      <c r="AZ1405" s="402" t="e">
        <f t="shared" ref="AZ1405:AZ1414" si="313">X1405/BA1405</f>
        <v>#N/A</v>
      </c>
      <c r="BA1405" s="402" t="e">
        <f>VLOOKUP(AW1405,'Item Master Data'!$A:$G,7,FALSE)</f>
        <v>#N/A</v>
      </c>
      <c r="BC1405" s="402" t="e">
        <f t="shared" ref="BC1405:BC1414" si="314">W1405-AY1405</f>
        <v>#N/A</v>
      </c>
    </row>
    <row r="1406" spans="1:55" s="402" customFormat="1">
      <c r="A1406" s="403"/>
      <c r="B1406" s="445"/>
      <c r="C1406" s="445"/>
      <c r="D1406" s="416" t="s">
        <v>1914</v>
      </c>
      <c r="E1406" s="405"/>
      <c r="F1406" s="405"/>
      <c r="G1406" s="405">
        <v>2022</v>
      </c>
      <c r="H1406" s="405">
        <v>11</v>
      </c>
      <c r="I1406" s="416"/>
      <c r="J1406" s="406"/>
      <c r="K1406" s="414" t="s">
        <v>2275</v>
      </c>
      <c r="L1406" s="405" t="s">
        <v>1960</v>
      </c>
      <c r="M1406" s="418">
        <v>44463</v>
      </c>
      <c r="N1406" s="418">
        <v>44627</v>
      </c>
      <c r="O1406" s="418"/>
      <c r="P1406" s="406"/>
      <c r="Q1406" s="406"/>
      <c r="R1406" s="406"/>
      <c r="S1406" s="405" t="s">
        <v>1443</v>
      </c>
      <c r="T1406" s="405">
        <v>60</v>
      </c>
      <c r="U1406" s="405">
        <v>49401139</v>
      </c>
      <c r="V1406" s="405" t="s">
        <v>985</v>
      </c>
      <c r="W1406" s="405">
        <v>395</v>
      </c>
      <c r="X1406" s="407">
        <v>832</v>
      </c>
      <c r="Y1406" s="408">
        <f t="shared" si="300"/>
        <v>328640</v>
      </c>
      <c r="Z1406" s="409">
        <v>0.53</v>
      </c>
      <c r="AA1406" s="410">
        <f t="shared" si="301"/>
        <v>174179.20000000001</v>
      </c>
      <c r="AB1406" s="411"/>
      <c r="AC1406" s="412">
        <v>0</v>
      </c>
      <c r="AD1406" s="421"/>
      <c r="AE1406" s="413"/>
      <c r="AF1406" s="424">
        <f t="shared" si="302"/>
        <v>174179.20000000001</v>
      </c>
      <c r="AG1406" s="405" t="s">
        <v>47</v>
      </c>
      <c r="AH1406" s="405" t="s">
        <v>1963</v>
      </c>
      <c r="AI1406" s="414">
        <v>60</v>
      </c>
      <c r="AJ1406" s="405" t="s">
        <v>1881</v>
      </c>
      <c r="AK1406" s="425" t="s">
        <v>1081</v>
      </c>
      <c r="AL1406" s="405" t="s">
        <v>1964</v>
      </c>
      <c r="AM1406" s="405" t="s">
        <v>52</v>
      </c>
      <c r="AN1406" s="405"/>
      <c r="AO1406" s="405"/>
      <c r="AP1406" s="417"/>
      <c r="AQ1406" s="417"/>
      <c r="AR1406" s="417"/>
      <c r="AS1406" s="426"/>
      <c r="AT1406" s="426"/>
      <c r="AU1406" s="409"/>
      <c r="AV1406" s="402">
        <f t="shared" si="312"/>
        <v>49401139</v>
      </c>
      <c r="AW1406" s="402" cm="1">
        <f t="array" ref="AW1406">SUM(MID(0&amp;AV1406,LARGE(INDEX(ISNUMBER(--MID(AV1406,ROW($1:$8),1))*ROW($1:$8),),ROW($1:$8))+1,1)*10^ROW($1:$8)/10)</f>
        <v>49401139</v>
      </c>
      <c r="AX1406" s="402" t="str">
        <f>VLOOKUP($AW1406,'Item Master Data'!$A:$F,3,FALSE)</f>
        <v>Q.PEAK DUO BLK ML G10.a+</v>
      </c>
      <c r="AY1406" s="402">
        <f>VLOOKUP($AW1406,'Item Master Data'!$A:$F,6,FALSE)</f>
        <v>395</v>
      </c>
      <c r="AZ1406" s="402">
        <f t="shared" si="313"/>
        <v>26</v>
      </c>
      <c r="BA1406" s="402">
        <f>VLOOKUP(AW1406,'Item Master Data'!$A:$G,7,FALSE)</f>
        <v>32</v>
      </c>
      <c r="BC1406" s="402">
        <f t="shared" si="314"/>
        <v>0</v>
      </c>
    </row>
    <row r="1407" spans="1:55" s="402" customFormat="1">
      <c r="A1407" s="403"/>
      <c r="B1407" s="445" t="s">
        <v>1186</v>
      </c>
      <c r="C1407" s="445" t="s">
        <v>1186</v>
      </c>
      <c r="D1407" s="416" t="s">
        <v>1914</v>
      </c>
      <c r="E1407" s="405" t="s">
        <v>1239</v>
      </c>
      <c r="F1407" s="405"/>
      <c r="G1407" s="405">
        <v>2022</v>
      </c>
      <c r="H1407" s="405">
        <v>11</v>
      </c>
      <c r="I1407" s="416"/>
      <c r="J1407" s="406"/>
      <c r="K1407" s="414" t="s">
        <v>2275</v>
      </c>
      <c r="L1407" s="405" t="s">
        <v>1960</v>
      </c>
      <c r="M1407" s="418">
        <v>44658</v>
      </c>
      <c r="N1407" s="418">
        <v>44870</v>
      </c>
      <c r="O1407" s="418"/>
      <c r="P1407" s="406"/>
      <c r="Q1407" s="406"/>
      <c r="R1407" s="406"/>
      <c r="S1407" s="405" t="s">
        <v>1443</v>
      </c>
      <c r="T1407" s="405">
        <v>60</v>
      </c>
      <c r="U1407" s="405" t="s">
        <v>1102</v>
      </c>
      <c r="V1407" s="405" t="s">
        <v>973</v>
      </c>
      <c r="W1407" s="405">
        <v>395</v>
      </c>
      <c r="X1407" s="407">
        <v>832</v>
      </c>
      <c r="Y1407" s="408">
        <f t="shared" si="300"/>
        <v>328640</v>
      </c>
      <c r="Z1407" s="409">
        <v>0.56000000000000005</v>
      </c>
      <c r="AA1407" s="410">
        <f t="shared" si="301"/>
        <v>184038.40000000002</v>
      </c>
      <c r="AB1407" s="411"/>
      <c r="AC1407" s="412">
        <f>AB1407*Y1407</f>
        <v>0</v>
      </c>
      <c r="AD1407" s="421"/>
      <c r="AE1407" s="413"/>
      <c r="AF1407" s="424">
        <f t="shared" si="302"/>
        <v>184038.40000000002</v>
      </c>
      <c r="AG1407" s="405" t="s">
        <v>47</v>
      </c>
      <c r="AH1407" s="405"/>
      <c r="AI1407" s="414">
        <v>60</v>
      </c>
      <c r="AJ1407" s="405" t="s">
        <v>1500</v>
      </c>
      <c r="AK1407" s="425" t="s">
        <v>1082</v>
      </c>
      <c r="AL1407" s="405" t="s">
        <v>1989</v>
      </c>
      <c r="AM1407" s="405" t="s">
        <v>52</v>
      </c>
      <c r="AN1407" s="405"/>
      <c r="AO1407" s="405"/>
      <c r="AP1407" s="417"/>
      <c r="AQ1407" s="417"/>
      <c r="AR1407" s="417" t="s">
        <v>1934</v>
      </c>
      <c r="AS1407" s="426"/>
      <c r="AT1407" s="426"/>
      <c r="AU1407" s="409"/>
      <c r="AV1407" s="402" t="str">
        <f t="shared" si="312"/>
        <v>TBD</v>
      </c>
      <c r="AW1407" s="402" cm="1">
        <f t="array" ref="AW1407">SUM(MID(0&amp;AV1407,LARGE(INDEX(ISNUMBER(--MID(AV1407,ROW($1:$8),1))*ROW($1:$8),),ROW($1:$8))+1,1)*10^ROW($1:$8)/10)</f>
        <v>0</v>
      </c>
      <c r="AX1407" s="402" t="e">
        <f>VLOOKUP($AW1407,'Item Master Data'!$A:$F,3,FALSE)</f>
        <v>#N/A</v>
      </c>
      <c r="AY1407" s="402" t="e">
        <f>VLOOKUP($AW1407,'Item Master Data'!$A:$F,6,FALSE)</f>
        <v>#N/A</v>
      </c>
      <c r="AZ1407" s="402" t="e">
        <f t="shared" si="313"/>
        <v>#N/A</v>
      </c>
      <c r="BA1407" s="402" t="e">
        <f>VLOOKUP(AW1407,'Item Master Data'!$A:$G,7,FALSE)</f>
        <v>#N/A</v>
      </c>
      <c r="BC1407" s="402" t="e">
        <f t="shared" si="314"/>
        <v>#N/A</v>
      </c>
    </row>
    <row r="1408" spans="1:55" s="402" customFormat="1">
      <c r="A1408" s="403"/>
      <c r="B1408" s="445"/>
      <c r="C1408" s="445"/>
      <c r="D1408" s="416" t="s">
        <v>1914</v>
      </c>
      <c r="E1408" s="405"/>
      <c r="F1408" s="405"/>
      <c r="G1408" s="405">
        <v>2022</v>
      </c>
      <c r="H1408" s="405">
        <v>11</v>
      </c>
      <c r="I1408" s="416"/>
      <c r="J1408" s="406"/>
      <c r="K1408" s="414" t="s">
        <v>2276</v>
      </c>
      <c r="L1408" s="405" t="s">
        <v>1960</v>
      </c>
      <c r="M1408" s="418">
        <v>44463</v>
      </c>
      <c r="N1408" s="418">
        <v>44641</v>
      </c>
      <c r="O1408" s="418"/>
      <c r="P1408" s="406"/>
      <c r="Q1408" s="406"/>
      <c r="R1408" s="406"/>
      <c r="S1408" s="405" t="s">
        <v>1443</v>
      </c>
      <c r="T1408" s="405">
        <v>60</v>
      </c>
      <c r="U1408" s="405">
        <v>49401139</v>
      </c>
      <c r="V1408" s="405" t="s">
        <v>985</v>
      </c>
      <c r="W1408" s="405">
        <v>395</v>
      </c>
      <c r="X1408" s="407">
        <v>832</v>
      </c>
      <c r="Y1408" s="408">
        <f t="shared" si="300"/>
        <v>328640</v>
      </c>
      <c r="Z1408" s="409">
        <v>0.53</v>
      </c>
      <c r="AA1408" s="410">
        <f t="shared" si="301"/>
        <v>174179.20000000001</v>
      </c>
      <c r="AB1408" s="411"/>
      <c r="AC1408" s="412">
        <v>0</v>
      </c>
      <c r="AD1408" s="421"/>
      <c r="AE1408" s="413"/>
      <c r="AF1408" s="424">
        <f t="shared" si="302"/>
        <v>174179.20000000001</v>
      </c>
      <c r="AG1408" s="405" t="s">
        <v>47</v>
      </c>
      <c r="AH1408" s="405" t="s">
        <v>1963</v>
      </c>
      <c r="AI1408" s="414">
        <v>60</v>
      </c>
      <c r="AJ1408" s="405" t="s">
        <v>1881</v>
      </c>
      <c r="AK1408" s="425" t="s">
        <v>1081</v>
      </c>
      <c r="AL1408" s="405" t="s">
        <v>1964</v>
      </c>
      <c r="AM1408" s="405" t="s">
        <v>52</v>
      </c>
      <c r="AN1408" s="405"/>
      <c r="AO1408" s="405"/>
      <c r="AP1408" s="417"/>
      <c r="AQ1408" s="417"/>
      <c r="AR1408" s="417"/>
      <c r="AS1408" s="426"/>
      <c r="AT1408" s="426"/>
      <c r="AU1408" s="409"/>
      <c r="AV1408" s="402">
        <f t="shared" si="312"/>
        <v>49401139</v>
      </c>
      <c r="AW1408" s="402" cm="1">
        <f t="array" ref="AW1408">SUM(MID(0&amp;AV1408,LARGE(INDEX(ISNUMBER(--MID(AV1408,ROW($1:$8),1))*ROW($1:$8),),ROW($1:$8))+1,1)*10^ROW($1:$8)/10)</f>
        <v>49401139</v>
      </c>
      <c r="AX1408" s="402" t="str">
        <f>VLOOKUP($AW1408,'Item Master Data'!$A:$F,3,FALSE)</f>
        <v>Q.PEAK DUO BLK ML G10.a+</v>
      </c>
      <c r="AY1408" s="402">
        <f>VLOOKUP($AW1408,'Item Master Data'!$A:$F,6,FALSE)</f>
        <v>395</v>
      </c>
      <c r="AZ1408" s="402">
        <f t="shared" si="313"/>
        <v>26</v>
      </c>
      <c r="BA1408" s="402">
        <f>VLOOKUP(AW1408,'Item Master Data'!$A:$G,7,FALSE)</f>
        <v>32</v>
      </c>
      <c r="BC1408" s="402">
        <f t="shared" si="314"/>
        <v>0</v>
      </c>
    </row>
    <row r="1409" spans="1:55" s="402" customFormat="1">
      <c r="A1409" s="403"/>
      <c r="B1409" s="445" t="s">
        <v>1186</v>
      </c>
      <c r="C1409" s="445" t="s">
        <v>1186</v>
      </c>
      <c r="D1409" s="416" t="s">
        <v>1914</v>
      </c>
      <c r="E1409" s="405" t="s">
        <v>1239</v>
      </c>
      <c r="F1409" s="405"/>
      <c r="G1409" s="405">
        <v>2022</v>
      </c>
      <c r="H1409" s="405">
        <v>11</v>
      </c>
      <c r="I1409" s="416"/>
      <c r="J1409" s="406"/>
      <c r="K1409" s="414" t="s">
        <v>2276</v>
      </c>
      <c r="L1409" s="405" t="s">
        <v>1960</v>
      </c>
      <c r="M1409" s="418">
        <v>44658</v>
      </c>
      <c r="N1409" s="418">
        <v>44880</v>
      </c>
      <c r="O1409" s="418"/>
      <c r="P1409" s="406"/>
      <c r="Q1409" s="406"/>
      <c r="R1409" s="406"/>
      <c r="S1409" s="405" t="s">
        <v>1443</v>
      </c>
      <c r="T1409" s="405">
        <v>60</v>
      </c>
      <c r="U1409" s="405" t="s">
        <v>1102</v>
      </c>
      <c r="V1409" s="405" t="s">
        <v>973</v>
      </c>
      <c r="W1409" s="405">
        <v>395</v>
      </c>
      <c r="X1409" s="407">
        <v>832</v>
      </c>
      <c r="Y1409" s="408">
        <f t="shared" si="300"/>
        <v>328640</v>
      </c>
      <c r="Z1409" s="409">
        <v>0.56000000000000005</v>
      </c>
      <c r="AA1409" s="410">
        <f t="shared" si="301"/>
        <v>184038.40000000002</v>
      </c>
      <c r="AB1409" s="411"/>
      <c r="AC1409" s="412">
        <f>AB1409*Y1409</f>
        <v>0</v>
      </c>
      <c r="AD1409" s="421"/>
      <c r="AE1409" s="413"/>
      <c r="AF1409" s="424">
        <f t="shared" si="302"/>
        <v>184038.40000000002</v>
      </c>
      <c r="AG1409" s="405" t="s">
        <v>47</v>
      </c>
      <c r="AH1409" s="405"/>
      <c r="AI1409" s="414">
        <v>60</v>
      </c>
      <c r="AJ1409" s="405" t="s">
        <v>1584</v>
      </c>
      <c r="AK1409" s="425" t="s">
        <v>50</v>
      </c>
      <c r="AL1409" s="405" t="s">
        <v>1966</v>
      </c>
      <c r="AM1409" s="405" t="s">
        <v>52</v>
      </c>
      <c r="AN1409" s="405"/>
      <c r="AO1409" s="405"/>
      <c r="AP1409" s="417"/>
      <c r="AQ1409" s="417"/>
      <c r="AR1409" s="417" t="s">
        <v>1934</v>
      </c>
      <c r="AS1409" s="426"/>
      <c r="AT1409" s="426"/>
      <c r="AU1409" s="409"/>
      <c r="AV1409" s="402" t="str">
        <f t="shared" si="312"/>
        <v>TBD</v>
      </c>
      <c r="AW1409" s="402" cm="1">
        <f t="array" ref="AW1409">SUM(MID(0&amp;AV1409,LARGE(INDEX(ISNUMBER(--MID(AV1409,ROW($1:$8),1))*ROW($1:$8),),ROW($1:$8))+1,1)*10^ROW($1:$8)/10)</f>
        <v>0</v>
      </c>
      <c r="AX1409" s="402" t="e">
        <f>VLOOKUP($AW1409,'Item Master Data'!$A:$F,3,FALSE)</f>
        <v>#N/A</v>
      </c>
      <c r="AY1409" s="402" t="e">
        <f>VLOOKUP($AW1409,'Item Master Data'!$A:$F,6,FALSE)</f>
        <v>#N/A</v>
      </c>
      <c r="AZ1409" s="402" t="e">
        <f t="shared" si="313"/>
        <v>#N/A</v>
      </c>
      <c r="BA1409" s="402" t="e">
        <f>VLOOKUP(AW1409,'Item Master Data'!$A:$G,7,FALSE)</f>
        <v>#N/A</v>
      </c>
      <c r="BC1409" s="402" t="e">
        <f t="shared" si="314"/>
        <v>#N/A</v>
      </c>
    </row>
    <row r="1410" spans="1:55" s="402" customFormat="1">
      <c r="A1410" s="403"/>
      <c r="B1410" s="445" t="s">
        <v>1186</v>
      </c>
      <c r="C1410" s="445" t="s">
        <v>1186</v>
      </c>
      <c r="D1410" s="416" t="s">
        <v>1914</v>
      </c>
      <c r="E1410" s="405" t="s">
        <v>1239</v>
      </c>
      <c r="F1410" s="405"/>
      <c r="G1410" s="405">
        <v>2022</v>
      </c>
      <c r="H1410" s="405">
        <v>11</v>
      </c>
      <c r="I1410" s="416"/>
      <c r="J1410" s="406"/>
      <c r="K1410" s="414" t="s">
        <v>2309</v>
      </c>
      <c r="L1410" s="405" t="s">
        <v>1960</v>
      </c>
      <c r="M1410" s="418">
        <v>44658</v>
      </c>
      <c r="N1410" s="418">
        <v>44870</v>
      </c>
      <c r="O1410" s="418"/>
      <c r="P1410" s="406"/>
      <c r="Q1410" s="406"/>
      <c r="R1410" s="406"/>
      <c r="S1410" s="405" t="s">
        <v>1443</v>
      </c>
      <c r="T1410" s="405">
        <v>60</v>
      </c>
      <c r="U1410" s="405" t="s">
        <v>1102</v>
      </c>
      <c r="V1410" s="405" t="s">
        <v>973</v>
      </c>
      <c r="W1410" s="405">
        <v>395</v>
      </c>
      <c r="X1410" s="407">
        <v>832</v>
      </c>
      <c r="Y1410" s="408">
        <f t="shared" si="300"/>
        <v>328640</v>
      </c>
      <c r="Z1410" s="409">
        <v>0.56000000000000005</v>
      </c>
      <c r="AA1410" s="410">
        <f t="shared" si="301"/>
        <v>184038.40000000002</v>
      </c>
      <c r="AB1410" s="411"/>
      <c r="AC1410" s="412">
        <f>AB1410*Y1410</f>
        <v>0</v>
      </c>
      <c r="AD1410" s="421"/>
      <c r="AE1410" s="413"/>
      <c r="AF1410" s="424">
        <f t="shared" si="302"/>
        <v>184038.40000000002</v>
      </c>
      <c r="AG1410" s="405" t="s">
        <v>47</v>
      </c>
      <c r="AH1410" s="405"/>
      <c r="AI1410" s="414">
        <v>60</v>
      </c>
      <c r="AJ1410" s="405" t="s">
        <v>1584</v>
      </c>
      <c r="AK1410" s="425" t="s">
        <v>50</v>
      </c>
      <c r="AL1410" s="405" t="s">
        <v>1966</v>
      </c>
      <c r="AM1410" s="405" t="s">
        <v>52</v>
      </c>
      <c r="AN1410" s="405"/>
      <c r="AO1410" s="405"/>
      <c r="AP1410" s="417"/>
      <c r="AQ1410" s="417"/>
      <c r="AR1410" s="417" t="s">
        <v>1934</v>
      </c>
      <c r="AS1410" s="426"/>
      <c r="AT1410" s="426"/>
      <c r="AU1410" s="409"/>
      <c r="AV1410" s="402" t="str">
        <f t="shared" si="312"/>
        <v>TBD</v>
      </c>
      <c r="AW1410" s="402" cm="1">
        <f t="array" ref="AW1410">SUM(MID(0&amp;AV1410,LARGE(INDEX(ISNUMBER(--MID(AV1410,ROW($1:$8),1))*ROW($1:$8),),ROW($1:$8))+1,1)*10^ROW($1:$8)/10)</f>
        <v>0</v>
      </c>
      <c r="AX1410" s="402" t="e">
        <f>VLOOKUP($AW1410,'Item Master Data'!$A:$F,3,FALSE)</f>
        <v>#N/A</v>
      </c>
      <c r="AY1410" s="402" t="e">
        <f>VLOOKUP($AW1410,'Item Master Data'!$A:$F,6,FALSE)</f>
        <v>#N/A</v>
      </c>
      <c r="AZ1410" s="402" t="e">
        <f t="shared" si="313"/>
        <v>#N/A</v>
      </c>
      <c r="BA1410" s="402" t="e">
        <f>VLOOKUP(AW1410,'Item Master Data'!$A:$G,7,FALSE)</f>
        <v>#N/A</v>
      </c>
      <c r="BC1410" s="402" t="e">
        <f t="shared" si="314"/>
        <v>#N/A</v>
      </c>
    </row>
    <row r="1411" spans="1:55" s="402" customFormat="1">
      <c r="A1411" s="403"/>
      <c r="B1411" s="445" t="s">
        <v>1186</v>
      </c>
      <c r="C1411" s="445" t="s">
        <v>1186</v>
      </c>
      <c r="D1411" s="416" t="s">
        <v>1914</v>
      </c>
      <c r="E1411" s="405" t="s">
        <v>1239</v>
      </c>
      <c r="F1411" s="405"/>
      <c r="G1411" s="405">
        <v>2022</v>
      </c>
      <c r="H1411" s="405">
        <v>11</v>
      </c>
      <c r="I1411" s="416"/>
      <c r="J1411" s="406"/>
      <c r="K1411" s="414" t="s">
        <v>2310</v>
      </c>
      <c r="L1411" s="405" t="s">
        <v>1960</v>
      </c>
      <c r="M1411" s="418">
        <v>44658</v>
      </c>
      <c r="N1411" s="418">
        <v>44880</v>
      </c>
      <c r="O1411" s="418"/>
      <c r="P1411" s="406"/>
      <c r="Q1411" s="406"/>
      <c r="R1411" s="406"/>
      <c r="S1411" s="405" t="s">
        <v>1443</v>
      </c>
      <c r="T1411" s="405">
        <v>60</v>
      </c>
      <c r="U1411" s="405" t="s">
        <v>1102</v>
      </c>
      <c r="V1411" s="405" t="s">
        <v>973</v>
      </c>
      <c r="W1411" s="405">
        <v>395</v>
      </c>
      <c r="X1411" s="407">
        <v>832</v>
      </c>
      <c r="Y1411" s="408">
        <f t="shared" si="300"/>
        <v>328640</v>
      </c>
      <c r="Z1411" s="409">
        <v>0.56000000000000005</v>
      </c>
      <c r="AA1411" s="410">
        <f t="shared" si="301"/>
        <v>184038.40000000002</v>
      </c>
      <c r="AB1411" s="411"/>
      <c r="AC1411" s="412">
        <f>AB1411*Y1411</f>
        <v>0</v>
      </c>
      <c r="AD1411" s="421"/>
      <c r="AE1411" s="413"/>
      <c r="AF1411" s="424">
        <f t="shared" si="302"/>
        <v>184038.40000000002</v>
      </c>
      <c r="AG1411" s="405" t="s">
        <v>47</v>
      </c>
      <c r="AH1411" s="405"/>
      <c r="AI1411" s="414">
        <v>60</v>
      </c>
      <c r="AJ1411" s="405" t="s">
        <v>1965</v>
      </c>
      <c r="AK1411" s="425" t="s">
        <v>50</v>
      </c>
      <c r="AL1411" s="405" t="s">
        <v>1997</v>
      </c>
      <c r="AM1411" s="405" t="s">
        <v>52</v>
      </c>
      <c r="AN1411" s="405"/>
      <c r="AO1411" s="405"/>
      <c r="AP1411" s="417"/>
      <c r="AQ1411" s="417"/>
      <c r="AR1411" s="417" t="s">
        <v>1934</v>
      </c>
      <c r="AS1411" s="426"/>
      <c r="AT1411" s="426"/>
      <c r="AU1411" s="409"/>
      <c r="AV1411" s="402" t="str">
        <f t="shared" si="312"/>
        <v>TBD</v>
      </c>
      <c r="AW1411" s="402" cm="1">
        <f t="array" ref="AW1411">SUM(MID(0&amp;AV1411,LARGE(INDEX(ISNUMBER(--MID(AV1411,ROW($1:$8),1))*ROW($1:$8),),ROW($1:$8))+1,1)*10^ROW($1:$8)/10)</f>
        <v>0</v>
      </c>
      <c r="AX1411" s="402" t="e">
        <f>VLOOKUP($AW1411,'Item Master Data'!$A:$F,3,FALSE)</f>
        <v>#N/A</v>
      </c>
      <c r="AY1411" s="402" t="e">
        <f>VLOOKUP($AW1411,'Item Master Data'!$A:$F,6,FALSE)</f>
        <v>#N/A</v>
      </c>
      <c r="AZ1411" s="402" t="e">
        <f t="shared" si="313"/>
        <v>#N/A</v>
      </c>
      <c r="BA1411" s="402" t="e">
        <f>VLOOKUP(AW1411,'Item Master Data'!$A:$G,7,FALSE)</f>
        <v>#N/A</v>
      </c>
      <c r="BC1411" s="402" t="e">
        <f t="shared" si="314"/>
        <v>#N/A</v>
      </c>
    </row>
    <row r="1412" spans="1:55" s="402" customFormat="1">
      <c r="A1412" s="403"/>
      <c r="B1412" s="445"/>
      <c r="C1412" s="445"/>
      <c r="D1412" s="416" t="s">
        <v>1914</v>
      </c>
      <c r="E1412" s="405" t="s">
        <v>2065</v>
      </c>
      <c r="F1412" s="405"/>
      <c r="G1412" s="405">
        <v>2022</v>
      </c>
      <c r="H1412" s="405">
        <v>11</v>
      </c>
      <c r="I1412" s="416"/>
      <c r="J1412" s="406"/>
      <c r="K1412" s="414" t="s">
        <v>2277</v>
      </c>
      <c r="L1412" s="405" t="s">
        <v>1960</v>
      </c>
      <c r="M1412" s="418">
        <v>44482</v>
      </c>
      <c r="N1412" s="418">
        <v>44823</v>
      </c>
      <c r="O1412" s="418"/>
      <c r="P1412" s="406"/>
      <c r="Q1412" s="406"/>
      <c r="R1412" s="406"/>
      <c r="S1412" s="405" t="s">
        <v>1443</v>
      </c>
      <c r="T1412" s="405">
        <v>60</v>
      </c>
      <c r="U1412" s="405">
        <v>49401139</v>
      </c>
      <c r="V1412" s="405" t="s">
        <v>985</v>
      </c>
      <c r="W1412" s="405">
        <v>395</v>
      </c>
      <c r="X1412" s="407">
        <v>832</v>
      </c>
      <c r="Y1412" s="408">
        <f t="shared" si="300"/>
        <v>328640</v>
      </c>
      <c r="Z1412" s="409">
        <v>0.53</v>
      </c>
      <c r="AA1412" s="410">
        <f t="shared" si="301"/>
        <v>174179.20000000001</v>
      </c>
      <c r="AB1412" s="411"/>
      <c r="AC1412" s="412">
        <v>0</v>
      </c>
      <c r="AD1412" s="421"/>
      <c r="AE1412" s="413"/>
      <c r="AF1412" s="424">
        <f t="shared" si="302"/>
        <v>174179.20000000001</v>
      </c>
      <c r="AG1412" s="405" t="s">
        <v>47</v>
      </c>
      <c r="AH1412" s="405" t="s">
        <v>1963</v>
      </c>
      <c r="AI1412" s="414">
        <v>60</v>
      </c>
      <c r="AJ1412" s="405" t="s">
        <v>1958</v>
      </c>
      <c r="AK1412" s="425" t="s">
        <v>1136</v>
      </c>
      <c r="AL1412" s="405" t="s">
        <v>1989</v>
      </c>
      <c r="AM1412" s="405" t="s">
        <v>52</v>
      </c>
      <c r="AN1412" s="405"/>
      <c r="AO1412" s="405"/>
      <c r="AP1412" s="417"/>
      <c r="AQ1412" s="417"/>
      <c r="AR1412" s="417"/>
      <c r="AS1412" s="426"/>
      <c r="AT1412" s="426"/>
      <c r="AU1412" s="409"/>
      <c r="AV1412" s="402">
        <f t="shared" si="312"/>
        <v>49401139</v>
      </c>
      <c r="AW1412" s="402" cm="1">
        <f t="array" ref="AW1412">SUM(MID(0&amp;AV1412,LARGE(INDEX(ISNUMBER(--MID(AV1412,ROW($1:$8),1))*ROW($1:$8),),ROW($1:$8))+1,1)*10^ROW($1:$8)/10)</f>
        <v>49401139</v>
      </c>
      <c r="AX1412" s="402" t="str">
        <f>VLOOKUP($AW1412,'Item Master Data'!$A:$F,3,FALSE)</f>
        <v>Q.PEAK DUO BLK ML G10.a+</v>
      </c>
      <c r="AY1412" s="402">
        <f>VLOOKUP($AW1412,'Item Master Data'!$A:$F,6,FALSE)</f>
        <v>395</v>
      </c>
      <c r="AZ1412" s="402">
        <f t="shared" si="313"/>
        <v>26</v>
      </c>
      <c r="BA1412" s="402">
        <f>VLOOKUP(AW1412,'Item Master Data'!$A:$G,7,FALSE)</f>
        <v>32</v>
      </c>
      <c r="BC1412" s="402">
        <f t="shared" si="314"/>
        <v>0</v>
      </c>
    </row>
    <row r="1413" spans="1:55" s="402" customFormat="1">
      <c r="A1413" s="403"/>
      <c r="B1413" s="445"/>
      <c r="C1413" s="445"/>
      <c r="D1413" s="416" t="s">
        <v>1914</v>
      </c>
      <c r="E1413" s="405" t="s">
        <v>2065</v>
      </c>
      <c r="F1413" s="405"/>
      <c r="G1413" s="405">
        <v>2022</v>
      </c>
      <c r="H1413" s="405">
        <v>11</v>
      </c>
      <c r="I1413" s="416"/>
      <c r="J1413" s="406"/>
      <c r="K1413" s="414" t="s">
        <v>2278</v>
      </c>
      <c r="L1413" s="405" t="s">
        <v>1960</v>
      </c>
      <c r="M1413" s="418">
        <v>44482</v>
      </c>
      <c r="N1413" s="418">
        <v>44809</v>
      </c>
      <c r="O1413" s="418"/>
      <c r="P1413" s="406"/>
      <c r="Q1413" s="406"/>
      <c r="R1413" s="406"/>
      <c r="S1413" s="405" t="s">
        <v>1443</v>
      </c>
      <c r="T1413" s="405">
        <v>60</v>
      </c>
      <c r="U1413" s="405">
        <v>49401139</v>
      </c>
      <c r="V1413" s="405" t="s">
        <v>985</v>
      </c>
      <c r="W1413" s="405">
        <v>395</v>
      </c>
      <c r="X1413" s="407">
        <v>832</v>
      </c>
      <c r="Y1413" s="408">
        <f t="shared" si="300"/>
        <v>328640</v>
      </c>
      <c r="Z1413" s="409">
        <v>0.53</v>
      </c>
      <c r="AA1413" s="410">
        <f t="shared" si="301"/>
        <v>174179.20000000001</v>
      </c>
      <c r="AB1413" s="411"/>
      <c r="AC1413" s="412">
        <v>0</v>
      </c>
      <c r="AD1413" s="421"/>
      <c r="AE1413" s="413"/>
      <c r="AF1413" s="424">
        <f t="shared" si="302"/>
        <v>174179.20000000001</v>
      </c>
      <c r="AG1413" s="405" t="s">
        <v>47</v>
      </c>
      <c r="AH1413" s="405" t="s">
        <v>1963</v>
      </c>
      <c r="AI1413" s="414">
        <v>60</v>
      </c>
      <c r="AJ1413" s="405" t="s">
        <v>1965</v>
      </c>
      <c r="AK1413" s="425" t="s">
        <v>50</v>
      </c>
      <c r="AL1413" s="405" t="s">
        <v>1997</v>
      </c>
      <c r="AM1413" s="405" t="s">
        <v>52</v>
      </c>
      <c r="AN1413" s="405"/>
      <c r="AO1413" s="405"/>
      <c r="AP1413" s="417"/>
      <c r="AQ1413" s="417"/>
      <c r="AR1413" s="417"/>
      <c r="AS1413" s="426"/>
      <c r="AT1413" s="426"/>
      <c r="AU1413" s="409"/>
      <c r="AV1413" s="402">
        <f t="shared" si="312"/>
        <v>49401139</v>
      </c>
      <c r="AW1413" s="402" cm="1">
        <f t="array" ref="AW1413">SUM(MID(0&amp;AV1413,LARGE(INDEX(ISNUMBER(--MID(AV1413,ROW($1:$8),1))*ROW($1:$8),),ROW($1:$8))+1,1)*10^ROW($1:$8)/10)</f>
        <v>49401139</v>
      </c>
      <c r="AX1413" s="402" t="str">
        <f>VLOOKUP($AW1413,'Item Master Data'!$A:$F,3,FALSE)</f>
        <v>Q.PEAK DUO BLK ML G10.a+</v>
      </c>
      <c r="AY1413" s="402">
        <f>VLOOKUP($AW1413,'Item Master Data'!$A:$F,6,FALSE)</f>
        <v>395</v>
      </c>
      <c r="AZ1413" s="402">
        <f t="shared" si="313"/>
        <v>26</v>
      </c>
      <c r="BA1413" s="402">
        <f>VLOOKUP(AW1413,'Item Master Data'!$A:$G,7,FALSE)</f>
        <v>32</v>
      </c>
      <c r="BC1413" s="402">
        <f t="shared" si="314"/>
        <v>0</v>
      </c>
    </row>
    <row r="1414" spans="1:55" s="402" customFormat="1">
      <c r="A1414" s="403"/>
      <c r="B1414" s="445"/>
      <c r="C1414" s="445"/>
      <c r="D1414" s="416" t="s">
        <v>1914</v>
      </c>
      <c r="E1414" s="405" t="s">
        <v>2065</v>
      </c>
      <c r="F1414" s="405"/>
      <c r="G1414" s="405">
        <v>2022</v>
      </c>
      <c r="H1414" s="405">
        <v>11</v>
      </c>
      <c r="I1414" s="416"/>
      <c r="J1414" s="406"/>
      <c r="K1414" s="414" t="s">
        <v>2279</v>
      </c>
      <c r="L1414" s="405" t="s">
        <v>1960</v>
      </c>
      <c r="M1414" s="418">
        <v>44482</v>
      </c>
      <c r="N1414" s="418">
        <v>44819</v>
      </c>
      <c r="O1414" s="418"/>
      <c r="P1414" s="406"/>
      <c r="Q1414" s="406"/>
      <c r="R1414" s="406"/>
      <c r="S1414" s="405" t="s">
        <v>1443</v>
      </c>
      <c r="T1414" s="405">
        <v>60</v>
      </c>
      <c r="U1414" s="405">
        <v>49401139</v>
      </c>
      <c r="V1414" s="405" t="s">
        <v>985</v>
      </c>
      <c r="W1414" s="405">
        <v>395</v>
      </c>
      <c r="X1414" s="407">
        <v>832</v>
      </c>
      <c r="Y1414" s="408">
        <f t="shared" si="300"/>
        <v>328640</v>
      </c>
      <c r="Z1414" s="409">
        <v>0.53</v>
      </c>
      <c r="AA1414" s="410">
        <f t="shared" si="301"/>
        <v>174179.20000000001</v>
      </c>
      <c r="AB1414" s="411"/>
      <c r="AC1414" s="412">
        <v>0</v>
      </c>
      <c r="AD1414" s="421"/>
      <c r="AE1414" s="413"/>
      <c r="AF1414" s="424">
        <f t="shared" si="302"/>
        <v>174179.20000000001</v>
      </c>
      <c r="AG1414" s="405" t="s">
        <v>47</v>
      </c>
      <c r="AH1414" s="405" t="s">
        <v>1963</v>
      </c>
      <c r="AI1414" s="414">
        <v>60</v>
      </c>
      <c r="AJ1414" s="405" t="s">
        <v>1965</v>
      </c>
      <c r="AK1414" s="425" t="s">
        <v>50</v>
      </c>
      <c r="AL1414" s="405" t="s">
        <v>1997</v>
      </c>
      <c r="AM1414" s="405" t="s">
        <v>52</v>
      </c>
      <c r="AN1414" s="405"/>
      <c r="AO1414" s="405"/>
      <c r="AP1414" s="417"/>
      <c r="AQ1414" s="417"/>
      <c r="AR1414" s="417"/>
      <c r="AS1414" s="426"/>
      <c r="AT1414" s="426"/>
      <c r="AU1414" s="409"/>
      <c r="AV1414" s="402">
        <f t="shared" si="312"/>
        <v>49401139</v>
      </c>
      <c r="AW1414" s="402" cm="1">
        <f t="array" ref="AW1414">SUM(MID(0&amp;AV1414,LARGE(INDEX(ISNUMBER(--MID(AV1414,ROW($1:$8),1))*ROW($1:$8),),ROW($1:$8))+1,1)*10^ROW($1:$8)/10)</f>
        <v>49401139</v>
      </c>
      <c r="AX1414" s="402" t="str">
        <f>VLOOKUP($AW1414,'Item Master Data'!$A:$F,3,FALSE)</f>
        <v>Q.PEAK DUO BLK ML G10.a+</v>
      </c>
      <c r="AY1414" s="402">
        <f>VLOOKUP($AW1414,'Item Master Data'!$A:$F,6,FALSE)</f>
        <v>395</v>
      </c>
      <c r="AZ1414" s="402">
        <f t="shared" si="313"/>
        <v>26</v>
      </c>
      <c r="BA1414" s="402">
        <f>VLOOKUP(AW1414,'Item Master Data'!$A:$G,7,FALSE)</f>
        <v>32</v>
      </c>
      <c r="BC1414" s="402">
        <f t="shared" si="314"/>
        <v>0</v>
      </c>
    </row>
    <row r="1415" spans="1:55" s="402" customFormat="1">
      <c r="A1415" s="403"/>
      <c r="B1415" s="445"/>
      <c r="C1415" s="445"/>
      <c r="D1415" s="416" t="s">
        <v>1914</v>
      </c>
      <c r="E1415" s="405" t="s">
        <v>2065</v>
      </c>
      <c r="F1415" s="405"/>
      <c r="G1415" s="405">
        <v>2022</v>
      </c>
      <c r="H1415" s="405">
        <v>11</v>
      </c>
      <c r="I1415" s="416"/>
      <c r="J1415" s="406"/>
      <c r="K1415" s="414" t="s">
        <v>2280</v>
      </c>
      <c r="L1415" s="405" t="s">
        <v>1960</v>
      </c>
      <c r="M1415" s="418">
        <v>44482</v>
      </c>
      <c r="N1415" s="418">
        <v>44827</v>
      </c>
      <c r="O1415" s="418"/>
      <c r="P1415" s="406"/>
      <c r="Q1415" s="406"/>
      <c r="R1415" s="406"/>
      <c r="S1415" s="405" t="s">
        <v>1443</v>
      </c>
      <c r="T1415" s="405">
        <v>60</v>
      </c>
      <c r="U1415" s="405">
        <v>49401139</v>
      </c>
      <c r="V1415" s="405" t="s">
        <v>985</v>
      </c>
      <c r="W1415" s="405">
        <v>395</v>
      </c>
      <c r="X1415" s="407">
        <v>832</v>
      </c>
      <c r="Y1415" s="408">
        <f t="shared" si="300"/>
        <v>328640</v>
      </c>
      <c r="Z1415" s="409">
        <v>0.53</v>
      </c>
      <c r="AA1415" s="410">
        <f t="shared" si="301"/>
        <v>174179.20000000001</v>
      </c>
      <c r="AB1415" s="411"/>
      <c r="AC1415" s="412">
        <v>0</v>
      </c>
      <c r="AD1415" s="421"/>
      <c r="AE1415" s="413"/>
      <c r="AF1415" s="424">
        <f t="shared" si="302"/>
        <v>174179.20000000001</v>
      </c>
      <c r="AG1415" s="405" t="s">
        <v>47</v>
      </c>
      <c r="AH1415" s="405" t="s">
        <v>1963</v>
      </c>
      <c r="AI1415" s="414">
        <v>60</v>
      </c>
      <c r="AJ1415" s="405" t="s">
        <v>1965</v>
      </c>
      <c r="AK1415" s="425" t="s">
        <v>50</v>
      </c>
      <c r="AL1415" s="405" t="s">
        <v>1997</v>
      </c>
      <c r="AM1415" s="405" t="s">
        <v>52</v>
      </c>
      <c r="AN1415" s="405"/>
      <c r="AO1415" s="405"/>
      <c r="AP1415" s="417"/>
      <c r="AQ1415" s="417"/>
      <c r="AR1415" s="417"/>
      <c r="AS1415" s="426"/>
      <c r="AT1415" s="426"/>
      <c r="AU1415" s="409"/>
    </row>
    <row r="1416" spans="1:55" s="402" customFormat="1">
      <c r="A1416" s="403"/>
      <c r="B1416" s="445"/>
      <c r="C1416" s="445"/>
      <c r="D1416" s="416" t="s">
        <v>1914</v>
      </c>
      <c r="E1416" s="405" t="s">
        <v>2065</v>
      </c>
      <c r="F1416" s="405"/>
      <c r="G1416" s="405">
        <v>2022</v>
      </c>
      <c r="H1416" s="405">
        <v>11</v>
      </c>
      <c r="I1416" s="416"/>
      <c r="J1416" s="406"/>
      <c r="K1416" s="414" t="s">
        <v>2281</v>
      </c>
      <c r="L1416" s="405" t="s">
        <v>1960</v>
      </c>
      <c r="M1416" s="418">
        <v>44482</v>
      </c>
      <c r="N1416" s="418">
        <v>44812</v>
      </c>
      <c r="O1416" s="418"/>
      <c r="P1416" s="406"/>
      <c r="Q1416" s="406"/>
      <c r="R1416" s="406"/>
      <c r="S1416" s="405" t="s">
        <v>1443</v>
      </c>
      <c r="T1416" s="405">
        <v>60</v>
      </c>
      <c r="U1416" s="405">
        <v>49401139</v>
      </c>
      <c r="V1416" s="405" t="s">
        <v>985</v>
      </c>
      <c r="W1416" s="405">
        <v>395</v>
      </c>
      <c r="X1416" s="407">
        <v>832</v>
      </c>
      <c r="Y1416" s="408">
        <f t="shared" si="300"/>
        <v>328640</v>
      </c>
      <c r="Z1416" s="409">
        <v>0.53</v>
      </c>
      <c r="AA1416" s="410">
        <f t="shared" si="301"/>
        <v>174179.20000000001</v>
      </c>
      <c r="AB1416" s="411"/>
      <c r="AC1416" s="412">
        <v>0</v>
      </c>
      <c r="AD1416" s="421"/>
      <c r="AE1416" s="413"/>
      <c r="AF1416" s="424">
        <f t="shared" si="302"/>
        <v>174179.20000000001</v>
      </c>
      <c r="AG1416" s="405" t="s">
        <v>47</v>
      </c>
      <c r="AH1416" s="405" t="s">
        <v>1963</v>
      </c>
      <c r="AI1416" s="414">
        <v>60</v>
      </c>
      <c r="AJ1416" s="405" t="s">
        <v>1500</v>
      </c>
      <c r="AK1416" s="425" t="s">
        <v>1082</v>
      </c>
      <c r="AL1416" s="405" t="s">
        <v>1989</v>
      </c>
      <c r="AM1416" s="405" t="s">
        <v>52</v>
      </c>
      <c r="AN1416" s="405"/>
      <c r="AO1416" s="405"/>
      <c r="AP1416" s="417"/>
      <c r="AQ1416" s="417"/>
      <c r="AR1416" s="417"/>
      <c r="AS1416" s="426"/>
      <c r="AT1416" s="426"/>
      <c r="AU1416" s="409"/>
    </row>
    <row r="1417" spans="1:55" s="402" customFormat="1">
      <c r="A1417" s="403"/>
      <c r="B1417" s="445"/>
      <c r="C1417" s="445"/>
      <c r="D1417" s="416" t="s">
        <v>1914</v>
      </c>
      <c r="E1417" s="405" t="s">
        <v>2065</v>
      </c>
      <c r="F1417" s="405"/>
      <c r="G1417" s="405">
        <v>2022</v>
      </c>
      <c r="H1417" s="405">
        <v>11</v>
      </c>
      <c r="I1417" s="416"/>
      <c r="J1417" s="406"/>
      <c r="K1417" s="414" t="s">
        <v>2282</v>
      </c>
      <c r="L1417" s="405" t="s">
        <v>1960</v>
      </c>
      <c r="M1417" s="418">
        <v>44482</v>
      </c>
      <c r="N1417" s="418">
        <v>44823</v>
      </c>
      <c r="O1417" s="418"/>
      <c r="P1417" s="406"/>
      <c r="Q1417" s="406"/>
      <c r="R1417" s="406"/>
      <c r="S1417" s="405" t="s">
        <v>1443</v>
      </c>
      <c r="T1417" s="405">
        <v>60</v>
      </c>
      <c r="U1417" s="405">
        <v>49401139</v>
      </c>
      <c r="V1417" s="405" t="s">
        <v>985</v>
      </c>
      <c r="W1417" s="405">
        <v>395</v>
      </c>
      <c r="X1417" s="407">
        <v>832</v>
      </c>
      <c r="Y1417" s="408">
        <f t="shared" ref="Y1417:Y1480" si="315">X1417*W1417</f>
        <v>328640</v>
      </c>
      <c r="Z1417" s="409">
        <v>0.53</v>
      </c>
      <c r="AA1417" s="410">
        <f t="shared" si="301"/>
        <v>174179.20000000001</v>
      </c>
      <c r="AB1417" s="411"/>
      <c r="AC1417" s="412">
        <v>0</v>
      </c>
      <c r="AD1417" s="421"/>
      <c r="AE1417" s="413"/>
      <c r="AF1417" s="424">
        <f t="shared" si="302"/>
        <v>174179.20000000001</v>
      </c>
      <c r="AG1417" s="405" t="s">
        <v>47</v>
      </c>
      <c r="AH1417" s="405" t="s">
        <v>1963</v>
      </c>
      <c r="AI1417" s="414">
        <v>60</v>
      </c>
      <c r="AJ1417" s="405" t="s">
        <v>1500</v>
      </c>
      <c r="AK1417" s="425" t="s">
        <v>1082</v>
      </c>
      <c r="AL1417" s="405" t="s">
        <v>1989</v>
      </c>
      <c r="AM1417" s="405" t="s">
        <v>52</v>
      </c>
      <c r="AN1417" s="405"/>
      <c r="AO1417" s="405"/>
      <c r="AP1417" s="417"/>
      <c r="AQ1417" s="417"/>
      <c r="AR1417" s="417"/>
      <c r="AS1417" s="426"/>
      <c r="AT1417" s="426"/>
      <c r="AU1417" s="409"/>
      <c r="AV1417" s="402">
        <f t="shared" ref="AV1417:AV1428" si="316">U1417</f>
        <v>49401139</v>
      </c>
      <c r="AW1417" s="402" cm="1">
        <f t="array" ref="AW1417">SUM(MID(0&amp;AV1417,LARGE(INDEX(ISNUMBER(--MID(AV1417,ROW($1:$8),1))*ROW($1:$8),),ROW($1:$8))+1,1)*10^ROW($1:$8)/10)</f>
        <v>49401139</v>
      </c>
      <c r="AX1417" s="402" t="str">
        <f>VLOOKUP($AW1417,'Item Master Data'!$A:$F,3,FALSE)</f>
        <v>Q.PEAK DUO BLK ML G10.a+</v>
      </c>
      <c r="AY1417" s="402">
        <f>VLOOKUP($AW1417,'Item Master Data'!$A:$F,6,FALSE)</f>
        <v>395</v>
      </c>
      <c r="AZ1417" s="402">
        <f t="shared" ref="AZ1417:AZ1428" si="317">X1417/BA1417</f>
        <v>26</v>
      </c>
      <c r="BA1417" s="402">
        <f>VLOOKUP(AW1417,'Item Master Data'!$A:$G,7,FALSE)</f>
        <v>32</v>
      </c>
      <c r="BC1417" s="402">
        <f t="shared" ref="BC1417:BC1428" si="318">W1417-AY1417</f>
        <v>0</v>
      </c>
    </row>
    <row r="1418" spans="1:55" s="402" customFormat="1">
      <c r="A1418" s="403"/>
      <c r="B1418" s="445"/>
      <c r="C1418" s="445"/>
      <c r="D1418" s="416" t="s">
        <v>1914</v>
      </c>
      <c r="E1418" s="405" t="s">
        <v>4217</v>
      </c>
      <c r="F1418" s="405"/>
      <c r="G1418" s="405">
        <v>2022</v>
      </c>
      <c r="H1418" s="405">
        <v>11</v>
      </c>
      <c r="I1418" s="416"/>
      <c r="J1418" s="406"/>
      <c r="K1418" s="414" t="s">
        <v>4218</v>
      </c>
      <c r="L1418" s="405" t="s">
        <v>1960</v>
      </c>
      <c r="M1418" s="418">
        <v>44670</v>
      </c>
      <c r="N1418" s="418">
        <v>44870</v>
      </c>
      <c r="O1418" s="418"/>
      <c r="P1418" s="406"/>
      <c r="Q1418" s="406"/>
      <c r="R1418" s="406"/>
      <c r="S1418" s="405" t="s">
        <v>1443</v>
      </c>
      <c r="T1418" s="405">
        <v>72</v>
      </c>
      <c r="U1418" s="405" t="s">
        <v>1102</v>
      </c>
      <c r="V1418" s="405" t="s">
        <v>1068</v>
      </c>
      <c r="W1418" s="405">
        <v>480</v>
      </c>
      <c r="X1418" s="407">
        <v>638</v>
      </c>
      <c r="Y1418" s="408">
        <f t="shared" si="315"/>
        <v>306240</v>
      </c>
      <c r="Z1418" s="409">
        <v>0.495</v>
      </c>
      <c r="AA1418" s="410">
        <f t="shared" si="301"/>
        <v>151588.79999999999</v>
      </c>
      <c r="AB1418" s="411"/>
      <c r="AC1418" s="412">
        <v>0</v>
      </c>
      <c r="AD1418" s="421"/>
      <c r="AE1418" s="413"/>
      <c r="AF1418" s="424">
        <f t="shared" si="302"/>
        <v>151588.79999999999</v>
      </c>
      <c r="AG1418" s="405" t="s">
        <v>47</v>
      </c>
      <c r="AH1418" s="405" t="s">
        <v>1963</v>
      </c>
      <c r="AI1418" s="414">
        <v>60</v>
      </c>
      <c r="AJ1418" s="405" t="s">
        <v>1584</v>
      </c>
      <c r="AK1418" s="425" t="s">
        <v>50</v>
      </c>
      <c r="AL1418" s="405">
        <v>95838</v>
      </c>
      <c r="AM1418" s="405" t="s">
        <v>52</v>
      </c>
      <c r="AN1418" s="405" t="s">
        <v>50</v>
      </c>
      <c r="AO1418" s="405"/>
      <c r="AP1418" s="417"/>
      <c r="AQ1418" s="417" t="s">
        <v>37</v>
      </c>
      <c r="AR1418" s="417"/>
      <c r="AS1418" s="426"/>
      <c r="AT1418" s="426"/>
      <c r="AU1418" s="409"/>
      <c r="AV1418" s="402" t="str">
        <f t="shared" si="316"/>
        <v>TBD</v>
      </c>
      <c r="AW1418" s="402" cm="1">
        <f t="array" ref="AW1418">SUM(MID(0&amp;AV1418,LARGE(INDEX(ISNUMBER(--MID(AV1418,ROW($1:$8),1))*ROW($1:$8),),ROW($1:$8))+1,1)*10^ROW($1:$8)/10)</f>
        <v>0</v>
      </c>
      <c r="AX1418" s="402" t="e">
        <f>VLOOKUP($AW1418,'Item Master Data'!$A:$F,3,FALSE)</f>
        <v>#N/A</v>
      </c>
      <c r="AY1418" s="402" t="e">
        <f>VLOOKUP($AW1418,'Item Master Data'!$A:$F,6,FALSE)</f>
        <v>#N/A</v>
      </c>
      <c r="AZ1418" s="402" t="e">
        <f t="shared" si="317"/>
        <v>#N/A</v>
      </c>
      <c r="BA1418" s="402" t="e">
        <f>VLOOKUP(AW1418,'Item Master Data'!$A:$G,7,FALSE)</f>
        <v>#N/A</v>
      </c>
      <c r="BC1418" s="402" t="e">
        <f t="shared" si="318"/>
        <v>#N/A</v>
      </c>
    </row>
    <row r="1419" spans="1:55" s="402" customFormat="1">
      <c r="A1419" s="403"/>
      <c r="B1419" s="445"/>
      <c r="C1419" s="445"/>
      <c r="D1419" s="416" t="s">
        <v>1914</v>
      </c>
      <c r="E1419" s="405" t="s">
        <v>4217</v>
      </c>
      <c r="F1419" s="405"/>
      <c r="G1419" s="405">
        <v>2022</v>
      </c>
      <c r="H1419" s="405">
        <v>11</v>
      </c>
      <c r="I1419" s="416"/>
      <c r="J1419" s="406"/>
      <c r="K1419" s="414" t="s">
        <v>4219</v>
      </c>
      <c r="L1419" s="405" t="s">
        <v>1960</v>
      </c>
      <c r="M1419" s="418">
        <v>44670</v>
      </c>
      <c r="N1419" s="418">
        <v>44870</v>
      </c>
      <c r="O1419" s="418"/>
      <c r="P1419" s="406"/>
      <c r="Q1419" s="406"/>
      <c r="R1419" s="406"/>
      <c r="S1419" s="405" t="s">
        <v>1443</v>
      </c>
      <c r="T1419" s="405">
        <v>72</v>
      </c>
      <c r="U1419" s="405" t="s">
        <v>1102</v>
      </c>
      <c r="V1419" s="405" t="s">
        <v>1068</v>
      </c>
      <c r="W1419" s="405">
        <v>480</v>
      </c>
      <c r="X1419" s="407">
        <v>638</v>
      </c>
      <c r="Y1419" s="408">
        <f t="shared" si="315"/>
        <v>306240</v>
      </c>
      <c r="Z1419" s="409">
        <v>0.495</v>
      </c>
      <c r="AA1419" s="410">
        <f t="shared" si="301"/>
        <v>151588.79999999999</v>
      </c>
      <c r="AB1419" s="411"/>
      <c r="AC1419" s="412">
        <v>0</v>
      </c>
      <c r="AD1419" s="421"/>
      <c r="AE1419" s="413"/>
      <c r="AF1419" s="424">
        <f t="shared" si="302"/>
        <v>151588.79999999999</v>
      </c>
      <c r="AG1419" s="405" t="s">
        <v>47</v>
      </c>
      <c r="AH1419" s="405" t="s">
        <v>1963</v>
      </c>
      <c r="AI1419" s="414">
        <v>60</v>
      </c>
      <c r="AJ1419" s="405" t="s">
        <v>1584</v>
      </c>
      <c r="AK1419" s="425" t="s">
        <v>50</v>
      </c>
      <c r="AL1419" s="405">
        <v>95838</v>
      </c>
      <c r="AM1419" s="405" t="s">
        <v>52</v>
      </c>
      <c r="AN1419" s="405" t="s">
        <v>50</v>
      </c>
      <c r="AO1419" s="405"/>
      <c r="AP1419" s="417"/>
      <c r="AQ1419" s="417" t="s">
        <v>37</v>
      </c>
      <c r="AR1419" s="417"/>
      <c r="AS1419" s="426"/>
      <c r="AT1419" s="426"/>
      <c r="AU1419" s="409"/>
      <c r="AV1419" s="402" t="str">
        <f t="shared" si="316"/>
        <v>TBD</v>
      </c>
      <c r="AW1419" s="402" cm="1">
        <f t="array" ref="AW1419">SUM(MID(0&amp;AV1419,LARGE(INDEX(ISNUMBER(--MID(AV1419,ROW($1:$8),1))*ROW($1:$8),),ROW($1:$8))+1,1)*10^ROW($1:$8)/10)</f>
        <v>0</v>
      </c>
      <c r="AX1419" s="402" t="e">
        <f>VLOOKUP($AW1419,'Item Master Data'!$A:$F,3,FALSE)</f>
        <v>#N/A</v>
      </c>
      <c r="AY1419" s="402" t="e">
        <f>VLOOKUP($AW1419,'Item Master Data'!$A:$F,6,FALSE)</f>
        <v>#N/A</v>
      </c>
      <c r="AZ1419" s="402" t="e">
        <f t="shared" si="317"/>
        <v>#N/A</v>
      </c>
      <c r="BA1419" s="402" t="e">
        <f>VLOOKUP(AW1419,'Item Master Data'!$A:$G,7,FALSE)</f>
        <v>#N/A</v>
      </c>
      <c r="BC1419" s="402" t="e">
        <f t="shared" si="318"/>
        <v>#N/A</v>
      </c>
    </row>
    <row r="1420" spans="1:55" s="402" customFormat="1">
      <c r="A1420" s="403"/>
      <c r="B1420" s="445">
        <v>44557</v>
      </c>
      <c r="C1420" s="445"/>
      <c r="D1420" s="416" t="s">
        <v>1914</v>
      </c>
      <c r="E1420" s="405" t="s">
        <v>2218</v>
      </c>
      <c r="F1420" s="405"/>
      <c r="G1420" s="405">
        <v>2022</v>
      </c>
      <c r="H1420" s="405">
        <v>11</v>
      </c>
      <c r="I1420" s="416"/>
      <c r="J1420" s="406"/>
      <c r="K1420" s="414" t="s">
        <v>2283</v>
      </c>
      <c r="L1420" s="405" t="s">
        <v>1967</v>
      </c>
      <c r="M1420" s="418">
        <v>44545</v>
      </c>
      <c r="N1420" s="418">
        <v>44761</v>
      </c>
      <c r="O1420" s="418"/>
      <c r="P1420" s="406"/>
      <c r="Q1420" s="406"/>
      <c r="R1420" s="406"/>
      <c r="S1420" s="405" t="s">
        <v>1443</v>
      </c>
      <c r="T1420" s="405">
        <v>60</v>
      </c>
      <c r="U1420" s="405">
        <v>49401140</v>
      </c>
      <c r="V1420" s="405" t="s">
        <v>2284</v>
      </c>
      <c r="W1420" s="405">
        <v>400</v>
      </c>
      <c r="X1420" s="407">
        <v>768</v>
      </c>
      <c r="Y1420" s="408">
        <f t="shared" si="315"/>
        <v>307200</v>
      </c>
      <c r="Z1420" s="409">
        <v>0.52500000000000002</v>
      </c>
      <c r="AA1420" s="410">
        <f t="shared" si="301"/>
        <v>161280</v>
      </c>
      <c r="AB1420" s="411"/>
      <c r="AC1420" s="412">
        <f t="shared" ref="AC1420:AC1427" si="319">AB1420*Y1420</f>
        <v>0</v>
      </c>
      <c r="AD1420" s="421"/>
      <c r="AE1420" s="413"/>
      <c r="AF1420" s="424">
        <f t="shared" si="302"/>
        <v>161280</v>
      </c>
      <c r="AG1420" s="405" t="s">
        <v>1069</v>
      </c>
      <c r="AH1420" s="405"/>
      <c r="AI1420" s="414">
        <v>60</v>
      </c>
      <c r="AJ1420" s="405" t="s">
        <v>2053</v>
      </c>
      <c r="AK1420" s="425" t="s">
        <v>1136</v>
      </c>
      <c r="AL1420" s="405">
        <v>78216</v>
      </c>
      <c r="AM1420" s="405" t="s">
        <v>52</v>
      </c>
      <c r="AN1420" s="405" t="s">
        <v>1071</v>
      </c>
      <c r="AO1420" s="405"/>
      <c r="AP1420" s="417"/>
      <c r="AQ1420" s="417" t="s">
        <v>37</v>
      </c>
      <c r="AR1420" s="417"/>
      <c r="AS1420" s="426"/>
      <c r="AT1420" s="426"/>
      <c r="AU1420" s="409"/>
      <c r="AV1420" s="402">
        <f t="shared" si="316"/>
        <v>49401140</v>
      </c>
      <c r="AW1420" s="402" cm="1">
        <f t="array" ref="AW1420">SUM(MID(0&amp;AV1420,LARGE(INDEX(ISNUMBER(--MID(AV1420,ROW($1:$8),1))*ROW($1:$8),),ROW($1:$8))+1,1)*10^ROW($1:$8)/10)</f>
        <v>49401140</v>
      </c>
      <c r="AX1420" s="402" t="str">
        <f>VLOOKUP($AW1420,'Item Master Data'!$A:$F,3,FALSE)</f>
        <v>Q.PEAK DUO BLK ML G10.a+</v>
      </c>
      <c r="AY1420" s="402">
        <f>VLOOKUP($AW1420,'Item Master Data'!$A:$F,6,FALSE)</f>
        <v>400</v>
      </c>
      <c r="AZ1420" s="402">
        <f t="shared" si="317"/>
        <v>24</v>
      </c>
      <c r="BA1420" s="402">
        <f>VLOOKUP(AW1420,'Item Master Data'!$A:$G,7,FALSE)</f>
        <v>32</v>
      </c>
      <c r="BC1420" s="402">
        <f t="shared" si="318"/>
        <v>0</v>
      </c>
    </row>
    <row r="1421" spans="1:55" s="402" customFormat="1">
      <c r="A1421" s="403"/>
      <c r="B1421" s="445">
        <v>44557</v>
      </c>
      <c r="C1421" s="445"/>
      <c r="D1421" s="416" t="s">
        <v>1914</v>
      </c>
      <c r="E1421" s="405" t="s">
        <v>2218</v>
      </c>
      <c r="F1421" s="405"/>
      <c r="G1421" s="405">
        <v>2022</v>
      </c>
      <c r="H1421" s="405">
        <v>11</v>
      </c>
      <c r="I1421" s="416"/>
      <c r="J1421" s="406"/>
      <c r="K1421" s="414" t="s">
        <v>2285</v>
      </c>
      <c r="L1421" s="405" t="s">
        <v>1967</v>
      </c>
      <c r="M1421" s="418">
        <v>44545</v>
      </c>
      <c r="N1421" s="418">
        <v>44775</v>
      </c>
      <c r="O1421" s="418"/>
      <c r="P1421" s="406"/>
      <c r="Q1421" s="406"/>
      <c r="R1421" s="406"/>
      <c r="S1421" s="405" t="s">
        <v>1443</v>
      </c>
      <c r="T1421" s="405">
        <v>60</v>
      </c>
      <c r="U1421" s="405">
        <v>49401140</v>
      </c>
      <c r="V1421" s="405" t="s">
        <v>2284</v>
      </c>
      <c r="W1421" s="405">
        <v>400</v>
      </c>
      <c r="X1421" s="407">
        <v>768</v>
      </c>
      <c r="Y1421" s="408">
        <f t="shared" si="315"/>
        <v>307200</v>
      </c>
      <c r="Z1421" s="409">
        <v>0.52500000000000002</v>
      </c>
      <c r="AA1421" s="410">
        <f t="shared" ref="AA1421:AA1484" si="320">Z1421*Y1421</f>
        <v>161280</v>
      </c>
      <c r="AB1421" s="411"/>
      <c r="AC1421" s="412">
        <f t="shared" si="319"/>
        <v>0</v>
      </c>
      <c r="AD1421" s="421"/>
      <c r="AE1421" s="413"/>
      <c r="AF1421" s="424">
        <f t="shared" ref="AF1421:AF1474" si="321">AA1421+AE1421</f>
        <v>161280</v>
      </c>
      <c r="AG1421" s="405" t="s">
        <v>1069</v>
      </c>
      <c r="AH1421" s="405"/>
      <c r="AI1421" s="414">
        <v>60</v>
      </c>
      <c r="AJ1421" s="405" t="s">
        <v>2053</v>
      </c>
      <c r="AK1421" s="425" t="s">
        <v>1136</v>
      </c>
      <c r="AL1421" s="405">
        <v>78216</v>
      </c>
      <c r="AM1421" s="405" t="s">
        <v>52</v>
      </c>
      <c r="AN1421" s="405" t="s">
        <v>1071</v>
      </c>
      <c r="AO1421" s="405"/>
      <c r="AP1421" s="417"/>
      <c r="AQ1421" s="417" t="s">
        <v>37</v>
      </c>
      <c r="AR1421" s="417"/>
      <c r="AS1421" s="426"/>
      <c r="AT1421" s="426"/>
      <c r="AU1421" s="409"/>
      <c r="AV1421" s="402">
        <f t="shared" si="316"/>
        <v>49401140</v>
      </c>
      <c r="AW1421" s="402" cm="1">
        <f t="array" ref="AW1421">SUM(MID(0&amp;AV1421,LARGE(INDEX(ISNUMBER(--MID(AV1421,ROW($1:$8),1))*ROW($1:$8),),ROW($1:$8))+1,1)*10^ROW($1:$8)/10)</f>
        <v>49401140</v>
      </c>
      <c r="AX1421" s="402" t="str">
        <f>VLOOKUP($AW1421,'Item Master Data'!$A:$F,3,FALSE)</f>
        <v>Q.PEAK DUO BLK ML G10.a+</v>
      </c>
      <c r="AY1421" s="402">
        <f>VLOOKUP($AW1421,'Item Master Data'!$A:$F,6,FALSE)</f>
        <v>400</v>
      </c>
      <c r="AZ1421" s="402">
        <f t="shared" si="317"/>
        <v>24</v>
      </c>
      <c r="BA1421" s="402">
        <f>VLOOKUP(AW1421,'Item Master Data'!$A:$G,7,FALSE)</f>
        <v>32</v>
      </c>
      <c r="BC1421" s="402">
        <f t="shared" si="318"/>
        <v>0</v>
      </c>
    </row>
    <row r="1422" spans="1:55" s="402" customFormat="1">
      <c r="A1422" s="403"/>
      <c r="B1422" s="445">
        <v>44557</v>
      </c>
      <c r="C1422" s="445"/>
      <c r="D1422" s="416" t="s">
        <v>1914</v>
      </c>
      <c r="E1422" s="405" t="s">
        <v>2218</v>
      </c>
      <c r="F1422" s="405"/>
      <c r="G1422" s="405">
        <v>2022</v>
      </c>
      <c r="H1422" s="405">
        <v>11</v>
      </c>
      <c r="I1422" s="416"/>
      <c r="J1422" s="406"/>
      <c r="K1422" s="414" t="s">
        <v>2286</v>
      </c>
      <c r="L1422" s="405" t="s">
        <v>1967</v>
      </c>
      <c r="M1422" s="418">
        <v>44545</v>
      </c>
      <c r="N1422" s="418">
        <v>44778</v>
      </c>
      <c r="O1422" s="418"/>
      <c r="P1422" s="406"/>
      <c r="Q1422" s="406"/>
      <c r="R1422" s="406"/>
      <c r="S1422" s="405" t="s">
        <v>1443</v>
      </c>
      <c r="T1422" s="405">
        <v>60</v>
      </c>
      <c r="U1422" s="405">
        <v>49401140</v>
      </c>
      <c r="V1422" s="405" t="s">
        <v>2284</v>
      </c>
      <c r="W1422" s="405">
        <v>400</v>
      </c>
      <c r="X1422" s="407">
        <v>768</v>
      </c>
      <c r="Y1422" s="408">
        <f t="shared" si="315"/>
        <v>307200</v>
      </c>
      <c r="Z1422" s="409">
        <v>0.52500000000000002</v>
      </c>
      <c r="AA1422" s="410">
        <f t="shared" si="320"/>
        <v>161280</v>
      </c>
      <c r="AB1422" s="411"/>
      <c r="AC1422" s="412">
        <f t="shared" si="319"/>
        <v>0</v>
      </c>
      <c r="AD1422" s="421"/>
      <c r="AE1422" s="413"/>
      <c r="AF1422" s="424">
        <f t="shared" si="321"/>
        <v>161280</v>
      </c>
      <c r="AG1422" s="405" t="s">
        <v>1069</v>
      </c>
      <c r="AH1422" s="405"/>
      <c r="AI1422" s="414">
        <v>60</v>
      </c>
      <c r="AJ1422" s="405" t="s">
        <v>2053</v>
      </c>
      <c r="AK1422" s="425" t="s">
        <v>1136</v>
      </c>
      <c r="AL1422" s="405">
        <v>78216</v>
      </c>
      <c r="AM1422" s="405" t="s">
        <v>52</v>
      </c>
      <c r="AN1422" s="405" t="s">
        <v>1071</v>
      </c>
      <c r="AO1422" s="405"/>
      <c r="AP1422" s="417"/>
      <c r="AQ1422" s="417" t="s">
        <v>37</v>
      </c>
      <c r="AR1422" s="417"/>
      <c r="AS1422" s="426"/>
      <c r="AT1422" s="426"/>
      <c r="AU1422" s="409"/>
      <c r="AV1422" s="402">
        <f t="shared" si="316"/>
        <v>49401140</v>
      </c>
      <c r="AW1422" s="402" cm="1">
        <f t="array" ref="AW1422">SUM(MID(0&amp;AV1422,LARGE(INDEX(ISNUMBER(--MID(AV1422,ROW($1:$8),1))*ROW($1:$8),),ROW($1:$8))+1,1)*10^ROW($1:$8)/10)</f>
        <v>49401140</v>
      </c>
      <c r="AX1422" s="402" t="str">
        <f>VLOOKUP($AW1422,'Item Master Data'!$A:$F,3,FALSE)</f>
        <v>Q.PEAK DUO BLK ML G10.a+</v>
      </c>
      <c r="AY1422" s="402">
        <f>VLOOKUP($AW1422,'Item Master Data'!$A:$F,6,FALSE)</f>
        <v>400</v>
      </c>
      <c r="AZ1422" s="402">
        <f t="shared" si="317"/>
        <v>24</v>
      </c>
      <c r="BA1422" s="402">
        <f>VLOOKUP(AW1422,'Item Master Data'!$A:$G,7,FALSE)</f>
        <v>32</v>
      </c>
      <c r="BC1422" s="402">
        <f t="shared" si="318"/>
        <v>0</v>
      </c>
    </row>
    <row r="1423" spans="1:55" s="402" customFormat="1">
      <c r="A1423" s="403"/>
      <c r="B1423" s="445">
        <v>44557</v>
      </c>
      <c r="C1423" s="445"/>
      <c r="D1423" s="416" t="s">
        <v>1914</v>
      </c>
      <c r="E1423" s="405" t="s">
        <v>2218</v>
      </c>
      <c r="F1423" s="405"/>
      <c r="G1423" s="405">
        <v>2022</v>
      </c>
      <c r="H1423" s="405">
        <v>11</v>
      </c>
      <c r="I1423" s="416"/>
      <c r="J1423" s="406"/>
      <c r="K1423" s="414" t="s">
        <v>2287</v>
      </c>
      <c r="L1423" s="405" t="s">
        <v>1967</v>
      </c>
      <c r="M1423" s="418">
        <v>44545</v>
      </c>
      <c r="N1423" s="418">
        <v>44782</v>
      </c>
      <c r="O1423" s="418"/>
      <c r="P1423" s="406"/>
      <c r="Q1423" s="406"/>
      <c r="R1423" s="406"/>
      <c r="S1423" s="405" t="s">
        <v>1443</v>
      </c>
      <c r="T1423" s="405">
        <v>60</v>
      </c>
      <c r="U1423" s="405">
        <v>49401140</v>
      </c>
      <c r="V1423" s="405" t="s">
        <v>2284</v>
      </c>
      <c r="W1423" s="405">
        <v>400</v>
      </c>
      <c r="X1423" s="407">
        <v>768</v>
      </c>
      <c r="Y1423" s="408">
        <f t="shared" si="315"/>
        <v>307200</v>
      </c>
      <c r="Z1423" s="409">
        <v>0.52500000000000002</v>
      </c>
      <c r="AA1423" s="410">
        <f t="shared" si="320"/>
        <v>161280</v>
      </c>
      <c r="AB1423" s="411"/>
      <c r="AC1423" s="412">
        <f t="shared" si="319"/>
        <v>0</v>
      </c>
      <c r="AD1423" s="421"/>
      <c r="AE1423" s="413"/>
      <c r="AF1423" s="424">
        <f t="shared" si="321"/>
        <v>161280</v>
      </c>
      <c r="AG1423" s="405" t="s">
        <v>1069</v>
      </c>
      <c r="AH1423" s="405"/>
      <c r="AI1423" s="414">
        <v>60</v>
      </c>
      <c r="AJ1423" s="405" t="s">
        <v>2053</v>
      </c>
      <c r="AK1423" s="425" t="s">
        <v>1136</v>
      </c>
      <c r="AL1423" s="405">
        <v>78216</v>
      </c>
      <c r="AM1423" s="405" t="s">
        <v>52</v>
      </c>
      <c r="AN1423" s="405" t="s">
        <v>1071</v>
      </c>
      <c r="AO1423" s="405"/>
      <c r="AP1423" s="417"/>
      <c r="AQ1423" s="417" t="s">
        <v>37</v>
      </c>
      <c r="AR1423" s="417"/>
      <c r="AS1423" s="426"/>
      <c r="AT1423" s="426"/>
      <c r="AU1423" s="409"/>
      <c r="AV1423" s="402">
        <f t="shared" si="316"/>
        <v>49401140</v>
      </c>
      <c r="AW1423" s="402" cm="1">
        <f t="array" ref="AW1423">SUM(MID(0&amp;AV1423,LARGE(INDEX(ISNUMBER(--MID(AV1423,ROW($1:$8),1))*ROW($1:$8),),ROW($1:$8))+1,1)*10^ROW($1:$8)/10)</f>
        <v>49401140</v>
      </c>
      <c r="AX1423" s="402" t="str">
        <f>VLOOKUP($AW1423,'Item Master Data'!$A:$F,3,FALSE)</f>
        <v>Q.PEAK DUO BLK ML G10.a+</v>
      </c>
      <c r="AY1423" s="402">
        <f>VLOOKUP($AW1423,'Item Master Data'!$A:$F,6,FALSE)</f>
        <v>400</v>
      </c>
      <c r="AZ1423" s="402">
        <f t="shared" si="317"/>
        <v>24</v>
      </c>
      <c r="BA1423" s="402">
        <f>VLOOKUP(AW1423,'Item Master Data'!$A:$G,7,FALSE)</f>
        <v>32</v>
      </c>
      <c r="BC1423" s="402">
        <f t="shared" si="318"/>
        <v>0</v>
      </c>
    </row>
    <row r="1424" spans="1:55" s="402" customFormat="1">
      <c r="A1424" s="403"/>
      <c r="B1424" s="445">
        <v>44557</v>
      </c>
      <c r="C1424" s="445"/>
      <c r="D1424" s="416" t="s">
        <v>1914</v>
      </c>
      <c r="E1424" s="405" t="s">
        <v>2218</v>
      </c>
      <c r="F1424" s="405"/>
      <c r="G1424" s="405">
        <v>2022</v>
      </c>
      <c r="H1424" s="405">
        <v>11</v>
      </c>
      <c r="I1424" s="416"/>
      <c r="J1424" s="406"/>
      <c r="K1424" s="414" t="s">
        <v>2288</v>
      </c>
      <c r="L1424" s="405" t="s">
        <v>1967</v>
      </c>
      <c r="M1424" s="418">
        <v>44545</v>
      </c>
      <c r="N1424" s="418">
        <v>44785</v>
      </c>
      <c r="O1424" s="418"/>
      <c r="P1424" s="406"/>
      <c r="Q1424" s="406"/>
      <c r="R1424" s="406"/>
      <c r="S1424" s="405" t="s">
        <v>1443</v>
      </c>
      <c r="T1424" s="405">
        <v>60</v>
      </c>
      <c r="U1424" s="405">
        <v>49401140</v>
      </c>
      <c r="V1424" s="405" t="s">
        <v>2284</v>
      </c>
      <c r="W1424" s="405">
        <v>400</v>
      </c>
      <c r="X1424" s="407">
        <v>768</v>
      </c>
      <c r="Y1424" s="408">
        <f t="shared" si="315"/>
        <v>307200</v>
      </c>
      <c r="Z1424" s="409">
        <v>0.52500000000000002</v>
      </c>
      <c r="AA1424" s="410">
        <f t="shared" si="320"/>
        <v>161280</v>
      </c>
      <c r="AB1424" s="411"/>
      <c r="AC1424" s="412">
        <f t="shared" si="319"/>
        <v>0</v>
      </c>
      <c r="AD1424" s="421"/>
      <c r="AE1424" s="413"/>
      <c r="AF1424" s="424">
        <f t="shared" si="321"/>
        <v>161280</v>
      </c>
      <c r="AG1424" s="405" t="s">
        <v>1069</v>
      </c>
      <c r="AH1424" s="405"/>
      <c r="AI1424" s="414">
        <v>60</v>
      </c>
      <c r="AJ1424" s="405" t="s">
        <v>2053</v>
      </c>
      <c r="AK1424" s="425" t="s">
        <v>1136</v>
      </c>
      <c r="AL1424" s="405">
        <v>78216</v>
      </c>
      <c r="AM1424" s="405" t="s">
        <v>52</v>
      </c>
      <c r="AN1424" s="405" t="s">
        <v>1071</v>
      </c>
      <c r="AO1424" s="405"/>
      <c r="AP1424" s="417"/>
      <c r="AQ1424" s="417" t="s">
        <v>37</v>
      </c>
      <c r="AR1424" s="417"/>
      <c r="AS1424" s="426"/>
      <c r="AT1424" s="426"/>
      <c r="AU1424" s="409"/>
      <c r="AV1424" s="402">
        <f t="shared" si="316"/>
        <v>49401140</v>
      </c>
      <c r="AW1424" s="402" cm="1">
        <f t="array" ref="AW1424">SUM(MID(0&amp;AV1424,LARGE(INDEX(ISNUMBER(--MID(AV1424,ROW($1:$8),1))*ROW($1:$8),),ROW($1:$8))+1,1)*10^ROW($1:$8)/10)</f>
        <v>49401140</v>
      </c>
      <c r="AX1424" s="402" t="str">
        <f>VLOOKUP($AW1424,'Item Master Data'!$A:$F,3,FALSE)</f>
        <v>Q.PEAK DUO BLK ML G10.a+</v>
      </c>
      <c r="AY1424" s="402">
        <f>VLOOKUP($AW1424,'Item Master Data'!$A:$F,6,FALSE)</f>
        <v>400</v>
      </c>
      <c r="AZ1424" s="402">
        <f t="shared" si="317"/>
        <v>24</v>
      </c>
      <c r="BA1424" s="402">
        <f>VLOOKUP(AW1424,'Item Master Data'!$A:$G,7,FALSE)</f>
        <v>32</v>
      </c>
      <c r="BC1424" s="402">
        <f t="shared" si="318"/>
        <v>0</v>
      </c>
    </row>
    <row r="1425" spans="1:55" s="402" customFormat="1">
      <c r="A1425" s="403"/>
      <c r="B1425" s="445">
        <v>44557</v>
      </c>
      <c r="C1425" s="445"/>
      <c r="D1425" s="416" t="s">
        <v>1914</v>
      </c>
      <c r="E1425" s="405" t="s">
        <v>2218</v>
      </c>
      <c r="F1425" s="405"/>
      <c r="G1425" s="405">
        <v>2022</v>
      </c>
      <c r="H1425" s="405">
        <v>11</v>
      </c>
      <c r="I1425" s="416"/>
      <c r="J1425" s="406"/>
      <c r="K1425" s="414" t="s">
        <v>2289</v>
      </c>
      <c r="L1425" s="405" t="s">
        <v>1967</v>
      </c>
      <c r="M1425" s="418">
        <v>44545</v>
      </c>
      <c r="N1425" s="418">
        <v>44788</v>
      </c>
      <c r="O1425" s="418"/>
      <c r="P1425" s="406"/>
      <c r="Q1425" s="406"/>
      <c r="R1425" s="406"/>
      <c r="S1425" s="405" t="s">
        <v>1443</v>
      </c>
      <c r="T1425" s="405">
        <v>60</v>
      </c>
      <c r="U1425" s="405">
        <v>49401140</v>
      </c>
      <c r="V1425" s="405" t="s">
        <v>2284</v>
      </c>
      <c r="W1425" s="405">
        <v>400</v>
      </c>
      <c r="X1425" s="407">
        <v>768</v>
      </c>
      <c r="Y1425" s="408">
        <f t="shared" si="315"/>
        <v>307200</v>
      </c>
      <c r="Z1425" s="409">
        <v>0.52500000000000002</v>
      </c>
      <c r="AA1425" s="410">
        <f t="shared" si="320"/>
        <v>161280</v>
      </c>
      <c r="AB1425" s="411"/>
      <c r="AC1425" s="412">
        <f t="shared" si="319"/>
        <v>0</v>
      </c>
      <c r="AD1425" s="421"/>
      <c r="AE1425" s="413"/>
      <c r="AF1425" s="424">
        <f t="shared" si="321"/>
        <v>161280</v>
      </c>
      <c r="AG1425" s="405" t="s">
        <v>1069</v>
      </c>
      <c r="AH1425" s="405"/>
      <c r="AI1425" s="414">
        <v>60</v>
      </c>
      <c r="AJ1425" s="405" t="s">
        <v>2053</v>
      </c>
      <c r="AK1425" s="425" t="s">
        <v>1136</v>
      </c>
      <c r="AL1425" s="405">
        <v>78216</v>
      </c>
      <c r="AM1425" s="405" t="s">
        <v>52</v>
      </c>
      <c r="AN1425" s="405" t="s">
        <v>1071</v>
      </c>
      <c r="AO1425" s="405"/>
      <c r="AP1425" s="417"/>
      <c r="AQ1425" s="417" t="s">
        <v>37</v>
      </c>
      <c r="AR1425" s="417"/>
      <c r="AS1425" s="426"/>
      <c r="AT1425" s="426"/>
      <c r="AU1425" s="409"/>
      <c r="AV1425" s="402">
        <f t="shared" si="316"/>
        <v>49401140</v>
      </c>
      <c r="AW1425" s="402" cm="1">
        <f t="array" ref="AW1425">SUM(MID(0&amp;AV1425,LARGE(INDEX(ISNUMBER(--MID(AV1425,ROW($1:$8),1))*ROW($1:$8),),ROW($1:$8))+1,1)*10^ROW($1:$8)/10)</f>
        <v>49401140</v>
      </c>
      <c r="AX1425" s="402" t="str">
        <f>VLOOKUP($AW1425,'Item Master Data'!$A:$F,3,FALSE)</f>
        <v>Q.PEAK DUO BLK ML G10.a+</v>
      </c>
      <c r="AY1425" s="402">
        <f>VLOOKUP($AW1425,'Item Master Data'!$A:$F,6,FALSE)</f>
        <v>400</v>
      </c>
      <c r="AZ1425" s="402">
        <f t="shared" si="317"/>
        <v>24</v>
      </c>
      <c r="BA1425" s="402">
        <f>VLOOKUP(AW1425,'Item Master Data'!$A:$G,7,FALSE)</f>
        <v>32</v>
      </c>
      <c r="BC1425" s="402">
        <f t="shared" si="318"/>
        <v>0</v>
      </c>
    </row>
    <row r="1426" spans="1:55" s="402" customFormat="1">
      <c r="A1426" s="403"/>
      <c r="B1426" s="445">
        <v>44557</v>
      </c>
      <c r="C1426" s="445"/>
      <c r="D1426" s="416" t="s">
        <v>1914</v>
      </c>
      <c r="E1426" s="405" t="s">
        <v>2218</v>
      </c>
      <c r="F1426" s="405"/>
      <c r="G1426" s="405">
        <v>2022</v>
      </c>
      <c r="H1426" s="405">
        <v>11</v>
      </c>
      <c r="I1426" s="416"/>
      <c r="J1426" s="406"/>
      <c r="K1426" s="414" t="s">
        <v>2290</v>
      </c>
      <c r="L1426" s="405" t="s">
        <v>1967</v>
      </c>
      <c r="M1426" s="418">
        <v>44545</v>
      </c>
      <c r="N1426" s="418">
        <v>44792</v>
      </c>
      <c r="O1426" s="418"/>
      <c r="P1426" s="406"/>
      <c r="Q1426" s="406"/>
      <c r="R1426" s="406"/>
      <c r="S1426" s="405" t="s">
        <v>1443</v>
      </c>
      <c r="T1426" s="405">
        <v>60</v>
      </c>
      <c r="U1426" s="405">
        <v>49401140</v>
      </c>
      <c r="V1426" s="405" t="s">
        <v>2284</v>
      </c>
      <c r="W1426" s="405">
        <v>400</v>
      </c>
      <c r="X1426" s="407">
        <v>768</v>
      </c>
      <c r="Y1426" s="408">
        <f t="shared" si="315"/>
        <v>307200</v>
      </c>
      <c r="Z1426" s="409">
        <v>0.52500000000000002</v>
      </c>
      <c r="AA1426" s="410">
        <f t="shared" si="320"/>
        <v>161280</v>
      </c>
      <c r="AB1426" s="411"/>
      <c r="AC1426" s="412">
        <f t="shared" si="319"/>
        <v>0</v>
      </c>
      <c r="AD1426" s="421"/>
      <c r="AE1426" s="413"/>
      <c r="AF1426" s="424">
        <f t="shared" si="321"/>
        <v>161280</v>
      </c>
      <c r="AG1426" s="405" t="s">
        <v>1069</v>
      </c>
      <c r="AH1426" s="405"/>
      <c r="AI1426" s="414">
        <v>60</v>
      </c>
      <c r="AJ1426" s="405" t="s">
        <v>2053</v>
      </c>
      <c r="AK1426" s="425" t="s">
        <v>1136</v>
      </c>
      <c r="AL1426" s="405">
        <v>78216</v>
      </c>
      <c r="AM1426" s="405" t="s">
        <v>52</v>
      </c>
      <c r="AN1426" s="405" t="s">
        <v>1071</v>
      </c>
      <c r="AO1426" s="405"/>
      <c r="AP1426" s="417"/>
      <c r="AQ1426" s="417" t="s">
        <v>37</v>
      </c>
      <c r="AR1426" s="417"/>
      <c r="AS1426" s="426"/>
      <c r="AT1426" s="426"/>
      <c r="AU1426" s="409"/>
      <c r="AV1426" s="402">
        <f t="shared" si="316"/>
        <v>49401140</v>
      </c>
      <c r="AW1426" s="402" cm="1">
        <f t="array" ref="AW1426">SUM(MID(0&amp;AV1426,LARGE(INDEX(ISNUMBER(--MID(AV1426,ROW($1:$8),1))*ROW($1:$8),),ROW($1:$8))+1,1)*10^ROW($1:$8)/10)</f>
        <v>49401140</v>
      </c>
      <c r="AX1426" s="402" t="str">
        <f>VLOOKUP($AW1426,'Item Master Data'!$A:$F,3,FALSE)</f>
        <v>Q.PEAK DUO BLK ML G10.a+</v>
      </c>
      <c r="AY1426" s="402">
        <f>VLOOKUP($AW1426,'Item Master Data'!$A:$F,6,FALSE)</f>
        <v>400</v>
      </c>
      <c r="AZ1426" s="402">
        <f t="shared" si="317"/>
        <v>24</v>
      </c>
      <c r="BA1426" s="402">
        <f>VLOOKUP(AW1426,'Item Master Data'!$A:$G,7,FALSE)</f>
        <v>32</v>
      </c>
      <c r="BC1426" s="402">
        <f t="shared" si="318"/>
        <v>0</v>
      </c>
    </row>
    <row r="1427" spans="1:55" s="402" customFormat="1">
      <c r="A1427" s="403"/>
      <c r="B1427" s="445">
        <v>44557</v>
      </c>
      <c r="C1427" s="445"/>
      <c r="D1427" s="416" t="s">
        <v>1914</v>
      </c>
      <c r="E1427" s="405" t="s">
        <v>2218</v>
      </c>
      <c r="F1427" s="405"/>
      <c r="G1427" s="405">
        <v>2022</v>
      </c>
      <c r="H1427" s="405">
        <v>11</v>
      </c>
      <c r="I1427" s="416"/>
      <c r="J1427" s="406"/>
      <c r="K1427" s="414" t="s">
        <v>2291</v>
      </c>
      <c r="L1427" s="405" t="s">
        <v>1967</v>
      </c>
      <c r="M1427" s="418">
        <v>44545</v>
      </c>
      <c r="N1427" s="418">
        <v>44806</v>
      </c>
      <c r="O1427" s="418"/>
      <c r="P1427" s="406"/>
      <c r="Q1427" s="406"/>
      <c r="R1427" s="406"/>
      <c r="S1427" s="405" t="s">
        <v>1443</v>
      </c>
      <c r="T1427" s="405">
        <v>60</v>
      </c>
      <c r="U1427" s="405">
        <v>49401140</v>
      </c>
      <c r="V1427" s="405" t="s">
        <v>2284</v>
      </c>
      <c r="W1427" s="405">
        <v>400</v>
      </c>
      <c r="X1427" s="407">
        <v>768</v>
      </c>
      <c r="Y1427" s="408">
        <f t="shared" si="315"/>
        <v>307200</v>
      </c>
      <c r="Z1427" s="409">
        <v>0.52500000000000002</v>
      </c>
      <c r="AA1427" s="410">
        <f t="shared" si="320"/>
        <v>161280</v>
      </c>
      <c r="AB1427" s="411"/>
      <c r="AC1427" s="412">
        <f t="shared" si="319"/>
        <v>0</v>
      </c>
      <c r="AD1427" s="421"/>
      <c r="AE1427" s="413"/>
      <c r="AF1427" s="424">
        <f t="shared" si="321"/>
        <v>161280</v>
      </c>
      <c r="AG1427" s="405" t="s">
        <v>1069</v>
      </c>
      <c r="AH1427" s="405"/>
      <c r="AI1427" s="414">
        <v>60</v>
      </c>
      <c r="AJ1427" s="405" t="s">
        <v>2053</v>
      </c>
      <c r="AK1427" s="425" t="s">
        <v>1136</v>
      </c>
      <c r="AL1427" s="405">
        <v>78216</v>
      </c>
      <c r="AM1427" s="405" t="s">
        <v>52</v>
      </c>
      <c r="AN1427" s="405" t="s">
        <v>1071</v>
      </c>
      <c r="AO1427" s="405"/>
      <c r="AP1427" s="417"/>
      <c r="AQ1427" s="417" t="s">
        <v>37</v>
      </c>
      <c r="AR1427" s="417"/>
      <c r="AS1427" s="426"/>
      <c r="AT1427" s="426"/>
      <c r="AU1427" s="409"/>
      <c r="AV1427" s="402">
        <f t="shared" si="316"/>
        <v>49401140</v>
      </c>
      <c r="AW1427" s="402" cm="1">
        <f t="array" ref="AW1427">SUM(MID(0&amp;AV1427,LARGE(INDEX(ISNUMBER(--MID(AV1427,ROW($1:$8),1))*ROW($1:$8),),ROW($1:$8))+1,1)*10^ROW($1:$8)/10)</f>
        <v>49401140</v>
      </c>
      <c r="AX1427" s="402" t="str">
        <f>VLOOKUP($AW1427,'Item Master Data'!$A:$F,3,FALSE)</f>
        <v>Q.PEAK DUO BLK ML G10.a+</v>
      </c>
      <c r="AY1427" s="402">
        <f>VLOOKUP($AW1427,'Item Master Data'!$A:$F,6,FALSE)</f>
        <v>400</v>
      </c>
      <c r="AZ1427" s="402">
        <f t="shared" si="317"/>
        <v>24</v>
      </c>
      <c r="BA1427" s="402">
        <f>VLOOKUP(AW1427,'Item Master Data'!$A:$G,7,FALSE)</f>
        <v>32</v>
      </c>
      <c r="BC1427" s="402">
        <f t="shared" si="318"/>
        <v>0</v>
      </c>
    </row>
    <row r="1428" spans="1:55" s="402" customFormat="1">
      <c r="A1428" s="403"/>
      <c r="B1428" s="445" t="s">
        <v>4251</v>
      </c>
      <c r="C1428" s="445">
        <v>44673</v>
      </c>
      <c r="D1428" s="416" t="s">
        <v>1914</v>
      </c>
      <c r="E1428" s="405" t="s">
        <v>3571</v>
      </c>
      <c r="F1428" s="405"/>
      <c r="G1428" s="405">
        <v>2022</v>
      </c>
      <c r="H1428" s="405">
        <v>11</v>
      </c>
      <c r="I1428" s="416"/>
      <c r="J1428" s="406"/>
      <c r="K1428" s="414" t="s">
        <v>2292</v>
      </c>
      <c r="L1428" s="405" t="s">
        <v>1967</v>
      </c>
      <c r="M1428" s="418">
        <v>44636</v>
      </c>
      <c r="N1428" s="418">
        <v>44875</v>
      </c>
      <c r="O1428" s="418"/>
      <c r="P1428" s="406"/>
      <c r="Q1428" s="406"/>
      <c r="R1428" s="406"/>
      <c r="S1428" s="405" t="s">
        <v>1443</v>
      </c>
      <c r="T1428" s="405">
        <v>72</v>
      </c>
      <c r="U1428" s="405" t="s">
        <v>1102</v>
      </c>
      <c r="V1428" s="405" t="s">
        <v>1068</v>
      </c>
      <c r="W1428" s="405">
        <v>480</v>
      </c>
      <c r="X1428" s="407">
        <v>696</v>
      </c>
      <c r="Y1428" s="408">
        <f t="shared" si="315"/>
        <v>334080</v>
      </c>
      <c r="Z1428" s="409">
        <f>237.6/480</f>
        <v>0.495</v>
      </c>
      <c r="AA1428" s="410">
        <f t="shared" si="320"/>
        <v>165369.60000000001</v>
      </c>
      <c r="AB1428" s="411"/>
      <c r="AC1428" s="412">
        <v>0</v>
      </c>
      <c r="AD1428" s="421"/>
      <c r="AE1428" s="413"/>
      <c r="AF1428" s="424">
        <f t="shared" si="321"/>
        <v>165369.60000000001</v>
      </c>
      <c r="AG1428" s="405" t="s">
        <v>1069</v>
      </c>
      <c r="AH1428" s="405"/>
      <c r="AI1428" s="414">
        <v>60</v>
      </c>
      <c r="AJ1428" s="405" t="s">
        <v>1584</v>
      </c>
      <c r="AK1428" s="425" t="s">
        <v>50</v>
      </c>
      <c r="AL1428" s="405">
        <v>95834</v>
      </c>
      <c r="AM1428" s="405" t="s">
        <v>52</v>
      </c>
      <c r="AN1428" s="405" t="s">
        <v>1071</v>
      </c>
      <c r="AO1428" s="405"/>
      <c r="AP1428" s="417"/>
      <c r="AQ1428" s="417" t="s">
        <v>37</v>
      </c>
      <c r="AR1428" s="417"/>
      <c r="AS1428" s="426"/>
      <c r="AT1428" s="426"/>
      <c r="AU1428" s="409"/>
      <c r="AV1428" s="402" t="str">
        <f t="shared" si="316"/>
        <v>TBD</v>
      </c>
      <c r="AW1428" s="402" cm="1">
        <f t="array" ref="AW1428">SUM(MID(0&amp;AV1428,LARGE(INDEX(ISNUMBER(--MID(AV1428,ROW($1:$8),1))*ROW($1:$8),),ROW($1:$8))+1,1)*10^ROW($1:$8)/10)</f>
        <v>0</v>
      </c>
      <c r="AX1428" s="402" t="e">
        <f>VLOOKUP($AW1428,'Item Master Data'!$A:$F,3,FALSE)</f>
        <v>#N/A</v>
      </c>
      <c r="AY1428" s="402" t="e">
        <f>VLOOKUP($AW1428,'Item Master Data'!$A:$F,6,FALSE)</f>
        <v>#N/A</v>
      </c>
      <c r="AZ1428" s="402" t="e">
        <f t="shared" si="317"/>
        <v>#N/A</v>
      </c>
      <c r="BA1428" s="402" t="e">
        <f>VLOOKUP(AW1428,'Item Master Data'!$A:$G,7,FALSE)</f>
        <v>#N/A</v>
      </c>
      <c r="BC1428" s="402" t="e">
        <f t="shared" si="318"/>
        <v>#N/A</v>
      </c>
    </row>
    <row r="1429" spans="1:55" s="402" customFormat="1">
      <c r="A1429" s="403"/>
      <c r="B1429" s="445"/>
      <c r="C1429" s="445"/>
      <c r="D1429" s="416" t="s">
        <v>1914</v>
      </c>
      <c r="E1429" s="405" t="s">
        <v>1239</v>
      </c>
      <c r="F1429" s="405"/>
      <c r="G1429" s="405">
        <v>2022</v>
      </c>
      <c r="H1429" s="405">
        <v>11</v>
      </c>
      <c r="I1429" s="416"/>
      <c r="J1429" s="406"/>
      <c r="K1429" s="414" t="s">
        <v>2293</v>
      </c>
      <c r="L1429" s="405" t="s">
        <v>1967</v>
      </c>
      <c r="M1429" s="418">
        <v>44505</v>
      </c>
      <c r="N1429" s="418">
        <v>44727</v>
      </c>
      <c r="O1429" s="418"/>
      <c r="P1429" s="406"/>
      <c r="Q1429" s="406"/>
      <c r="R1429" s="406"/>
      <c r="S1429" s="405" t="s">
        <v>1443</v>
      </c>
      <c r="T1429" s="405">
        <v>60</v>
      </c>
      <c r="U1429" s="405">
        <v>49401140</v>
      </c>
      <c r="V1429" s="405" t="s">
        <v>973</v>
      </c>
      <c r="W1429" s="405">
        <v>400</v>
      </c>
      <c r="X1429" s="407">
        <v>768</v>
      </c>
      <c r="Y1429" s="408">
        <f t="shared" si="315"/>
        <v>307200</v>
      </c>
      <c r="Z1429" s="409">
        <v>0.64</v>
      </c>
      <c r="AA1429" s="410">
        <f t="shared" si="320"/>
        <v>196608</v>
      </c>
      <c r="AB1429" s="411"/>
      <c r="AC1429" s="412">
        <v>0</v>
      </c>
      <c r="AD1429" s="421"/>
      <c r="AE1429" s="413"/>
      <c r="AF1429" s="424">
        <f t="shared" si="321"/>
        <v>196608</v>
      </c>
      <c r="AG1429" s="405" t="s">
        <v>1069</v>
      </c>
      <c r="AH1429" s="405"/>
      <c r="AI1429" s="414" t="s">
        <v>1962</v>
      </c>
      <c r="AJ1429" s="405" t="s">
        <v>1969</v>
      </c>
      <c r="AK1429" s="425" t="s">
        <v>1125</v>
      </c>
      <c r="AL1429" s="405">
        <v>85008</v>
      </c>
      <c r="AM1429" s="405" t="s">
        <v>52</v>
      </c>
      <c r="AN1429" s="405"/>
      <c r="AO1429" s="405"/>
      <c r="AP1429" s="417"/>
      <c r="AQ1429" s="417" t="s">
        <v>37</v>
      </c>
      <c r="AR1429" s="417"/>
      <c r="AS1429" s="426"/>
      <c r="AT1429" s="426"/>
      <c r="AU1429" s="409"/>
    </row>
    <row r="1430" spans="1:55" s="402" customFormat="1">
      <c r="A1430" s="403"/>
      <c r="B1430" s="445"/>
      <c r="C1430" s="445"/>
      <c r="D1430" s="416" t="s">
        <v>1914</v>
      </c>
      <c r="E1430" s="405" t="s">
        <v>1239</v>
      </c>
      <c r="F1430" s="405"/>
      <c r="G1430" s="405">
        <v>2022</v>
      </c>
      <c r="H1430" s="405">
        <v>11</v>
      </c>
      <c r="I1430" s="416"/>
      <c r="J1430" s="406"/>
      <c r="K1430" s="414" t="s">
        <v>2294</v>
      </c>
      <c r="L1430" s="405" t="s">
        <v>1967</v>
      </c>
      <c r="M1430" s="418">
        <v>44512</v>
      </c>
      <c r="N1430" s="418">
        <v>44716</v>
      </c>
      <c r="O1430" s="418"/>
      <c r="P1430" s="406"/>
      <c r="Q1430" s="406"/>
      <c r="R1430" s="406"/>
      <c r="S1430" s="405" t="s">
        <v>1443</v>
      </c>
      <c r="T1430" s="405">
        <v>60</v>
      </c>
      <c r="U1430" s="405">
        <v>49401140</v>
      </c>
      <c r="V1430" s="405" t="s">
        <v>973</v>
      </c>
      <c r="W1430" s="405">
        <v>400</v>
      </c>
      <c r="X1430" s="407">
        <v>768</v>
      </c>
      <c r="Y1430" s="408">
        <f t="shared" si="315"/>
        <v>307200</v>
      </c>
      <c r="Z1430" s="409">
        <v>0.64</v>
      </c>
      <c r="AA1430" s="410">
        <f t="shared" si="320"/>
        <v>196608</v>
      </c>
      <c r="AB1430" s="411"/>
      <c r="AC1430" s="412">
        <v>0</v>
      </c>
      <c r="AD1430" s="421"/>
      <c r="AE1430" s="413"/>
      <c r="AF1430" s="424">
        <f t="shared" si="321"/>
        <v>196608</v>
      </c>
      <c r="AG1430" s="405" t="s">
        <v>1069</v>
      </c>
      <c r="AH1430" s="405"/>
      <c r="AI1430" s="414">
        <v>60</v>
      </c>
      <c r="AJ1430" s="405" t="s">
        <v>1969</v>
      </c>
      <c r="AK1430" s="425" t="s">
        <v>1125</v>
      </c>
      <c r="AL1430" s="405">
        <v>85008</v>
      </c>
      <c r="AM1430" s="405" t="s">
        <v>52</v>
      </c>
      <c r="AN1430" s="405"/>
      <c r="AO1430" s="405"/>
      <c r="AP1430" s="417"/>
      <c r="AQ1430" s="417" t="s">
        <v>37</v>
      </c>
      <c r="AR1430" s="417"/>
      <c r="AS1430" s="426"/>
      <c r="AT1430" s="426"/>
      <c r="AU1430" s="409"/>
      <c r="AV1430" s="402">
        <f>U1430</f>
        <v>49401140</v>
      </c>
      <c r="AW1430" s="402" cm="1">
        <f t="array" ref="AW1430">SUM(MID(0&amp;AV1430,LARGE(INDEX(ISNUMBER(--MID(AV1430,ROW($1:$8),1))*ROW($1:$8),),ROW($1:$8))+1,1)*10^ROW($1:$8)/10)</f>
        <v>49401140</v>
      </c>
      <c r="AX1430" s="402" t="str">
        <f>VLOOKUP($AW1430,'Item Master Data'!$A:$F,3,FALSE)</f>
        <v>Q.PEAK DUO BLK ML G10.a+</v>
      </c>
      <c r="AY1430" s="402">
        <f>VLOOKUP($AW1430,'Item Master Data'!$A:$F,6,FALSE)</f>
        <v>400</v>
      </c>
      <c r="AZ1430" s="402">
        <f>X1430/BA1430</f>
        <v>24</v>
      </c>
      <c r="BA1430" s="402">
        <f>VLOOKUP(AW1430,'Item Master Data'!$A:$G,7,FALSE)</f>
        <v>32</v>
      </c>
      <c r="BC1430" s="402">
        <f>W1430-AY1430</f>
        <v>0</v>
      </c>
    </row>
    <row r="1431" spans="1:55" s="402" customFormat="1">
      <c r="A1431" s="403"/>
      <c r="B1431" s="445"/>
      <c r="C1431" s="445"/>
      <c r="D1431" s="416" t="s">
        <v>1914</v>
      </c>
      <c r="E1431" s="405" t="s">
        <v>1239</v>
      </c>
      <c r="F1431" s="405"/>
      <c r="G1431" s="405">
        <v>2022</v>
      </c>
      <c r="H1431" s="405">
        <v>11</v>
      </c>
      <c r="I1431" s="416"/>
      <c r="J1431" s="406"/>
      <c r="K1431" s="414" t="s">
        <v>2295</v>
      </c>
      <c r="L1431" s="405" t="s">
        <v>1967</v>
      </c>
      <c r="M1431" s="418">
        <v>44512</v>
      </c>
      <c r="N1431" s="418">
        <v>44720</v>
      </c>
      <c r="O1431" s="418"/>
      <c r="P1431" s="406"/>
      <c r="Q1431" s="406"/>
      <c r="R1431" s="406"/>
      <c r="S1431" s="405" t="s">
        <v>1443</v>
      </c>
      <c r="T1431" s="405">
        <v>60</v>
      </c>
      <c r="U1431" s="405">
        <v>49401140</v>
      </c>
      <c r="V1431" s="405" t="s">
        <v>973</v>
      </c>
      <c r="W1431" s="405">
        <v>400</v>
      </c>
      <c r="X1431" s="407">
        <v>768</v>
      </c>
      <c r="Y1431" s="408">
        <f t="shared" si="315"/>
        <v>307200</v>
      </c>
      <c r="Z1431" s="409">
        <v>0.64</v>
      </c>
      <c r="AA1431" s="410">
        <f t="shared" si="320"/>
        <v>196608</v>
      </c>
      <c r="AB1431" s="411"/>
      <c r="AC1431" s="412">
        <v>0</v>
      </c>
      <c r="AD1431" s="421"/>
      <c r="AE1431" s="413"/>
      <c r="AF1431" s="424">
        <f t="shared" si="321"/>
        <v>196608</v>
      </c>
      <c r="AG1431" s="405" t="s">
        <v>1069</v>
      </c>
      <c r="AH1431" s="405"/>
      <c r="AI1431" s="414">
        <v>60</v>
      </c>
      <c r="AJ1431" s="405" t="s">
        <v>1969</v>
      </c>
      <c r="AK1431" s="425" t="s">
        <v>1125</v>
      </c>
      <c r="AL1431" s="405">
        <v>85008</v>
      </c>
      <c r="AM1431" s="405" t="s">
        <v>52</v>
      </c>
      <c r="AN1431" s="405"/>
      <c r="AO1431" s="405"/>
      <c r="AP1431" s="417"/>
      <c r="AQ1431" s="417" t="s">
        <v>37</v>
      </c>
      <c r="AR1431" s="417"/>
      <c r="AS1431" s="426"/>
      <c r="AT1431" s="426"/>
      <c r="AU1431" s="409"/>
      <c r="AV1431" s="402">
        <f>U1431</f>
        <v>49401140</v>
      </c>
      <c r="AW1431" s="402" cm="1">
        <f t="array" ref="AW1431">SUM(MID(0&amp;AV1431,LARGE(INDEX(ISNUMBER(--MID(AV1431,ROW($1:$8),1))*ROW($1:$8),),ROW($1:$8))+1,1)*10^ROW($1:$8)/10)</f>
        <v>49401140</v>
      </c>
      <c r="AX1431" s="402" t="str">
        <f>VLOOKUP($AW1431,'Item Master Data'!$A:$F,3,FALSE)</f>
        <v>Q.PEAK DUO BLK ML G10.a+</v>
      </c>
      <c r="AY1431" s="402">
        <f>VLOOKUP($AW1431,'Item Master Data'!$A:$F,6,FALSE)</f>
        <v>400</v>
      </c>
      <c r="AZ1431" s="402">
        <f>X1431/BA1431</f>
        <v>24</v>
      </c>
      <c r="BA1431" s="402">
        <f>VLOOKUP(AW1431,'Item Master Data'!$A:$G,7,FALSE)</f>
        <v>32</v>
      </c>
      <c r="BC1431" s="402">
        <f>W1431-AY1431</f>
        <v>0</v>
      </c>
    </row>
    <row r="1432" spans="1:55" s="402" customFormat="1">
      <c r="A1432" s="403"/>
      <c r="B1432" s="445"/>
      <c r="C1432" s="445"/>
      <c r="D1432" s="416" t="s">
        <v>1914</v>
      </c>
      <c r="E1432" s="405" t="s">
        <v>1239</v>
      </c>
      <c r="F1432" s="405"/>
      <c r="G1432" s="405">
        <v>2022</v>
      </c>
      <c r="H1432" s="405">
        <v>11</v>
      </c>
      <c r="I1432" s="416"/>
      <c r="J1432" s="406"/>
      <c r="K1432" s="414" t="s">
        <v>2296</v>
      </c>
      <c r="L1432" s="405" t="s">
        <v>1967</v>
      </c>
      <c r="M1432" s="418">
        <v>44512</v>
      </c>
      <c r="N1432" s="418">
        <v>44724</v>
      </c>
      <c r="O1432" s="418"/>
      <c r="P1432" s="406"/>
      <c r="Q1432" s="406"/>
      <c r="R1432" s="406"/>
      <c r="S1432" s="405" t="s">
        <v>1443</v>
      </c>
      <c r="T1432" s="405">
        <v>60</v>
      </c>
      <c r="U1432" s="405">
        <v>49401140</v>
      </c>
      <c r="V1432" s="405" t="s">
        <v>973</v>
      </c>
      <c r="W1432" s="405">
        <v>400</v>
      </c>
      <c r="X1432" s="407">
        <v>768</v>
      </c>
      <c r="Y1432" s="408">
        <f t="shared" si="315"/>
        <v>307200</v>
      </c>
      <c r="Z1432" s="409">
        <v>0.64</v>
      </c>
      <c r="AA1432" s="410">
        <f t="shared" si="320"/>
        <v>196608</v>
      </c>
      <c r="AB1432" s="411"/>
      <c r="AC1432" s="412">
        <v>0</v>
      </c>
      <c r="AD1432" s="421"/>
      <c r="AE1432" s="413"/>
      <c r="AF1432" s="424">
        <f t="shared" si="321"/>
        <v>196608</v>
      </c>
      <c r="AG1432" s="405" t="s">
        <v>1069</v>
      </c>
      <c r="AH1432" s="405"/>
      <c r="AI1432" s="414">
        <v>60</v>
      </c>
      <c r="AJ1432" s="405" t="s">
        <v>1969</v>
      </c>
      <c r="AK1432" s="425" t="s">
        <v>1125</v>
      </c>
      <c r="AL1432" s="405">
        <v>85008</v>
      </c>
      <c r="AM1432" s="405" t="s">
        <v>52</v>
      </c>
      <c r="AN1432" s="405"/>
      <c r="AO1432" s="405"/>
      <c r="AP1432" s="417"/>
      <c r="AQ1432" s="417" t="s">
        <v>37</v>
      </c>
      <c r="AR1432" s="417"/>
      <c r="AS1432" s="426"/>
      <c r="AT1432" s="426"/>
      <c r="AU1432" s="409"/>
      <c r="AV1432" s="402">
        <f>U1432</f>
        <v>49401140</v>
      </c>
      <c r="AW1432" s="402" cm="1">
        <f t="array" ref="AW1432">SUM(MID(0&amp;AV1432,LARGE(INDEX(ISNUMBER(--MID(AV1432,ROW($1:$8),1))*ROW($1:$8),),ROW($1:$8))+1,1)*10^ROW($1:$8)/10)</f>
        <v>49401140</v>
      </c>
      <c r="AX1432" s="402" t="str">
        <f>VLOOKUP($AW1432,'Item Master Data'!$A:$F,3,FALSE)</f>
        <v>Q.PEAK DUO BLK ML G10.a+</v>
      </c>
      <c r="AY1432" s="402">
        <f>VLOOKUP($AW1432,'Item Master Data'!$A:$F,6,FALSE)</f>
        <v>400</v>
      </c>
      <c r="AZ1432" s="402">
        <f>X1432/BA1432</f>
        <v>24</v>
      </c>
      <c r="BA1432" s="402">
        <f>VLOOKUP(AW1432,'Item Master Data'!$A:$G,7,FALSE)</f>
        <v>32</v>
      </c>
      <c r="BC1432" s="402">
        <f>W1432-AY1432</f>
        <v>0</v>
      </c>
    </row>
    <row r="1433" spans="1:55" s="402" customFormat="1">
      <c r="A1433" s="403"/>
      <c r="B1433" s="445"/>
      <c r="C1433" s="445"/>
      <c r="D1433" s="416" t="s">
        <v>1914</v>
      </c>
      <c r="E1433" s="405" t="s">
        <v>1239</v>
      </c>
      <c r="F1433" s="405"/>
      <c r="G1433" s="405">
        <v>2022</v>
      </c>
      <c r="H1433" s="405">
        <v>11</v>
      </c>
      <c r="I1433" s="416"/>
      <c r="J1433" s="406"/>
      <c r="K1433" s="414" t="s">
        <v>2297</v>
      </c>
      <c r="L1433" s="405" t="s">
        <v>1967</v>
      </c>
      <c r="M1433" s="418">
        <v>44512</v>
      </c>
      <c r="N1433" s="418">
        <v>44730</v>
      </c>
      <c r="O1433" s="418"/>
      <c r="P1433" s="406"/>
      <c r="Q1433" s="406"/>
      <c r="R1433" s="406"/>
      <c r="S1433" s="405" t="s">
        <v>1443</v>
      </c>
      <c r="T1433" s="405">
        <v>60</v>
      </c>
      <c r="U1433" s="405">
        <v>49401140</v>
      </c>
      <c r="V1433" s="405" t="s">
        <v>973</v>
      </c>
      <c r="W1433" s="405">
        <v>400</v>
      </c>
      <c r="X1433" s="407">
        <v>768</v>
      </c>
      <c r="Y1433" s="408">
        <f t="shared" si="315"/>
        <v>307200</v>
      </c>
      <c r="Z1433" s="409">
        <v>0.64</v>
      </c>
      <c r="AA1433" s="410">
        <f t="shared" si="320"/>
        <v>196608</v>
      </c>
      <c r="AB1433" s="411"/>
      <c r="AC1433" s="412">
        <v>0</v>
      </c>
      <c r="AD1433" s="421"/>
      <c r="AE1433" s="413"/>
      <c r="AF1433" s="424">
        <f t="shared" si="321"/>
        <v>196608</v>
      </c>
      <c r="AG1433" s="405" t="s">
        <v>1069</v>
      </c>
      <c r="AH1433" s="405"/>
      <c r="AI1433" s="414">
        <v>60</v>
      </c>
      <c r="AJ1433" s="405" t="s">
        <v>1969</v>
      </c>
      <c r="AK1433" s="425" t="s">
        <v>1125</v>
      </c>
      <c r="AL1433" s="405">
        <v>85008</v>
      </c>
      <c r="AM1433" s="405" t="s">
        <v>52</v>
      </c>
      <c r="AN1433" s="405"/>
      <c r="AO1433" s="405"/>
      <c r="AP1433" s="417"/>
      <c r="AQ1433" s="417" t="s">
        <v>37</v>
      </c>
      <c r="AR1433" s="417"/>
      <c r="AS1433" s="426"/>
      <c r="AT1433" s="426"/>
      <c r="AU1433" s="409"/>
      <c r="AV1433" s="402">
        <f>U1433</f>
        <v>49401140</v>
      </c>
      <c r="AW1433" s="402" cm="1">
        <f t="array" ref="AW1433">SUM(MID(0&amp;AV1433,LARGE(INDEX(ISNUMBER(--MID(AV1433,ROW($1:$8),1))*ROW($1:$8),),ROW($1:$8))+1,1)*10^ROW($1:$8)/10)</f>
        <v>49401140</v>
      </c>
      <c r="AX1433" s="402" t="str">
        <f>VLOOKUP($AW1433,'Item Master Data'!$A:$F,3,FALSE)</f>
        <v>Q.PEAK DUO BLK ML G10.a+</v>
      </c>
      <c r="AY1433" s="402">
        <f>VLOOKUP($AW1433,'Item Master Data'!$A:$F,6,FALSE)</f>
        <v>400</v>
      </c>
      <c r="AZ1433" s="402">
        <f>X1433/BA1433</f>
        <v>24</v>
      </c>
      <c r="BA1433" s="402">
        <f>VLOOKUP(AW1433,'Item Master Data'!$A:$G,7,FALSE)</f>
        <v>32</v>
      </c>
      <c r="BC1433" s="402">
        <f>W1433-AY1433</f>
        <v>0</v>
      </c>
    </row>
    <row r="1434" spans="1:55" s="402" customFormat="1">
      <c r="A1434" s="403"/>
      <c r="B1434" s="445">
        <v>44557</v>
      </c>
      <c r="C1434" s="445">
        <v>44587</v>
      </c>
      <c r="D1434" s="416" t="s">
        <v>1914</v>
      </c>
      <c r="E1434" s="405" t="s">
        <v>1239</v>
      </c>
      <c r="F1434" s="405"/>
      <c r="G1434" s="405">
        <v>2022</v>
      </c>
      <c r="H1434" s="405">
        <v>11</v>
      </c>
      <c r="I1434" s="416"/>
      <c r="J1434" s="406"/>
      <c r="K1434" s="414" t="s">
        <v>2298</v>
      </c>
      <c r="L1434" s="405" t="s">
        <v>1967</v>
      </c>
      <c r="M1434" s="418">
        <v>44545</v>
      </c>
      <c r="N1434" s="418">
        <v>44875</v>
      </c>
      <c r="O1434" s="418"/>
      <c r="P1434" s="406"/>
      <c r="Q1434" s="406"/>
      <c r="R1434" s="406"/>
      <c r="S1434" s="405" t="s">
        <v>1443</v>
      </c>
      <c r="T1434" s="405">
        <v>60</v>
      </c>
      <c r="U1434" s="405">
        <v>49204132</v>
      </c>
      <c r="V1434" s="405" t="s">
        <v>1192</v>
      </c>
      <c r="W1434" s="405">
        <v>360</v>
      </c>
      <c r="X1434" s="407">
        <v>624</v>
      </c>
      <c r="Y1434" s="408">
        <f t="shared" si="315"/>
        <v>224640</v>
      </c>
      <c r="Z1434" s="409">
        <v>0.79</v>
      </c>
      <c r="AA1434" s="410">
        <f t="shared" si="320"/>
        <v>177465.60000000001</v>
      </c>
      <c r="AB1434" s="411"/>
      <c r="AC1434" s="412">
        <v>0</v>
      </c>
      <c r="AD1434" s="421"/>
      <c r="AE1434" s="413"/>
      <c r="AF1434" s="424">
        <f t="shared" si="321"/>
        <v>177465.60000000001</v>
      </c>
      <c r="AG1434" s="405" t="s">
        <v>1069</v>
      </c>
      <c r="AH1434" s="405"/>
      <c r="AI1434" s="414" t="s">
        <v>1962</v>
      </c>
      <c r="AJ1434" s="405" t="s">
        <v>1969</v>
      </c>
      <c r="AK1434" s="425" t="s">
        <v>1125</v>
      </c>
      <c r="AL1434" s="405">
        <v>85008</v>
      </c>
      <c r="AM1434" s="405" t="s">
        <v>52</v>
      </c>
      <c r="AN1434" s="405" t="s">
        <v>1071</v>
      </c>
      <c r="AO1434" s="405"/>
      <c r="AP1434" s="417"/>
      <c r="AQ1434" s="417" t="s">
        <v>37</v>
      </c>
      <c r="AR1434" s="417"/>
      <c r="AS1434" s="426"/>
      <c r="AT1434" s="426"/>
      <c r="AU1434" s="409"/>
    </row>
    <row r="1435" spans="1:55" s="402" customFormat="1">
      <c r="A1435" s="403"/>
      <c r="B1435" s="445">
        <v>44557</v>
      </c>
      <c r="C1435" s="445">
        <v>44587</v>
      </c>
      <c r="D1435" s="416" t="s">
        <v>1914</v>
      </c>
      <c r="E1435" s="405" t="s">
        <v>1239</v>
      </c>
      <c r="F1435" s="405"/>
      <c r="G1435" s="405">
        <v>2022</v>
      </c>
      <c r="H1435" s="405">
        <v>11</v>
      </c>
      <c r="I1435" s="416"/>
      <c r="J1435" s="406"/>
      <c r="K1435" s="414" t="s">
        <v>2299</v>
      </c>
      <c r="L1435" s="405" t="s">
        <v>2004</v>
      </c>
      <c r="M1435" s="418">
        <v>44545</v>
      </c>
      <c r="N1435" s="418">
        <v>44870</v>
      </c>
      <c r="O1435" s="418"/>
      <c r="P1435" s="406"/>
      <c r="Q1435" s="406"/>
      <c r="R1435" s="406"/>
      <c r="S1435" s="405" t="s">
        <v>1443</v>
      </c>
      <c r="T1435" s="405">
        <v>60</v>
      </c>
      <c r="U1435" s="405">
        <v>49204132</v>
      </c>
      <c r="V1435" s="405" t="s">
        <v>1192</v>
      </c>
      <c r="W1435" s="405">
        <v>360</v>
      </c>
      <c r="X1435" s="407">
        <v>832</v>
      </c>
      <c r="Y1435" s="408">
        <f t="shared" si="315"/>
        <v>299520</v>
      </c>
      <c r="Z1435" s="409">
        <v>0.78999999999999992</v>
      </c>
      <c r="AA1435" s="410">
        <f t="shared" si="320"/>
        <v>236620.79999999999</v>
      </c>
      <c r="AB1435" s="411"/>
      <c r="AC1435" s="412">
        <v>0</v>
      </c>
      <c r="AD1435" s="421"/>
      <c r="AE1435" s="413"/>
      <c r="AF1435" s="424">
        <f t="shared" si="321"/>
        <v>236620.79999999999</v>
      </c>
      <c r="AG1435" s="405" t="s">
        <v>1069</v>
      </c>
      <c r="AH1435" s="405"/>
      <c r="AI1435" s="414" t="s">
        <v>1962</v>
      </c>
      <c r="AJ1435" s="405" t="s">
        <v>1968</v>
      </c>
      <c r="AK1435" s="425" t="s">
        <v>1599</v>
      </c>
      <c r="AL1435" s="405">
        <v>97210</v>
      </c>
      <c r="AM1435" s="405" t="s">
        <v>52</v>
      </c>
      <c r="AN1435" s="405"/>
      <c r="AO1435" s="405"/>
      <c r="AP1435" s="417"/>
      <c r="AQ1435" s="417" t="s">
        <v>37</v>
      </c>
      <c r="AR1435" s="417"/>
      <c r="AS1435" s="426"/>
      <c r="AT1435" s="426"/>
      <c r="AU1435" s="409"/>
      <c r="AV1435" s="402">
        <f>U1435</f>
        <v>49204132</v>
      </c>
      <c r="AW1435" s="402" cm="1">
        <f t="array" ref="AW1435">SUM(MID(0&amp;AV1435,LARGE(INDEX(ISNUMBER(--MID(AV1435,ROW($1:$8),1))*ROW($1:$8),),ROW($1:$8))+1,1)*10^ROW($1:$8)/10)</f>
        <v>49204132</v>
      </c>
      <c r="AX1435" s="402" t="str">
        <f>VLOOKUP($AW1435,'Item Master Data'!$A:$F,3,FALSE)</f>
        <v>Q.PEAK DUO BLK G10+/AC</v>
      </c>
      <c r="AY1435" s="402">
        <f>VLOOKUP($AW1435,'Item Master Data'!$A:$F,6,FALSE)</f>
        <v>360</v>
      </c>
      <c r="AZ1435" s="402">
        <f>X1435/BA1435</f>
        <v>32</v>
      </c>
      <c r="BA1435" s="402">
        <f>VLOOKUP(AW1435,'Item Master Data'!$A:$G,7,FALSE)</f>
        <v>26</v>
      </c>
      <c r="BC1435" s="402">
        <f>W1435-AY1435</f>
        <v>0</v>
      </c>
    </row>
    <row r="1436" spans="1:55" s="402" customFormat="1">
      <c r="A1436" s="403"/>
      <c r="B1436" s="445">
        <v>44557</v>
      </c>
      <c r="C1436" s="445">
        <v>44587</v>
      </c>
      <c r="D1436" s="416" t="s">
        <v>1914</v>
      </c>
      <c r="E1436" s="405" t="s">
        <v>1239</v>
      </c>
      <c r="F1436" s="405"/>
      <c r="G1436" s="405">
        <v>2022</v>
      </c>
      <c r="H1436" s="405">
        <v>11</v>
      </c>
      <c r="I1436" s="416"/>
      <c r="J1436" s="406"/>
      <c r="K1436" s="414" t="s">
        <v>2300</v>
      </c>
      <c r="L1436" s="405" t="s">
        <v>2004</v>
      </c>
      <c r="M1436" s="418">
        <v>44545</v>
      </c>
      <c r="N1436" s="418">
        <v>44875</v>
      </c>
      <c r="O1436" s="418"/>
      <c r="P1436" s="406"/>
      <c r="Q1436" s="406"/>
      <c r="R1436" s="406"/>
      <c r="S1436" s="405" t="s">
        <v>1443</v>
      </c>
      <c r="T1436" s="405">
        <v>60</v>
      </c>
      <c r="U1436" s="405">
        <v>49204132</v>
      </c>
      <c r="V1436" s="405" t="s">
        <v>1192</v>
      </c>
      <c r="W1436" s="405">
        <v>360</v>
      </c>
      <c r="X1436" s="407">
        <v>832</v>
      </c>
      <c r="Y1436" s="408">
        <f t="shared" si="315"/>
        <v>299520</v>
      </c>
      <c r="Z1436" s="409">
        <v>0.78999999999999992</v>
      </c>
      <c r="AA1436" s="410">
        <f t="shared" si="320"/>
        <v>236620.79999999999</v>
      </c>
      <c r="AB1436" s="411"/>
      <c r="AC1436" s="412">
        <v>0</v>
      </c>
      <c r="AD1436" s="421"/>
      <c r="AE1436" s="413"/>
      <c r="AF1436" s="424">
        <f t="shared" si="321"/>
        <v>236620.79999999999</v>
      </c>
      <c r="AG1436" s="405" t="s">
        <v>1069</v>
      </c>
      <c r="AH1436" s="405"/>
      <c r="AI1436" s="414" t="s">
        <v>1962</v>
      </c>
      <c r="AJ1436" s="405" t="s">
        <v>1968</v>
      </c>
      <c r="AK1436" s="425" t="s">
        <v>1599</v>
      </c>
      <c r="AL1436" s="405">
        <v>97210</v>
      </c>
      <c r="AM1436" s="405" t="s">
        <v>52</v>
      </c>
      <c r="AN1436" s="405"/>
      <c r="AO1436" s="405"/>
      <c r="AP1436" s="417"/>
      <c r="AQ1436" s="417" t="s">
        <v>37</v>
      </c>
      <c r="AR1436" s="417"/>
      <c r="AS1436" s="426"/>
      <c r="AT1436" s="426"/>
      <c r="AU1436" s="409"/>
    </row>
    <row r="1437" spans="1:55" s="402" customFormat="1">
      <c r="A1437" s="403"/>
      <c r="B1437" s="445">
        <v>44557</v>
      </c>
      <c r="C1437" s="445">
        <v>44587</v>
      </c>
      <c r="D1437" s="416" t="s">
        <v>1914</v>
      </c>
      <c r="E1437" s="405" t="s">
        <v>1239</v>
      </c>
      <c r="F1437" s="405"/>
      <c r="G1437" s="405">
        <v>2022</v>
      </c>
      <c r="H1437" s="405">
        <v>11</v>
      </c>
      <c r="I1437" s="416"/>
      <c r="J1437" s="406"/>
      <c r="K1437" s="414" t="s">
        <v>2301</v>
      </c>
      <c r="L1437" s="405" t="s">
        <v>2004</v>
      </c>
      <c r="M1437" s="418">
        <v>44545</v>
      </c>
      <c r="N1437" s="418">
        <v>44880</v>
      </c>
      <c r="O1437" s="418"/>
      <c r="P1437" s="406"/>
      <c r="Q1437" s="406"/>
      <c r="R1437" s="406"/>
      <c r="S1437" s="405" t="s">
        <v>1443</v>
      </c>
      <c r="T1437" s="405">
        <v>60</v>
      </c>
      <c r="U1437" s="405">
        <v>49204132</v>
      </c>
      <c r="V1437" s="405" t="s">
        <v>1192</v>
      </c>
      <c r="W1437" s="405">
        <v>360</v>
      </c>
      <c r="X1437" s="407">
        <v>832</v>
      </c>
      <c r="Y1437" s="408">
        <f t="shared" si="315"/>
        <v>299520</v>
      </c>
      <c r="Z1437" s="409">
        <v>0.78999999999999992</v>
      </c>
      <c r="AA1437" s="410">
        <f t="shared" si="320"/>
        <v>236620.79999999999</v>
      </c>
      <c r="AB1437" s="411"/>
      <c r="AC1437" s="412">
        <v>0</v>
      </c>
      <c r="AD1437" s="421"/>
      <c r="AE1437" s="413"/>
      <c r="AF1437" s="424">
        <f t="shared" si="321"/>
        <v>236620.79999999999</v>
      </c>
      <c r="AG1437" s="405" t="s">
        <v>1069</v>
      </c>
      <c r="AH1437" s="405"/>
      <c r="AI1437" s="414" t="s">
        <v>1962</v>
      </c>
      <c r="AJ1437" s="405" t="s">
        <v>1968</v>
      </c>
      <c r="AK1437" s="425" t="s">
        <v>1599</v>
      </c>
      <c r="AL1437" s="405">
        <v>97210</v>
      </c>
      <c r="AM1437" s="405" t="s">
        <v>52</v>
      </c>
      <c r="AN1437" s="405"/>
      <c r="AO1437" s="405"/>
      <c r="AP1437" s="417"/>
      <c r="AQ1437" s="417" t="s">
        <v>37</v>
      </c>
      <c r="AR1437" s="417"/>
      <c r="AS1437" s="426"/>
      <c r="AT1437" s="426"/>
      <c r="AU1437" s="409"/>
      <c r="AV1437" s="402">
        <f>U1437</f>
        <v>49204132</v>
      </c>
      <c r="AW1437" s="402" cm="1">
        <f t="array" ref="AW1437">SUM(MID(0&amp;AV1437,LARGE(INDEX(ISNUMBER(--MID(AV1437,ROW($1:$8),1))*ROW($1:$8),),ROW($1:$8))+1,1)*10^ROW($1:$8)/10)</f>
        <v>49204132</v>
      </c>
      <c r="AX1437" s="402" t="str">
        <f>VLOOKUP($AW1437,'Item Master Data'!$A:$F,3,FALSE)</f>
        <v>Q.PEAK DUO BLK G10+/AC</v>
      </c>
      <c r="AY1437" s="402">
        <f>VLOOKUP($AW1437,'Item Master Data'!$A:$F,6,FALSE)</f>
        <v>360</v>
      </c>
      <c r="AZ1437" s="402">
        <f>X1437/BA1437</f>
        <v>32</v>
      </c>
      <c r="BA1437" s="402">
        <f>VLOOKUP(AW1437,'Item Master Data'!$A:$G,7,FALSE)</f>
        <v>26</v>
      </c>
      <c r="BC1437" s="402">
        <f>W1437-AY1437</f>
        <v>0</v>
      </c>
    </row>
    <row r="1438" spans="1:55" s="402" customFormat="1">
      <c r="A1438" s="403"/>
      <c r="B1438" s="445">
        <v>44557</v>
      </c>
      <c r="C1438" s="445">
        <v>44587</v>
      </c>
      <c r="D1438" s="416" t="s">
        <v>1914</v>
      </c>
      <c r="E1438" s="405" t="s">
        <v>1239</v>
      </c>
      <c r="F1438" s="405"/>
      <c r="G1438" s="405">
        <v>2022</v>
      </c>
      <c r="H1438" s="405">
        <v>11</v>
      </c>
      <c r="I1438" s="416"/>
      <c r="J1438" s="406"/>
      <c r="K1438" s="414" t="s">
        <v>2302</v>
      </c>
      <c r="L1438" s="405" t="s">
        <v>2004</v>
      </c>
      <c r="M1438" s="418">
        <v>44545</v>
      </c>
      <c r="N1438" s="418">
        <v>44875</v>
      </c>
      <c r="O1438" s="418"/>
      <c r="P1438" s="406"/>
      <c r="Q1438" s="406"/>
      <c r="R1438" s="406"/>
      <c r="S1438" s="405" t="s">
        <v>1443</v>
      </c>
      <c r="T1438" s="405">
        <v>60</v>
      </c>
      <c r="U1438" s="405">
        <v>49204132</v>
      </c>
      <c r="V1438" s="405" t="s">
        <v>1192</v>
      </c>
      <c r="W1438" s="405">
        <v>360</v>
      </c>
      <c r="X1438" s="407">
        <v>832</v>
      </c>
      <c r="Y1438" s="408">
        <f t="shared" si="315"/>
        <v>299520</v>
      </c>
      <c r="Z1438" s="409">
        <v>0.78999999999999992</v>
      </c>
      <c r="AA1438" s="410">
        <f t="shared" si="320"/>
        <v>236620.79999999999</v>
      </c>
      <c r="AB1438" s="411"/>
      <c r="AC1438" s="412">
        <v>0</v>
      </c>
      <c r="AD1438" s="421"/>
      <c r="AE1438" s="413"/>
      <c r="AF1438" s="424">
        <f t="shared" si="321"/>
        <v>236620.79999999999</v>
      </c>
      <c r="AG1438" s="405" t="s">
        <v>1069</v>
      </c>
      <c r="AH1438" s="405"/>
      <c r="AI1438" s="414" t="s">
        <v>1962</v>
      </c>
      <c r="AJ1438" s="405" t="s">
        <v>1968</v>
      </c>
      <c r="AK1438" s="425" t="s">
        <v>1599</v>
      </c>
      <c r="AL1438" s="405">
        <v>97210</v>
      </c>
      <c r="AM1438" s="405" t="s">
        <v>52</v>
      </c>
      <c r="AN1438" s="405"/>
      <c r="AO1438" s="405"/>
      <c r="AP1438" s="417"/>
      <c r="AQ1438" s="417" t="s">
        <v>37</v>
      </c>
      <c r="AR1438" s="417"/>
      <c r="AS1438" s="426"/>
      <c r="AT1438" s="426"/>
      <c r="AU1438" s="409"/>
      <c r="AV1438" s="402">
        <f>U1438</f>
        <v>49204132</v>
      </c>
      <c r="AW1438" s="402" cm="1">
        <f t="array" ref="AW1438">SUM(MID(0&amp;AV1438,LARGE(INDEX(ISNUMBER(--MID(AV1438,ROW($1:$8),1))*ROW($1:$8),),ROW($1:$8))+1,1)*10^ROW($1:$8)/10)</f>
        <v>49204132</v>
      </c>
      <c r="AX1438" s="402" t="str">
        <f>VLOOKUP($AW1438,'Item Master Data'!$A:$F,3,FALSE)</f>
        <v>Q.PEAK DUO BLK G10+/AC</v>
      </c>
      <c r="AY1438" s="402">
        <f>VLOOKUP($AW1438,'Item Master Data'!$A:$F,6,FALSE)</f>
        <v>360</v>
      </c>
      <c r="AZ1438" s="402">
        <f>X1438/BA1438</f>
        <v>32</v>
      </c>
      <c r="BA1438" s="402">
        <f>VLOOKUP(AW1438,'Item Master Data'!$A:$G,7,FALSE)</f>
        <v>26</v>
      </c>
      <c r="BC1438" s="402">
        <f>W1438-AY1438</f>
        <v>0</v>
      </c>
    </row>
    <row r="1439" spans="1:55" s="402" customFormat="1">
      <c r="A1439" s="403"/>
      <c r="B1439" s="445">
        <v>44557</v>
      </c>
      <c r="C1439" s="445">
        <v>44587</v>
      </c>
      <c r="D1439" s="416" t="s">
        <v>1914</v>
      </c>
      <c r="E1439" s="405" t="s">
        <v>1239</v>
      </c>
      <c r="F1439" s="405"/>
      <c r="G1439" s="405">
        <v>2022</v>
      </c>
      <c r="H1439" s="405">
        <v>11</v>
      </c>
      <c r="I1439" s="416"/>
      <c r="J1439" s="406"/>
      <c r="K1439" s="414" t="s">
        <v>2303</v>
      </c>
      <c r="L1439" s="405" t="s">
        <v>2004</v>
      </c>
      <c r="M1439" s="418">
        <v>44545</v>
      </c>
      <c r="N1439" s="418">
        <v>44869</v>
      </c>
      <c r="O1439" s="418"/>
      <c r="P1439" s="406"/>
      <c r="Q1439" s="406"/>
      <c r="R1439" s="406"/>
      <c r="S1439" s="405" t="s">
        <v>1443</v>
      </c>
      <c r="T1439" s="405">
        <v>60</v>
      </c>
      <c r="U1439" s="405">
        <v>49204132</v>
      </c>
      <c r="V1439" s="405" t="s">
        <v>1192</v>
      </c>
      <c r="W1439" s="405">
        <v>360</v>
      </c>
      <c r="X1439" s="407">
        <v>624</v>
      </c>
      <c r="Y1439" s="408">
        <f t="shared" si="315"/>
        <v>224640</v>
      </c>
      <c r="Z1439" s="409">
        <v>0.78999999999999992</v>
      </c>
      <c r="AA1439" s="410">
        <f t="shared" si="320"/>
        <v>177465.59999999998</v>
      </c>
      <c r="AB1439" s="411"/>
      <c r="AC1439" s="412">
        <v>0</v>
      </c>
      <c r="AD1439" s="421"/>
      <c r="AE1439" s="413"/>
      <c r="AF1439" s="424">
        <f t="shared" si="321"/>
        <v>177465.59999999998</v>
      </c>
      <c r="AG1439" s="405" t="s">
        <v>1069</v>
      </c>
      <c r="AH1439" s="405"/>
      <c r="AI1439" s="414" t="s">
        <v>1962</v>
      </c>
      <c r="AJ1439" s="405" t="s">
        <v>1616</v>
      </c>
      <c r="AK1439" s="425" t="s">
        <v>50</v>
      </c>
      <c r="AL1439" s="405">
        <v>93722</v>
      </c>
      <c r="AM1439" s="405" t="s">
        <v>52</v>
      </c>
      <c r="AN1439" s="405"/>
      <c r="AO1439" s="405"/>
      <c r="AP1439" s="417"/>
      <c r="AQ1439" s="417" t="s">
        <v>37</v>
      </c>
      <c r="AR1439" s="417"/>
      <c r="AS1439" s="426"/>
      <c r="AT1439" s="426"/>
      <c r="AU1439" s="409"/>
    </row>
    <row r="1440" spans="1:55" s="402" customFormat="1">
      <c r="A1440" s="403"/>
      <c r="B1440" s="445">
        <v>44557</v>
      </c>
      <c r="C1440" s="445">
        <v>44587</v>
      </c>
      <c r="D1440" s="416" t="s">
        <v>1914</v>
      </c>
      <c r="E1440" s="405" t="s">
        <v>1239</v>
      </c>
      <c r="F1440" s="405"/>
      <c r="G1440" s="405">
        <v>2022</v>
      </c>
      <c r="H1440" s="405">
        <v>11</v>
      </c>
      <c r="I1440" s="416"/>
      <c r="J1440" s="406"/>
      <c r="K1440" s="414" t="s">
        <v>2304</v>
      </c>
      <c r="L1440" s="405" t="s">
        <v>2004</v>
      </c>
      <c r="M1440" s="418">
        <v>44545</v>
      </c>
      <c r="N1440" s="418">
        <v>44882</v>
      </c>
      <c r="O1440" s="418"/>
      <c r="P1440" s="406"/>
      <c r="Q1440" s="406"/>
      <c r="R1440" s="406"/>
      <c r="S1440" s="405" t="s">
        <v>1443</v>
      </c>
      <c r="T1440" s="405">
        <v>60</v>
      </c>
      <c r="U1440" s="405">
        <v>49204132</v>
      </c>
      <c r="V1440" s="405" t="s">
        <v>1192</v>
      </c>
      <c r="W1440" s="405">
        <v>360</v>
      </c>
      <c r="X1440" s="407">
        <v>624</v>
      </c>
      <c r="Y1440" s="408">
        <f t="shared" si="315"/>
        <v>224640</v>
      </c>
      <c r="Z1440" s="409">
        <v>0.78999999999999992</v>
      </c>
      <c r="AA1440" s="410">
        <f t="shared" si="320"/>
        <v>177465.59999999998</v>
      </c>
      <c r="AB1440" s="411"/>
      <c r="AC1440" s="412">
        <v>0</v>
      </c>
      <c r="AD1440" s="421"/>
      <c r="AE1440" s="413"/>
      <c r="AF1440" s="424">
        <f t="shared" si="321"/>
        <v>177465.59999999998</v>
      </c>
      <c r="AG1440" s="405" t="s">
        <v>1069</v>
      </c>
      <c r="AH1440" s="405"/>
      <c r="AI1440" s="414" t="s">
        <v>1962</v>
      </c>
      <c r="AJ1440" s="405" t="s">
        <v>1616</v>
      </c>
      <c r="AK1440" s="425" t="s">
        <v>50</v>
      </c>
      <c r="AL1440" s="405">
        <v>93722</v>
      </c>
      <c r="AM1440" s="405" t="s">
        <v>52</v>
      </c>
      <c r="AN1440" s="405"/>
      <c r="AO1440" s="405"/>
      <c r="AP1440" s="417"/>
      <c r="AQ1440" s="417" t="s">
        <v>37</v>
      </c>
      <c r="AR1440" s="417"/>
      <c r="AS1440" s="426"/>
      <c r="AT1440" s="426"/>
      <c r="AU1440" s="409"/>
    </row>
    <row r="1441" spans="1:55" s="402" customFormat="1">
      <c r="A1441" s="403"/>
      <c r="B1441" s="445">
        <v>44557</v>
      </c>
      <c r="C1441" s="445">
        <v>44587</v>
      </c>
      <c r="D1441" s="416" t="s">
        <v>1914</v>
      </c>
      <c r="E1441" s="405" t="s">
        <v>1239</v>
      </c>
      <c r="F1441" s="405"/>
      <c r="G1441" s="405">
        <v>2022</v>
      </c>
      <c r="H1441" s="405">
        <v>11</v>
      </c>
      <c r="I1441" s="416"/>
      <c r="J1441" s="406"/>
      <c r="K1441" s="414" t="s">
        <v>2305</v>
      </c>
      <c r="L1441" s="405" t="s">
        <v>2004</v>
      </c>
      <c r="M1441" s="418">
        <v>44545</v>
      </c>
      <c r="N1441" s="418">
        <v>44880</v>
      </c>
      <c r="O1441" s="418"/>
      <c r="P1441" s="406"/>
      <c r="Q1441" s="406"/>
      <c r="R1441" s="406"/>
      <c r="S1441" s="405" t="s">
        <v>1443</v>
      </c>
      <c r="T1441" s="405">
        <v>60</v>
      </c>
      <c r="U1441" s="405">
        <v>49204132</v>
      </c>
      <c r="V1441" s="405" t="s">
        <v>1192</v>
      </c>
      <c r="W1441" s="405">
        <v>360</v>
      </c>
      <c r="X1441" s="407">
        <v>624</v>
      </c>
      <c r="Y1441" s="408">
        <f t="shared" si="315"/>
        <v>224640</v>
      </c>
      <c r="Z1441" s="409">
        <v>0.78999999999999992</v>
      </c>
      <c r="AA1441" s="410">
        <f t="shared" si="320"/>
        <v>177465.59999999998</v>
      </c>
      <c r="AB1441" s="411"/>
      <c r="AC1441" s="412">
        <v>0</v>
      </c>
      <c r="AD1441" s="421"/>
      <c r="AE1441" s="413"/>
      <c r="AF1441" s="424">
        <f t="shared" si="321"/>
        <v>177465.59999999998</v>
      </c>
      <c r="AG1441" s="405" t="s">
        <v>1069</v>
      </c>
      <c r="AH1441" s="405"/>
      <c r="AI1441" s="414" t="s">
        <v>1962</v>
      </c>
      <c r="AJ1441" s="405" t="s">
        <v>1969</v>
      </c>
      <c r="AK1441" s="425" t="s">
        <v>1125</v>
      </c>
      <c r="AL1441" s="405">
        <v>85008</v>
      </c>
      <c r="AM1441" s="405" t="s">
        <v>52</v>
      </c>
      <c r="AN1441" s="405"/>
      <c r="AO1441" s="405"/>
      <c r="AP1441" s="417"/>
      <c r="AQ1441" s="417" t="s">
        <v>37</v>
      </c>
      <c r="AR1441" s="417"/>
      <c r="AS1441" s="426"/>
      <c r="AT1441" s="426"/>
      <c r="AU1441" s="409"/>
    </row>
    <row r="1442" spans="1:55" s="402" customFormat="1">
      <c r="A1442" s="403"/>
      <c r="B1442" s="445"/>
      <c r="C1442" s="445"/>
      <c r="D1442" s="416" t="s">
        <v>1914</v>
      </c>
      <c r="E1442" s="405" t="s">
        <v>2120</v>
      </c>
      <c r="F1442" s="405"/>
      <c r="G1442" s="405">
        <v>2022</v>
      </c>
      <c r="H1442" s="405">
        <v>12</v>
      </c>
      <c r="I1442" s="416"/>
      <c r="J1442" s="406"/>
      <c r="K1442" s="414" t="s">
        <v>2306</v>
      </c>
      <c r="L1442" s="405" t="s">
        <v>1514</v>
      </c>
      <c r="M1442" s="418">
        <v>44641</v>
      </c>
      <c r="N1442" s="418">
        <v>44896</v>
      </c>
      <c r="O1442" s="418"/>
      <c r="P1442" s="406"/>
      <c r="Q1442" s="406"/>
      <c r="R1442" s="406"/>
      <c r="S1442" s="405" t="s">
        <v>1443</v>
      </c>
      <c r="T1442" s="405">
        <v>60</v>
      </c>
      <c r="U1442" s="405">
        <v>49403140</v>
      </c>
      <c r="V1442" s="405" t="s">
        <v>973</v>
      </c>
      <c r="W1442" s="405">
        <v>400</v>
      </c>
      <c r="X1442" s="407">
        <v>6144</v>
      </c>
      <c r="Y1442" s="408">
        <f t="shared" si="315"/>
        <v>2457600</v>
      </c>
      <c r="Z1442" s="409">
        <f>220/400</f>
        <v>0.55000000000000004</v>
      </c>
      <c r="AA1442" s="410">
        <f t="shared" si="320"/>
        <v>1351680</v>
      </c>
      <c r="AB1442" s="411"/>
      <c r="AC1442" s="412">
        <f>AB1442*Y1442</f>
        <v>0</v>
      </c>
      <c r="AD1442" s="421"/>
      <c r="AE1442" s="413"/>
      <c r="AF1442" s="424">
        <f t="shared" si="321"/>
        <v>1351680</v>
      </c>
      <c r="AG1442" s="405" t="s">
        <v>1069</v>
      </c>
      <c r="AH1442" s="405"/>
      <c r="AI1442" s="414">
        <v>60</v>
      </c>
      <c r="AJ1442" s="405" t="s">
        <v>1515</v>
      </c>
      <c r="AK1442" s="425" t="s">
        <v>1913</v>
      </c>
      <c r="AL1442" s="405">
        <v>92806</v>
      </c>
      <c r="AM1442" s="405" t="s">
        <v>52</v>
      </c>
      <c r="AN1442" s="405" t="s">
        <v>1071</v>
      </c>
      <c r="AO1442" s="405"/>
      <c r="AP1442" s="417"/>
      <c r="AQ1442" s="417"/>
      <c r="AR1442" s="417" t="s">
        <v>1934</v>
      </c>
      <c r="AS1442" s="426"/>
      <c r="AT1442" s="426"/>
      <c r="AU1442" s="409"/>
    </row>
    <row r="1443" spans="1:55" s="402" customFormat="1">
      <c r="A1443" s="403"/>
      <c r="B1443" s="445"/>
      <c r="C1443" s="445"/>
      <c r="D1443" s="416" t="s">
        <v>1914</v>
      </c>
      <c r="E1443" s="405"/>
      <c r="F1443" s="405"/>
      <c r="G1443" s="405">
        <v>2022</v>
      </c>
      <c r="H1443" s="405">
        <v>12</v>
      </c>
      <c r="I1443" s="416"/>
      <c r="J1443" s="406"/>
      <c r="K1443" s="414" t="s">
        <v>2308</v>
      </c>
      <c r="L1443" s="405" t="s">
        <v>1960</v>
      </c>
      <c r="M1443" s="418">
        <v>44463</v>
      </c>
      <c r="N1443" s="418">
        <v>44627</v>
      </c>
      <c r="O1443" s="418"/>
      <c r="P1443" s="406"/>
      <c r="Q1443" s="406"/>
      <c r="R1443" s="406"/>
      <c r="S1443" s="405" t="s">
        <v>1443</v>
      </c>
      <c r="T1443" s="405">
        <v>60</v>
      </c>
      <c r="U1443" s="405">
        <v>49401139</v>
      </c>
      <c r="V1443" s="405" t="s">
        <v>985</v>
      </c>
      <c r="W1443" s="405">
        <v>395</v>
      </c>
      <c r="X1443" s="407">
        <v>832</v>
      </c>
      <c r="Y1443" s="408">
        <f t="shared" si="315"/>
        <v>328640</v>
      </c>
      <c r="Z1443" s="409">
        <v>0.53</v>
      </c>
      <c r="AA1443" s="410">
        <f t="shared" si="320"/>
        <v>174179.20000000001</v>
      </c>
      <c r="AB1443" s="411"/>
      <c r="AC1443" s="412">
        <v>0</v>
      </c>
      <c r="AD1443" s="421"/>
      <c r="AE1443" s="413"/>
      <c r="AF1443" s="424">
        <f t="shared" si="321"/>
        <v>174179.20000000001</v>
      </c>
      <c r="AG1443" s="405" t="s">
        <v>47</v>
      </c>
      <c r="AH1443" s="405" t="s">
        <v>1963</v>
      </c>
      <c r="AI1443" s="414">
        <v>60</v>
      </c>
      <c r="AJ1443" s="405" t="s">
        <v>1500</v>
      </c>
      <c r="AK1443" s="425" t="s">
        <v>1082</v>
      </c>
      <c r="AL1443" s="405" t="s">
        <v>1989</v>
      </c>
      <c r="AM1443" s="405" t="s">
        <v>52</v>
      </c>
      <c r="AN1443" s="405"/>
      <c r="AO1443" s="405"/>
      <c r="AP1443" s="417"/>
      <c r="AQ1443" s="417"/>
      <c r="AR1443" s="417"/>
      <c r="AS1443" s="426"/>
      <c r="AT1443" s="426"/>
      <c r="AU1443" s="409"/>
    </row>
    <row r="1444" spans="1:55" s="402" customFormat="1">
      <c r="A1444" s="403"/>
      <c r="B1444" s="445"/>
      <c r="C1444" s="445"/>
      <c r="D1444" s="416" t="s">
        <v>1914</v>
      </c>
      <c r="E1444" s="405"/>
      <c r="F1444" s="405"/>
      <c r="G1444" s="405">
        <v>2022</v>
      </c>
      <c r="H1444" s="405">
        <v>12</v>
      </c>
      <c r="I1444" s="416"/>
      <c r="J1444" s="406"/>
      <c r="K1444" s="414" t="s">
        <v>2309</v>
      </c>
      <c r="L1444" s="405" t="s">
        <v>1960</v>
      </c>
      <c r="M1444" s="418">
        <v>44463</v>
      </c>
      <c r="N1444" s="418">
        <v>44641</v>
      </c>
      <c r="O1444" s="418"/>
      <c r="P1444" s="406"/>
      <c r="Q1444" s="406"/>
      <c r="R1444" s="406"/>
      <c r="S1444" s="405" t="s">
        <v>1443</v>
      </c>
      <c r="T1444" s="405">
        <v>60</v>
      </c>
      <c r="U1444" s="405">
        <v>49401139</v>
      </c>
      <c r="V1444" s="405" t="s">
        <v>985</v>
      </c>
      <c r="W1444" s="405">
        <v>395</v>
      </c>
      <c r="X1444" s="407">
        <v>832</v>
      </c>
      <c r="Y1444" s="408">
        <f t="shared" si="315"/>
        <v>328640</v>
      </c>
      <c r="Z1444" s="409">
        <v>0.53</v>
      </c>
      <c r="AA1444" s="410">
        <f t="shared" si="320"/>
        <v>174179.20000000001</v>
      </c>
      <c r="AB1444" s="411"/>
      <c r="AC1444" s="412">
        <v>0</v>
      </c>
      <c r="AD1444" s="421"/>
      <c r="AE1444" s="413"/>
      <c r="AF1444" s="424">
        <f t="shared" si="321"/>
        <v>174179.20000000001</v>
      </c>
      <c r="AG1444" s="405" t="s">
        <v>47</v>
      </c>
      <c r="AH1444" s="405" t="s">
        <v>1963</v>
      </c>
      <c r="AI1444" s="414">
        <v>60</v>
      </c>
      <c r="AJ1444" s="405" t="s">
        <v>1500</v>
      </c>
      <c r="AK1444" s="425" t="s">
        <v>1082</v>
      </c>
      <c r="AL1444" s="405" t="s">
        <v>1989</v>
      </c>
      <c r="AM1444" s="405" t="s">
        <v>52</v>
      </c>
      <c r="AN1444" s="405"/>
      <c r="AO1444" s="405"/>
      <c r="AP1444" s="417"/>
      <c r="AQ1444" s="417"/>
      <c r="AR1444" s="417"/>
      <c r="AS1444" s="426"/>
      <c r="AT1444" s="426"/>
      <c r="AU1444" s="409"/>
    </row>
    <row r="1445" spans="1:55" s="402" customFormat="1">
      <c r="A1445" s="403"/>
      <c r="B1445" s="445"/>
      <c r="C1445" s="445"/>
      <c r="D1445" s="416" t="s">
        <v>1914</v>
      </c>
      <c r="E1445" s="405"/>
      <c r="F1445" s="405"/>
      <c r="G1445" s="405">
        <v>2022</v>
      </c>
      <c r="H1445" s="405">
        <v>12</v>
      </c>
      <c r="I1445" s="416"/>
      <c r="J1445" s="406"/>
      <c r="K1445" s="414" t="s">
        <v>2310</v>
      </c>
      <c r="L1445" s="405" t="s">
        <v>1960</v>
      </c>
      <c r="M1445" s="418">
        <v>44463</v>
      </c>
      <c r="N1445" s="418">
        <v>44663</v>
      </c>
      <c r="O1445" s="418"/>
      <c r="P1445" s="406"/>
      <c r="Q1445" s="406"/>
      <c r="R1445" s="406"/>
      <c r="S1445" s="405" t="s">
        <v>1443</v>
      </c>
      <c r="T1445" s="405">
        <v>60</v>
      </c>
      <c r="U1445" s="405">
        <v>49403139</v>
      </c>
      <c r="V1445" s="405" t="s">
        <v>2311</v>
      </c>
      <c r="W1445" s="405">
        <v>395</v>
      </c>
      <c r="X1445" s="407">
        <v>832</v>
      </c>
      <c r="Y1445" s="408">
        <f t="shared" si="315"/>
        <v>328640</v>
      </c>
      <c r="Z1445" s="409">
        <v>0.53</v>
      </c>
      <c r="AA1445" s="410">
        <f t="shared" si="320"/>
        <v>174179.20000000001</v>
      </c>
      <c r="AB1445" s="411"/>
      <c r="AC1445" s="412">
        <v>0</v>
      </c>
      <c r="AD1445" s="421"/>
      <c r="AE1445" s="413"/>
      <c r="AF1445" s="424">
        <f t="shared" si="321"/>
        <v>174179.20000000001</v>
      </c>
      <c r="AG1445" s="405" t="s">
        <v>47</v>
      </c>
      <c r="AH1445" s="405" t="s">
        <v>1963</v>
      </c>
      <c r="AI1445" s="414">
        <v>60</v>
      </c>
      <c r="AJ1445" s="405" t="s">
        <v>1584</v>
      </c>
      <c r="AK1445" s="425" t="s">
        <v>50</v>
      </c>
      <c r="AL1445" s="405" t="s">
        <v>1966</v>
      </c>
      <c r="AM1445" s="405" t="s">
        <v>52</v>
      </c>
      <c r="AN1445" s="405"/>
      <c r="AO1445" s="405"/>
      <c r="AP1445" s="417"/>
      <c r="AQ1445" s="417"/>
      <c r="AR1445" s="417"/>
      <c r="AS1445" s="426"/>
      <c r="AT1445" s="426"/>
      <c r="AU1445" s="409"/>
    </row>
    <row r="1446" spans="1:55" s="402" customFormat="1">
      <c r="A1446" s="403"/>
      <c r="B1446" s="445"/>
      <c r="C1446" s="445"/>
      <c r="D1446" s="416" t="s">
        <v>1914</v>
      </c>
      <c r="E1446" s="405"/>
      <c r="F1446" s="405"/>
      <c r="G1446" s="405">
        <v>2022</v>
      </c>
      <c r="H1446" s="405">
        <v>12</v>
      </c>
      <c r="I1446" s="416"/>
      <c r="J1446" s="406"/>
      <c r="K1446" s="414" t="s">
        <v>2312</v>
      </c>
      <c r="L1446" s="405" t="s">
        <v>1967</v>
      </c>
      <c r="M1446" s="418">
        <v>44511</v>
      </c>
      <c r="N1446" s="418">
        <v>44564</v>
      </c>
      <c r="O1446" s="418"/>
      <c r="P1446" s="406"/>
      <c r="Q1446" s="406"/>
      <c r="R1446" s="406"/>
      <c r="S1446" s="405" t="s">
        <v>1443</v>
      </c>
      <c r="T1446" s="405">
        <v>60</v>
      </c>
      <c r="U1446" s="405">
        <v>49401140</v>
      </c>
      <c r="V1446" s="405" t="s">
        <v>973</v>
      </c>
      <c r="W1446" s="405">
        <v>400</v>
      </c>
      <c r="X1446" s="407">
        <v>768</v>
      </c>
      <c r="Y1446" s="408">
        <f t="shared" si="315"/>
        <v>307200</v>
      </c>
      <c r="Z1446" s="409">
        <f>210/400</f>
        <v>0.52500000000000002</v>
      </c>
      <c r="AA1446" s="410">
        <f t="shared" si="320"/>
        <v>161280</v>
      </c>
      <c r="AB1446" s="411"/>
      <c r="AC1446" s="412">
        <v>0</v>
      </c>
      <c r="AD1446" s="421"/>
      <c r="AE1446" s="413"/>
      <c r="AF1446" s="424">
        <f t="shared" si="321"/>
        <v>161280</v>
      </c>
      <c r="AG1446" s="405" t="s">
        <v>1069</v>
      </c>
      <c r="AH1446" s="405"/>
      <c r="AI1446" s="414">
        <v>60</v>
      </c>
      <c r="AJ1446" s="405" t="s">
        <v>2053</v>
      </c>
      <c r="AK1446" s="425" t="s">
        <v>1136</v>
      </c>
      <c r="AL1446" s="405">
        <v>78216</v>
      </c>
      <c r="AM1446" s="405" t="s">
        <v>52</v>
      </c>
      <c r="AN1446" s="405"/>
      <c r="AO1446" s="405"/>
      <c r="AP1446" s="417"/>
      <c r="AQ1446" s="417" t="s">
        <v>37</v>
      </c>
      <c r="AR1446" s="417"/>
      <c r="AS1446" s="426"/>
      <c r="AT1446" s="426"/>
      <c r="AU1446" s="409"/>
      <c r="AV1446" s="402">
        <f>U1446</f>
        <v>49401140</v>
      </c>
      <c r="AW1446" s="402" cm="1">
        <f t="array" ref="AW1446">SUM(MID(0&amp;AV1446,LARGE(INDEX(ISNUMBER(--MID(AV1446,ROW($1:$8),1))*ROW($1:$8),),ROW($1:$8))+1,1)*10^ROW($1:$8)/10)</f>
        <v>49401140</v>
      </c>
      <c r="AX1446" s="402" t="str">
        <f>VLOOKUP($AW1446,'Item Master Data'!$A:$F,3,FALSE)</f>
        <v>Q.PEAK DUO BLK ML G10.a+</v>
      </c>
      <c r="AY1446" s="402">
        <f>VLOOKUP($AW1446,'Item Master Data'!$A:$F,6,FALSE)</f>
        <v>400</v>
      </c>
      <c r="AZ1446" s="402">
        <f>X1446/BA1446</f>
        <v>24</v>
      </c>
      <c r="BA1446" s="402">
        <f>VLOOKUP(AW1446,'Item Master Data'!$A:$G,7,FALSE)</f>
        <v>32</v>
      </c>
      <c r="BC1446" s="402">
        <f>W1446-AY1446</f>
        <v>0</v>
      </c>
    </row>
    <row r="1447" spans="1:55" s="402" customFormat="1">
      <c r="A1447" s="403"/>
      <c r="B1447" s="445"/>
      <c r="C1447" s="445"/>
      <c r="D1447" s="416" t="s">
        <v>1914</v>
      </c>
      <c r="E1447" s="405"/>
      <c r="F1447" s="405"/>
      <c r="G1447" s="405">
        <v>2022</v>
      </c>
      <c r="H1447" s="405">
        <v>12</v>
      </c>
      <c r="I1447" s="416"/>
      <c r="J1447" s="406"/>
      <c r="K1447" s="414" t="s">
        <v>2313</v>
      </c>
      <c r="L1447" s="405" t="s">
        <v>1967</v>
      </c>
      <c r="M1447" s="418">
        <v>44511</v>
      </c>
      <c r="N1447" s="418">
        <v>44564</v>
      </c>
      <c r="O1447" s="418"/>
      <c r="P1447" s="406"/>
      <c r="Q1447" s="406"/>
      <c r="R1447" s="406"/>
      <c r="S1447" s="405" t="s">
        <v>1443</v>
      </c>
      <c r="T1447" s="405">
        <v>60</v>
      </c>
      <c r="U1447" s="405">
        <v>49401140</v>
      </c>
      <c r="V1447" s="405" t="s">
        <v>973</v>
      </c>
      <c r="W1447" s="405">
        <v>400</v>
      </c>
      <c r="X1447" s="407">
        <v>768</v>
      </c>
      <c r="Y1447" s="408">
        <f t="shared" si="315"/>
        <v>307200</v>
      </c>
      <c r="Z1447" s="409">
        <f>210/400</f>
        <v>0.52500000000000002</v>
      </c>
      <c r="AA1447" s="410">
        <f t="shared" si="320"/>
        <v>161280</v>
      </c>
      <c r="AB1447" s="411"/>
      <c r="AC1447" s="412">
        <v>0</v>
      </c>
      <c r="AD1447" s="421"/>
      <c r="AE1447" s="413"/>
      <c r="AF1447" s="424">
        <f t="shared" si="321"/>
        <v>161280</v>
      </c>
      <c r="AG1447" s="405" t="s">
        <v>1069</v>
      </c>
      <c r="AH1447" s="405"/>
      <c r="AI1447" s="414">
        <v>60</v>
      </c>
      <c r="AJ1447" s="405" t="s">
        <v>2053</v>
      </c>
      <c r="AK1447" s="425" t="s">
        <v>1136</v>
      </c>
      <c r="AL1447" s="405">
        <v>78216</v>
      </c>
      <c r="AM1447" s="405" t="s">
        <v>52</v>
      </c>
      <c r="AN1447" s="405"/>
      <c r="AO1447" s="405"/>
      <c r="AP1447" s="417"/>
      <c r="AQ1447" s="417" t="s">
        <v>37</v>
      </c>
      <c r="AR1447" s="417"/>
      <c r="AS1447" s="426"/>
      <c r="AT1447" s="426"/>
      <c r="AU1447" s="409"/>
    </row>
    <row r="1448" spans="1:55" s="402" customFormat="1">
      <c r="A1448" s="403"/>
      <c r="B1448" s="445">
        <v>44557</v>
      </c>
      <c r="C1448" s="445"/>
      <c r="D1448" s="416" t="s">
        <v>1914</v>
      </c>
      <c r="E1448" s="405" t="s">
        <v>2218</v>
      </c>
      <c r="F1448" s="405"/>
      <c r="G1448" s="405">
        <v>2022</v>
      </c>
      <c r="H1448" s="405">
        <v>12</v>
      </c>
      <c r="I1448" s="416"/>
      <c r="J1448" s="406"/>
      <c r="K1448" s="414" t="s">
        <v>2314</v>
      </c>
      <c r="L1448" s="405" t="s">
        <v>1967</v>
      </c>
      <c r="M1448" s="418">
        <v>44545</v>
      </c>
      <c r="N1448" s="418">
        <v>44809</v>
      </c>
      <c r="O1448" s="418"/>
      <c r="P1448" s="406"/>
      <c r="Q1448" s="406"/>
      <c r="R1448" s="406"/>
      <c r="S1448" s="405" t="s">
        <v>1443</v>
      </c>
      <c r="T1448" s="405">
        <v>60</v>
      </c>
      <c r="U1448" s="405">
        <v>49401140</v>
      </c>
      <c r="V1448" s="405" t="s">
        <v>2284</v>
      </c>
      <c r="W1448" s="405">
        <v>400</v>
      </c>
      <c r="X1448" s="407">
        <v>768</v>
      </c>
      <c r="Y1448" s="408">
        <f t="shared" si="315"/>
        <v>307200</v>
      </c>
      <c r="Z1448" s="409">
        <v>0.52500000000000002</v>
      </c>
      <c r="AA1448" s="410">
        <f t="shared" si="320"/>
        <v>161280</v>
      </c>
      <c r="AB1448" s="411"/>
      <c r="AC1448" s="412">
        <f t="shared" ref="AC1448:AC1457" si="322">AB1448*Y1448</f>
        <v>0</v>
      </c>
      <c r="AD1448" s="421"/>
      <c r="AE1448" s="413"/>
      <c r="AF1448" s="424">
        <f t="shared" si="321"/>
        <v>161280</v>
      </c>
      <c r="AG1448" s="405" t="s">
        <v>1069</v>
      </c>
      <c r="AH1448" s="405"/>
      <c r="AI1448" s="414">
        <v>60</v>
      </c>
      <c r="AJ1448" s="405" t="s">
        <v>2053</v>
      </c>
      <c r="AK1448" s="425" t="s">
        <v>1136</v>
      </c>
      <c r="AL1448" s="405">
        <v>78216</v>
      </c>
      <c r="AM1448" s="405" t="s">
        <v>52</v>
      </c>
      <c r="AN1448" s="405" t="s">
        <v>1071</v>
      </c>
      <c r="AO1448" s="405"/>
      <c r="AP1448" s="417"/>
      <c r="AQ1448" s="417" t="s">
        <v>37</v>
      </c>
      <c r="AR1448" s="417"/>
      <c r="AS1448" s="426"/>
      <c r="AT1448" s="426"/>
      <c r="AU1448" s="409"/>
      <c r="AV1448" s="402">
        <f t="shared" ref="AV1448:AV1454" si="323">U1448</f>
        <v>49401140</v>
      </c>
      <c r="AW1448" s="402" cm="1">
        <f t="array" ref="AW1448">SUM(MID(0&amp;AV1448,LARGE(INDEX(ISNUMBER(--MID(AV1448,ROW($1:$8),1))*ROW($1:$8),),ROW($1:$8))+1,1)*10^ROW($1:$8)/10)</f>
        <v>49401140</v>
      </c>
      <c r="AX1448" s="402" t="str">
        <f>VLOOKUP($AW1448,'Item Master Data'!$A:$F,3,FALSE)</f>
        <v>Q.PEAK DUO BLK ML G10.a+</v>
      </c>
      <c r="AY1448" s="402">
        <f>VLOOKUP($AW1448,'Item Master Data'!$A:$F,6,FALSE)</f>
        <v>400</v>
      </c>
      <c r="AZ1448" s="402">
        <f t="shared" ref="AZ1448:AZ1454" si="324">X1448/BA1448</f>
        <v>24</v>
      </c>
      <c r="BA1448" s="402">
        <f>VLOOKUP(AW1448,'Item Master Data'!$A:$G,7,FALSE)</f>
        <v>32</v>
      </c>
      <c r="BC1448" s="402">
        <f t="shared" ref="BC1448:BC1454" si="325">W1448-AY1448</f>
        <v>0</v>
      </c>
    </row>
    <row r="1449" spans="1:55" s="402" customFormat="1">
      <c r="A1449" s="403"/>
      <c r="B1449" s="445">
        <v>44557</v>
      </c>
      <c r="C1449" s="445"/>
      <c r="D1449" s="416" t="s">
        <v>1914</v>
      </c>
      <c r="E1449" s="405" t="s">
        <v>2218</v>
      </c>
      <c r="F1449" s="405"/>
      <c r="G1449" s="405">
        <v>2022</v>
      </c>
      <c r="H1449" s="405">
        <v>12</v>
      </c>
      <c r="I1449" s="416"/>
      <c r="J1449" s="406"/>
      <c r="K1449" s="414" t="s">
        <v>2315</v>
      </c>
      <c r="L1449" s="405" t="s">
        <v>1967</v>
      </c>
      <c r="M1449" s="418">
        <v>44545</v>
      </c>
      <c r="N1449" s="418">
        <v>44813</v>
      </c>
      <c r="O1449" s="418"/>
      <c r="P1449" s="406"/>
      <c r="Q1449" s="406"/>
      <c r="R1449" s="406"/>
      <c r="S1449" s="405" t="s">
        <v>1443</v>
      </c>
      <c r="T1449" s="405">
        <v>60</v>
      </c>
      <c r="U1449" s="405">
        <v>49401140</v>
      </c>
      <c r="V1449" s="405" t="s">
        <v>2284</v>
      </c>
      <c r="W1449" s="405">
        <v>400</v>
      </c>
      <c r="X1449" s="407">
        <v>768</v>
      </c>
      <c r="Y1449" s="408">
        <f t="shared" si="315"/>
        <v>307200</v>
      </c>
      <c r="Z1449" s="409">
        <v>0.52500000000000002</v>
      </c>
      <c r="AA1449" s="410">
        <f t="shared" si="320"/>
        <v>161280</v>
      </c>
      <c r="AB1449" s="411"/>
      <c r="AC1449" s="412">
        <f t="shared" si="322"/>
        <v>0</v>
      </c>
      <c r="AD1449" s="421"/>
      <c r="AE1449" s="413"/>
      <c r="AF1449" s="424">
        <f t="shared" si="321"/>
        <v>161280</v>
      </c>
      <c r="AG1449" s="405" t="s">
        <v>1069</v>
      </c>
      <c r="AH1449" s="405"/>
      <c r="AI1449" s="414">
        <v>60</v>
      </c>
      <c r="AJ1449" s="405" t="s">
        <v>2053</v>
      </c>
      <c r="AK1449" s="425" t="s">
        <v>1136</v>
      </c>
      <c r="AL1449" s="405">
        <v>78216</v>
      </c>
      <c r="AM1449" s="405" t="s">
        <v>52</v>
      </c>
      <c r="AN1449" s="405" t="s">
        <v>1071</v>
      </c>
      <c r="AO1449" s="405"/>
      <c r="AP1449" s="417"/>
      <c r="AQ1449" s="417" t="s">
        <v>37</v>
      </c>
      <c r="AR1449" s="417"/>
      <c r="AS1449" s="426"/>
      <c r="AT1449" s="426"/>
      <c r="AU1449" s="409"/>
      <c r="AV1449" s="402">
        <f t="shared" si="323"/>
        <v>49401140</v>
      </c>
      <c r="AW1449" s="402" cm="1">
        <f t="array" ref="AW1449">SUM(MID(0&amp;AV1449,LARGE(INDEX(ISNUMBER(--MID(AV1449,ROW($1:$8),1))*ROW($1:$8),),ROW($1:$8))+1,1)*10^ROW($1:$8)/10)</f>
        <v>49401140</v>
      </c>
      <c r="AX1449" s="402" t="str">
        <f>VLOOKUP($AW1449,'Item Master Data'!$A:$F,3,FALSE)</f>
        <v>Q.PEAK DUO BLK ML G10.a+</v>
      </c>
      <c r="AY1449" s="402">
        <f>VLOOKUP($AW1449,'Item Master Data'!$A:$F,6,FALSE)</f>
        <v>400</v>
      </c>
      <c r="AZ1449" s="402">
        <f t="shared" si="324"/>
        <v>24</v>
      </c>
      <c r="BA1449" s="402">
        <f>VLOOKUP(AW1449,'Item Master Data'!$A:$G,7,FALSE)</f>
        <v>32</v>
      </c>
      <c r="BC1449" s="402">
        <f t="shared" si="325"/>
        <v>0</v>
      </c>
    </row>
    <row r="1450" spans="1:55" s="402" customFormat="1">
      <c r="A1450" s="403"/>
      <c r="B1450" s="445">
        <v>44557</v>
      </c>
      <c r="C1450" s="445"/>
      <c r="D1450" s="416" t="s">
        <v>1914</v>
      </c>
      <c r="E1450" s="405" t="s">
        <v>2218</v>
      </c>
      <c r="F1450" s="405"/>
      <c r="G1450" s="405">
        <v>2022</v>
      </c>
      <c r="H1450" s="405">
        <v>12</v>
      </c>
      <c r="I1450" s="416"/>
      <c r="J1450" s="406"/>
      <c r="K1450" s="414" t="s">
        <v>2316</v>
      </c>
      <c r="L1450" s="405" t="s">
        <v>1967</v>
      </c>
      <c r="M1450" s="418">
        <v>44545</v>
      </c>
      <c r="N1450" s="418">
        <v>44816</v>
      </c>
      <c r="O1450" s="418"/>
      <c r="P1450" s="406"/>
      <c r="Q1450" s="406"/>
      <c r="R1450" s="406"/>
      <c r="S1450" s="405" t="s">
        <v>1443</v>
      </c>
      <c r="T1450" s="405">
        <v>60</v>
      </c>
      <c r="U1450" s="405">
        <v>49401140</v>
      </c>
      <c r="V1450" s="405" t="s">
        <v>2284</v>
      </c>
      <c r="W1450" s="405">
        <v>400</v>
      </c>
      <c r="X1450" s="407">
        <v>768</v>
      </c>
      <c r="Y1450" s="408">
        <f t="shared" si="315"/>
        <v>307200</v>
      </c>
      <c r="Z1450" s="409">
        <v>0.52500000000000002</v>
      </c>
      <c r="AA1450" s="410">
        <f t="shared" si="320"/>
        <v>161280</v>
      </c>
      <c r="AB1450" s="411"/>
      <c r="AC1450" s="412">
        <f t="shared" si="322"/>
        <v>0</v>
      </c>
      <c r="AD1450" s="421"/>
      <c r="AE1450" s="413"/>
      <c r="AF1450" s="424">
        <f t="shared" si="321"/>
        <v>161280</v>
      </c>
      <c r="AG1450" s="405" t="s">
        <v>1069</v>
      </c>
      <c r="AH1450" s="405"/>
      <c r="AI1450" s="414">
        <v>60</v>
      </c>
      <c r="AJ1450" s="405" t="s">
        <v>2053</v>
      </c>
      <c r="AK1450" s="425" t="s">
        <v>1136</v>
      </c>
      <c r="AL1450" s="405">
        <v>78216</v>
      </c>
      <c r="AM1450" s="405" t="s">
        <v>52</v>
      </c>
      <c r="AN1450" s="405" t="s">
        <v>1071</v>
      </c>
      <c r="AO1450" s="405"/>
      <c r="AP1450" s="417"/>
      <c r="AQ1450" s="417" t="s">
        <v>37</v>
      </c>
      <c r="AR1450" s="417"/>
      <c r="AS1450" s="426"/>
      <c r="AT1450" s="426"/>
      <c r="AU1450" s="409"/>
      <c r="AV1450" s="402">
        <f t="shared" si="323"/>
        <v>49401140</v>
      </c>
      <c r="AW1450" s="402" cm="1">
        <f t="array" ref="AW1450">SUM(MID(0&amp;AV1450,LARGE(INDEX(ISNUMBER(--MID(AV1450,ROW($1:$8),1))*ROW($1:$8),),ROW($1:$8))+1,1)*10^ROW($1:$8)/10)</f>
        <v>49401140</v>
      </c>
      <c r="AX1450" s="402" t="str">
        <f>VLOOKUP($AW1450,'Item Master Data'!$A:$F,3,FALSE)</f>
        <v>Q.PEAK DUO BLK ML G10.a+</v>
      </c>
      <c r="AY1450" s="402">
        <f>VLOOKUP($AW1450,'Item Master Data'!$A:$F,6,FALSE)</f>
        <v>400</v>
      </c>
      <c r="AZ1450" s="402">
        <f t="shared" si="324"/>
        <v>24</v>
      </c>
      <c r="BA1450" s="402">
        <f>VLOOKUP(AW1450,'Item Master Data'!$A:$G,7,FALSE)</f>
        <v>32</v>
      </c>
      <c r="BC1450" s="402">
        <f t="shared" si="325"/>
        <v>0</v>
      </c>
    </row>
    <row r="1451" spans="1:55" s="402" customFormat="1">
      <c r="A1451" s="403"/>
      <c r="B1451" s="445">
        <v>44557</v>
      </c>
      <c r="C1451" s="445"/>
      <c r="D1451" s="416" t="s">
        <v>1914</v>
      </c>
      <c r="E1451" s="405" t="s">
        <v>2218</v>
      </c>
      <c r="F1451" s="405"/>
      <c r="G1451" s="405">
        <v>2022</v>
      </c>
      <c r="H1451" s="405">
        <v>12</v>
      </c>
      <c r="I1451" s="416"/>
      <c r="J1451" s="406"/>
      <c r="K1451" s="414" t="s">
        <v>2317</v>
      </c>
      <c r="L1451" s="405" t="s">
        <v>1967</v>
      </c>
      <c r="M1451" s="418">
        <v>44545</v>
      </c>
      <c r="N1451" s="418">
        <v>44819</v>
      </c>
      <c r="O1451" s="418"/>
      <c r="P1451" s="406"/>
      <c r="Q1451" s="406"/>
      <c r="R1451" s="406"/>
      <c r="S1451" s="405" t="s">
        <v>1443</v>
      </c>
      <c r="T1451" s="405">
        <v>60</v>
      </c>
      <c r="U1451" s="405">
        <v>49401140</v>
      </c>
      <c r="V1451" s="405" t="s">
        <v>2284</v>
      </c>
      <c r="W1451" s="405">
        <v>400</v>
      </c>
      <c r="X1451" s="407">
        <v>768</v>
      </c>
      <c r="Y1451" s="408">
        <f t="shared" si="315"/>
        <v>307200</v>
      </c>
      <c r="Z1451" s="409">
        <v>0.52500000000000002</v>
      </c>
      <c r="AA1451" s="410">
        <f t="shared" si="320"/>
        <v>161280</v>
      </c>
      <c r="AB1451" s="411"/>
      <c r="AC1451" s="412">
        <f t="shared" si="322"/>
        <v>0</v>
      </c>
      <c r="AD1451" s="421"/>
      <c r="AE1451" s="413"/>
      <c r="AF1451" s="424">
        <f t="shared" si="321"/>
        <v>161280</v>
      </c>
      <c r="AG1451" s="405" t="s">
        <v>1069</v>
      </c>
      <c r="AH1451" s="405"/>
      <c r="AI1451" s="414">
        <v>60</v>
      </c>
      <c r="AJ1451" s="405" t="s">
        <v>2053</v>
      </c>
      <c r="AK1451" s="425" t="s">
        <v>1136</v>
      </c>
      <c r="AL1451" s="405">
        <v>78216</v>
      </c>
      <c r="AM1451" s="405" t="s">
        <v>52</v>
      </c>
      <c r="AN1451" s="405" t="s">
        <v>1071</v>
      </c>
      <c r="AO1451" s="405"/>
      <c r="AP1451" s="417"/>
      <c r="AQ1451" s="417" t="s">
        <v>37</v>
      </c>
      <c r="AR1451" s="417"/>
      <c r="AS1451" s="426"/>
      <c r="AT1451" s="426"/>
      <c r="AU1451" s="409"/>
      <c r="AV1451" s="402">
        <f t="shared" si="323"/>
        <v>49401140</v>
      </c>
      <c r="AW1451" s="402" cm="1">
        <f t="array" ref="AW1451">SUM(MID(0&amp;AV1451,LARGE(INDEX(ISNUMBER(--MID(AV1451,ROW($1:$8),1))*ROW($1:$8),),ROW($1:$8))+1,1)*10^ROW($1:$8)/10)</f>
        <v>49401140</v>
      </c>
      <c r="AX1451" s="402" t="str">
        <f>VLOOKUP($AW1451,'Item Master Data'!$A:$F,3,FALSE)</f>
        <v>Q.PEAK DUO BLK ML G10.a+</v>
      </c>
      <c r="AY1451" s="402">
        <f>VLOOKUP($AW1451,'Item Master Data'!$A:$F,6,FALSE)</f>
        <v>400</v>
      </c>
      <c r="AZ1451" s="402">
        <f t="shared" si="324"/>
        <v>24</v>
      </c>
      <c r="BA1451" s="402">
        <f>VLOOKUP(AW1451,'Item Master Data'!$A:$G,7,FALSE)</f>
        <v>32</v>
      </c>
      <c r="BC1451" s="402">
        <f t="shared" si="325"/>
        <v>0</v>
      </c>
    </row>
    <row r="1452" spans="1:55" s="402" customFormat="1">
      <c r="A1452" s="403"/>
      <c r="B1452" s="445">
        <v>44557</v>
      </c>
      <c r="C1452" s="445"/>
      <c r="D1452" s="416" t="s">
        <v>1914</v>
      </c>
      <c r="E1452" s="405" t="s">
        <v>2218</v>
      </c>
      <c r="F1452" s="405"/>
      <c r="G1452" s="405">
        <v>2022</v>
      </c>
      <c r="H1452" s="405">
        <v>12</v>
      </c>
      <c r="I1452" s="416"/>
      <c r="J1452" s="406"/>
      <c r="K1452" s="414" t="s">
        <v>2318</v>
      </c>
      <c r="L1452" s="405" t="s">
        <v>1967</v>
      </c>
      <c r="M1452" s="418">
        <v>44545</v>
      </c>
      <c r="N1452" s="418">
        <v>44823</v>
      </c>
      <c r="O1452" s="418"/>
      <c r="P1452" s="406"/>
      <c r="Q1452" s="406"/>
      <c r="R1452" s="406"/>
      <c r="S1452" s="405" t="s">
        <v>1443</v>
      </c>
      <c r="T1452" s="405">
        <v>60</v>
      </c>
      <c r="U1452" s="405">
        <v>49401140</v>
      </c>
      <c r="V1452" s="405" t="s">
        <v>2284</v>
      </c>
      <c r="W1452" s="405">
        <v>400</v>
      </c>
      <c r="X1452" s="407">
        <v>768</v>
      </c>
      <c r="Y1452" s="408">
        <f t="shared" si="315"/>
        <v>307200</v>
      </c>
      <c r="Z1452" s="409">
        <v>0.52500000000000002</v>
      </c>
      <c r="AA1452" s="410">
        <f t="shared" si="320"/>
        <v>161280</v>
      </c>
      <c r="AB1452" s="411"/>
      <c r="AC1452" s="412">
        <f t="shared" si="322"/>
        <v>0</v>
      </c>
      <c r="AD1452" s="421"/>
      <c r="AE1452" s="413"/>
      <c r="AF1452" s="424">
        <f t="shared" si="321"/>
        <v>161280</v>
      </c>
      <c r="AG1452" s="405" t="s">
        <v>1069</v>
      </c>
      <c r="AH1452" s="405"/>
      <c r="AI1452" s="414">
        <v>60</v>
      </c>
      <c r="AJ1452" s="405" t="s">
        <v>2053</v>
      </c>
      <c r="AK1452" s="425" t="s">
        <v>1136</v>
      </c>
      <c r="AL1452" s="405">
        <v>78216</v>
      </c>
      <c r="AM1452" s="405" t="s">
        <v>52</v>
      </c>
      <c r="AN1452" s="405" t="s">
        <v>1071</v>
      </c>
      <c r="AO1452" s="405"/>
      <c r="AP1452" s="417"/>
      <c r="AQ1452" s="417" t="s">
        <v>37</v>
      </c>
      <c r="AR1452" s="417"/>
      <c r="AS1452" s="426"/>
      <c r="AT1452" s="426"/>
      <c r="AU1452" s="409"/>
      <c r="AV1452" s="402">
        <f t="shared" si="323"/>
        <v>49401140</v>
      </c>
      <c r="AW1452" s="402" cm="1">
        <f t="array" ref="AW1452">SUM(MID(0&amp;AV1452,LARGE(INDEX(ISNUMBER(--MID(AV1452,ROW($1:$8),1))*ROW($1:$8),),ROW($1:$8))+1,1)*10^ROW($1:$8)/10)</f>
        <v>49401140</v>
      </c>
      <c r="AX1452" s="402" t="str">
        <f>VLOOKUP($AW1452,'Item Master Data'!$A:$F,3,FALSE)</f>
        <v>Q.PEAK DUO BLK ML G10.a+</v>
      </c>
      <c r="AY1452" s="402">
        <f>VLOOKUP($AW1452,'Item Master Data'!$A:$F,6,FALSE)</f>
        <v>400</v>
      </c>
      <c r="AZ1452" s="402">
        <f t="shared" si="324"/>
        <v>24</v>
      </c>
      <c r="BA1452" s="402">
        <f>VLOOKUP(AW1452,'Item Master Data'!$A:$G,7,FALSE)</f>
        <v>32</v>
      </c>
      <c r="BC1452" s="402">
        <f t="shared" si="325"/>
        <v>0</v>
      </c>
    </row>
    <row r="1453" spans="1:55" s="402" customFormat="1">
      <c r="A1453" s="403"/>
      <c r="B1453" s="445">
        <v>44557</v>
      </c>
      <c r="C1453" s="445"/>
      <c r="D1453" s="416" t="s">
        <v>1914</v>
      </c>
      <c r="E1453" s="405" t="s">
        <v>2218</v>
      </c>
      <c r="F1453" s="405"/>
      <c r="G1453" s="405">
        <v>2022</v>
      </c>
      <c r="H1453" s="405">
        <v>12</v>
      </c>
      <c r="I1453" s="416"/>
      <c r="J1453" s="406"/>
      <c r="K1453" s="414" t="s">
        <v>2319</v>
      </c>
      <c r="L1453" s="405" t="s">
        <v>1967</v>
      </c>
      <c r="M1453" s="418">
        <v>44545</v>
      </c>
      <c r="N1453" s="418">
        <v>44835</v>
      </c>
      <c r="O1453" s="418"/>
      <c r="P1453" s="406"/>
      <c r="Q1453" s="406"/>
      <c r="R1453" s="406"/>
      <c r="S1453" s="405" t="s">
        <v>1443</v>
      </c>
      <c r="T1453" s="405">
        <v>60</v>
      </c>
      <c r="U1453" s="405">
        <v>49401140</v>
      </c>
      <c r="V1453" s="405" t="s">
        <v>2284</v>
      </c>
      <c r="W1453" s="405">
        <v>400</v>
      </c>
      <c r="X1453" s="407">
        <v>768</v>
      </c>
      <c r="Y1453" s="408">
        <f t="shared" si="315"/>
        <v>307200</v>
      </c>
      <c r="Z1453" s="409">
        <v>0.52500000000000002</v>
      </c>
      <c r="AA1453" s="410">
        <f t="shared" si="320"/>
        <v>161280</v>
      </c>
      <c r="AB1453" s="411"/>
      <c r="AC1453" s="412">
        <f t="shared" si="322"/>
        <v>0</v>
      </c>
      <c r="AD1453" s="421"/>
      <c r="AE1453" s="413"/>
      <c r="AF1453" s="424">
        <f t="shared" si="321"/>
        <v>161280</v>
      </c>
      <c r="AG1453" s="405" t="s">
        <v>1069</v>
      </c>
      <c r="AH1453" s="405"/>
      <c r="AI1453" s="414">
        <v>60</v>
      </c>
      <c r="AJ1453" s="405" t="s">
        <v>2053</v>
      </c>
      <c r="AK1453" s="425" t="s">
        <v>1136</v>
      </c>
      <c r="AL1453" s="405">
        <v>78216</v>
      </c>
      <c r="AM1453" s="405" t="s">
        <v>52</v>
      </c>
      <c r="AN1453" s="405" t="s">
        <v>1071</v>
      </c>
      <c r="AO1453" s="405"/>
      <c r="AP1453" s="417"/>
      <c r="AQ1453" s="417" t="s">
        <v>37</v>
      </c>
      <c r="AR1453" s="417"/>
      <c r="AS1453" s="426"/>
      <c r="AT1453" s="426"/>
      <c r="AU1453" s="409"/>
      <c r="AV1453" s="402">
        <f t="shared" si="323"/>
        <v>49401140</v>
      </c>
      <c r="AW1453" s="402" cm="1">
        <f t="array" ref="AW1453">SUM(MID(0&amp;AV1453,LARGE(INDEX(ISNUMBER(--MID(AV1453,ROW($1:$8),1))*ROW($1:$8),),ROW($1:$8))+1,1)*10^ROW($1:$8)/10)</f>
        <v>49401140</v>
      </c>
      <c r="AX1453" s="402" t="str">
        <f>VLOOKUP($AW1453,'Item Master Data'!$A:$F,3,FALSE)</f>
        <v>Q.PEAK DUO BLK ML G10.a+</v>
      </c>
      <c r="AY1453" s="402">
        <f>VLOOKUP($AW1453,'Item Master Data'!$A:$F,6,FALSE)</f>
        <v>400</v>
      </c>
      <c r="AZ1453" s="402">
        <f t="shared" si="324"/>
        <v>24</v>
      </c>
      <c r="BA1453" s="402">
        <f>VLOOKUP(AW1453,'Item Master Data'!$A:$G,7,FALSE)</f>
        <v>32</v>
      </c>
      <c r="BC1453" s="402">
        <f t="shared" si="325"/>
        <v>0</v>
      </c>
    </row>
    <row r="1454" spans="1:55" s="402" customFormat="1">
      <c r="A1454" s="403"/>
      <c r="B1454" s="445">
        <v>44557</v>
      </c>
      <c r="C1454" s="445"/>
      <c r="D1454" s="416" t="s">
        <v>1914</v>
      </c>
      <c r="E1454" s="405" t="s">
        <v>2218</v>
      </c>
      <c r="F1454" s="405"/>
      <c r="G1454" s="405">
        <v>2022</v>
      </c>
      <c r="H1454" s="405">
        <v>12</v>
      </c>
      <c r="I1454" s="416"/>
      <c r="J1454" s="406"/>
      <c r="K1454" s="414" t="s">
        <v>2320</v>
      </c>
      <c r="L1454" s="405" t="s">
        <v>1967</v>
      </c>
      <c r="M1454" s="418">
        <v>44545</v>
      </c>
      <c r="N1454" s="418">
        <v>44837</v>
      </c>
      <c r="O1454" s="418"/>
      <c r="P1454" s="406"/>
      <c r="Q1454" s="406"/>
      <c r="R1454" s="406"/>
      <c r="S1454" s="405" t="s">
        <v>1443</v>
      </c>
      <c r="T1454" s="405">
        <v>60</v>
      </c>
      <c r="U1454" s="405">
        <v>49401140</v>
      </c>
      <c r="V1454" s="405" t="s">
        <v>2284</v>
      </c>
      <c r="W1454" s="405">
        <v>400</v>
      </c>
      <c r="X1454" s="407">
        <v>768</v>
      </c>
      <c r="Y1454" s="408">
        <f t="shared" si="315"/>
        <v>307200</v>
      </c>
      <c r="Z1454" s="409">
        <v>0.52500000000000002</v>
      </c>
      <c r="AA1454" s="410">
        <f t="shared" si="320"/>
        <v>161280</v>
      </c>
      <c r="AB1454" s="411"/>
      <c r="AC1454" s="412">
        <f t="shared" si="322"/>
        <v>0</v>
      </c>
      <c r="AD1454" s="421"/>
      <c r="AE1454" s="413"/>
      <c r="AF1454" s="424">
        <f t="shared" si="321"/>
        <v>161280</v>
      </c>
      <c r="AG1454" s="405" t="s">
        <v>1069</v>
      </c>
      <c r="AH1454" s="405"/>
      <c r="AI1454" s="414">
        <v>60</v>
      </c>
      <c r="AJ1454" s="405" t="s">
        <v>2053</v>
      </c>
      <c r="AK1454" s="425" t="s">
        <v>1136</v>
      </c>
      <c r="AL1454" s="405">
        <v>78216</v>
      </c>
      <c r="AM1454" s="405" t="s">
        <v>52</v>
      </c>
      <c r="AN1454" s="405" t="s">
        <v>1071</v>
      </c>
      <c r="AO1454" s="405"/>
      <c r="AP1454" s="417"/>
      <c r="AQ1454" s="417" t="s">
        <v>37</v>
      </c>
      <c r="AR1454" s="417"/>
      <c r="AS1454" s="426"/>
      <c r="AT1454" s="426"/>
      <c r="AU1454" s="409"/>
      <c r="AV1454" s="402">
        <f t="shared" si="323"/>
        <v>49401140</v>
      </c>
      <c r="AW1454" s="402" cm="1">
        <f t="array" ref="AW1454">SUM(MID(0&amp;AV1454,LARGE(INDEX(ISNUMBER(--MID(AV1454,ROW($1:$8),1))*ROW($1:$8),),ROW($1:$8))+1,1)*10^ROW($1:$8)/10)</f>
        <v>49401140</v>
      </c>
      <c r="AX1454" s="402" t="str">
        <f>VLOOKUP($AW1454,'Item Master Data'!$A:$F,3,FALSE)</f>
        <v>Q.PEAK DUO BLK ML G10.a+</v>
      </c>
      <c r="AY1454" s="402">
        <f>VLOOKUP($AW1454,'Item Master Data'!$A:$F,6,FALSE)</f>
        <v>400</v>
      </c>
      <c r="AZ1454" s="402">
        <f t="shared" si="324"/>
        <v>24</v>
      </c>
      <c r="BA1454" s="402">
        <f>VLOOKUP(AW1454,'Item Master Data'!$A:$G,7,FALSE)</f>
        <v>32</v>
      </c>
      <c r="BC1454" s="402">
        <f t="shared" si="325"/>
        <v>0</v>
      </c>
    </row>
    <row r="1455" spans="1:55" s="402" customFormat="1">
      <c r="A1455" s="403"/>
      <c r="B1455" s="445">
        <v>44557</v>
      </c>
      <c r="C1455" s="445"/>
      <c r="D1455" s="416" t="s">
        <v>1914</v>
      </c>
      <c r="E1455" s="405" t="s">
        <v>2218</v>
      </c>
      <c r="F1455" s="405"/>
      <c r="G1455" s="405">
        <v>2022</v>
      </c>
      <c r="H1455" s="405">
        <v>12</v>
      </c>
      <c r="I1455" s="416"/>
      <c r="J1455" s="406"/>
      <c r="K1455" s="414" t="s">
        <v>2321</v>
      </c>
      <c r="L1455" s="405" t="s">
        <v>1967</v>
      </c>
      <c r="M1455" s="418">
        <v>44545</v>
      </c>
      <c r="N1455" s="418">
        <v>44840</v>
      </c>
      <c r="O1455" s="418"/>
      <c r="P1455" s="406"/>
      <c r="Q1455" s="406"/>
      <c r="R1455" s="406"/>
      <c r="S1455" s="405" t="s">
        <v>1443</v>
      </c>
      <c r="T1455" s="405">
        <v>60</v>
      </c>
      <c r="U1455" s="405">
        <v>49401140</v>
      </c>
      <c r="V1455" s="405" t="s">
        <v>2284</v>
      </c>
      <c r="W1455" s="405">
        <v>400</v>
      </c>
      <c r="X1455" s="407">
        <v>768</v>
      </c>
      <c r="Y1455" s="408">
        <f t="shared" si="315"/>
        <v>307200</v>
      </c>
      <c r="Z1455" s="409">
        <v>0.52500000000000002</v>
      </c>
      <c r="AA1455" s="410">
        <f t="shared" si="320"/>
        <v>161280</v>
      </c>
      <c r="AB1455" s="411"/>
      <c r="AC1455" s="412">
        <f t="shared" si="322"/>
        <v>0</v>
      </c>
      <c r="AD1455" s="421"/>
      <c r="AE1455" s="413"/>
      <c r="AF1455" s="424">
        <f t="shared" si="321"/>
        <v>161280</v>
      </c>
      <c r="AG1455" s="405" t="s">
        <v>1069</v>
      </c>
      <c r="AH1455" s="405"/>
      <c r="AI1455" s="414">
        <v>60</v>
      </c>
      <c r="AJ1455" s="405" t="s">
        <v>2053</v>
      </c>
      <c r="AK1455" s="425" t="s">
        <v>1136</v>
      </c>
      <c r="AL1455" s="405">
        <v>78216</v>
      </c>
      <c r="AM1455" s="405" t="s">
        <v>52</v>
      </c>
      <c r="AN1455" s="405" t="s">
        <v>1071</v>
      </c>
      <c r="AO1455" s="405"/>
      <c r="AP1455" s="417"/>
      <c r="AQ1455" s="417" t="s">
        <v>37</v>
      </c>
      <c r="AR1455" s="417"/>
      <c r="AS1455" s="426"/>
      <c r="AT1455" s="426"/>
      <c r="AU1455" s="409"/>
    </row>
    <row r="1456" spans="1:55" s="402" customFormat="1">
      <c r="A1456" s="403"/>
      <c r="B1456" s="445">
        <v>44557</v>
      </c>
      <c r="C1456" s="445"/>
      <c r="D1456" s="416" t="s">
        <v>1914</v>
      </c>
      <c r="E1456" s="405" t="s">
        <v>2218</v>
      </c>
      <c r="F1456" s="405"/>
      <c r="G1456" s="405">
        <v>2022</v>
      </c>
      <c r="H1456" s="405">
        <v>12</v>
      </c>
      <c r="I1456" s="416"/>
      <c r="J1456" s="406"/>
      <c r="K1456" s="414" t="s">
        <v>2322</v>
      </c>
      <c r="L1456" s="405" t="s">
        <v>1967</v>
      </c>
      <c r="M1456" s="418">
        <v>44545</v>
      </c>
      <c r="N1456" s="418">
        <v>44844</v>
      </c>
      <c r="O1456" s="418"/>
      <c r="P1456" s="406"/>
      <c r="Q1456" s="406"/>
      <c r="R1456" s="406"/>
      <c r="S1456" s="405" t="s">
        <v>1443</v>
      </c>
      <c r="T1456" s="405">
        <v>60</v>
      </c>
      <c r="U1456" s="405">
        <v>49401140</v>
      </c>
      <c r="V1456" s="405" t="s">
        <v>2284</v>
      </c>
      <c r="W1456" s="405">
        <v>400</v>
      </c>
      <c r="X1456" s="407">
        <v>768</v>
      </c>
      <c r="Y1456" s="408">
        <f t="shared" si="315"/>
        <v>307200</v>
      </c>
      <c r="Z1456" s="409">
        <v>0.52500000000000002</v>
      </c>
      <c r="AA1456" s="410">
        <f t="shared" si="320"/>
        <v>161280</v>
      </c>
      <c r="AB1456" s="411"/>
      <c r="AC1456" s="412">
        <f t="shared" si="322"/>
        <v>0</v>
      </c>
      <c r="AD1456" s="421"/>
      <c r="AE1456" s="413"/>
      <c r="AF1456" s="424">
        <f t="shared" si="321"/>
        <v>161280</v>
      </c>
      <c r="AG1456" s="405" t="s">
        <v>1069</v>
      </c>
      <c r="AH1456" s="405"/>
      <c r="AI1456" s="414">
        <v>60</v>
      </c>
      <c r="AJ1456" s="405" t="s">
        <v>2053</v>
      </c>
      <c r="AK1456" s="425" t="s">
        <v>1136</v>
      </c>
      <c r="AL1456" s="405">
        <v>78216</v>
      </c>
      <c r="AM1456" s="405" t="s">
        <v>52</v>
      </c>
      <c r="AN1456" s="405" t="s">
        <v>1071</v>
      </c>
      <c r="AO1456" s="405"/>
      <c r="AP1456" s="417"/>
      <c r="AQ1456" s="417" t="s">
        <v>37</v>
      </c>
      <c r="AR1456" s="417"/>
      <c r="AS1456" s="426"/>
      <c r="AT1456" s="426"/>
      <c r="AU1456" s="409"/>
    </row>
    <row r="1457" spans="1:55" s="402" customFormat="1">
      <c r="A1457" s="403"/>
      <c r="B1457" s="445">
        <v>44557</v>
      </c>
      <c r="C1457" s="445"/>
      <c r="D1457" s="416" t="s">
        <v>1914</v>
      </c>
      <c r="E1457" s="405" t="s">
        <v>2218</v>
      </c>
      <c r="F1457" s="405"/>
      <c r="G1457" s="405">
        <v>2022</v>
      </c>
      <c r="H1457" s="405">
        <v>12</v>
      </c>
      <c r="I1457" s="416"/>
      <c r="J1457" s="406"/>
      <c r="K1457" s="414" t="s">
        <v>2323</v>
      </c>
      <c r="L1457" s="405" t="s">
        <v>1967</v>
      </c>
      <c r="M1457" s="418">
        <v>44545</v>
      </c>
      <c r="N1457" s="418">
        <v>44850</v>
      </c>
      <c r="O1457" s="418"/>
      <c r="P1457" s="406"/>
      <c r="Q1457" s="406"/>
      <c r="R1457" s="406"/>
      <c r="S1457" s="405" t="s">
        <v>1443</v>
      </c>
      <c r="T1457" s="405">
        <v>60</v>
      </c>
      <c r="U1457" s="405">
        <v>49401140</v>
      </c>
      <c r="V1457" s="405" t="s">
        <v>2284</v>
      </c>
      <c r="W1457" s="405">
        <v>400</v>
      </c>
      <c r="X1457" s="407">
        <v>768</v>
      </c>
      <c r="Y1457" s="408">
        <f t="shared" si="315"/>
        <v>307200</v>
      </c>
      <c r="Z1457" s="409">
        <v>0.52500000000000002</v>
      </c>
      <c r="AA1457" s="410">
        <f t="shared" si="320"/>
        <v>161280</v>
      </c>
      <c r="AB1457" s="411"/>
      <c r="AC1457" s="412">
        <f t="shared" si="322"/>
        <v>0</v>
      </c>
      <c r="AD1457" s="421"/>
      <c r="AE1457" s="413"/>
      <c r="AF1457" s="424">
        <f t="shared" si="321"/>
        <v>161280</v>
      </c>
      <c r="AG1457" s="405" t="s">
        <v>1069</v>
      </c>
      <c r="AH1457" s="405"/>
      <c r="AI1457" s="414">
        <v>60</v>
      </c>
      <c r="AJ1457" s="405" t="s">
        <v>2053</v>
      </c>
      <c r="AK1457" s="425" t="s">
        <v>1136</v>
      </c>
      <c r="AL1457" s="405">
        <v>78216</v>
      </c>
      <c r="AM1457" s="405" t="s">
        <v>52</v>
      </c>
      <c r="AN1457" s="405" t="s">
        <v>1071</v>
      </c>
      <c r="AO1457" s="405"/>
      <c r="AP1457" s="417"/>
      <c r="AQ1457" s="417" t="s">
        <v>37</v>
      </c>
      <c r="AR1457" s="417"/>
      <c r="AS1457" s="426"/>
      <c r="AT1457" s="426"/>
      <c r="AU1457" s="409"/>
    </row>
    <row r="1458" spans="1:55" s="402" customFormat="1">
      <c r="A1458" s="403"/>
      <c r="B1458" s="445">
        <v>44636</v>
      </c>
      <c r="C1458" s="445">
        <v>44636</v>
      </c>
      <c r="D1458" s="416" t="s">
        <v>1914</v>
      </c>
      <c r="E1458" s="405" t="s">
        <v>4256</v>
      </c>
      <c r="F1458" s="405"/>
      <c r="G1458" s="405">
        <v>2022</v>
      </c>
      <c r="H1458" s="405">
        <v>12</v>
      </c>
      <c r="I1458" s="416"/>
      <c r="J1458" s="406"/>
      <c r="K1458" s="414" t="s">
        <v>2324</v>
      </c>
      <c r="L1458" s="405" t="s">
        <v>1967</v>
      </c>
      <c r="M1458" s="418">
        <v>44636</v>
      </c>
      <c r="N1458" s="418">
        <v>44902</v>
      </c>
      <c r="O1458" s="418"/>
      <c r="P1458" s="406"/>
      <c r="Q1458" s="406"/>
      <c r="R1458" s="406"/>
      <c r="S1458" s="405" t="s">
        <v>1443</v>
      </c>
      <c r="T1458" s="405">
        <v>72</v>
      </c>
      <c r="U1458" s="405"/>
      <c r="V1458" s="405" t="s">
        <v>1100</v>
      </c>
      <c r="W1458" s="405">
        <v>480</v>
      </c>
      <c r="X1458" s="407">
        <v>696</v>
      </c>
      <c r="Y1458" s="408">
        <f t="shared" si="315"/>
        <v>334080</v>
      </c>
      <c r="Z1458" s="409">
        <f>237.6/480</f>
        <v>0.495</v>
      </c>
      <c r="AA1458" s="410">
        <f t="shared" si="320"/>
        <v>165369.60000000001</v>
      </c>
      <c r="AB1458" s="411"/>
      <c r="AC1458" s="412">
        <v>0</v>
      </c>
      <c r="AD1458" s="421"/>
      <c r="AE1458" s="413"/>
      <c r="AF1458" s="424">
        <f t="shared" si="321"/>
        <v>165369.60000000001</v>
      </c>
      <c r="AG1458" s="405" t="s">
        <v>1069</v>
      </c>
      <c r="AH1458" s="405"/>
      <c r="AI1458" s="414">
        <v>60</v>
      </c>
      <c r="AJ1458" s="405" t="s">
        <v>1584</v>
      </c>
      <c r="AK1458" s="425" t="s">
        <v>50</v>
      </c>
      <c r="AL1458" s="405">
        <v>95834</v>
      </c>
      <c r="AM1458" s="405" t="s">
        <v>52</v>
      </c>
      <c r="AN1458" s="405" t="s">
        <v>1071</v>
      </c>
      <c r="AO1458" s="405"/>
      <c r="AP1458" s="417"/>
      <c r="AQ1458" s="417" t="s">
        <v>37</v>
      </c>
      <c r="AR1458" s="417"/>
      <c r="AS1458" s="426"/>
      <c r="AT1458" s="426"/>
      <c r="AU1458" s="409"/>
    </row>
    <row r="1459" spans="1:55" s="402" customFormat="1">
      <c r="A1459" s="403"/>
      <c r="B1459" s="445"/>
      <c r="C1459" s="445"/>
      <c r="D1459" s="416" t="s">
        <v>1914</v>
      </c>
      <c r="E1459" s="405" t="s">
        <v>1239</v>
      </c>
      <c r="F1459" s="405"/>
      <c r="G1459" s="405">
        <v>2022</v>
      </c>
      <c r="H1459" s="405">
        <v>12</v>
      </c>
      <c r="I1459" s="416"/>
      <c r="J1459" s="406"/>
      <c r="K1459" s="414" t="s">
        <v>2325</v>
      </c>
      <c r="L1459" s="405" t="s">
        <v>1967</v>
      </c>
      <c r="M1459" s="418">
        <v>44545</v>
      </c>
      <c r="N1459" s="418">
        <v>44778</v>
      </c>
      <c r="O1459" s="418"/>
      <c r="P1459" s="406"/>
      <c r="Q1459" s="406"/>
      <c r="R1459" s="406"/>
      <c r="S1459" s="405" t="s">
        <v>1443</v>
      </c>
      <c r="T1459" s="405">
        <v>60</v>
      </c>
      <c r="U1459" s="405">
        <v>49401140</v>
      </c>
      <c r="V1459" s="405" t="s">
        <v>973</v>
      </c>
      <c r="W1459" s="405">
        <v>400</v>
      </c>
      <c r="X1459" s="407">
        <v>768</v>
      </c>
      <c r="Y1459" s="408">
        <f t="shared" si="315"/>
        <v>307200</v>
      </c>
      <c r="Z1459" s="409">
        <f>210/400</f>
        <v>0.52500000000000002</v>
      </c>
      <c r="AA1459" s="410">
        <f t="shared" si="320"/>
        <v>161280</v>
      </c>
      <c r="AB1459" s="411"/>
      <c r="AC1459" s="412">
        <v>0</v>
      </c>
      <c r="AD1459" s="421"/>
      <c r="AE1459" s="413"/>
      <c r="AF1459" s="424">
        <f t="shared" si="321"/>
        <v>161280</v>
      </c>
      <c r="AG1459" s="405" t="s">
        <v>1069</v>
      </c>
      <c r="AH1459" s="405"/>
      <c r="AI1459" s="414" t="s">
        <v>1962</v>
      </c>
      <c r="AJ1459" s="405" t="s">
        <v>1924</v>
      </c>
      <c r="AK1459" s="425" t="s">
        <v>50</v>
      </c>
      <c r="AL1459" s="405">
        <v>90620</v>
      </c>
      <c r="AM1459" s="405" t="s">
        <v>52</v>
      </c>
      <c r="AN1459" s="405"/>
      <c r="AO1459" s="405"/>
      <c r="AP1459" s="417"/>
      <c r="AQ1459" s="417" t="s">
        <v>37</v>
      </c>
      <c r="AR1459" s="417"/>
      <c r="AS1459" s="426"/>
      <c r="AT1459" s="426"/>
      <c r="AU1459" s="409"/>
    </row>
    <row r="1460" spans="1:55" s="402" customFormat="1">
      <c r="A1460" s="403"/>
      <c r="B1460" s="445">
        <v>44557</v>
      </c>
      <c r="C1460" s="445">
        <v>44587</v>
      </c>
      <c r="D1460" s="416" t="s">
        <v>1914</v>
      </c>
      <c r="E1460" s="405" t="s">
        <v>1239</v>
      </c>
      <c r="F1460" s="405"/>
      <c r="G1460" s="405">
        <v>2022</v>
      </c>
      <c r="H1460" s="405">
        <v>12</v>
      </c>
      <c r="I1460" s="416"/>
      <c r="J1460" s="406"/>
      <c r="K1460" s="414" t="s">
        <v>2326</v>
      </c>
      <c r="L1460" s="405" t="s">
        <v>2004</v>
      </c>
      <c r="M1460" s="418">
        <v>44545</v>
      </c>
      <c r="N1460" s="418">
        <v>44910</v>
      </c>
      <c r="O1460" s="418"/>
      <c r="P1460" s="406"/>
      <c r="Q1460" s="406"/>
      <c r="R1460" s="406"/>
      <c r="S1460" s="405" t="s">
        <v>1443</v>
      </c>
      <c r="T1460" s="405">
        <v>60</v>
      </c>
      <c r="U1460" s="405">
        <v>49204132</v>
      </c>
      <c r="V1460" s="405" t="s">
        <v>1192</v>
      </c>
      <c r="W1460" s="405">
        <v>360</v>
      </c>
      <c r="X1460" s="407">
        <v>832</v>
      </c>
      <c r="Y1460" s="408">
        <f t="shared" si="315"/>
        <v>299520</v>
      </c>
      <c r="Z1460" s="409">
        <v>0.78999999999999992</v>
      </c>
      <c r="AA1460" s="410">
        <f t="shared" si="320"/>
        <v>236620.79999999999</v>
      </c>
      <c r="AB1460" s="411"/>
      <c r="AC1460" s="412">
        <v>0</v>
      </c>
      <c r="AD1460" s="421"/>
      <c r="AE1460" s="413"/>
      <c r="AF1460" s="424">
        <f t="shared" si="321"/>
        <v>236620.79999999999</v>
      </c>
      <c r="AG1460" s="405" t="s">
        <v>1069</v>
      </c>
      <c r="AH1460" s="405"/>
      <c r="AI1460" s="414" t="s">
        <v>1962</v>
      </c>
      <c r="AJ1460" s="405" t="s">
        <v>1968</v>
      </c>
      <c r="AK1460" s="425" t="s">
        <v>1599</v>
      </c>
      <c r="AL1460" s="405">
        <v>97210</v>
      </c>
      <c r="AM1460" s="405" t="s">
        <v>52</v>
      </c>
      <c r="AN1460" s="405"/>
      <c r="AO1460" s="405"/>
      <c r="AP1460" s="417"/>
      <c r="AQ1460" s="417" t="s">
        <v>37</v>
      </c>
      <c r="AR1460" s="417"/>
      <c r="AS1460" s="426"/>
      <c r="AT1460" s="426"/>
      <c r="AU1460" s="409"/>
    </row>
    <row r="1461" spans="1:55" s="402" customFormat="1">
      <c r="A1461" s="403"/>
      <c r="B1461" s="445">
        <v>44557</v>
      </c>
      <c r="C1461" s="445">
        <v>44587</v>
      </c>
      <c r="D1461" s="416" t="s">
        <v>1914</v>
      </c>
      <c r="E1461" s="405" t="s">
        <v>1239</v>
      </c>
      <c r="F1461" s="405"/>
      <c r="G1461" s="405">
        <v>2022</v>
      </c>
      <c r="H1461" s="405">
        <v>12</v>
      </c>
      <c r="I1461" s="416"/>
      <c r="J1461" s="406"/>
      <c r="K1461" s="414" t="s">
        <v>2327</v>
      </c>
      <c r="L1461" s="405" t="s">
        <v>2004</v>
      </c>
      <c r="M1461" s="418">
        <v>44545</v>
      </c>
      <c r="N1461" s="418">
        <v>44905</v>
      </c>
      <c r="O1461" s="418"/>
      <c r="P1461" s="406"/>
      <c r="Q1461" s="406"/>
      <c r="R1461" s="406"/>
      <c r="S1461" s="405" t="s">
        <v>1443</v>
      </c>
      <c r="T1461" s="405">
        <v>60</v>
      </c>
      <c r="U1461" s="405">
        <v>49204132</v>
      </c>
      <c r="V1461" s="405" t="s">
        <v>1192</v>
      </c>
      <c r="W1461" s="405">
        <v>360</v>
      </c>
      <c r="X1461" s="407">
        <v>832</v>
      </c>
      <c r="Y1461" s="408">
        <f t="shared" si="315"/>
        <v>299520</v>
      </c>
      <c r="Z1461" s="409">
        <v>0.78999999999999992</v>
      </c>
      <c r="AA1461" s="410">
        <f t="shared" si="320"/>
        <v>236620.79999999999</v>
      </c>
      <c r="AB1461" s="411"/>
      <c r="AC1461" s="412">
        <v>0</v>
      </c>
      <c r="AD1461" s="421"/>
      <c r="AE1461" s="413"/>
      <c r="AF1461" s="424">
        <f t="shared" si="321"/>
        <v>236620.79999999999</v>
      </c>
      <c r="AG1461" s="405" t="s">
        <v>1069</v>
      </c>
      <c r="AH1461" s="405"/>
      <c r="AI1461" s="414" t="s">
        <v>1962</v>
      </c>
      <c r="AJ1461" s="405" t="s">
        <v>1968</v>
      </c>
      <c r="AK1461" s="425" t="s">
        <v>1599</v>
      </c>
      <c r="AL1461" s="405">
        <v>97210</v>
      </c>
      <c r="AM1461" s="405" t="s">
        <v>52</v>
      </c>
      <c r="AN1461" s="405"/>
      <c r="AO1461" s="405"/>
      <c r="AP1461" s="417"/>
      <c r="AQ1461" s="417" t="s">
        <v>37</v>
      </c>
      <c r="AR1461" s="417"/>
      <c r="AS1461" s="426"/>
      <c r="AT1461" s="426"/>
      <c r="AU1461" s="409"/>
    </row>
    <row r="1462" spans="1:55" s="402" customFormat="1">
      <c r="A1462" s="403"/>
      <c r="B1462" s="445">
        <v>44557</v>
      </c>
      <c r="C1462" s="445">
        <v>44587</v>
      </c>
      <c r="D1462" s="416" t="s">
        <v>1914</v>
      </c>
      <c r="E1462" s="405" t="s">
        <v>1239</v>
      </c>
      <c r="F1462" s="405"/>
      <c r="G1462" s="405">
        <v>2022</v>
      </c>
      <c r="H1462" s="405">
        <v>12</v>
      </c>
      <c r="I1462" s="416"/>
      <c r="J1462" s="406"/>
      <c r="K1462" s="414" t="s">
        <v>2328</v>
      </c>
      <c r="L1462" s="405" t="s">
        <v>2004</v>
      </c>
      <c r="M1462" s="418">
        <v>44545</v>
      </c>
      <c r="N1462" s="418">
        <v>44899</v>
      </c>
      <c r="O1462" s="418"/>
      <c r="P1462" s="406"/>
      <c r="Q1462" s="406"/>
      <c r="R1462" s="406"/>
      <c r="S1462" s="405" t="s">
        <v>1443</v>
      </c>
      <c r="T1462" s="405">
        <v>60</v>
      </c>
      <c r="U1462" s="405">
        <v>49204132</v>
      </c>
      <c r="V1462" s="405" t="s">
        <v>1192</v>
      </c>
      <c r="W1462" s="405">
        <v>360</v>
      </c>
      <c r="X1462" s="407">
        <v>624</v>
      </c>
      <c r="Y1462" s="408">
        <f t="shared" si="315"/>
        <v>224640</v>
      </c>
      <c r="Z1462" s="409">
        <v>0.78999999999999992</v>
      </c>
      <c r="AA1462" s="410">
        <f t="shared" si="320"/>
        <v>177465.59999999998</v>
      </c>
      <c r="AB1462" s="411"/>
      <c r="AC1462" s="412">
        <v>0</v>
      </c>
      <c r="AD1462" s="421"/>
      <c r="AE1462" s="413"/>
      <c r="AF1462" s="424">
        <f t="shared" si="321"/>
        <v>177465.59999999998</v>
      </c>
      <c r="AG1462" s="405" t="s">
        <v>1069</v>
      </c>
      <c r="AH1462" s="405"/>
      <c r="AI1462" s="414" t="s">
        <v>1962</v>
      </c>
      <c r="AJ1462" s="405" t="s">
        <v>1616</v>
      </c>
      <c r="AK1462" s="425" t="s">
        <v>50</v>
      </c>
      <c r="AL1462" s="405">
        <v>93722</v>
      </c>
      <c r="AM1462" s="405" t="s">
        <v>52</v>
      </c>
      <c r="AN1462" s="405"/>
      <c r="AO1462" s="405"/>
      <c r="AP1462" s="417"/>
      <c r="AQ1462" s="417" t="s">
        <v>37</v>
      </c>
      <c r="AR1462" s="417"/>
      <c r="AS1462" s="426"/>
      <c r="AT1462" s="426"/>
      <c r="AU1462" s="409"/>
    </row>
    <row r="1463" spans="1:55" s="402" customFormat="1">
      <c r="A1463" s="403"/>
      <c r="B1463" s="445">
        <v>44557</v>
      </c>
      <c r="C1463" s="445">
        <v>44587</v>
      </c>
      <c r="D1463" s="416" t="s">
        <v>1914</v>
      </c>
      <c r="E1463" s="405" t="s">
        <v>1239</v>
      </c>
      <c r="F1463" s="405"/>
      <c r="G1463" s="405">
        <v>2022</v>
      </c>
      <c r="H1463" s="405">
        <v>12</v>
      </c>
      <c r="I1463" s="416"/>
      <c r="J1463" s="406"/>
      <c r="K1463" s="414" t="s">
        <v>2329</v>
      </c>
      <c r="L1463" s="405" t="s">
        <v>2004</v>
      </c>
      <c r="M1463" s="418">
        <v>44545</v>
      </c>
      <c r="N1463" s="418">
        <v>44900</v>
      </c>
      <c r="O1463" s="418"/>
      <c r="P1463" s="406"/>
      <c r="Q1463" s="406"/>
      <c r="R1463" s="406"/>
      <c r="S1463" s="405" t="s">
        <v>1443</v>
      </c>
      <c r="T1463" s="405">
        <v>60</v>
      </c>
      <c r="U1463" s="405">
        <v>49204132</v>
      </c>
      <c r="V1463" s="405" t="s">
        <v>1192</v>
      </c>
      <c r="W1463" s="405">
        <v>360</v>
      </c>
      <c r="X1463" s="407">
        <v>624</v>
      </c>
      <c r="Y1463" s="408">
        <f t="shared" si="315"/>
        <v>224640</v>
      </c>
      <c r="Z1463" s="409">
        <v>0.78999999999999992</v>
      </c>
      <c r="AA1463" s="410">
        <f t="shared" si="320"/>
        <v>177465.59999999998</v>
      </c>
      <c r="AB1463" s="411"/>
      <c r="AC1463" s="412">
        <v>0</v>
      </c>
      <c r="AD1463" s="421"/>
      <c r="AE1463" s="413"/>
      <c r="AF1463" s="424">
        <f t="shared" si="321"/>
        <v>177465.59999999998</v>
      </c>
      <c r="AG1463" s="405" t="s">
        <v>1069</v>
      </c>
      <c r="AH1463" s="405"/>
      <c r="AI1463" s="414" t="s">
        <v>1962</v>
      </c>
      <c r="AJ1463" s="405" t="s">
        <v>1969</v>
      </c>
      <c r="AK1463" s="425" t="s">
        <v>1125</v>
      </c>
      <c r="AL1463" s="405">
        <v>85008</v>
      </c>
      <c r="AM1463" s="405" t="s">
        <v>52</v>
      </c>
      <c r="AN1463" s="405"/>
      <c r="AO1463" s="405"/>
      <c r="AP1463" s="417"/>
      <c r="AQ1463" s="417" t="s">
        <v>37</v>
      </c>
      <c r="AR1463" s="417"/>
      <c r="AS1463" s="426"/>
      <c r="AT1463" s="426"/>
      <c r="AU1463" s="409"/>
    </row>
    <row r="1464" spans="1:55" s="402" customFormat="1">
      <c r="A1464" s="403"/>
      <c r="B1464" s="445"/>
      <c r="C1464" s="445"/>
      <c r="D1464" s="416" t="s">
        <v>1914</v>
      </c>
      <c r="E1464" s="405" t="s">
        <v>4564</v>
      </c>
      <c r="F1464" s="405"/>
      <c r="G1464" s="405">
        <v>2022</v>
      </c>
      <c r="H1464" s="405"/>
      <c r="I1464" s="416"/>
      <c r="J1464" s="406"/>
      <c r="K1464" s="414" t="s">
        <v>4565</v>
      </c>
      <c r="L1464" s="405" t="s">
        <v>4566</v>
      </c>
      <c r="M1464" s="418">
        <v>44683</v>
      </c>
      <c r="N1464" s="418"/>
      <c r="O1464" s="418"/>
      <c r="P1464" s="406"/>
      <c r="Q1464" s="406"/>
      <c r="R1464" s="406"/>
      <c r="S1464" s="405" t="s">
        <v>1443</v>
      </c>
      <c r="T1464" s="405">
        <v>72</v>
      </c>
      <c r="U1464" s="405" t="s">
        <v>1102</v>
      </c>
      <c r="V1464" s="405" t="s">
        <v>995</v>
      </c>
      <c r="W1464" s="405">
        <v>480</v>
      </c>
      <c r="X1464" s="407">
        <v>580</v>
      </c>
      <c r="Y1464" s="408">
        <f t="shared" si="315"/>
        <v>278400</v>
      </c>
      <c r="Z1464" s="409">
        <f>288/480</f>
        <v>0.6</v>
      </c>
      <c r="AA1464" s="410">
        <f t="shared" si="320"/>
        <v>167040</v>
      </c>
      <c r="AB1464" s="411"/>
      <c r="AC1464" s="412">
        <v>0</v>
      </c>
      <c r="AD1464" s="421"/>
      <c r="AE1464" s="413"/>
      <c r="AF1464" s="424">
        <f t="shared" si="321"/>
        <v>167040</v>
      </c>
      <c r="AG1464" s="405"/>
      <c r="AH1464" s="405"/>
      <c r="AI1464" s="414"/>
      <c r="AJ1464" s="405" t="s">
        <v>4051</v>
      </c>
      <c r="AK1464" s="425" t="s">
        <v>1501</v>
      </c>
      <c r="AL1464" s="405">
        <v>96819</v>
      </c>
      <c r="AM1464" s="405" t="s">
        <v>52</v>
      </c>
      <c r="AN1464" s="405"/>
      <c r="AO1464" s="405"/>
      <c r="AP1464" s="417"/>
      <c r="AQ1464" s="417" t="s">
        <v>37</v>
      </c>
      <c r="AR1464" s="417"/>
      <c r="AS1464" s="426"/>
      <c r="AT1464" s="426"/>
      <c r="AU1464" s="409"/>
      <c r="AV1464" s="402" t="str">
        <f>U1464</f>
        <v>TBD</v>
      </c>
      <c r="AW1464" s="402" cm="1">
        <f t="array" ref="AW1464">SUM(MID(0&amp;AV1464,LARGE(INDEX(ISNUMBER(--MID(AV1464,ROW($1:$8),1))*ROW($1:$8),),ROW($1:$8))+1,1)*10^ROW($1:$8)/10)</f>
        <v>0</v>
      </c>
      <c r="AX1464" s="402" t="e">
        <f>VLOOKUP($AW1464,'Item Master Data'!$A:$F,3,FALSE)</f>
        <v>#N/A</v>
      </c>
      <c r="AY1464" s="402" t="e">
        <f>VLOOKUP($AW1464,'Item Master Data'!$A:$F,6,FALSE)</f>
        <v>#N/A</v>
      </c>
      <c r="AZ1464" s="402" t="e">
        <f>X1464/BA1464</f>
        <v>#N/A</v>
      </c>
      <c r="BA1464" s="402" t="e">
        <f>VLOOKUP(AW1464,'Item Master Data'!$A:$G,7,FALSE)</f>
        <v>#N/A</v>
      </c>
      <c r="BC1464" s="402" t="e">
        <f>W1464-AY1464</f>
        <v>#N/A</v>
      </c>
    </row>
    <row r="1465" spans="1:55" s="402" customFormat="1">
      <c r="A1465" s="403"/>
      <c r="B1465" s="445"/>
      <c r="C1465" s="445"/>
      <c r="D1465" s="416" t="s">
        <v>1914</v>
      </c>
      <c r="E1465" s="405" t="s">
        <v>4564</v>
      </c>
      <c r="F1465" s="405"/>
      <c r="G1465" s="405">
        <v>2022</v>
      </c>
      <c r="H1465" s="405"/>
      <c r="I1465" s="416"/>
      <c r="J1465" s="406"/>
      <c r="K1465" s="414" t="s">
        <v>4567</v>
      </c>
      <c r="L1465" s="405" t="s">
        <v>4566</v>
      </c>
      <c r="M1465" s="418">
        <v>44683</v>
      </c>
      <c r="N1465" s="418"/>
      <c r="O1465" s="418"/>
      <c r="P1465" s="406"/>
      <c r="Q1465" s="406"/>
      <c r="R1465" s="406"/>
      <c r="S1465" s="405" t="s">
        <v>1443</v>
      </c>
      <c r="T1465" s="405">
        <v>72</v>
      </c>
      <c r="U1465" s="405" t="s">
        <v>1102</v>
      </c>
      <c r="V1465" s="405" t="s">
        <v>995</v>
      </c>
      <c r="W1465" s="405">
        <v>480</v>
      </c>
      <c r="X1465" s="407">
        <v>580</v>
      </c>
      <c r="Y1465" s="408">
        <f t="shared" si="315"/>
        <v>278400</v>
      </c>
      <c r="Z1465" s="409">
        <f>288/480</f>
        <v>0.6</v>
      </c>
      <c r="AA1465" s="410">
        <f t="shared" si="320"/>
        <v>167040</v>
      </c>
      <c r="AB1465" s="411"/>
      <c r="AC1465" s="412">
        <v>0</v>
      </c>
      <c r="AD1465" s="421"/>
      <c r="AE1465" s="413"/>
      <c r="AF1465" s="424">
        <f t="shared" si="321"/>
        <v>167040</v>
      </c>
      <c r="AG1465" s="405"/>
      <c r="AH1465" s="405"/>
      <c r="AI1465" s="414"/>
      <c r="AJ1465" s="405" t="s">
        <v>4051</v>
      </c>
      <c r="AK1465" s="425" t="s">
        <v>1501</v>
      </c>
      <c r="AL1465" s="405">
        <v>96819</v>
      </c>
      <c r="AM1465" s="405" t="s">
        <v>52</v>
      </c>
      <c r="AN1465" s="405"/>
      <c r="AO1465" s="405"/>
      <c r="AP1465" s="417"/>
      <c r="AQ1465" s="417" t="s">
        <v>37</v>
      </c>
      <c r="AR1465" s="417"/>
      <c r="AS1465" s="426"/>
      <c r="AT1465" s="426"/>
      <c r="AU1465" s="409"/>
      <c r="AV1465" s="402" t="str">
        <f>U1465</f>
        <v>TBD</v>
      </c>
      <c r="AW1465" s="402" cm="1">
        <f t="array" ref="AW1465">SUM(MID(0&amp;AV1465,LARGE(INDEX(ISNUMBER(--MID(AV1465,ROW($1:$8),1))*ROW($1:$8),),ROW($1:$8))+1,1)*10^ROW($1:$8)/10)</f>
        <v>0</v>
      </c>
      <c r="AX1465" s="402" t="e">
        <f>VLOOKUP($AW1465,'Item Master Data'!$A:$F,3,FALSE)</f>
        <v>#N/A</v>
      </c>
      <c r="AY1465" s="402" t="e">
        <f>VLOOKUP($AW1465,'Item Master Data'!$A:$F,6,FALSE)</f>
        <v>#N/A</v>
      </c>
      <c r="AZ1465" s="402" t="e">
        <f>X1465/BA1465</f>
        <v>#N/A</v>
      </c>
      <c r="BA1465" s="402" t="e">
        <f>VLOOKUP(AW1465,'Item Master Data'!$A:$G,7,FALSE)</f>
        <v>#N/A</v>
      </c>
      <c r="BC1465" s="402" t="e">
        <f>W1465-AY1465</f>
        <v>#N/A</v>
      </c>
    </row>
    <row r="1466" spans="1:55" s="402" customFormat="1">
      <c r="A1466" s="403"/>
      <c r="B1466" s="445"/>
      <c r="C1466" s="445"/>
      <c r="D1466" s="416" t="s">
        <v>1914</v>
      </c>
      <c r="E1466" s="405" t="s">
        <v>4568</v>
      </c>
      <c r="F1466" s="405"/>
      <c r="G1466" s="405">
        <v>2022</v>
      </c>
      <c r="H1466" s="405"/>
      <c r="I1466" s="416"/>
      <c r="J1466" s="406"/>
      <c r="K1466" s="414" t="s">
        <v>4569</v>
      </c>
      <c r="L1466" s="405" t="s">
        <v>4566</v>
      </c>
      <c r="M1466" s="418">
        <v>44683</v>
      </c>
      <c r="N1466" s="418"/>
      <c r="O1466" s="418"/>
      <c r="P1466" s="406"/>
      <c r="Q1466" s="406"/>
      <c r="R1466" s="406"/>
      <c r="S1466" s="405" t="s">
        <v>1443</v>
      </c>
      <c r="T1466" s="405">
        <v>72</v>
      </c>
      <c r="U1466" s="405" t="s">
        <v>1102</v>
      </c>
      <c r="V1466" s="405" t="s">
        <v>995</v>
      </c>
      <c r="W1466" s="405">
        <v>480</v>
      </c>
      <c r="X1466" s="407">
        <v>1160</v>
      </c>
      <c r="Y1466" s="408">
        <f t="shared" si="315"/>
        <v>556800</v>
      </c>
      <c r="Z1466" s="409">
        <f>288/480</f>
        <v>0.6</v>
      </c>
      <c r="AA1466" s="410">
        <f t="shared" si="320"/>
        <v>334080</v>
      </c>
      <c r="AB1466" s="411"/>
      <c r="AC1466" s="412">
        <v>0</v>
      </c>
      <c r="AD1466" s="421"/>
      <c r="AE1466" s="413"/>
      <c r="AF1466" s="424">
        <f t="shared" si="321"/>
        <v>334080</v>
      </c>
      <c r="AG1466" s="405"/>
      <c r="AH1466" s="405"/>
      <c r="AI1466" s="414"/>
      <c r="AJ1466" s="405" t="s">
        <v>4051</v>
      </c>
      <c r="AK1466" s="425" t="s">
        <v>1501</v>
      </c>
      <c r="AL1466" s="405">
        <v>96819</v>
      </c>
      <c r="AM1466" s="405" t="s">
        <v>52</v>
      </c>
      <c r="AN1466" s="405"/>
      <c r="AO1466" s="405"/>
      <c r="AP1466" s="417"/>
      <c r="AQ1466" s="417" t="s">
        <v>37</v>
      </c>
      <c r="AR1466" s="417"/>
      <c r="AS1466" s="426"/>
      <c r="AT1466" s="426"/>
      <c r="AU1466" s="409"/>
      <c r="AV1466" s="402" t="str">
        <f>U1466</f>
        <v>TBD</v>
      </c>
      <c r="AW1466" s="402" cm="1">
        <f t="array" ref="AW1466">SUM(MID(0&amp;AV1466,LARGE(INDEX(ISNUMBER(--MID(AV1466,ROW($1:$8),1))*ROW($1:$8),),ROW($1:$8))+1,1)*10^ROW($1:$8)/10)</f>
        <v>0</v>
      </c>
      <c r="AX1466" s="402" t="e">
        <f>VLOOKUP($AW1466,'Item Master Data'!$A:$F,3,FALSE)</f>
        <v>#N/A</v>
      </c>
      <c r="AY1466" s="402" t="e">
        <f>VLOOKUP($AW1466,'Item Master Data'!$A:$F,6,FALSE)</f>
        <v>#N/A</v>
      </c>
      <c r="AZ1466" s="402" t="e">
        <f>X1466/BA1466</f>
        <v>#N/A</v>
      </c>
      <c r="BA1466" s="402" t="e">
        <f>VLOOKUP(AW1466,'Item Master Data'!$A:$G,7,FALSE)</f>
        <v>#N/A</v>
      </c>
      <c r="BC1466" s="402" t="e">
        <f>W1466-AY1466</f>
        <v>#N/A</v>
      </c>
    </row>
    <row r="1467" spans="1:55" s="402" customFormat="1">
      <c r="A1467" s="403"/>
      <c r="B1467" s="445"/>
      <c r="C1467" s="445"/>
      <c r="D1467" s="416" t="s">
        <v>1914</v>
      </c>
      <c r="E1467" s="405" t="s">
        <v>2120</v>
      </c>
      <c r="F1467" s="405"/>
      <c r="G1467" s="405">
        <v>2023</v>
      </c>
      <c r="H1467" s="405">
        <v>1</v>
      </c>
      <c r="I1467" s="416"/>
      <c r="J1467" s="406"/>
      <c r="K1467" s="414" t="s">
        <v>2174</v>
      </c>
      <c r="L1467" s="405" t="s">
        <v>1514</v>
      </c>
      <c r="M1467" s="418">
        <v>44641</v>
      </c>
      <c r="N1467" s="418">
        <v>44774</v>
      </c>
      <c r="O1467" s="418"/>
      <c r="P1467" s="406"/>
      <c r="Q1467" s="406"/>
      <c r="R1467" s="406"/>
      <c r="S1467" s="405" t="s">
        <v>1443</v>
      </c>
      <c r="T1467" s="405">
        <v>60</v>
      </c>
      <c r="U1467" s="405" t="s">
        <v>1237</v>
      </c>
      <c r="V1467" s="405" t="s">
        <v>973</v>
      </c>
      <c r="W1467" s="405">
        <v>400</v>
      </c>
      <c r="X1467" s="407">
        <v>768</v>
      </c>
      <c r="Y1467" s="408">
        <f t="shared" si="315"/>
        <v>307200</v>
      </c>
      <c r="Z1467" s="409">
        <f t="shared" ref="Z1467:Z1474" si="326">220/400</f>
        <v>0.55000000000000004</v>
      </c>
      <c r="AA1467" s="410">
        <f t="shared" si="320"/>
        <v>168960</v>
      </c>
      <c r="AB1467" s="411"/>
      <c r="AC1467" s="412">
        <f t="shared" ref="AC1467:AC1528" si="327">AB1467*Y1467</f>
        <v>0</v>
      </c>
      <c r="AD1467" s="421"/>
      <c r="AE1467" s="413"/>
      <c r="AF1467" s="424">
        <f t="shared" si="321"/>
        <v>168960</v>
      </c>
      <c r="AG1467" s="405" t="s">
        <v>1069</v>
      </c>
      <c r="AH1467" s="405"/>
      <c r="AI1467" s="414">
        <v>60</v>
      </c>
      <c r="AJ1467" s="405" t="s">
        <v>1515</v>
      </c>
      <c r="AK1467" s="425" t="s">
        <v>1913</v>
      </c>
      <c r="AL1467" s="405">
        <v>92806</v>
      </c>
      <c r="AM1467" s="405" t="s">
        <v>52</v>
      </c>
      <c r="AN1467" s="405" t="s">
        <v>1071</v>
      </c>
      <c r="AO1467" s="405"/>
      <c r="AP1467" s="417"/>
      <c r="AQ1467" s="417"/>
      <c r="AR1467" s="417" t="s">
        <v>1934</v>
      </c>
      <c r="AS1467" s="426"/>
      <c r="AT1467" s="426"/>
      <c r="AU1467" s="409"/>
    </row>
    <row r="1468" spans="1:55" s="402" customFormat="1">
      <c r="A1468" s="403"/>
      <c r="B1468" s="445"/>
      <c r="C1468" s="445"/>
      <c r="D1468" s="416" t="s">
        <v>1914</v>
      </c>
      <c r="E1468" s="405" t="s">
        <v>2120</v>
      </c>
      <c r="F1468" s="405"/>
      <c r="G1468" s="405">
        <v>2023</v>
      </c>
      <c r="H1468" s="405">
        <v>1</v>
      </c>
      <c r="I1468" s="416"/>
      <c r="J1468" s="406"/>
      <c r="K1468" s="414" t="s">
        <v>2174</v>
      </c>
      <c r="L1468" s="405" t="s">
        <v>1514</v>
      </c>
      <c r="M1468" s="418">
        <v>44641</v>
      </c>
      <c r="N1468" s="418">
        <v>44774</v>
      </c>
      <c r="O1468" s="418"/>
      <c r="P1468" s="406"/>
      <c r="Q1468" s="406"/>
      <c r="R1468" s="406"/>
      <c r="S1468" s="405" t="s">
        <v>1443</v>
      </c>
      <c r="T1468" s="405">
        <v>60</v>
      </c>
      <c r="U1468" s="405" t="s">
        <v>1237</v>
      </c>
      <c r="V1468" s="405" t="s">
        <v>973</v>
      </c>
      <c r="W1468" s="405">
        <v>400</v>
      </c>
      <c r="X1468" s="407">
        <f>2304-768</f>
        <v>1536</v>
      </c>
      <c r="Y1468" s="408">
        <f t="shared" si="315"/>
        <v>614400</v>
      </c>
      <c r="Z1468" s="409">
        <f t="shared" si="326"/>
        <v>0.55000000000000004</v>
      </c>
      <c r="AA1468" s="410">
        <f t="shared" si="320"/>
        <v>337920</v>
      </c>
      <c r="AB1468" s="411"/>
      <c r="AC1468" s="412">
        <f t="shared" si="327"/>
        <v>0</v>
      </c>
      <c r="AD1468" s="421"/>
      <c r="AE1468" s="413"/>
      <c r="AF1468" s="424">
        <f t="shared" si="321"/>
        <v>337920</v>
      </c>
      <c r="AG1468" s="405" t="s">
        <v>1069</v>
      </c>
      <c r="AH1468" s="405"/>
      <c r="AI1468" s="414">
        <v>60</v>
      </c>
      <c r="AJ1468" s="405" t="s">
        <v>1515</v>
      </c>
      <c r="AK1468" s="425" t="s">
        <v>1913</v>
      </c>
      <c r="AL1468" s="405">
        <v>92806</v>
      </c>
      <c r="AM1468" s="405" t="s">
        <v>52</v>
      </c>
      <c r="AN1468" s="405" t="s">
        <v>1071</v>
      </c>
      <c r="AO1468" s="405"/>
      <c r="AP1468" s="417"/>
      <c r="AQ1468" s="417"/>
      <c r="AR1468" s="417" t="s">
        <v>1934</v>
      </c>
      <c r="AS1468" s="426"/>
      <c r="AT1468" s="426"/>
      <c r="AU1468" s="409"/>
    </row>
    <row r="1469" spans="1:55" s="402" customFormat="1">
      <c r="A1469" s="403"/>
      <c r="B1469" s="445"/>
      <c r="C1469" s="445"/>
      <c r="D1469" s="416" t="s">
        <v>1914</v>
      </c>
      <c r="E1469" s="405" t="s">
        <v>2120</v>
      </c>
      <c r="F1469" s="405"/>
      <c r="G1469" s="405">
        <v>2023</v>
      </c>
      <c r="H1469" s="405"/>
      <c r="I1469" s="416"/>
      <c r="J1469" s="406"/>
      <c r="K1469" s="414" t="s">
        <v>2238</v>
      </c>
      <c r="L1469" s="405" t="s">
        <v>1514</v>
      </c>
      <c r="M1469" s="418">
        <v>44641</v>
      </c>
      <c r="N1469" s="418">
        <v>44837</v>
      </c>
      <c r="O1469" s="418"/>
      <c r="P1469" s="406"/>
      <c r="Q1469" s="406"/>
      <c r="R1469" s="406"/>
      <c r="S1469" s="405" t="s">
        <v>1443</v>
      </c>
      <c r="T1469" s="405">
        <v>60</v>
      </c>
      <c r="U1469" s="405">
        <v>49403140</v>
      </c>
      <c r="V1469" s="405" t="s">
        <v>973</v>
      </c>
      <c r="W1469" s="405">
        <v>400</v>
      </c>
      <c r="X1469" s="407">
        <v>3872</v>
      </c>
      <c r="Y1469" s="408">
        <f t="shared" si="315"/>
        <v>1548800</v>
      </c>
      <c r="Z1469" s="409">
        <f t="shared" si="326"/>
        <v>0.55000000000000004</v>
      </c>
      <c r="AA1469" s="410">
        <f t="shared" si="320"/>
        <v>851840.00000000012</v>
      </c>
      <c r="AB1469" s="411"/>
      <c r="AC1469" s="412">
        <f t="shared" si="327"/>
        <v>0</v>
      </c>
      <c r="AD1469" s="421"/>
      <c r="AE1469" s="413"/>
      <c r="AF1469" s="424">
        <f t="shared" si="321"/>
        <v>851840.00000000012</v>
      </c>
      <c r="AG1469" s="405" t="s">
        <v>1069</v>
      </c>
      <c r="AH1469" s="405"/>
      <c r="AI1469" s="414">
        <v>60</v>
      </c>
      <c r="AJ1469" s="405" t="s">
        <v>1515</v>
      </c>
      <c r="AK1469" s="425" t="s">
        <v>1913</v>
      </c>
      <c r="AL1469" s="405">
        <v>92806</v>
      </c>
      <c r="AM1469" s="405" t="s">
        <v>52</v>
      </c>
      <c r="AN1469" s="405" t="s">
        <v>1071</v>
      </c>
      <c r="AO1469" s="405"/>
      <c r="AP1469" s="417"/>
      <c r="AQ1469" s="417"/>
      <c r="AR1469" s="417" t="s">
        <v>1934</v>
      </c>
      <c r="AS1469" s="426"/>
      <c r="AT1469" s="426"/>
      <c r="AU1469" s="409"/>
      <c r="AV1469" s="402">
        <f>U1469</f>
        <v>49403140</v>
      </c>
      <c r="AW1469" s="402" cm="1">
        <f t="array" ref="AW1469">SUM(MID(0&amp;AV1469,LARGE(INDEX(ISNUMBER(--MID(AV1469,ROW($1:$8),1))*ROW($1:$8),),ROW($1:$8))+1,1)*10^ROW($1:$8)/10)</f>
        <v>49403140</v>
      </c>
      <c r="AX1469" s="402" t="str">
        <f>VLOOKUP($AW1469,'Item Master Data'!$A:$F,3,FALSE)</f>
        <v>Q.PEAK DUO BLK ML G10+</v>
      </c>
      <c r="AY1469" s="402">
        <f>VLOOKUP($AW1469,'Item Master Data'!$A:$F,6,FALSE)</f>
        <v>400</v>
      </c>
      <c r="AZ1469" s="402">
        <f>X1469/BA1469</f>
        <v>121</v>
      </c>
      <c r="BA1469" s="402">
        <f>VLOOKUP(AW1469,'Item Master Data'!$A:$G,7,FALSE)</f>
        <v>32</v>
      </c>
      <c r="BC1469" s="402">
        <f>W1469-AY1469</f>
        <v>0</v>
      </c>
    </row>
    <row r="1470" spans="1:55" s="402" customFormat="1">
      <c r="A1470" s="403"/>
      <c r="B1470" s="445"/>
      <c r="C1470" s="445"/>
      <c r="D1470" s="416" t="s">
        <v>1914</v>
      </c>
      <c r="E1470" s="405" t="s">
        <v>2120</v>
      </c>
      <c r="F1470" s="405"/>
      <c r="G1470" s="405">
        <v>2023</v>
      </c>
      <c r="H1470" s="405"/>
      <c r="I1470" s="416"/>
      <c r="J1470" s="406"/>
      <c r="K1470" s="414" t="s">
        <v>2271</v>
      </c>
      <c r="L1470" s="405" t="s">
        <v>1514</v>
      </c>
      <c r="M1470" s="418">
        <v>44641</v>
      </c>
      <c r="N1470" s="418">
        <v>44866</v>
      </c>
      <c r="O1470" s="418"/>
      <c r="P1470" s="406"/>
      <c r="Q1470" s="406"/>
      <c r="R1470" s="406"/>
      <c r="S1470" s="405" t="s">
        <v>1443</v>
      </c>
      <c r="T1470" s="405">
        <v>60</v>
      </c>
      <c r="U1470" s="405">
        <v>49403140</v>
      </c>
      <c r="V1470" s="405" t="s">
        <v>973</v>
      </c>
      <c r="W1470" s="405">
        <v>400</v>
      </c>
      <c r="X1470" s="407">
        <v>5728</v>
      </c>
      <c r="Y1470" s="408">
        <f t="shared" si="315"/>
        <v>2291200</v>
      </c>
      <c r="Z1470" s="409">
        <f t="shared" si="326"/>
        <v>0.55000000000000004</v>
      </c>
      <c r="AA1470" s="410">
        <f t="shared" si="320"/>
        <v>1260160</v>
      </c>
      <c r="AB1470" s="411"/>
      <c r="AC1470" s="412">
        <f t="shared" si="327"/>
        <v>0</v>
      </c>
      <c r="AD1470" s="421"/>
      <c r="AE1470" s="413"/>
      <c r="AF1470" s="424">
        <f t="shared" si="321"/>
        <v>1260160</v>
      </c>
      <c r="AG1470" s="405" t="s">
        <v>1069</v>
      </c>
      <c r="AH1470" s="405"/>
      <c r="AI1470" s="414">
        <v>60</v>
      </c>
      <c r="AJ1470" s="405" t="s">
        <v>1515</v>
      </c>
      <c r="AK1470" s="425" t="s">
        <v>1913</v>
      </c>
      <c r="AL1470" s="405">
        <v>92806</v>
      </c>
      <c r="AM1470" s="405" t="s">
        <v>52</v>
      </c>
      <c r="AN1470" s="405" t="s">
        <v>1071</v>
      </c>
      <c r="AO1470" s="405"/>
      <c r="AP1470" s="417"/>
      <c r="AQ1470" s="417"/>
      <c r="AR1470" s="417" t="s">
        <v>1934</v>
      </c>
      <c r="AS1470" s="426"/>
      <c r="AT1470" s="426"/>
      <c r="AU1470" s="409"/>
    </row>
    <row r="1471" spans="1:55" s="402" customFormat="1">
      <c r="A1471" s="403"/>
      <c r="B1471" s="445"/>
      <c r="C1471" s="445"/>
      <c r="D1471" s="416" t="s">
        <v>1914</v>
      </c>
      <c r="E1471" s="405" t="s">
        <v>2120</v>
      </c>
      <c r="F1471" s="405"/>
      <c r="G1471" s="405">
        <v>2023</v>
      </c>
      <c r="H1471" s="405"/>
      <c r="I1471" s="416"/>
      <c r="J1471" s="406"/>
      <c r="K1471" s="414" t="s">
        <v>2207</v>
      </c>
      <c r="L1471" s="405" t="s">
        <v>1682</v>
      </c>
      <c r="M1471" s="418">
        <v>44642</v>
      </c>
      <c r="N1471" s="418">
        <v>44809</v>
      </c>
      <c r="O1471" s="418"/>
      <c r="P1471" s="406"/>
      <c r="Q1471" s="406"/>
      <c r="R1471" s="406"/>
      <c r="S1471" s="405" t="s">
        <v>1443</v>
      </c>
      <c r="T1471" s="405">
        <v>60</v>
      </c>
      <c r="U1471" s="405">
        <v>49403140</v>
      </c>
      <c r="V1471" s="405" t="s">
        <v>973</v>
      </c>
      <c r="W1471" s="405">
        <v>400</v>
      </c>
      <c r="X1471" s="407">
        <f>4608-1536</f>
        <v>3072</v>
      </c>
      <c r="Y1471" s="408">
        <f t="shared" si="315"/>
        <v>1228800</v>
      </c>
      <c r="Z1471" s="409">
        <f t="shared" si="326"/>
        <v>0.55000000000000004</v>
      </c>
      <c r="AA1471" s="410">
        <f t="shared" si="320"/>
        <v>675840</v>
      </c>
      <c r="AB1471" s="411"/>
      <c r="AC1471" s="412">
        <f t="shared" si="327"/>
        <v>0</v>
      </c>
      <c r="AD1471" s="421"/>
      <c r="AE1471" s="413"/>
      <c r="AF1471" s="424">
        <f t="shared" si="321"/>
        <v>675840</v>
      </c>
      <c r="AG1471" s="405" t="s">
        <v>1069</v>
      </c>
      <c r="AH1471" s="405"/>
      <c r="AI1471" s="414">
        <v>60</v>
      </c>
      <c r="AJ1471" s="405" t="s">
        <v>1584</v>
      </c>
      <c r="AK1471" s="425" t="s">
        <v>50</v>
      </c>
      <c r="AL1471" s="405">
        <v>95834</v>
      </c>
      <c r="AM1471" s="405" t="s">
        <v>52</v>
      </c>
      <c r="AN1471" s="405" t="s">
        <v>1071</v>
      </c>
      <c r="AO1471" s="405"/>
      <c r="AP1471" s="417"/>
      <c r="AQ1471" s="417"/>
      <c r="AR1471" s="417" t="s">
        <v>1934</v>
      </c>
      <c r="AS1471" s="426"/>
      <c r="AT1471" s="426"/>
      <c r="AU1471" s="409"/>
      <c r="AV1471" s="402">
        <f>U1471</f>
        <v>49403140</v>
      </c>
      <c r="AW1471" s="402" cm="1">
        <f t="array" ref="AW1471">SUM(MID(0&amp;AV1471,LARGE(INDEX(ISNUMBER(--MID(AV1471,ROW($1:$8),1))*ROW($1:$8),),ROW($1:$8))+1,1)*10^ROW($1:$8)/10)</f>
        <v>49403140</v>
      </c>
      <c r="AX1471" s="402" t="str">
        <f>VLOOKUP($AW1471,'Item Master Data'!$A:$F,3,FALSE)</f>
        <v>Q.PEAK DUO BLK ML G10+</v>
      </c>
      <c r="AY1471" s="402">
        <f>VLOOKUP($AW1471,'Item Master Data'!$A:$F,6,FALSE)</f>
        <v>400</v>
      </c>
      <c r="AZ1471" s="402">
        <f>X1471/BA1471</f>
        <v>96</v>
      </c>
      <c r="BA1471" s="402">
        <f>VLOOKUP(AW1471,'Item Master Data'!$A:$G,7,FALSE)</f>
        <v>32</v>
      </c>
      <c r="BC1471" s="402">
        <f>W1471-AY1471</f>
        <v>0</v>
      </c>
    </row>
    <row r="1472" spans="1:55" s="402" customFormat="1">
      <c r="A1472" s="403"/>
      <c r="B1472" s="445"/>
      <c r="C1472" s="445"/>
      <c r="D1472" s="416" t="s">
        <v>1914</v>
      </c>
      <c r="E1472" s="405" t="s">
        <v>2120</v>
      </c>
      <c r="F1472" s="405"/>
      <c r="G1472" s="405">
        <v>2023</v>
      </c>
      <c r="H1472" s="405"/>
      <c r="I1472" s="416"/>
      <c r="J1472" s="406"/>
      <c r="K1472" s="414" t="s">
        <v>2239</v>
      </c>
      <c r="L1472" s="405" t="s">
        <v>1682</v>
      </c>
      <c r="M1472" s="418">
        <v>44642</v>
      </c>
      <c r="N1472" s="418">
        <v>44837</v>
      </c>
      <c r="O1472" s="418"/>
      <c r="P1472" s="406"/>
      <c r="Q1472" s="406"/>
      <c r="R1472" s="406"/>
      <c r="S1472" s="405" t="s">
        <v>1443</v>
      </c>
      <c r="T1472" s="405">
        <v>60</v>
      </c>
      <c r="U1472" s="405">
        <v>49403140</v>
      </c>
      <c r="V1472" s="405" t="s">
        <v>973</v>
      </c>
      <c r="W1472" s="405">
        <v>400</v>
      </c>
      <c r="X1472" s="407">
        <v>4608</v>
      </c>
      <c r="Y1472" s="408">
        <f t="shared" si="315"/>
        <v>1843200</v>
      </c>
      <c r="Z1472" s="409">
        <f t="shared" si="326"/>
        <v>0.55000000000000004</v>
      </c>
      <c r="AA1472" s="410">
        <f t="shared" si="320"/>
        <v>1013760.0000000001</v>
      </c>
      <c r="AB1472" s="411"/>
      <c r="AC1472" s="412">
        <f t="shared" si="327"/>
        <v>0</v>
      </c>
      <c r="AD1472" s="421"/>
      <c r="AE1472" s="413"/>
      <c r="AF1472" s="424">
        <f t="shared" si="321"/>
        <v>1013760.0000000001</v>
      </c>
      <c r="AG1472" s="405" t="s">
        <v>1069</v>
      </c>
      <c r="AH1472" s="405"/>
      <c r="AI1472" s="414">
        <v>60</v>
      </c>
      <c r="AJ1472" s="405" t="s">
        <v>1584</v>
      </c>
      <c r="AK1472" s="425" t="s">
        <v>50</v>
      </c>
      <c r="AL1472" s="405">
        <v>95834</v>
      </c>
      <c r="AM1472" s="405" t="s">
        <v>52</v>
      </c>
      <c r="AN1472" s="405" t="s">
        <v>1071</v>
      </c>
      <c r="AO1472" s="405"/>
      <c r="AP1472" s="417"/>
      <c r="AQ1472" s="417"/>
      <c r="AR1472" s="417" t="s">
        <v>1934</v>
      </c>
      <c r="AS1472" s="426"/>
      <c r="AT1472" s="426"/>
      <c r="AU1472" s="409"/>
      <c r="AV1472" s="402">
        <f>U1472</f>
        <v>49403140</v>
      </c>
      <c r="AW1472" s="402" cm="1">
        <f t="array" ref="AW1472">SUM(MID(0&amp;AV1472,LARGE(INDEX(ISNUMBER(--MID(AV1472,ROW($1:$8),1))*ROW($1:$8),),ROW($1:$8))+1,1)*10^ROW($1:$8)/10)</f>
        <v>49403140</v>
      </c>
      <c r="AX1472" s="402" t="str">
        <f>VLOOKUP($AW1472,'Item Master Data'!$A:$F,3,FALSE)</f>
        <v>Q.PEAK DUO BLK ML G10+</v>
      </c>
      <c r="AY1472" s="402">
        <f>VLOOKUP($AW1472,'Item Master Data'!$A:$F,6,FALSE)</f>
        <v>400</v>
      </c>
      <c r="AZ1472" s="402">
        <f>X1472/BA1472</f>
        <v>144</v>
      </c>
      <c r="BA1472" s="402">
        <f>VLOOKUP(AW1472,'Item Master Data'!$A:$G,7,FALSE)</f>
        <v>32</v>
      </c>
      <c r="BC1472" s="402">
        <f>W1472-AY1472</f>
        <v>0</v>
      </c>
    </row>
    <row r="1473" spans="1:55" s="402" customFormat="1">
      <c r="A1473" s="403"/>
      <c r="B1473" s="445"/>
      <c r="C1473" s="445"/>
      <c r="D1473" s="416" t="s">
        <v>1914</v>
      </c>
      <c r="E1473" s="405" t="s">
        <v>2120</v>
      </c>
      <c r="F1473" s="405"/>
      <c r="G1473" s="405">
        <v>2023</v>
      </c>
      <c r="H1473" s="405"/>
      <c r="I1473" s="416"/>
      <c r="J1473" s="406"/>
      <c r="K1473" s="414" t="s">
        <v>2272</v>
      </c>
      <c r="L1473" s="405" t="s">
        <v>1682</v>
      </c>
      <c r="M1473" s="418">
        <v>44642</v>
      </c>
      <c r="N1473" s="418">
        <v>44872</v>
      </c>
      <c r="O1473" s="418"/>
      <c r="P1473" s="406"/>
      <c r="Q1473" s="406"/>
      <c r="R1473" s="406"/>
      <c r="S1473" s="405" t="s">
        <v>1443</v>
      </c>
      <c r="T1473" s="405">
        <v>60</v>
      </c>
      <c r="U1473" s="405">
        <v>49403140</v>
      </c>
      <c r="V1473" s="405" t="s">
        <v>973</v>
      </c>
      <c r="W1473" s="405">
        <v>400</v>
      </c>
      <c r="X1473" s="407">
        <v>5376</v>
      </c>
      <c r="Y1473" s="408">
        <f t="shared" si="315"/>
        <v>2150400</v>
      </c>
      <c r="Z1473" s="409">
        <f t="shared" si="326"/>
        <v>0.55000000000000004</v>
      </c>
      <c r="AA1473" s="410">
        <f t="shared" si="320"/>
        <v>1182720</v>
      </c>
      <c r="AB1473" s="411"/>
      <c r="AC1473" s="412">
        <f t="shared" si="327"/>
        <v>0</v>
      </c>
      <c r="AD1473" s="421"/>
      <c r="AE1473" s="413"/>
      <c r="AF1473" s="424">
        <f t="shared" si="321"/>
        <v>1182720</v>
      </c>
      <c r="AG1473" s="405" t="s">
        <v>1069</v>
      </c>
      <c r="AH1473" s="405"/>
      <c r="AI1473" s="414">
        <v>60</v>
      </c>
      <c r="AJ1473" s="405" t="s">
        <v>1584</v>
      </c>
      <c r="AK1473" s="425" t="s">
        <v>50</v>
      </c>
      <c r="AL1473" s="405">
        <v>95834</v>
      </c>
      <c r="AM1473" s="405" t="s">
        <v>52</v>
      </c>
      <c r="AN1473" s="405" t="s">
        <v>1071</v>
      </c>
      <c r="AO1473" s="405"/>
      <c r="AP1473" s="417"/>
      <c r="AQ1473" s="417"/>
      <c r="AR1473" s="417" t="s">
        <v>1934</v>
      </c>
      <c r="AS1473" s="426"/>
      <c r="AT1473" s="426"/>
      <c r="AU1473" s="409"/>
    </row>
    <row r="1474" spans="1:55" s="402" customFormat="1">
      <c r="A1474" s="403"/>
      <c r="B1474" s="445"/>
      <c r="C1474" s="445"/>
      <c r="D1474" s="416" t="s">
        <v>1914</v>
      </c>
      <c r="E1474" s="405" t="s">
        <v>2120</v>
      </c>
      <c r="F1474" s="405"/>
      <c r="G1474" s="405">
        <v>2023</v>
      </c>
      <c r="H1474" s="405"/>
      <c r="I1474" s="416"/>
      <c r="J1474" s="406"/>
      <c r="K1474" s="414" t="s">
        <v>2307</v>
      </c>
      <c r="L1474" s="405" t="s">
        <v>1682</v>
      </c>
      <c r="M1474" s="418">
        <v>44642</v>
      </c>
      <c r="N1474" s="418">
        <v>44900</v>
      </c>
      <c r="O1474" s="418"/>
      <c r="P1474" s="356"/>
      <c r="Q1474" s="406"/>
      <c r="R1474" s="406"/>
      <c r="S1474" s="405" t="s">
        <v>1443</v>
      </c>
      <c r="T1474" s="405">
        <v>60</v>
      </c>
      <c r="U1474" s="405">
        <v>49403140</v>
      </c>
      <c r="V1474" s="405" t="s">
        <v>973</v>
      </c>
      <c r="W1474" s="405">
        <v>400</v>
      </c>
      <c r="X1474" s="407">
        <v>5376</v>
      </c>
      <c r="Y1474" s="408">
        <f t="shared" si="315"/>
        <v>2150400</v>
      </c>
      <c r="Z1474" s="409">
        <f t="shared" si="326"/>
        <v>0.55000000000000004</v>
      </c>
      <c r="AA1474" s="410">
        <f t="shared" si="320"/>
        <v>1182720</v>
      </c>
      <c r="AB1474" s="411"/>
      <c r="AC1474" s="412">
        <f t="shared" si="327"/>
        <v>0</v>
      </c>
      <c r="AD1474" s="421"/>
      <c r="AE1474" s="413"/>
      <c r="AF1474" s="424">
        <f t="shared" si="321"/>
        <v>1182720</v>
      </c>
      <c r="AG1474" s="405" t="s">
        <v>1069</v>
      </c>
      <c r="AH1474" s="405"/>
      <c r="AI1474" s="414">
        <v>60</v>
      </c>
      <c r="AJ1474" s="405" t="s">
        <v>1584</v>
      </c>
      <c r="AK1474" s="425" t="s">
        <v>50</v>
      </c>
      <c r="AL1474" s="405">
        <v>95834</v>
      </c>
      <c r="AM1474" s="405" t="s">
        <v>52</v>
      </c>
      <c r="AN1474" s="405" t="s">
        <v>1071</v>
      </c>
      <c r="AO1474" s="405"/>
      <c r="AP1474" s="417"/>
      <c r="AQ1474" s="417"/>
      <c r="AR1474" s="417" t="s">
        <v>1934</v>
      </c>
      <c r="AS1474" s="426"/>
      <c r="AT1474" s="426"/>
      <c r="AU1474" s="490"/>
      <c r="AV1474" s="402">
        <f>U1474</f>
        <v>49403140</v>
      </c>
      <c r="AW1474" s="402" cm="1">
        <f t="array" ref="AW1474">SUM(MID(0&amp;AV1474,LARGE(INDEX(ISNUMBER(--MID(AV1474,ROW($1:$8),1))*ROW($1:$8),),ROW($1:$8))+1,1)*10^ROW($1:$8)/10)</f>
        <v>49403140</v>
      </c>
      <c r="AX1474" s="402" t="str">
        <f>VLOOKUP($AW1474,'Item Master Data'!$A:$F,3,FALSE)</f>
        <v>Q.PEAK DUO BLK ML G10+</v>
      </c>
      <c r="AY1474" s="402">
        <f>VLOOKUP($AW1474,'Item Master Data'!$A:$F,6,FALSE)</f>
        <v>400</v>
      </c>
      <c r="AZ1474" s="402">
        <f>X1474/BA1474</f>
        <v>168</v>
      </c>
      <c r="BA1474" s="402">
        <f>VLOOKUP(AW1474,'Item Master Data'!$A:$G,7,FALSE)</f>
        <v>32</v>
      </c>
      <c r="BC1474" s="402">
        <f>W1474-AY1474</f>
        <v>0</v>
      </c>
    </row>
    <row r="1475" spans="1:55" s="402" customFormat="1">
      <c r="A1475" s="403"/>
      <c r="B1475" s="446">
        <v>44629</v>
      </c>
      <c r="C1475" s="446">
        <v>44629</v>
      </c>
      <c r="D1475" s="416" t="s">
        <v>2480</v>
      </c>
      <c r="E1475" s="405" t="s">
        <v>1239</v>
      </c>
      <c r="F1475" s="405"/>
      <c r="G1475" s="405">
        <v>2022</v>
      </c>
      <c r="H1475" s="405">
        <v>5</v>
      </c>
      <c r="I1475" s="405">
        <v>2005163</v>
      </c>
      <c r="J1475" s="406"/>
      <c r="K1475" s="414" t="s">
        <v>2519</v>
      </c>
      <c r="L1475" s="405" t="s">
        <v>2481</v>
      </c>
      <c r="M1475" s="418">
        <v>44610</v>
      </c>
      <c r="N1475" s="418">
        <v>44652</v>
      </c>
      <c r="O1475" s="418">
        <v>44652</v>
      </c>
      <c r="P1475" s="406"/>
      <c r="Q1475" s="406"/>
      <c r="R1475" s="406"/>
      <c r="S1475" s="405" t="s">
        <v>1940</v>
      </c>
      <c r="T1475" s="405">
        <v>72</v>
      </c>
      <c r="U1475" s="405" t="s">
        <v>1322</v>
      </c>
      <c r="V1475" s="405" t="s">
        <v>995</v>
      </c>
      <c r="W1475" s="405">
        <v>480</v>
      </c>
      <c r="X1475" s="407">
        <v>7714</v>
      </c>
      <c r="Y1475" s="486">
        <f t="shared" si="315"/>
        <v>3702720</v>
      </c>
      <c r="Z1475" s="409">
        <v>0.48</v>
      </c>
      <c r="AA1475" s="410">
        <f t="shared" si="320"/>
        <v>1777305.5999999999</v>
      </c>
      <c r="AB1475" s="411"/>
      <c r="AC1475" s="412">
        <f t="shared" si="327"/>
        <v>0</v>
      </c>
      <c r="AD1475" s="421"/>
      <c r="AE1475" s="413"/>
      <c r="AF1475" s="424">
        <f t="shared" ref="AF1475:AF1528" si="328">AE1475+AD1475+AA1475</f>
        <v>1777305.5999999999</v>
      </c>
      <c r="AG1475" s="405" t="s">
        <v>47</v>
      </c>
      <c r="AH1475" s="405"/>
      <c r="AI1475" s="414" t="s">
        <v>2520</v>
      </c>
      <c r="AJ1475" s="405"/>
      <c r="AK1475" s="425"/>
      <c r="AL1475" s="405"/>
      <c r="AM1475" s="405" t="s">
        <v>52</v>
      </c>
      <c r="AN1475" s="405"/>
      <c r="AO1475" s="405"/>
      <c r="AP1475" s="417"/>
      <c r="AQ1475" s="417" t="s">
        <v>37</v>
      </c>
      <c r="AR1475" s="417"/>
      <c r="AS1475" s="426"/>
      <c r="AT1475" s="426"/>
      <c r="AU1475" s="409"/>
    </row>
    <row r="1476" spans="1:55" s="402" customFormat="1">
      <c r="A1476" s="403"/>
      <c r="B1476" s="446">
        <v>44629</v>
      </c>
      <c r="C1476" s="446">
        <v>44629</v>
      </c>
      <c r="D1476" s="416" t="s">
        <v>2480</v>
      </c>
      <c r="E1476" s="405" t="s">
        <v>4765</v>
      </c>
      <c r="F1476" s="405"/>
      <c r="G1476" s="405">
        <v>2022</v>
      </c>
      <c r="H1476" s="405">
        <v>5</v>
      </c>
      <c r="I1476" s="405">
        <v>2005163</v>
      </c>
      <c r="J1476" s="406"/>
      <c r="K1476" s="414" t="s">
        <v>4769</v>
      </c>
      <c r="L1476" s="405" t="s">
        <v>2481</v>
      </c>
      <c r="M1476" s="418">
        <v>44610</v>
      </c>
      <c r="N1476" s="418">
        <v>44652</v>
      </c>
      <c r="O1476" s="418">
        <v>44652</v>
      </c>
      <c r="P1476" s="406" t="s">
        <v>4539</v>
      </c>
      <c r="Q1476" s="406"/>
      <c r="R1476" s="406"/>
      <c r="S1476" s="405" t="s">
        <v>1940</v>
      </c>
      <c r="T1476" s="405">
        <v>72</v>
      </c>
      <c r="U1476" s="405" t="s">
        <v>1322</v>
      </c>
      <c r="V1476" s="405" t="s">
        <v>995</v>
      </c>
      <c r="W1476" s="405">
        <v>480</v>
      </c>
      <c r="X1476" s="407">
        <v>1218</v>
      </c>
      <c r="Y1476" s="422">
        <f t="shared" si="315"/>
        <v>584640</v>
      </c>
      <c r="Z1476" s="409">
        <v>0.45</v>
      </c>
      <c r="AA1476" s="410">
        <f t="shared" si="320"/>
        <v>263088</v>
      </c>
      <c r="AB1476" s="411"/>
      <c r="AC1476" s="412">
        <f t="shared" si="327"/>
        <v>0</v>
      </c>
      <c r="AD1476" s="421"/>
      <c r="AE1476" s="413"/>
      <c r="AF1476" s="424">
        <f t="shared" si="328"/>
        <v>263088</v>
      </c>
      <c r="AG1476" s="405" t="s">
        <v>47</v>
      </c>
      <c r="AH1476" s="405"/>
      <c r="AI1476" s="414" t="s">
        <v>2520</v>
      </c>
      <c r="AJ1476" s="405"/>
      <c r="AK1476" s="425"/>
      <c r="AL1476" s="405"/>
      <c r="AM1476" s="405" t="s">
        <v>52</v>
      </c>
      <c r="AN1476" s="405" t="s">
        <v>4767</v>
      </c>
      <c r="AO1476" s="405"/>
      <c r="AP1476" s="417"/>
      <c r="AQ1476" s="417" t="s">
        <v>37</v>
      </c>
      <c r="AR1476" s="417"/>
      <c r="AS1476" s="426"/>
      <c r="AT1476" s="426"/>
      <c r="AU1476" s="409"/>
      <c r="AV1476" s="402" t="str">
        <f>U1476</f>
        <v>30397572C</v>
      </c>
      <c r="AW1476" s="402" cm="1">
        <f t="array" ref="AW1476">SUM(MID(0&amp;AV1476,LARGE(INDEX(ISNUMBER(--MID(AV1476,ROW($1:$8),1))*ROW($1:$8),),ROW($1:$8))+1,1)*10^ROW($1:$8)/10)</f>
        <v>30397572</v>
      </c>
      <c r="AX1476" s="402" t="str">
        <f>VLOOKUP($AW1476,'Item Master Data'!$A:$F,3,FALSE)</f>
        <v>Q.PEAK DUO XL G10 BFG</v>
      </c>
      <c r="AY1476" s="402">
        <f>VLOOKUP($AW1476,'Item Master Data'!$A:$F,6,FALSE)</f>
        <v>480</v>
      </c>
      <c r="AZ1476" s="402">
        <f>X1476/BA1476</f>
        <v>42</v>
      </c>
      <c r="BA1476" s="402">
        <f>VLOOKUP(AW1476,'Item Master Data'!$A:$G,7,FALSE)</f>
        <v>29</v>
      </c>
      <c r="BC1476" s="402">
        <f>W1476-AY1476</f>
        <v>0</v>
      </c>
    </row>
    <row r="1477" spans="1:55" s="402" customFormat="1">
      <c r="A1477" s="403"/>
      <c r="B1477" s="446">
        <v>44629</v>
      </c>
      <c r="C1477" s="446">
        <v>44629</v>
      </c>
      <c r="D1477" s="416" t="s">
        <v>2480</v>
      </c>
      <c r="E1477" s="405" t="s">
        <v>4765</v>
      </c>
      <c r="F1477" s="405"/>
      <c r="G1477" s="405">
        <v>2022</v>
      </c>
      <c r="H1477" s="405">
        <v>5</v>
      </c>
      <c r="I1477" s="405">
        <v>2005163</v>
      </c>
      <c r="J1477" s="406"/>
      <c r="K1477" s="414" t="s">
        <v>4768</v>
      </c>
      <c r="L1477" s="405" t="s">
        <v>2481</v>
      </c>
      <c r="M1477" s="418">
        <v>44610</v>
      </c>
      <c r="N1477" s="418">
        <v>44652</v>
      </c>
      <c r="O1477" s="418">
        <v>44652</v>
      </c>
      <c r="P1477" s="406" t="s">
        <v>4539</v>
      </c>
      <c r="Q1477" s="406"/>
      <c r="R1477" s="406"/>
      <c r="S1477" s="405" t="s">
        <v>1940</v>
      </c>
      <c r="T1477" s="405">
        <v>72</v>
      </c>
      <c r="U1477" s="405" t="s">
        <v>1322</v>
      </c>
      <c r="V1477" s="405" t="s">
        <v>995</v>
      </c>
      <c r="W1477" s="405">
        <v>480</v>
      </c>
      <c r="X1477" s="407">
        <v>638</v>
      </c>
      <c r="Y1477" s="422">
        <f t="shared" si="315"/>
        <v>306240</v>
      </c>
      <c r="Z1477" s="409">
        <v>0.45</v>
      </c>
      <c r="AA1477" s="410">
        <f t="shared" si="320"/>
        <v>137808</v>
      </c>
      <c r="AB1477" s="411"/>
      <c r="AC1477" s="412">
        <f t="shared" si="327"/>
        <v>0</v>
      </c>
      <c r="AD1477" s="421"/>
      <c r="AE1477" s="413"/>
      <c r="AF1477" s="424">
        <f t="shared" si="328"/>
        <v>137808</v>
      </c>
      <c r="AG1477" s="405" t="s">
        <v>47</v>
      </c>
      <c r="AH1477" s="405"/>
      <c r="AI1477" s="414" t="s">
        <v>2520</v>
      </c>
      <c r="AJ1477" s="405"/>
      <c r="AK1477" s="425"/>
      <c r="AL1477" s="405"/>
      <c r="AM1477" s="405" t="s">
        <v>52</v>
      </c>
      <c r="AN1477" s="405" t="s">
        <v>4767</v>
      </c>
      <c r="AO1477" s="405"/>
      <c r="AP1477" s="417"/>
      <c r="AQ1477" s="417" t="s">
        <v>37</v>
      </c>
      <c r="AR1477" s="417"/>
      <c r="AS1477" s="426"/>
      <c r="AT1477" s="426"/>
      <c r="AU1477" s="409"/>
      <c r="AV1477" s="402" t="str">
        <f>U1477</f>
        <v>30397572C</v>
      </c>
      <c r="AW1477" s="402" cm="1">
        <f t="array" ref="AW1477">SUM(MID(0&amp;AV1477,LARGE(INDEX(ISNUMBER(--MID(AV1477,ROW($1:$8),1))*ROW($1:$8),),ROW($1:$8))+1,1)*10^ROW($1:$8)/10)</f>
        <v>30397572</v>
      </c>
      <c r="AX1477" s="402" t="str">
        <f>VLOOKUP($AW1477,'Item Master Data'!$A:$F,3,FALSE)</f>
        <v>Q.PEAK DUO XL G10 BFG</v>
      </c>
      <c r="AY1477" s="402">
        <f>VLOOKUP($AW1477,'Item Master Data'!$A:$F,6,FALSE)</f>
        <v>480</v>
      </c>
      <c r="AZ1477" s="402">
        <f>X1477/BA1477</f>
        <v>22</v>
      </c>
      <c r="BA1477" s="402">
        <f>VLOOKUP(AW1477,'Item Master Data'!$A:$G,7,FALSE)</f>
        <v>29</v>
      </c>
      <c r="BC1477" s="402">
        <f>W1477-AY1477</f>
        <v>0</v>
      </c>
    </row>
    <row r="1478" spans="1:55" s="402" customFormat="1">
      <c r="A1478" s="403"/>
      <c r="B1478" s="446">
        <v>44629</v>
      </c>
      <c r="C1478" s="446">
        <v>44629</v>
      </c>
      <c r="D1478" s="416" t="s">
        <v>2480</v>
      </c>
      <c r="E1478" s="405" t="s">
        <v>4765</v>
      </c>
      <c r="F1478" s="405"/>
      <c r="G1478" s="405">
        <v>2022</v>
      </c>
      <c r="H1478" s="405">
        <v>5</v>
      </c>
      <c r="I1478" s="405">
        <v>2005163</v>
      </c>
      <c r="J1478" s="406"/>
      <c r="K1478" s="414" t="s">
        <v>4771</v>
      </c>
      <c r="L1478" s="405" t="s">
        <v>2481</v>
      </c>
      <c r="M1478" s="418">
        <v>44610</v>
      </c>
      <c r="N1478" s="418">
        <v>44652</v>
      </c>
      <c r="O1478" s="418">
        <v>44652</v>
      </c>
      <c r="P1478" s="406">
        <v>44693</v>
      </c>
      <c r="Q1478" s="406">
        <v>44698</v>
      </c>
      <c r="R1478" s="406">
        <v>44699</v>
      </c>
      <c r="S1478" s="405" t="s">
        <v>1940</v>
      </c>
      <c r="T1478" s="405">
        <v>72</v>
      </c>
      <c r="U1478" s="405" t="s">
        <v>1322</v>
      </c>
      <c r="V1478" s="405" t="s">
        <v>995</v>
      </c>
      <c r="W1478" s="405">
        <v>480</v>
      </c>
      <c r="X1478" s="407">
        <v>1566</v>
      </c>
      <c r="Y1478" s="408">
        <f t="shared" si="315"/>
        <v>751680</v>
      </c>
      <c r="Z1478" s="409">
        <v>0.45</v>
      </c>
      <c r="AA1478" s="410">
        <f t="shared" si="320"/>
        <v>338256</v>
      </c>
      <c r="AB1478" s="411"/>
      <c r="AC1478" s="412">
        <f t="shared" si="327"/>
        <v>0</v>
      </c>
      <c r="AD1478" s="421"/>
      <c r="AE1478" s="413"/>
      <c r="AF1478" s="424">
        <f t="shared" si="328"/>
        <v>338256</v>
      </c>
      <c r="AG1478" s="405" t="s">
        <v>47</v>
      </c>
      <c r="AH1478" s="405"/>
      <c r="AI1478" s="414" t="s">
        <v>2520</v>
      </c>
      <c r="AJ1478" s="405" t="s">
        <v>2560</v>
      </c>
      <c r="AK1478" s="425" t="s">
        <v>2561</v>
      </c>
      <c r="AL1478" s="425">
        <v>20020</v>
      </c>
      <c r="AM1478" s="405" t="s">
        <v>52</v>
      </c>
      <c r="AN1478" s="405" t="s">
        <v>4767</v>
      </c>
      <c r="AO1478" s="405"/>
      <c r="AP1478" s="417"/>
      <c r="AQ1478" s="417" t="s">
        <v>37</v>
      </c>
      <c r="AR1478" s="417"/>
      <c r="AS1478" s="426"/>
      <c r="AT1478" s="426"/>
      <c r="AU1478" s="409"/>
    </row>
    <row r="1479" spans="1:55" s="402" customFormat="1">
      <c r="A1479" s="403"/>
      <c r="B1479" s="446">
        <v>44629</v>
      </c>
      <c r="C1479" s="446">
        <v>44629</v>
      </c>
      <c r="D1479" s="416" t="s">
        <v>2480</v>
      </c>
      <c r="E1479" s="405" t="s">
        <v>4765</v>
      </c>
      <c r="F1479" s="405"/>
      <c r="G1479" s="405">
        <v>2022</v>
      </c>
      <c r="H1479" s="405">
        <v>5</v>
      </c>
      <c r="I1479" s="405">
        <v>2005163</v>
      </c>
      <c r="J1479" s="406"/>
      <c r="K1479" s="414" t="s">
        <v>4766</v>
      </c>
      <c r="L1479" s="405" t="s">
        <v>2481</v>
      </c>
      <c r="M1479" s="418">
        <v>44610</v>
      </c>
      <c r="N1479" s="418">
        <v>44652</v>
      </c>
      <c r="O1479" s="418">
        <v>44652</v>
      </c>
      <c r="P1479" s="406">
        <v>44691</v>
      </c>
      <c r="Q1479" s="406">
        <v>44693</v>
      </c>
      <c r="R1479" s="406">
        <v>44693</v>
      </c>
      <c r="S1479" s="405" t="s">
        <v>1940</v>
      </c>
      <c r="T1479" s="405">
        <v>72</v>
      </c>
      <c r="U1479" s="405" t="s">
        <v>1322</v>
      </c>
      <c r="V1479" s="405" t="s">
        <v>995</v>
      </c>
      <c r="W1479" s="405">
        <v>480</v>
      </c>
      <c r="X1479" s="407">
        <v>754</v>
      </c>
      <c r="Y1479" s="422">
        <f t="shared" si="315"/>
        <v>361920</v>
      </c>
      <c r="Z1479" s="409">
        <v>0.45</v>
      </c>
      <c r="AA1479" s="410">
        <f t="shared" si="320"/>
        <v>162864</v>
      </c>
      <c r="AB1479" s="411"/>
      <c r="AC1479" s="412">
        <f t="shared" si="327"/>
        <v>0</v>
      </c>
      <c r="AD1479" s="421"/>
      <c r="AE1479" s="413"/>
      <c r="AF1479" s="424">
        <f t="shared" si="328"/>
        <v>162864</v>
      </c>
      <c r="AG1479" s="405" t="s">
        <v>47</v>
      </c>
      <c r="AH1479" s="405"/>
      <c r="AI1479" s="414" t="s">
        <v>2520</v>
      </c>
      <c r="AJ1479" s="405" t="s">
        <v>4997</v>
      </c>
      <c r="AK1479" s="425" t="s">
        <v>2760</v>
      </c>
      <c r="AL1479" s="425">
        <v>3275</v>
      </c>
      <c r="AM1479" s="405" t="s">
        <v>52</v>
      </c>
      <c r="AN1479" s="405" t="s">
        <v>4767</v>
      </c>
      <c r="AO1479" s="405"/>
      <c r="AP1479" s="417"/>
      <c r="AQ1479" s="417" t="s">
        <v>37</v>
      </c>
      <c r="AR1479" s="417"/>
      <c r="AS1479" s="426"/>
      <c r="AT1479" s="426"/>
      <c r="AU1479" s="409"/>
      <c r="AV1479" s="402" t="str">
        <f>U1479</f>
        <v>30397572C</v>
      </c>
      <c r="AW1479" s="402" cm="1">
        <f t="array" ref="AW1479">SUM(MID(0&amp;AV1479,LARGE(INDEX(ISNUMBER(--MID(AV1479,ROW($1:$8),1))*ROW($1:$8),),ROW($1:$8))+1,1)*10^ROW($1:$8)/10)</f>
        <v>30397572</v>
      </c>
      <c r="AX1479" s="402" t="str">
        <f>VLOOKUP($AW1479,'Item Master Data'!$A:$F,3,FALSE)</f>
        <v>Q.PEAK DUO XL G10 BFG</v>
      </c>
      <c r="AY1479" s="402">
        <f>VLOOKUP($AW1479,'Item Master Data'!$A:$F,6,FALSE)</f>
        <v>480</v>
      </c>
      <c r="AZ1479" s="402">
        <f>X1479/BA1479</f>
        <v>26</v>
      </c>
      <c r="BA1479" s="402">
        <f>VLOOKUP(AW1479,'Item Master Data'!$A:$G,7,FALSE)</f>
        <v>29</v>
      </c>
      <c r="BC1479" s="402">
        <f>W1479-AY1479</f>
        <v>0</v>
      </c>
    </row>
    <row r="1480" spans="1:55" s="402" customFormat="1">
      <c r="A1480" s="403" t="s">
        <v>4585</v>
      </c>
      <c r="B1480" s="446">
        <v>44545</v>
      </c>
      <c r="C1480" s="446">
        <v>44634</v>
      </c>
      <c r="D1480" s="416" t="s">
        <v>2480</v>
      </c>
      <c r="E1480" s="405" t="s">
        <v>1239</v>
      </c>
      <c r="F1480" s="405"/>
      <c r="G1480" s="405">
        <v>2022</v>
      </c>
      <c r="H1480" s="405">
        <v>5</v>
      </c>
      <c r="I1480" s="405" t="s">
        <v>1498</v>
      </c>
      <c r="J1480" s="406"/>
      <c r="K1480" s="414" t="s">
        <v>2717</v>
      </c>
      <c r="L1480" s="405" t="s">
        <v>2481</v>
      </c>
      <c r="M1480" s="418">
        <v>44545</v>
      </c>
      <c r="N1480" s="418">
        <v>44689</v>
      </c>
      <c r="O1480" s="418"/>
      <c r="P1480" s="418" t="s">
        <v>4539</v>
      </c>
      <c r="Q1480" s="406"/>
      <c r="R1480" s="406"/>
      <c r="S1480" s="405" t="s">
        <v>1940</v>
      </c>
      <c r="T1480" s="405">
        <v>60</v>
      </c>
      <c r="U1480" s="405" t="s">
        <v>1237</v>
      </c>
      <c r="V1480" s="405" t="s">
        <v>973</v>
      </c>
      <c r="W1480" s="405">
        <v>400</v>
      </c>
      <c r="X1480" s="407">
        <v>480</v>
      </c>
      <c r="Y1480" s="408">
        <f t="shared" si="315"/>
        <v>192000</v>
      </c>
      <c r="Z1480" s="409">
        <v>0.55000000000000004</v>
      </c>
      <c r="AA1480" s="410">
        <f t="shared" si="320"/>
        <v>105600.00000000001</v>
      </c>
      <c r="AB1480" s="411"/>
      <c r="AC1480" s="412">
        <f t="shared" si="327"/>
        <v>0</v>
      </c>
      <c r="AD1480" s="421"/>
      <c r="AE1480" s="413">
        <v>8184</v>
      </c>
      <c r="AF1480" s="424">
        <f t="shared" si="328"/>
        <v>113784.00000000001</v>
      </c>
      <c r="AG1480" s="405" t="s">
        <v>47</v>
      </c>
      <c r="AH1480" s="405"/>
      <c r="AI1480" s="414" t="s">
        <v>1937</v>
      </c>
      <c r="AJ1480" s="405" t="s">
        <v>2504</v>
      </c>
      <c r="AK1480" s="425" t="s">
        <v>2505</v>
      </c>
      <c r="AL1480" s="405">
        <v>84115</v>
      </c>
      <c r="AM1480" s="405" t="s">
        <v>52</v>
      </c>
      <c r="AN1480" s="405" t="s">
        <v>50</v>
      </c>
      <c r="AO1480" s="405"/>
      <c r="AP1480" s="417"/>
      <c r="AQ1480" s="417" t="s">
        <v>37</v>
      </c>
      <c r="AR1480" s="417"/>
      <c r="AS1480" s="426"/>
      <c r="AT1480" s="426"/>
      <c r="AU1480" s="409">
        <v>0.55000000000000004</v>
      </c>
    </row>
    <row r="1481" spans="1:55" s="402" customFormat="1" ht="15" customHeight="1">
      <c r="A1481" s="403" t="s">
        <v>4584</v>
      </c>
      <c r="B1481" s="446">
        <v>44687</v>
      </c>
      <c r="C1481" s="446">
        <v>44687</v>
      </c>
      <c r="D1481" s="416" t="s">
        <v>2480</v>
      </c>
      <c r="E1481" s="405" t="s">
        <v>2497</v>
      </c>
      <c r="F1481" s="405"/>
      <c r="G1481" s="405">
        <v>2022</v>
      </c>
      <c r="H1481" s="405">
        <v>5</v>
      </c>
      <c r="I1481" s="405"/>
      <c r="J1481" s="406">
        <v>44623</v>
      </c>
      <c r="K1481" s="526" t="s">
        <v>2714</v>
      </c>
      <c r="L1481" s="451" t="s">
        <v>2481</v>
      </c>
      <c r="M1481" s="418">
        <v>44491</v>
      </c>
      <c r="N1481" s="418">
        <v>44571</v>
      </c>
      <c r="O1481" s="418" t="s">
        <v>1236</v>
      </c>
      <c r="P1481" s="406">
        <v>44690</v>
      </c>
      <c r="Q1481" s="406">
        <v>44693</v>
      </c>
      <c r="R1481" s="406">
        <v>44694</v>
      </c>
      <c r="S1481" s="405" t="s">
        <v>1940</v>
      </c>
      <c r="T1481" s="405">
        <v>60</v>
      </c>
      <c r="U1481" s="405">
        <v>49403140</v>
      </c>
      <c r="V1481" s="405" t="s">
        <v>973</v>
      </c>
      <c r="W1481" s="405">
        <v>400</v>
      </c>
      <c r="X1481" s="407">
        <v>768</v>
      </c>
      <c r="Y1481" s="408">
        <f t="shared" ref="Y1481:Y1544" si="329">X1481*W1481</f>
        <v>307200</v>
      </c>
      <c r="Z1481" s="409">
        <v>0.55000000000000004</v>
      </c>
      <c r="AA1481" s="410">
        <f t="shared" si="320"/>
        <v>168960</v>
      </c>
      <c r="AB1481" s="411"/>
      <c r="AC1481" s="412">
        <f t="shared" si="327"/>
        <v>0</v>
      </c>
      <c r="AD1481" s="421"/>
      <c r="AE1481" s="413"/>
      <c r="AF1481" s="424">
        <f t="shared" si="328"/>
        <v>168960</v>
      </c>
      <c r="AG1481" s="405" t="s">
        <v>47</v>
      </c>
      <c r="AH1481" s="405"/>
      <c r="AI1481" s="414" t="s">
        <v>1937</v>
      </c>
      <c r="AJ1481" s="405" t="s">
        <v>2498</v>
      </c>
      <c r="AK1481" s="425" t="s">
        <v>1317</v>
      </c>
      <c r="AL1481" s="425">
        <v>2203</v>
      </c>
      <c r="AM1481" s="405" t="s">
        <v>52</v>
      </c>
      <c r="AN1481" s="405" t="s">
        <v>1101</v>
      </c>
      <c r="AO1481" s="405"/>
      <c r="AP1481" s="417"/>
      <c r="AQ1481" s="417" t="s">
        <v>37</v>
      </c>
      <c r="AR1481" s="417"/>
      <c r="AS1481" s="426"/>
      <c r="AT1481" s="426"/>
      <c r="AU1481" s="409"/>
      <c r="AV1481" s="402">
        <f>U1481</f>
        <v>49403140</v>
      </c>
      <c r="AW1481" s="402" cm="1">
        <f t="array" ref="AW1481">SUM(MID(0&amp;AV1481,LARGE(INDEX(ISNUMBER(--MID(AV1481,ROW($1:$8),1))*ROW($1:$8),),ROW($1:$8))+1,1)*10^ROW($1:$8)/10)</f>
        <v>49403140</v>
      </c>
      <c r="AX1481" s="402" t="str">
        <f>VLOOKUP($AW1481,'Item Master Data'!$A:$F,3,FALSE)</f>
        <v>Q.PEAK DUO BLK ML G10+</v>
      </c>
      <c r="AY1481" s="402">
        <f>VLOOKUP($AW1481,'Item Master Data'!$A:$F,6,FALSE)</f>
        <v>400</v>
      </c>
      <c r="AZ1481" s="402">
        <f>X1481/BA1481</f>
        <v>24</v>
      </c>
      <c r="BA1481" s="402">
        <f>VLOOKUP(AW1481,'Item Master Data'!$A:$G,7,FALSE)</f>
        <v>32</v>
      </c>
      <c r="BC1481" s="402">
        <f>W1481-AY1481</f>
        <v>0</v>
      </c>
    </row>
    <row r="1482" spans="1:55" s="402" customFormat="1" ht="15" customHeight="1">
      <c r="A1482" s="403"/>
      <c r="B1482" s="446">
        <v>44566</v>
      </c>
      <c r="C1482" s="446">
        <v>44565</v>
      </c>
      <c r="D1482" s="416" t="s">
        <v>2480</v>
      </c>
      <c r="E1482" s="405" t="s">
        <v>2558</v>
      </c>
      <c r="F1482" s="405"/>
      <c r="G1482" s="405">
        <v>2022</v>
      </c>
      <c r="H1482" s="405">
        <v>6</v>
      </c>
      <c r="I1482" s="405">
        <v>2005094</v>
      </c>
      <c r="J1482" s="406"/>
      <c r="K1482" s="414" t="s">
        <v>2559</v>
      </c>
      <c r="L1482" s="405" t="s">
        <v>2481</v>
      </c>
      <c r="M1482" s="418">
        <v>44565</v>
      </c>
      <c r="N1482" s="418">
        <v>44683</v>
      </c>
      <c r="O1482" s="418"/>
      <c r="P1482" s="406"/>
      <c r="Q1482" s="406"/>
      <c r="R1482" s="406"/>
      <c r="S1482" s="405" t="s">
        <v>1940</v>
      </c>
      <c r="T1482" s="405">
        <v>72</v>
      </c>
      <c r="U1482" s="405"/>
      <c r="V1482" s="405" t="s">
        <v>995</v>
      </c>
      <c r="W1482" s="405">
        <v>480</v>
      </c>
      <c r="X1482" s="407">
        <v>2987</v>
      </c>
      <c r="Y1482" s="486">
        <f t="shared" si="329"/>
        <v>1433760</v>
      </c>
      <c r="Z1482" s="409">
        <v>0.49</v>
      </c>
      <c r="AA1482" s="410">
        <f t="shared" si="320"/>
        <v>702542.4</v>
      </c>
      <c r="AB1482" s="411"/>
      <c r="AC1482" s="412">
        <f t="shared" si="327"/>
        <v>0</v>
      </c>
      <c r="AD1482" s="421"/>
      <c r="AE1482" s="413"/>
      <c r="AF1482" s="424">
        <f t="shared" si="328"/>
        <v>702542.4</v>
      </c>
      <c r="AG1482" s="405" t="s">
        <v>47</v>
      </c>
      <c r="AH1482" s="405">
        <v>100</v>
      </c>
      <c r="AI1482" s="414"/>
      <c r="AJ1482" s="405" t="s">
        <v>2560</v>
      </c>
      <c r="AK1482" s="425" t="s">
        <v>2561</v>
      </c>
      <c r="AL1482" s="405">
        <v>20020</v>
      </c>
      <c r="AM1482" s="405" t="s">
        <v>52</v>
      </c>
      <c r="AN1482" s="405"/>
      <c r="AO1482" s="405"/>
      <c r="AP1482" s="417"/>
      <c r="AQ1482" s="417" t="s">
        <v>37</v>
      </c>
      <c r="AR1482" s="417"/>
      <c r="AS1482" s="426"/>
      <c r="AT1482" s="426"/>
      <c r="AU1482" s="409"/>
      <c r="AV1482" s="402">
        <f>U1482</f>
        <v>0</v>
      </c>
      <c r="AW1482" s="402" cm="1">
        <f t="array" ref="AW1482">SUM(MID(0&amp;AV1482,LARGE(INDEX(ISNUMBER(--MID(AV1482,ROW($1:$8),1))*ROW($1:$8),),ROW($1:$8))+1,1)*10^ROW($1:$8)/10)</f>
        <v>0</v>
      </c>
      <c r="AX1482" s="402" t="e">
        <f>VLOOKUP($AW1482,'Item Master Data'!$A:$F,3,FALSE)</f>
        <v>#N/A</v>
      </c>
      <c r="AY1482" s="402" t="e">
        <f>VLOOKUP($AW1482,'Item Master Data'!$A:$F,6,FALSE)</f>
        <v>#N/A</v>
      </c>
      <c r="AZ1482" s="402" t="e">
        <f>X1482/BA1482</f>
        <v>#N/A</v>
      </c>
      <c r="BA1482" s="402" t="e">
        <f>VLOOKUP(AW1482,'Item Master Data'!$A:$G,7,FALSE)</f>
        <v>#N/A</v>
      </c>
      <c r="BC1482" s="402" t="e">
        <f>W1482-AY1482</f>
        <v>#N/A</v>
      </c>
    </row>
    <row r="1483" spans="1:55" s="402" customFormat="1" ht="15" customHeight="1">
      <c r="A1483" s="403"/>
      <c r="B1483" s="446">
        <v>44683</v>
      </c>
      <c r="C1483" s="446">
        <v>44683</v>
      </c>
      <c r="D1483" s="416" t="s">
        <v>2480</v>
      </c>
      <c r="E1483" s="405" t="s">
        <v>4540</v>
      </c>
      <c r="F1483" s="405"/>
      <c r="G1483" s="405">
        <v>2022</v>
      </c>
      <c r="H1483" s="405">
        <v>6</v>
      </c>
      <c r="I1483" s="405"/>
      <c r="J1483" s="406"/>
      <c r="K1483" s="414" t="s">
        <v>2562</v>
      </c>
      <c r="L1483" s="405" t="s">
        <v>2481</v>
      </c>
      <c r="M1483" s="418">
        <v>44603</v>
      </c>
      <c r="N1483" s="418">
        <v>44683</v>
      </c>
      <c r="O1483" s="418"/>
      <c r="P1483" s="406" t="s">
        <v>2614</v>
      </c>
      <c r="Q1483" s="406"/>
      <c r="R1483" s="406"/>
      <c r="S1483" s="405" t="s">
        <v>1940</v>
      </c>
      <c r="T1483" s="405">
        <v>72</v>
      </c>
      <c r="U1483" s="405"/>
      <c r="V1483" s="405" t="s">
        <v>995</v>
      </c>
      <c r="W1483" s="405">
        <v>480</v>
      </c>
      <c r="X1483" s="407">
        <v>522</v>
      </c>
      <c r="Y1483" s="408">
        <f t="shared" si="329"/>
        <v>250560</v>
      </c>
      <c r="Z1483" s="409">
        <v>0.51500000000000001</v>
      </c>
      <c r="AA1483" s="410">
        <f t="shared" si="320"/>
        <v>129038.40000000001</v>
      </c>
      <c r="AB1483" s="411"/>
      <c r="AC1483" s="412">
        <f t="shared" si="327"/>
        <v>0</v>
      </c>
      <c r="AD1483" s="421"/>
      <c r="AE1483" s="413"/>
      <c r="AF1483" s="424">
        <f t="shared" si="328"/>
        <v>129038.40000000001</v>
      </c>
      <c r="AG1483" s="405" t="s">
        <v>47</v>
      </c>
      <c r="AH1483" s="405"/>
      <c r="AI1483" s="414">
        <v>30</v>
      </c>
      <c r="AJ1483" s="405" t="s">
        <v>2563</v>
      </c>
      <c r="AK1483" s="425" t="s">
        <v>1312</v>
      </c>
      <c r="AL1483" s="405">
        <v>5676</v>
      </c>
      <c r="AM1483" s="405" t="s">
        <v>52</v>
      </c>
      <c r="AN1483" s="405"/>
      <c r="AO1483" s="405"/>
      <c r="AP1483" s="417"/>
      <c r="AQ1483" s="417" t="s">
        <v>37</v>
      </c>
      <c r="AR1483" s="417"/>
      <c r="AS1483" s="426"/>
      <c r="AT1483" s="426"/>
      <c r="AU1483" s="409"/>
      <c r="AV1483" s="402">
        <f>U1483</f>
        <v>0</v>
      </c>
      <c r="AW1483" s="402" cm="1">
        <f t="array" ref="AW1483">SUM(MID(0&amp;AV1483,LARGE(INDEX(ISNUMBER(--MID(AV1483,ROW($1:$8),1))*ROW($1:$8),),ROW($1:$8))+1,1)*10^ROW($1:$8)/10)</f>
        <v>0</v>
      </c>
      <c r="AX1483" s="402" t="e">
        <f>VLOOKUP($AW1483,'Item Master Data'!$A:$F,3,FALSE)</f>
        <v>#N/A</v>
      </c>
      <c r="AY1483" s="402" t="e">
        <f>VLOOKUP($AW1483,'Item Master Data'!$A:$F,6,FALSE)</f>
        <v>#N/A</v>
      </c>
      <c r="AZ1483" s="402" t="e">
        <f>X1483/BA1483</f>
        <v>#N/A</v>
      </c>
      <c r="BA1483" s="402" t="e">
        <f>VLOOKUP(AW1483,'Item Master Data'!$A:$G,7,FALSE)</f>
        <v>#N/A</v>
      </c>
      <c r="BC1483" s="402" t="e">
        <f>W1483-AY1483</f>
        <v>#N/A</v>
      </c>
    </row>
    <row r="1484" spans="1:55" s="402" customFormat="1" ht="15" customHeight="1">
      <c r="A1484" s="403"/>
      <c r="B1484" s="446">
        <v>44603</v>
      </c>
      <c r="C1484" s="446">
        <v>44603</v>
      </c>
      <c r="D1484" s="416" t="s">
        <v>2480</v>
      </c>
      <c r="E1484" s="405" t="s">
        <v>1239</v>
      </c>
      <c r="F1484" s="405"/>
      <c r="G1484" s="405">
        <v>2022</v>
      </c>
      <c r="H1484" s="405">
        <v>6</v>
      </c>
      <c r="I1484" s="405"/>
      <c r="J1484" s="406"/>
      <c r="K1484" s="414" t="s">
        <v>2564</v>
      </c>
      <c r="L1484" s="405" t="s">
        <v>2481</v>
      </c>
      <c r="M1484" s="418">
        <v>44603</v>
      </c>
      <c r="N1484" s="418">
        <v>44683</v>
      </c>
      <c r="O1484" s="418"/>
      <c r="P1484" s="406" t="s">
        <v>2614</v>
      </c>
      <c r="Q1484" s="406"/>
      <c r="R1484" s="406"/>
      <c r="S1484" s="405" t="s">
        <v>1940</v>
      </c>
      <c r="T1484" s="405">
        <v>72</v>
      </c>
      <c r="U1484" s="405"/>
      <c r="V1484" s="405" t="s">
        <v>1068</v>
      </c>
      <c r="W1484" s="405">
        <v>475</v>
      </c>
      <c r="X1484" s="407">
        <v>261</v>
      </c>
      <c r="Y1484" s="408">
        <f t="shared" si="329"/>
        <v>123975</v>
      </c>
      <c r="Z1484" s="409">
        <v>0.51</v>
      </c>
      <c r="AA1484" s="410">
        <f t="shared" si="320"/>
        <v>63227.25</v>
      </c>
      <c r="AB1484" s="411"/>
      <c r="AC1484" s="412">
        <f t="shared" si="327"/>
        <v>0</v>
      </c>
      <c r="AD1484" s="421"/>
      <c r="AE1484" s="413"/>
      <c r="AF1484" s="424">
        <f t="shared" si="328"/>
        <v>63227.25</v>
      </c>
      <c r="AG1484" s="405" t="s">
        <v>47</v>
      </c>
      <c r="AH1484" s="405"/>
      <c r="AI1484" s="414">
        <v>30</v>
      </c>
      <c r="AJ1484" s="405" t="s">
        <v>2565</v>
      </c>
      <c r="AK1484" s="425" t="s">
        <v>1130</v>
      </c>
      <c r="AL1484" s="405">
        <v>12401</v>
      </c>
      <c r="AM1484" s="405" t="s">
        <v>52</v>
      </c>
      <c r="AN1484" s="405"/>
      <c r="AO1484" s="405"/>
      <c r="AP1484" s="417"/>
      <c r="AQ1484" s="417" t="s">
        <v>37</v>
      </c>
      <c r="AR1484" s="417"/>
      <c r="AS1484" s="426"/>
      <c r="AT1484" s="426"/>
      <c r="AU1484" s="409"/>
      <c r="AV1484" s="402">
        <f>U1484</f>
        <v>0</v>
      </c>
      <c r="AW1484" s="402" cm="1">
        <f t="array" ref="AW1484">SUM(MID(0&amp;AV1484,LARGE(INDEX(ISNUMBER(--MID(AV1484,ROW($1:$8),1))*ROW($1:$8),),ROW($1:$8))+1,1)*10^ROW($1:$8)/10)</f>
        <v>0</v>
      </c>
      <c r="AX1484" s="402" t="e">
        <f>VLOOKUP($AW1484,'Item Master Data'!$A:$F,3,FALSE)</f>
        <v>#N/A</v>
      </c>
      <c r="AY1484" s="402" t="e">
        <f>VLOOKUP($AW1484,'Item Master Data'!$A:$F,6,FALSE)</f>
        <v>#N/A</v>
      </c>
      <c r="AZ1484" s="402" t="e">
        <f>X1484/BA1484</f>
        <v>#N/A</v>
      </c>
      <c r="BA1484" s="402" t="e">
        <f>VLOOKUP(AW1484,'Item Master Data'!$A:$G,7,FALSE)</f>
        <v>#N/A</v>
      </c>
      <c r="BC1484" s="402" t="e">
        <f>W1484-AY1484</f>
        <v>#N/A</v>
      </c>
    </row>
    <row r="1485" spans="1:55" s="402" customFormat="1" ht="15" customHeight="1">
      <c r="A1485" s="403" t="s">
        <v>4845</v>
      </c>
      <c r="B1485" s="446">
        <v>44610</v>
      </c>
      <c r="C1485" s="446">
        <v>44627</v>
      </c>
      <c r="D1485" s="416" t="s">
        <v>2480</v>
      </c>
      <c r="E1485" s="405"/>
      <c r="F1485" s="405"/>
      <c r="G1485" s="405">
        <v>2022</v>
      </c>
      <c r="H1485" s="405">
        <v>5</v>
      </c>
      <c r="I1485" s="405"/>
      <c r="J1485" s="406"/>
      <c r="K1485" s="526" t="s">
        <v>4087</v>
      </c>
      <c r="L1485" s="451" t="s">
        <v>2481</v>
      </c>
      <c r="M1485" s="418">
        <v>44468</v>
      </c>
      <c r="N1485" s="418">
        <v>44564</v>
      </c>
      <c r="O1485" s="418">
        <v>44684</v>
      </c>
      <c r="P1485" s="406">
        <v>44679</v>
      </c>
      <c r="Q1485" s="406">
        <v>44687</v>
      </c>
      <c r="R1485" s="406">
        <v>44691</v>
      </c>
      <c r="S1485" s="405" t="s">
        <v>1940</v>
      </c>
      <c r="T1485" s="405">
        <v>60</v>
      </c>
      <c r="U1485" s="405">
        <v>49204132</v>
      </c>
      <c r="V1485" s="405" t="s">
        <v>1192</v>
      </c>
      <c r="W1485" s="405">
        <v>360</v>
      </c>
      <c r="X1485" s="407">
        <v>390</v>
      </c>
      <c r="Y1485" s="408">
        <f t="shared" si="329"/>
        <v>140400</v>
      </c>
      <c r="Z1485" s="409">
        <v>0.83</v>
      </c>
      <c r="AA1485" s="410">
        <f t="shared" ref="AA1485:AA1548" si="330">Z1485*Y1485</f>
        <v>116532</v>
      </c>
      <c r="AB1485" s="411"/>
      <c r="AC1485" s="412">
        <f t="shared" si="327"/>
        <v>0</v>
      </c>
      <c r="AD1485" s="421"/>
      <c r="AE1485" s="413"/>
      <c r="AF1485" s="424">
        <f t="shared" si="328"/>
        <v>116532</v>
      </c>
      <c r="AG1485" s="405" t="s">
        <v>47</v>
      </c>
      <c r="AH1485" s="405">
        <v>100</v>
      </c>
      <c r="AI1485" s="414"/>
      <c r="AJ1485" s="405" t="s">
        <v>2482</v>
      </c>
      <c r="AK1485" s="425" t="s">
        <v>2483</v>
      </c>
      <c r="AL1485" s="425">
        <v>25704</v>
      </c>
      <c r="AM1485" s="405" t="s">
        <v>52</v>
      </c>
      <c r="AN1485" s="405" t="s">
        <v>1101</v>
      </c>
      <c r="AO1485" s="405"/>
      <c r="AP1485" s="417"/>
      <c r="AQ1485" s="417" t="s">
        <v>37</v>
      </c>
      <c r="AR1485" s="417"/>
      <c r="AS1485" s="426"/>
      <c r="AT1485" s="426"/>
      <c r="AU1485" s="409"/>
      <c r="AV1485" s="402">
        <f>U1485</f>
        <v>49204132</v>
      </c>
      <c r="AW1485" s="402" cm="1">
        <f t="array" ref="AW1485">SUM(MID(0&amp;AV1485,LARGE(INDEX(ISNUMBER(--MID(AV1485,ROW($1:$8),1))*ROW($1:$8),),ROW($1:$8))+1,1)*10^ROW($1:$8)/10)</f>
        <v>49204132</v>
      </c>
      <c r="AX1485" s="402" t="str">
        <f>VLOOKUP($AW1485,'Item Master Data'!$A:$F,3,FALSE)</f>
        <v>Q.PEAK DUO BLK G10+/AC</v>
      </c>
      <c r="AY1485" s="402">
        <f>VLOOKUP($AW1485,'Item Master Data'!$A:$F,6,FALSE)</f>
        <v>360</v>
      </c>
      <c r="AZ1485" s="402">
        <f>X1485/BA1485</f>
        <v>15</v>
      </c>
      <c r="BA1485" s="402">
        <f>VLOOKUP(AW1485,'Item Master Data'!$A:$G,7,FALSE)</f>
        <v>26</v>
      </c>
      <c r="BC1485" s="402">
        <f>W1485-AY1485</f>
        <v>0</v>
      </c>
    </row>
    <row r="1486" spans="1:55" s="402" customFormat="1">
      <c r="A1486" s="403" t="s">
        <v>4845</v>
      </c>
      <c r="B1486" s="446">
        <v>44610</v>
      </c>
      <c r="C1486" s="446">
        <v>44627</v>
      </c>
      <c r="D1486" s="416" t="s">
        <v>2480</v>
      </c>
      <c r="E1486" s="405"/>
      <c r="F1486" s="405"/>
      <c r="G1486" s="405">
        <v>2022</v>
      </c>
      <c r="H1486" s="405">
        <v>5</v>
      </c>
      <c r="I1486" s="405"/>
      <c r="J1486" s="406"/>
      <c r="K1486" s="414" t="s">
        <v>4430</v>
      </c>
      <c r="L1486" s="405" t="s">
        <v>2481</v>
      </c>
      <c r="M1486" s="418">
        <v>44468</v>
      </c>
      <c r="N1486" s="418">
        <v>44564</v>
      </c>
      <c r="O1486" s="418">
        <v>44690</v>
      </c>
      <c r="P1486" s="406">
        <v>44690</v>
      </c>
      <c r="Q1486" s="406">
        <v>44694</v>
      </c>
      <c r="R1486" s="406">
        <v>44697</v>
      </c>
      <c r="S1486" s="405" t="s">
        <v>1940</v>
      </c>
      <c r="T1486" s="405">
        <v>60</v>
      </c>
      <c r="U1486" s="405">
        <v>49204132</v>
      </c>
      <c r="V1486" s="405" t="s">
        <v>1192</v>
      </c>
      <c r="W1486" s="405">
        <v>360</v>
      </c>
      <c r="X1486" s="407">
        <v>338</v>
      </c>
      <c r="Y1486" s="408">
        <f t="shared" si="329"/>
        <v>121680</v>
      </c>
      <c r="Z1486" s="409">
        <v>0.83</v>
      </c>
      <c r="AA1486" s="410">
        <f t="shared" si="330"/>
        <v>100994.4</v>
      </c>
      <c r="AB1486" s="411"/>
      <c r="AC1486" s="412">
        <f t="shared" si="327"/>
        <v>0</v>
      </c>
      <c r="AD1486" s="421"/>
      <c r="AE1486" s="413"/>
      <c r="AF1486" s="424">
        <f t="shared" si="328"/>
        <v>100994.4</v>
      </c>
      <c r="AG1486" s="405" t="s">
        <v>47</v>
      </c>
      <c r="AH1486" s="405">
        <v>100</v>
      </c>
      <c r="AI1486" s="414"/>
      <c r="AJ1486" s="405" t="s">
        <v>2482</v>
      </c>
      <c r="AK1486" s="425" t="s">
        <v>2483</v>
      </c>
      <c r="AL1486" s="425">
        <v>25704</v>
      </c>
      <c r="AM1486" s="405" t="s">
        <v>52</v>
      </c>
      <c r="AN1486" s="405" t="s">
        <v>1101</v>
      </c>
      <c r="AO1486" s="405"/>
      <c r="AP1486" s="417"/>
      <c r="AQ1486" s="417" t="s">
        <v>37</v>
      </c>
      <c r="AR1486" s="417"/>
      <c r="AS1486" s="426"/>
      <c r="AT1486" s="426"/>
      <c r="AU1486" s="409"/>
    </row>
    <row r="1487" spans="1:55" s="402" customFormat="1">
      <c r="A1487" s="403" t="s">
        <v>4845</v>
      </c>
      <c r="B1487" s="446">
        <v>44610</v>
      </c>
      <c r="C1487" s="446">
        <v>44627</v>
      </c>
      <c r="D1487" s="416" t="s">
        <v>2480</v>
      </c>
      <c r="E1487" s="405"/>
      <c r="F1487" s="405"/>
      <c r="G1487" s="405">
        <v>2022</v>
      </c>
      <c r="H1487" s="405">
        <v>5</v>
      </c>
      <c r="I1487" s="405"/>
      <c r="J1487" s="406"/>
      <c r="K1487" s="414" t="s">
        <v>4764</v>
      </c>
      <c r="L1487" s="405" t="s">
        <v>2481</v>
      </c>
      <c r="M1487" s="418">
        <v>44468</v>
      </c>
      <c r="N1487" s="418">
        <v>44564</v>
      </c>
      <c r="O1487" s="418"/>
      <c r="P1487" s="406"/>
      <c r="Q1487" s="406"/>
      <c r="R1487" s="406"/>
      <c r="S1487" s="405" t="s">
        <v>1940</v>
      </c>
      <c r="T1487" s="405">
        <v>60</v>
      </c>
      <c r="U1487" s="405">
        <v>49204132</v>
      </c>
      <c r="V1487" s="405" t="s">
        <v>1192</v>
      </c>
      <c r="W1487" s="405">
        <v>360</v>
      </c>
      <c r="X1487" s="407">
        <v>676</v>
      </c>
      <c r="Y1487" s="408">
        <f t="shared" si="329"/>
        <v>243360</v>
      </c>
      <c r="Z1487" s="409">
        <v>0.83</v>
      </c>
      <c r="AA1487" s="410">
        <f t="shared" si="330"/>
        <v>201988.8</v>
      </c>
      <c r="AB1487" s="411"/>
      <c r="AC1487" s="412">
        <f t="shared" si="327"/>
        <v>0</v>
      </c>
      <c r="AD1487" s="421"/>
      <c r="AE1487" s="413"/>
      <c r="AF1487" s="424">
        <f t="shared" si="328"/>
        <v>201988.8</v>
      </c>
      <c r="AG1487" s="405" t="s">
        <v>47</v>
      </c>
      <c r="AH1487" s="405">
        <v>100</v>
      </c>
      <c r="AI1487" s="414"/>
      <c r="AJ1487" s="405" t="s">
        <v>2482</v>
      </c>
      <c r="AK1487" s="425" t="s">
        <v>2483</v>
      </c>
      <c r="AL1487" s="405">
        <v>25704</v>
      </c>
      <c r="AM1487" s="405" t="s">
        <v>52</v>
      </c>
      <c r="AN1487" s="405" t="s">
        <v>1101</v>
      </c>
      <c r="AO1487" s="405"/>
      <c r="AP1487" s="417"/>
      <c r="AQ1487" s="417" t="s">
        <v>37</v>
      </c>
      <c r="AR1487" s="417"/>
      <c r="AS1487" s="426"/>
      <c r="AT1487" s="426"/>
      <c r="AU1487" s="409"/>
      <c r="AV1487" s="402">
        <f>U1487</f>
        <v>49204132</v>
      </c>
      <c r="AW1487" s="402" cm="1">
        <f t="array" ref="AW1487">SUM(MID(0&amp;AV1487,LARGE(INDEX(ISNUMBER(--MID(AV1487,ROW($1:$8),1))*ROW($1:$8),),ROW($1:$8))+1,1)*10^ROW($1:$8)/10)</f>
        <v>49204132</v>
      </c>
      <c r="AX1487" s="402" t="str">
        <f>VLOOKUP($AW1487,'Item Master Data'!$A:$F,3,FALSE)</f>
        <v>Q.PEAK DUO BLK G10+/AC</v>
      </c>
      <c r="AY1487" s="402">
        <f>VLOOKUP($AW1487,'Item Master Data'!$A:$F,6,FALSE)</f>
        <v>360</v>
      </c>
      <c r="AZ1487" s="402">
        <f>X1487/BA1487</f>
        <v>26</v>
      </c>
      <c r="BA1487" s="402">
        <f>VLOOKUP(AW1487,'Item Master Data'!$A:$G,7,FALSE)</f>
        <v>26</v>
      </c>
      <c r="BC1487" s="402">
        <f>W1487-AY1487</f>
        <v>0</v>
      </c>
    </row>
    <row r="1488" spans="1:55" s="402" customFormat="1">
      <c r="A1488" s="403" t="s">
        <v>4845</v>
      </c>
      <c r="B1488" s="446">
        <v>44610</v>
      </c>
      <c r="C1488" s="446">
        <v>44627</v>
      </c>
      <c r="D1488" s="416" t="s">
        <v>2480</v>
      </c>
      <c r="E1488" s="405"/>
      <c r="F1488" s="405"/>
      <c r="G1488" s="405">
        <v>2022</v>
      </c>
      <c r="H1488" s="405">
        <v>6</v>
      </c>
      <c r="I1488" s="405"/>
      <c r="J1488" s="406"/>
      <c r="K1488" s="414" t="s">
        <v>4998</v>
      </c>
      <c r="L1488" s="405" t="s">
        <v>2481</v>
      </c>
      <c r="M1488" s="418">
        <v>44468</v>
      </c>
      <c r="N1488" s="418">
        <v>44564</v>
      </c>
      <c r="O1488" s="418"/>
      <c r="P1488" s="406"/>
      <c r="Q1488" s="406"/>
      <c r="R1488" s="406"/>
      <c r="S1488" s="405" t="s">
        <v>1940</v>
      </c>
      <c r="T1488" s="405">
        <v>60</v>
      </c>
      <c r="U1488" s="405">
        <v>49204132</v>
      </c>
      <c r="V1488" s="405" t="s">
        <v>1192</v>
      </c>
      <c r="W1488" s="405">
        <v>360</v>
      </c>
      <c r="X1488" s="407">
        <v>702</v>
      </c>
      <c r="Y1488" s="408">
        <f t="shared" si="329"/>
        <v>252720</v>
      </c>
      <c r="Z1488" s="409">
        <v>0.83</v>
      </c>
      <c r="AA1488" s="410">
        <f t="shared" si="330"/>
        <v>209757.59999999998</v>
      </c>
      <c r="AB1488" s="411"/>
      <c r="AC1488" s="412">
        <f t="shared" si="327"/>
        <v>0</v>
      </c>
      <c r="AD1488" s="421"/>
      <c r="AE1488" s="413"/>
      <c r="AF1488" s="424">
        <f t="shared" si="328"/>
        <v>209757.59999999998</v>
      </c>
      <c r="AG1488" s="405" t="s">
        <v>47</v>
      </c>
      <c r="AH1488" s="405">
        <v>100</v>
      </c>
      <c r="AI1488" s="414"/>
      <c r="AJ1488" s="405" t="s">
        <v>2482</v>
      </c>
      <c r="AK1488" s="425" t="s">
        <v>2483</v>
      </c>
      <c r="AL1488" s="405">
        <v>25704</v>
      </c>
      <c r="AM1488" s="405" t="s">
        <v>52</v>
      </c>
      <c r="AN1488" s="405" t="s">
        <v>1101</v>
      </c>
      <c r="AO1488" s="405"/>
      <c r="AP1488" s="417"/>
      <c r="AQ1488" s="417" t="s">
        <v>37</v>
      </c>
      <c r="AR1488" s="417"/>
      <c r="AS1488" s="426"/>
      <c r="AT1488" s="426"/>
      <c r="AU1488" s="409"/>
      <c r="AV1488" s="402">
        <f>U1488</f>
        <v>49204132</v>
      </c>
      <c r="AW1488" s="402" cm="1">
        <f t="array" ref="AW1488">SUM(MID(0&amp;AV1488,LARGE(INDEX(ISNUMBER(--MID(AV1488,ROW($1:$8),1))*ROW($1:$8),),ROW($1:$8))+1,1)*10^ROW($1:$8)/10)</f>
        <v>49204132</v>
      </c>
      <c r="AX1488" s="402" t="str">
        <f>VLOOKUP($AW1488,'Item Master Data'!$A:$F,3,FALSE)</f>
        <v>Q.PEAK DUO BLK G10+/AC</v>
      </c>
      <c r="AY1488" s="402">
        <f>VLOOKUP($AW1488,'Item Master Data'!$A:$F,6,FALSE)</f>
        <v>360</v>
      </c>
      <c r="AZ1488" s="402">
        <f>X1488/BA1488</f>
        <v>27</v>
      </c>
      <c r="BA1488" s="402">
        <f>VLOOKUP(AW1488,'Item Master Data'!$A:$G,7,FALSE)</f>
        <v>26</v>
      </c>
      <c r="BC1488" s="402">
        <f>W1488-AY1488</f>
        <v>0</v>
      </c>
    </row>
    <row r="1489" spans="1:55" s="402" customFormat="1">
      <c r="A1489" s="403" t="s">
        <v>4584</v>
      </c>
      <c r="B1489" s="446">
        <v>44624</v>
      </c>
      <c r="C1489" s="446">
        <v>44655</v>
      </c>
      <c r="D1489" s="416" t="s">
        <v>2480</v>
      </c>
      <c r="E1489" s="405" t="s">
        <v>4538</v>
      </c>
      <c r="F1489" s="405"/>
      <c r="G1489" s="405">
        <v>2022</v>
      </c>
      <c r="H1489" s="405">
        <v>5</v>
      </c>
      <c r="I1489" s="405">
        <v>2005246</v>
      </c>
      <c r="J1489" s="406"/>
      <c r="K1489" s="526" t="s">
        <v>2500</v>
      </c>
      <c r="L1489" s="451" t="s">
        <v>2481</v>
      </c>
      <c r="M1489" s="418">
        <v>44623</v>
      </c>
      <c r="N1489" s="418">
        <v>44652</v>
      </c>
      <c r="O1489" s="418"/>
      <c r="P1489" s="406">
        <v>44685</v>
      </c>
      <c r="Q1489" s="406">
        <v>44693</v>
      </c>
      <c r="R1489" s="406">
        <v>44694</v>
      </c>
      <c r="S1489" s="405" t="s">
        <v>1940</v>
      </c>
      <c r="T1489" s="405">
        <v>60</v>
      </c>
      <c r="U1489" s="405" t="s">
        <v>1237</v>
      </c>
      <c r="V1489" s="405" t="s">
        <v>973</v>
      </c>
      <c r="W1489" s="405">
        <v>400</v>
      </c>
      <c r="X1489" s="407">
        <v>832</v>
      </c>
      <c r="Y1489" s="408">
        <f t="shared" si="329"/>
        <v>332800</v>
      </c>
      <c r="Z1489" s="409">
        <v>0.55000000000000004</v>
      </c>
      <c r="AA1489" s="410">
        <f t="shared" si="330"/>
        <v>183040.00000000003</v>
      </c>
      <c r="AB1489" s="411"/>
      <c r="AC1489" s="412">
        <f t="shared" si="327"/>
        <v>0</v>
      </c>
      <c r="AD1489" s="421"/>
      <c r="AE1489" s="413">
        <v>11962.5</v>
      </c>
      <c r="AF1489" s="424">
        <f t="shared" si="328"/>
        <v>195002.50000000003</v>
      </c>
      <c r="AG1489" s="405" t="s">
        <v>1069</v>
      </c>
      <c r="AH1489" s="405">
        <v>100</v>
      </c>
      <c r="AI1489" s="414"/>
      <c r="AJ1489" s="405" t="s">
        <v>2501</v>
      </c>
      <c r="AK1489" s="425" t="s">
        <v>1930</v>
      </c>
      <c r="AL1489" s="425">
        <v>81301</v>
      </c>
      <c r="AM1489" s="405" t="s">
        <v>52</v>
      </c>
      <c r="AN1489" s="405" t="s">
        <v>50</v>
      </c>
      <c r="AO1489" s="405"/>
      <c r="AP1489" s="417" t="s">
        <v>38</v>
      </c>
      <c r="AQ1489" s="417" t="s">
        <v>37</v>
      </c>
      <c r="AR1489" s="417"/>
      <c r="AS1489" s="426"/>
      <c r="AT1489" s="426"/>
      <c r="AU1489" s="409">
        <v>0.55000000000000004</v>
      </c>
    </row>
    <row r="1490" spans="1:55" s="402" customFormat="1">
      <c r="A1490" s="403" t="s">
        <v>4584</v>
      </c>
      <c r="B1490" s="446">
        <v>44624</v>
      </c>
      <c r="C1490" s="446">
        <v>44655</v>
      </c>
      <c r="D1490" s="416" t="s">
        <v>2480</v>
      </c>
      <c r="E1490" s="405" t="s">
        <v>4844</v>
      </c>
      <c r="F1490" s="405"/>
      <c r="G1490" s="405">
        <v>2022</v>
      </c>
      <c r="H1490" s="405">
        <v>5</v>
      </c>
      <c r="I1490" s="405">
        <v>2005246</v>
      </c>
      <c r="J1490" s="406"/>
      <c r="K1490" s="414" t="s">
        <v>2500</v>
      </c>
      <c r="L1490" s="405" t="s">
        <v>2481</v>
      </c>
      <c r="M1490" s="418">
        <v>44623</v>
      </c>
      <c r="N1490" s="418">
        <v>44652</v>
      </c>
      <c r="O1490" s="418"/>
      <c r="P1490" s="406">
        <v>44685</v>
      </c>
      <c r="Q1490" s="406">
        <v>44694</v>
      </c>
      <c r="R1490" s="406">
        <v>44697</v>
      </c>
      <c r="S1490" s="405" t="s">
        <v>1940</v>
      </c>
      <c r="T1490" s="405">
        <v>60</v>
      </c>
      <c r="U1490" s="405">
        <v>49403132</v>
      </c>
      <c r="V1490" s="405" t="s">
        <v>986</v>
      </c>
      <c r="W1490" s="405">
        <v>360</v>
      </c>
      <c r="X1490" s="407">
        <v>832</v>
      </c>
      <c r="Y1490" s="408">
        <f t="shared" si="329"/>
        <v>299520</v>
      </c>
      <c r="Z1490" s="409">
        <v>0.53</v>
      </c>
      <c r="AA1490" s="410">
        <f t="shared" si="330"/>
        <v>158745.60000000001</v>
      </c>
      <c r="AB1490" s="411"/>
      <c r="AC1490" s="412">
        <f t="shared" si="327"/>
        <v>0</v>
      </c>
      <c r="AD1490" s="421"/>
      <c r="AE1490" s="413"/>
      <c r="AF1490" s="424">
        <f t="shared" si="328"/>
        <v>158745.60000000001</v>
      </c>
      <c r="AG1490" s="405" t="s">
        <v>1069</v>
      </c>
      <c r="AH1490" s="405">
        <v>100</v>
      </c>
      <c r="AI1490" s="414"/>
      <c r="AJ1490" s="405" t="s">
        <v>2501</v>
      </c>
      <c r="AK1490" s="425" t="s">
        <v>1930</v>
      </c>
      <c r="AL1490" s="425">
        <v>81301</v>
      </c>
      <c r="AM1490" s="405" t="s">
        <v>52</v>
      </c>
      <c r="AN1490" s="405" t="s">
        <v>1101</v>
      </c>
      <c r="AO1490" s="405"/>
      <c r="AP1490" s="417"/>
      <c r="AQ1490" s="417" t="s">
        <v>37</v>
      </c>
      <c r="AR1490" s="417"/>
      <c r="AS1490" s="426"/>
      <c r="AT1490" s="426"/>
      <c r="AU1490" s="409">
        <v>0.55000000000000004</v>
      </c>
      <c r="AV1490" s="402">
        <f>U1490</f>
        <v>49403132</v>
      </c>
      <c r="AW1490" s="402" cm="1">
        <f t="array" ref="AW1490">SUM(MID(0&amp;AV1490,LARGE(INDEX(ISNUMBER(--MID(AV1490,ROW($1:$8),1))*ROW($1:$8),),ROW($1:$8))+1,1)*10^ROW($1:$8)/10)</f>
        <v>49403132</v>
      </c>
      <c r="AX1490" s="402" t="e">
        <f>VLOOKUP($AW1490,'Item Master Data'!$A:$F,3,FALSE)</f>
        <v>#N/A</v>
      </c>
      <c r="AY1490" s="402" t="e">
        <f>VLOOKUP($AW1490,'Item Master Data'!$A:$F,6,FALSE)</f>
        <v>#N/A</v>
      </c>
      <c r="AZ1490" s="402" t="e">
        <f>X1490/BA1490</f>
        <v>#N/A</v>
      </c>
      <c r="BA1490" s="402" t="e">
        <f>VLOOKUP(AW1490,'Item Master Data'!$A:$G,7,FALSE)</f>
        <v>#N/A</v>
      </c>
      <c r="BC1490" s="402" t="e">
        <f>W1490-AY1490</f>
        <v>#N/A</v>
      </c>
    </row>
    <row r="1491" spans="1:55" s="402" customFormat="1">
      <c r="A1491" s="403" t="s">
        <v>4584</v>
      </c>
      <c r="B1491" s="446">
        <v>44491</v>
      </c>
      <c r="C1491" s="446">
        <v>44560</v>
      </c>
      <c r="D1491" s="416" t="s">
        <v>2480</v>
      </c>
      <c r="E1491" s="405"/>
      <c r="F1491" s="405"/>
      <c r="G1491" s="405">
        <v>2022</v>
      </c>
      <c r="H1491" s="405">
        <v>5</v>
      </c>
      <c r="I1491" s="405"/>
      <c r="J1491" s="406"/>
      <c r="K1491" s="526" t="s">
        <v>2715</v>
      </c>
      <c r="L1491" s="451" t="s">
        <v>2481</v>
      </c>
      <c r="M1491" s="418">
        <v>44491</v>
      </c>
      <c r="N1491" s="418">
        <v>44682</v>
      </c>
      <c r="O1491" s="418" t="s">
        <v>4088</v>
      </c>
      <c r="P1491" s="406">
        <v>44691</v>
      </c>
      <c r="Q1491" s="406">
        <v>44692</v>
      </c>
      <c r="R1491" s="406">
        <v>44694</v>
      </c>
      <c r="S1491" s="405" t="s">
        <v>1940</v>
      </c>
      <c r="T1491" s="405">
        <v>60</v>
      </c>
      <c r="U1491" s="405" t="s">
        <v>1237</v>
      </c>
      <c r="V1491" s="405" t="s">
        <v>973</v>
      </c>
      <c r="W1491" s="405">
        <v>400</v>
      </c>
      <c r="X1491" s="407">
        <v>320</v>
      </c>
      <c r="Y1491" s="408">
        <f t="shared" si="329"/>
        <v>128000</v>
      </c>
      <c r="Z1491" s="409">
        <v>0.55000000000000004</v>
      </c>
      <c r="AA1491" s="410">
        <f t="shared" si="330"/>
        <v>70400</v>
      </c>
      <c r="AB1491" s="411"/>
      <c r="AC1491" s="412">
        <f t="shared" si="327"/>
        <v>0</v>
      </c>
      <c r="AD1491" s="421"/>
      <c r="AE1491" s="413"/>
      <c r="AF1491" s="424">
        <f t="shared" si="328"/>
        <v>70400</v>
      </c>
      <c r="AG1491" s="405" t="s">
        <v>47</v>
      </c>
      <c r="AH1491" s="405"/>
      <c r="AI1491" s="414" t="s">
        <v>1937</v>
      </c>
      <c r="AJ1491" s="405" t="s">
        <v>1598</v>
      </c>
      <c r="AK1491" s="425" t="s">
        <v>1599</v>
      </c>
      <c r="AL1491" s="425">
        <v>97702</v>
      </c>
      <c r="AM1491" s="405" t="s">
        <v>52</v>
      </c>
      <c r="AN1491" s="405" t="s">
        <v>50</v>
      </c>
      <c r="AO1491" s="405"/>
      <c r="AP1491" s="417"/>
      <c r="AQ1491" s="417" t="s">
        <v>37</v>
      </c>
      <c r="AR1491" s="417"/>
      <c r="AS1491" s="426"/>
      <c r="AT1491" s="426"/>
      <c r="AU1491" s="409"/>
    </row>
    <row r="1492" spans="1:55" s="402" customFormat="1">
      <c r="A1492" s="403" t="s">
        <v>4585</v>
      </c>
      <c r="B1492" s="446">
        <v>44912</v>
      </c>
      <c r="C1492" s="446">
        <v>44629</v>
      </c>
      <c r="D1492" s="416" t="s">
        <v>2480</v>
      </c>
      <c r="E1492" s="405" t="s">
        <v>1239</v>
      </c>
      <c r="F1492" s="405"/>
      <c r="G1492" s="405">
        <v>2022</v>
      </c>
      <c r="H1492" s="405">
        <v>5</v>
      </c>
      <c r="I1492" s="405" t="s">
        <v>1498</v>
      </c>
      <c r="J1492" s="406"/>
      <c r="K1492" s="414" t="s">
        <v>2737</v>
      </c>
      <c r="L1492" s="405" t="s">
        <v>2481</v>
      </c>
      <c r="M1492" s="418">
        <v>44546</v>
      </c>
      <c r="N1492" s="418">
        <v>44620</v>
      </c>
      <c r="O1492" s="418"/>
      <c r="P1492" s="418" t="s">
        <v>4539</v>
      </c>
      <c r="Q1492" s="406"/>
      <c r="R1492" s="406"/>
      <c r="S1492" s="405" t="s">
        <v>1940</v>
      </c>
      <c r="T1492" s="405">
        <v>60</v>
      </c>
      <c r="U1492" s="405">
        <v>49405140</v>
      </c>
      <c r="V1492" s="405" t="s">
        <v>973</v>
      </c>
      <c r="W1492" s="405">
        <v>400</v>
      </c>
      <c r="X1492" s="407">
        <v>320</v>
      </c>
      <c r="Y1492" s="408">
        <f t="shared" si="329"/>
        <v>128000</v>
      </c>
      <c r="Z1492" s="409">
        <v>0.55000000000000004</v>
      </c>
      <c r="AA1492" s="410">
        <f t="shared" si="330"/>
        <v>70400</v>
      </c>
      <c r="AB1492" s="411"/>
      <c r="AC1492" s="412">
        <f t="shared" si="327"/>
        <v>0</v>
      </c>
      <c r="AD1492" s="421"/>
      <c r="AE1492" s="413"/>
      <c r="AF1492" s="424">
        <f t="shared" si="328"/>
        <v>70400</v>
      </c>
      <c r="AG1492" s="405" t="s">
        <v>47</v>
      </c>
      <c r="AH1492" s="405"/>
      <c r="AI1492" s="414" t="s">
        <v>1937</v>
      </c>
      <c r="AJ1492" s="405" t="s">
        <v>2738</v>
      </c>
      <c r="AK1492" s="425" t="s">
        <v>2657</v>
      </c>
      <c r="AL1492" s="405" t="s">
        <v>2739</v>
      </c>
      <c r="AM1492" s="405" t="s">
        <v>52</v>
      </c>
      <c r="AN1492" s="405" t="s">
        <v>1101</v>
      </c>
      <c r="AO1492" s="405"/>
      <c r="AP1492" s="417"/>
      <c r="AQ1492" s="417" t="s">
        <v>37</v>
      </c>
      <c r="AR1492" s="417"/>
      <c r="AS1492" s="426"/>
      <c r="AT1492" s="426"/>
      <c r="AU1492" s="409">
        <v>0.55000000000000004</v>
      </c>
      <c r="AV1492" s="402">
        <f>U1492</f>
        <v>49405140</v>
      </c>
      <c r="AW1492" s="402" cm="1">
        <f t="array" ref="AW1492">SUM(MID(0&amp;AV1492,LARGE(INDEX(ISNUMBER(--MID(AV1492,ROW($1:$8),1))*ROW($1:$8),),ROW($1:$8))+1,1)*10^ROW($1:$8)/10)</f>
        <v>49405140</v>
      </c>
      <c r="AX1492" s="402" t="str">
        <f>VLOOKUP($AW1492,'Item Master Data'!$A:$F,3,FALSE)</f>
        <v>Q.PEAK DUO BLK ML G10+</v>
      </c>
      <c r="AY1492" s="402">
        <f>VLOOKUP($AW1492,'Item Master Data'!$A:$F,6,FALSE)</f>
        <v>400</v>
      </c>
      <c r="AZ1492" s="402">
        <f>X1492/BA1492</f>
        <v>10</v>
      </c>
      <c r="BA1492" s="402">
        <f>VLOOKUP(AW1492,'Item Master Data'!$A:$G,7,FALSE)</f>
        <v>32</v>
      </c>
      <c r="BC1492" s="402">
        <f>W1492-AY1492</f>
        <v>0</v>
      </c>
    </row>
    <row r="1493" spans="1:55" s="402" customFormat="1">
      <c r="A1493" s="403" t="s">
        <v>4585</v>
      </c>
      <c r="B1493" s="446">
        <v>44523</v>
      </c>
      <c r="C1493" s="446">
        <v>44544</v>
      </c>
      <c r="D1493" s="416" t="s">
        <v>2480</v>
      </c>
      <c r="E1493" s="405" t="s">
        <v>2566</v>
      </c>
      <c r="F1493" s="405"/>
      <c r="G1493" s="405">
        <v>2022</v>
      </c>
      <c r="H1493" s="405">
        <v>5</v>
      </c>
      <c r="I1493" s="405">
        <v>2005247</v>
      </c>
      <c r="J1493" s="406"/>
      <c r="K1493" s="414" t="s">
        <v>2567</v>
      </c>
      <c r="L1493" s="405" t="s">
        <v>2481</v>
      </c>
      <c r="M1493" s="418">
        <v>44522</v>
      </c>
      <c r="N1493" s="418"/>
      <c r="O1493" s="418"/>
      <c r="P1493" s="418" t="s">
        <v>4539</v>
      </c>
      <c r="Q1493" s="406"/>
      <c r="R1493" s="406"/>
      <c r="S1493" s="405" t="s">
        <v>1940</v>
      </c>
      <c r="T1493" s="405">
        <v>60</v>
      </c>
      <c r="U1493" s="405">
        <v>49203132</v>
      </c>
      <c r="V1493" s="405" t="s">
        <v>986</v>
      </c>
      <c r="W1493" s="405">
        <v>360</v>
      </c>
      <c r="X1493" s="407">
        <v>832</v>
      </c>
      <c r="Y1493" s="408">
        <f t="shared" si="329"/>
        <v>299520</v>
      </c>
      <c r="Z1493" s="409">
        <v>0.53</v>
      </c>
      <c r="AA1493" s="410">
        <f t="shared" si="330"/>
        <v>158745.60000000001</v>
      </c>
      <c r="AB1493" s="411"/>
      <c r="AC1493" s="412">
        <f t="shared" si="327"/>
        <v>0</v>
      </c>
      <c r="AD1493" s="421"/>
      <c r="AE1493" s="413">
        <v>8512.9</v>
      </c>
      <c r="AF1493" s="424">
        <f t="shared" si="328"/>
        <v>167258.5</v>
      </c>
      <c r="AG1493" s="405" t="s">
        <v>47</v>
      </c>
      <c r="AH1493" s="405">
        <v>100</v>
      </c>
      <c r="AI1493" s="414"/>
      <c r="AJ1493" s="405" t="s">
        <v>2568</v>
      </c>
      <c r="AK1493" s="425" t="s">
        <v>1930</v>
      </c>
      <c r="AL1493" s="405">
        <v>81301</v>
      </c>
      <c r="AM1493" s="405" t="s">
        <v>52</v>
      </c>
      <c r="AN1493" s="405" t="s">
        <v>1101</v>
      </c>
      <c r="AO1493" s="405"/>
      <c r="AP1493" s="417"/>
      <c r="AQ1493" s="417" t="s">
        <v>37</v>
      </c>
      <c r="AR1493" s="417"/>
      <c r="AS1493" s="426"/>
      <c r="AT1493" s="426"/>
      <c r="AU1493" s="409"/>
      <c r="AV1493" s="402">
        <f>U1493</f>
        <v>49203132</v>
      </c>
      <c r="AW1493" s="402" cm="1">
        <f t="array" ref="AW1493">SUM(MID(0&amp;AV1493,LARGE(INDEX(ISNUMBER(--MID(AV1493,ROW($1:$8),1))*ROW($1:$8),),ROW($1:$8))+1,1)*10^ROW($1:$8)/10)</f>
        <v>49203132</v>
      </c>
      <c r="AX1493" s="402" t="str">
        <f>VLOOKUP($AW1493,'Item Master Data'!$A:$F,3,FALSE)</f>
        <v>Q.PEAK DUO BLK G10+</v>
      </c>
      <c r="AY1493" s="402">
        <f>VLOOKUP($AW1493,'Item Master Data'!$A:$F,6,FALSE)</f>
        <v>360</v>
      </c>
      <c r="AZ1493" s="402">
        <f>X1493/BA1493</f>
        <v>26</v>
      </c>
      <c r="BA1493" s="402">
        <f>VLOOKUP(AW1493,'Item Master Data'!$A:$G,7,FALSE)</f>
        <v>32</v>
      </c>
      <c r="BC1493" s="402">
        <f>W1493-AY1493</f>
        <v>0</v>
      </c>
    </row>
    <row r="1494" spans="1:55" s="402" customFormat="1">
      <c r="A1494" s="403" t="s">
        <v>4585</v>
      </c>
      <c r="B1494" s="446">
        <v>44523</v>
      </c>
      <c r="C1494" s="446">
        <v>44544</v>
      </c>
      <c r="D1494" s="416" t="s">
        <v>2480</v>
      </c>
      <c r="E1494" s="405" t="s">
        <v>2566</v>
      </c>
      <c r="F1494" s="405"/>
      <c r="G1494" s="405">
        <v>2022</v>
      </c>
      <c r="H1494" s="405">
        <v>5</v>
      </c>
      <c r="I1494" s="405">
        <v>2005247</v>
      </c>
      <c r="J1494" s="406"/>
      <c r="K1494" s="414" t="s">
        <v>2567</v>
      </c>
      <c r="L1494" s="405" t="s">
        <v>2481</v>
      </c>
      <c r="M1494" s="418">
        <v>44522</v>
      </c>
      <c r="N1494" s="418"/>
      <c r="O1494" s="418"/>
      <c r="P1494" s="418" t="s">
        <v>4539</v>
      </c>
      <c r="Q1494" s="406"/>
      <c r="R1494" s="406"/>
      <c r="S1494" s="405" t="s">
        <v>1940</v>
      </c>
      <c r="T1494" s="405">
        <v>60</v>
      </c>
      <c r="U1494" s="527" t="s">
        <v>1237</v>
      </c>
      <c r="V1494" s="405" t="s">
        <v>973</v>
      </c>
      <c r="W1494" s="405">
        <v>400</v>
      </c>
      <c r="X1494" s="407">
        <v>384</v>
      </c>
      <c r="Y1494" s="408">
        <f t="shared" si="329"/>
        <v>153600</v>
      </c>
      <c r="Z1494" s="409">
        <v>0.55000000000000004</v>
      </c>
      <c r="AA1494" s="410">
        <f t="shared" si="330"/>
        <v>84480</v>
      </c>
      <c r="AB1494" s="411"/>
      <c r="AC1494" s="412">
        <f t="shared" si="327"/>
        <v>0</v>
      </c>
      <c r="AD1494" s="421"/>
      <c r="AE1494" s="413"/>
      <c r="AF1494" s="424">
        <f t="shared" si="328"/>
        <v>84480</v>
      </c>
      <c r="AG1494" s="405" t="s">
        <v>47</v>
      </c>
      <c r="AH1494" s="405">
        <v>100</v>
      </c>
      <c r="AI1494" s="414"/>
      <c r="AJ1494" s="405" t="s">
        <v>2568</v>
      </c>
      <c r="AK1494" s="425" t="s">
        <v>1930</v>
      </c>
      <c r="AL1494" s="405">
        <v>81301</v>
      </c>
      <c r="AM1494" s="405" t="s">
        <v>52</v>
      </c>
      <c r="AN1494" s="405" t="s">
        <v>50</v>
      </c>
      <c r="AO1494" s="405"/>
      <c r="AP1494" s="417"/>
      <c r="AQ1494" s="417" t="s">
        <v>37</v>
      </c>
      <c r="AR1494" s="417"/>
      <c r="AS1494" s="426"/>
      <c r="AT1494" s="426"/>
      <c r="AU1494" s="409"/>
    </row>
    <row r="1495" spans="1:55" s="402" customFormat="1">
      <c r="A1495" s="403" t="s">
        <v>4585</v>
      </c>
      <c r="B1495" s="446">
        <v>44609</v>
      </c>
      <c r="C1495" s="446">
        <v>44609</v>
      </c>
      <c r="D1495" s="416" t="s">
        <v>2480</v>
      </c>
      <c r="E1495" s="405" t="s">
        <v>2484</v>
      </c>
      <c r="F1495" s="405"/>
      <c r="G1495" s="405">
        <v>2022</v>
      </c>
      <c r="H1495" s="405">
        <v>5</v>
      </c>
      <c r="I1495" s="405"/>
      <c r="J1495" s="406"/>
      <c r="K1495" s="414" t="s">
        <v>2569</v>
      </c>
      <c r="L1495" s="405" t="s">
        <v>1926</v>
      </c>
      <c r="M1495" s="418">
        <v>44532</v>
      </c>
      <c r="N1495" s="418">
        <v>44593</v>
      </c>
      <c r="O1495" s="418" t="s">
        <v>1236</v>
      </c>
      <c r="P1495" s="418" t="s">
        <v>4539</v>
      </c>
      <c r="Q1495" s="406"/>
      <c r="R1495" s="406"/>
      <c r="S1495" s="405" t="s">
        <v>1940</v>
      </c>
      <c r="T1495" s="405">
        <v>60</v>
      </c>
      <c r="U1495" s="405" t="s">
        <v>1237</v>
      </c>
      <c r="V1495" s="405" t="s">
        <v>973</v>
      </c>
      <c r="W1495" s="405">
        <v>400</v>
      </c>
      <c r="X1495" s="407">
        <f>3328-2496</f>
        <v>832</v>
      </c>
      <c r="Y1495" s="408">
        <f t="shared" si="329"/>
        <v>332800</v>
      </c>
      <c r="Z1495" s="409">
        <v>0.55000000000000004</v>
      </c>
      <c r="AA1495" s="410">
        <f t="shared" si="330"/>
        <v>183040.00000000003</v>
      </c>
      <c r="AB1495" s="411"/>
      <c r="AC1495" s="412">
        <f t="shared" si="327"/>
        <v>0</v>
      </c>
      <c r="AD1495" s="421"/>
      <c r="AE1495" s="413"/>
      <c r="AF1495" s="424">
        <f t="shared" si="328"/>
        <v>183040.00000000003</v>
      </c>
      <c r="AG1495" s="405" t="s">
        <v>1069</v>
      </c>
      <c r="AH1495" s="405"/>
      <c r="AI1495" s="414" t="s">
        <v>1962</v>
      </c>
      <c r="AJ1495" s="405" t="s">
        <v>1454</v>
      </c>
      <c r="AK1495" s="425" t="s">
        <v>1136</v>
      </c>
      <c r="AL1495" s="405">
        <v>78744</v>
      </c>
      <c r="AM1495" s="405" t="s">
        <v>52</v>
      </c>
      <c r="AN1495" s="405" t="s">
        <v>50</v>
      </c>
      <c r="AO1495" s="405"/>
      <c r="AP1495" s="417"/>
      <c r="AQ1495" s="417" t="s">
        <v>37</v>
      </c>
      <c r="AR1495" s="417" t="s">
        <v>1499</v>
      </c>
      <c r="AS1495" s="426"/>
      <c r="AT1495" s="426"/>
      <c r="AU1495" s="409">
        <v>0.45500000000000002</v>
      </c>
    </row>
    <row r="1496" spans="1:55" s="402" customFormat="1">
      <c r="A1496" s="403" t="s">
        <v>4584</v>
      </c>
      <c r="B1496" s="446">
        <v>44692</v>
      </c>
      <c r="C1496" s="446">
        <v>44692</v>
      </c>
      <c r="D1496" s="416" t="s">
        <v>2480</v>
      </c>
      <c r="E1496" s="405" t="s">
        <v>4846</v>
      </c>
      <c r="F1496" s="405"/>
      <c r="G1496" s="405">
        <v>2022</v>
      </c>
      <c r="H1496" s="405">
        <v>5</v>
      </c>
      <c r="I1496" s="405" t="s">
        <v>1498</v>
      </c>
      <c r="J1496" s="406"/>
      <c r="K1496" s="414" t="s">
        <v>4603</v>
      </c>
      <c r="L1496" s="405" t="s">
        <v>1926</v>
      </c>
      <c r="M1496" s="418">
        <v>44547</v>
      </c>
      <c r="N1496" s="418">
        <v>44547</v>
      </c>
      <c r="O1496" s="418"/>
      <c r="P1496" s="406">
        <v>44693</v>
      </c>
      <c r="Q1496" s="406"/>
      <c r="R1496" s="406"/>
      <c r="S1496" s="405" t="s">
        <v>1940</v>
      </c>
      <c r="T1496" s="405">
        <v>60</v>
      </c>
      <c r="U1496" s="405">
        <v>49203132</v>
      </c>
      <c r="V1496" s="405" t="s">
        <v>986</v>
      </c>
      <c r="W1496" s="405">
        <v>360</v>
      </c>
      <c r="X1496" s="407">
        <v>832</v>
      </c>
      <c r="Y1496" s="408">
        <f t="shared" si="329"/>
        <v>299520</v>
      </c>
      <c r="Z1496" s="409">
        <v>0.53</v>
      </c>
      <c r="AA1496" s="410">
        <f t="shared" si="330"/>
        <v>158745.60000000001</v>
      </c>
      <c r="AB1496" s="411"/>
      <c r="AC1496" s="412">
        <f t="shared" si="327"/>
        <v>0</v>
      </c>
      <c r="AD1496" s="421"/>
      <c r="AE1496" s="413"/>
      <c r="AF1496" s="424">
        <f t="shared" si="328"/>
        <v>158745.60000000001</v>
      </c>
      <c r="AG1496" s="405" t="s">
        <v>1069</v>
      </c>
      <c r="AH1496" s="405"/>
      <c r="AI1496" s="414" t="s">
        <v>1962</v>
      </c>
      <c r="AJ1496" s="405" t="s">
        <v>1454</v>
      </c>
      <c r="AK1496" s="425" t="s">
        <v>1136</v>
      </c>
      <c r="AL1496" s="425">
        <v>78744</v>
      </c>
      <c r="AM1496" s="405" t="s">
        <v>52</v>
      </c>
      <c r="AN1496" s="405" t="s">
        <v>1101</v>
      </c>
      <c r="AO1496" s="405"/>
      <c r="AP1496" s="417"/>
      <c r="AQ1496" s="417" t="s">
        <v>37</v>
      </c>
      <c r="AR1496" s="417"/>
      <c r="AS1496" s="426"/>
      <c r="AT1496" s="426"/>
      <c r="AU1496" s="409">
        <v>0.5</v>
      </c>
      <c r="AV1496" s="402">
        <f>U1496</f>
        <v>49203132</v>
      </c>
      <c r="AW1496" s="402" cm="1">
        <f t="array" ref="AW1496">SUM(MID(0&amp;AV1496,LARGE(INDEX(ISNUMBER(--MID(AV1496,ROW($1:$8),1))*ROW($1:$8),),ROW($1:$8))+1,1)*10^ROW($1:$8)/10)</f>
        <v>49203132</v>
      </c>
      <c r="AX1496" s="402" t="str">
        <f>VLOOKUP($AW1496,'Item Master Data'!$A:$F,3,FALSE)</f>
        <v>Q.PEAK DUO BLK G10+</v>
      </c>
      <c r="AY1496" s="402">
        <f>VLOOKUP($AW1496,'Item Master Data'!$A:$F,6,FALSE)</f>
        <v>360</v>
      </c>
      <c r="AZ1496" s="402">
        <f>X1496/BA1496</f>
        <v>26</v>
      </c>
      <c r="BA1496" s="402">
        <f>VLOOKUP(AW1496,'Item Master Data'!$A:$G,7,FALSE)</f>
        <v>32</v>
      </c>
      <c r="BC1496" s="402">
        <f>W1496-AY1496</f>
        <v>0</v>
      </c>
    </row>
    <row r="1497" spans="1:55" s="402" customFormat="1">
      <c r="A1497" s="403" t="s">
        <v>4584</v>
      </c>
      <c r="B1497" s="446">
        <v>44673</v>
      </c>
      <c r="C1497" s="446">
        <v>44673</v>
      </c>
      <c r="D1497" s="416" t="s">
        <v>2480</v>
      </c>
      <c r="E1497" s="405" t="s">
        <v>2523</v>
      </c>
      <c r="F1497" s="405"/>
      <c r="G1497" s="405">
        <v>2022</v>
      </c>
      <c r="H1497" s="405">
        <v>5</v>
      </c>
      <c r="I1497" s="405"/>
      <c r="J1497" s="406"/>
      <c r="K1497" s="526" t="s">
        <v>2524</v>
      </c>
      <c r="L1497" s="451" t="s">
        <v>2485</v>
      </c>
      <c r="M1497" s="418">
        <v>44496</v>
      </c>
      <c r="N1497" s="418">
        <v>44593</v>
      </c>
      <c r="O1497" s="418" t="s">
        <v>1932</v>
      </c>
      <c r="P1497" s="406">
        <v>44665</v>
      </c>
      <c r="Q1497" s="406">
        <v>44683</v>
      </c>
      <c r="R1497" s="406">
        <v>44686</v>
      </c>
      <c r="S1497" s="405" t="s">
        <v>1940</v>
      </c>
      <c r="T1497" s="405">
        <v>60</v>
      </c>
      <c r="U1497" s="405" t="s">
        <v>1237</v>
      </c>
      <c r="V1497" s="405" t="s">
        <v>973</v>
      </c>
      <c r="W1497" s="405">
        <v>400</v>
      </c>
      <c r="X1497" s="407">
        <v>1536</v>
      </c>
      <c r="Y1497" s="408">
        <f t="shared" si="329"/>
        <v>614400</v>
      </c>
      <c r="Z1497" s="409">
        <v>0.55000000000000004</v>
      </c>
      <c r="AA1497" s="410">
        <f t="shared" si="330"/>
        <v>337920</v>
      </c>
      <c r="AB1497" s="411"/>
      <c r="AC1497" s="412">
        <f t="shared" si="327"/>
        <v>0</v>
      </c>
      <c r="AD1497" s="421"/>
      <c r="AE1497" s="413"/>
      <c r="AF1497" s="424">
        <f t="shared" si="328"/>
        <v>337920</v>
      </c>
      <c r="AG1497" s="405" t="s">
        <v>1069</v>
      </c>
      <c r="AH1497" s="405"/>
      <c r="AI1497" s="414" t="s">
        <v>1962</v>
      </c>
      <c r="AJ1497" s="405" t="s">
        <v>2486</v>
      </c>
      <c r="AK1497" s="425" t="s">
        <v>1136</v>
      </c>
      <c r="AL1497" s="425">
        <v>76011</v>
      </c>
      <c r="AM1497" s="405" t="s">
        <v>52</v>
      </c>
      <c r="AN1497" s="405" t="s">
        <v>50</v>
      </c>
      <c r="AO1497" s="405"/>
      <c r="AP1497" s="417" t="s">
        <v>38</v>
      </c>
      <c r="AQ1497" s="417" t="s">
        <v>37</v>
      </c>
      <c r="AR1497" s="417" t="s">
        <v>1499</v>
      </c>
      <c r="AS1497" s="426"/>
      <c r="AT1497" s="426"/>
      <c r="AU1497" s="409">
        <v>0.45500000000000002</v>
      </c>
      <c r="AV1497" s="402" t="str">
        <f>U1497</f>
        <v>30390456H</v>
      </c>
      <c r="AW1497" s="402" cm="1">
        <f t="array" ref="AW1497">SUM(MID(0&amp;AV1497,LARGE(INDEX(ISNUMBER(--MID(AV1497,ROW($1:$8),1))*ROW($1:$8),),ROW($1:$8))+1,1)*10^ROW($1:$8)/10)</f>
        <v>30390456</v>
      </c>
      <c r="AX1497" s="402" t="str">
        <f>VLOOKUP($AW1497,'Item Master Data'!$A:$F,3,FALSE)</f>
        <v>Q.PEAK DUO BLK ML G10+</v>
      </c>
      <c r="AY1497" s="402">
        <f>VLOOKUP($AW1497,'Item Master Data'!$A:$F,6,FALSE)</f>
        <v>400</v>
      </c>
      <c r="AZ1497" s="402">
        <f>X1497/BA1497</f>
        <v>48</v>
      </c>
      <c r="BA1497" s="402">
        <f>VLOOKUP(AW1497,'Item Master Data'!$A:$G,7,FALSE)</f>
        <v>32</v>
      </c>
      <c r="BC1497" s="402">
        <f>W1497-AY1497</f>
        <v>0</v>
      </c>
    </row>
    <row r="1498" spans="1:55" s="402" customFormat="1">
      <c r="A1498" s="403" t="s">
        <v>4584</v>
      </c>
      <c r="B1498" s="446"/>
      <c r="C1498" s="446"/>
      <c r="D1498" s="416" t="s">
        <v>2480</v>
      </c>
      <c r="E1498" s="405" t="s">
        <v>2367</v>
      </c>
      <c r="F1498" s="405"/>
      <c r="G1498" s="405">
        <v>2022</v>
      </c>
      <c r="H1498" s="405">
        <v>5</v>
      </c>
      <c r="I1498" s="405">
        <v>128532</v>
      </c>
      <c r="J1498" s="406">
        <v>44684</v>
      </c>
      <c r="K1498" s="414" t="s">
        <v>4467</v>
      </c>
      <c r="L1498" s="405" t="s">
        <v>2485</v>
      </c>
      <c r="M1498" s="418">
        <v>44593</v>
      </c>
      <c r="N1498" s="418">
        <v>44593</v>
      </c>
      <c r="O1498" s="418"/>
      <c r="P1498" s="406">
        <v>44683</v>
      </c>
      <c r="Q1498" s="406">
        <v>44684</v>
      </c>
      <c r="R1498" s="406">
        <v>44687</v>
      </c>
      <c r="S1498" s="405" t="s">
        <v>1940</v>
      </c>
      <c r="T1498" s="405">
        <v>60</v>
      </c>
      <c r="U1498" s="405" t="s">
        <v>1237</v>
      </c>
      <c r="V1498" s="405" t="s">
        <v>973</v>
      </c>
      <c r="W1498" s="405">
        <v>400</v>
      </c>
      <c r="X1498" s="407">
        <v>768</v>
      </c>
      <c r="Y1498" s="408">
        <f t="shared" si="329"/>
        <v>307200</v>
      </c>
      <c r="Z1498" s="409">
        <v>0.55000000000000004</v>
      </c>
      <c r="AA1498" s="410">
        <f t="shared" si="330"/>
        <v>168960</v>
      </c>
      <c r="AB1498" s="411"/>
      <c r="AC1498" s="412">
        <f t="shared" si="327"/>
        <v>0</v>
      </c>
      <c r="AD1498" s="421"/>
      <c r="AE1498" s="413"/>
      <c r="AF1498" s="424">
        <f t="shared" si="328"/>
        <v>168960</v>
      </c>
      <c r="AG1498" s="405" t="s">
        <v>1069</v>
      </c>
      <c r="AH1498" s="405"/>
      <c r="AI1498" s="414" t="s">
        <v>1937</v>
      </c>
      <c r="AJ1498" s="405" t="s">
        <v>2486</v>
      </c>
      <c r="AK1498" s="425" t="s">
        <v>1136</v>
      </c>
      <c r="AL1498" s="405">
        <v>76011</v>
      </c>
      <c r="AM1498" s="405" t="s">
        <v>52</v>
      </c>
      <c r="AN1498" s="405" t="s">
        <v>50</v>
      </c>
      <c r="AO1498" s="405"/>
      <c r="AP1498" s="417"/>
      <c r="AQ1498" s="417" t="s">
        <v>37</v>
      </c>
      <c r="AR1498" s="417" t="s">
        <v>1499</v>
      </c>
      <c r="AS1498" s="426"/>
      <c r="AT1498" s="426"/>
      <c r="AU1498" s="409"/>
      <c r="AV1498" s="402" t="str">
        <f>U1498</f>
        <v>30390456H</v>
      </c>
      <c r="AW1498" s="402" cm="1">
        <f t="array" ref="AW1498">SUM(MID(0&amp;AV1498,LARGE(INDEX(ISNUMBER(--MID(AV1498,ROW($1:$8),1))*ROW($1:$8),),ROW($1:$8))+1,1)*10^ROW($1:$8)/10)</f>
        <v>30390456</v>
      </c>
      <c r="AX1498" s="402" t="str">
        <f>VLOOKUP($AW1498,'Item Master Data'!$A:$F,3,FALSE)</f>
        <v>Q.PEAK DUO BLK ML G10+</v>
      </c>
      <c r="AY1498" s="402">
        <f>VLOOKUP($AW1498,'Item Master Data'!$A:$F,6,FALSE)</f>
        <v>400</v>
      </c>
      <c r="AZ1498" s="402">
        <f>X1498/BA1498</f>
        <v>24</v>
      </c>
      <c r="BA1498" s="402">
        <f>VLOOKUP(AW1498,'Item Master Data'!$A:$G,7,FALSE)</f>
        <v>32</v>
      </c>
      <c r="BC1498" s="402">
        <f>W1498-AY1498</f>
        <v>0</v>
      </c>
    </row>
    <row r="1499" spans="1:55" s="402" customFormat="1" ht="15" customHeight="1">
      <c r="A1499" s="403" t="s">
        <v>4585</v>
      </c>
      <c r="B1499" s="403"/>
      <c r="C1499" s="403"/>
      <c r="D1499" s="416" t="s">
        <v>2480</v>
      </c>
      <c r="E1499" s="405" t="s">
        <v>2367</v>
      </c>
      <c r="F1499" s="405"/>
      <c r="G1499" s="405">
        <v>2022</v>
      </c>
      <c r="H1499" s="405">
        <v>5</v>
      </c>
      <c r="I1499" s="405" t="s">
        <v>1498</v>
      </c>
      <c r="J1499" s="406"/>
      <c r="K1499" s="414" t="s">
        <v>4468</v>
      </c>
      <c r="L1499" s="405" t="s">
        <v>2485</v>
      </c>
      <c r="M1499" s="418">
        <v>44593</v>
      </c>
      <c r="N1499" s="418">
        <v>44593</v>
      </c>
      <c r="O1499" s="418" t="s">
        <v>1932</v>
      </c>
      <c r="P1499" s="418" t="s">
        <v>4539</v>
      </c>
      <c r="Q1499" s="406"/>
      <c r="R1499" s="406"/>
      <c r="S1499" s="405" t="s">
        <v>1940</v>
      </c>
      <c r="T1499" s="405">
        <v>60</v>
      </c>
      <c r="U1499" s="405" t="s">
        <v>1237</v>
      </c>
      <c r="V1499" s="405" t="s">
        <v>973</v>
      </c>
      <c r="W1499" s="405">
        <v>400</v>
      </c>
      <c r="X1499" s="407">
        <v>1536</v>
      </c>
      <c r="Y1499" s="422">
        <f t="shared" si="329"/>
        <v>614400</v>
      </c>
      <c r="Z1499" s="409">
        <v>0.55000000000000004</v>
      </c>
      <c r="AA1499" s="423">
        <f t="shared" si="330"/>
        <v>337920</v>
      </c>
      <c r="AB1499" s="411"/>
      <c r="AC1499" s="412">
        <f t="shared" si="327"/>
        <v>0</v>
      </c>
      <c r="AD1499" s="421"/>
      <c r="AE1499" s="413"/>
      <c r="AF1499" s="424">
        <f t="shared" si="328"/>
        <v>337920</v>
      </c>
      <c r="AG1499" s="405"/>
      <c r="AH1499" s="405"/>
      <c r="AI1499" s="414"/>
      <c r="AJ1499" s="405" t="s">
        <v>2486</v>
      </c>
      <c r="AK1499" s="425" t="s">
        <v>1136</v>
      </c>
      <c r="AL1499" s="405">
        <v>76011</v>
      </c>
      <c r="AM1499" s="405" t="s">
        <v>52</v>
      </c>
      <c r="AN1499" s="405" t="s">
        <v>50</v>
      </c>
      <c r="AO1499" s="405"/>
      <c r="AP1499" s="417"/>
      <c r="AQ1499" s="417" t="s">
        <v>37</v>
      </c>
      <c r="AR1499" s="417" t="s">
        <v>1499</v>
      </c>
      <c r="AS1499" s="426"/>
      <c r="AT1499" s="426"/>
      <c r="AU1499" s="496"/>
      <c r="AV1499" s="402" t="str">
        <f>U1499</f>
        <v>30390456H</v>
      </c>
      <c r="AW1499" s="402" cm="1">
        <f t="array" ref="AW1499">SUM(MID(0&amp;AV1499,LARGE(INDEX(ISNUMBER(--MID(AV1499,ROW($1:$8),1))*ROW($1:$8),),ROW($1:$8))+1,1)*10^ROW($1:$8)/10)</f>
        <v>30390456</v>
      </c>
      <c r="AX1499" s="402" t="str">
        <f>VLOOKUP($AW1499,'Item Master Data'!$A:$F,3,FALSE)</f>
        <v>Q.PEAK DUO BLK ML G10+</v>
      </c>
      <c r="AY1499" s="402">
        <f>VLOOKUP($AW1499,'Item Master Data'!$A:$F,6,FALSE)</f>
        <v>400</v>
      </c>
      <c r="AZ1499" s="402">
        <f>X1499/BA1499</f>
        <v>48</v>
      </c>
      <c r="BA1499" s="402">
        <f>VLOOKUP(AW1499,'Item Master Data'!$A:$G,7,FALSE)</f>
        <v>32</v>
      </c>
      <c r="BC1499" s="402">
        <f>W1499-AY1499</f>
        <v>0</v>
      </c>
    </row>
    <row r="1500" spans="1:55" s="402" customFormat="1" ht="15" customHeight="1">
      <c r="A1500" s="403" t="s">
        <v>4584</v>
      </c>
      <c r="B1500" s="446">
        <v>44659</v>
      </c>
      <c r="C1500" s="446">
        <v>44659</v>
      </c>
      <c r="D1500" s="416" t="s">
        <v>2480</v>
      </c>
      <c r="E1500" s="405"/>
      <c r="F1500" s="405"/>
      <c r="G1500" s="405">
        <v>2022</v>
      </c>
      <c r="H1500" s="405">
        <v>5</v>
      </c>
      <c r="I1500" s="405"/>
      <c r="J1500" s="406"/>
      <c r="K1500" s="526" t="s">
        <v>2570</v>
      </c>
      <c r="L1500" s="451" t="s">
        <v>1928</v>
      </c>
      <c r="M1500" s="418">
        <v>44532</v>
      </c>
      <c r="N1500" s="418">
        <v>44652</v>
      </c>
      <c r="O1500" s="418"/>
      <c r="P1500" s="406">
        <v>44690</v>
      </c>
      <c r="Q1500" s="406">
        <v>44694</v>
      </c>
      <c r="R1500" s="406">
        <v>44697</v>
      </c>
      <c r="S1500" s="405" t="s">
        <v>1940</v>
      </c>
      <c r="T1500" s="405">
        <v>60</v>
      </c>
      <c r="U1500" s="405" t="s">
        <v>1237</v>
      </c>
      <c r="V1500" s="405" t="s">
        <v>973</v>
      </c>
      <c r="W1500" s="405">
        <v>400</v>
      </c>
      <c r="X1500" s="407">
        <f>1536-768</f>
        <v>768</v>
      </c>
      <c r="Y1500" s="408">
        <f t="shared" si="329"/>
        <v>307200</v>
      </c>
      <c r="Z1500" s="409">
        <v>0.55000000000000004</v>
      </c>
      <c r="AA1500" s="410">
        <f t="shared" si="330"/>
        <v>168960</v>
      </c>
      <c r="AB1500" s="411"/>
      <c r="AC1500" s="412">
        <f t="shared" si="327"/>
        <v>0</v>
      </c>
      <c r="AD1500" s="421"/>
      <c r="AE1500" s="413"/>
      <c r="AF1500" s="424">
        <f t="shared" si="328"/>
        <v>168960</v>
      </c>
      <c r="AG1500" s="405" t="s">
        <v>1069</v>
      </c>
      <c r="AH1500" s="405"/>
      <c r="AI1500" s="414" t="s">
        <v>1962</v>
      </c>
      <c r="AJ1500" s="405" t="s">
        <v>1946</v>
      </c>
      <c r="AK1500" s="425" t="s">
        <v>1930</v>
      </c>
      <c r="AL1500" s="425">
        <v>80223</v>
      </c>
      <c r="AM1500" s="405" t="s">
        <v>52</v>
      </c>
      <c r="AN1500" s="405" t="s">
        <v>50</v>
      </c>
      <c r="AO1500" s="405"/>
      <c r="AP1500" s="417" t="s">
        <v>38</v>
      </c>
      <c r="AQ1500" s="417" t="s">
        <v>37</v>
      </c>
      <c r="AR1500" s="417"/>
      <c r="AS1500" s="426"/>
      <c r="AT1500" s="426"/>
      <c r="AU1500" s="409"/>
      <c r="AV1500" s="402" t="str">
        <f>U1500</f>
        <v>30390456H</v>
      </c>
      <c r="AW1500" s="402" cm="1">
        <f t="array" ref="AW1500">SUM(MID(0&amp;AV1500,LARGE(INDEX(ISNUMBER(--MID(AV1500,ROW($1:$8),1))*ROW($1:$8),),ROW($1:$8))+1,1)*10^ROW($1:$8)/10)</f>
        <v>30390456</v>
      </c>
      <c r="AX1500" s="402" t="str">
        <f>VLOOKUP($AW1500,'Item Master Data'!$A:$F,3,FALSE)</f>
        <v>Q.PEAK DUO BLK ML G10+</v>
      </c>
      <c r="AY1500" s="402">
        <f>VLOOKUP($AW1500,'Item Master Data'!$A:$F,6,FALSE)</f>
        <v>400</v>
      </c>
      <c r="AZ1500" s="402">
        <f>X1500/BA1500</f>
        <v>24</v>
      </c>
      <c r="BA1500" s="402">
        <f>VLOOKUP(AW1500,'Item Master Data'!$A:$G,7,FALSE)</f>
        <v>32</v>
      </c>
      <c r="BC1500" s="402">
        <f>W1500-AY1500</f>
        <v>0</v>
      </c>
    </row>
    <row r="1501" spans="1:55" s="402" customFormat="1" ht="15" customHeight="1">
      <c r="A1501" s="403" t="s">
        <v>4585</v>
      </c>
      <c r="B1501" s="446">
        <v>44659</v>
      </c>
      <c r="C1501" s="446">
        <v>44659</v>
      </c>
      <c r="D1501" s="416" t="s">
        <v>2480</v>
      </c>
      <c r="E1501" s="405"/>
      <c r="F1501" s="405"/>
      <c r="G1501" s="405">
        <v>2022</v>
      </c>
      <c r="H1501" s="405">
        <v>5</v>
      </c>
      <c r="I1501" s="405"/>
      <c r="J1501" s="406"/>
      <c r="K1501" s="414" t="s">
        <v>2570</v>
      </c>
      <c r="L1501" s="405" t="s">
        <v>1928</v>
      </c>
      <c r="M1501" s="418">
        <v>44532</v>
      </c>
      <c r="N1501" s="418">
        <v>44652</v>
      </c>
      <c r="O1501" s="418"/>
      <c r="P1501" s="418" t="s">
        <v>4539</v>
      </c>
      <c r="Q1501" s="406"/>
      <c r="R1501" s="406"/>
      <c r="S1501" s="405" t="s">
        <v>1940</v>
      </c>
      <c r="T1501" s="405">
        <v>60</v>
      </c>
      <c r="U1501" s="405" t="s">
        <v>1237</v>
      </c>
      <c r="V1501" s="405" t="s">
        <v>973</v>
      </c>
      <c r="W1501" s="405">
        <v>400</v>
      </c>
      <c r="X1501" s="407">
        <v>768</v>
      </c>
      <c r="Y1501" s="408">
        <f t="shared" si="329"/>
        <v>307200</v>
      </c>
      <c r="Z1501" s="409">
        <v>0.55000000000000004</v>
      </c>
      <c r="AA1501" s="410">
        <f t="shared" si="330"/>
        <v>168960</v>
      </c>
      <c r="AB1501" s="411"/>
      <c r="AC1501" s="412">
        <f t="shared" si="327"/>
        <v>0</v>
      </c>
      <c r="AD1501" s="421"/>
      <c r="AE1501" s="413"/>
      <c r="AF1501" s="424">
        <f t="shared" si="328"/>
        <v>168960</v>
      </c>
      <c r="AG1501" s="405" t="s">
        <v>1069</v>
      </c>
      <c r="AH1501" s="405"/>
      <c r="AI1501" s="414" t="s">
        <v>1962</v>
      </c>
      <c r="AJ1501" s="405" t="s">
        <v>1946</v>
      </c>
      <c r="AK1501" s="425" t="s">
        <v>1930</v>
      </c>
      <c r="AL1501" s="405">
        <v>80223</v>
      </c>
      <c r="AM1501" s="405" t="s">
        <v>52</v>
      </c>
      <c r="AN1501" s="405" t="s">
        <v>50</v>
      </c>
      <c r="AO1501" s="405"/>
      <c r="AP1501" s="417"/>
      <c r="AQ1501" s="417" t="s">
        <v>37</v>
      </c>
      <c r="AR1501" s="417"/>
      <c r="AS1501" s="426"/>
      <c r="AT1501" s="426"/>
      <c r="AU1501" s="409"/>
    </row>
    <row r="1502" spans="1:55" s="402" customFormat="1" ht="15" customHeight="1">
      <c r="A1502" s="403" t="s">
        <v>4585</v>
      </c>
      <c r="B1502" s="446">
        <v>44690</v>
      </c>
      <c r="C1502" s="446"/>
      <c r="D1502" s="416" t="s">
        <v>2480</v>
      </c>
      <c r="E1502" s="405" t="s">
        <v>4772</v>
      </c>
      <c r="F1502" s="405"/>
      <c r="G1502" s="405">
        <v>2022</v>
      </c>
      <c r="H1502" s="405">
        <v>5</v>
      </c>
      <c r="I1502" s="405"/>
      <c r="J1502" s="406" t="s">
        <v>1053</v>
      </c>
      <c r="K1502" s="414" t="s">
        <v>4773</v>
      </c>
      <c r="L1502" s="405" t="s">
        <v>1928</v>
      </c>
      <c r="M1502" s="418">
        <v>44538</v>
      </c>
      <c r="N1502" s="418">
        <v>44743</v>
      </c>
      <c r="O1502" s="418"/>
      <c r="P1502" s="406"/>
      <c r="Q1502" s="406"/>
      <c r="R1502" s="406"/>
      <c r="S1502" s="405" t="s">
        <v>1940</v>
      </c>
      <c r="T1502" s="405">
        <v>60</v>
      </c>
      <c r="U1502" s="527" t="s">
        <v>1237</v>
      </c>
      <c r="V1502" s="405" t="s">
        <v>973</v>
      </c>
      <c r="W1502" s="405">
        <v>400</v>
      </c>
      <c r="X1502" s="407">
        <f>3072-2304</f>
        <v>768</v>
      </c>
      <c r="Y1502" s="408">
        <f t="shared" si="329"/>
        <v>307200</v>
      </c>
      <c r="Z1502" s="409">
        <v>0.55000000000000004</v>
      </c>
      <c r="AA1502" s="410">
        <f t="shared" si="330"/>
        <v>168960</v>
      </c>
      <c r="AB1502" s="411"/>
      <c r="AC1502" s="412">
        <f t="shared" si="327"/>
        <v>0</v>
      </c>
      <c r="AD1502" s="421"/>
      <c r="AE1502" s="413"/>
      <c r="AF1502" s="424">
        <f t="shared" si="328"/>
        <v>168960</v>
      </c>
      <c r="AG1502" s="405" t="s">
        <v>1069</v>
      </c>
      <c r="AH1502" s="405"/>
      <c r="AI1502" s="414" t="s">
        <v>1962</v>
      </c>
      <c r="AJ1502" s="405" t="s">
        <v>1946</v>
      </c>
      <c r="AK1502" s="425" t="s">
        <v>1930</v>
      </c>
      <c r="AL1502" s="405">
        <v>80223</v>
      </c>
      <c r="AM1502" s="405" t="s">
        <v>52</v>
      </c>
      <c r="AN1502" s="405" t="s">
        <v>50</v>
      </c>
      <c r="AO1502" s="405"/>
      <c r="AP1502" s="417"/>
      <c r="AQ1502" s="417" t="s">
        <v>37</v>
      </c>
      <c r="AR1502" s="417"/>
      <c r="AS1502" s="426"/>
      <c r="AT1502" s="426"/>
      <c r="AU1502" s="409"/>
      <c r="AV1502" s="402" t="str">
        <f>U1502</f>
        <v>30390456H</v>
      </c>
      <c r="AW1502" s="402" cm="1">
        <f t="array" ref="AW1502">SUM(MID(0&amp;AV1502,LARGE(INDEX(ISNUMBER(--MID(AV1502,ROW($1:$8),1))*ROW($1:$8),),ROW($1:$8))+1,1)*10^ROW($1:$8)/10)</f>
        <v>30390456</v>
      </c>
      <c r="AX1502" s="402" t="str">
        <f>VLOOKUP($AW1502,'Item Master Data'!$A:$F,3,FALSE)</f>
        <v>Q.PEAK DUO BLK ML G10+</v>
      </c>
      <c r="AY1502" s="402">
        <f>VLOOKUP($AW1502,'Item Master Data'!$A:$F,6,FALSE)</f>
        <v>400</v>
      </c>
      <c r="AZ1502" s="402">
        <f>X1502/BA1502</f>
        <v>24</v>
      </c>
      <c r="BA1502" s="402">
        <f>VLOOKUP(AW1502,'Item Master Data'!$A:$G,7,FALSE)</f>
        <v>32</v>
      </c>
      <c r="BC1502" s="402">
        <f>W1502-AY1502</f>
        <v>0</v>
      </c>
    </row>
    <row r="1503" spans="1:55" s="402" customFormat="1" ht="15" customHeight="1">
      <c r="A1503" s="403" t="s">
        <v>4584</v>
      </c>
      <c r="B1503" s="446">
        <v>44631</v>
      </c>
      <c r="C1503" s="446">
        <v>44631</v>
      </c>
      <c r="D1503" s="416" t="s">
        <v>2480</v>
      </c>
      <c r="E1503" s="405" t="s">
        <v>2484</v>
      </c>
      <c r="F1503" s="405"/>
      <c r="G1503" s="405">
        <v>2022</v>
      </c>
      <c r="H1503" s="405">
        <v>5</v>
      </c>
      <c r="I1503" s="405" t="s">
        <v>4541</v>
      </c>
      <c r="J1503" s="406"/>
      <c r="K1503" s="414" t="s">
        <v>2525</v>
      </c>
      <c r="L1503" s="405" t="s">
        <v>2489</v>
      </c>
      <c r="M1503" s="418">
        <v>44504</v>
      </c>
      <c r="N1503" s="418">
        <v>44653</v>
      </c>
      <c r="O1503" s="418" t="s">
        <v>1236</v>
      </c>
      <c r="P1503" s="406">
        <v>44684</v>
      </c>
      <c r="Q1503" s="406"/>
      <c r="R1503" s="406"/>
      <c r="S1503" s="405" t="s">
        <v>1940</v>
      </c>
      <c r="T1503" s="405">
        <v>60</v>
      </c>
      <c r="U1503" s="405" t="s">
        <v>1237</v>
      </c>
      <c r="V1503" s="405" t="s">
        <v>973</v>
      </c>
      <c r="W1503" s="405">
        <v>400</v>
      </c>
      <c r="X1503" s="407">
        <v>768</v>
      </c>
      <c r="Y1503" s="408">
        <f t="shared" si="329"/>
        <v>307200</v>
      </c>
      <c r="Z1503" s="409">
        <v>0.55000000000000004</v>
      </c>
      <c r="AA1503" s="410">
        <f t="shared" si="330"/>
        <v>168960</v>
      </c>
      <c r="AB1503" s="411"/>
      <c r="AC1503" s="412">
        <f t="shared" si="327"/>
        <v>0</v>
      </c>
      <c r="AD1503" s="421"/>
      <c r="AE1503" s="413"/>
      <c r="AF1503" s="424">
        <f t="shared" si="328"/>
        <v>168960</v>
      </c>
      <c r="AG1503" s="405" t="s">
        <v>1069</v>
      </c>
      <c r="AH1503" s="405"/>
      <c r="AI1503" s="414" t="s">
        <v>1962</v>
      </c>
      <c r="AJ1503" s="405" t="s">
        <v>2490</v>
      </c>
      <c r="AK1503" s="425" t="s">
        <v>1136</v>
      </c>
      <c r="AL1503" s="405">
        <v>79936</v>
      </c>
      <c r="AM1503" s="405" t="s">
        <v>52</v>
      </c>
      <c r="AN1503" s="405" t="s">
        <v>1101</v>
      </c>
      <c r="AO1503" s="405"/>
      <c r="AP1503" s="417"/>
      <c r="AQ1503" s="417" t="s">
        <v>37</v>
      </c>
      <c r="AR1503" s="417" t="s">
        <v>2491</v>
      </c>
      <c r="AS1503" s="426"/>
      <c r="AT1503" s="426"/>
      <c r="AU1503" s="409">
        <v>0.49</v>
      </c>
      <c r="AV1503" s="402" t="str">
        <f>U1503</f>
        <v>30390456H</v>
      </c>
      <c r="AW1503" s="402" cm="1">
        <f t="array" ref="AW1503">SUM(MID(0&amp;AV1503,LARGE(INDEX(ISNUMBER(--MID(AV1503,ROW($1:$8),1))*ROW($1:$8),),ROW($1:$8))+1,1)*10^ROW($1:$8)/10)</f>
        <v>30390456</v>
      </c>
      <c r="AX1503" s="402" t="str">
        <f>VLOOKUP($AW1503,'Item Master Data'!$A:$F,3,FALSE)</f>
        <v>Q.PEAK DUO BLK ML G10+</v>
      </c>
      <c r="AY1503" s="402">
        <f>VLOOKUP($AW1503,'Item Master Data'!$A:$F,6,FALSE)</f>
        <v>400</v>
      </c>
      <c r="AZ1503" s="402">
        <f>X1503/BA1503</f>
        <v>24</v>
      </c>
      <c r="BA1503" s="402">
        <f>VLOOKUP(AW1503,'Item Master Data'!$A:$G,7,FALSE)</f>
        <v>32</v>
      </c>
      <c r="BC1503" s="402">
        <f>W1503-AY1503</f>
        <v>0</v>
      </c>
    </row>
    <row r="1504" spans="1:55" s="402" customFormat="1" ht="15" customHeight="1">
      <c r="A1504" s="403"/>
      <c r="B1504" s="446">
        <v>44631</v>
      </c>
      <c r="C1504" s="446">
        <v>44631</v>
      </c>
      <c r="D1504" s="416" t="s">
        <v>2480</v>
      </c>
      <c r="E1504" s="405" t="s">
        <v>2484</v>
      </c>
      <c r="F1504" s="405"/>
      <c r="G1504" s="405">
        <v>2022</v>
      </c>
      <c r="H1504" s="405">
        <v>5</v>
      </c>
      <c r="I1504" s="405"/>
      <c r="J1504" s="406"/>
      <c r="K1504" s="528" t="s">
        <v>2571</v>
      </c>
      <c r="L1504" s="453" t="s">
        <v>2489</v>
      </c>
      <c r="M1504" s="418">
        <v>44504</v>
      </c>
      <c r="N1504" s="418">
        <v>44683</v>
      </c>
      <c r="O1504" s="418" t="s">
        <v>1236</v>
      </c>
      <c r="P1504" s="406"/>
      <c r="Q1504" s="406"/>
      <c r="R1504" s="406"/>
      <c r="S1504" s="405" t="s">
        <v>1940</v>
      </c>
      <c r="T1504" s="405">
        <v>60</v>
      </c>
      <c r="U1504" s="405" t="s">
        <v>1237</v>
      </c>
      <c r="V1504" s="405" t="s">
        <v>973</v>
      </c>
      <c r="W1504" s="405">
        <v>400</v>
      </c>
      <c r="X1504" s="407">
        <v>768</v>
      </c>
      <c r="Y1504" s="408">
        <f t="shared" si="329"/>
        <v>307200</v>
      </c>
      <c r="Z1504" s="409">
        <v>0.55000000000000004</v>
      </c>
      <c r="AA1504" s="410">
        <f t="shared" si="330"/>
        <v>168960</v>
      </c>
      <c r="AB1504" s="411"/>
      <c r="AC1504" s="412">
        <f t="shared" si="327"/>
        <v>0</v>
      </c>
      <c r="AD1504" s="421"/>
      <c r="AE1504" s="413"/>
      <c r="AF1504" s="424">
        <f t="shared" si="328"/>
        <v>168960</v>
      </c>
      <c r="AG1504" s="405" t="s">
        <v>1069</v>
      </c>
      <c r="AH1504" s="405"/>
      <c r="AI1504" s="414" t="s">
        <v>1962</v>
      </c>
      <c r="AJ1504" s="405" t="s">
        <v>2490</v>
      </c>
      <c r="AK1504" s="425" t="s">
        <v>1136</v>
      </c>
      <c r="AL1504" s="405">
        <v>79936</v>
      </c>
      <c r="AM1504" s="405" t="s">
        <v>52</v>
      </c>
      <c r="AN1504" s="405" t="s">
        <v>50</v>
      </c>
      <c r="AO1504" s="405"/>
      <c r="AP1504" s="417"/>
      <c r="AQ1504" s="417" t="s">
        <v>37</v>
      </c>
      <c r="AR1504" s="417" t="s">
        <v>2491</v>
      </c>
      <c r="AS1504" s="426"/>
      <c r="AT1504" s="426"/>
      <c r="AU1504" s="409">
        <v>0.49</v>
      </c>
      <c r="AV1504" s="402" t="str">
        <f>U1504</f>
        <v>30390456H</v>
      </c>
      <c r="AW1504" s="402" cm="1">
        <f t="array" ref="AW1504">SUM(MID(0&amp;AV1504,LARGE(INDEX(ISNUMBER(--MID(AV1504,ROW($1:$8),1))*ROW($1:$8),),ROW($1:$8))+1,1)*10^ROW($1:$8)/10)</f>
        <v>30390456</v>
      </c>
      <c r="AX1504" s="402" t="str">
        <f>VLOOKUP($AW1504,'Item Master Data'!$A:$F,3,FALSE)</f>
        <v>Q.PEAK DUO BLK ML G10+</v>
      </c>
      <c r="AY1504" s="402">
        <f>VLOOKUP($AW1504,'Item Master Data'!$A:$F,6,FALSE)</f>
        <v>400</v>
      </c>
      <c r="AZ1504" s="402">
        <f>X1504/BA1504</f>
        <v>24</v>
      </c>
      <c r="BA1504" s="402">
        <f>VLOOKUP(AW1504,'Item Master Data'!$A:$G,7,FALSE)</f>
        <v>32</v>
      </c>
      <c r="BC1504" s="402">
        <f>W1504-AY1504</f>
        <v>0</v>
      </c>
    </row>
    <row r="1505" spans="1:55" s="402" customFormat="1" ht="15" customHeight="1">
      <c r="A1505" s="403" t="s">
        <v>4584</v>
      </c>
      <c r="B1505" s="446">
        <v>44693</v>
      </c>
      <c r="C1505" s="446">
        <v>44693</v>
      </c>
      <c r="D1505" s="416" t="s">
        <v>2480</v>
      </c>
      <c r="E1505" s="405" t="s">
        <v>2484</v>
      </c>
      <c r="F1505" s="405"/>
      <c r="G1505" s="405">
        <v>2022</v>
      </c>
      <c r="H1505" s="405">
        <v>5</v>
      </c>
      <c r="I1505" s="405"/>
      <c r="J1505" s="406"/>
      <c r="K1505" s="526" t="s">
        <v>2572</v>
      </c>
      <c r="L1505" s="451" t="s">
        <v>2502</v>
      </c>
      <c r="M1505" s="418">
        <v>44497</v>
      </c>
      <c r="N1505" s="418">
        <v>44593</v>
      </c>
      <c r="O1505" s="418"/>
      <c r="P1505" s="406">
        <v>44693</v>
      </c>
      <c r="Q1505" s="406">
        <v>44694</v>
      </c>
      <c r="R1505" s="406">
        <v>44697</v>
      </c>
      <c r="S1505" s="405" t="s">
        <v>1940</v>
      </c>
      <c r="T1505" s="405">
        <v>60</v>
      </c>
      <c r="U1505" s="405" t="s">
        <v>1237</v>
      </c>
      <c r="V1505" s="405" t="s">
        <v>973</v>
      </c>
      <c r="W1505" s="405">
        <v>400</v>
      </c>
      <c r="X1505" s="407">
        <v>768</v>
      </c>
      <c r="Y1505" s="408">
        <f t="shared" si="329"/>
        <v>307200</v>
      </c>
      <c r="Z1505" s="409">
        <v>0.55000000000000004</v>
      </c>
      <c r="AA1505" s="410">
        <f t="shared" si="330"/>
        <v>168960</v>
      </c>
      <c r="AB1505" s="411"/>
      <c r="AC1505" s="412">
        <f t="shared" si="327"/>
        <v>0</v>
      </c>
      <c r="AD1505" s="421"/>
      <c r="AE1505" s="413"/>
      <c r="AF1505" s="424">
        <f t="shared" si="328"/>
        <v>168960</v>
      </c>
      <c r="AG1505" s="405" t="s">
        <v>1069</v>
      </c>
      <c r="AH1505" s="405"/>
      <c r="AI1505" s="414" t="s">
        <v>1962</v>
      </c>
      <c r="AJ1505" s="405" t="s">
        <v>2503</v>
      </c>
      <c r="AK1505" s="425" t="s">
        <v>1136</v>
      </c>
      <c r="AL1505" s="425">
        <v>77494</v>
      </c>
      <c r="AM1505" s="405" t="s">
        <v>52</v>
      </c>
      <c r="AN1505" s="405" t="s">
        <v>50</v>
      </c>
      <c r="AO1505" s="405"/>
      <c r="AP1505" s="417"/>
      <c r="AQ1505" s="417" t="s">
        <v>37</v>
      </c>
      <c r="AR1505" s="417" t="s">
        <v>2014</v>
      </c>
      <c r="AS1505" s="426"/>
      <c r="AT1505" s="426"/>
      <c r="AU1505" s="409">
        <v>0.46500000000000002</v>
      </c>
    </row>
    <row r="1506" spans="1:55" s="402" customFormat="1" ht="15" customHeight="1">
      <c r="A1506" s="403" t="s">
        <v>4585</v>
      </c>
      <c r="B1506" s="446">
        <v>44693</v>
      </c>
      <c r="C1506" s="446">
        <v>44693</v>
      </c>
      <c r="D1506" s="416" t="s">
        <v>2480</v>
      </c>
      <c r="E1506" s="405" t="s">
        <v>2484</v>
      </c>
      <c r="F1506" s="405"/>
      <c r="G1506" s="405">
        <v>2022</v>
      </c>
      <c r="H1506" s="405">
        <v>5</v>
      </c>
      <c r="I1506" s="405"/>
      <c r="J1506" s="406"/>
      <c r="K1506" s="414" t="s">
        <v>4999</v>
      </c>
      <c r="L1506" s="405" t="s">
        <v>2502</v>
      </c>
      <c r="M1506" s="418">
        <v>44497</v>
      </c>
      <c r="N1506" s="418">
        <v>44593</v>
      </c>
      <c r="O1506" s="418"/>
      <c r="P1506" s="418" t="s">
        <v>4539</v>
      </c>
      <c r="Q1506" s="406"/>
      <c r="R1506" s="406"/>
      <c r="S1506" s="405" t="s">
        <v>1940</v>
      </c>
      <c r="T1506" s="405">
        <v>60</v>
      </c>
      <c r="U1506" s="405" t="s">
        <v>1237</v>
      </c>
      <c r="V1506" s="405" t="s">
        <v>973</v>
      </c>
      <c r="W1506" s="405">
        <v>400</v>
      </c>
      <c r="X1506" s="407">
        <f>1536-768</f>
        <v>768</v>
      </c>
      <c r="Y1506" s="408">
        <f t="shared" si="329"/>
        <v>307200</v>
      </c>
      <c r="Z1506" s="409">
        <v>0.55000000000000004</v>
      </c>
      <c r="AA1506" s="410">
        <f t="shared" si="330"/>
        <v>168960</v>
      </c>
      <c r="AB1506" s="411"/>
      <c r="AC1506" s="412">
        <f t="shared" si="327"/>
        <v>0</v>
      </c>
      <c r="AD1506" s="421"/>
      <c r="AE1506" s="413"/>
      <c r="AF1506" s="424">
        <f t="shared" si="328"/>
        <v>168960</v>
      </c>
      <c r="AG1506" s="405" t="s">
        <v>1069</v>
      </c>
      <c r="AH1506" s="405"/>
      <c r="AI1506" s="414" t="s">
        <v>1962</v>
      </c>
      <c r="AJ1506" s="405" t="s">
        <v>2503</v>
      </c>
      <c r="AK1506" s="425" t="s">
        <v>1136</v>
      </c>
      <c r="AL1506" s="405">
        <v>77494</v>
      </c>
      <c r="AM1506" s="405" t="s">
        <v>52</v>
      </c>
      <c r="AN1506" s="405" t="s">
        <v>50</v>
      </c>
      <c r="AO1506" s="405"/>
      <c r="AP1506" s="417"/>
      <c r="AQ1506" s="417" t="s">
        <v>37</v>
      </c>
      <c r="AR1506" s="417" t="s">
        <v>2014</v>
      </c>
      <c r="AS1506" s="426"/>
      <c r="AT1506" s="426"/>
      <c r="AU1506" s="409">
        <v>0.46500000000000002</v>
      </c>
    </row>
    <row r="1507" spans="1:55" s="402" customFormat="1" ht="15" customHeight="1">
      <c r="A1507" s="403" t="s">
        <v>4585</v>
      </c>
      <c r="B1507" s="446">
        <v>44693</v>
      </c>
      <c r="C1507" s="446">
        <v>44693</v>
      </c>
      <c r="D1507" s="416" t="s">
        <v>2480</v>
      </c>
      <c r="E1507" s="405" t="s">
        <v>2484</v>
      </c>
      <c r="F1507" s="405"/>
      <c r="G1507" s="405">
        <v>2022</v>
      </c>
      <c r="H1507" s="405">
        <v>5</v>
      </c>
      <c r="I1507" s="405"/>
      <c r="J1507" s="406"/>
      <c r="K1507" s="414" t="s">
        <v>2573</v>
      </c>
      <c r="L1507" s="405" t="s">
        <v>2502</v>
      </c>
      <c r="M1507" s="418">
        <v>44497</v>
      </c>
      <c r="N1507" s="418">
        <v>44621</v>
      </c>
      <c r="O1507" s="418"/>
      <c r="P1507" s="418" t="s">
        <v>4539</v>
      </c>
      <c r="Q1507" s="406"/>
      <c r="R1507" s="406"/>
      <c r="S1507" s="405" t="s">
        <v>1940</v>
      </c>
      <c r="T1507" s="405">
        <v>60</v>
      </c>
      <c r="U1507" s="527" t="s">
        <v>1237</v>
      </c>
      <c r="V1507" s="405" t="s">
        <v>973</v>
      </c>
      <c r="W1507" s="405">
        <v>400</v>
      </c>
      <c r="X1507" s="407">
        <v>1536</v>
      </c>
      <c r="Y1507" s="408">
        <f t="shared" si="329"/>
        <v>614400</v>
      </c>
      <c r="Z1507" s="409">
        <v>0.55000000000000004</v>
      </c>
      <c r="AA1507" s="410">
        <f t="shared" si="330"/>
        <v>337920</v>
      </c>
      <c r="AB1507" s="411"/>
      <c r="AC1507" s="412">
        <f t="shared" si="327"/>
        <v>0</v>
      </c>
      <c r="AD1507" s="421"/>
      <c r="AE1507" s="413"/>
      <c r="AF1507" s="424">
        <f t="shared" si="328"/>
        <v>337920</v>
      </c>
      <c r="AG1507" s="405" t="s">
        <v>1069</v>
      </c>
      <c r="AH1507" s="405"/>
      <c r="AI1507" s="414" t="s">
        <v>1962</v>
      </c>
      <c r="AJ1507" s="405" t="s">
        <v>2503</v>
      </c>
      <c r="AK1507" s="425" t="s">
        <v>1136</v>
      </c>
      <c r="AL1507" s="405">
        <v>77494</v>
      </c>
      <c r="AM1507" s="405" t="s">
        <v>52</v>
      </c>
      <c r="AN1507" s="405" t="s">
        <v>50</v>
      </c>
      <c r="AO1507" s="405"/>
      <c r="AP1507" s="417"/>
      <c r="AQ1507" s="417" t="s">
        <v>37</v>
      </c>
      <c r="AR1507" s="417" t="s">
        <v>2014</v>
      </c>
      <c r="AS1507" s="426"/>
      <c r="AT1507" s="426"/>
      <c r="AU1507" s="409">
        <v>0.46500000000000002</v>
      </c>
    </row>
    <row r="1508" spans="1:55" s="402" customFormat="1" ht="15" customHeight="1">
      <c r="A1508" s="403" t="s">
        <v>4584</v>
      </c>
      <c r="B1508" s="446">
        <v>44693</v>
      </c>
      <c r="C1508" s="446">
        <v>44693</v>
      </c>
      <c r="D1508" s="416" t="s">
        <v>2480</v>
      </c>
      <c r="E1508" s="405" t="s">
        <v>2484</v>
      </c>
      <c r="F1508" s="405"/>
      <c r="G1508" s="405">
        <v>2022</v>
      </c>
      <c r="H1508" s="405">
        <v>5</v>
      </c>
      <c r="I1508" s="405">
        <v>128530</v>
      </c>
      <c r="J1508" s="406">
        <v>44684</v>
      </c>
      <c r="K1508" s="414" t="s">
        <v>4542</v>
      </c>
      <c r="L1508" s="405" t="s">
        <v>2502</v>
      </c>
      <c r="M1508" s="418">
        <v>44497</v>
      </c>
      <c r="N1508" s="418">
        <v>44621</v>
      </c>
      <c r="O1508" s="418"/>
      <c r="P1508" s="406">
        <v>44683</v>
      </c>
      <c r="Q1508" s="406">
        <v>44684</v>
      </c>
      <c r="R1508" s="406">
        <v>44687</v>
      </c>
      <c r="S1508" s="405" t="s">
        <v>1940</v>
      </c>
      <c r="T1508" s="405">
        <v>60</v>
      </c>
      <c r="U1508" s="405" t="s">
        <v>1237</v>
      </c>
      <c r="V1508" s="405" t="s">
        <v>973</v>
      </c>
      <c r="W1508" s="405">
        <v>400</v>
      </c>
      <c r="X1508" s="407">
        <v>768</v>
      </c>
      <c r="Y1508" s="408">
        <f t="shared" si="329"/>
        <v>307200</v>
      </c>
      <c r="Z1508" s="409">
        <v>0.55000000000000004</v>
      </c>
      <c r="AA1508" s="410">
        <f t="shared" si="330"/>
        <v>168960</v>
      </c>
      <c r="AB1508" s="411"/>
      <c r="AC1508" s="412">
        <f t="shared" si="327"/>
        <v>0</v>
      </c>
      <c r="AD1508" s="421"/>
      <c r="AE1508" s="413"/>
      <c r="AF1508" s="424">
        <f t="shared" si="328"/>
        <v>168960</v>
      </c>
      <c r="AG1508" s="405" t="s">
        <v>1069</v>
      </c>
      <c r="AH1508" s="405"/>
      <c r="AI1508" s="414" t="s">
        <v>1962</v>
      </c>
      <c r="AJ1508" s="405" t="s">
        <v>2503</v>
      </c>
      <c r="AK1508" s="425" t="s">
        <v>1136</v>
      </c>
      <c r="AL1508" s="405">
        <v>77494</v>
      </c>
      <c r="AM1508" s="405" t="s">
        <v>52</v>
      </c>
      <c r="AN1508" s="405" t="s">
        <v>50</v>
      </c>
      <c r="AO1508" s="405"/>
      <c r="AP1508" s="417"/>
      <c r="AQ1508" s="417" t="s">
        <v>37</v>
      </c>
      <c r="AR1508" s="417" t="s">
        <v>2574</v>
      </c>
      <c r="AS1508" s="426"/>
      <c r="AT1508" s="426"/>
      <c r="AU1508" s="409">
        <v>0.45500000000000002</v>
      </c>
      <c r="AV1508" s="402" t="str">
        <f>U1508</f>
        <v>30390456H</v>
      </c>
      <c r="AW1508" s="402" cm="1">
        <f t="array" ref="AW1508">SUM(MID(0&amp;AV1508,LARGE(INDEX(ISNUMBER(--MID(AV1508,ROW($1:$8),1))*ROW($1:$8),),ROW($1:$8))+1,1)*10^ROW($1:$8)/10)</f>
        <v>30390456</v>
      </c>
      <c r="AX1508" s="402" t="str">
        <f>VLOOKUP($AW1508,'Item Master Data'!$A:$F,3,FALSE)</f>
        <v>Q.PEAK DUO BLK ML G10+</v>
      </c>
      <c r="AY1508" s="402">
        <f>VLOOKUP($AW1508,'Item Master Data'!$A:$F,6,FALSE)</f>
        <v>400</v>
      </c>
      <c r="AZ1508" s="402">
        <f>X1508/BA1508</f>
        <v>24</v>
      </c>
      <c r="BA1508" s="402">
        <f>VLOOKUP(AW1508,'Item Master Data'!$A:$G,7,FALSE)</f>
        <v>32</v>
      </c>
      <c r="BC1508" s="402">
        <f>W1508-AY1508</f>
        <v>0</v>
      </c>
    </row>
    <row r="1509" spans="1:55" s="402" customFormat="1" ht="15" customHeight="1">
      <c r="A1509" s="403" t="s">
        <v>4585</v>
      </c>
      <c r="B1509" s="446">
        <v>44628</v>
      </c>
      <c r="C1509" s="446">
        <v>44628</v>
      </c>
      <c r="D1509" s="416" t="s">
        <v>2480</v>
      </c>
      <c r="E1509" s="405" t="s">
        <v>2484</v>
      </c>
      <c r="F1509" s="405"/>
      <c r="G1509" s="405">
        <v>2022</v>
      </c>
      <c r="H1509" s="405">
        <v>5</v>
      </c>
      <c r="I1509" s="405"/>
      <c r="J1509" s="406"/>
      <c r="K1509" s="473" t="s">
        <v>2529</v>
      </c>
      <c r="L1509" s="373" t="s">
        <v>1931</v>
      </c>
      <c r="M1509" s="418">
        <v>44491</v>
      </c>
      <c r="N1509" s="418">
        <v>44596</v>
      </c>
      <c r="O1509" s="418" t="s">
        <v>1932</v>
      </c>
      <c r="P1509" s="418" t="s">
        <v>4539</v>
      </c>
      <c r="Q1509" s="406"/>
      <c r="R1509" s="406"/>
      <c r="S1509" s="405" t="s">
        <v>1940</v>
      </c>
      <c r="T1509" s="405">
        <v>60</v>
      </c>
      <c r="U1509" s="405" t="s">
        <v>1237</v>
      </c>
      <c r="V1509" s="405" t="s">
        <v>973</v>
      </c>
      <c r="W1509" s="405">
        <v>400</v>
      </c>
      <c r="X1509" s="407">
        <v>1664</v>
      </c>
      <c r="Y1509" s="408">
        <f t="shared" si="329"/>
        <v>665600</v>
      </c>
      <c r="Z1509" s="409">
        <v>0.55000000000000004</v>
      </c>
      <c r="AA1509" s="410">
        <f t="shared" si="330"/>
        <v>366080.00000000006</v>
      </c>
      <c r="AB1509" s="411"/>
      <c r="AC1509" s="412">
        <f t="shared" si="327"/>
        <v>0</v>
      </c>
      <c r="AD1509" s="421"/>
      <c r="AE1509" s="413"/>
      <c r="AF1509" s="424">
        <f t="shared" si="328"/>
        <v>366080.00000000006</v>
      </c>
      <c r="AG1509" s="405" t="s">
        <v>1069</v>
      </c>
      <c r="AH1509" s="405"/>
      <c r="AI1509" s="414" t="s">
        <v>1962</v>
      </c>
      <c r="AJ1509" s="405" t="s">
        <v>1933</v>
      </c>
      <c r="AK1509" s="425" t="s">
        <v>1328</v>
      </c>
      <c r="AL1509" s="405">
        <v>89118</v>
      </c>
      <c r="AM1509" s="405" t="s">
        <v>52</v>
      </c>
      <c r="AN1509" s="405" t="s">
        <v>50</v>
      </c>
      <c r="AO1509" s="405"/>
      <c r="AP1509" s="417"/>
      <c r="AQ1509" s="417" t="s">
        <v>37</v>
      </c>
      <c r="AR1509" s="417" t="s">
        <v>1499</v>
      </c>
      <c r="AS1509" s="426"/>
      <c r="AT1509" s="426"/>
      <c r="AU1509" s="409">
        <v>0.45500000000000002</v>
      </c>
      <c r="AV1509" s="402" t="str">
        <f>U1509</f>
        <v>30390456H</v>
      </c>
      <c r="AW1509" s="402" cm="1">
        <f t="array" ref="AW1509">SUM(MID(0&amp;AV1509,LARGE(INDEX(ISNUMBER(--MID(AV1509,ROW($1:$8),1))*ROW($1:$8),),ROW($1:$8))+1,1)*10^ROW($1:$8)/10)</f>
        <v>30390456</v>
      </c>
      <c r="AX1509" s="402" t="str">
        <f>VLOOKUP($AW1509,'Item Master Data'!$A:$F,3,FALSE)</f>
        <v>Q.PEAK DUO BLK ML G10+</v>
      </c>
      <c r="AY1509" s="402">
        <f>VLOOKUP($AW1509,'Item Master Data'!$A:$F,6,FALSE)</f>
        <v>400</v>
      </c>
      <c r="AZ1509" s="402">
        <f>X1509/BA1509</f>
        <v>52</v>
      </c>
      <c r="BA1509" s="402">
        <f>VLOOKUP(AW1509,'Item Master Data'!$A:$G,7,FALSE)</f>
        <v>32</v>
      </c>
      <c r="BC1509" s="402">
        <f>W1509-AY1509</f>
        <v>0</v>
      </c>
    </row>
    <row r="1510" spans="1:55" s="402" customFormat="1" ht="15" customHeight="1">
      <c r="A1510" s="403"/>
      <c r="B1510" s="446">
        <v>44628</v>
      </c>
      <c r="C1510" s="446">
        <v>44628</v>
      </c>
      <c r="D1510" s="416" t="s">
        <v>2480</v>
      </c>
      <c r="E1510" s="405" t="s">
        <v>2484</v>
      </c>
      <c r="F1510" s="405"/>
      <c r="G1510" s="405">
        <v>2022</v>
      </c>
      <c r="H1510" s="405">
        <v>6</v>
      </c>
      <c r="I1510" s="405"/>
      <c r="J1510" s="406"/>
      <c r="K1510" s="473" t="s">
        <v>2575</v>
      </c>
      <c r="L1510" s="373" t="s">
        <v>1931</v>
      </c>
      <c r="M1510" s="418">
        <v>44491</v>
      </c>
      <c r="N1510" s="418">
        <v>44624</v>
      </c>
      <c r="O1510" s="418" t="s">
        <v>1932</v>
      </c>
      <c r="P1510" s="406"/>
      <c r="Q1510" s="406"/>
      <c r="R1510" s="406"/>
      <c r="S1510" s="405" t="s">
        <v>1940</v>
      </c>
      <c r="T1510" s="405">
        <v>60</v>
      </c>
      <c r="U1510" s="405" t="s">
        <v>1237</v>
      </c>
      <c r="V1510" s="405" t="s">
        <v>973</v>
      </c>
      <c r="W1510" s="405">
        <v>400</v>
      </c>
      <c r="X1510" s="407">
        <v>832</v>
      </c>
      <c r="Y1510" s="408">
        <f t="shared" si="329"/>
        <v>332800</v>
      </c>
      <c r="Z1510" s="409">
        <v>0.55000000000000004</v>
      </c>
      <c r="AA1510" s="410">
        <f t="shared" si="330"/>
        <v>183040.00000000003</v>
      </c>
      <c r="AB1510" s="411"/>
      <c r="AC1510" s="412">
        <f t="shared" si="327"/>
        <v>0</v>
      </c>
      <c r="AD1510" s="421"/>
      <c r="AE1510" s="413"/>
      <c r="AF1510" s="424">
        <f t="shared" si="328"/>
        <v>183040.00000000003</v>
      </c>
      <c r="AG1510" s="405" t="s">
        <v>1069</v>
      </c>
      <c r="AH1510" s="405"/>
      <c r="AI1510" s="414" t="s">
        <v>1962</v>
      </c>
      <c r="AJ1510" s="405" t="s">
        <v>1933</v>
      </c>
      <c r="AK1510" s="425" t="s">
        <v>1328</v>
      </c>
      <c r="AL1510" s="405">
        <v>89118</v>
      </c>
      <c r="AM1510" s="405" t="s">
        <v>52</v>
      </c>
      <c r="AN1510" s="405" t="s">
        <v>50</v>
      </c>
      <c r="AO1510" s="405"/>
      <c r="AP1510" s="417"/>
      <c r="AQ1510" s="417" t="s">
        <v>37</v>
      </c>
      <c r="AR1510" s="417" t="s">
        <v>1499</v>
      </c>
      <c r="AS1510" s="426"/>
      <c r="AT1510" s="426"/>
      <c r="AU1510" s="409">
        <v>0.45500000000000002</v>
      </c>
    </row>
    <row r="1511" spans="1:55" s="402" customFormat="1" ht="15" customHeight="1">
      <c r="A1511" s="403" t="s">
        <v>4584</v>
      </c>
      <c r="B1511" s="446">
        <v>44628</v>
      </c>
      <c r="C1511" s="446">
        <v>44628</v>
      </c>
      <c r="D1511" s="416" t="s">
        <v>2480</v>
      </c>
      <c r="E1511" s="405" t="s">
        <v>2526</v>
      </c>
      <c r="F1511" s="405"/>
      <c r="G1511" s="405">
        <v>2022</v>
      </c>
      <c r="H1511" s="405">
        <v>5</v>
      </c>
      <c r="I1511" s="405">
        <v>128533</v>
      </c>
      <c r="J1511" s="406">
        <v>44691</v>
      </c>
      <c r="K1511" s="414" t="s">
        <v>2528</v>
      </c>
      <c r="L1511" s="405" t="s">
        <v>1931</v>
      </c>
      <c r="M1511" s="418">
        <v>44504</v>
      </c>
      <c r="N1511" s="418">
        <v>44627</v>
      </c>
      <c r="O1511" s="418" t="s">
        <v>1236</v>
      </c>
      <c r="P1511" s="406">
        <v>44665</v>
      </c>
      <c r="Q1511" s="406">
        <v>44691</v>
      </c>
      <c r="R1511" s="406">
        <v>44692</v>
      </c>
      <c r="S1511" s="405" t="s">
        <v>1940</v>
      </c>
      <c r="T1511" s="405">
        <v>60</v>
      </c>
      <c r="U1511" s="405" t="s">
        <v>1237</v>
      </c>
      <c r="V1511" s="405" t="s">
        <v>973</v>
      </c>
      <c r="W1511" s="405">
        <v>400</v>
      </c>
      <c r="X1511" s="407">
        <v>1664</v>
      </c>
      <c r="Y1511" s="408">
        <f t="shared" si="329"/>
        <v>665600</v>
      </c>
      <c r="Z1511" s="409">
        <v>0.55000000000000004</v>
      </c>
      <c r="AA1511" s="410">
        <f t="shared" si="330"/>
        <v>366080.00000000006</v>
      </c>
      <c r="AB1511" s="411"/>
      <c r="AC1511" s="412">
        <f t="shared" si="327"/>
        <v>0</v>
      </c>
      <c r="AD1511" s="421"/>
      <c r="AE1511" s="413"/>
      <c r="AF1511" s="424">
        <f t="shared" si="328"/>
        <v>366080.00000000006</v>
      </c>
      <c r="AG1511" s="405" t="s">
        <v>1069</v>
      </c>
      <c r="AH1511" s="405"/>
      <c r="AI1511" s="414">
        <v>60</v>
      </c>
      <c r="AJ1511" s="405" t="s">
        <v>1933</v>
      </c>
      <c r="AK1511" s="425" t="s">
        <v>1328</v>
      </c>
      <c r="AL1511" s="405">
        <v>89118</v>
      </c>
      <c r="AM1511" s="405" t="s">
        <v>52</v>
      </c>
      <c r="AN1511" s="405" t="s">
        <v>50</v>
      </c>
      <c r="AO1511" s="405"/>
      <c r="AP1511" s="417"/>
      <c r="AQ1511" s="417" t="s">
        <v>37</v>
      </c>
      <c r="AR1511" s="417" t="s">
        <v>1209</v>
      </c>
      <c r="AS1511" s="426"/>
      <c r="AT1511" s="426"/>
      <c r="AU1511" s="409">
        <v>0.46500000000000002</v>
      </c>
    </row>
    <row r="1512" spans="1:55" s="402" customFormat="1" ht="15" customHeight="1">
      <c r="A1512" s="403" t="s">
        <v>4585</v>
      </c>
      <c r="B1512" s="446">
        <v>44628</v>
      </c>
      <c r="C1512" s="446">
        <v>44628</v>
      </c>
      <c r="D1512" s="416" t="s">
        <v>2480</v>
      </c>
      <c r="E1512" s="405" t="s">
        <v>2526</v>
      </c>
      <c r="F1512" s="405"/>
      <c r="G1512" s="405">
        <v>2022</v>
      </c>
      <c r="H1512" s="405">
        <v>5</v>
      </c>
      <c r="I1512" s="406" t="s">
        <v>4400</v>
      </c>
      <c r="J1512" s="406"/>
      <c r="K1512" s="473" t="s">
        <v>2528</v>
      </c>
      <c r="L1512" s="373" t="s">
        <v>1931</v>
      </c>
      <c r="M1512" s="474">
        <v>44504</v>
      </c>
      <c r="N1512" s="474">
        <v>44627</v>
      </c>
      <c r="O1512" s="474" t="s">
        <v>1236</v>
      </c>
      <c r="P1512" s="329">
        <v>44665</v>
      </c>
      <c r="Q1512" s="406" t="s">
        <v>4605</v>
      </c>
      <c r="R1512" s="406"/>
      <c r="S1512" s="405" t="s">
        <v>1940</v>
      </c>
      <c r="T1512" s="405">
        <v>60</v>
      </c>
      <c r="U1512" s="405" t="s">
        <v>1237</v>
      </c>
      <c r="V1512" s="405" t="s">
        <v>973</v>
      </c>
      <c r="W1512" s="405">
        <v>400</v>
      </c>
      <c r="X1512" s="407">
        <f>1664+832+1664-1664</f>
        <v>2496</v>
      </c>
      <c r="Y1512" s="422">
        <f t="shared" si="329"/>
        <v>998400</v>
      </c>
      <c r="Z1512" s="409">
        <v>0.55000000000000004</v>
      </c>
      <c r="AA1512" s="410">
        <f t="shared" si="330"/>
        <v>549120</v>
      </c>
      <c r="AB1512" s="411"/>
      <c r="AC1512" s="412">
        <f t="shared" si="327"/>
        <v>0</v>
      </c>
      <c r="AD1512" s="421"/>
      <c r="AE1512" s="413"/>
      <c r="AF1512" s="424">
        <f t="shared" si="328"/>
        <v>549120</v>
      </c>
      <c r="AG1512" s="405" t="s">
        <v>1069</v>
      </c>
      <c r="AH1512" s="405"/>
      <c r="AI1512" s="414">
        <v>60</v>
      </c>
      <c r="AJ1512" s="405" t="s">
        <v>1933</v>
      </c>
      <c r="AK1512" s="425" t="s">
        <v>1328</v>
      </c>
      <c r="AL1512" s="425">
        <v>89118</v>
      </c>
      <c r="AM1512" s="405" t="s">
        <v>52</v>
      </c>
      <c r="AN1512" s="405" t="s">
        <v>50</v>
      </c>
      <c r="AO1512" s="405"/>
      <c r="AP1512" s="417"/>
      <c r="AQ1512" s="417" t="s">
        <v>37</v>
      </c>
      <c r="AR1512" s="417" t="s">
        <v>1209</v>
      </c>
      <c r="AS1512" s="426"/>
      <c r="AT1512" s="426"/>
      <c r="AU1512" s="409">
        <v>0.46500000000000002</v>
      </c>
    </row>
    <row r="1513" spans="1:55" s="402" customFormat="1" ht="15" customHeight="1">
      <c r="A1513" s="403" t="s">
        <v>4584</v>
      </c>
      <c r="B1513" s="446">
        <v>44620</v>
      </c>
      <c r="C1513" s="446">
        <v>44617</v>
      </c>
      <c r="D1513" s="416" t="s">
        <v>2480</v>
      </c>
      <c r="E1513" s="405" t="s">
        <v>2484</v>
      </c>
      <c r="F1513" s="405"/>
      <c r="G1513" s="405">
        <v>2022</v>
      </c>
      <c r="H1513" s="405">
        <v>5</v>
      </c>
      <c r="I1513" s="405"/>
      <c r="J1513" s="406"/>
      <c r="K1513" s="526" t="s">
        <v>2578</v>
      </c>
      <c r="L1513" s="451" t="s">
        <v>2532</v>
      </c>
      <c r="M1513" s="418">
        <v>44503</v>
      </c>
      <c r="N1513" s="418">
        <v>44595</v>
      </c>
      <c r="O1513" s="418" t="s">
        <v>1236</v>
      </c>
      <c r="P1513" s="406">
        <v>44690</v>
      </c>
      <c r="Q1513" s="406">
        <v>44694</v>
      </c>
      <c r="R1513" s="406">
        <v>44697</v>
      </c>
      <c r="S1513" s="405" t="s">
        <v>1940</v>
      </c>
      <c r="T1513" s="405">
        <v>60</v>
      </c>
      <c r="U1513" s="405" t="s">
        <v>1237</v>
      </c>
      <c r="V1513" s="405" t="s">
        <v>973</v>
      </c>
      <c r="W1513" s="405">
        <v>400</v>
      </c>
      <c r="X1513" s="407">
        <v>1536</v>
      </c>
      <c r="Y1513" s="422">
        <f t="shared" si="329"/>
        <v>614400</v>
      </c>
      <c r="Z1513" s="409">
        <v>0.55000000000000004</v>
      </c>
      <c r="AA1513" s="410">
        <f t="shared" si="330"/>
        <v>337920</v>
      </c>
      <c r="AB1513" s="411"/>
      <c r="AC1513" s="412">
        <f t="shared" si="327"/>
        <v>0</v>
      </c>
      <c r="AD1513" s="421"/>
      <c r="AE1513" s="413"/>
      <c r="AF1513" s="424">
        <f t="shared" si="328"/>
        <v>337920</v>
      </c>
      <c r="AG1513" s="405" t="s">
        <v>1069</v>
      </c>
      <c r="AH1513" s="405"/>
      <c r="AI1513" s="414" t="s">
        <v>1962</v>
      </c>
      <c r="AJ1513" s="405" t="s">
        <v>2533</v>
      </c>
      <c r="AK1513" s="425" t="s">
        <v>1136</v>
      </c>
      <c r="AL1513" s="425">
        <v>79423</v>
      </c>
      <c r="AM1513" s="405" t="s">
        <v>52</v>
      </c>
      <c r="AN1513" s="405" t="s">
        <v>50</v>
      </c>
      <c r="AO1513" s="405"/>
      <c r="AP1513" s="417" t="s">
        <v>38</v>
      </c>
      <c r="AQ1513" s="417" t="s">
        <v>37</v>
      </c>
      <c r="AR1513" s="417" t="s">
        <v>1499</v>
      </c>
      <c r="AS1513" s="426"/>
      <c r="AT1513" s="426"/>
      <c r="AU1513" s="409">
        <v>0.45500000000000002</v>
      </c>
    </row>
    <row r="1514" spans="1:55" s="402" customFormat="1" ht="15" customHeight="1">
      <c r="A1514" s="403" t="s">
        <v>4584</v>
      </c>
      <c r="B1514" s="446">
        <v>44629</v>
      </c>
      <c r="C1514" s="446">
        <v>44629</v>
      </c>
      <c r="D1514" s="416" t="s">
        <v>2480</v>
      </c>
      <c r="E1514" s="405" t="s">
        <v>4138</v>
      </c>
      <c r="F1514" s="405"/>
      <c r="G1514" s="405">
        <v>2022</v>
      </c>
      <c r="H1514" s="405">
        <v>5</v>
      </c>
      <c r="I1514" s="405" t="s">
        <v>1498</v>
      </c>
      <c r="J1514" s="406"/>
      <c r="K1514" s="526" t="s">
        <v>2581</v>
      </c>
      <c r="L1514" s="451" t="s">
        <v>2527</v>
      </c>
      <c r="M1514" s="418">
        <v>44504</v>
      </c>
      <c r="N1514" s="418">
        <v>44622</v>
      </c>
      <c r="O1514" s="418" t="s">
        <v>1932</v>
      </c>
      <c r="P1514" s="406">
        <v>44690</v>
      </c>
      <c r="Q1514" s="406">
        <v>44694</v>
      </c>
      <c r="R1514" s="406">
        <v>44697</v>
      </c>
      <c r="S1514" s="405" t="s">
        <v>1940</v>
      </c>
      <c r="T1514" s="405">
        <v>60</v>
      </c>
      <c r="U1514" s="405" t="s">
        <v>1237</v>
      </c>
      <c r="V1514" s="405" t="s">
        <v>2582</v>
      </c>
      <c r="W1514" s="405">
        <v>400</v>
      </c>
      <c r="X1514" s="407">
        <v>768</v>
      </c>
      <c r="Y1514" s="408">
        <f t="shared" si="329"/>
        <v>307200</v>
      </c>
      <c r="Z1514" s="409">
        <v>0.46500000000000002</v>
      </c>
      <c r="AA1514" s="410">
        <f t="shared" si="330"/>
        <v>142848</v>
      </c>
      <c r="AB1514" s="411"/>
      <c r="AC1514" s="412">
        <f t="shared" si="327"/>
        <v>0</v>
      </c>
      <c r="AD1514" s="421"/>
      <c r="AE1514" s="413"/>
      <c r="AF1514" s="424">
        <f t="shared" si="328"/>
        <v>142848</v>
      </c>
      <c r="AG1514" s="405" t="s">
        <v>1069</v>
      </c>
      <c r="AH1514" s="405"/>
      <c r="AI1514" s="414" t="s">
        <v>1962</v>
      </c>
      <c r="AJ1514" s="405" t="s">
        <v>1941</v>
      </c>
      <c r="AK1514" s="425" t="s">
        <v>1942</v>
      </c>
      <c r="AL1514" s="425">
        <v>87107</v>
      </c>
      <c r="AM1514" s="405" t="s">
        <v>52</v>
      </c>
      <c r="AN1514" s="405" t="s">
        <v>50</v>
      </c>
      <c r="AO1514" s="405"/>
      <c r="AP1514" s="417" t="s">
        <v>38</v>
      </c>
      <c r="AQ1514" s="417" t="s">
        <v>37</v>
      </c>
      <c r="AR1514" s="417" t="s">
        <v>2014</v>
      </c>
      <c r="AS1514" s="426"/>
      <c r="AT1514" s="426"/>
      <c r="AU1514" s="409">
        <v>0.46500000000000002</v>
      </c>
    </row>
    <row r="1515" spans="1:55" s="402" customFormat="1" ht="15" customHeight="1">
      <c r="A1515" s="403" t="s">
        <v>4585</v>
      </c>
      <c r="B1515" s="446">
        <v>44629</v>
      </c>
      <c r="C1515" s="446">
        <v>44629</v>
      </c>
      <c r="D1515" s="416" t="s">
        <v>2480</v>
      </c>
      <c r="E1515" s="405" t="s">
        <v>4138</v>
      </c>
      <c r="F1515" s="405"/>
      <c r="G1515" s="405">
        <v>2022</v>
      </c>
      <c r="H1515" s="405">
        <v>5</v>
      </c>
      <c r="I1515" s="405" t="s">
        <v>1498</v>
      </c>
      <c r="J1515" s="406"/>
      <c r="K1515" s="473" t="s">
        <v>5000</v>
      </c>
      <c r="L1515" s="373" t="s">
        <v>2527</v>
      </c>
      <c r="M1515" s="418">
        <v>44504</v>
      </c>
      <c r="N1515" s="418">
        <v>44622</v>
      </c>
      <c r="O1515" s="418" t="s">
        <v>1932</v>
      </c>
      <c r="P1515" s="418" t="s">
        <v>4539</v>
      </c>
      <c r="Q1515" s="406"/>
      <c r="R1515" s="406"/>
      <c r="S1515" s="405" t="s">
        <v>1940</v>
      </c>
      <c r="T1515" s="405">
        <v>60</v>
      </c>
      <c r="U1515" s="405" t="s">
        <v>1237</v>
      </c>
      <c r="V1515" s="405" t="s">
        <v>2582</v>
      </c>
      <c r="W1515" s="405">
        <v>400</v>
      </c>
      <c r="X1515" s="407">
        <f>1536-768</f>
        <v>768</v>
      </c>
      <c r="Y1515" s="422">
        <f t="shared" si="329"/>
        <v>307200</v>
      </c>
      <c r="Z1515" s="409">
        <v>0.46500000000000002</v>
      </c>
      <c r="AA1515" s="423">
        <f t="shared" si="330"/>
        <v>142848</v>
      </c>
      <c r="AB1515" s="411"/>
      <c r="AC1515" s="412">
        <f t="shared" si="327"/>
        <v>0</v>
      </c>
      <c r="AD1515" s="421"/>
      <c r="AE1515" s="413"/>
      <c r="AF1515" s="424">
        <f t="shared" si="328"/>
        <v>142848</v>
      </c>
      <c r="AG1515" s="405" t="s">
        <v>1069</v>
      </c>
      <c r="AH1515" s="405"/>
      <c r="AI1515" s="414" t="s">
        <v>1962</v>
      </c>
      <c r="AJ1515" s="405" t="s">
        <v>1941</v>
      </c>
      <c r="AK1515" s="425" t="s">
        <v>1942</v>
      </c>
      <c r="AL1515" s="405">
        <v>87107</v>
      </c>
      <c r="AM1515" s="405" t="s">
        <v>52</v>
      </c>
      <c r="AN1515" s="405" t="s">
        <v>50</v>
      </c>
      <c r="AO1515" s="405"/>
      <c r="AP1515" s="417"/>
      <c r="AQ1515" s="417" t="s">
        <v>37</v>
      </c>
      <c r="AR1515" s="417" t="s">
        <v>2014</v>
      </c>
      <c r="AS1515" s="426"/>
      <c r="AT1515" s="426"/>
      <c r="AU1515" s="409">
        <v>0.46500000000000002</v>
      </c>
    </row>
    <row r="1516" spans="1:55" s="402" customFormat="1" ht="15" customHeight="1">
      <c r="A1516" s="403" t="s">
        <v>4584</v>
      </c>
      <c r="B1516" s="446">
        <v>44690</v>
      </c>
      <c r="C1516" s="446">
        <v>44693</v>
      </c>
      <c r="D1516" s="416" t="s">
        <v>2480</v>
      </c>
      <c r="E1516" s="405"/>
      <c r="F1516" s="405"/>
      <c r="G1516" s="405">
        <v>2022</v>
      </c>
      <c r="H1516" s="405">
        <v>5</v>
      </c>
      <c r="I1516" s="405"/>
      <c r="J1516" s="406"/>
      <c r="K1516" s="414" t="s">
        <v>5001</v>
      </c>
      <c r="L1516" s="405" t="s">
        <v>2530</v>
      </c>
      <c r="M1516" s="418">
        <v>44529</v>
      </c>
      <c r="N1516" s="418">
        <v>44682</v>
      </c>
      <c r="O1516" s="418"/>
      <c r="P1516" s="418" t="s">
        <v>4539</v>
      </c>
      <c r="Q1516" s="406"/>
      <c r="R1516" s="406"/>
      <c r="S1516" s="405" t="s">
        <v>1940</v>
      </c>
      <c r="T1516" s="405">
        <v>60</v>
      </c>
      <c r="U1516" s="405" t="s">
        <v>1237</v>
      </c>
      <c r="V1516" s="405" t="s">
        <v>973</v>
      </c>
      <c r="W1516" s="405">
        <v>400</v>
      </c>
      <c r="X1516" s="407">
        <v>2304</v>
      </c>
      <c r="Y1516" s="408">
        <f t="shared" si="329"/>
        <v>921600</v>
      </c>
      <c r="Z1516" s="409">
        <v>0.55000000000000004</v>
      </c>
      <c r="AA1516" s="410">
        <f t="shared" si="330"/>
        <v>506880.00000000006</v>
      </c>
      <c r="AB1516" s="411"/>
      <c r="AC1516" s="412">
        <f t="shared" si="327"/>
        <v>0</v>
      </c>
      <c r="AD1516" s="421"/>
      <c r="AE1516" s="413"/>
      <c r="AF1516" s="424">
        <f t="shared" si="328"/>
        <v>506880.00000000006</v>
      </c>
      <c r="AG1516" s="405" t="s">
        <v>1069</v>
      </c>
      <c r="AH1516" s="405"/>
      <c r="AI1516" s="414">
        <v>60</v>
      </c>
      <c r="AJ1516" s="405" t="s">
        <v>2053</v>
      </c>
      <c r="AK1516" s="425" t="s">
        <v>1136</v>
      </c>
      <c r="AL1516" s="405">
        <v>78218</v>
      </c>
      <c r="AM1516" s="405" t="s">
        <v>52</v>
      </c>
      <c r="AN1516" s="405" t="s">
        <v>50</v>
      </c>
      <c r="AO1516" s="405"/>
      <c r="AP1516" s="417"/>
      <c r="AQ1516" s="417" t="s">
        <v>37</v>
      </c>
      <c r="AR1516" s="417"/>
      <c r="AS1516" s="426"/>
      <c r="AT1516" s="426"/>
      <c r="AU1516" s="409"/>
    </row>
    <row r="1517" spans="1:55" s="402" customFormat="1" ht="15" customHeight="1">
      <c r="A1517" s="403" t="s">
        <v>4585</v>
      </c>
      <c r="B1517" s="446">
        <v>44690</v>
      </c>
      <c r="C1517" s="446"/>
      <c r="D1517" s="416" t="s">
        <v>2480</v>
      </c>
      <c r="E1517" s="405"/>
      <c r="F1517" s="405"/>
      <c r="G1517" s="405">
        <v>2022</v>
      </c>
      <c r="H1517" s="405">
        <v>5</v>
      </c>
      <c r="I1517" s="405"/>
      <c r="J1517" s="406"/>
      <c r="K1517" s="414" t="s">
        <v>5002</v>
      </c>
      <c r="L1517" s="405" t="s">
        <v>2530</v>
      </c>
      <c r="M1517" s="418">
        <v>44529</v>
      </c>
      <c r="N1517" s="418">
        <v>44682</v>
      </c>
      <c r="O1517" s="418"/>
      <c r="P1517" s="418" t="s">
        <v>4539</v>
      </c>
      <c r="Q1517" s="406"/>
      <c r="R1517" s="406"/>
      <c r="S1517" s="405" t="s">
        <v>1940</v>
      </c>
      <c r="T1517" s="405">
        <v>60</v>
      </c>
      <c r="U1517" s="405" t="s">
        <v>1237</v>
      </c>
      <c r="V1517" s="405" t="s">
        <v>973</v>
      </c>
      <c r="W1517" s="405">
        <v>400</v>
      </c>
      <c r="X1517" s="407">
        <f>3804-2268</f>
        <v>1536</v>
      </c>
      <c r="Y1517" s="408">
        <f t="shared" si="329"/>
        <v>614400</v>
      </c>
      <c r="Z1517" s="409">
        <v>0.55000000000000004</v>
      </c>
      <c r="AA1517" s="410">
        <f t="shared" si="330"/>
        <v>337920</v>
      </c>
      <c r="AB1517" s="411"/>
      <c r="AC1517" s="412">
        <f t="shared" si="327"/>
        <v>0</v>
      </c>
      <c r="AD1517" s="421"/>
      <c r="AE1517" s="413"/>
      <c r="AF1517" s="424">
        <f t="shared" si="328"/>
        <v>337920</v>
      </c>
      <c r="AG1517" s="405" t="s">
        <v>1069</v>
      </c>
      <c r="AH1517" s="405"/>
      <c r="AI1517" s="414">
        <v>60</v>
      </c>
      <c r="AJ1517" s="405" t="s">
        <v>2053</v>
      </c>
      <c r="AK1517" s="425" t="s">
        <v>1136</v>
      </c>
      <c r="AL1517" s="405">
        <v>78218</v>
      </c>
      <c r="AM1517" s="405" t="s">
        <v>52</v>
      </c>
      <c r="AN1517" s="405" t="s">
        <v>50</v>
      </c>
      <c r="AO1517" s="405"/>
      <c r="AP1517" s="417"/>
      <c r="AQ1517" s="417" t="s">
        <v>37</v>
      </c>
      <c r="AR1517" s="417"/>
      <c r="AS1517" s="426"/>
      <c r="AT1517" s="426"/>
      <c r="AU1517" s="409"/>
    </row>
    <row r="1518" spans="1:55" s="402" customFormat="1" ht="15" customHeight="1">
      <c r="A1518" s="403" t="s">
        <v>4585</v>
      </c>
      <c r="B1518" s="446"/>
      <c r="C1518" s="446"/>
      <c r="D1518" s="416" t="s">
        <v>2480</v>
      </c>
      <c r="E1518" s="405"/>
      <c r="F1518" s="405"/>
      <c r="G1518" s="405">
        <v>2022</v>
      </c>
      <c r="H1518" s="405">
        <v>5</v>
      </c>
      <c r="I1518" s="405" t="s">
        <v>1498</v>
      </c>
      <c r="J1518" s="406"/>
      <c r="K1518" s="414" t="s">
        <v>2555</v>
      </c>
      <c r="L1518" s="405" t="s">
        <v>2534</v>
      </c>
      <c r="M1518" s="418">
        <v>44504</v>
      </c>
      <c r="N1518" s="418">
        <v>44653</v>
      </c>
      <c r="O1518" s="418"/>
      <c r="P1518" s="418" t="s">
        <v>4539</v>
      </c>
      <c r="Q1518" s="406"/>
      <c r="R1518" s="406"/>
      <c r="S1518" s="405" t="s">
        <v>1940</v>
      </c>
      <c r="T1518" s="405">
        <v>60</v>
      </c>
      <c r="U1518" s="527" t="s">
        <v>1237</v>
      </c>
      <c r="V1518" s="405" t="s">
        <v>973</v>
      </c>
      <c r="W1518" s="405">
        <v>400</v>
      </c>
      <c r="X1518" s="407">
        <f>6656+2560-768-768-1536</f>
        <v>6144</v>
      </c>
      <c r="Y1518" s="408">
        <f t="shared" si="329"/>
        <v>2457600</v>
      </c>
      <c r="Z1518" s="409">
        <v>0.55000000000000004</v>
      </c>
      <c r="AA1518" s="410">
        <f t="shared" si="330"/>
        <v>1351680</v>
      </c>
      <c r="AB1518" s="411"/>
      <c r="AC1518" s="412">
        <f t="shared" si="327"/>
        <v>0</v>
      </c>
      <c r="AD1518" s="421"/>
      <c r="AE1518" s="413"/>
      <c r="AF1518" s="424">
        <f t="shared" si="328"/>
        <v>1351680</v>
      </c>
      <c r="AG1518" s="405" t="s">
        <v>1069</v>
      </c>
      <c r="AH1518" s="405"/>
      <c r="AI1518" s="414" t="s">
        <v>1962</v>
      </c>
      <c r="AJ1518" s="405" t="s">
        <v>1969</v>
      </c>
      <c r="AK1518" s="425" t="s">
        <v>1125</v>
      </c>
      <c r="AL1518" s="405">
        <v>85040</v>
      </c>
      <c r="AM1518" s="405" t="s">
        <v>52</v>
      </c>
      <c r="AN1518" s="405" t="s">
        <v>50</v>
      </c>
      <c r="AO1518" s="405"/>
      <c r="AP1518" s="417"/>
      <c r="AQ1518" s="417" t="s">
        <v>37</v>
      </c>
      <c r="AR1518" s="417"/>
      <c r="AS1518" s="426"/>
      <c r="AT1518" s="426"/>
      <c r="AU1518" s="409">
        <v>0.51</v>
      </c>
    </row>
    <row r="1519" spans="1:55" s="402" customFormat="1">
      <c r="A1519" s="403" t="s">
        <v>4584</v>
      </c>
      <c r="B1519" s="446">
        <v>44596</v>
      </c>
      <c r="C1519" s="446">
        <v>44599</v>
      </c>
      <c r="D1519" s="416" t="s">
        <v>2480</v>
      </c>
      <c r="E1519" s="405" t="s">
        <v>4838</v>
      </c>
      <c r="F1519" s="405"/>
      <c r="G1519" s="405">
        <v>2022</v>
      </c>
      <c r="H1519" s="405">
        <v>5</v>
      </c>
      <c r="I1519" s="405"/>
      <c r="J1519" s="406"/>
      <c r="K1519" s="414" t="s">
        <v>2596</v>
      </c>
      <c r="L1519" s="405" t="s">
        <v>2534</v>
      </c>
      <c r="M1519" s="418">
        <v>44530</v>
      </c>
      <c r="N1519" s="418">
        <v>44564</v>
      </c>
      <c r="O1519" s="418" t="s">
        <v>4625</v>
      </c>
      <c r="P1519" s="406">
        <v>44690</v>
      </c>
      <c r="Q1519" s="406"/>
      <c r="R1519" s="406"/>
      <c r="S1519" s="405" t="s">
        <v>1940</v>
      </c>
      <c r="T1519" s="405">
        <v>60</v>
      </c>
      <c r="U1519" s="405">
        <v>49203132</v>
      </c>
      <c r="V1519" s="405" t="s">
        <v>986</v>
      </c>
      <c r="W1519" s="405">
        <v>360</v>
      </c>
      <c r="X1519" s="407">
        <f>7488-832-832-832-832-1664-1728+64</f>
        <v>832</v>
      </c>
      <c r="Y1519" s="408">
        <f t="shared" si="329"/>
        <v>299520</v>
      </c>
      <c r="Z1519" s="409">
        <v>0.53</v>
      </c>
      <c r="AA1519" s="410">
        <f t="shared" si="330"/>
        <v>158745.60000000001</v>
      </c>
      <c r="AB1519" s="411"/>
      <c r="AC1519" s="412">
        <f t="shared" si="327"/>
        <v>0</v>
      </c>
      <c r="AD1519" s="421"/>
      <c r="AE1519" s="413"/>
      <c r="AF1519" s="424">
        <f t="shared" si="328"/>
        <v>158745.60000000001</v>
      </c>
      <c r="AG1519" s="405" t="s">
        <v>1069</v>
      </c>
      <c r="AH1519" s="405"/>
      <c r="AI1519" s="414" t="s">
        <v>1962</v>
      </c>
      <c r="AJ1519" s="405" t="s">
        <v>1969</v>
      </c>
      <c r="AK1519" s="425" t="s">
        <v>1125</v>
      </c>
      <c r="AL1519" s="425">
        <v>85040</v>
      </c>
      <c r="AM1519" s="405" t="s">
        <v>52</v>
      </c>
      <c r="AN1519" s="405" t="s">
        <v>1101</v>
      </c>
      <c r="AO1519" s="405"/>
      <c r="AP1519" s="417"/>
      <c r="AQ1519" s="417" t="s">
        <v>37</v>
      </c>
      <c r="AR1519" s="417" t="s">
        <v>2597</v>
      </c>
      <c r="AS1519" s="426"/>
      <c r="AT1519" s="426"/>
      <c r="AU1519" s="409">
        <v>0.49</v>
      </c>
      <c r="AV1519" s="402">
        <f>U1519</f>
        <v>49203132</v>
      </c>
      <c r="AW1519" s="402" cm="1">
        <f t="array" ref="AW1519">SUM(MID(0&amp;AV1519,LARGE(INDEX(ISNUMBER(--MID(AV1519,ROW($1:$8),1))*ROW($1:$8),),ROW($1:$8))+1,1)*10^ROW($1:$8)/10)</f>
        <v>49203132</v>
      </c>
      <c r="AX1519" s="402" t="str">
        <f>VLOOKUP($AW1519,'Item Master Data'!$A:$F,3,FALSE)</f>
        <v>Q.PEAK DUO BLK G10+</v>
      </c>
      <c r="AY1519" s="402">
        <f>VLOOKUP($AW1519,'Item Master Data'!$A:$F,6,FALSE)</f>
        <v>360</v>
      </c>
      <c r="AZ1519" s="402">
        <f>X1519/BA1519</f>
        <v>26</v>
      </c>
      <c r="BA1519" s="402">
        <f>VLOOKUP(AW1519,'Item Master Data'!$A:$G,7,FALSE)</f>
        <v>32</v>
      </c>
      <c r="BC1519" s="402">
        <f>W1519-AY1519</f>
        <v>0</v>
      </c>
    </row>
    <row r="1520" spans="1:55" s="402" customFormat="1">
      <c r="A1520" s="403" t="s">
        <v>4585</v>
      </c>
      <c r="B1520" s="446">
        <v>44596</v>
      </c>
      <c r="C1520" s="446">
        <v>44599</v>
      </c>
      <c r="D1520" s="416" t="s">
        <v>2480</v>
      </c>
      <c r="E1520" s="405" t="s">
        <v>2595</v>
      </c>
      <c r="F1520" s="405"/>
      <c r="G1520" s="405">
        <v>2022</v>
      </c>
      <c r="H1520" s="405">
        <v>5</v>
      </c>
      <c r="I1520" s="405"/>
      <c r="J1520" s="406"/>
      <c r="K1520" s="414" t="s">
        <v>2598</v>
      </c>
      <c r="L1520" s="405" t="s">
        <v>2534</v>
      </c>
      <c r="M1520" s="418">
        <v>44530</v>
      </c>
      <c r="N1520" s="418">
        <v>44564</v>
      </c>
      <c r="O1520" s="418"/>
      <c r="P1520" s="418" t="s">
        <v>4539</v>
      </c>
      <c r="Q1520" s="406"/>
      <c r="R1520" s="406"/>
      <c r="S1520" s="405" t="s">
        <v>1940</v>
      </c>
      <c r="T1520" s="405">
        <v>60</v>
      </c>
      <c r="U1520" s="405">
        <v>49203132</v>
      </c>
      <c r="V1520" s="405" t="s">
        <v>986</v>
      </c>
      <c r="W1520" s="405">
        <v>360</v>
      </c>
      <c r="X1520" s="407">
        <f>1664+832</f>
        <v>2496</v>
      </c>
      <c r="Y1520" s="408">
        <f t="shared" si="329"/>
        <v>898560</v>
      </c>
      <c r="Z1520" s="409">
        <v>0.53</v>
      </c>
      <c r="AA1520" s="410">
        <f t="shared" si="330"/>
        <v>476236.80000000005</v>
      </c>
      <c r="AB1520" s="411"/>
      <c r="AC1520" s="412">
        <f t="shared" si="327"/>
        <v>0</v>
      </c>
      <c r="AD1520" s="421"/>
      <c r="AE1520" s="413"/>
      <c r="AF1520" s="424">
        <f t="shared" si="328"/>
        <v>476236.80000000005</v>
      </c>
      <c r="AG1520" s="405" t="s">
        <v>1069</v>
      </c>
      <c r="AH1520" s="405"/>
      <c r="AI1520" s="414" t="s">
        <v>1962</v>
      </c>
      <c r="AJ1520" s="405" t="s">
        <v>1969</v>
      </c>
      <c r="AK1520" s="425" t="s">
        <v>1125</v>
      </c>
      <c r="AL1520" s="405">
        <v>85040</v>
      </c>
      <c r="AM1520" s="405" t="s">
        <v>52</v>
      </c>
      <c r="AN1520" s="405" t="s">
        <v>1101</v>
      </c>
      <c r="AO1520" s="405"/>
      <c r="AP1520" s="417"/>
      <c r="AQ1520" s="417" t="s">
        <v>37</v>
      </c>
      <c r="AR1520" s="417" t="s">
        <v>2597</v>
      </c>
      <c r="AS1520" s="426"/>
      <c r="AT1520" s="426"/>
      <c r="AU1520" s="409">
        <v>0.49</v>
      </c>
    </row>
    <row r="1521" spans="1:55" s="402" customFormat="1">
      <c r="A1521" s="403" t="s">
        <v>4584</v>
      </c>
      <c r="B1521" s="446"/>
      <c r="C1521" s="446"/>
      <c r="D1521" s="416" t="s">
        <v>2480</v>
      </c>
      <c r="E1521" s="405" t="s">
        <v>2484</v>
      </c>
      <c r="F1521" s="405"/>
      <c r="G1521" s="405">
        <v>2022</v>
      </c>
      <c r="H1521" s="405">
        <v>5</v>
      </c>
      <c r="I1521" s="405"/>
      <c r="J1521" s="406"/>
      <c r="K1521" s="414" t="s">
        <v>2633</v>
      </c>
      <c r="L1521" s="405" t="s">
        <v>2534</v>
      </c>
      <c r="M1521" s="418">
        <v>44533</v>
      </c>
      <c r="N1521" s="418">
        <v>44651</v>
      </c>
      <c r="O1521" s="418"/>
      <c r="P1521" s="406">
        <v>44693</v>
      </c>
      <c r="Q1521" s="406"/>
      <c r="R1521" s="406"/>
      <c r="S1521" s="405" t="s">
        <v>1940</v>
      </c>
      <c r="T1521" s="405">
        <v>60</v>
      </c>
      <c r="U1521" s="405" t="s">
        <v>1559</v>
      </c>
      <c r="V1521" s="405" t="s">
        <v>973</v>
      </c>
      <c r="W1521" s="405">
        <v>400</v>
      </c>
      <c r="X1521" s="407">
        <f>7488+4448-768-3840-3392-768</f>
        <v>3168</v>
      </c>
      <c r="Y1521" s="408">
        <f t="shared" si="329"/>
        <v>1267200</v>
      </c>
      <c r="Z1521" s="409">
        <v>0.55000000000000004</v>
      </c>
      <c r="AA1521" s="410">
        <f t="shared" si="330"/>
        <v>696960</v>
      </c>
      <c r="AB1521" s="411"/>
      <c r="AC1521" s="412">
        <f t="shared" si="327"/>
        <v>0</v>
      </c>
      <c r="AD1521" s="421"/>
      <c r="AE1521" s="413"/>
      <c r="AF1521" s="424">
        <f t="shared" si="328"/>
        <v>696960</v>
      </c>
      <c r="AG1521" s="405" t="s">
        <v>1069</v>
      </c>
      <c r="AH1521" s="405"/>
      <c r="AI1521" s="414" t="s">
        <v>1962</v>
      </c>
      <c r="AJ1521" s="405" t="s">
        <v>1969</v>
      </c>
      <c r="AK1521" s="425" t="s">
        <v>1125</v>
      </c>
      <c r="AL1521" s="425">
        <v>85040</v>
      </c>
      <c r="AM1521" s="405" t="s">
        <v>52</v>
      </c>
      <c r="AN1521" s="405" t="s">
        <v>50</v>
      </c>
      <c r="AO1521" s="405"/>
      <c r="AP1521" s="417"/>
      <c r="AQ1521" s="417" t="s">
        <v>37</v>
      </c>
      <c r="AR1521" s="417" t="s">
        <v>2537</v>
      </c>
      <c r="AS1521" s="426"/>
      <c r="AT1521" s="426"/>
      <c r="AU1521" s="409">
        <v>0.49</v>
      </c>
    </row>
    <row r="1522" spans="1:55" s="402" customFormat="1" ht="15" customHeight="1">
      <c r="A1522" s="403" t="s">
        <v>4845</v>
      </c>
      <c r="B1522" s="446">
        <v>44645</v>
      </c>
      <c r="C1522" s="446">
        <v>44691</v>
      </c>
      <c r="D1522" s="416" t="s">
        <v>2480</v>
      </c>
      <c r="E1522" s="405"/>
      <c r="F1522" s="405"/>
      <c r="G1522" s="405">
        <v>2022</v>
      </c>
      <c r="H1522" s="405">
        <v>5</v>
      </c>
      <c r="I1522" s="405" t="s">
        <v>1498</v>
      </c>
      <c r="J1522" s="406"/>
      <c r="K1522" s="414" t="s">
        <v>3740</v>
      </c>
      <c r="L1522" s="405" t="s">
        <v>2534</v>
      </c>
      <c r="M1522" s="418">
        <v>44644</v>
      </c>
      <c r="N1522" s="418">
        <v>44652</v>
      </c>
      <c r="O1522" s="418"/>
      <c r="P1522" s="406">
        <v>44692</v>
      </c>
      <c r="Q1522" s="406">
        <v>44698</v>
      </c>
      <c r="R1522" s="406">
        <v>44701</v>
      </c>
      <c r="S1522" s="405" t="s">
        <v>1940</v>
      </c>
      <c r="T1522" s="405">
        <v>60</v>
      </c>
      <c r="U1522" s="405">
        <v>49204132</v>
      </c>
      <c r="V1522" s="405" t="s">
        <v>1192</v>
      </c>
      <c r="W1522" s="405">
        <v>360</v>
      </c>
      <c r="X1522" s="407">
        <v>1352</v>
      </c>
      <c r="Y1522" s="408">
        <f t="shared" si="329"/>
        <v>486720</v>
      </c>
      <c r="Z1522" s="409">
        <v>0.83</v>
      </c>
      <c r="AA1522" s="410">
        <f t="shared" si="330"/>
        <v>403977.6</v>
      </c>
      <c r="AB1522" s="411"/>
      <c r="AC1522" s="412">
        <f t="shared" si="327"/>
        <v>0</v>
      </c>
      <c r="AD1522" s="421"/>
      <c r="AE1522" s="413"/>
      <c r="AF1522" s="424">
        <f t="shared" si="328"/>
        <v>403977.6</v>
      </c>
      <c r="AG1522" s="405" t="s">
        <v>1069</v>
      </c>
      <c r="AH1522" s="405"/>
      <c r="AI1522" s="414" t="s">
        <v>1962</v>
      </c>
      <c r="AJ1522" s="405" t="s">
        <v>1969</v>
      </c>
      <c r="AK1522" s="425" t="s">
        <v>1125</v>
      </c>
      <c r="AL1522" s="425">
        <v>85040</v>
      </c>
      <c r="AM1522" s="405" t="s">
        <v>52</v>
      </c>
      <c r="AN1522" s="405" t="s">
        <v>1101</v>
      </c>
      <c r="AO1522" s="405"/>
      <c r="AP1522" s="417"/>
      <c r="AQ1522" s="417" t="s">
        <v>37</v>
      </c>
      <c r="AR1522" s="417"/>
      <c r="AS1522" s="426"/>
      <c r="AT1522" s="426"/>
      <c r="AU1522" s="409"/>
    </row>
    <row r="1523" spans="1:55" s="402" customFormat="1" ht="15" customHeight="1">
      <c r="A1523" s="403" t="s">
        <v>4585</v>
      </c>
      <c r="B1523" s="446"/>
      <c r="C1523" s="446"/>
      <c r="D1523" s="416" t="s">
        <v>2480</v>
      </c>
      <c r="E1523" s="405"/>
      <c r="F1523" s="405"/>
      <c r="G1523" s="405">
        <v>2022</v>
      </c>
      <c r="H1523" s="405">
        <v>5</v>
      </c>
      <c r="I1523" s="405"/>
      <c r="J1523" s="406"/>
      <c r="K1523" s="414" t="s">
        <v>2593</v>
      </c>
      <c r="L1523" s="405" t="s">
        <v>2534</v>
      </c>
      <c r="M1523" s="418">
        <v>44519</v>
      </c>
      <c r="N1523" s="418">
        <v>44564</v>
      </c>
      <c r="O1523" s="418"/>
      <c r="P1523" s="418" t="s">
        <v>4539</v>
      </c>
      <c r="Q1523" s="406"/>
      <c r="R1523" s="406"/>
      <c r="S1523" s="405" t="s">
        <v>1940</v>
      </c>
      <c r="T1523" s="405">
        <v>60</v>
      </c>
      <c r="U1523" s="405">
        <v>49203132</v>
      </c>
      <c r="V1523" s="405" t="s">
        <v>986</v>
      </c>
      <c r="W1523" s="405">
        <v>360</v>
      </c>
      <c r="X1523" s="407">
        <v>832</v>
      </c>
      <c r="Y1523" s="408">
        <f t="shared" si="329"/>
        <v>299520</v>
      </c>
      <c r="Z1523" s="409">
        <v>0.53</v>
      </c>
      <c r="AA1523" s="410">
        <f t="shared" si="330"/>
        <v>158745.60000000001</v>
      </c>
      <c r="AB1523" s="411"/>
      <c r="AC1523" s="412">
        <f t="shared" si="327"/>
        <v>0</v>
      </c>
      <c r="AD1523" s="421"/>
      <c r="AE1523" s="413"/>
      <c r="AF1523" s="424">
        <f t="shared" si="328"/>
        <v>158745.60000000001</v>
      </c>
      <c r="AG1523" s="405" t="s">
        <v>1069</v>
      </c>
      <c r="AH1523" s="405"/>
      <c r="AI1523" s="414" t="s">
        <v>1962</v>
      </c>
      <c r="AJ1523" s="405" t="s">
        <v>1969</v>
      </c>
      <c r="AK1523" s="425" t="s">
        <v>1125</v>
      </c>
      <c r="AL1523" s="405">
        <v>85040</v>
      </c>
      <c r="AM1523" s="405" t="s">
        <v>52</v>
      </c>
      <c r="AN1523" s="405" t="s">
        <v>1101</v>
      </c>
      <c r="AO1523" s="405"/>
      <c r="AP1523" s="417"/>
      <c r="AQ1523" s="417" t="s">
        <v>37</v>
      </c>
      <c r="AR1523" s="417"/>
      <c r="AS1523" s="426"/>
      <c r="AT1523" s="426"/>
      <c r="AU1523" s="409"/>
    </row>
    <row r="1524" spans="1:55" s="402" customFormat="1" ht="15" customHeight="1">
      <c r="A1524" s="403" t="s">
        <v>4584</v>
      </c>
      <c r="B1524" s="446">
        <v>44687</v>
      </c>
      <c r="C1524" s="446">
        <v>44687</v>
      </c>
      <c r="D1524" s="416" t="s">
        <v>2480</v>
      </c>
      <c r="E1524" s="405" t="s">
        <v>4465</v>
      </c>
      <c r="F1524" s="405"/>
      <c r="G1524" s="405">
        <v>2022</v>
      </c>
      <c r="H1524" s="405">
        <v>5</v>
      </c>
      <c r="I1524" s="405" t="s">
        <v>1498</v>
      </c>
      <c r="J1524" s="406"/>
      <c r="K1524" s="526" t="s">
        <v>4466</v>
      </c>
      <c r="L1524" s="451" t="s">
        <v>2534</v>
      </c>
      <c r="M1524" s="418">
        <v>44644</v>
      </c>
      <c r="N1524" s="418">
        <v>44683</v>
      </c>
      <c r="O1524" s="418"/>
      <c r="P1524" s="406">
        <v>44690</v>
      </c>
      <c r="Q1524" s="406">
        <v>44694</v>
      </c>
      <c r="R1524" s="406">
        <v>44697</v>
      </c>
      <c r="S1524" s="405" t="s">
        <v>1940</v>
      </c>
      <c r="T1524" s="405">
        <v>60</v>
      </c>
      <c r="U1524" s="405" t="s">
        <v>1943</v>
      </c>
      <c r="V1524" s="405" t="s">
        <v>973</v>
      </c>
      <c r="W1524" s="405">
        <v>395</v>
      </c>
      <c r="X1524" s="407">
        <v>6656</v>
      </c>
      <c r="Y1524" s="408">
        <f t="shared" si="329"/>
        <v>2629120</v>
      </c>
      <c r="Z1524" s="409">
        <v>0.55000000000000004</v>
      </c>
      <c r="AA1524" s="410">
        <f t="shared" si="330"/>
        <v>1446016.0000000002</v>
      </c>
      <c r="AB1524" s="411"/>
      <c r="AC1524" s="412">
        <f t="shared" si="327"/>
        <v>0</v>
      </c>
      <c r="AD1524" s="421"/>
      <c r="AE1524" s="413"/>
      <c r="AF1524" s="424">
        <f t="shared" si="328"/>
        <v>1446016.0000000002</v>
      </c>
      <c r="AG1524" s="405" t="s">
        <v>1069</v>
      </c>
      <c r="AH1524" s="405"/>
      <c r="AI1524" s="414" t="s">
        <v>1962</v>
      </c>
      <c r="AJ1524" s="405" t="s">
        <v>3960</v>
      </c>
      <c r="AK1524" s="425" t="s">
        <v>1125</v>
      </c>
      <c r="AL1524" s="425">
        <v>85282</v>
      </c>
      <c r="AM1524" s="405" t="s">
        <v>52</v>
      </c>
      <c r="AN1524" s="405" t="s">
        <v>50</v>
      </c>
      <c r="AO1524" s="405"/>
      <c r="AP1524" s="417" t="s">
        <v>38</v>
      </c>
      <c r="AQ1524" s="417" t="s">
        <v>37</v>
      </c>
      <c r="AR1524" s="417"/>
      <c r="AS1524" s="426"/>
      <c r="AT1524" s="426"/>
      <c r="AU1524" s="409">
        <v>0.51</v>
      </c>
      <c r="AV1524" s="402" t="str">
        <f>U1524</f>
        <v>30390455H</v>
      </c>
      <c r="AW1524" s="402" cm="1">
        <f t="array" ref="AW1524">SUM(MID(0&amp;AV1524,LARGE(INDEX(ISNUMBER(--MID(AV1524,ROW($1:$8),1))*ROW($1:$8),),ROW($1:$8))+1,1)*10^ROW($1:$8)/10)</f>
        <v>30390455</v>
      </c>
      <c r="AX1524" s="402" t="str">
        <f>VLOOKUP($AW1524,'Item Master Data'!$A:$F,3,FALSE)</f>
        <v>Q.PEAK DUO BLK ML G10+</v>
      </c>
      <c r="AY1524" s="402">
        <f>VLOOKUP($AW1524,'Item Master Data'!$A:$F,6,FALSE)</f>
        <v>395</v>
      </c>
      <c r="AZ1524" s="402">
        <f>X1524/BA1524</f>
        <v>208</v>
      </c>
      <c r="BA1524" s="402">
        <f>VLOOKUP(AW1524,'Item Master Data'!$A:$G,7,FALSE)</f>
        <v>32</v>
      </c>
      <c r="BC1524" s="402">
        <f>W1524-AY1524</f>
        <v>0</v>
      </c>
    </row>
    <row r="1525" spans="1:55" s="402" customFormat="1" ht="15" customHeight="1">
      <c r="A1525" s="403" t="s">
        <v>4585</v>
      </c>
      <c r="B1525" s="446">
        <v>44687</v>
      </c>
      <c r="C1525" s="446">
        <v>44687</v>
      </c>
      <c r="D1525" s="416" t="s">
        <v>2480</v>
      </c>
      <c r="E1525" s="405" t="s">
        <v>4465</v>
      </c>
      <c r="F1525" s="405"/>
      <c r="G1525" s="405">
        <v>2022</v>
      </c>
      <c r="H1525" s="405">
        <v>5</v>
      </c>
      <c r="I1525" s="405" t="s">
        <v>1498</v>
      </c>
      <c r="J1525" s="406"/>
      <c r="K1525" s="414" t="s">
        <v>4466</v>
      </c>
      <c r="L1525" s="405" t="s">
        <v>2534</v>
      </c>
      <c r="M1525" s="418">
        <v>44644</v>
      </c>
      <c r="N1525" s="418">
        <v>44683</v>
      </c>
      <c r="O1525" s="418"/>
      <c r="P1525" s="406">
        <v>44690</v>
      </c>
      <c r="Q1525" s="406"/>
      <c r="R1525" s="406"/>
      <c r="S1525" s="405" t="s">
        <v>1940</v>
      </c>
      <c r="T1525" s="405">
        <v>60</v>
      </c>
      <c r="U1525" s="405" t="s">
        <v>1943</v>
      </c>
      <c r="V1525" s="405" t="s">
        <v>973</v>
      </c>
      <c r="W1525" s="405">
        <v>395</v>
      </c>
      <c r="X1525" s="407">
        <v>1664</v>
      </c>
      <c r="Y1525" s="408">
        <f t="shared" si="329"/>
        <v>657280</v>
      </c>
      <c r="Z1525" s="409">
        <v>0.55000000000000004</v>
      </c>
      <c r="AA1525" s="410">
        <f t="shared" si="330"/>
        <v>361504.00000000006</v>
      </c>
      <c r="AB1525" s="411"/>
      <c r="AC1525" s="412">
        <f t="shared" si="327"/>
        <v>0</v>
      </c>
      <c r="AD1525" s="421"/>
      <c r="AE1525" s="413"/>
      <c r="AF1525" s="424">
        <f t="shared" si="328"/>
        <v>361504.00000000006</v>
      </c>
      <c r="AG1525" s="405" t="s">
        <v>1069</v>
      </c>
      <c r="AH1525" s="405"/>
      <c r="AI1525" s="414" t="s">
        <v>1962</v>
      </c>
      <c r="AJ1525" s="405" t="s">
        <v>1969</v>
      </c>
      <c r="AK1525" s="425" t="s">
        <v>1125</v>
      </c>
      <c r="AL1525" s="425">
        <v>85040</v>
      </c>
      <c r="AM1525" s="405" t="s">
        <v>52</v>
      </c>
      <c r="AN1525" s="405" t="s">
        <v>50</v>
      </c>
      <c r="AO1525" s="405"/>
      <c r="AP1525" s="417" t="s">
        <v>38</v>
      </c>
      <c r="AQ1525" s="417" t="s">
        <v>37</v>
      </c>
      <c r="AR1525" s="417"/>
      <c r="AS1525" s="426"/>
      <c r="AT1525" s="426"/>
      <c r="AU1525" s="409">
        <v>0.51</v>
      </c>
      <c r="AV1525" s="402" t="str">
        <f>U1525</f>
        <v>30390455H</v>
      </c>
      <c r="AW1525" s="402" cm="1">
        <f t="array" ref="AW1525">SUM(MID(0&amp;AV1525,LARGE(INDEX(ISNUMBER(--MID(AV1525,ROW($1:$8),1))*ROW($1:$8),),ROW($1:$8))+1,1)*10^ROW($1:$8)/10)</f>
        <v>30390455</v>
      </c>
      <c r="AX1525" s="402" t="str">
        <f>VLOOKUP($AW1525,'Item Master Data'!$A:$F,3,FALSE)</f>
        <v>Q.PEAK DUO BLK ML G10+</v>
      </c>
      <c r="AY1525" s="402">
        <f>VLOOKUP($AW1525,'Item Master Data'!$A:$F,6,FALSE)</f>
        <v>395</v>
      </c>
      <c r="AZ1525" s="402">
        <f>X1525/BA1525</f>
        <v>52</v>
      </c>
      <c r="BA1525" s="402">
        <f>VLOOKUP(AW1525,'Item Master Data'!$A:$G,7,FALSE)</f>
        <v>32</v>
      </c>
      <c r="BC1525" s="402">
        <f>W1525-AY1525</f>
        <v>0</v>
      </c>
    </row>
    <row r="1526" spans="1:55" s="402" customFormat="1" ht="15" customHeight="1">
      <c r="A1526" s="403" t="s">
        <v>4585</v>
      </c>
      <c r="B1526" s="446">
        <v>44644</v>
      </c>
      <c r="C1526" s="446">
        <v>44644</v>
      </c>
      <c r="D1526" s="416" t="s">
        <v>2480</v>
      </c>
      <c r="E1526" s="405" t="s">
        <v>4463</v>
      </c>
      <c r="F1526" s="405"/>
      <c r="G1526" s="405">
        <v>2022</v>
      </c>
      <c r="H1526" s="405">
        <v>5</v>
      </c>
      <c r="I1526" s="405" t="s">
        <v>1498</v>
      </c>
      <c r="J1526" s="406"/>
      <c r="K1526" s="528" t="s">
        <v>4464</v>
      </c>
      <c r="L1526" s="453" t="s">
        <v>2534</v>
      </c>
      <c r="M1526" s="418">
        <v>44644</v>
      </c>
      <c r="N1526" s="418">
        <v>44683</v>
      </c>
      <c r="O1526" s="418"/>
      <c r="P1526" s="406"/>
      <c r="Q1526" s="406"/>
      <c r="R1526" s="406"/>
      <c r="S1526" s="405" t="s">
        <v>1940</v>
      </c>
      <c r="T1526" s="405">
        <v>60</v>
      </c>
      <c r="U1526" s="405" t="s">
        <v>1943</v>
      </c>
      <c r="V1526" s="405" t="s">
        <v>973</v>
      </c>
      <c r="W1526" s="405">
        <v>395</v>
      </c>
      <c r="X1526" s="407">
        <f>13312-8320</f>
        <v>4992</v>
      </c>
      <c r="Y1526" s="408">
        <f t="shared" si="329"/>
        <v>1971840</v>
      </c>
      <c r="Z1526" s="409">
        <v>0.64</v>
      </c>
      <c r="AA1526" s="410">
        <f t="shared" si="330"/>
        <v>1261977.6000000001</v>
      </c>
      <c r="AB1526" s="411"/>
      <c r="AC1526" s="412">
        <f t="shared" si="327"/>
        <v>0</v>
      </c>
      <c r="AD1526" s="421"/>
      <c r="AE1526" s="413"/>
      <c r="AF1526" s="424">
        <f t="shared" si="328"/>
        <v>1261977.6000000001</v>
      </c>
      <c r="AG1526" s="405" t="s">
        <v>1069</v>
      </c>
      <c r="AH1526" s="405"/>
      <c r="AI1526" s="414" t="s">
        <v>1962</v>
      </c>
      <c r="AJ1526" s="405" t="s">
        <v>1969</v>
      </c>
      <c r="AK1526" s="425" t="s">
        <v>1125</v>
      </c>
      <c r="AL1526" s="405">
        <v>85040</v>
      </c>
      <c r="AM1526" s="405" t="s">
        <v>52</v>
      </c>
      <c r="AN1526" s="405" t="s">
        <v>50</v>
      </c>
      <c r="AO1526" s="405"/>
      <c r="AP1526" s="417"/>
      <c r="AQ1526" s="417" t="s">
        <v>37</v>
      </c>
      <c r="AR1526" s="417"/>
      <c r="AS1526" s="426"/>
      <c r="AT1526" s="426"/>
      <c r="AU1526" s="409">
        <v>0.51</v>
      </c>
      <c r="AV1526" s="402" t="str">
        <f>U1526</f>
        <v>30390455H</v>
      </c>
      <c r="AW1526" s="402" cm="1">
        <f t="array" ref="AW1526">SUM(MID(0&amp;AV1526,LARGE(INDEX(ISNUMBER(--MID(AV1526,ROW($1:$8),1))*ROW($1:$8),),ROW($1:$8))+1,1)*10^ROW($1:$8)/10)</f>
        <v>30390455</v>
      </c>
      <c r="AX1526" s="402" t="str">
        <f>VLOOKUP($AW1526,'Item Master Data'!$A:$F,3,FALSE)</f>
        <v>Q.PEAK DUO BLK ML G10+</v>
      </c>
      <c r="AY1526" s="402">
        <f>VLOOKUP($AW1526,'Item Master Data'!$A:$F,6,FALSE)</f>
        <v>395</v>
      </c>
      <c r="AZ1526" s="402">
        <f>X1526/BA1526</f>
        <v>156</v>
      </c>
      <c r="BA1526" s="402">
        <f>VLOOKUP(AW1526,'Item Master Data'!$A:$G,7,FALSE)</f>
        <v>32</v>
      </c>
      <c r="BC1526" s="402">
        <f>W1526-AY1526</f>
        <v>0</v>
      </c>
    </row>
    <row r="1527" spans="1:55" s="402" customFormat="1" ht="15" customHeight="1">
      <c r="A1527" s="403" t="s">
        <v>4584</v>
      </c>
      <c r="B1527" s="445">
        <v>44610</v>
      </c>
      <c r="C1527" s="445">
        <v>44693</v>
      </c>
      <c r="D1527" s="416" t="s">
        <v>2480</v>
      </c>
      <c r="E1527" s="405" t="s">
        <v>3726</v>
      </c>
      <c r="F1527" s="405"/>
      <c r="G1527" s="405">
        <v>2022</v>
      </c>
      <c r="H1527" s="405">
        <v>5</v>
      </c>
      <c r="I1527" s="405" t="s">
        <v>1498</v>
      </c>
      <c r="J1527" s="406"/>
      <c r="K1527" s="526" t="s">
        <v>3727</v>
      </c>
      <c r="L1527" s="451" t="s">
        <v>3728</v>
      </c>
      <c r="M1527" s="418">
        <v>44602</v>
      </c>
      <c r="N1527" s="418">
        <v>44743</v>
      </c>
      <c r="O1527" s="418"/>
      <c r="P1527" s="406">
        <v>44693</v>
      </c>
      <c r="Q1527" s="406">
        <v>44694</v>
      </c>
      <c r="R1527" s="406">
        <v>44697</v>
      </c>
      <c r="S1527" s="405" t="s">
        <v>1940</v>
      </c>
      <c r="T1527" s="405">
        <v>60</v>
      </c>
      <c r="U1527" s="405" t="s">
        <v>1559</v>
      </c>
      <c r="V1527" s="405" t="s">
        <v>973</v>
      </c>
      <c r="W1527" s="405">
        <v>400</v>
      </c>
      <c r="X1527" s="407">
        <v>896</v>
      </c>
      <c r="Y1527" s="422">
        <f t="shared" si="329"/>
        <v>358400</v>
      </c>
      <c r="Z1527" s="409">
        <v>0.55000000000000004</v>
      </c>
      <c r="AA1527" s="423">
        <f t="shared" si="330"/>
        <v>197120.00000000003</v>
      </c>
      <c r="AB1527" s="411"/>
      <c r="AC1527" s="412">
        <f t="shared" si="327"/>
        <v>0</v>
      </c>
      <c r="AD1527" s="421"/>
      <c r="AE1527" s="413"/>
      <c r="AF1527" s="424">
        <f t="shared" si="328"/>
        <v>197120.00000000003</v>
      </c>
      <c r="AG1527" s="405" t="s">
        <v>1069</v>
      </c>
      <c r="AH1527" s="405"/>
      <c r="AI1527" s="414" t="s">
        <v>1962</v>
      </c>
      <c r="AJ1527" s="405" t="s">
        <v>3729</v>
      </c>
      <c r="AK1527" s="425" t="s">
        <v>2505</v>
      </c>
      <c r="AL1527" s="425">
        <v>84120</v>
      </c>
      <c r="AM1527" s="405" t="s">
        <v>52</v>
      </c>
      <c r="AN1527" s="405" t="s">
        <v>50</v>
      </c>
      <c r="AO1527" s="405"/>
      <c r="AP1527" s="417"/>
      <c r="AQ1527" s="417" t="s">
        <v>37</v>
      </c>
      <c r="AR1527" s="417"/>
      <c r="AS1527" s="426"/>
      <c r="AT1527" s="426"/>
      <c r="AU1527" s="426"/>
      <c r="AV1527" s="402" t="str">
        <f>U1527</f>
        <v>30390156H</v>
      </c>
      <c r="AW1527" s="402" cm="1">
        <f t="array" ref="AW1527">SUM(MID(0&amp;AV1527,LARGE(INDEX(ISNUMBER(--MID(AV1527,ROW($1:$8),1))*ROW($1:$8),),ROW($1:$8))+1,1)*10^ROW($1:$8)/10)</f>
        <v>30390156</v>
      </c>
      <c r="AX1527" s="402" t="str">
        <f>VLOOKUP($AW1527,'Item Master Data'!$A:$F,3,FALSE)</f>
        <v>Q.PEAK DUO BLK ML G10+</v>
      </c>
      <c r="AY1527" s="402">
        <f>VLOOKUP($AW1527,'Item Master Data'!$A:$F,6,FALSE)</f>
        <v>400</v>
      </c>
      <c r="AZ1527" s="402">
        <f>X1527/BA1527</f>
        <v>28</v>
      </c>
      <c r="BA1527" s="402">
        <f>VLOOKUP(AW1527,'Item Master Data'!$A:$G,7,FALSE)</f>
        <v>32</v>
      </c>
      <c r="BC1527" s="402">
        <f>W1527-AY1527</f>
        <v>0</v>
      </c>
    </row>
    <row r="1528" spans="1:55" s="402" customFormat="1">
      <c r="A1528" s="403" t="s">
        <v>4584</v>
      </c>
      <c r="B1528" s="446">
        <v>44540</v>
      </c>
      <c r="C1528" s="446">
        <v>44544</v>
      </c>
      <c r="D1528" s="416" t="s">
        <v>2480</v>
      </c>
      <c r="E1528" s="405"/>
      <c r="F1528" s="405"/>
      <c r="G1528" s="405">
        <v>2022</v>
      </c>
      <c r="H1528" s="405">
        <v>5</v>
      </c>
      <c r="I1528" s="405"/>
      <c r="J1528" s="406"/>
      <c r="K1528" s="414" t="s">
        <v>2599</v>
      </c>
      <c r="L1528" s="405" t="s">
        <v>2600</v>
      </c>
      <c r="M1528" s="418">
        <v>44538</v>
      </c>
      <c r="N1528" s="418">
        <v>44652</v>
      </c>
      <c r="O1528" s="418"/>
      <c r="P1528" s="406">
        <v>44690</v>
      </c>
      <c r="Q1528" s="406"/>
      <c r="R1528" s="406"/>
      <c r="S1528" s="405" t="s">
        <v>1940</v>
      </c>
      <c r="T1528" s="405">
        <v>60</v>
      </c>
      <c r="U1528" s="405">
        <v>49203132</v>
      </c>
      <c r="V1528" s="405" t="s">
        <v>986</v>
      </c>
      <c r="W1528" s="405">
        <v>360</v>
      </c>
      <c r="X1528" s="407">
        <v>832</v>
      </c>
      <c r="Y1528" s="408">
        <f t="shared" si="329"/>
        <v>299520</v>
      </c>
      <c r="Z1528" s="409">
        <v>0.505</v>
      </c>
      <c r="AA1528" s="410">
        <f t="shared" si="330"/>
        <v>151257.60000000001</v>
      </c>
      <c r="AB1528" s="411"/>
      <c r="AC1528" s="412">
        <f t="shared" si="327"/>
        <v>0</v>
      </c>
      <c r="AD1528" s="421"/>
      <c r="AE1528" s="413"/>
      <c r="AF1528" s="424">
        <f t="shared" si="328"/>
        <v>151257.60000000001</v>
      </c>
      <c r="AG1528" s="405" t="s">
        <v>47</v>
      </c>
      <c r="AH1528" s="405"/>
      <c r="AI1528" s="414" t="s">
        <v>2601</v>
      </c>
      <c r="AJ1528" s="405" t="s">
        <v>2602</v>
      </c>
      <c r="AK1528" s="425" t="s">
        <v>1391</v>
      </c>
      <c r="AL1528" s="425">
        <v>53177</v>
      </c>
      <c r="AM1528" s="405" t="s">
        <v>52</v>
      </c>
      <c r="AN1528" s="405" t="s">
        <v>1101</v>
      </c>
      <c r="AO1528" s="405"/>
      <c r="AP1528" s="417"/>
      <c r="AQ1528" s="417" t="s">
        <v>37</v>
      </c>
      <c r="AR1528" s="417"/>
      <c r="AS1528" s="426"/>
      <c r="AT1528" s="426"/>
      <c r="AU1528" s="409"/>
      <c r="AV1528" s="402">
        <f>U1528</f>
        <v>49203132</v>
      </c>
      <c r="AW1528" s="402" cm="1">
        <f t="array" ref="AW1528">SUM(MID(0&amp;AV1528,LARGE(INDEX(ISNUMBER(--MID(AV1528,ROW($1:$8),1))*ROW($1:$8),),ROW($1:$8))+1,1)*10^ROW($1:$8)/10)</f>
        <v>49203132</v>
      </c>
      <c r="AX1528" s="402" t="str">
        <f>VLOOKUP($AW1528,'Item Master Data'!$A:$F,3,FALSE)</f>
        <v>Q.PEAK DUO BLK G10+</v>
      </c>
      <c r="AY1528" s="402">
        <f>VLOOKUP($AW1528,'Item Master Data'!$A:$F,6,FALSE)</f>
        <v>360</v>
      </c>
      <c r="AZ1528" s="402">
        <f>X1528/BA1528</f>
        <v>26</v>
      </c>
      <c r="BA1528" s="402">
        <f>VLOOKUP(AW1528,'Item Master Data'!$A:$G,7,FALSE)</f>
        <v>32</v>
      </c>
      <c r="BC1528" s="402">
        <f>W1528-AY1528</f>
        <v>0</v>
      </c>
    </row>
    <row r="1529" spans="1:55" s="402" customFormat="1">
      <c r="A1529" s="403"/>
      <c r="B1529" s="446">
        <v>44654</v>
      </c>
      <c r="C1529" s="446">
        <v>44671</v>
      </c>
      <c r="D1529" s="416" t="s">
        <v>2480</v>
      </c>
      <c r="E1529" s="405" t="s">
        <v>4545</v>
      </c>
      <c r="F1529" s="405"/>
      <c r="G1529" s="405">
        <v>2022</v>
      </c>
      <c r="H1529" s="405">
        <v>5</v>
      </c>
      <c r="I1529" s="405" t="s">
        <v>1434</v>
      </c>
      <c r="J1529" s="406">
        <v>44683</v>
      </c>
      <c r="K1529" s="414" t="s">
        <v>2607</v>
      </c>
      <c r="L1529" s="405" t="s">
        <v>2506</v>
      </c>
      <c r="M1529" s="418">
        <v>44646</v>
      </c>
      <c r="N1529" s="418">
        <v>44679</v>
      </c>
      <c r="O1529" s="418"/>
      <c r="P1529" s="406">
        <v>44671</v>
      </c>
      <c r="Q1529" s="406">
        <v>44683</v>
      </c>
      <c r="R1529" s="406">
        <v>44687</v>
      </c>
      <c r="S1529" s="405" t="s">
        <v>1940</v>
      </c>
      <c r="T1529" s="405">
        <v>72</v>
      </c>
      <c r="U1529" s="405">
        <v>49303154</v>
      </c>
      <c r="V1529" s="405" t="s">
        <v>1050</v>
      </c>
      <c r="W1529" s="405">
        <v>470</v>
      </c>
      <c r="X1529" s="407">
        <v>696</v>
      </c>
      <c r="Y1529" s="408">
        <f t="shared" si="329"/>
        <v>327120</v>
      </c>
      <c r="Z1529" s="409">
        <v>0.5</v>
      </c>
      <c r="AA1529" s="410">
        <f t="shared" si="330"/>
        <v>163560</v>
      </c>
      <c r="AB1529" s="411"/>
      <c r="AC1529" s="412">
        <v>0</v>
      </c>
      <c r="AD1529" s="421"/>
      <c r="AE1529" s="413"/>
      <c r="AF1529" s="424">
        <f>AA1529+AD1529+AE1529</f>
        <v>163560</v>
      </c>
      <c r="AG1529" s="405" t="s">
        <v>1069</v>
      </c>
      <c r="AH1529" s="405"/>
      <c r="AI1529" s="414">
        <v>60</v>
      </c>
      <c r="AJ1529" s="405" t="s">
        <v>1454</v>
      </c>
      <c r="AK1529" s="425" t="s">
        <v>1136</v>
      </c>
      <c r="AL1529" s="405" t="s">
        <v>2608</v>
      </c>
      <c r="AM1529" s="405" t="s">
        <v>52</v>
      </c>
      <c r="AN1529" s="405" t="s">
        <v>1101</v>
      </c>
      <c r="AO1529" s="405"/>
      <c r="AP1529" s="417"/>
      <c r="AQ1529" s="417" t="s">
        <v>37</v>
      </c>
      <c r="AR1529" s="417"/>
      <c r="AS1529" s="426"/>
      <c r="AT1529" s="426"/>
      <c r="AU1529" s="409"/>
    </row>
    <row r="1530" spans="1:55" s="402" customFormat="1">
      <c r="A1530" s="403"/>
      <c r="B1530" s="446">
        <v>44616</v>
      </c>
      <c r="C1530" s="446">
        <v>44616</v>
      </c>
      <c r="D1530" s="416" t="s">
        <v>2480</v>
      </c>
      <c r="E1530" s="405"/>
      <c r="F1530" s="405"/>
      <c r="G1530" s="405">
        <v>2022</v>
      </c>
      <c r="H1530" s="405">
        <v>5</v>
      </c>
      <c r="I1530" s="405"/>
      <c r="J1530" s="406"/>
      <c r="K1530" s="414" t="s">
        <v>2594</v>
      </c>
      <c r="L1530" s="405" t="s">
        <v>1939</v>
      </c>
      <c r="M1530" s="418">
        <v>44615</v>
      </c>
      <c r="N1530" s="418">
        <v>44615</v>
      </c>
      <c r="O1530" s="418"/>
      <c r="P1530" s="406"/>
      <c r="Q1530" s="406"/>
      <c r="R1530" s="406"/>
      <c r="S1530" s="405" t="s">
        <v>1940</v>
      </c>
      <c r="T1530" s="405">
        <v>60</v>
      </c>
      <c r="U1530" s="405">
        <v>49405140</v>
      </c>
      <c r="V1530" s="405" t="s">
        <v>973</v>
      </c>
      <c r="W1530" s="405">
        <v>400</v>
      </c>
      <c r="X1530" s="407">
        <v>416</v>
      </c>
      <c r="Y1530" s="408">
        <f t="shared" si="329"/>
        <v>166400</v>
      </c>
      <c r="Z1530" s="409">
        <f t="shared" ref="Z1530:Z1593" si="331">188/400</f>
        <v>0.47</v>
      </c>
      <c r="AA1530" s="410">
        <f t="shared" si="330"/>
        <v>78208</v>
      </c>
      <c r="AB1530" s="411"/>
      <c r="AC1530" s="412">
        <f t="shared" ref="AC1530:AC1593" si="332">AB1530*Y1530</f>
        <v>0</v>
      </c>
      <c r="AD1530" s="421"/>
      <c r="AE1530" s="413"/>
      <c r="AF1530" s="424">
        <f t="shared" ref="AF1530:AF1593" si="333">AA1530+AE1530</f>
        <v>78208</v>
      </c>
      <c r="AG1530" s="405" t="s">
        <v>47</v>
      </c>
      <c r="AH1530" s="405"/>
      <c r="AI1530" s="414" t="s">
        <v>1937</v>
      </c>
      <c r="AJ1530" s="405" t="s">
        <v>2490</v>
      </c>
      <c r="AK1530" s="425" t="s">
        <v>1136</v>
      </c>
      <c r="AL1530" s="405">
        <v>79935</v>
      </c>
      <c r="AM1530" s="405" t="s">
        <v>52</v>
      </c>
      <c r="AN1530" s="405" t="s">
        <v>1101</v>
      </c>
      <c r="AO1530" s="405"/>
      <c r="AP1530" s="417"/>
      <c r="AQ1530" s="417" t="s">
        <v>37</v>
      </c>
      <c r="AR1530" s="417"/>
      <c r="AS1530" s="426"/>
      <c r="AT1530" s="426"/>
      <c r="AU1530" s="409"/>
      <c r="AV1530" s="402">
        <f>U1530</f>
        <v>49405140</v>
      </c>
      <c r="AW1530" s="402" cm="1">
        <f t="array" ref="AW1530">SUM(MID(0&amp;AV1530,LARGE(INDEX(ISNUMBER(--MID(AV1530,ROW($1:$8),1))*ROW($1:$8),),ROW($1:$8))+1,1)*10^ROW($1:$8)/10)</f>
        <v>49405140</v>
      </c>
      <c r="AX1530" s="402" t="str">
        <f>VLOOKUP($AW1530,'Item Master Data'!$A:$F,3,FALSE)</f>
        <v>Q.PEAK DUO BLK ML G10+</v>
      </c>
      <c r="AY1530" s="402">
        <f>VLOOKUP($AW1530,'Item Master Data'!$A:$F,6,FALSE)</f>
        <v>400</v>
      </c>
      <c r="AZ1530" s="402">
        <f>X1530/BA1530</f>
        <v>13</v>
      </c>
      <c r="BA1530" s="402">
        <f>VLOOKUP(AW1530,'Item Master Data'!$A:$G,7,FALSE)</f>
        <v>32</v>
      </c>
      <c r="BC1530" s="402">
        <f>W1530-AY1530</f>
        <v>0</v>
      </c>
    </row>
    <row r="1531" spans="1:55" s="402" customFormat="1">
      <c r="A1531" s="403"/>
      <c r="B1531" s="446">
        <v>44616</v>
      </c>
      <c r="C1531" s="446">
        <v>44616</v>
      </c>
      <c r="D1531" s="416" t="s">
        <v>2480</v>
      </c>
      <c r="E1531" s="405" t="s">
        <v>2702</v>
      </c>
      <c r="F1531" s="405"/>
      <c r="G1531" s="405">
        <v>2022</v>
      </c>
      <c r="H1531" s="405">
        <v>5</v>
      </c>
      <c r="I1531" s="405">
        <v>128554</v>
      </c>
      <c r="J1531" s="406">
        <v>44683</v>
      </c>
      <c r="K1531" s="414" t="s">
        <v>2703</v>
      </c>
      <c r="L1531" s="405" t="s">
        <v>1939</v>
      </c>
      <c r="M1531" s="418">
        <v>44615</v>
      </c>
      <c r="N1531" s="418">
        <v>44615</v>
      </c>
      <c r="O1531" s="418"/>
      <c r="P1531" s="406">
        <v>44678</v>
      </c>
      <c r="Q1531" s="406">
        <v>44680</v>
      </c>
      <c r="R1531" s="406">
        <v>44683</v>
      </c>
      <c r="S1531" s="405" t="s">
        <v>1940</v>
      </c>
      <c r="T1531" s="405">
        <v>60</v>
      </c>
      <c r="U1531" s="405" t="s">
        <v>1237</v>
      </c>
      <c r="V1531" s="405" t="s">
        <v>973</v>
      </c>
      <c r="W1531" s="405">
        <v>400</v>
      </c>
      <c r="X1531" s="407">
        <v>416</v>
      </c>
      <c r="Y1531" s="408">
        <f t="shared" si="329"/>
        <v>166400</v>
      </c>
      <c r="Z1531" s="409">
        <f t="shared" si="331"/>
        <v>0.47</v>
      </c>
      <c r="AA1531" s="410">
        <f t="shared" si="330"/>
        <v>78208</v>
      </c>
      <c r="AB1531" s="411"/>
      <c r="AC1531" s="412">
        <f t="shared" si="332"/>
        <v>0</v>
      </c>
      <c r="AD1531" s="421"/>
      <c r="AE1531" s="413">
        <v>7038.72</v>
      </c>
      <c r="AF1531" s="424">
        <f t="shared" si="333"/>
        <v>85246.720000000001</v>
      </c>
      <c r="AG1531" s="405" t="s">
        <v>47</v>
      </c>
      <c r="AH1531" s="405"/>
      <c r="AI1531" s="414" t="s">
        <v>1937</v>
      </c>
      <c r="AJ1531" s="405" t="s">
        <v>2640</v>
      </c>
      <c r="AK1531" s="425" t="s">
        <v>1953</v>
      </c>
      <c r="AL1531" s="405">
        <v>29420</v>
      </c>
      <c r="AM1531" s="405" t="s">
        <v>52</v>
      </c>
      <c r="AN1531" s="405" t="s">
        <v>1082</v>
      </c>
      <c r="AO1531" s="405"/>
      <c r="AP1531" s="417"/>
      <c r="AQ1531" s="417" t="s">
        <v>37</v>
      </c>
      <c r="AR1531" s="417"/>
      <c r="AS1531" s="426"/>
      <c r="AT1531" s="426"/>
      <c r="AU1531" s="409"/>
      <c r="AV1531" s="402" t="str">
        <f>U1531</f>
        <v>30390456H</v>
      </c>
      <c r="AW1531" s="402" cm="1">
        <f t="array" ref="AW1531">SUM(MID(0&amp;AV1531,LARGE(INDEX(ISNUMBER(--MID(AV1531,ROW($1:$8),1))*ROW($1:$8),),ROW($1:$8))+1,1)*10^ROW($1:$8)/10)</f>
        <v>30390456</v>
      </c>
      <c r="AX1531" s="402" t="str">
        <f>VLOOKUP($AW1531,'Item Master Data'!$A:$F,3,FALSE)</f>
        <v>Q.PEAK DUO BLK ML G10+</v>
      </c>
      <c r="AY1531" s="402">
        <f>VLOOKUP($AW1531,'Item Master Data'!$A:$F,6,FALSE)</f>
        <v>400</v>
      </c>
      <c r="AZ1531" s="402">
        <f>X1531/BA1531</f>
        <v>13</v>
      </c>
      <c r="BA1531" s="402">
        <f>VLOOKUP(AW1531,'Item Master Data'!$A:$G,7,FALSE)</f>
        <v>32</v>
      </c>
      <c r="BC1531" s="402">
        <f>W1531-AY1531</f>
        <v>0</v>
      </c>
    </row>
    <row r="1532" spans="1:55" s="402" customFormat="1">
      <c r="A1532" s="403"/>
      <c r="B1532" s="446">
        <v>44616</v>
      </c>
      <c r="C1532" s="446">
        <v>44616</v>
      </c>
      <c r="D1532" s="416" t="s">
        <v>2480</v>
      </c>
      <c r="E1532" s="405"/>
      <c r="F1532" s="405"/>
      <c r="G1532" s="405">
        <v>2022</v>
      </c>
      <c r="H1532" s="405">
        <v>5</v>
      </c>
      <c r="I1532" s="405" t="s">
        <v>2393</v>
      </c>
      <c r="J1532" s="406">
        <v>44686</v>
      </c>
      <c r="K1532" s="414" t="s">
        <v>2707</v>
      </c>
      <c r="L1532" s="405" t="s">
        <v>1939</v>
      </c>
      <c r="M1532" s="418">
        <v>44615</v>
      </c>
      <c r="N1532" s="418">
        <v>44615</v>
      </c>
      <c r="O1532" s="418"/>
      <c r="P1532" s="406">
        <v>44666</v>
      </c>
      <c r="Q1532" s="406">
        <v>44673</v>
      </c>
      <c r="R1532" s="406">
        <v>44686</v>
      </c>
      <c r="S1532" s="405" t="s">
        <v>1940</v>
      </c>
      <c r="T1532" s="405">
        <v>60</v>
      </c>
      <c r="U1532" s="405">
        <v>49405140</v>
      </c>
      <c r="V1532" s="405" t="s">
        <v>973</v>
      </c>
      <c r="W1532" s="405">
        <v>400</v>
      </c>
      <c r="X1532" s="407">
        <v>320</v>
      </c>
      <c r="Y1532" s="408">
        <f t="shared" si="329"/>
        <v>128000</v>
      </c>
      <c r="Z1532" s="409">
        <f t="shared" si="331"/>
        <v>0.47</v>
      </c>
      <c r="AA1532" s="410">
        <f t="shared" si="330"/>
        <v>60160</v>
      </c>
      <c r="AB1532" s="411"/>
      <c r="AC1532" s="412">
        <f t="shared" si="332"/>
        <v>0</v>
      </c>
      <c r="AD1532" s="421"/>
      <c r="AE1532" s="413"/>
      <c r="AF1532" s="424">
        <f t="shared" si="333"/>
        <v>60160</v>
      </c>
      <c r="AG1532" s="405" t="s">
        <v>47</v>
      </c>
      <c r="AH1532" s="405"/>
      <c r="AI1532" s="414" t="s">
        <v>1937</v>
      </c>
      <c r="AJ1532" s="405" t="s">
        <v>1948</v>
      </c>
      <c r="AK1532" s="425" t="s">
        <v>1125</v>
      </c>
      <c r="AL1532" s="405">
        <v>85714</v>
      </c>
      <c r="AM1532" s="405" t="s">
        <v>52</v>
      </c>
      <c r="AN1532" s="405" t="s">
        <v>1101</v>
      </c>
      <c r="AO1532" s="405"/>
      <c r="AP1532" s="417"/>
      <c r="AQ1532" s="417" t="s">
        <v>37</v>
      </c>
      <c r="AR1532" s="417"/>
      <c r="AS1532" s="426"/>
      <c r="AT1532" s="426"/>
      <c r="AU1532" s="409"/>
      <c r="AV1532" s="402">
        <f>U1532</f>
        <v>49405140</v>
      </c>
      <c r="AW1532" s="402" cm="1">
        <f t="array" ref="AW1532">SUM(MID(0&amp;AV1532,LARGE(INDEX(ISNUMBER(--MID(AV1532,ROW($1:$8),1))*ROW($1:$8),),ROW($1:$8))+1,1)*10^ROW($1:$8)/10)</f>
        <v>49405140</v>
      </c>
      <c r="AX1532" s="402" t="str">
        <f>VLOOKUP($AW1532,'Item Master Data'!$A:$F,3,FALSE)</f>
        <v>Q.PEAK DUO BLK ML G10+</v>
      </c>
      <c r="AY1532" s="402">
        <f>VLOOKUP($AW1532,'Item Master Data'!$A:$F,6,FALSE)</f>
        <v>400</v>
      </c>
      <c r="AZ1532" s="402">
        <f>X1532/BA1532</f>
        <v>10</v>
      </c>
      <c r="BA1532" s="402">
        <f>VLOOKUP(AW1532,'Item Master Data'!$A:$G,7,FALSE)</f>
        <v>32</v>
      </c>
      <c r="BC1532" s="402">
        <f>W1532-AY1532</f>
        <v>0</v>
      </c>
    </row>
    <row r="1533" spans="1:55" s="402" customFormat="1">
      <c r="A1533" s="403"/>
      <c r="B1533" s="446">
        <v>44616</v>
      </c>
      <c r="C1533" s="446">
        <v>44616</v>
      </c>
      <c r="D1533" s="416" t="s">
        <v>2480</v>
      </c>
      <c r="E1533" s="405" t="s">
        <v>2701</v>
      </c>
      <c r="F1533" s="405"/>
      <c r="G1533" s="405">
        <v>2022</v>
      </c>
      <c r="H1533" s="405">
        <v>5</v>
      </c>
      <c r="I1533" s="405" t="s">
        <v>4114</v>
      </c>
      <c r="J1533" s="406">
        <v>44676</v>
      </c>
      <c r="K1533" s="414" t="s">
        <v>2708</v>
      </c>
      <c r="L1533" s="405" t="s">
        <v>1939</v>
      </c>
      <c r="M1533" s="418">
        <v>44615</v>
      </c>
      <c r="N1533" s="418">
        <v>44615</v>
      </c>
      <c r="O1533" s="418"/>
      <c r="P1533" s="406">
        <v>44664</v>
      </c>
      <c r="Q1533" s="406">
        <v>44673</v>
      </c>
      <c r="R1533" s="406"/>
      <c r="S1533" s="405" t="s">
        <v>1940</v>
      </c>
      <c r="T1533" s="405">
        <v>60</v>
      </c>
      <c r="U1533" s="405">
        <v>49405140</v>
      </c>
      <c r="V1533" s="405" t="s">
        <v>973</v>
      </c>
      <c r="W1533" s="405">
        <v>400</v>
      </c>
      <c r="X1533" s="407">
        <v>768</v>
      </c>
      <c r="Y1533" s="408">
        <f t="shared" si="329"/>
        <v>307200</v>
      </c>
      <c r="Z1533" s="409">
        <f t="shared" si="331"/>
        <v>0.47</v>
      </c>
      <c r="AA1533" s="410">
        <f t="shared" si="330"/>
        <v>144384</v>
      </c>
      <c r="AB1533" s="411"/>
      <c r="AC1533" s="412">
        <f t="shared" si="332"/>
        <v>0</v>
      </c>
      <c r="AD1533" s="421"/>
      <c r="AE1533" s="413"/>
      <c r="AF1533" s="424">
        <f t="shared" si="333"/>
        <v>144384</v>
      </c>
      <c r="AG1533" s="405" t="s">
        <v>47</v>
      </c>
      <c r="AH1533" s="405"/>
      <c r="AI1533" s="414" t="s">
        <v>1937</v>
      </c>
      <c r="AJ1533" s="405" t="s">
        <v>1944</v>
      </c>
      <c r="AK1533" s="425" t="s">
        <v>1136</v>
      </c>
      <c r="AL1533" s="405">
        <v>75061</v>
      </c>
      <c r="AM1533" s="405" t="s">
        <v>52</v>
      </c>
      <c r="AN1533" s="405" t="s">
        <v>1101</v>
      </c>
      <c r="AO1533" s="405"/>
      <c r="AP1533" s="417"/>
      <c r="AQ1533" s="417" t="s">
        <v>37</v>
      </c>
      <c r="AR1533" s="417"/>
      <c r="AS1533" s="426"/>
      <c r="AT1533" s="426"/>
      <c r="AU1533" s="409"/>
      <c r="AV1533" s="402">
        <f>U1533</f>
        <v>49405140</v>
      </c>
      <c r="AW1533" s="402" cm="1">
        <f t="array" ref="AW1533">SUM(MID(0&amp;AV1533,LARGE(INDEX(ISNUMBER(--MID(AV1533,ROW($1:$8),1))*ROW($1:$8),),ROW($1:$8))+1,1)*10^ROW($1:$8)/10)</f>
        <v>49405140</v>
      </c>
      <c r="AX1533" s="402" t="str">
        <f>VLOOKUP($AW1533,'Item Master Data'!$A:$F,3,FALSE)</f>
        <v>Q.PEAK DUO BLK ML G10+</v>
      </c>
      <c r="AY1533" s="402">
        <f>VLOOKUP($AW1533,'Item Master Data'!$A:$F,6,FALSE)</f>
        <v>400</v>
      </c>
      <c r="AZ1533" s="402">
        <f>X1533/BA1533</f>
        <v>24</v>
      </c>
      <c r="BA1533" s="402">
        <f>VLOOKUP(AW1533,'Item Master Data'!$A:$G,7,FALSE)</f>
        <v>32</v>
      </c>
      <c r="BC1533" s="402">
        <f>W1533-AY1533</f>
        <v>0</v>
      </c>
    </row>
    <row r="1534" spans="1:55" s="402" customFormat="1">
      <c r="A1534" s="403"/>
      <c r="B1534" s="446">
        <v>44616</v>
      </c>
      <c r="C1534" s="446">
        <v>44616</v>
      </c>
      <c r="D1534" s="416" t="s">
        <v>2480</v>
      </c>
      <c r="E1534" s="405"/>
      <c r="F1534" s="405"/>
      <c r="G1534" s="405">
        <v>2022</v>
      </c>
      <c r="H1534" s="405">
        <v>5</v>
      </c>
      <c r="I1534" s="405"/>
      <c r="J1534" s="406"/>
      <c r="K1534" s="414" t="s">
        <v>2605</v>
      </c>
      <c r="L1534" s="405" t="s">
        <v>1939</v>
      </c>
      <c r="M1534" s="418">
        <v>44615</v>
      </c>
      <c r="N1534" s="418">
        <v>44615</v>
      </c>
      <c r="O1534" s="418"/>
      <c r="P1534" s="406"/>
      <c r="Q1534" s="406"/>
      <c r="R1534" s="406"/>
      <c r="S1534" s="405" t="s">
        <v>1940</v>
      </c>
      <c r="T1534" s="405">
        <v>60</v>
      </c>
      <c r="U1534" s="405">
        <v>49405140</v>
      </c>
      <c r="V1534" s="405" t="s">
        <v>973</v>
      </c>
      <c r="W1534" s="405">
        <v>400</v>
      </c>
      <c r="X1534" s="407">
        <v>832</v>
      </c>
      <c r="Y1534" s="408">
        <f t="shared" si="329"/>
        <v>332800</v>
      </c>
      <c r="Z1534" s="409">
        <f t="shared" si="331"/>
        <v>0.47</v>
      </c>
      <c r="AA1534" s="410">
        <f t="shared" si="330"/>
        <v>156416</v>
      </c>
      <c r="AB1534" s="411"/>
      <c r="AC1534" s="412">
        <f t="shared" si="332"/>
        <v>0</v>
      </c>
      <c r="AD1534" s="421"/>
      <c r="AE1534" s="413"/>
      <c r="AF1534" s="424">
        <f t="shared" si="333"/>
        <v>156416</v>
      </c>
      <c r="AG1534" s="405" t="s">
        <v>47</v>
      </c>
      <c r="AH1534" s="405"/>
      <c r="AI1534" s="414" t="s">
        <v>1937</v>
      </c>
      <c r="AJ1534" s="405" t="s">
        <v>1941</v>
      </c>
      <c r="AK1534" s="425" t="s">
        <v>1942</v>
      </c>
      <c r="AL1534" s="405">
        <v>87107</v>
      </c>
      <c r="AM1534" s="405" t="s">
        <v>52</v>
      </c>
      <c r="AN1534" s="405" t="s">
        <v>1101</v>
      </c>
      <c r="AO1534" s="405"/>
      <c r="AP1534" s="417"/>
      <c r="AQ1534" s="417" t="s">
        <v>37</v>
      </c>
      <c r="AR1534" s="417"/>
      <c r="AS1534" s="426"/>
      <c r="AT1534" s="426"/>
      <c r="AU1534" s="409"/>
      <c r="AV1534" s="402">
        <f>U1534</f>
        <v>49405140</v>
      </c>
      <c r="AW1534" s="402" cm="1">
        <f t="array" ref="AW1534">SUM(MID(0&amp;AV1534,LARGE(INDEX(ISNUMBER(--MID(AV1534,ROW($1:$8),1))*ROW($1:$8),),ROW($1:$8))+1,1)*10^ROW($1:$8)/10)</f>
        <v>49405140</v>
      </c>
      <c r="AX1534" s="402" t="str">
        <f>VLOOKUP($AW1534,'Item Master Data'!$A:$F,3,FALSE)</f>
        <v>Q.PEAK DUO BLK ML G10+</v>
      </c>
      <c r="AY1534" s="402">
        <f>VLOOKUP($AW1534,'Item Master Data'!$A:$F,6,FALSE)</f>
        <v>400</v>
      </c>
      <c r="AZ1534" s="402">
        <f>X1534/BA1534</f>
        <v>26</v>
      </c>
      <c r="BA1534" s="402">
        <f>VLOOKUP(AW1534,'Item Master Data'!$A:$G,7,FALSE)</f>
        <v>32</v>
      </c>
      <c r="BC1534" s="402">
        <f>W1534-AY1534</f>
        <v>0</v>
      </c>
    </row>
    <row r="1535" spans="1:55" s="402" customFormat="1">
      <c r="A1535" s="403"/>
      <c r="B1535" s="446">
        <v>44616</v>
      </c>
      <c r="C1535" s="446">
        <v>44616</v>
      </c>
      <c r="D1535" s="416" t="s">
        <v>2480</v>
      </c>
      <c r="E1535" s="405"/>
      <c r="F1535" s="405"/>
      <c r="G1535" s="405">
        <v>2022</v>
      </c>
      <c r="H1535" s="405">
        <v>5</v>
      </c>
      <c r="I1535" s="405"/>
      <c r="J1535" s="406"/>
      <c r="K1535" s="414" t="s">
        <v>2609</v>
      </c>
      <c r="L1535" s="405" t="s">
        <v>1939</v>
      </c>
      <c r="M1535" s="418">
        <v>44615</v>
      </c>
      <c r="N1535" s="418">
        <v>44615</v>
      </c>
      <c r="O1535" s="418"/>
      <c r="P1535" s="406"/>
      <c r="Q1535" s="406"/>
      <c r="R1535" s="406"/>
      <c r="S1535" s="405" t="s">
        <v>1940</v>
      </c>
      <c r="T1535" s="405">
        <v>60</v>
      </c>
      <c r="U1535" s="405">
        <v>49405140</v>
      </c>
      <c r="V1535" s="405" t="s">
        <v>973</v>
      </c>
      <c r="W1535" s="405">
        <v>400</v>
      </c>
      <c r="X1535" s="407">
        <v>832</v>
      </c>
      <c r="Y1535" s="408">
        <f t="shared" si="329"/>
        <v>332800</v>
      </c>
      <c r="Z1535" s="409">
        <f t="shared" si="331"/>
        <v>0.47</v>
      </c>
      <c r="AA1535" s="410">
        <f t="shared" si="330"/>
        <v>156416</v>
      </c>
      <c r="AB1535" s="411"/>
      <c r="AC1535" s="412">
        <f t="shared" si="332"/>
        <v>0</v>
      </c>
      <c r="AD1535" s="421"/>
      <c r="AE1535" s="413"/>
      <c r="AF1535" s="424">
        <f t="shared" si="333"/>
        <v>156416</v>
      </c>
      <c r="AG1535" s="405" t="s">
        <v>47</v>
      </c>
      <c r="AH1535" s="405"/>
      <c r="AI1535" s="414" t="s">
        <v>1937</v>
      </c>
      <c r="AJ1535" s="405" t="s">
        <v>1950</v>
      </c>
      <c r="AK1535" s="425" t="s">
        <v>1071</v>
      </c>
      <c r="AL1535" s="405">
        <v>30360</v>
      </c>
      <c r="AM1535" s="405" t="s">
        <v>52</v>
      </c>
      <c r="AN1535" s="405" t="s">
        <v>1101</v>
      </c>
      <c r="AO1535" s="405"/>
      <c r="AP1535" s="417"/>
      <c r="AQ1535" s="417" t="s">
        <v>37</v>
      </c>
      <c r="AR1535" s="417"/>
      <c r="AS1535" s="426"/>
      <c r="AT1535" s="426"/>
      <c r="AU1535" s="409"/>
    </row>
    <row r="1536" spans="1:55" s="402" customFormat="1">
      <c r="A1536" s="403"/>
      <c r="B1536" s="446">
        <v>44616</v>
      </c>
      <c r="C1536" s="446">
        <v>44616</v>
      </c>
      <c r="D1536" s="416" t="s">
        <v>2480</v>
      </c>
      <c r="E1536" s="405"/>
      <c r="F1536" s="405"/>
      <c r="G1536" s="405">
        <v>2022</v>
      </c>
      <c r="H1536" s="405">
        <v>5</v>
      </c>
      <c r="I1536" s="405"/>
      <c r="J1536" s="406"/>
      <c r="K1536" s="414" t="s">
        <v>2638</v>
      </c>
      <c r="L1536" s="405" t="s">
        <v>1939</v>
      </c>
      <c r="M1536" s="418">
        <v>44615</v>
      </c>
      <c r="N1536" s="418">
        <v>44615</v>
      </c>
      <c r="O1536" s="418"/>
      <c r="P1536" s="406"/>
      <c r="Q1536" s="406"/>
      <c r="R1536" s="406"/>
      <c r="S1536" s="405" t="s">
        <v>1940</v>
      </c>
      <c r="T1536" s="405">
        <v>60</v>
      </c>
      <c r="U1536" s="405">
        <v>49405140</v>
      </c>
      <c r="V1536" s="405" t="s">
        <v>973</v>
      </c>
      <c r="W1536" s="405">
        <v>400</v>
      </c>
      <c r="X1536" s="407">
        <v>832</v>
      </c>
      <c r="Y1536" s="408">
        <f t="shared" si="329"/>
        <v>332800</v>
      </c>
      <c r="Z1536" s="409">
        <f t="shared" si="331"/>
        <v>0.47</v>
      </c>
      <c r="AA1536" s="410">
        <f t="shared" si="330"/>
        <v>156416</v>
      </c>
      <c r="AB1536" s="411"/>
      <c r="AC1536" s="412">
        <f t="shared" si="332"/>
        <v>0</v>
      </c>
      <c r="AD1536" s="421"/>
      <c r="AE1536" s="413"/>
      <c r="AF1536" s="424">
        <f t="shared" si="333"/>
        <v>156416</v>
      </c>
      <c r="AG1536" s="405" t="s">
        <v>47</v>
      </c>
      <c r="AH1536" s="405"/>
      <c r="AI1536" s="414" t="s">
        <v>1937</v>
      </c>
      <c r="AJ1536" s="405" t="s">
        <v>1951</v>
      </c>
      <c r="AK1536" s="425" t="s">
        <v>1136</v>
      </c>
      <c r="AL1536" s="405">
        <v>78610</v>
      </c>
      <c r="AM1536" s="405" t="s">
        <v>52</v>
      </c>
      <c r="AN1536" s="405" t="s">
        <v>1101</v>
      </c>
      <c r="AO1536" s="405"/>
      <c r="AP1536" s="417"/>
      <c r="AQ1536" s="417" t="s">
        <v>37</v>
      </c>
      <c r="AR1536" s="417"/>
      <c r="AS1536" s="426"/>
      <c r="AT1536" s="426"/>
      <c r="AU1536" s="409"/>
      <c r="AV1536" s="402">
        <f t="shared" ref="AV1536:AV1549" si="334">U1536</f>
        <v>49405140</v>
      </c>
      <c r="AW1536" s="402" cm="1">
        <f t="array" ref="AW1536">SUM(MID(0&amp;AV1536,LARGE(INDEX(ISNUMBER(--MID(AV1536,ROW($1:$8),1))*ROW($1:$8),),ROW($1:$8))+1,1)*10^ROW($1:$8)/10)</f>
        <v>49405140</v>
      </c>
      <c r="AX1536" s="402" t="str">
        <f>VLOOKUP($AW1536,'Item Master Data'!$A:$F,3,FALSE)</f>
        <v>Q.PEAK DUO BLK ML G10+</v>
      </c>
      <c r="AY1536" s="402">
        <f>VLOOKUP($AW1536,'Item Master Data'!$A:$F,6,FALSE)</f>
        <v>400</v>
      </c>
      <c r="AZ1536" s="402">
        <f t="shared" ref="AZ1536:AZ1549" si="335">X1536/BA1536</f>
        <v>26</v>
      </c>
      <c r="BA1536" s="402">
        <f>VLOOKUP(AW1536,'Item Master Data'!$A:$G,7,FALSE)</f>
        <v>32</v>
      </c>
      <c r="BC1536" s="402">
        <f t="shared" ref="BC1536:BC1549" si="336">W1536-AY1536</f>
        <v>0</v>
      </c>
    </row>
    <row r="1537" spans="1:55" s="402" customFormat="1">
      <c r="A1537" s="403"/>
      <c r="B1537" s="446">
        <v>44616</v>
      </c>
      <c r="C1537" s="446">
        <v>44616</v>
      </c>
      <c r="D1537" s="416" t="s">
        <v>2480</v>
      </c>
      <c r="E1537" s="405"/>
      <c r="F1537" s="405"/>
      <c r="G1537" s="405">
        <v>2022</v>
      </c>
      <c r="H1537" s="405">
        <v>5</v>
      </c>
      <c r="I1537" s="405"/>
      <c r="J1537" s="406"/>
      <c r="K1537" s="414" t="s">
        <v>2639</v>
      </c>
      <c r="L1537" s="405" t="s">
        <v>1939</v>
      </c>
      <c r="M1537" s="418">
        <v>44615</v>
      </c>
      <c r="N1537" s="418">
        <v>44615</v>
      </c>
      <c r="O1537" s="418"/>
      <c r="P1537" s="406"/>
      <c r="Q1537" s="406"/>
      <c r="R1537" s="406"/>
      <c r="S1537" s="405" t="s">
        <v>1940</v>
      </c>
      <c r="T1537" s="405">
        <v>60</v>
      </c>
      <c r="U1537" s="405">
        <v>49405140</v>
      </c>
      <c r="V1537" s="405" t="s">
        <v>973</v>
      </c>
      <c r="W1537" s="405">
        <v>400</v>
      </c>
      <c r="X1537" s="407">
        <v>640</v>
      </c>
      <c r="Y1537" s="408">
        <f t="shared" si="329"/>
        <v>256000</v>
      </c>
      <c r="Z1537" s="409">
        <f t="shared" si="331"/>
        <v>0.47</v>
      </c>
      <c r="AA1537" s="410">
        <f t="shared" si="330"/>
        <v>120320</v>
      </c>
      <c r="AB1537" s="411"/>
      <c r="AC1537" s="412">
        <f t="shared" si="332"/>
        <v>0</v>
      </c>
      <c r="AD1537" s="421"/>
      <c r="AE1537" s="413"/>
      <c r="AF1537" s="424">
        <f t="shared" si="333"/>
        <v>120320</v>
      </c>
      <c r="AG1537" s="405" t="s">
        <v>47</v>
      </c>
      <c r="AH1537" s="405"/>
      <c r="AI1537" s="414" t="s">
        <v>1937</v>
      </c>
      <c r="AJ1537" s="405" t="s">
        <v>2640</v>
      </c>
      <c r="AK1537" s="425" t="s">
        <v>1953</v>
      </c>
      <c r="AL1537" s="405">
        <v>29420</v>
      </c>
      <c r="AM1537" s="405" t="s">
        <v>52</v>
      </c>
      <c r="AN1537" s="405" t="s">
        <v>1101</v>
      </c>
      <c r="AO1537" s="405"/>
      <c r="AP1537" s="417"/>
      <c r="AQ1537" s="417" t="s">
        <v>37</v>
      </c>
      <c r="AR1537" s="417"/>
      <c r="AS1537" s="426"/>
      <c r="AT1537" s="426"/>
      <c r="AU1537" s="409"/>
      <c r="AV1537" s="402">
        <f t="shared" si="334"/>
        <v>49405140</v>
      </c>
      <c r="AW1537" s="402" cm="1">
        <f t="array" ref="AW1537">SUM(MID(0&amp;AV1537,LARGE(INDEX(ISNUMBER(--MID(AV1537,ROW($1:$8),1))*ROW($1:$8),),ROW($1:$8))+1,1)*10^ROW($1:$8)/10)</f>
        <v>49405140</v>
      </c>
      <c r="AX1537" s="402" t="str">
        <f>VLOOKUP($AW1537,'Item Master Data'!$A:$F,3,FALSE)</f>
        <v>Q.PEAK DUO BLK ML G10+</v>
      </c>
      <c r="AY1537" s="402">
        <f>VLOOKUP($AW1537,'Item Master Data'!$A:$F,6,FALSE)</f>
        <v>400</v>
      </c>
      <c r="AZ1537" s="402">
        <f t="shared" si="335"/>
        <v>20</v>
      </c>
      <c r="BA1537" s="402">
        <f>VLOOKUP(AW1537,'Item Master Data'!$A:$G,7,FALSE)</f>
        <v>32</v>
      </c>
      <c r="BC1537" s="402">
        <f t="shared" si="336"/>
        <v>0</v>
      </c>
    </row>
    <row r="1538" spans="1:55" s="402" customFormat="1">
      <c r="A1538" s="403"/>
      <c r="B1538" s="446">
        <v>44616</v>
      </c>
      <c r="C1538" s="446">
        <v>44616</v>
      </c>
      <c r="D1538" s="416" t="s">
        <v>2480</v>
      </c>
      <c r="E1538" s="405"/>
      <c r="F1538" s="405"/>
      <c r="G1538" s="405">
        <v>2022</v>
      </c>
      <c r="H1538" s="405">
        <v>5</v>
      </c>
      <c r="I1538" s="405"/>
      <c r="J1538" s="406"/>
      <c r="K1538" s="414" t="s">
        <v>2681</v>
      </c>
      <c r="L1538" s="405" t="s">
        <v>1939</v>
      </c>
      <c r="M1538" s="418">
        <v>44615</v>
      </c>
      <c r="N1538" s="418">
        <v>44615</v>
      </c>
      <c r="O1538" s="418"/>
      <c r="P1538" s="406"/>
      <c r="Q1538" s="406"/>
      <c r="R1538" s="406"/>
      <c r="S1538" s="405" t="s">
        <v>1940</v>
      </c>
      <c r="T1538" s="405">
        <v>60</v>
      </c>
      <c r="U1538" s="405">
        <v>49405140</v>
      </c>
      <c r="V1538" s="405" t="s">
        <v>973</v>
      </c>
      <c r="W1538" s="405">
        <v>400</v>
      </c>
      <c r="X1538" s="407">
        <v>1664</v>
      </c>
      <c r="Y1538" s="408">
        <f t="shared" si="329"/>
        <v>665600</v>
      </c>
      <c r="Z1538" s="409">
        <f t="shared" si="331"/>
        <v>0.47</v>
      </c>
      <c r="AA1538" s="410">
        <f t="shared" si="330"/>
        <v>312832</v>
      </c>
      <c r="AB1538" s="411"/>
      <c r="AC1538" s="412">
        <f t="shared" si="332"/>
        <v>0</v>
      </c>
      <c r="AD1538" s="421"/>
      <c r="AE1538" s="413"/>
      <c r="AF1538" s="424">
        <f t="shared" si="333"/>
        <v>312832</v>
      </c>
      <c r="AG1538" s="405" t="s">
        <v>47</v>
      </c>
      <c r="AH1538" s="405"/>
      <c r="AI1538" s="414" t="s">
        <v>1937</v>
      </c>
      <c r="AJ1538" s="405" t="s">
        <v>1152</v>
      </c>
      <c r="AK1538" s="425" t="s">
        <v>1148</v>
      </c>
      <c r="AL1538" s="405">
        <v>28216</v>
      </c>
      <c r="AM1538" s="405" t="s">
        <v>52</v>
      </c>
      <c r="AN1538" s="405" t="s">
        <v>1101</v>
      </c>
      <c r="AO1538" s="405"/>
      <c r="AP1538" s="417"/>
      <c r="AQ1538" s="417" t="s">
        <v>37</v>
      </c>
      <c r="AR1538" s="417"/>
      <c r="AS1538" s="426"/>
      <c r="AT1538" s="426"/>
      <c r="AU1538" s="409"/>
      <c r="AV1538" s="402">
        <f t="shared" si="334"/>
        <v>49405140</v>
      </c>
      <c r="AW1538" s="402" cm="1">
        <f t="array" ref="AW1538">SUM(MID(0&amp;AV1538,LARGE(INDEX(ISNUMBER(--MID(AV1538,ROW($1:$8),1))*ROW($1:$8),),ROW($1:$8))+1,1)*10^ROW($1:$8)/10)</f>
        <v>49405140</v>
      </c>
      <c r="AX1538" s="402" t="str">
        <f>VLOOKUP($AW1538,'Item Master Data'!$A:$F,3,FALSE)</f>
        <v>Q.PEAK DUO BLK ML G10+</v>
      </c>
      <c r="AY1538" s="402">
        <f>VLOOKUP($AW1538,'Item Master Data'!$A:$F,6,FALSE)</f>
        <v>400</v>
      </c>
      <c r="AZ1538" s="402">
        <f t="shared" si="335"/>
        <v>52</v>
      </c>
      <c r="BA1538" s="402">
        <f>VLOOKUP(AW1538,'Item Master Data'!$A:$G,7,FALSE)</f>
        <v>32</v>
      </c>
      <c r="BC1538" s="402">
        <f t="shared" si="336"/>
        <v>0</v>
      </c>
    </row>
    <row r="1539" spans="1:55" s="402" customFormat="1">
      <c r="A1539" s="403"/>
      <c r="B1539" s="446">
        <v>44616</v>
      </c>
      <c r="C1539" s="446">
        <v>44616</v>
      </c>
      <c r="D1539" s="416" t="s">
        <v>2480</v>
      </c>
      <c r="E1539" s="405"/>
      <c r="F1539" s="405"/>
      <c r="G1539" s="405">
        <v>2022</v>
      </c>
      <c r="H1539" s="405">
        <v>5</v>
      </c>
      <c r="I1539" s="405"/>
      <c r="J1539" s="406"/>
      <c r="K1539" s="414" t="s">
        <v>2682</v>
      </c>
      <c r="L1539" s="405" t="s">
        <v>1939</v>
      </c>
      <c r="M1539" s="418">
        <v>44615</v>
      </c>
      <c r="N1539" s="418">
        <v>44615</v>
      </c>
      <c r="O1539" s="418"/>
      <c r="P1539" s="406"/>
      <c r="Q1539" s="406"/>
      <c r="R1539" s="406"/>
      <c r="S1539" s="405" t="s">
        <v>1940</v>
      </c>
      <c r="T1539" s="405">
        <v>60</v>
      </c>
      <c r="U1539" s="405">
        <v>49405140</v>
      </c>
      <c r="V1539" s="405" t="s">
        <v>973</v>
      </c>
      <c r="W1539" s="405">
        <v>400</v>
      </c>
      <c r="X1539" s="407">
        <f>3328-1280</f>
        <v>2048</v>
      </c>
      <c r="Y1539" s="408">
        <f t="shared" si="329"/>
        <v>819200</v>
      </c>
      <c r="Z1539" s="409">
        <f t="shared" si="331"/>
        <v>0.47</v>
      </c>
      <c r="AA1539" s="410">
        <f t="shared" si="330"/>
        <v>385024</v>
      </c>
      <c r="AB1539" s="411"/>
      <c r="AC1539" s="412">
        <f t="shared" si="332"/>
        <v>0</v>
      </c>
      <c r="AD1539" s="421"/>
      <c r="AE1539" s="413"/>
      <c r="AF1539" s="424">
        <f t="shared" si="333"/>
        <v>385024</v>
      </c>
      <c r="AG1539" s="405" t="s">
        <v>47</v>
      </c>
      <c r="AH1539" s="405"/>
      <c r="AI1539" s="414" t="s">
        <v>1937</v>
      </c>
      <c r="AJ1539" s="405" t="s">
        <v>1944</v>
      </c>
      <c r="AK1539" s="425" t="s">
        <v>1136</v>
      </c>
      <c r="AL1539" s="405">
        <v>75061</v>
      </c>
      <c r="AM1539" s="405" t="s">
        <v>52</v>
      </c>
      <c r="AN1539" s="405" t="s">
        <v>1101</v>
      </c>
      <c r="AO1539" s="405"/>
      <c r="AP1539" s="417"/>
      <c r="AQ1539" s="417" t="s">
        <v>37</v>
      </c>
      <c r="AR1539" s="417"/>
      <c r="AS1539" s="426"/>
      <c r="AT1539" s="426"/>
      <c r="AU1539" s="409"/>
      <c r="AV1539" s="402">
        <f t="shared" si="334"/>
        <v>49405140</v>
      </c>
      <c r="AW1539" s="402" cm="1">
        <f t="array" ref="AW1539">SUM(MID(0&amp;AV1539,LARGE(INDEX(ISNUMBER(--MID(AV1539,ROW($1:$8),1))*ROW($1:$8),),ROW($1:$8))+1,1)*10^ROW($1:$8)/10)</f>
        <v>49405140</v>
      </c>
      <c r="AX1539" s="402" t="str">
        <f>VLOOKUP($AW1539,'Item Master Data'!$A:$F,3,FALSE)</f>
        <v>Q.PEAK DUO BLK ML G10+</v>
      </c>
      <c r="AY1539" s="402">
        <f>VLOOKUP($AW1539,'Item Master Data'!$A:$F,6,FALSE)</f>
        <v>400</v>
      </c>
      <c r="AZ1539" s="402">
        <f t="shared" si="335"/>
        <v>64</v>
      </c>
      <c r="BA1539" s="402">
        <f>VLOOKUP(AW1539,'Item Master Data'!$A:$G,7,FALSE)</f>
        <v>32</v>
      </c>
      <c r="BC1539" s="402">
        <f t="shared" si="336"/>
        <v>0</v>
      </c>
    </row>
    <row r="1540" spans="1:55" s="402" customFormat="1">
      <c r="A1540" s="403"/>
      <c r="B1540" s="446">
        <v>44616</v>
      </c>
      <c r="C1540" s="446">
        <v>44616</v>
      </c>
      <c r="D1540" s="416" t="s">
        <v>2480</v>
      </c>
      <c r="E1540" s="405"/>
      <c r="F1540" s="405"/>
      <c r="G1540" s="405">
        <v>2022</v>
      </c>
      <c r="H1540" s="405">
        <v>5</v>
      </c>
      <c r="I1540" s="405"/>
      <c r="J1540" s="406"/>
      <c r="K1540" s="414" t="s">
        <v>2688</v>
      </c>
      <c r="L1540" s="405" t="s">
        <v>1939</v>
      </c>
      <c r="M1540" s="418">
        <v>44615</v>
      </c>
      <c r="N1540" s="418">
        <v>44615</v>
      </c>
      <c r="O1540" s="418"/>
      <c r="P1540" s="406"/>
      <c r="Q1540" s="406"/>
      <c r="R1540" s="406"/>
      <c r="S1540" s="405" t="s">
        <v>1940</v>
      </c>
      <c r="T1540" s="405">
        <v>60</v>
      </c>
      <c r="U1540" s="405">
        <v>49405140</v>
      </c>
      <c r="V1540" s="405" t="s">
        <v>973</v>
      </c>
      <c r="W1540" s="405">
        <v>400</v>
      </c>
      <c r="X1540" s="407">
        <v>256</v>
      </c>
      <c r="Y1540" s="408">
        <f t="shared" si="329"/>
        <v>102400</v>
      </c>
      <c r="Z1540" s="409">
        <f t="shared" si="331"/>
        <v>0.47</v>
      </c>
      <c r="AA1540" s="410">
        <f t="shared" si="330"/>
        <v>48128</v>
      </c>
      <c r="AB1540" s="411"/>
      <c r="AC1540" s="412">
        <f t="shared" si="332"/>
        <v>0</v>
      </c>
      <c r="AD1540" s="421"/>
      <c r="AE1540" s="413"/>
      <c r="AF1540" s="424">
        <f t="shared" si="333"/>
        <v>48128</v>
      </c>
      <c r="AG1540" s="405" t="s">
        <v>47</v>
      </c>
      <c r="AH1540" s="405"/>
      <c r="AI1540" s="414" t="s">
        <v>1937</v>
      </c>
      <c r="AJ1540" s="405" t="s">
        <v>1946</v>
      </c>
      <c r="AK1540" s="425" t="s">
        <v>1930</v>
      </c>
      <c r="AL1540" s="405">
        <v>80239</v>
      </c>
      <c r="AM1540" s="405" t="s">
        <v>52</v>
      </c>
      <c r="AN1540" s="405" t="s">
        <v>1101</v>
      </c>
      <c r="AO1540" s="405"/>
      <c r="AP1540" s="417"/>
      <c r="AQ1540" s="417" t="s">
        <v>37</v>
      </c>
      <c r="AR1540" s="417"/>
      <c r="AS1540" s="426"/>
      <c r="AT1540" s="426"/>
      <c r="AU1540" s="409"/>
      <c r="AV1540" s="402">
        <f t="shared" si="334"/>
        <v>49405140</v>
      </c>
      <c r="AW1540" s="402" cm="1">
        <f t="array" ref="AW1540">SUM(MID(0&amp;AV1540,LARGE(INDEX(ISNUMBER(--MID(AV1540,ROW($1:$8),1))*ROW($1:$8),),ROW($1:$8))+1,1)*10^ROW($1:$8)/10)</f>
        <v>49405140</v>
      </c>
      <c r="AX1540" s="402" t="str">
        <f>VLOOKUP($AW1540,'Item Master Data'!$A:$F,3,FALSE)</f>
        <v>Q.PEAK DUO BLK ML G10+</v>
      </c>
      <c r="AY1540" s="402">
        <f>VLOOKUP($AW1540,'Item Master Data'!$A:$F,6,FALSE)</f>
        <v>400</v>
      </c>
      <c r="AZ1540" s="402">
        <f t="shared" si="335"/>
        <v>8</v>
      </c>
      <c r="BA1540" s="402">
        <f>VLOOKUP(AW1540,'Item Master Data'!$A:$G,7,FALSE)</f>
        <v>32</v>
      </c>
      <c r="BC1540" s="402">
        <f t="shared" si="336"/>
        <v>0</v>
      </c>
    </row>
    <row r="1541" spans="1:55" s="402" customFormat="1">
      <c r="A1541" s="403"/>
      <c r="B1541" s="446">
        <v>44616</v>
      </c>
      <c r="C1541" s="446">
        <v>44616</v>
      </c>
      <c r="D1541" s="416" t="s">
        <v>2480</v>
      </c>
      <c r="E1541" s="405" t="s">
        <v>4232</v>
      </c>
      <c r="F1541" s="405"/>
      <c r="G1541" s="405">
        <v>2022</v>
      </c>
      <c r="H1541" s="405">
        <v>5</v>
      </c>
      <c r="I1541" s="405">
        <v>128555</v>
      </c>
      <c r="J1541" s="406">
        <v>44683</v>
      </c>
      <c r="K1541" s="414" t="s">
        <v>2712</v>
      </c>
      <c r="L1541" s="405" t="s">
        <v>1939</v>
      </c>
      <c r="M1541" s="418">
        <v>44615</v>
      </c>
      <c r="N1541" s="418">
        <v>44615</v>
      </c>
      <c r="O1541" s="418"/>
      <c r="P1541" s="406">
        <v>44678</v>
      </c>
      <c r="Q1541" s="406">
        <v>44680</v>
      </c>
      <c r="R1541" s="406">
        <v>44683</v>
      </c>
      <c r="S1541" s="405" t="s">
        <v>1940</v>
      </c>
      <c r="T1541" s="405">
        <v>60</v>
      </c>
      <c r="U1541" s="405" t="s">
        <v>1237</v>
      </c>
      <c r="V1541" s="405" t="s">
        <v>973</v>
      </c>
      <c r="W1541" s="405">
        <v>400</v>
      </c>
      <c r="X1541" s="407">
        <v>320</v>
      </c>
      <c r="Y1541" s="408">
        <f t="shared" si="329"/>
        <v>128000</v>
      </c>
      <c r="Z1541" s="409">
        <f t="shared" si="331"/>
        <v>0.47</v>
      </c>
      <c r="AA1541" s="410">
        <f t="shared" si="330"/>
        <v>60160</v>
      </c>
      <c r="AB1541" s="411"/>
      <c r="AC1541" s="412">
        <f t="shared" si="332"/>
        <v>0</v>
      </c>
      <c r="AD1541" s="421"/>
      <c r="AE1541" s="413">
        <v>4211.2</v>
      </c>
      <c r="AF1541" s="424">
        <f t="shared" si="333"/>
        <v>64371.199999999997</v>
      </c>
      <c r="AG1541" s="405" t="s">
        <v>47</v>
      </c>
      <c r="AH1541" s="405"/>
      <c r="AI1541" s="414" t="s">
        <v>1937</v>
      </c>
      <c r="AJ1541" s="405" t="s">
        <v>1952</v>
      </c>
      <c r="AK1541" s="425" t="s">
        <v>1953</v>
      </c>
      <c r="AL1541" s="405">
        <v>29673</v>
      </c>
      <c r="AM1541" s="405" t="s">
        <v>52</v>
      </c>
      <c r="AN1541" s="405" t="s">
        <v>1082</v>
      </c>
      <c r="AO1541" s="405"/>
      <c r="AP1541" s="417"/>
      <c r="AQ1541" s="417" t="s">
        <v>37</v>
      </c>
      <c r="AR1541" s="417"/>
      <c r="AS1541" s="426"/>
      <c r="AT1541" s="426"/>
      <c r="AU1541" s="409"/>
      <c r="AV1541" s="402" t="str">
        <f t="shared" si="334"/>
        <v>30390456H</v>
      </c>
      <c r="AW1541" s="402" cm="1">
        <f t="array" ref="AW1541">SUM(MID(0&amp;AV1541,LARGE(INDEX(ISNUMBER(--MID(AV1541,ROW($1:$8),1))*ROW($1:$8),),ROW($1:$8))+1,1)*10^ROW($1:$8)/10)</f>
        <v>30390456</v>
      </c>
      <c r="AX1541" s="402" t="str">
        <f>VLOOKUP($AW1541,'Item Master Data'!$A:$F,3,FALSE)</f>
        <v>Q.PEAK DUO BLK ML G10+</v>
      </c>
      <c r="AY1541" s="402">
        <f>VLOOKUP($AW1541,'Item Master Data'!$A:$F,6,FALSE)</f>
        <v>400</v>
      </c>
      <c r="AZ1541" s="402">
        <f t="shared" si="335"/>
        <v>10</v>
      </c>
      <c r="BA1541" s="402">
        <f>VLOOKUP(AW1541,'Item Master Data'!$A:$G,7,FALSE)</f>
        <v>32</v>
      </c>
      <c r="BC1541" s="402">
        <f t="shared" si="336"/>
        <v>0</v>
      </c>
    </row>
    <row r="1542" spans="1:55" s="402" customFormat="1">
      <c r="A1542" s="403"/>
      <c r="B1542" s="446">
        <v>44616</v>
      </c>
      <c r="C1542" s="446">
        <v>44616</v>
      </c>
      <c r="D1542" s="416" t="s">
        <v>2480</v>
      </c>
      <c r="E1542" s="405" t="s">
        <v>2702</v>
      </c>
      <c r="F1542" s="405"/>
      <c r="G1542" s="405">
        <v>2022</v>
      </c>
      <c r="H1542" s="405">
        <v>5</v>
      </c>
      <c r="I1542" s="405" t="s">
        <v>4216</v>
      </c>
      <c r="J1542" s="406"/>
      <c r="K1542" s="414" t="s">
        <v>2712</v>
      </c>
      <c r="L1542" s="405" t="s">
        <v>1939</v>
      </c>
      <c r="M1542" s="418">
        <v>44615</v>
      </c>
      <c r="N1542" s="418">
        <v>44615</v>
      </c>
      <c r="O1542" s="418"/>
      <c r="P1542" s="406">
        <v>44664</v>
      </c>
      <c r="Q1542" s="406">
        <v>44671</v>
      </c>
      <c r="R1542" s="406"/>
      <c r="S1542" s="405" t="s">
        <v>1940</v>
      </c>
      <c r="T1542" s="405">
        <v>60</v>
      </c>
      <c r="U1542" s="405">
        <v>49405140</v>
      </c>
      <c r="V1542" s="405" t="s">
        <v>973</v>
      </c>
      <c r="W1542" s="405">
        <v>400</v>
      </c>
      <c r="X1542" s="407">
        <v>320</v>
      </c>
      <c r="Y1542" s="408">
        <f t="shared" si="329"/>
        <v>128000</v>
      </c>
      <c r="Z1542" s="409">
        <f t="shared" si="331"/>
        <v>0.47</v>
      </c>
      <c r="AA1542" s="410">
        <f t="shared" si="330"/>
        <v>60160</v>
      </c>
      <c r="AB1542" s="411"/>
      <c r="AC1542" s="412">
        <f t="shared" si="332"/>
        <v>0</v>
      </c>
      <c r="AD1542" s="421"/>
      <c r="AE1542" s="413"/>
      <c r="AF1542" s="424">
        <f t="shared" si="333"/>
        <v>60160</v>
      </c>
      <c r="AG1542" s="405" t="s">
        <v>47</v>
      </c>
      <c r="AH1542" s="405"/>
      <c r="AI1542" s="414" t="s">
        <v>1937</v>
      </c>
      <c r="AJ1542" s="405" t="s">
        <v>1949</v>
      </c>
      <c r="AK1542" s="425" t="s">
        <v>1125</v>
      </c>
      <c r="AL1542" s="405">
        <v>85365</v>
      </c>
      <c r="AM1542" s="405" t="s">
        <v>52</v>
      </c>
      <c r="AN1542" s="405" t="s">
        <v>1101</v>
      </c>
      <c r="AO1542" s="405"/>
      <c r="AP1542" s="417"/>
      <c r="AQ1542" s="417" t="s">
        <v>37</v>
      </c>
      <c r="AR1542" s="417"/>
      <c r="AS1542" s="426"/>
      <c r="AT1542" s="426"/>
      <c r="AU1542" s="409"/>
      <c r="AV1542" s="402">
        <f t="shared" si="334"/>
        <v>49405140</v>
      </c>
      <c r="AW1542" s="402" cm="1">
        <f t="array" ref="AW1542">SUM(MID(0&amp;AV1542,LARGE(INDEX(ISNUMBER(--MID(AV1542,ROW($1:$8),1))*ROW($1:$8),),ROW($1:$8))+1,1)*10^ROW($1:$8)/10)</f>
        <v>49405140</v>
      </c>
      <c r="AX1542" s="402" t="str">
        <f>VLOOKUP($AW1542,'Item Master Data'!$A:$F,3,FALSE)</f>
        <v>Q.PEAK DUO BLK ML G10+</v>
      </c>
      <c r="AY1542" s="402">
        <f>VLOOKUP($AW1542,'Item Master Data'!$A:$F,6,FALSE)</f>
        <v>400</v>
      </c>
      <c r="AZ1542" s="402">
        <f t="shared" si="335"/>
        <v>10</v>
      </c>
      <c r="BA1542" s="402">
        <f>VLOOKUP(AW1542,'Item Master Data'!$A:$G,7,FALSE)</f>
        <v>32</v>
      </c>
      <c r="BC1542" s="402">
        <f t="shared" si="336"/>
        <v>0</v>
      </c>
    </row>
    <row r="1543" spans="1:55" s="402" customFormat="1">
      <c r="A1543" s="403"/>
      <c r="B1543" s="446">
        <v>44616</v>
      </c>
      <c r="C1543" s="446">
        <v>44616</v>
      </c>
      <c r="D1543" s="416" t="s">
        <v>2480</v>
      </c>
      <c r="E1543" s="405"/>
      <c r="F1543" s="405"/>
      <c r="G1543" s="405">
        <v>2022</v>
      </c>
      <c r="H1543" s="405">
        <v>5</v>
      </c>
      <c r="I1543" s="405" t="s">
        <v>1434</v>
      </c>
      <c r="J1543" s="406">
        <v>44686</v>
      </c>
      <c r="K1543" s="414" t="s">
        <v>2712</v>
      </c>
      <c r="L1543" s="405" t="s">
        <v>1939</v>
      </c>
      <c r="M1543" s="418">
        <v>44615</v>
      </c>
      <c r="N1543" s="418">
        <v>44615</v>
      </c>
      <c r="O1543" s="418"/>
      <c r="P1543" s="406">
        <v>44666</v>
      </c>
      <c r="Q1543" s="406">
        <v>44679</v>
      </c>
      <c r="R1543" s="406">
        <v>44686</v>
      </c>
      <c r="S1543" s="405" t="s">
        <v>1940</v>
      </c>
      <c r="T1543" s="405">
        <v>60</v>
      </c>
      <c r="U1543" s="405">
        <v>49405140</v>
      </c>
      <c r="V1543" s="405" t="s">
        <v>973</v>
      </c>
      <c r="W1543" s="405">
        <v>400</v>
      </c>
      <c r="X1543" s="407">
        <v>320</v>
      </c>
      <c r="Y1543" s="408">
        <f t="shared" si="329"/>
        <v>128000</v>
      </c>
      <c r="Z1543" s="409">
        <f t="shared" si="331"/>
        <v>0.47</v>
      </c>
      <c r="AA1543" s="410">
        <f t="shared" si="330"/>
        <v>60160</v>
      </c>
      <c r="AB1543" s="411"/>
      <c r="AC1543" s="412">
        <f t="shared" si="332"/>
        <v>0</v>
      </c>
      <c r="AD1543" s="421"/>
      <c r="AE1543" s="413"/>
      <c r="AF1543" s="424">
        <f t="shared" si="333"/>
        <v>60160</v>
      </c>
      <c r="AG1543" s="405" t="s">
        <v>47</v>
      </c>
      <c r="AH1543" s="405"/>
      <c r="AI1543" s="414" t="s">
        <v>1937</v>
      </c>
      <c r="AJ1543" s="405" t="s">
        <v>1954</v>
      </c>
      <c r="AK1543" s="425" t="s">
        <v>1955</v>
      </c>
      <c r="AL1543" s="405">
        <v>66214</v>
      </c>
      <c r="AM1543" s="405" t="s">
        <v>52</v>
      </c>
      <c r="AN1543" s="405" t="s">
        <v>1101</v>
      </c>
      <c r="AO1543" s="405"/>
      <c r="AP1543" s="417"/>
      <c r="AQ1543" s="417" t="s">
        <v>37</v>
      </c>
      <c r="AR1543" s="417"/>
      <c r="AS1543" s="426"/>
      <c r="AT1543" s="426"/>
      <c r="AU1543" s="409"/>
      <c r="AV1543" s="402">
        <f t="shared" si="334"/>
        <v>49405140</v>
      </c>
      <c r="AW1543" s="402" cm="1">
        <f t="array" ref="AW1543">SUM(MID(0&amp;AV1543,LARGE(INDEX(ISNUMBER(--MID(AV1543,ROW($1:$8),1))*ROW($1:$8),),ROW($1:$8))+1,1)*10^ROW($1:$8)/10)</f>
        <v>49405140</v>
      </c>
      <c r="AX1543" s="402" t="str">
        <f>VLOOKUP($AW1543,'Item Master Data'!$A:$F,3,FALSE)</f>
        <v>Q.PEAK DUO BLK ML G10+</v>
      </c>
      <c r="AY1543" s="402">
        <f>VLOOKUP($AW1543,'Item Master Data'!$A:$F,6,FALSE)</f>
        <v>400</v>
      </c>
      <c r="AZ1543" s="402">
        <f t="shared" si="335"/>
        <v>10</v>
      </c>
      <c r="BA1543" s="402">
        <f>VLOOKUP(AW1543,'Item Master Data'!$A:$G,7,FALSE)</f>
        <v>32</v>
      </c>
      <c r="BC1543" s="402">
        <f t="shared" si="336"/>
        <v>0</v>
      </c>
    </row>
    <row r="1544" spans="1:55" s="402" customFormat="1">
      <c r="A1544" s="403"/>
      <c r="B1544" s="446">
        <v>44616</v>
      </c>
      <c r="C1544" s="446">
        <v>44616</v>
      </c>
      <c r="D1544" s="416" t="s">
        <v>2480</v>
      </c>
      <c r="E1544" s="405"/>
      <c r="F1544" s="405"/>
      <c r="G1544" s="405">
        <v>2022</v>
      </c>
      <c r="H1544" s="405">
        <v>5</v>
      </c>
      <c r="I1544" s="405"/>
      <c r="J1544" s="406"/>
      <c r="K1544" s="414" t="s">
        <v>2689</v>
      </c>
      <c r="L1544" s="405" t="s">
        <v>1939</v>
      </c>
      <c r="M1544" s="418">
        <v>44615</v>
      </c>
      <c r="N1544" s="418">
        <v>44615</v>
      </c>
      <c r="O1544" s="418"/>
      <c r="P1544" s="406"/>
      <c r="Q1544" s="406"/>
      <c r="R1544" s="406"/>
      <c r="S1544" s="405" t="s">
        <v>1940</v>
      </c>
      <c r="T1544" s="405">
        <v>60</v>
      </c>
      <c r="U1544" s="405">
        <v>49405140</v>
      </c>
      <c r="V1544" s="405" t="s">
        <v>973</v>
      </c>
      <c r="W1544" s="405">
        <v>400</v>
      </c>
      <c r="X1544" s="407">
        <v>1280</v>
      </c>
      <c r="Y1544" s="408">
        <f t="shared" si="329"/>
        <v>512000</v>
      </c>
      <c r="Z1544" s="409">
        <f t="shared" si="331"/>
        <v>0.47</v>
      </c>
      <c r="AA1544" s="410">
        <f t="shared" si="330"/>
        <v>240640</v>
      </c>
      <c r="AB1544" s="411"/>
      <c r="AC1544" s="412">
        <f t="shared" si="332"/>
        <v>0</v>
      </c>
      <c r="AD1544" s="421"/>
      <c r="AE1544" s="413"/>
      <c r="AF1544" s="424">
        <f t="shared" si="333"/>
        <v>240640</v>
      </c>
      <c r="AG1544" s="405" t="s">
        <v>47</v>
      </c>
      <c r="AH1544" s="405"/>
      <c r="AI1544" s="414" t="s">
        <v>1937</v>
      </c>
      <c r="AJ1544" s="405" t="s">
        <v>1323</v>
      </c>
      <c r="AK1544" s="425" t="s">
        <v>1136</v>
      </c>
      <c r="AL1544" s="405">
        <v>77041</v>
      </c>
      <c r="AM1544" s="405" t="s">
        <v>52</v>
      </c>
      <c r="AN1544" s="405" t="s">
        <v>1101</v>
      </c>
      <c r="AO1544" s="405"/>
      <c r="AP1544" s="417"/>
      <c r="AQ1544" s="417" t="s">
        <v>37</v>
      </c>
      <c r="AR1544" s="417"/>
      <c r="AS1544" s="426"/>
      <c r="AT1544" s="426"/>
      <c r="AU1544" s="409"/>
      <c r="AV1544" s="402">
        <f t="shared" si="334"/>
        <v>49405140</v>
      </c>
      <c r="AW1544" s="402" cm="1">
        <f t="array" ref="AW1544">SUM(MID(0&amp;AV1544,LARGE(INDEX(ISNUMBER(--MID(AV1544,ROW($1:$8),1))*ROW($1:$8),),ROW($1:$8))+1,1)*10^ROW($1:$8)/10)</f>
        <v>49405140</v>
      </c>
      <c r="AX1544" s="402" t="str">
        <f>VLOOKUP($AW1544,'Item Master Data'!$A:$F,3,FALSE)</f>
        <v>Q.PEAK DUO BLK ML G10+</v>
      </c>
      <c r="AY1544" s="402">
        <f>VLOOKUP($AW1544,'Item Master Data'!$A:$F,6,FALSE)</f>
        <v>400</v>
      </c>
      <c r="AZ1544" s="402">
        <f t="shared" si="335"/>
        <v>40</v>
      </c>
      <c r="BA1544" s="402">
        <f>VLOOKUP(AW1544,'Item Master Data'!$A:$G,7,FALSE)</f>
        <v>32</v>
      </c>
      <c r="BC1544" s="402">
        <f t="shared" si="336"/>
        <v>0</v>
      </c>
    </row>
    <row r="1545" spans="1:55" s="402" customFormat="1">
      <c r="A1545" s="403"/>
      <c r="B1545" s="446">
        <v>44616</v>
      </c>
      <c r="C1545" s="446">
        <v>44616</v>
      </c>
      <c r="D1545" s="416" t="s">
        <v>2480</v>
      </c>
      <c r="E1545" s="405"/>
      <c r="F1545" s="405"/>
      <c r="G1545" s="405">
        <v>2022</v>
      </c>
      <c r="H1545" s="405">
        <v>5</v>
      </c>
      <c r="I1545" s="405"/>
      <c r="J1545" s="406"/>
      <c r="K1545" s="414" t="s">
        <v>2690</v>
      </c>
      <c r="L1545" s="405" t="s">
        <v>1939</v>
      </c>
      <c r="M1545" s="418">
        <v>44615</v>
      </c>
      <c r="N1545" s="418">
        <v>44615</v>
      </c>
      <c r="O1545" s="418"/>
      <c r="P1545" s="406"/>
      <c r="Q1545" s="406"/>
      <c r="R1545" s="406"/>
      <c r="S1545" s="405" t="s">
        <v>1940</v>
      </c>
      <c r="T1545" s="405">
        <v>60</v>
      </c>
      <c r="U1545" s="405">
        <v>49405140</v>
      </c>
      <c r="V1545" s="405" t="s">
        <v>973</v>
      </c>
      <c r="W1545" s="405">
        <v>400</v>
      </c>
      <c r="X1545" s="407">
        <v>832</v>
      </c>
      <c r="Y1545" s="408">
        <f t="shared" ref="Y1545:Y1608" si="337">X1545*W1545</f>
        <v>332800</v>
      </c>
      <c r="Z1545" s="409">
        <f t="shared" si="331"/>
        <v>0.47</v>
      </c>
      <c r="AA1545" s="410">
        <f t="shared" si="330"/>
        <v>156416</v>
      </c>
      <c r="AB1545" s="411"/>
      <c r="AC1545" s="412">
        <f t="shared" si="332"/>
        <v>0</v>
      </c>
      <c r="AD1545" s="421"/>
      <c r="AE1545" s="413"/>
      <c r="AF1545" s="424">
        <f t="shared" si="333"/>
        <v>156416</v>
      </c>
      <c r="AG1545" s="405" t="s">
        <v>47</v>
      </c>
      <c r="AH1545" s="405"/>
      <c r="AI1545" s="414" t="s">
        <v>1937</v>
      </c>
      <c r="AJ1545" s="405" t="s">
        <v>1679</v>
      </c>
      <c r="AK1545" s="425" t="s">
        <v>50</v>
      </c>
      <c r="AL1545" s="405">
        <v>91764</v>
      </c>
      <c r="AM1545" s="405" t="s">
        <v>52</v>
      </c>
      <c r="AN1545" s="405" t="s">
        <v>1101</v>
      </c>
      <c r="AO1545" s="405"/>
      <c r="AP1545" s="417"/>
      <c r="AQ1545" s="417" t="s">
        <v>37</v>
      </c>
      <c r="AR1545" s="417"/>
      <c r="AS1545" s="426"/>
      <c r="AT1545" s="426"/>
      <c r="AU1545" s="409"/>
      <c r="AV1545" s="402">
        <f t="shared" si="334"/>
        <v>49405140</v>
      </c>
      <c r="AW1545" s="402" cm="1">
        <f t="array" ref="AW1545">SUM(MID(0&amp;AV1545,LARGE(INDEX(ISNUMBER(--MID(AV1545,ROW($1:$8),1))*ROW($1:$8),),ROW($1:$8))+1,1)*10^ROW($1:$8)/10)</f>
        <v>49405140</v>
      </c>
      <c r="AX1545" s="402" t="str">
        <f>VLOOKUP($AW1545,'Item Master Data'!$A:$F,3,FALSE)</f>
        <v>Q.PEAK DUO BLK ML G10+</v>
      </c>
      <c r="AY1545" s="402">
        <f>VLOOKUP($AW1545,'Item Master Data'!$A:$F,6,FALSE)</f>
        <v>400</v>
      </c>
      <c r="AZ1545" s="402">
        <f t="shared" si="335"/>
        <v>26</v>
      </c>
      <c r="BA1545" s="402">
        <f>VLOOKUP(AW1545,'Item Master Data'!$A:$G,7,FALSE)</f>
        <v>32</v>
      </c>
      <c r="BC1545" s="402">
        <f t="shared" si="336"/>
        <v>0</v>
      </c>
    </row>
    <row r="1546" spans="1:55" s="402" customFormat="1">
      <c r="A1546" s="403"/>
      <c r="B1546" s="446">
        <v>44616</v>
      </c>
      <c r="C1546" s="446">
        <v>44616</v>
      </c>
      <c r="D1546" s="416" t="s">
        <v>2480</v>
      </c>
      <c r="E1546" s="405"/>
      <c r="F1546" s="405"/>
      <c r="G1546" s="405">
        <v>2022</v>
      </c>
      <c r="H1546" s="405">
        <v>5</v>
      </c>
      <c r="I1546" s="405"/>
      <c r="J1546" s="406"/>
      <c r="K1546" s="414" t="s">
        <v>2691</v>
      </c>
      <c r="L1546" s="405" t="s">
        <v>1939</v>
      </c>
      <c r="M1546" s="418">
        <v>44615</v>
      </c>
      <c r="N1546" s="418">
        <v>44615</v>
      </c>
      <c r="O1546" s="418"/>
      <c r="P1546" s="406"/>
      <c r="Q1546" s="406"/>
      <c r="R1546" s="406"/>
      <c r="S1546" s="405" t="s">
        <v>1940</v>
      </c>
      <c r="T1546" s="405">
        <v>60</v>
      </c>
      <c r="U1546" s="405">
        <v>49405140</v>
      </c>
      <c r="V1546" s="405" t="s">
        <v>973</v>
      </c>
      <c r="W1546" s="405">
        <v>400</v>
      </c>
      <c r="X1546" s="407">
        <f>2496-1248</f>
        <v>1248</v>
      </c>
      <c r="Y1546" s="408">
        <f t="shared" si="337"/>
        <v>499200</v>
      </c>
      <c r="Z1546" s="409">
        <f t="shared" si="331"/>
        <v>0.47</v>
      </c>
      <c r="AA1546" s="410">
        <f t="shared" si="330"/>
        <v>234624</v>
      </c>
      <c r="AB1546" s="411"/>
      <c r="AC1546" s="412">
        <f t="shared" si="332"/>
        <v>0</v>
      </c>
      <c r="AD1546" s="421"/>
      <c r="AE1546" s="413"/>
      <c r="AF1546" s="424">
        <f t="shared" si="333"/>
        <v>234624</v>
      </c>
      <c r="AG1546" s="405" t="s">
        <v>47</v>
      </c>
      <c r="AH1546" s="405"/>
      <c r="AI1546" s="414" t="s">
        <v>1937</v>
      </c>
      <c r="AJ1546" s="405" t="s">
        <v>1959</v>
      </c>
      <c r="AK1546" s="425" t="s">
        <v>1081</v>
      </c>
      <c r="AL1546" s="405">
        <v>34741</v>
      </c>
      <c r="AM1546" s="405" t="s">
        <v>52</v>
      </c>
      <c r="AN1546" s="405" t="s">
        <v>1101</v>
      </c>
      <c r="AO1546" s="405"/>
      <c r="AP1546" s="417"/>
      <c r="AQ1546" s="417" t="s">
        <v>37</v>
      </c>
      <c r="AR1546" s="417"/>
      <c r="AS1546" s="426"/>
      <c r="AT1546" s="426"/>
      <c r="AU1546" s="409"/>
      <c r="AV1546" s="402">
        <f t="shared" si="334"/>
        <v>49405140</v>
      </c>
      <c r="AW1546" s="402" cm="1">
        <f t="array" ref="AW1546">SUM(MID(0&amp;AV1546,LARGE(INDEX(ISNUMBER(--MID(AV1546,ROW($1:$8),1))*ROW($1:$8),),ROW($1:$8))+1,1)*10^ROW($1:$8)/10)</f>
        <v>49405140</v>
      </c>
      <c r="AX1546" s="402" t="str">
        <f>VLOOKUP($AW1546,'Item Master Data'!$A:$F,3,FALSE)</f>
        <v>Q.PEAK DUO BLK ML G10+</v>
      </c>
      <c r="AY1546" s="402">
        <f>VLOOKUP($AW1546,'Item Master Data'!$A:$F,6,FALSE)</f>
        <v>400</v>
      </c>
      <c r="AZ1546" s="402">
        <f t="shared" si="335"/>
        <v>39</v>
      </c>
      <c r="BA1546" s="402">
        <f>VLOOKUP(AW1546,'Item Master Data'!$A:$G,7,FALSE)</f>
        <v>32</v>
      </c>
      <c r="BC1546" s="402">
        <f t="shared" si="336"/>
        <v>0</v>
      </c>
    </row>
    <row r="1547" spans="1:55" s="402" customFormat="1">
      <c r="A1547" s="403"/>
      <c r="B1547" s="446">
        <v>44616</v>
      </c>
      <c r="C1547" s="446">
        <v>44616</v>
      </c>
      <c r="D1547" s="416" t="s">
        <v>2480</v>
      </c>
      <c r="E1547" s="405"/>
      <c r="F1547" s="405"/>
      <c r="G1547" s="405">
        <v>2022</v>
      </c>
      <c r="H1547" s="405">
        <v>5</v>
      </c>
      <c r="I1547" s="405"/>
      <c r="J1547" s="406"/>
      <c r="K1547" s="414" t="s">
        <v>2692</v>
      </c>
      <c r="L1547" s="405" t="s">
        <v>1939</v>
      </c>
      <c r="M1547" s="418">
        <v>44615</v>
      </c>
      <c r="N1547" s="418">
        <v>44615</v>
      </c>
      <c r="O1547" s="418"/>
      <c r="P1547" s="406"/>
      <c r="Q1547" s="406"/>
      <c r="R1547" s="406"/>
      <c r="S1547" s="405" t="s">
        <v>1940</v>
      </c>
      <c r="T1547" s="405">
        <v>60</v>
      </c>
      <c r="U1547" s="405">
        <v>49405140</v>
      </c>
      <c r="V1547" s="405" t="s">
        <v>973</v>
      </c>
      <c r="W1547" s="405">
        <v>400</v>
      </c>
      <c r="X1547" s="407">
        <v>640</v>
      </c>
      <c r="Y1547" s="408">
        <f t="shared" si="337"/>
        <v>256000</v>
      </c>
      <c r="Z1547" s="409">
        <f t="shared" si="331"/>
        <v>0.47</v>
      </c>
      <c r="AA1547" s="410">
        <f t="shared" si="330"/>
        <v>120320</v>
      </c>
      <c r="AB1547" s="411"/>
      <c r="AC1547" s="412">
        <f t="shared" si="332"/>
        <v>0</v>
      </c>
      <c r="AD1547" s="421"/>
      <c r="AE1547" s="413"/>
      <c r="AF1547" s="424">
        <f t="shared" si="333"/>
        <v>120320</v>
      </c>
      <c r="AG1547" s="405" t="s">
        <v>47</v>
      </c>
      <c r="AH1547" s="405"/>
      <c r="AI1547" s="414" t="s">
        <v>1937</v>
      </c>
      <c r="AJ1547" s="405" t="s">
        <v>1957</v>
      </c>
      <c r="AK1547" s="425" t="s">
        <v>1148</v>
      </c>
      <c r="AL1547" s="405">
        <v>27560</v>
      </c>
      <c r="AM1547" s="405" t="s">
        <v>52</v>
      </c>
      <c r="AN1547" s="405" t="s">
        <v>1101</v>
      </c>
      <c r="AO1547" s="405"/>
      <c r="AP1547" s="417"/>
      <c r="AQ1547" s="417" t="s">
        <v>37</v>
      </c>
      <c r="AR1547" s="417"/>
      <c r="AS1547" s="426"/>
      <c r="AT1547" s="426"/>
      <c r="AU1547" s="409"/>
      <c r="AV1547" s="402">
        <f t="shared" si="334"/>
        <v>49405140</v>
      </c>
      <c r="AW1547" s="402" cm="1">
        <f t="array" ref="AW1547">SUM(MID(0&amp;AV1547,LARGE(INDEX(ISNUMBER(--MID(AV1547,ROW($1:$8),1))*ROW($1:$8),),ROW($1:$8))+1,1)*10^ROW($1:$8)/10)</f>
        <v>49405140</v>
      </c>
      <c r="AX1547" s="402" t="str">
        <f>VLOOKUP($AW1547,'Item Master Data'!$A:$F,3,FALSE)</f>
        <v>Q.PEAK DUO BLK ML G10+</v>
      </c>
      <c r="AY1547" s="402">
        <f>VLOOKUP($AW1547,'Item Master Data'!$A:$F,6,FALSE)</f>
        <v>400</v>
      </c>
      <c r="AZ1547" s="402">
        <f t="shared" si="335"/>
        <v>20</v>
      </c>
      <c r="BA1547" s="402">
        <f>VLOOKUP(AW1547,'Item Master Data'!$A:$G,7,FALSE)</f>
        <v>32</v>
      </c>
      <c r="BC1547" s="402">
        <f t="shared" si="336"/>
        <v>0</v>
      </c>
    </row>
    <row r="1548" spans="1:55" s="402" customFormat="1">
      <c r="A1548" s="403"/>
      <c r="B1548" s="446">
        <v>44616</v>
      </c>
      <c r="C1548" s="446">
        <v>44616</v>
      </c>
      <c r="D1548" s="416" t="s">
        <v>2480</v>
      </c>
      <c r="E1548" s="405"/>
      <c r="F1548" s="405"/>
      <c r="G1548" s="405">
        <v>2022</v>
      </c>
      <c r="H1548" s="405">
        <v>5</v>
      </c>
      <c r="I1548" s="405"/>
      <c r="J1548" s="406"/>
      <c r="K1548" s="414" t="s">
        <v>2693</v>
      </c>
      <c r="L1548" s="405" t="s">
        <v>1939</v>
      </c>
      <c r="M1548" s="418">
        <v>44615</v>
      </c>
      <c r="N1548" s="418">
        <v>44615</v>
      </c>
      <c r="O1548" s="418"/>
      <c r="P1548" s="406"/>
      <c r="Q1548" s="406"/>
      <c r="R1548" s="406"/>
      <c r="S1548" s="405" t="s">
        <v>1940</v>
      </c>
      <c r="T1548" s="405">
        <v>60</v>
      </c>
      <c r="U1548" s="405">
        <v>49405140</v>
      </c>
      <c r="V1548" s="405" t="s">
        <v>973</v>
      </c>
      <c r="W1548" s="405">
        <v>400</v>
      </c>
      <c r="X1548" s="407">
        <v>832</v>
      </c>
      <c r="Y1548" s="408">
        <f t="shared" si="337"/>
        <v>332800</v>
      </c>
      <c r="Z1548" s="409">
        <f t="shared" si="331"/>
        <v>0.47</v>
      </c>
      <c r="AA1548" s="410">
        <f t="shared" si="330"/>
        <v>156416</v>
      </c>
      <c r="AB1548" s="411"/>
      <c r="AC1548" s="412">
        <f t="shared" si="332"/>
        <v>0</v>
      </c>
      <c r="AD1548" s="421"/>
      <c r="AE1548" s="413"/>
      <c r="AF1548" s="424">
        <f t="shared" si="333"/>
        <v>156416</v>
      </c>
      <c r="AG1548" s="405" t="s">
        <v>47</v>
      </c>
      <c r="AH1548" s="405"/>
      <c r="AI1548" s="414" t="s">
        <v>1937</v>
      </c>
      <c r="AJ1548" s="405" t="s">
        <v>1958</v>
      </c>
      <c r="AK1548" s="425" t="s">
        <v>1136</v>
      </c>
      <c r="AL1548" s="405">
        <v>78219</v>
      </c>
      <c r="AM1548" s="405" t="s">
        <v>52</v>
      </c>
      <c r="AN1548" s="405" t="s">
        <v>1101</v>
      </c>
      <c r="AO1548" s="405"/>
      <c r="AP1548" s="417"/>
      <c r="AQ1548" s="417" t="s">
        <v>37</v>
      </c>
      <c r="AR1548" s="417"/>
      <c r="AS1548" s="426"/>
      <c r="AT1548" s="426"/>
      <c r="AU1548" s="409"/>
      <c r="AV1548" s="402">
        <f t="shared" si="334"/>
        <v>49405140</v>
      </c>
      <c r="AW1548" s="402" cm="1">
        <f t="array" ref="AW1548">SUM(MID(0&amp;AV1548,LARGE(INDEX(ISNUMBER(--MID(AV1548,ROW($1:$8),1))*ROW($1:$8),),ROW($1:$8))+1,1)*10^ROW($1:$8)/10)</f>
        <v>49405140</v>
      </c>
      <c r="AX1548" s="402" t="str">
        <f>VLOOKUP($AW1548,'Item Master Data'!$A:$F,3,FALSE)</f>
        <v>Q.PEAK DUO BLK ML G10+</v>
      </c>
      <c r="AY1548" s="402">
        <f>VLOOKUP($AW1548,'Item Master Data'!$A:$F,6,FALSE)</f>
        <v>400</v>
      </c>
      <c r="AZ1548" s="402">
        <f t="shared" si="335"/>
        <v>26</v>
      </c>
      <c r="BA1548" s="402">
        <f>VLOOKUP(AW1548,'Item Master Data'!$A:$G,7,FALSE)</f>
        <v>32</v>
      </c>
      <c r="BC1548" s="402">
        <f t="shared" si="336"/>
        <v>0</v>
      </c>
    </row>
    <row r="1549" spans="1:55" s="402" customFormat="1">
      <c r="A1549" s="403"/>
      <c r="B1549" s="446">
        <v>44616</v>
      </c>
      <c r="C1549" s="446">
        <v>44616</v>
      </c>
      <c r="D1549" s="416" t="s">
        <v>2480</v>
      </c>
      <c r="E1549" s="405"/>
      <c r="F1549" s="405"/>
      <c r="G1549" s="405">
        <v>2022</v>
      </c>
      <c r="H1549" s="405">
        <v>5</v>
      </c>
      <c r="I1549" s="405"/>
      <c r="J1549" s="406"/>
      <c r="K1549" s="414" t="s">
        <v>2694</v>
      </c>
      <c r="L1549" s="405" t="s">
        <v>1939</v>
      </c>
      <c r="M1549" s="418">
        <v>44615</v>
      </c>
      <c r="N1549" s="418">
        <v>44615</v>
      </c>
      <c r="O1549" s="418"/>
      <c r="P1549" s="406"/>
      <c r="Q1549" s="406"/>
      <c r="R1549" s="406"/>
      <c r="S1549" s="405" t="s">
        <v>1940</v>
      </c>
      <c r="T1549" s="405">
        <v>60</v>
      </c>
      <c r="U1549" s="405">
        <v>49405140</v>
      </c>
      <c r="V1549" s="405" t="s">
        <v>973</v>
      </c>
      <c r="W1549" s="405">
        <v>400</v>
      </c>
      <c r="X1549" s="407">
        <v>832</v>
      </c>
      <c r="Y1549" s="408">
        <f t="shared" si="337"/>
        <v>332800</v>
      </c>
      <c r="Z1549" s="409">
        <f t="shared" si="331"/>
        <v>0.47</v>
      </c>
      <c r="AA1549" s="410">
        <f t="shared" ref="AA1549:AA1612" si="338">Z1549*Y1549</f>
        <v>156416</v>
      </c>
      <c r="AB1549" s="411"/>
      <c r="AC1549" s="412">
        <f t="shared" si="332"/>
        <v>0</v>
      </c>
      <c r="AD1549" s="421"/>
      <c r="AE1549" s="413"/>
      <c r="AF1549" s="424">
        <f t="shared" si="333"/>
        <v>156416</v>
      </c>
      <c r="AG1549" s="405" t="s">
        <v>47</v>
      </c>
      <c r="AH1549" s="405"/>
      <c r="AI1549" s="414" t="s">
        <v>1937</v>
      </c>
      <c r="AJ1549" s="405" t="s">
        <v>1762</v>
      </c>
      <c r="AK1549" s="425" t="s">
        <v>50</v>
      </c>
      <c r="AL1549" s="405">
        <v>95206</v>
      </c>
      <c r="AM1549" s="405" t="s">
        <v>52</v>
      </c>
      <c r="AN1549" s="405" t="s">
        <v>1101</v>
      </c>
      <c r="AO1549" s="405"/>
      <c r="AP1549" s="417"/>
      <c r="AQ1549" s="417" t="s">
        <v>37</v>
      </c>
      <c r="AR1549" s="417"/>
      <c r="AS1549" s="426"/>
      <c r="AT1549" s="426"/>
      <c r="AU1549" s="409"/>
      <c r="AV1549" s="402">
        <f t="shared" si="334"/>
        <v>49405140</v>
      </c>
      <c r="AW1549" s="402" cm="1">
        <f t="array" ref="AW1549">SUM(MID(0&amp;AV1549,LARGE(INDEX(ISNUMBER(--MID(AV1549,ROW($1:$8),1))*ROW($1:$8),),ROW($1:$8))+1,1)*10^ROW($1:$8)/10)</f>
        <v>49405140</v>
      </c>
      <c r="AX1549" s="402" t="str">
        <f>VLOOKUP($AW1549,'Item Master Data'!$A:$F,3,FALSE)</f>
        <v>Q.PEAK DUO BLK ML G10+</v>
      </c>
      <c r="AY1549" s="402">
        <f>VLOOKUP($AW1549,'Item Master Data'!$A:$F,6,FALSE)</f>
        <v>400</v>
      </c>
      <c r="AZ1549" s="402">
        <f t="shared" si="335"/>
        <v>26</v>
      </c>
      <c r="BA1549" s="402">
        <f>VLOOKUP(AW1549,'Item Master Data'!$A:$G,7,FALSE)</f>
        <v>32</v>
      </c>
      <c r="BC1549" s="402">
        <f t="shared" si="336"/>
        <v>0</v>
      </c>
    </row>
    <row r="1550" spans="1:55" s="402" customFormat="1">
      <c r="A1550" s="403"/>
      <c r="B1550" s="446">
        <v>44616</v>
      </c>
      <c r="C1550" s="446">
        <v>44616</v>
      </c>
      <c r="D1550" s="416" t="s">
        <v>2480</v>
      </c>
      <c r="E1550" s="405"/>
      <c r="F1550" s="405"/>
      <c r="G1550" s="405">
        <v>2022</v>
      </c>
      <c r="H1550" s="405">
        <v>5</v>
      </c>
      <c r="I1550" s="405"/>
      <c r="J1550" s="406"/>
      <c r="K1550" s="414" t="s">
        <v>2695</v>
      </c>
      <c r="L1550" s="405" t="s">
        <v>1939</v>
      </c>
      <c r="M1550" s="418">
        <v>44615</v>
      </c>
      <c r="N1550" s="418">
        <v>44615</v>
      </c>
      <c r="O1550" s="418"/>
      <c r="P1550" s="406"/>
      <c r="Q1550" s="406"/>
      <c r="R1550" s="406"/>
      <c r="S1550" s="405" t="s">
        <v>1940</v>
      </c>
      <c r="T1550" s="405">
        <v>60</v>
      </c>
      <c r="U1550" s="405">
        <v>49405140</v>
      </c>
      <c r="V1550" s="405" t="s">
        <v>973</v>
      </c>
      <c r="W1550" s="405">
        <v>400</v>
      </c>
      <c r="X1550" s="407">
        <v>800</v>
      </c>
      <c r="Y1550" s="408">
        <f t="shared" si="337"/>
        <v>320000</v>
      </c>
      <c r="Z1550" s="409">
        <f t="shared" si="331"/>
        <v>0.47</v>
      </c>
      <c r="AA1550" s="410">
        <f t="shared" si="338"/>
        <v>150400</v>
      </c>
      <c r="AB1550" s="411"/>
      <c r="AC1550" s="412">
        <f t="shared" si="332"/>
        <v>0</v>
      </c>
      <c r="AD1550" s="421"/>
      <c r="AE1550" s="413"/>
      <c r="AF1550" s="424">
        <f t="shared" si="333"/>
        <v>150400</v>
      </c>
      <c r="AG1550" s="405" t="s">
        <v>47</v>
      </c>
      <c r="AH1550" s="405"/>
      <c r="AI1550" s="414" t="s">
        <v>1937</v>
      </c>
      <c r="AJ1550" s="405" t="s">
        <v>1947</v>
      </c>
      <c r="AK1550" s="425" t="s">
        <v>1081</v>
      </c>
      <c r="AL1550" s="405">
        <v>33762</v>
      </c>
      <c r="AM1550" s="405" t="s">
        <v>52</v>
      </c>
      <c r="AN1550" s="405" t="s">
        <v>1101</v>
      </c>
      <c r="AO1550" s="405"/>
      <c r="AP1550" s="417"/>
      <c r="AQ1550" s="417" t="s">
        <v>37</v>
      </c>
      <c r="AR1550" s="417"/>
      <c r="AS1550" s="426"/>
      <c r="AT1550" s="426"/>
      <c r="AU1550" s="409"/>
    </row>
    <row r="1551" spans="1:55" s="402" customFormat="1">
      <c r="A1551" s="403"/>
      <c r="B1551" s="446">
        <v>44616</v>
      </c>
      <c r="C1551" s="446">
        <v>44616</v>
      </c>
      <c r="D1551" s="416" t="s">
        <v>2480</v>
      </c>
      <c r="E1551" s="405"/>
      <c r="F1551" s="405"/>
      <c r="G1551" s="405">
        <v>2022</v>
      </c>
      <c r="H1551" s="405">
        <v>5</v>
      </c>
      <c r="I1551" s="405"/>
      <c r="J1551" s="406"/>
      <c r="K1551" s="414" t="s">
        <v>2696</v>
      </c>
      <c r="L1551" s="405" t="s">
        <v>1939</v>
      </c>
      <c r="M1551" s="418">
        <v>44615</v>
      </c>
      <c r="N1551" s="418">
        <v>44615</v>
      </c>
      <c r="O1551" s="418"/>
      <c r="P1551" s="406"/>
      <c r="Q1551" s="406"/>
      <c r="R1551" s="406"/>
      <c r="S1551" s="405" t="s">
        <v>1940</v>
      </c>
      <c r="T1551" s="405">
        <v>60</v>
      </c>
      <c r="U1551" s="405">
        <v>49405140</v>
      </c>
      <c r="V1551" s="405" t="s">
        <v>973</v>
      </c>
      <c r="W1551" s="405">
        <v>400</v>
      </c>
      <c r="X1551" s="407">
        <v>1408</v>
      </c>
      <c r="Y1551" s="408">
        <f t="shared" si="337"/>
        <v>563200</v>
      </c>
      <c r="Z1551" s="409">
        <f t="shared" si="331"/>
        <v>0.47</v>
      </c>
      <c r="AA1551" s="410">
        <f t="shared" si="338"/>
        <v>264704</v>
      </c>
      <c r="AB1551" s="411"/>
      <c r="AC1551" s="412">
        <f t="shared" si="332"/>
        <v>0</v>
      </c>
      <c r="AD1551" s="421"/>
      <c r="AE1551" s="413"/>
      <c r="AF1551" s="424">
        <f t="shared" si="333"/>
        <v>264704</v>
      </c>
      <c r="AG1551" s="405" t="s">
        <v>47</v>
      </c>
      <c r="AH1551" s="405"/>
      <c r="AI1551" s="414" t="s">
        <v>1937</v>
      </c>
      <c r="AJ1551" s="405" t="s">
        <v>1948</v>
      </c>
      <c r="AK1551" s="425" t="s">
        <v>1125</v>
      </c>
      <c r="AL1551" s="405">
        <v>85714</v>
      </c>
      <c r="AM1551" s="405" t="s">
        <v>52</v>
      </c>
      <c r="AN1551" s="405" t="s">
        <v>1101</v>
      </c>
      <c r="AO1551" s="405"/>
      <c r="AP1551" s="417"/>
      <c r="AQ1551" s="417" t="s">
        <v>37</v>
      </c>
      <c r="AR1551" s="417"/>
      <c r="AS1551" s="426"/>
      <c r="AT1551" s="426"/>
      <c r="AU1551" s="409"/>
    </row>
    <row r="1552" spans="1:55" s="402" customFormat="1">
      <c r="A1552" s="403"/>
      <c r="B1552" s="446">
        <v>44616</v>
      </c>
      <c r="C1552" s="446">
        <v>44616</v>
      </c>
      <c r="D1552" s="416" t="s">
        <v>2480</v>
      </c>
      <c r="E1552" s="405"/>
      <c r="F1552" s="405"/>
      <c r="G1552" s="405">
        <v>2022</v>
      </c>
      <c r="H1552" s="405">
        <v>5</v>
      </c>
      <c r="I1552" s="405">
        <v>128553</v>
      </c>
      <c r="J1552" s="406">
        <v>44683</v>
      </c>
      <c r="K1552" s="414" t="s">
        <v>2710</v>
      </c>
      <c r="L1552" s="405" t="s">
        <v>1939</v>
      </c>
      <c r="M1552" s="418">
        <v>44615</v>
      </c>
      <c r="N1552" s="418">
        <v>44615</v>
      </c>
      <c r="O1552" s="418"/>
      <c r="P1552" s="406">
        <v>44666</v>
      </c>
      <c r="Q1552" s="406">
        <v>44680</v>
      </c>
      <c r="R1552" s="406">
        <v>44683</v>
      </c>
      <c r="S1552" s="405" t="s">
        <v>1940</v>
      </c>
      <c r="T1552" s="405">
        <v>60</v>
      </c>
      <c r="U1552" s="405" t="s">
        <v>1237</v>
      </c>
      <c r="V1552" s="405" t="s">
        <v>973</v>
      </c>
      <c r="W1552" s="405">
        <v>400</v>
      </c>
      <c r="X1552" s="407">
        <v>640</v>
      </c>
      <c r="Y1552" s="408">
        <f t="shared" si="337"/>
        <v>256000</v>
      </c>
      <c r="Z1552" s="409">
        <f t="shared" si="331"/>
        <v>0.47</v>
      </c>
      <c r="AA1552" s="410">
        <f t="shared" si="338"/>
        <v>120320</v>
      </c>
      <c r="AB1552" s="411"/>
      <c r="AC1552" s="412">
        <f t="shared" si="332"/>
        <v>0</v>
      </c>
      <c r="AD1552" s="421"/>
      <c r="AE1552" s="413"/>
      <c r="AF1552" s="424">
        <f t="shared" si="333"/>
        <v>120320</v>
      </c>
      <c r="AG1552" s="405" t="s">
        <v>47</v>
      </c>
      <c r="AH1552" s="405"/>
      <c r="AI1552" s="414" t="s">
        <v>1937</v>
      </c>
      <c r="AJ1552" s="405" t="s">
        <v>1933</v>
      </c>
      <c r="AK1552" s="425" t="s">
        <v>1328</v>
      </c>
      <c r="AL1552" s="405">
        <v>89118</v>
      </c>
      <c r="AM1552" s="405" t="s">
        <v>52</v>
      </c>
      <c r="AN1552" s="405" t="s">
        <v>50</v>
      </c>
      <c r="AO1552" s="405"/>
      <c r="AP1552" s="417"/>
      <c r="AQ1552" s="417" t="s">
        <v>37</v>
      </c>
      <c r="AR1552" s="417"/>
      <c r="AS1552" s="426"/>
      <c r="AT1552" s="426"/>
      <c r="AU1552" s="409"/>
    </row>
    <row r="1553" spans="1:55" s="402" customFormat="1">
      <c r="A1553" s="403"/>
      <c r="B1553" s="446">
        <v>44616</v>
      </c>
      <c r="C1553" s="446">
        <v>44616</v>
      </c>
      <c r="D1553" s="416" t="s">
        <v>2480</v>
      </c>
      <c r="E1553" s="405"/>
      <c r="F1553" s="405"/>
      <c r="G1553" s="405">
        <v>2022</v>
      </c>
      <c r="H1553" s="405">
        <v>5</v>
      </c>
      <c r="I1553" s="405"/>
      <c r="J1553" s="406"/>
      <c r="K1553" s="414" t="s">
        <v>2697</v>
      </c>
      <c r="L1553" s="405" t="s">
        <v>1939</v>
      </c>
      <c r="M1553" s="418">
        <v>44615</v>
      </c>
      <c r="N1553" s="418">
        <v>44615</v>
      </c>
      <c r="O1553" s="418"/>
      <c r="P1553" s="406"/>
      <c r="Q1553" s="406"/>
      <c r="R1553" s="406"/>
      <c r="S1553" s="405" t="s">
        <v>1940</v>
      </c>
      <c r="T1553" s="405">
        <v>60</v>
      </c>
      <c r="U1553" s="405">
        <v>49405140</v>
      </c>
      <c r="V1553" s="405" t="s">
        <v>973</v>
      </c>
      <c r="W1553" s="405">
        <v>400</v>
      </c>
      <c r="X1553" s="407">
        <v>832</v>
      </c>
      <c r="Y1553" s="408">
        <f t="shared" si="337"/>
        <v>332800</v>
      </c>
      <c r="Z1553" s="409">
        <f t="shared" si="331"/>
        <v>0.47</v>
      </c>
      <c r="AA1553" s="410">
        <f t="shared" si="338"/>
        <v>156416</v>
      </c>
      <c r="AB1553" s="411"/>
      <c r="AC1553" s="412">
        <f t="shared" si="332"/>
        <v>0</v>
      </c>
      <c r="AD1553" s="421"/>
      <c r="AE1553" s="413"/>
      <c r="AF1553" s="424">
        <f t="shared" si="333"/>
        <v>156416</v>
      </c>
      <c r="AG1553" s="405" t="s">
        <v>47</v>
      </c>
      <c r="AH1553" s="405"/>
      <c r="AI1553" s="414" t="s">
        <v>1937</v>
      </c>
      <c r="AJ1553" s="405" t="s">
        <v>1949</v>
      </c>
      <c r="AK1553" s="425" t="s">
        <v>1125</v>
      </c>
      <c r="AL1553" s="405">
        <v>85365</v>
      </c>
      <c r="AM1553" s="405" t="s">
        <v>52</v>
      </c>
      <c r="AN1553" s="405" t="s">
        <v>1101</v>
      </c>
      <c r="AO1553" s="405"/>
      <c r="AP1553" s="417"/>
      <c r="AQ1553" s="417" t="s">
        <v>37</v>
      </c>
      <c r="AR1553" s="417"/>
      <c r="AS1553" s="426"/>
      <c r="AT1553" s="426"/>
      <c r="AU1553" s="409"/>
      <c r="AV1553" s="402">
        <f>U1553</f>
        <v>49405140</v>
      </c>
      <c r="AW1553" s="402" cm="1">
        <f t="array" ref="AW1553">SUM(MID(0&amp;AV1553,LARGE(INDEX(ISNUMBER(--MID(AV1553,ROW($1:$8),1))*ROW($1:$8),),ROW($1:$8))+1,1)*10^ROW($1:$8)/10)</f>
        <v>49405140</v>
      </c>
      <c r="AX1553" s="402" t="str">
        <f>VLOOKUP($AW1553,'Item Master Data'!$A:$F,3,FALSE)</f>
        <v>Q.PEAK DUO BLK ML G10+</v>
      </c>
      <c r="AY1553" s="402">
        <f>VLOOKUP($AW1553,'Item Master Data'!$A:$F,6,FALSE)</f>
        <v>400</v>
      </c>
      <c r="AZ1553" s="402">
        <f>X1553/BA1553</f>
        <v>26</v>
      </c>
      <c r="BA1553" s="402">
        <f>VLOOKUP(AW1553,'Item Master Data'!$A:$G,7,FALSE)</f>
        <v>32</v>
      </c>
      <c r="BC1553" s="402">
        <f>W1553-AY1553</f>
        <v>0</v>
      </c>
    </row>
    <row r="1554" spans="1:55" s="402" customFormat="1">
      <c r="A1554" s="403"/>
      <c r="B1554" s="446">
        <v>44616</v>
      </c>
      <c r="C1554" s="446">
        <v>44616</v>
      </c>
      <c r="D1554" s="416" t="s">
        <v>2480</v>
      </c>
      <c r="E1554" s="405" t="s">
        <v>2576</v>
      </c>
      <c r="F1554" s="405"/>
      <c r="G1554" s="448">
        <v>2022</v>
      </c>
      <c r="H1554" s="448">
        <v>5</v>
      </c>
      <c r="I1554" s="448"/>
      <c r="J1554" s="449"/>
      <c r="K1554" s="529" t="s">
        <v>2699</v>
      </c>
      <c r="L1554" s="448" t="s">
        <v>1939</v>
      </c>
      <c r="M1554" s="530">
        <v>44615</v>
      </c>
      <c r="N1554" s="530">
        <v>44615</v>
      </c>
      <c r="O1554" s="530"/>
      <c r="P1554" s="449"/>
      <c r="Q1554" s="449"/>
      <c r="R1554" s="449"/>
      <c r="S1554" s="448" t="s">
        <v>1940</v>
      </c>
      <c r="T1554" s="448">
        <v>60</v>
      </c>
      <c r="U1554" s="448">
        <v>49401140</v>
      </c>
      <c r="V1554" s="448" t="s">
        <v>973</v>
      </c>
      <c r="W1554" s="448">
        <v>400</v>
      </c>
      <c r="X1554" s="450">
        <f>62500-4992-3328-1664-1664-2560-1280-1280-832-640-640-1280-3328-2560-1664-1664-832-416-9984-1664-2816-4992-3328-1664-1664-1664-832-416-832-640-832-640+512+992+480+416+416+192+224+224-192+224+224+448+992+1504+416+416+1856+416+864+416</f>
        <v>10948</v>
      </c>
      <c r="Y1554" s="486">
        <f t="shared" si="337"/>
        <v>4379200</v>
      </c>
      <c r="Z1554" s="409">
        <f t="shared" si="331"/>
        <v>0.47</v>
      </c>
      <c r="AA1554" s="410">
        <f t="shared" si="338"/>
        <v>2058223.9999999998</v>
      </c>
      <c r="AB1554" s="411"/>
      <c r="AC1554" s="412">
        <f t="shared" si="332"/>
        <v>0</v>
      </c>
      <c r="AD1554" s="421"/>
      <c r="AE1554" s="413"/>
      <c r="AF1554" s="424">
        <f t="shared" si="333"/>
        <v>2058223.9999999998</v>
      </c>
      <c r="AG1554" s="405" t="s">
        <v>47</v>
      </c>
      <c r="AH1554" s="405"/>
      <c r="AI1554" s="414" t="s">
        <v>1937</v>
      </c>
      <c r="AJ1554" s="405" t="s">
        <v>1124</v>
      </c>
      <c r="AK1554" s="425" t="s">
        <v>1125</v>
      </c>
      <c r="AL1554" s="405">
        <v>85210</v>
      </c>
      <c r="AM1554" s="405" t="s">
        <v>52</v>
      </c>
      <c r="AN1554" s="405" t="s">
        <v>1101</v>
      </c>
      <c r="AO1554" s="405"/>
      <c r="AP1554" s="417"/>
      <c r="AQ1554" s="417" t="s">
        <v>37</v>
      </c>
      <c r="AR1554" s="417"/>
      <c r="AS1554" s="426"/>
      <c r="AT1554" s="426"/>
      <c r="AU1554" s="409"/>
    </row>
    <row r="1555" spans="1:55" s="402" customFormat="1">
      <c r="A1555" s="403"/>
      <c r="B1555" s="446">
        <v>44616</v>
      </c>
      <c r="C1555" s="446">
        <v>44616</v>
      </c>
      <c r="D1555" s="416" t="s">
        <v>2480</v>
      </c>
      <c r="E1555" s="405"/>
      <c r="F1555" s="405"/>
      <c r="G1555" s="448">
        <v>2022</v>
      </c>
      <c r="H1555" s="448">
        <v>5</v>
      </c>
      <c r="I1555" s="448"/>
      <c r="J1555" s="449"/>
      <c r="K1555" s="529" t="s">
        <v>4194</v>
      </c>
      <c r="L1555" s="448" t="s">
        <v>1939</v>
      </c>
      <c r="M1555" s="530">
        <v>44615</v>
      </c>
      <c r="N1555" s="530">
        <v>44615</v>
      </c>
      <c r="O1555" s="530"/>
      <c r="P1555" s="449"/>
      <c r="Q1555" s="449"/>
      <c r="R1555" s="449"/>
      <c r="S1555" s="448" t="s">
        <v>1940</v>
      </c>
      <c r="T1555" s="448">
        <v>60</v>
      </c>
      <c r="U1555" s="448">
        <v>49405140</v>
      </c>
      <c r="V1555" s="448" t="s">
        <v>973</v>
      </c>
      <c r="W1555" s="448">
        <v>400</v>
      </c>
      <c r="X1555" s="450">
        <v>640</v>
      </c>
      <c r="Y1555" s="486">
        <f t="shared" si="337"/>
        <v>256000</v>
      </c>
      <c r="Z1555" s="409">
        <f t="shared" si="331"/>
        <v>0.47</v>
      </c>
      <c r="AA1555" s="410">
        <f t="shared" si="338"/>
        <v>120320</v>
      </c>
      <c r="AB1555" s="411"/>
      <c r="AC1555" s="412">
        <f t="shared" si="332"/>
        <v>0</v>
      </c>
      <c r="AD1555" s="421"/>
      <c r="AE1555" s="413"/>
      <c r="AF1555" s="424">
        <f t="shared" si="333"/>
        <v>120320</v>
      </c>
      <c r="AG1555" s="405" t="s">
        <v>47</v>
      </c>
      <c r="AH1555" s="405"/>
      <c r="AI1555" s="414" t="s">
        <v>1937</v>
      </c>
      <c r="AJ1555" s="405" t="s">
        <v>2709</v>
      </c>
      <c r="AK1555" s="425" t="s">
        <v>1071</v>
      </c>
      <c r="AL1555" s="405">
        <v>30909</v>
      </c>
      <c r="AM1555" s="405" t="s">
        <v>52</v>
      </c>
      <c r="AN1555" s="405" t="s">
        <v>1101</v>
      </c>
      <c r="AO1555" s="405"/>
      <c r="AP1555" s="417"/>
      <c r="AQ1555" s="417" t="s">
        <v>37</v>
      </c>
      <c r="AR1555" s="417"/>
      <c r="AS1555" s="426"/>
      <c r="AT1555" s="426"/>
      <c r="AU1555" s="409"/>
      <c r="AV1555" s="402">
        <f>U1555</f>
        <v>49405140</v>
      </c>
      <c r="AW1555" s="402" cm="1">
        <f t="array" ref="AW1555">SUM(MID(0&amp;AV1555,LARGE(INDEX(ISNUMBER(--MID(AV1555,ROW($1:$8),1))*ROW($1:$8),),ROW($1:$8))+1,1)*10^ROW($1:$8)/10)</f>
        <v>49405140</v>
      </c>
      <c r="AX1555" s="402" t="str">
        <f>VLOOKUP($AW1555,'Item Master Data'!$A:$F,3,FALSE)</f>
        <v>Q.PEAK DUO BLK ML G10+</v>
      </c>
      <c r="AY1555" s="402">
        <f>VLOOKUP($AW1555,'Item Master Data'!$A:$F,6,FALSE)</f>
        <v>400</v>
      </c>
      <c r="AZ1555" s="402">
        <f>X1555/BA1555</f>
        <v>20</v>
      </c>
      <c r="BA1555" s="402">
        <f>VLOOKUP(AW1555,'Item Master Data'!$A:$G,7,FALSE)</f>
        <v>32</v>
      </c>
      <c r="BC1555" s="402">
        <f>W1555-AY1555</f>
        <v>0</v>
      </c>
    </row>
    <row r="1556" spans="1:55" s="402" customFormat="1">
      <c r="A1556" s="403">
        <v>3</v>
      </c>
      <c r="B1556" s="446">
        <v>44616</v>
      </c>
      <c r="C1556" s="446">
        <v>44616</v>
      </c>
      <c r="D1556" s="416" t="s">
        <v>2480</v>
      </c>
      <c r="E1556" s="405"/>
      <c r="F1556" s="405"/>
      <c r="G1556" s="500">
        <v>2022</v>
      </c>
      <c r="H1556" s="500">
        <v>5</v>
      </c>
      <c r="I1556" s="500"/>
      <c r="J1556" s="501"/>
      <c r="K1556" s="502" t="s">
        <v>4168</v>
      </c>
      <c r="L1556" s="500" t="s">
        <v>1939</v>
      </c>
      <c r="M1556" s="418">
        <v>44615</v>
      </c>
      <c r="N1556" s="418">
        <v>44615</v>
      </c>
      <c r="O1556" s="418"/>
      <c r="P1556" s="406">
        <v>44694</v>
      </c>
      <c r="Q1556" s="406"/>
      <c r="R1556" s="406"/>
      <c r="S1556" s="405" t="s">
        <v>1940</v>
      </c>
      <c r="T1556" s="405">
        <v>60</v>
      </c>
      <c r="U1556" s="405" t="s">
        <v>1237</v>
      </c>
      <c r="V1556" s="405" t="s">
        <v>973</v>
      </c>
      <c r="W1556" s="405">
        <v>400</v>
      </c>
      <c r="X1556" s="407">
        <f>832-416</f>
        <v>416</v>
      </c>
      <c r="Y1556" s="408">
        <f t="shared" si="337"/>
        <v>166400</v>
      </c>
      <c r="Z1556" s="409">
        <f t="shared" si="331"/>
        <v>0.47</v>
      </c>
      <c r="AA1556" s="410">
        <f t="shared" si="338"/>
        <v>78208</v>
      </c>
      <c r="AB1556" s="411"/>
      <c r="AC1556" s="412">
        <f t="shared" si="332"/>
        <v>0</v>
      </c>
      <c r="AD1556" s="421"/>
      <c r="AE1556" s="413"/>
      <c r="AF1556" s="424">
        <f t="shared" si="333"/>
        <v>78208</v>
      </c>
      <c r="AG1556" s="405" t="s">
        <v>47</v>
      </c>
      <c r="AH1556" s="405"/>
      <c r="AI1556" s="414" t="s">
        <v>1937</v>
      </c>
      <c r="AJ1556" s="405" t="s">
        <v>2490</v>
      </c>
      <c r="AK1556" s="425" t="s">
        <v>1136</v>
      </c>
      <c r="AL1556" s="425">
        <v>79935</v>
      </c>
      <c r="AM1556" s="405" t="s">
        <v>52</v>
      </c>
      <c r="AN1556" s="405" t="s">
        <v>50</v>
      </c>
      <c r="AO1556" s="405"/>
      <c r="AP1556" s="417"/>
      <c r="AQ1556" s="417" t="s">
        <v>37</v>
      </c>
      <c r="AR1556" s="417"/>
      <c r="AS1556" s="426"/>
      <c r="AT1556" s="426"/>
      <c r="AU1556" s="409"/>
      <c r="AV1556" s="402" t="str">
        <f>U1556</f>
        <v>30390456H</v>
      </c>
      <c r="AW1556" s="402" cm="1">
        <f t="array" ref="AW1556">SUM(MID(0&amp;AV1556,LARGE(INDEX(ISNUMBER(--MID(AV1556,ROW($1:$8),1))*ROW($1:$8),),ROW($1:$8))+1,1)*10^ROW($1:$8)/10)</f>
        <v>30390456</v>
      </c>
      <c r="AX1556" s="402" t="str">
        <f>VLOOKUP($AW1556,'Item Master Data'!$A:$F,3,FALSE)</f>
        <v>Q.PEAK DUO BLK ML G10+</v>
      </c>
      <c r="AY1556" s="402">
        <f>VLOOKUP($AW1556,'Item Master Data'!$A:$F,6,FALSE)</f>
        <v>400</v>
      </c>
      <c r="AZ1556" s="402">
        <f>X1556/BA1556</f>
        <v>13</v>
      </c>
      <c r="BA1556" s="402">
        <f>VLOOKUP(AW1556,'Item Master Data'!$A:$G,7,FALSE)</f>
        <v>32</v>
      </c>
      <c r="BC1556" s="402">
        <f>W1556-AY1556</f>
        <v>0</v>
      </c>
    </row>
    <row r="1557" spans="1:55" s="402" customFormat="1">
      <c r="A1557" s="403">
        <v>1</v>
      </c>
      <c r="B1557" s="446">
        <v>44616</v>
      </c>
      <c r="C1557" s="446">
        <v>44616</v>
      </c>
      <c r="D1557" s="416" t="s">
        <v>2480</v>
      </c>
      <c r="E1557" s="405"/>
      <c r="F1557" s="405"/>
      <c r="G1557" s="405">
        <v>2022</v>
      </c>
      <c r="H1557" s="405">
        <v>5</v>
      </c>
      <c r="I1557" s="405">
        <v>128541</v>
      </c>
      <c r="J1557" s="406">
        <v>44687</v>
      </c>
      <c r="K1557" s="414" t="s">
        <v>4189</v>
      </c>
      <c r="L1557" s="405" t="s">
        <v>1939</v>
      </c>
      <c r="M1557" s="418">
        <v>44615</v>
      </c>
      <c r="N1557" s="418">
        <v>44615</v>
      </c>
      <c r="O1557" s="418"/>
      <c r="P1557" s="406">
        <v>44679</v>
      </c>
      <c r="Q1557" s="406">
        <v>44684</v>
      </c>
      <c r="R1557" s="406">
        <v>44687</v>
      </c>
      <c r="S1557" s="405" t="s">
        <v>1940</v>
      </c>
      <c r="T1557" s="405">
        <v>60</v>
      </c>
      <c r="U1557" s="405" t="s">
        <v>1237</v>
      </c>
      <c r="V1557" s="405" t="s">
        <v>973</v>
      </c>
      <c r="W1557" s="405">
        <v>400</v>
      </c>
      <c r="X1557" s="407">
        <v>416</v>
      </c>
      <c r="Y1557" s="408">
        <f t="shared" si="337"/>
        <v>166400</v>
      </c>
      <c r="Z1557" s="409">
        <f t="shared" si="331"/>
        <v>0.47</v>
      </c>
      <c r="AA1557" s="410">
        <f t="shared" si="338"/>
        <v>78208</v>
      </c>
      <c r="AB1557" s="411"/>
      <c r="AC1557" s="412">
        <f t="shared" si="332"/>
        <v>0</v>
      </c>
      <c r="AD1557" s="421"/>
      <c r="AE1557" s="413">
        <v>6843.2</v>
      </c>
      <c r="AF1557" s="424">
        <f t="shared" si="333"/>
        <v>85051.199999999997</v>
      </c>
      <c r="AG1557" s="405" t="s">
        <v>47</v>
      </c>
      <c r="AH1557" s="405"/>
      <c r="AI1557" s="414" t="s">
        <v>1937</v>
      </c>
      <c r="AJ1557" s="405" t="s">
        <v>1113</v>
      </c>
      <c r="AK1557" s="425" t="s">
        <v>1110</v>
      </c>
      <c r="AL1557" s="405">
        <v>60436</v>
      </c>
      <c r="AM1557" s="405" t="s">
        <v>52</v>
      </c>
      <c r="AN1557" s="405" t="s">
        <v>50</v>
      </c>
      <c r="AO1557" s="405"/>
      <c r="AP1557" s="417"/>
      <c r="AQ1557" s="417" t="s">
        <v>37</v>
      </c>
      <c r="AR1557" s="417"/>
      <c r="AS1557" s="426"/>
      <c r="AT1557" s="426"/>
      <c r="AU1557" s="409"/>
    </row>
    <row r="1558" spans="1:55" s="402" customFormat="1">
      <c r="A1558" s="403">
        <v>1</v>
      </c>
      <c r="B1558" s="446">
        <v>44616</v>
      </c>
      <c r="C1558" s="446">
        <v>44616</v>
      </c>
      <c r="D1558" s="416" t="s">
        <v>2480</v>
      </c>
      <c r="E1558" s="405"/>
      <c r="F1558" s="405"/>
      <c r="G1558" s="405">
        <v>2022</v>
      </c>
      <c r="H1558" s="405">
        <v>5</v>
      </c>
      <c r="I1558" s="405"/>
      <c r="J1558" s="406"/>
      <c r="K1558" s="526" t="s">
        <v>4192</v>
      </c>
      <c r="L1558" s="451" t="s">
        <v>1939</v>
      </c>
      <c r="M1558" s="418">
        <v>44615</v>
      </c>
      <c r="N1558" s="418">
        <v>44615</v>
      </c>
      <c r="O1558" s="418"/>
      <c r="P1558" s="406">
        <v>44679</v>
      </c>
      <c r="Q1558" s="406">
        <v>44691</v>
      </c>
      <c r="R1558" s="406">
        <v>44694</v>
      </c>
      <c r="S1558" s="405" t="s">
        <v>1940</v>
      </c>
      <c r="T1558" s="405">
        <v>60</v>
      </c>
      <c r="U1558" s="405" t="s">
        <v>1237</v>
      </c>
      <c r="V1558" s="405" t="s">
        <v>973</v>
      </c>
      <c r="W1558" s="405">
        <v>400</v>
      </c>
      <c r="X1558" s="407">
        <v>416</v>
      </c>
      <c r="Y1558" s="408">
        <f t="shared" si="337"/>
        <v>166400</v>
      </c>
      <c r="Z1558" s="409">
        <f t="shared" si="331"/>
        <v>0.47</v>
      </c>
      <c r="AA1558" s="410">
        <f t="shared" si="338"/>
        <v>78208</v>
      </c>
      <c r="AB1558" s="411"/>
      <c r="AC1558" s="412">
        <f t="shared" si="332"/>
        <v>0</v>
      </c>
      <c r="AD1558" s="421"/>
      <c r="AE1558" s="413"/>
      <c r="AF1558" s="424">
        <f t="shared" si="333"/>
        <v>78208</v>
      </c>
      <c r="AG1558" s="405" t="s">
        <v>47</v>
      </c>
      <c r="AH1558" s="405"/>
      <c r="AI1558" s="414" t="s">
        <v>1937</v>
      </c>
      <c r="AJ1558" s="405" t="s">
        <v>1954</v>
      </c>
      <c r="AK1558" s="425" t="s">
        <v>1955</v>
      </c>
      <c r="AL1558" s="425">
        <v>66214</v>
      </c>
      <c r="AM1558" s="405" t="s">
        <v>52</v>
      </c>
      <c r="AN1558" s="405" t="s">
        <v>50</v>
      </c>
      <c r="AO1558" s="405"/>
      <c r="AP1558" s="417"/>
      <c r="AQ1558" s="417" t="s">
        <v>37</v>
      </c>
      <c r="AR1558" s="417"/>
      <c r="AS1558" s="426"/>
      <c r="AT1558" s="426"/>
      <c r="AU1558" s="409"/>
    </row>
    <row r="1559" spans="1:55" s="402" customFormat="1">
      <c r="A1559" s="403"/>
      <c r="B1559" s="446">
        <v>44616</v>
      </c>
      <c r="C1559" s="446">
        <v>44616</v>
      </c>
      <c r="D1559" s="416" t="s">
        <v>2480</v>
      </c>
      <c r="E1559" s="405"/>
      <c r="F1559" s="405"/>
      <c r="G1559" s="448">
        <v>2022</v>
      </c>
      <c r="H1559" s="448">
        <v>5</v>
      </c>
      <c r="I1559" s="448"/>
      <c r="J1559" s="449"/>
      <c r="K1559" s="529" t="s">
        <v>4169</v>
      </c>
      <c r="L1559" s="448" t="s">
        <v>1939</v>
      </c>
      <c r="M1559" s="530">
        <v>44615</v>
      </c>
      <c r="N1559" s="530">
        <v>44615</v>
      </c>
      <c r="O1559" s="530"/>
      <c r="P1559" s="449"/>
      <c r="Q1559" s="449"/>
      <c r="R1559" s="449"/>
      <c r="S1559" s="448" t="s">
        <v>1940</v>
      </c>
      <c r="T1559" s="448">
        <v>60</v>
      </c>
      <c r="U1559" s="448">
        <v>49405140</v>
      </c>
      <c r="V1559" s="448" t="s">
        <v>973</v>
      </c>
      <c r="W1559" s="448">
        <v>400</v>
      </c>
      <c r="X1559" s="450">
        <v>416</v>
      </c>
      <c r="Y1559" s="486">
        <f t="shared" si="337"/>
        <v>166400</v>
      </c>
      <c r="Z1559" s="409">
        <f t="shared" si="331"/>
        <v>0.47</v>
      </c>
      <c r="AA1559" s="410">
        <f t="shared" si="338"/>
        <v>78208</v>
      </c>
      <c r="AB1559" s="411"/>
      <c r="AC1559" s="412">
        <f t="shared" si="332"/>
        <v>0</v>
      </c>
      <c r="AD1559" s="421"/>
      <c r="AE1559" s="413"/>
      <c r="AF1559" s="424">
        <f t="shared" si="333"/>
        <v>78208</v>
      </c>
      <c r="AG1559" s="405" t="s">
        <v>47</v>
      </c>
      <c r="AH1559" s="405"/>
      <c r="AI1559" s="414" t="s">
        <v>1937</v>
      </c>
      <c r="AJ1559" s="405" t="s">
        <v>4170</v>
      </c>
      <c r="AK1559" s="425" t="s">
        <v>1136</v>
      </c>
      <c r="AL1559" s="405">
        <v>78501</v>
      </c>
      <c r="AM1559" s="405" t="s">
        <v>52</v>
      </c>
      <c r="AN1559" s="405" t="s">
        <v>1101</v>
      </c>
      <c r="AO1559" s="405"/>
      <c r="AP1559" s="417"/>
      <c r="AQ1559" s="417" t="s">
        <v>37</v>
      </c>
      <c r="AR1559" s="417"/>
      <c r="AS1559" s="426"/>
      <c r="AT1559" s="426"/>
      <c r="AU1559" s="409"/>
      <c r="AV1559" s="402">
        <f>U1559</f>
        <v>49405140</v>
      </c>
      <c r="AW1559" s="402" cm="1">
        <f t="array" ref="AW1559">SUM(MID(0&amp;AV1559,LARGE(INDEX(ISNUMBER(--MID(AV1559,ROW($1:$8),1))*ROW($1:$8),),ROW($1:$8))+1,1)*10^ROW($1:$8)/10)</f>
        <v>49405140</v>
      </c>
      <c r="AX1559" s="402" t="str">
        <f>VLOOKUP($AW1559,'Item Master Data'!$A:$F,3,FALSE)</f>
        <v>Q.PEAK DUO BLK ML G10+</v>
      </c>
      <c r="AY1559" s="402">
        <f>VLOOKUP($AW1559,'Item Master Data'!$A:$F,6,FALSE)</f>
        <v>400</v>
      </c>
      <c r="AZ1559" s="402">
        <f>X1559/BA1559</f>
        <v>13</v>
      </c>
      <c r="BA1559" s="402">
        <f>VLOOKUP(AW1559,'Item Master Data'!$A:$G,7,FALSE)</f>
        <v>32</v>
      </c>
      <c r="BC1559" s="402">
        <f>W1559-AY1559</f>
        <v>0</v>
      </c>
    </row>
    <row r="1560" spans="1:55" s="402" customFormat="1">
      <c r="A1560" s="403"/>
      <c r="B1560" s="446">
        <v>44616</v>
      </c>
      <c r="C1560" s="446">
        <v>44616</v>
      </c>
      <c r="D1560" s="416" t="s">
        <v>2480</v>
      </c>
      <c r="E1560" s="405"/>
      <c r="F1560" s="405"/>
      <c r="G1560" s="448">
        <v>2022</v>
      </c>
      <c r="H1560" s="448">
        <v>5</v>
      </c>
      <c r="I1560" s="448"/>
      <c r="J1560" s="449"/>
      <c r="K1560" s="529" t="s">
        <v>4155</v>
      </c>
      <c r="L1560" s="448" t="s">
        <v>1939</v>
      </c>
      <c r="M1560" s="530">
        <v>44615</v>
      </c>
      <c r="N1560" s="530">
        <v>44615</v>
      </c>
      <c r="O1560" s="530"/>
      <c r="P1560" s="449"/>
      <c r="Q1560" s="449"/>
      <c r="R1560" s="449"/>
      <c r="S1560" s="448" t="s">
        <v>1940</v>
      </c>
      <c r="T1560" s="448">
        <v>60</v>
      </c>
      <c r="U1560" s="448">
        <v>49405140</v>
      </c>
      <c r="V1560" s="448" t="s">
        <v>973</v>
      </c>
      <c r="W1560" s="448">
        <v>400</v>
      </c>
      <c r="X1560" s="450">
        <v>640</v>
      </c>
      <c r="Y1560" s="486">
        <f t="shared" si="337"/>
        <v>256000</v>
      </c>
      <c r="Z1560" s="409">
        <f t="shared" si="331"/>
        <v>0.47</v>
      </c>
      <c r="AA1560" s="410">
        <f t="shared" si="338"/>
        <v>120320</v>
      </c>
      <c r="AB1560" s="411"/>
      <c r="AC1560" s="412">
        <f t="shared" si="332"/>
        <v>0</v>
      </c>
      <c r="AD1560" s="421"/>
      <c r="AE1560" s="413"/>
      <c r="AF1560" s="424">
        <f t="shared" si="333"/>
        <v>120320</v>
      </c>
      <c r="AG1560" s="405" t="s">
        <v>47</v>
      </c>
      <c r="AH1560" s="405"/>
      <c r="AI1560" s="414" t="s">
        <v>1937</v>
      </c>
      <c r="AJ1560" s="405" t="s">
        <v>2713</v>
      </c>
      <c r="AK1560" s="425" t="s">
        <v>1081</v>
      </c>
      <c r="AL1560" s="405">
        <v>33166</v>
      </c>
      <c r="AM1560" s="405" t="s">
        <v>52</v>
      </c>
      <c r="AN1560" s="405" t="s">
        <v>1101</v>
      </c>
      <c r="AO1560" s="405"/>
      <c r="AP1560" s="417"/>
      <c r="AQ1560" s="417" t="s">
        <v>37</v>
      </c>
      <c r="AR1560" s="417"/>
      <c r="AS1560" s="426"/>
      <c r="AT1560" s="426"/>
      <c r="AU1560" s="409"/>
      <c r="AV1560" s="402">
        <f>U1560</f>
        <v>49405140</v>
      </c>
      <c r="AW1560" s="402" cm="1">
        <f t="array" ref="AW1560">SUM(MID(0&amp;AV1560,LARGE(INDEX(ISNUMBER(--MID(AV1560,ROW($1:$8),1))*ROW($1:$8),),ROW($1:$8))+1,1)*10^ROW($1:$8)/10)</f>
        <v>49405140</v>
      </c>
      <c r="AX1560" s="402" t="str">
        <f>VLOOKUP($AW1560,'Item Master Data'!$A:$F,3,FALSE)</f>
        <v>Q.PEAK DUO BLK ML G10+</v>
      </c>
      <c r="AY1560" s="402">
        <f>VLOOKUP($AW1560,'Item Master Data'!$A:$F,6,FALSE)</f>
        <v>400</v>
      </c>
      <c r="AZ1560" s="402">
        <f>X1560/BA1560</f>
        <v>20</v>
      </c>
      <c r="BA1560" s="402">
        <f>VLOOKUP(AW1560,'Item Master Data'!$A:$G,7,FALSE)</f>
        <v>32</v>
      </c>
      <c r="BC1560" s="402">
        <f>W1560-AY1560</f>
        <v>0</v>
      </c>
    </row>
    <row r="1561" spans="1:55" s="402" customFormat="1">
      <c r="A1561" s="403">
        <v>3</v>
      </c>
      <c r="B1561" s="446">
        <v>44616</v>
      </c>
      <c r="C1561" s="446">
        <v>44616</v>
      </c>
      <c r="D1561" s="416" t="s">
        <v>2480</v>
      </c>
      <c r="E1561" s="405"/>
      <c r="F1561" s="405"/>
      <c r="G1561" s="405">
        <v>2022</v>
      </c>
      <c r="H1561" s="405">
        <v>5</v>
      </c>
      <c r="I1561" s="405"/>
      <c r="J1561" s="406"/>
      <c r="K1561" s="526" t="s">
        <v>4193</v>
      </c>
      <c r="L1561" s="451" t="s">
        <v>1939</v>
      </c>
      <c r="M1561" s="418">
        <v>44615</v>
      </c>
      <c r="N1561" s="418">
        <v>44615</v>
      </c>
      <c r="O1561" s="418"/>
      <c r="P1561" s="406">
        <v>44679</v>
      </c>
      <c r="Q1561" s="406">
        <v>44690</v>
      </c>
      <c r="R1561" s="406">
        <v>44691</v>
      </c>
      <c r="S1561" s="405" t="s">
        <v>1940</v>
      </c>
      <c r="T1561" s="405">
        <v>60</v>
      </c>
      <c r="U1561" s="405" t="s">
        <v>1237</v>
      </c>
      <c r="V1561" s="405" t="s">
        <v>973</v>
      </c>
      <c r="W1561" s="405">
        <v>400</v>
      </c>
      <c r="X1561" s="407">
        <v>320</v>
      </c>
      <c r="Y1561" s="408">
        <f t="shared" si="337"/>
        <v>128000</v>
      </c>
      <c r="Z1561" s="409">
        <f t="shared" si="331"/>
        <v>0.47</v>
      </c>
      <c r="AA1561" s="410">
        <f t="shared" si="338"/>
        <v>60160</v>
      </c>
      <c r="AB1561" s="411"/>
      <c r="AC1561" s="412">
        <f t="shared" si="332"/>
        <v>0</v>
      </c>
      <c r="AD1561" s="421"/>
      <c r="AE1561" s="413"/>
      <c r="AF1561" s="424">
        <f t="shared" si="333"/>
        <v>60160</v>
      </c>
      <c r="AG1561" s="405" t="s">
        <v>47</v>
      </c>
      <c r="AH1561" s="405"/>
      <c r="AI1561" s="414" t="s">
        <v>1937</v>
      </c>
      <c r="AJ1561" s="405" t="s">
        <v>1327</v>
      </c>
      <c r="AK1561" s="425" t="s">
        <v>1328</v>
      </c>
      <c r="AL1561" s="425">
        <v>89431</v>
      </c>
      <c r="AM1561" s="405" t="s">
        <v>52</v>
      </c>
      <c r="AN1561" s="405" t="s">
        <v>50</v>
      </c>
      <c r="AO1561" s="405"/>
      <c r="AP1561" s="417"/>
      <c r="AQ1561" s="417" t="s">
        <v>37</v>
      </c>
      <c r="AR1561" s="417"/>
      <c r="AS1561" s="426"/>
      <c r="AT1561" s="426"/>
      <c r="AU1561" s="409"/>
      <c r="AV1561" s="402" t="str">
        <f>U1561</f>
        <v>30390456H</v>
      </c>
      <c r="AW1561" s="402" cm="1">
        <f t="array" ref="AW1561">SUM(MID(0&amp;AV1561,LARGE(INDEX(ISNUMBER(--MID(AV1561,ROW($1:$8),1))*ROW($1:$8),),ROW($1:$8))+1,1)*10^ROW($1:$8)/10)</f>
        <v>30390456</v>
      </c>
      <c r="AX1561" s="402" t="str">
        <f>VLOOKUP($AW1561,'Item Master Data'!$A:$F,3,FALSE)</f>
        <v>Q.PEAK DUO BLK ML G10+</v>
      </c>
      <c r="AY1561" s="402">
        <f>VLOOKUP($AW1561,'Item Master Data'!$A:$F,6,FALSE)</f>
        <v>400</v>
      </c>
      <c r="AZ1561" s="402">
        <f>X1561/BA1561</f>
        <v>10</v>
      </c>
      <c r="BA1561" s="402">
        <f>VLOOKUP(AW1561,'Item Master Data'!$A:$G,7,FALSE)</f>
        <v>32</v>
      </c>
      <c r="BC1561" s="402">
        <f>W1561-AY1561</f>
        <v>0</v>
      </c>
    </row>
    <row r="1562" spans="1:55" s="402" customFormat="1">
      <c r="A1562" s="403">
        <v>3</v>
      </c>
      <c r="B1562" s="446">
        <v>44616</v>
      </c>
      <c r="C1562" s="446">
        <v>44616</v>
      </c>
      <c r="D1562" s="416" t="s">
        <v>2480</v>
      </c>
      <c r="E1562" s="405"/>
      <c r="F1562" s="405"/>
      <c r="G1562" s="475">
        <v>2022</v>
      </c>
      <c r="H1562" s="475">
        <v>5</v>
      </c>
      <c r="I1562" s="475"/>
      <c r="J1562" s="476"/>
      <c r="K1562" s="499" t="s">
        <v>5003</v>
      </c>
      <c r="L1562" s="475" t="s">
        <v>1939</v>
      </c>
      <c r="M1562" s="418">
        <v>44615</v>
      </c>
      <c r="N1562" s="418">
        <v>44615</v>
      </c>
      <c r="O1562" s="418"/>
      <c r="P1562" s="406">
        <v>44694</v>
      </c>
      <c r="Q1562" s="406"/>
      <c r="R1562" s="406"/>
      <c r="S1562" s="405" t="s">
        <v>1940</v>
      </c>
      <c r="T1562" s="405">
        <v>60</v>
      </c>
      <c r="U1562" s="405" t="s">
        <v>1237</v>
      </c>
      <c r="V1562" s="405" t="s">
        <v>973</v>
      </c>
      <c r="W1562" s="405">
        <v>400</v>
      </c>
      <c r="X1562" s="407">
        <v>320</v>
      </c>
      <c r="Y1562" s="408">
        <f t="shared" si="337"/>
        <v>128000</v>
      </c>
      <c r="Z1562" s="409">
        <f t="shared" si="331"/>
        <v>0.47</v>
      </c>
      <c r="AA1562" s="410">
        <f t="shared" si="338"/>
        <v>60160</v>
      </c>
      <c r="AB1562" s="411"/>
      <c r="AC1562" s="412">
        <f t="shared" si="332"/>
        <v>0</v>
      </c>
      <c r="AD1562" s="421"/>
      <c r="AE1562" s="413"/>
      <c r="AF1562" s="424">
        <f t="shared" si="333"/>
        <v>60160</v>
      </c>
      <c r="AG1562" s="405" t="s">
        <v>47</v>
      </c>
      <c r="AH1562" s="405"/>
      <c r="AI1562" s="414" t="s">
        <v>1937</v>
      </c>
      <c r="AJ1562" s="405" t="s">
        <v>1327</v>
      </c>
      <c r="AK1562" s="425" t="s">
        <v>1328</v>
      </c>
      <c r="AL1562" s="425">
        <v>89431</v>
      </c>
      <c r="AM1562" s="405" t="s">
        <v>52</v>
      </c>
      <c r="AN1562" s="405" t="s">
        <v>50</v>
      </c>
      <c r="AO1562" s="405"/>
      <c r="AP1562" s="417"/>
      <c r="AQ1562" s="417" t="s">
        <v>37</v>
      </c>
      <c r="AR1562" s="417"/>
      <c r="AS1562" s="426"/>
      <c r="AT1562" s="426"/>
      <c r="AU1562" s="409"/>
      <c r="AV1562" s="402" t="str">
        <f>U1562</f>
        <v>30390456H</v>
      </c>
      <c r="AW1562" s="402" cm="1">
        <f t="array" ref="AW1562">SUM(MID(0&amp;AV1562,LARGE(INDEX(ISNUMBER(--MID(AV1562,ROW($1:$8),1))*ROW($1:$8),),ROW($1:$8))+1,1)*10^ROW($1:$8)/10)</f>
        <v>30390456</v>
      </c>
      <c r="AX1562" s="402" t="str">
        <f>VLOOKUP($AW1562,'Item Master Data'!$A:$F,3,FALSE)</f>
        <v>Q.PEAK DUO BLK ML G10+</v>
      </c>
      <c r="AY1562" s="402">
        <f>VLOOKUP($AW1562,'Item Master Data'!$A:$F,6,FALSE)</f>
        <v>400</v>
      </c>
      <c r="AZ1562" s="402">
        <f>X1562/BA1562</f>
        <v>10</v>
      </c>
      <c r="BA1562" s="402">
        <f>VLOOKUP(AW1562,'Item Master Data'!$A:$G,7,FALSE)</f>
        <v>32</v>
      </c>
      <c r="BC1562" s="402">
        <f>W1562-AY1562</f>
        <v>0</v>
      </c>
    </row>
    <row r="1563" spans="1:55" s="402" customFormat="1">
      <c r="A1563" s="403">
        <v>3</v>
      </c>
      <c r="B1563" s="446">
        <v>44616</v>
      </c>
      <c r="C1563" s="446">
        <v>44616</v>
      </c>
      <c r="D1563" s="416" t="s">
        <v>2480</v>
      </c>
      <c r="E1563" s="405"/>
      <c r="F1563" s="405"/>
      <c r="G1563" s="475">
        <v>2022</v>
      </c>
      <c r="H1563" s="475">
        <v>5</v>
      </c>
      <c r="I1563" s="475"/>
      <c r="J1563" s="476"/>
      <c r="K1563" s="499" t="s">
        <v>4181</v>
      </c>
      <c r="L1563" s="475" t="s">
        <v>1939</v>
      </c>
      <c r="M1563" s="418">
        <v>44615</v>
      </c>
      <c r="N1563" s="418">
        <v>44615</v>
      </c>
      <c r="O1563" s="418"/>
      <c r="P1563" s="406">
        <v>44694</v>
      </c>
      <c r="Q1563" s="406"/>
      <c r="R1563" s="406"/>
      <c r="S1563" s="405" t="s">
        <v>1940</v>
      </c>
      <c r="T1563" s="405">
        <v>60</v>
      </c>
      <c r="U1563" s="405" t="s">
        <v>1237</v>
      </c>
      <c r="V1563" s="405" t="s">
        <v>973</v>
      </c>
      <c r="W1563" s="405">
        <v>400</v>
      </c>
      <c r="X1563" s="407">
        <v>416</v>
      </c>
      <c r="Y1563" s="408">
        <f t="shared" si="337"/>
        <v>166400</v>
      </c>
      <c r="Z1563" s="409">
        <f t="shared" si="331"/>
        <v>0.47</v>
      </c>
      <c r="AA1563" s="410">
        <f t="shared" si="338"/>
        <v>78208</v>
      </c>
      <c r="AB1563" s="411"/>
      <c r="AC1563" s="412">
        <f t="shared" si="332"/>
        <v>0</v>
      </c>
      <c r="AD1563" s="421"/>
      <c r="AE1563" s="413"/>
      <c r="AF1563" s="424">
        <f t="shared" si="333"/>
        <v>78208</v>
      </c>
      <c r="AG1563" s="405" t="s">
        <v>47</v>
      </c>
      <c r="AH1563" s="405"/>
      <c r="AI1563" s="414" t="s">
        <v>1937</v>
      </c>
      <c r="AJ1563" s="405" t="s">
        <v>1941</v>
      </c>
      <c r="AK1563" s="425" t="s">
        <v>1942</v>
      </c>
      <c r="AL1563" s="425">
        <v>87107</v>
      </c>
      <c r="AM1563" s="405" t="s">
        <v>52</v>
      </c>
      <c r="AN1563" s="405" t="s">
        <v>50</v>
      </c>
      <c r="AO1563" s="405"/>
      <c r="AP1563" s="417"/>
      <c r="AQ1563" s="417" t="s">
        <v>37</v>
      </c>
      <c r="AR1563" s="417"/>
      <c r="AS1563" s="426"/>
      <c r="AT1563" s="426"/>
      <c r="AU1563" s="409"/>
    </row>
    <row r="1564" spans="1:55" s="402" customFormat="1">
      <c r="A1564" s="403">
        <v>1</v>
      </c>
      <c r="B1564" s="446">
        <v>44616</v>
      </c>
      <c r="C1564" s="446">
        <v>44616</v>
      </c>
      <c r="D1564" s="416" t="s">
        <v>2480</v>
      </c>
      <c r="E1564" s="405"/>
      <c r="F1564" s="405"/>
      <c r="G1564" s="405">
        <v>2022</v>
      </c>
      <c r="H1564" s="405">
        <v>5</v>
      </c>
      <c r="I1564" s="405">
        <v>128542</v>
      </c>
      <c r="J1564" s="406">
        <v>44687</v>
      </c>
      <c r="K1564" s="414" t="s">
        <v>4181</v>
      </c>
      <c r="L1564" s="405" t="s">
        <v>1939</v>
      </c>
      <c r="M1564" s="418">
        <v>44615</v>
      </c>
      <c r="N1564" s="418">
        <v>44615</v>
      </c>
      <c r="O1564" s="418"/>
      <c r="P1564" s="406">
        <v>44679</v>
      </c>
      <c r="Q1564" s="406">
        <v>44685</v>
      </c>
      <c r="R1564" s="406">
        <v>44687</v>
      </c>
      <c r="S1564" s="405" t="s">
        <v>1940</v>
      </c>
      <c r="T1564" s="405">
        <v>60</v>
      </c>
      <c r="U1564" s="405" t="s">
        <v>1237</v>
      </c>
      <c r="V1564" s="405" t="s">
        <v>973</v>
      </c>
      <c r="W1564" s="405">
        <v>400</v>
      </c>
      <c r="X1564" s="407">
        <v>416</v>
      </c>
      <c r="Y1564" s="408">
        <f t="shared" si="337"/>
        <v>166400</v>
      </c>
      <c r="Z1564" s="409">
        <f t="shared" si="331"/>
        <v>0.47</v>
      </c>
      <c r="AA1564" s="410">
        <f t="shared" si="338"/>
        <v>78208</v>
      </c>
      <c r="AB1564" s="411"/>
      <c r="AC1564" s="412">
        <f t="shared" si="332"/>
        <v>0</v>
      </c>
      <c r="AD1564" s="421"/>
      <c r="AE1564" s="413"/>
      <c r="AF1564" s="424">
        <f t="shared" si="333"/>
        <v>78208</v>
      </c>
      <c r="AG1564" s="405" t="s">
        <v>47</v>
      </c>
      <c r="AH1564" s="405"/>
      <c r="AI1564" s="414" t="s">
        <v>1937</v>
      </c>
      <c r="AJ1564" s="405" t="s">
        <v>1941</v>
      </c>
      <c r="AK1564" s="425" t="s">
        <v>1942</v>
      </c>
      <c r="AL1564" s="405">
        <v>87107</v>
      </c>
      <c r="AM1564" s="405" t="s">
        <v>52</v>
      </c>
      <c r="AN1564" s="405" t="s">
        <v>50</v>
      </c>
      <c r="AO1564" s="405"/>
      <c r="AP1564" s="417"/>
      <c r="AQ1564" s="417" t="s">
        <v>37</v>
      </c>
      <c r="AR1564" s="417"/>
      <c r="AS1564" s="426"/>
      <c r="AT1564" s="426"/>
      <c r="AU1564" s="409"/>
    </row>
    <row r="1565" spans="1:55" s="402" customFormat="1">
      <c r="A1565" s="403" t="s">
        <v>4401</v>
      </c>
      <c r="B1565" s="446">
        <v>44616</v>
      </c>
      <c r="C1565" s="446">
        <v>44616</v>
      </c>
      <c r="D1565" s="416" t="s">
        <v>2480</v>
      </c>
      <c r="E1565" s="405"/>
      <c r="F1565" s="405"/>
      <c r="G1565" s="405">
        <v>2022</v>
      </c>
      <c r="H1565" s="405">
        <v>5</v>
      </c>
      <c r="I1565" s="405">
        <v>128551</v>
      </c>
      <c r="J1565" s="406">
        <v>44691</v>
      </c>
      <c r="K1565" s="414" t="s">
        <v>4145</v>
      </c>
      <c r="L1565" s="405" t="s">
        <v>1939</v>
      </c>
      <c r="M1565" s="418">
        <v>44615</v>
      </c>
      <c r="N1565" s="418">
        <v>44615</v>
      </c>
      <c r="O1565" s="418"/>
      <c r="P1565" s="406">
        <v>44679</v>
      </c>
      <c r="Q1565" s="406">
        <v>44686</v>
      </c>
      <c r="R1565" s="406">
        <v>44691</v>
      </c>
      <c r="S1565" s="405" t="s">
        <v>1940</v>
      </c>
      <c r="T1565" s="405">
        <v>60</v>
      </c>
      <c r="U1565" s="405" t="s">
        <v>1237</v>
      </c>
      <c r="V1565" s="405" t="s">
        <v>973</v>
      </c>
      <c r="W1565" s="405">
        <v>400</v>
      </c>
      <c r="X1565" s="407">
        <v>832</v>
      </c>
      <c r="Y1565" s="408">
        <f t="shared" si="337"/>
        <v>332800</v>
      </c>
      <c r="Z1565" s="409">
        <f t="shared" si="331"/>
        <v>0.47</v>
      </c>
      <c r="AA1565" s="410">
        <f t="shared" si="338"/>
        <v>156416</v>
      </c>
      <c r="AB1565" s="411"/>
      <c r="AC1565" s="412">
        <f t="shared" si="332"/>
        <v>0</v>
      </c>
      <c r="AD1565" s="421"/>
      <c r="AE1565" s="413">
        <v>12513.28</v>
      </c>
      <c r="AF1565" s="424">
        <f t="shared" si="333"/>
        <v>168929.28</v>
      </c>
      <c r="AG1565" s="405" t="s">
        <v>47</v>
      </c>
      <c r="AH1565" s="405"/>
      <c r="AI1565" s="414" t="s">
        <v>1937</v>
      </c>
      <c r="AJ1565" s="405" t="s">
        <v>1950</v>
      </c>
      <c r="AK1565" s="425" t="s">
        <v>1071</v>
      </c>
      <c r="AL1565" s="405">
        <v>30360</v>
      </c>
      <c r="AM1565" s="405" t="s">
        <v>52</v>
      </c>
      <c r="AN1565" s="405" t="s">
        <v>50</v>
      </c>
      <c r="AO1565" s="405"/>
      <c r="AP1565" s="417"/>
      <c r="AQ1565" s="417" t="s">
        <v>37</v>
      </c>
      <c r="AR1565" s="417"/>
      <c r="AS1565" s="426"/>
      <c r="AT1565" s="426"/>
      <c r="AU1565" s="409"/>
      <c r="AV1565" s="402" t="str">
        <f>U1565</f>
        <v>30390456H</v>
      </c>
      <c r="AW1565" s="402" cm="1">
        <f t="array" ref="AW1565">SUM(MID(0&amp;AV1565,LARGE(INDEX(ISNUMBER(--MID(AV1565,ROW($1:$8),1))*ROW($1:$8),),ROW($1:$8))+1,1)*10^ROW($1:$8)/10)</f>
        <v>30390456</v>
      </c>
      <c r="AX1565" s="402" t="str">
        <f>VLOOKUP($AW1565,'Item Master Data'!$A:$F,3,FALSE)</f>
        <v>Q.PEAK DUO BLK ML G10+</v>
      </c>
      <c r="AY1565" s="402">
        <f>VLOOKUP($AW1565,'Item Master Data'!$A:$F,6,FALSE)</f>
        <v>400</v>
      </c>
      <c r="AZ1565" s="402">
        <f>X1565/BA1565</f>
        <v>26</v>
      </c>
      <c r="BA1565" s="402">
        <f>VLOOKUP(AW1565,'Item Master Data'!$A:$G,7,FALSE)</f>
        <v>32</v>
      </c>
      <c r="BC1565" s="402">
        <f>W1565-AY1565</f>
        <v>0</v>
      </c>
    </row>
    <row r="1566" spans="1:55" s="402" customFormat="1">
      <c r="A1566" s="403">
        <v>3</v>
      </c>
      <c r="B1566" s="446">
        <v>44616</v>
      </c>
      <c r="C1566" s="446">
        <v>44616</v>
      </c>
      <c r="D1566" s="416" t="s">
        <v>2480</v>
      </c>
      <c r="E1566" s="405"/>
      <c r="F1566" s="405"/>
      <c r="G1566" s="475">
        <v>2022</v>
      </c>
      <c r="H1566" s="475">
        <v>5</v>
      </c>
      <c r="I1566" s="475"/>
      <c r="J1566" s="476"/>
      <c r="K1566" s="499" t="s">
        <v>4166</v>
      </c>
      <c r="L1566" s="475" t="s">
        <v>1939</v>
      </c>
      <c r="M1566" s="418">
        <v>44615</v>
      </c>
      <c r="N1566" s="418">
        <v>44615</v>
      </c>
      <c r="O1566" s="418"/>
      <c r="P1566" s="406">
        <v>44694</v>
      </c>
      <c r="Q1566" s="406"/>
      <c r="R1566" s="406"/>
      <c r="S1566" s="405" t="s">
        <v>1940</v>
      </c>
      <c r="T1566" s="405">
        <v>60</v>
      </c>
      <c r="U1566" s="405" t="s">
        <v>1237</v>
      </c>
      <c r="V1566" s="405" t="s">
        <v>973</v>
      </c>
      <c r="W1566" s="405">
        <v>400</v>
      </c>
      <c r="X1566" s="407">
        <f>832-416</f>
        <v>416</v>
      </c>
      <c r="Y1566" s="408">
        <f t="shared" si="337"/>
        <v>166400</v>
      </c>
      <c r="Z1566" s="409">
        <f t="shared" si="331"/>
        <v>0.47</v>
      </c>
      <c r="AA1566" s="410">
        <f t="shared" si="338"/>
        <v>78208</v>
      </c>
      <c r="AB1566" s="411"/>
      <c r="AC1566" s="412">
        <f t="shared" si="332"/>
        <v>0</v>
      </c>
      <c r="AD1566" s="421"/>
      <c r="AE1566" s="413"/>
      <c r="AF1566" s="424">
        <f t="shared" si="333"/>
        <v>78208</v>
      </c>
      <c r="AG1566" s="405" t="s">
        <v>47</v>
      </c>
      <c r="AH1566" s="405"/>
      <c r="AI1566" s="414" t="s">
        <v>1937</v>
      </c>
      <c r="AJ1566" s="405" t="s">
        <v>1951</v>
      </c>
      <c r="AK1566" s="425" t="s">
        <v>1136</v>
      </c>
      <c r="AL1566" s="425">
        <v>78610</v>
      </c>
      <c r="AM1566" s="405" t="s">
        <v>52</v>
      </c>
      <c r="AN1566" s="405" t="s">
        <v>50</v>
      </c>
      <c r="AO1566" s="405"/>
      <c r="AP1566" s="417"/>
      <c r="AQ1566" s="417" t="s">
        <v>37</v>
      </c>
      <c r="AR1566" s="417"/>
      <c r="AS1566" s="426"/>
      <c r="AT1566" s="426"/>
      <c r="AU1566" s="409"/>
    </row>
    <row r="1567" spans="1:55" s="402" customFormat="1">
      <c r="A1567" s="403">
        <v>1</v>
      </c>
      <c r="B1567" s="446">
        <v>44616</v>
      </c>
      <c r="C1567" s="446">
        <v>44616</v>
      </c>
      <c r="D1567" s="416" t="s">
        <v>2480</v>
      </c>
      <c r="E1567" s="405"/>
      <c r="F1567" s="405"/>
      <c r="G1567" s="405">
        <v>2022</v>
      </c>
      <c r="H1567" s="405">
        <v>5</v>
      </c>
      <c r="I1567" s="405">
        <v>128535</v>
      </c>
      <c r="J1567" s="406">
        <v>44686</v>
      </c>
      <c r="K1567" s="414" t="s">
        <v>4151</v>
      </c>
      <c r="L1567" s="405" t="s">
        <v>1939</v>
      </c>
      <c r="M1567" s="418">
        <v>44615</v>
      </c>
      <c r="N1567" s="418">
        <v>44615</v>
      </c>
      <c r="O1567" s="418"/>
      <c r="P1567" s="406">
        <v>44679</v>
      </c>
      <c r="Q1567" s="406">
        <v>44684</v>
      </c>
      <c r="R1567" s="406">
        <v>44686</v>
      </c>
      <c r="S1567" s="405" t="s">
        <v>1940</v>
      </c>
      <c r="T1567" s="405">
        <v>60</v>
      </c>
      <c r="U1567" s="405" t="s">
        <v>1237</v>
      </c>
      <c r="V1567" s="405" t="s">
        <v>973</v>
      </c>
      <c r="W1567" s="405">
        <v>400</v>
      </c>
      <c r="X1567" s="407">
        <v>544</v>
      </c>
      <c r="Y1567" s="408">
        <f t="shared" si="337"/>
        <v>217600</v>
      </c>
      <c r="Z1567" s="409">
        <f t="shared" si="331"/>
        <v>0.47</v>
      </c>
      <c r="AA1567" s="410">
        <f t="shared" si="338"/>
        <v>102272</v>
      </c>
      <c r="AB1567" s="411"/>
      <c r="AC1567" s="412">
        <f t="shared" si="332"/>
        <v>0</v>
      </c>
      <c r="AD1567" s="421"/>
      <c r="AE1567" s="413">
        <v>9204.48</v>
      </c>
      <c r="AF1567" s="424">
        <f t="shared" si="333"/>
        <v>111476.48</v>
      </c>
      <c r="AG1567" s="405" t="s">
        <v>47</v>
      </c>
      <c r="AH1567" s="405"/>
      <c r="AI1567" s="414" t="s">
        <v>1937</v>
      </c>
      <c r="AJ1567" s="405" t="s">
        <v>2640</v>
      </c>
      <c r="AK1567" s="425" t="s">
        <v>1953</v>
      </c>
      <c r="AL1567" s="405">
        <v>29420</v>
      </c>
      <c r="AM1567" s="405" t="s">
        <v>52</v>
      </c>
      <c r="AN1567" s="405" t="s">
        <v>1082</v>
      </c>
      <c r="AO1567" s="405"/>
      <c r="AP1567" s="417"/>
      <c r="AQ1567" s="417" t="s">
        <v>37</v>
      </c>
      <c r="AR1567" s="417"/>
      <c r="AS1567" s="426"/>
      <c r="AT1567" s="426"/>
      <c r="AU1567" s="409"/>
      <c r="AV1567" s="402" t="str">
        <f>U1567</f>
        <v>30390456H</v>
      </c>
      <c r="AW1567" s="402" cm="1">
        <f t="array" ref="AW1567">SUM(MID(0&amp;AV1567,LARGE(INDEX(ISNUMBER(--MID(AV1567,ROW($1:$8),1))*ROW($1:$8),),ROW($1:$8))+1,1)*10^ROW($1:$8)/10)</f>
        <v>30390456</v>
      </c>
      <c r="AX1567" s="402" t="str">
        <f>VLOOKUP($AW1567,'Item Master Data'!$A:$F,3,FALSE)</f>
        <v>Q.PEAK DUO BLK ML G10+</v>
      </c>
      <c r="AY1567" s="402">
        <f>VLOOKUP($AW1567,'Item Master Data'!$A:$F,6,FALSE)</f>
        <v>400</v>
      </c>
      <c r="AZ1567" s="402">
        <f>X1567/BA1567</f>
        <v>17</v>
      </c>
      <c r="BA1567" s="402">
        <f>VLOOKUP(AW1567,'Item Master Data'!$A:$G,7,FALSE)</f>
        <v>32</v>
      </c>
      <c r="BC1567" s="402">
        <f>W1567-AY1567</f>
        <v>0</v>
      </c>
    </row>
    <row r="1568" spans="1:55" s="402" customFormat="1">
      <c r="A1568" s="403">
        <v>2</v>
      </c>
      <c r="B1568" s="446">
        <v>44616</v>
      </c>
      <c r="C1568" s="446">
        <v>44616</v>
      </c>
      <c r="D1568" s="416" t="s">
        <v>2480</v>
      </c>
      <c r="E1568" s="405"/>
      <c r="F1568" s="405"/>
      <c r="G1568" s="405">
        <v>2022</v>
      </c>
      <c r="H1568" s="405">
        <v>5</v>
      </c>
      <c r="I1568" s="405"/>
      <c r="J1568" s="406"/>
      <c r="K1568" s="526" t="s">
        <v>4151</v>
      </c>
      <c r="L1568" s="451" t="s">
        <v>1939</v>
      </c>
      <c r="M1568" s="418">
        <v>44615</v>
      </c>
      <c r="N1568" s="418">
        <v>44615</v>
      </c>
      <c r="O1568" s="418"/>
      <c r="P1568" s="406">
        <v>44679</v>
      </c>
      <c r="Q1568" s="406">
        <v>44691</v>
      </c>
      <c r="R1568" s="406">
        <v>44693</v>
      </c>
      <c r="S1568" s="405" t="s">
        <v>1940</v>
      </c>
      <c r="T1568" s="405">
        <v>60</v>
      </c>
      <c r="U1568" s="405" t="s">
        <v>1237</v>
      </c>
      <c r="V1568" s="405" t="s">
        <v>973</v>
      </c>
      <c r="W1568" s="405">
        <v>400</v>
      </c>
      <c r="X1568" s="407">
        <v>512</v>
      </c>
      <c r="Y1568" s="408">
        <f t="shared" si="337"/>
        <v>204800</v>
      </c>
      <c r="Z1568" s="409">
        <f t="shared" si="331"/>
        <v>0.47</v>
      </c>
      <c r="AA1568" s="410">
        <f t="shared" si="338"/>
        <v>96256</v>
      </c>
      <c r="AB1568" s="411"/>
      <c r="AC1568" s="412">
        <f t="shared" si="332"/>
        <v>0</v>
      </c>
      <c r="AD1568" s="421"/>
      <c r="AE1568" s="413"/>
      <c r="AF1568" s="424">
        <f t="shared" si="333"/>
        <v>96256</v>
      </c>
      <c r="AG1568" s="405" t="s">
        <v>47</v>
      </c>
      <c r="AH1568" s="405"/>
      <c r="AI1568" s="414" t="s">
        <v>1937</v>
      </c>
      <c r="AJ1568" s="405" t="s">
        <v>2640</v>
      </c>
      <c r="AK1568" s="425" t="s">
        <v>1953</v>
      </c>
      <c r="AL1568" s="425">
        <v>29420</v>
      </c>
      <c r="AM1568" s="405" t="s">
        <v>52</v>
      </c>
      <c r="AN1568" s="405" t="s">
        <v>1082</v>
      </c>
      <c r="AO1568" s="405"/>
      <c r="AP1568" s="417"/>
      <c r="AQ1568" s="417" t="s">
        <v>37</v>
      </c>
      <c r="AR1568" s="417"/>
      <c r="AS1568" s="426"/>
      <c r="AT1568" s="426"/>
      <c r="AU1568" s="409"/>
      <c r="AV1568" s="402" t="str">
        <f>U1568</f>
        <v>30390456H</v>
      </c>
      <c r="AW1568" s="402" cm="1">
        <f t="array" ref="AW1568">SUM(MID(0&amp;AV1568,LARGE(INDEX(ISNUMBER(--MID(AV1568,ROW($1:$8),1))*ROW($1:$8),),ROW($1:$8))+1,1)*10^ROW($1:$8)/10)</f>
        <v>30390456</v>
      </c>
      <c r="AX1568" s="402" t="str">
        <f>VLOOKUP($AW1568,'Item Master Data'!$A:$F,3,FALSE)</f>
        <v>Q.PEAK DUO BLK ML G10+</v>
      </c>
      <c r="AY1568" s="402">
        <f>VLOOKUP($AW1568,'Item Master Data'!$A:$F,6,FALSE)</f>
        <v>400</v>
      </c>
      <c r="AZ1568" s="402">
        <f>X1568/BA1568</f>
        <v>16</v>
      </c>
      <c r="BA1568" s="402">
        <f>VLOOKUP(AW1568,'Item Master Data'!$A:$G,7,FALSE)</f>
        <v>32</v>
      </c>
      <c r="BC1568" s="402">
        <f>W1568-AY1568</f>
        <v>0</v>
      </c>
    </row>
    <row r="1569" spans="1:55" s="402" customFormat="1">
      <c r="A1569" s="403" t="s">
        <v>4401</v>
      </c>
      <c r="B1569" s="446">
        <v>44616</v>
      </c>
      <c r="C1569" s="446">
        <v>44616</v>
      </c>
      <c r="D1569" s="416" t="s">
        <v>2480</v>
      </c>
      <c r="E1569" s="405"/>
      <c r="F1569" s="405"/>
      <c r="G1569" s="405">
        <v>2022</v>
      </c>
      <c r="H1569" s="405">
        <v>5</v>
      </c>
      <c r="I1569" s="405">
        <v>128536</v>
      </c>
      <c r="J1569" s="406">
        <v>44685</v>
      </c>
      <c r="K1569" s="414" t="s">
        <v>4141</v>
      </c>
      <c r="L1569" s="405" t="s">
        <v>1939</v>
      </c>
      <c r="M1569" s="418">
        <v>44615</v>
      </c>
      <c r="N1569" s="418">
        <v>44615</v>
      </c>
      <c r="O1569" s="418"/>
      <c r="P1569" s="406">
        <v>44679</v>
      </c>
      <c r="Q1569" s="406">
        <v>44684</v>
      </c>
      <c r="R1569" s="406">
        <v>44685</v>
      </c>
      <c r="S1569" s="405" t="s">
        <v>1940</v>
      </c>
      <c r="T1569" s="405">
        <v>60</v>
      </c>
      <c r="U1569" s="405" t="s">
        <v>1237</v>
      </c>
      <c r="V1569" s="405" t="s">
        <v>973</v>
      </c>
      <c r="W1569" s="405">
        <v>400</v>
      </c>
      <c r="X1569" s="407">
        <v>864</v>
      </c>
      <c r="Y1569" s="408">
        <f t="shared" si="337"/>
        <v>345600</v>
      </c>
      <c r="Z1569" s="409">
        <f t="shared" si="331"/>
        <v>0.47</v>
      </c>
      <c r="AA1569" s="410">
        <f t="shared" si="338"/>
        <v>162432</v>
      </c>
      <c r="AB1569" s="411"/>
      <c r="AC1569" s="412">
        <f t="shared" si="332"/>
        <v>0</v>
      </c>
      <c r="AD1569" s="421"/>
      <c r="AE1569" s="413">
        <v>11776.32</v>
      </c>
      <c r="AF1569" s="424">
        <f t="shared" si="333"/>
        <v>174208.32</v>
      </c>
      <c r="AG1569" s="405" t="s">
        <v>47</v>
      </c>
      <c r="AH1569" s="405"/>
      <c r="AI1569" s="414" t="s">
        <v>1937</v>
      </c>
      <c r="AJ1569" s="405" t="s">
        <v>1152</v>
      </c>
      <c r="AK1569" s="425" t="s">
        <v>1148</v>
      </c>
      <c r="AL1569" s="405">
        <v>28216</v>
      </c>
      <c r="AM1569" s="405" t="s">
        <v>52</v>
      </c>
      <c r="AN1569" s="405" t="s">
        <v>1082</v>
      </c>
      <c r="AO1569" s="405"/>
      <c r="AP1569" s="417"/>
      <c r="AQ1569" s="417" t="s">
        <v>37</v>
      </c>
      <c r="AR1569" s="417"/>
      <c r="AS1569" s="426"/>
      <c r="AT1569" s="426"/>
      <c r="AU1569" s="409"/>
    </row>
    <row r="1570" spans="1:55" s="402" customFormat="1">
      <c r="A1570" s="403" t="s">
        <v>4401</v>
      </c>
      <c r="B1570" s="446">
        <v>44616</v>
      </c>
      <c r="C1570" s="446">
        <v>44616</v>
      </c>
      <c r="D1570" s="416" t="s">
        <v>2480</v>
      </c>
      <c r="E1570" s="405"/>
      <c r="F1570" s="405"/>
      <c r="G1570" s="405">
        <v>2022</v>
      </c>
      <c r="H1570" s="405">
        <v>5</v>
      </c>
      <c r="I1570" s="405"/>
      <c r="J1570" s="406"/>
      <c r="K1570" s="526" t="s">
        <v>4141</v>
      </c>
      <c r="L1570" s="451" t="s">
        <v>1939</v>
      </c>
      <c r="M1570" s="418">
        <v>44615</v>
      </c>
      <c r="N1570" s="418">
        <v>44615</v>
      </c>
      <c r="O1570" s="418"/>
      <c r="P1570" s="406">
        <v>44679</v>
      </c>
      <c r="Q1570" s="406">
        <v>44691</v>
      </c>
      <c r="R1570" s="406">
        <v>44692</v>
      </c>
      <c r="S1570" s="405" t="s">
        <v>1940</v>
      </c>
      <c r="T1570" s="405">
        <v>60</v>
      </c>
      <c r="U1570" s="405" t="s">
        <v>1237</v>
      </c>
      <c r="V1570" s="405" t="s">
        <v>973</v>
      </c>
      <c r="W1570" s="405">
        <v>400</v>
      </c>
      <c r="X1570" s="407">
        <v>864</v>
      </c>
      <c r="Y1570" s="408">
        <f t="shared" si="337"/>
        <v>345600</v>
      </c>
      <c r="Z1570" s="409">
        <f t="shared" si="331"/>
        <v>0.47</v>
      </c>
      <c r="AA1570" s="410">
        <f t="shared" si="338"/>
        <v>162432</v>
      </c>
      <c r="AB1570" s="411"/>
      <c r="AC1570" s="412">
        <f t="shared" si="332"/>
        <v>0</v>
      </c>
      <c r="AD1570" s="421"/>
      <c r="AE1570" s="413"/>
      <c r="AF1570" s="424">
        <f t="shared" si="333"/>
        <v>162432</v>
      </c>
      <c r="AG1570" s="405" t="s">
        <v>47</v>
      </c>
      <c r="AH1570" s="405"/>
      <c r="AI1570" s="414" t="s">
        <v>1937</v>
      </c>
      <c r="AJ1570" s="405" t="s">
        <v>1152</v>
      </c>
      <c r="AK1570" s="425" t="s">
        <v>1148</v>
      </c>
      <c r="AL1570" s="425">
        <v>28216</v>
      </c>
      <c r="AM1570" s="405" t="s">
        <v>52</v>
      </c>
      <c r="AN1570" s="405" t="s">
        <v>1082</v>
      </c>
      <c r="AO1570" s="405"/>
      <c r="AP1570" s="417"/>
      <c r="AQ1570" s="417" t="s">
        <v>37</v>
      </c>
      <c r="AR1570" s="417"/>
      <c r="AS1570" s="426"/>
      <c r="AT1570" s="426"/>
      <c r="AU1570" s="409"/>
    </row>
    <row r="1571" spans="1:55" s="402" customFormat="1">
      <c r="A1571" s="403" t="s">
        <v>4401</v>
      </c>
      <c r="B1571" s="446">
        <v>44616</v>
      </c>
      <c r="C1571" s="446">
        <v>44616</v>
      </c>
      <c r="D1571" s="416" t="s">
        <v>2480</v>
      </c>
      <c r="E1571" s="405"/>
      <c r="F1571" s="405"/>
      <c r="G1571" s="405">
        <v>2022</v>
      </c>
      <c r="H1571" s="405">
        <v>5</v>
      </c>
      <c r="I1571" s="405">
        <v>128543</v>
      </c>
      <c r="J1571" s="406">
        <v>44687</v>
      </c>
      <c r="K1571" s="414" t="s">
        <v>4160</v>
      </c>
      <c r="L1571" s="405" t="s">
        <v>1939</v>
      </c>
      <c r="M1571" s="418">
        <v>44615</v>
      </c>
      <c r="N1571" s="418">
        <v>44615</v>
      </c>
      <c r="O1571" s="418"/>
      <c r="P1571" s="406">
        <v>44679</v>
      </c>
      <c r="Q1571" s="406">
        <v>44684</v>
      </c>
      <c r="R1571" s="406">
        <v>44687</v>
      </c>
      <c r="S1571" s="405" t="s">
        <v>1940</v>
      </c>
      <c r="T1571" s="405">
        <v>60</v>
      </c>
      <c r="U1571" s="405" t="s">
        <v>1237</v>
      </c>
      <c r="V1571" s="405" t="s">
        <v>973</v>
      </c>
      <c r="W1571" s="405">
        <v>400</v>
      </c>
      <c r="X1571" s="407">
        <v>544</v>
      </c>
      <c r="Y1571" s="408">
        <f t="shared" si="337"/>
        <v>217600</v>
      </c>
      <c r="Z1571" s="409">
        <f t="shared" si="331"/>
        <v>0.47</v>
      </c>
      <c r="AA1571" s="410">
        <f t="shared" si="338"/>
        <v>102272</v>
      </c>
      <c r="AB1571" s="411"/>
      <c r="AC1571" s="412">
        <f t="shared" si="332"/>
        <v>0</v>
      </c>
      <c r="AD1571" s="421"/>
      <c r="AE1571" s="413">
        <v>8437.44</v>
      </c>
      <c r="AF1571" s="424">
        <f t="shared" si="333"/>
        <v>110709.44</v>
      </c>
      <c r="AG1571" s="405" t="s">
        <v>47</v>
      </c>
      <c r="AH1571" s="405"/>
      <c r="AI1571" s="414" t="s">
        <v>1937</v>
      </c>
      <c r="AJ1571" s="405" t="s">
        <v>1944</v>
      </c>
      <c r="AK1571" s="425" t="s">
        <v>1136</v>
      </c>
      <c r="AL1571" s="405">
        <v>75061</v>
      </c>
      <c r="AM1571" s="405" t="s">
        <v>52</v>
      </c>
      <c r="AN1571" s="405" t="s">
        <v>50</v>
      </c>
      <c r="AO1571" s="405"/>
      <c r="AP1571" s="417"/>
      <c r="AQ1571" s="417" t="s">
        <v>37</v>
      </c>
      <c r="AR1571" s="417"/>
      <c r="AS1571" s="426"/>
      <c r="AT1571" s="426"/>
      <c r="AU1571" s="409"/>
    </row>
    <row r="1572" spans="1:55" s="402" customFormat="1">
      <c r="A1572" s="403" t="s">
        <v>4401</v>
      </c>
      <c r="B1572" s="446">
        <v>44616</v>
      </c>
      <c r="C1572" s="446">
        <v>44616</v>
      </c>
      <c r="D1572" s="416" t="s">
        <v>2480</v>
      </c>
      <c r="E1572" s="405"/>
      <c r="F1572" s="405"/>
      <c r="G1572" s="405">
        <v>2022</v>
      </c>
      <c r="H1572" s="405">
        <v>5</v>
      </c>
      <c r="I1572" s="405"/>
      <c r="J1572" s="406"/>
      <c r="K1572" s="414" t="s">
        <v>4160</v>
      </c>
      <c r="L1572" s="405" t="s">
        <v>1939</v>
      </c>
      <c r="M1572" s="418">
        <v>44615</v>
      </c>
      <c r="N1572" s="418">
        <v>44615</v>
      </c>
      <c r="O1572" s="418"/>
      <c r="P1572" s="406">
        <v>44679</v>
      </c>
      <c r="Q1572" s="406">
        <v>44691</v>
      </c>
      <c r="R1572" s="406">
        <v>44694</v>
      </c>
      <c r="S1572" s="405" t="s">
        <v>1940</v>
      </c>
      <c r="T1572" s="405">
        <v>60</v>
      </c>
      <c r="U1572" s="405" t="s">
        <v>1237</v>
      </c>
      <c r="V1572" s="405" t="s">
        <v>973</v>
      </c>
      <c r="W1572" s="405">
        <v>400</v>
      </c>
      <c r="X1572" s="407">
        <v>544</v>
      </c>
      <c r="Y1572" s="408">
        <f t="shared" si="337"/>
        <v>217600</v>
      </c>
      <c r="Z1572" s="409">
        <f t="shared" si="331"/>
        <v>0.47</v>
      </c>
      <c r="AA1572" s="410">
        <f t="shared" si="338"/>
        <v>102272</v>
      </c>
      <c r="AB1572" s="411"/>
      <c r="AC1572" s="412">
        <f t="shared" si="332"/>
        <v>0</v>
      </c>
      <c r="AD1572" s="421"/>
      <c r="AE1572" s="413"/>
      <c r="AF1572" s="424">
        <f t="shared" si="333"/>
        <v>102272</v>
      </c>
      <c r="AG1572" s="405" t="s">
        <v>47</v>
      </c>
      <c r="AH1572" s="405"/>
      <c r="AI1572" s="414" t="s">
        <v>1937</v>
      </c>
      <c r="AJ1572" s="405" t="s">
        <v>1944</v>
      </c>
      <c r="AK1572" s="425" t="s">
        <v>1136</v>
      </c>
      <c r="AL1572" s="425">
        <v>75061</v>
      </c>
      <c r="AM1572" s="405" t="s">
        <v>52</v>
      </c>
      <c r="AN1572" s="405" t="s">
        <v>50</v>
      </c>
      <c r="AO1572" s="405"/>
      <c r="AP1572" s="417"/>
      <c r="AQ1572" s="417" t="s">
        <v>37</v>
      </c>
      <c r="AR1572" s="417"/>
      <c r="AS1572" s="426"/>
      <c r="AT1572" s="426"/>
      <c r="AU1572" s="409"/>
    </row>
    <row r="1573" spans="1:55" s="402" customFormat="1">
      <c r="A1573" s="403" t="s">
        <v>4401</v>
      </c>
      <c r="B1573" s="446">
        <v>44616</v>
      </c>
      <c r="C1573" s="446">
        <v>44616</v>
      </c>
      <c r="D1573" s="416" t="s">
        <v>2480</v>
      </c>
      <c r="E1573" s="405"/>
      <c r="F1573" s="405"/>
      <c r="G1573" s="405">
        <v>2022</v>
      </c>
      <c r="H1573" s="405">
        <v>5</v>
      </c>
      <c r="I1573" s="405">
        <v>128544</v>
      </c>
      <c r="J1573" s="406">
        <v>44687</v>
      </c>
      <c r="K1573" s="414" t="s">
        <v>4179</v>
      </c>
      <c r="L1573" s="405" t="s">
        <v>1939</v>
      </c>
      <c r="M1573" s="418">
        <v>44615</v>
      </c>
      <c r="N1573" s="418">
        <v>44615</v>
      </c>
      <c r="O1573" s="418"/>
      <c r="P1573" s="406">
        <v>44679</v>
      </c>
      <c r="Q1573" s="406">
        <v>44685</v>
      </c>
      <c r="R1573" s="406">
        <v>44687</v>
      </c>
      <c r="S1573" s="405" t="s">
        <v>1940</v>
      </c>
      <c r="T1573" s="405">
        <v>60</v>
      </c>
      <c r="U1573" s="405" t="s">
        <v>1237</v>
      </c>
      <c r="V1573" s="405" t="s">
        <v>973</v>
      </c>
      <c r="W1573" s="405">
        <v>400</v>
      </c>
      <c r="X1573" s="407">
        <v>768</v>
      </c>
      <c r="Y1573" s="408">
        <f t="shared" si="337"/>
        <v>307200</v>
      </c>
      <c r="Z1573" s="409">
        <f t="shared" si="331"/>
        <v>0.47</v>
      </c>
      <c r="AA1573" s="410">
        <f t="shared" si="338"/>
        <v>144384</v>
      </c>
      <c r="AB1573" s="411"/>
      <c r="AC1573" s="412">
        <f t="shared" si="332"/>
        <v>0</v>
      </c>
      <c r="AD1573" s="421"/>
      <c r="AE1573" s="413"/>
      <c r="AF1573" s="424">
        <f t="shared" si="333"/>
        <v>144384</v>
      </c>
      <c r="AG1573" s="405" t="s">
        <v>47</v>
      </c>
      <c r="AH1573" s="405"/>
      <c r="AI1573" s="414" t="s">
        <v>1937</v>
      </c>
      <c r="AJ1573" s="405" t="s">
        <v>1946</v>
      </c>
      <c r="AK1573" s="425" t="s">
        <v>1930</v>
      </c>
      <c r="AL1573" s="405">
        <v>80239</v>
      </c>
      <c r="AM1573" s="405" t="s">
        <v>52</v>
      </c>
      <c r="AN1573" s="405" t="s">
        <v>50</v>
      </c>
      <c r="AO1573" s="405"/>
      <c r="AP1573" s="417"/>
      <c r="AQ1573" s="417" t="s">
        <v>37</v>
      </c>
      <c r="AR1573" s="417"/>
      <c r="AS1573" s="426"/>
      <c r="AT1573" s="426"/>
      <c r="AU1573" s="409"/>
      <c r="AV1573" s="402" t="str">
        <f>U1573</f>
        <v>30390456H</v>
      </c>
      <c r="AW1573" s="402" cm="1">
        <f t="array" ref="AW1573">SUM(MID(0&amp;AV1573,LARGE(INDEX(ISNUMBER(--MID(AV1573,ROW($1:$8),1))*ROW($1:$8),),ROW($1:$8))+1,1)*10^ROW($1:$8)/10)</f>
        <v>30390456</v>
      </c>
      <c r="AX1573" s="402" t="str">
        <f>VLOOKUP($AW1573,'Item Master Data'!$A:$F,3,FALSE)</f>
        <v>Q.PEAK DUO BLK ML G10+</v>
      </c>
      <c r="AY1573" s="402">
        <f>VLOOKUP($AW1573,'Item Master Data'!$A:$F,6,FALSE)</f>
        <v>400</v>
      </c>
      <c r="AZ1573" s="402">
        <f>X1573/BA1573</f>
        <v>24</v>
      </c>
      <c r="BA1573" s="402">
        <f>VLOOKUP(AW1573,'Item Master Data'!$A:$G,7,FALSE)</f>
        <v>32</v>
      </c>
      <c r="BC1573" s="402">
        <f>W1573-AY1573</f>
        <v>0</v>
      </c>
    </row>
    <row r="1574" spans="1:55" s="402" customFormat="1">
      <c r="A1574" s="403" t="s">
        <v>4401</v>
      </c>
      <c r="B1574" s="446">
        <v>44616</v>
      </c>
      <c r="C1574" s="446">
        <v>44616</v>
      </c>
      <c r="D1574" s="416" t="s">
        <v>2480</v>
      </c>
      <c r="E1574" s="405"/>
      <c r="F1574" s="405"/>
      <c r="G1574" s="405">
        <v>2022</v>
      </c>
      <c r="H1574" s="405">
        <v>5</v>
      </c>
      <c r="I1574" s="405"/>
      <c r="J1574" s="406"/>
      <c r="K1574" s="414" t="s">
        <v>4179</v>
      </c>
      <c r="L1574" s="405" t="s">
        <v>1939</v>
      </c>
      <c r="M1574" s="418">
        <v>44615</v>
      </c>
      <c r="N1574" s="418">
        <v>44615</v>
      </c>
      <c r="O1574" s="418"/>
      <c r="P1574" s="406">
        <v>44679</v>
      </c>
      <c r="Q1574" s="406">
        <v>44692</v>
      </c>
      <c r="R1574" s="406">
        <v>44694</v>
      </c>
      <c r="S1574" s="405" t="s">
        <v>1940</v>
      </c>
      <c r="T1574" s="405">
        <v>60</v>
      </c>
      <c r="U1574" s="405" t="s">
        <v>1237</v>
      </c>
      <c r="V1574" s="405" t="s">
        <v>973</v>
      </c>
      <c r="W1574" s="405">
        <v>400</v>
      </c>
      <c r="X1574" s="407">
        <v>768</v>
      </c>
      <c r="Y1574" s="408">
        <f t="shared" si="337"/>
        <v>307200</v>
      </c>
      <c r="Z1574" s="409">
        <f t="shared" si="331"/>
        <v>0.47</v>
      </c>
      <c r="AA1574" s="410">
        <f t="shared" si="338"/>
        <v>144384</v>
      </c>
      <c r="AB1574" s="411"/>
      <c r="AC1574" s="412">
        <f t="shared" si="332"/>
        <v>0</v>
      </c>
      <c r="AD1574" s="421"/>
      <c r="AE1574" s="413"/>
      <c r="AF1574" s="424">
        <f t="shared" si="333"/>
        <v>144384</v>
      </c>
      <c r="AG1574" s="405" t="s">
        <v>47</v>
      </c>
      <c r="AH1574" s="405"/>
      <c r="AI1574" s="414" t="s">
        <v>1937</v>
      </c>
      <c r="AJ1574" s="405" t="s">
        <v>1946</v>
      </c>
      <c r="AK1574" s="425" t="s">
        <v>1930</v>
      </c>
      <c r="AL1574" s="425">
        <v>80239</v>
      </c>
      <c r="AM1574" s="405" t="s">
        <v>52</v>
      </c>
      <c r="AN1574" s="405" t="s">
        <v>50</v>
      </c>
      <c r="AO1574" s="405"/>
      <c r="AP1574" s="417"/>
      <c r="AQ1574" s="417" t="s">
        <v>37</v>
      </c>
      <c r="AR1574" s="417"/>
      <c r="AS1574" s="426"/>
      <c r="AT1574" s="426"/>
      <c r="AU1574" s="409"/>
      <c r="AV1574" s="402" t="str">
        <f>U1574</f>
        <v>30390456H</v>
      </c>
      <c r="AW1574" s="402" cm="1">
        <f t="array" ref="AW1574">SUM(MID(0&amp;AV1574,LARGE(INDEX(ISNUMBER(--MID(AV1574,ROW($1:$8),1))*ROW($1:$8),),ROW($1:$8))+1,1)*10^ROW($1:$8)/10)</f>
        <v>30390456</v>
      </c>
      <c r="AX1574" s="402" t="str">
        <f>VLOOKUP($AW1574,'Item Master Data'!$A:$F,3,FALSE)</f>
        <v>Q.PEAK DUO BLK ML G10+</v>
      </c>
      <c r="AY1574" s="402">
        <f>VLOOKUP($AW1574,'Item Master Data'!$A:$F,6,FALSE)</f>
        <v>400</v>
      </c>
      <c r="AZ1574" s="402">
        <f>X1574/BA1574</f>
        <v>24</v>
      </c>
      <c r="BA1574" s="402">
        <f>VLOOKUP(AW1574,'Item Master Data'!$A:$G,7,FALSE)</f>
        <v>32</v>
      </c>
      <c r="BC1574" s="402">
        <f>W1574-AY1574</f>
        <v>0</v>
      </c>
    </row>
    <row r="1575" spans="1:55" s="402" customFormat="1">
      <c r="A1575" s="403" t="s">
        <v>4401</v>
      </c>
      <c r="B1575" s="446">
        <v>44616</v>
      </c>
      <c r="C1575" s="446">
        <v>44616</v>
      </c>
      <c r="D1575" s="416" t="s">
        <v>2480</v>
      </c>
      <c r="E1575" s="405" t="s">
        <v>2711</v>
      </c>
      <c r="F1575" s="405"/>
      <c r="G1575" s="405">
        <v>2022</v>
      </c>
      <c r="H1575" s="405">
        <v>5</v>
      </c>
      <c r="I1575" s="405">
        <v>128534</v>
      </c>
      <c r="J1575" s="406">
        <v>44687</v>
      </c>
      <c r="K1575" s="414" t="s">
        <v>4149</v>
      </c>
      <c r="L1575" s="405" t="s">
        <v>1939</v>
      </c>
      <c r="M1575" s="418">
        <v>44615</v>
      </c>
      <c r="N1575" s="418">
        <v>44615</v>
      </c>
      <c r="O1575" s="418"/>
      <c r="P1575" s="406">
        <v>44679</v>
      </c>
      <c r="Q1575" s="406">
        <v>44684</v>
      </c>
      <c r="R1575" s="406">
        <v>44687</v>
      </c>
      <c r="S1575" s="405" t="s">
        <v>1940</v>
      </c>
      <c r="T1575" s="405">
        <v>60</v>
      </c>
      <c r="U1575" s="405" t="s">
        <v>1237</v>
      </c>
      <c r="V1575" s="405" t="s">
        <v>973</v>
      </c>
      <c r="W1575" s="405">
        <v>400</v>
      </c>
      <c r="X1575" s="407">
        <v>448</v>
      </c>
      <c r="Y1575" s="408">
        <f t="shared" si="337"/>
        <v>179200</v>
      </c>
      <c r="Z1575" s="409">
        <f t="shared" si="331"/>
        <v>0.47</v>
      </c>
      <c r="AA1575" s="410">
        <f t="shared" si="338"/>
        <v>84224</v>
      </c>
      <c r="AB1575" s="411"/>
      <c r="AC1575" s="412">
        <f t="shared" si="332"/>
        <v>0</v>
      </c>
      <c r="AD1575" s="421"/>
      <c r="AE1575" s="413">
        <v>5895.68</v>
      </c>
      <c r="AF1575" s="424">
        <f t="shared" si="333"/>
        <v>90119.679999999993</v>
      </c>
      <c r="AG1575" s="405" t="s">
        <v>47</v>
      </c>
      <c r="AH1575" s="405"/>
      <c r="AI1575" s="414" t="s">
        <v>1937</v>
      </c>
      <c r="AJ1575" s="405" t="s">
        <v>1952</v>
      </c>
      <c r="AK1575" s="425" t="s">
        <v>1953</v>
      </c>
      <c r="AL1575" s="405">
        <v>29673</v>
      </c>
      <c r="AM1575" s="405" t="s">
        <v>52</v>
      </c>
      <c r="AN1575" s="405" t="s">
        <v>1082</v>
      </c>
      <c r="AO1575" s="405"/>
      <c r="AP1575" s="417"/>
      <c r="AQ1575" s="417" t="s">
        <v>37</v>
      </c>
      <c r="AR1575" s="417"/>
      <c r="AS1575" s="426"/>
      <c r="AT1575" s="426"/>
      <c r="AU1575" s="409"/>
      <c r="AV1575" s="402" t="str">
        <f>U1575</f>
        <v>30390456H</v>
      </c>
      <c r="AW1575" s="402" cm="1">
        <f t="array" ref="AW1575">SUM(MID(0&amp;AV1575,LARGE(INDEX(ISNUMBER(--MID(AV1575,ROW($1:$8),1))*ROW($1:$8),),ROW($1:$8))+1,1)*10^ROW($1:$8)/10)</f>
        <v>30390456</v>
      </c>
      <c r="AX1575" s="402" t="str">
        <f>VLOOKUP($AW1575,'Item Master Data'!$A:$F,3,FALSE)</f>
        <v>Q.PEAK DUO BLK ML G10+</v>
      </c>
      <c r="AY1575" s="402">
        <f>VLOOKUP($AW1575,'Item Master Data'!$A:$F,6,FALSE)</f>
        <v>400</v>
      </c>
      <c r="AZ1575" s="402">
        <f>X1575/BA1575</f>
        <v>14</v>
      </c>
      <c r="BA1575" s="402">
        <f>VLOOKUP(AW1575,'Item Master Data'!$A:$G,7,FALSE)</f>
        <v>32</v>
      </c>
      <c r="BC1575" s="402">
        <f>W1575-AY1575</f>
        <v>0</v>
      </c>
    </row>
    <row r="1576" spans="1:55" s="402" customFormat="1">
      <c r="A1576" s="403" t="s">
        <v>4401</v>
      </c>
      <c r="B1576" s="446">
        <v>44616</v>
      </c>
      <c r="C1576" s="446">
        <v>44616</v>
      </c>
      <c r="D1576" s="416" t="s">
        <v>2480</v>
      </c>
      <c r="E1576" s="405" t="s">
        <v>2711</v>
      </c>
      <c r="F1576" s="405"/>
      <c r="G1576" s="405">
        <v>2022</v>
      </c>
      <c r="H1576" s="405">
        <v>5</v>
      </c>
      <c r="I1576" s="405"/>
      <c r="J1576" s="406"/>
      <c r="K1576" s="526" t="s">
        <v>4149</v>
      </c>
      <c r="L1576" s="451" t="s">
        <v>1939</v>
      </c>
      <c r="M1576" s="418">
        <v>44615</v>
      </c>
      <c r="N1576" s="418">
        <v>44615</v>
      </c>
      <c r="O1576" s="418"/>
      <c r="P1576" s="406">
        <v>44679</v>
      </c>
      <c r="Q1576" s="406">
        <v>44690</v>
      </c>
      <c r="R1576" s="406">
        <v>44692</v>
      </c>
      <c r="S1576" s="405" t="s">
        <v>1940</v>
      </c>
      <c r="T1576" s="405">
        <v>60</v>
      </c>
      <c r="U1576" s="405" t="s">
        <v>1237</v>
      </c>
      <c r="V1576" s="405" t="s">
        <v>973</v>
      </c>
      <c r="W1576" s="405">
        <v>400</v>
      </c>
      <c r="X1576" s="407">
        <v>416</v>
      </c>
      <c r="Y1576" s="408">
        <f t="shared" si="337"/>
        <v>166400</v>
      </c>
      <c r="Z1576" s="409">
        <f t="shared" si="331"/>
        <v>0.47</v>
      </c>
      <c r="AA1576" s="410">
        <f t="shared" si="338"/>
        <v>78208</v>
      </c>
      <c r="AB1576" s="411"/>
      <c r="AC1576" s="412">
        <f t="shared" si="332"/>
        <v>0</v>
      </c>
      <c r="AD1576" s="421"/>
      <c r="AE1576" s="413"/>
      <c r="AF1576" s="424">
        <f t="shared" si="333"/>
        <v>78208</v>
      </c>
      <c r="AG1576" s="405" t="s">
        <v>47</v>
      </c>
      <c r="AH1576" s="405"/>
      <c r="AI1576" s="414" t="s">
        <v>1937</v>
      </c>
      <c r="AJ1576" s="405" t="s">
        <v>1952</v>
      </c>
      <c r="AK1576" s="425" t="s">
        <v>1953</v>
      </c>
      <c r="AL1576" s="425">
        <v>29673</v>
      </c>
      <c r="AM1576" s="405" t="s">
        <v>52</v>
      </c>
      <c r="AN1576" s="405" t="s">
        <v>1082</v>
      </c>
      <c r="AO1576" s="405"/>
      <c r="AP1576" s="417"/>
      <c r="AQ1576" s="417" t="s">
        <v>37</v>
      </c>
      <c r="AR1576" s="417"/>
      <c r="AS1576" s="426"/>
      <c r="AT1576" s="426"/>
      <c r="AU1576" s="409"/>
      <c r="AV1576" s="402" t="str">
        <f>U1576</f>
        <v>30390456H</v>
      </c>
      <c r="AW1576" s="402" cm="1">
        <f t="array" ref="AW1576">SUM(MID(0&amp;AV1576,LARGE(INDEX(ISNUMBER(--MID(AV1576,ROW($1:$8),1))*ROW($1:$8),),ROW($1:$8))+1,1)*10^ROW($1:$8)/10)</f>
        <v>30390456</v>
      </c>
      <c r="AX1576" s="402" t="str">
        <f>VLOOKUP($AW1576,'Item Master Data'!$A:$F,3,FALSE)</f>
        <v>Q.PEAK DUO BLK ML G10+</v>
      </c>
      <c r="AY1576" s="402">
        <f>VLOOKUP($AW1576,'Item Master Data'!$A:$F,6,FALSE)</f>
        <v>400</v>
      </c>
      <c r="AZ1576" s="402">
        <f>X1576/BA1576</f>
        <v>13</v>
      </c>
      <c r="BA1576" s="402">
        <f>VLOOKUP(AW1576,'Item Master Data'!$A:$G,7,FALSE)</f>
        <v>32</v>
      </c>
      <c r="BC1576" s="402">
        <f>W1576-AY1576</f>
        <v>0</v>
      </c>
    </row>
    <row r="1577" spans="1:55" s="402" customFormat="1">
      <c r="A1577" s="403">
        <v>1</v>
      </c>
      <c r="B1577" s="446">
        <v>44616</v>
      </c>
      <c r="C1577" s="446">
        <v>44616</v>
      </c>
      <c r="D1577" s="416" t="s">
        <v>2480</v>
      </c>
      <c r="E1577" s="405"/>
      <c r="F1577" s="405"/>
      <c r="G1577" s="405">
        <v>2022</v>
      </c>
      <c r="H1577" s="405">
        <v>5</v>
      </c>
      <c r="I1577" s="405">
        <v>128552</v>
      </c>
      <c r="J1577" s="406">
        <v>44687</v>
      </c>
      <c r="K1577" s="414" t="s">
        <v>4162</v>
      </c>
      <c r="L1577" s="405" t="s">
        <v>1939</v>
      </c>
      <c r="M1577" s="418">
        <v>44615</v>
      </c>
      <c r="N1577" s="418">
        <v>44615</v>
      </c>
      <c r="O1577" s="418"/>
      <c r="P1577" s="406">
        <v>44679</v>
      </c>
      <c r="Q1577" s="406">
        <v>44684</v>
      </c>
      <c r="R1577" s="406">
        <v>44687</v>
      </c>
      <c r="S1577" s="405" t="s">
        <v>1940</v>
      </c>
      <c r="T1577" s="405">
        <v>60</v>
      </c>
      <c r="U1577" s="405" t="s">
        <v>1237</v>
      </c>
      <c r="V1577" s="405" t="s">
        <v>973</v>
      </c>
      <c r="W1577" s="405">
        <v>400</v>
      </c>
      <c r="X1577" s="407">
        <v>704</v>
      </c>
      <c r="Y1577" s="408">
        <f t="shared" si="337"/>
        <v>281600</v>
      </c>
      <c r="Z1577" s="409">
        <f t="shared" si="331"/>
        <v>0.47</v>
      </c>
      <c r="AA1577" s="410">
        <f t="shared" si="338"/>
        <v>132352</v>
      </c>
      <c r="AB1577" s="411"/>
      <c r="AC1577" s="412">
        <f t="shared" si="332"/>
        <v>0</v>
      </c>
      <c r="AD1577" s="421"/>
      <c r="AE1577" s="413">
        <v>10919.04</v>
      </c>
      <c r="AF1577" s="424">
        <f t="shared" si="333"/>
        <v>143271.04000000001</v>
      </c>
      <c r="AG1577" s="405" t="s">
        <v>47</v>
      </c>
      <c r="AH1577" s="405"/>
      <c r="AI1577" s="414" t="s">
        <v>1937</v>
      </c>
      <c r="AJ1577" s="405" t="s">
        <v>1323</v>
      </c>
      <c r="AK1577" s="425" t="s">
        <v>1136</v>
      </c>
      <c r="AL1577" s="405">
        <v>77041</v>
      </c>
      <c r="AM1577" s="405" t="s">
        <v>52</v>
      </c>
      <c r="AN1577" s="405" t="s">
        <v>50</v>
      </c>
      <c r="AO1577" s="405"/>
      <c r="AP1577" s="417"/>
      <c r="AQ1577" s="417" t="s">
        <v>37</v>
      </c>
      <c r="AR1577" s="417"/>
      <c r="AS1577" s="426"/>
      <c r="AT1577" s="426"/>
      <c r="AU1577" s="409"/>
    </row>
    <row r="1578" spans="1:55" s="402" customFormat="1">
      <c r="A1578" s="403">
        <v>2</v>
      </c>
      <c r="B1578" s="446">
        <v>44616</v>
      </c>
      <c r="C1578" s="446">
        <v>44616</v>
      </c>
      <c r="D1578" s="416" t="s">
        <v>2480</v>
      </c>
      <c r="E1578" s="405"/>
      <c r="F1578" s="405"/>
      <c r="G1578" s="405">
        <v>2022</v>
      </c>
      <c r="H1578" s="405">
        <v>5</v>
      </c>
      <c r="I1578" s="405"/>
      <c r="J1578" s="406"/>
      <c r="K1578" s="414" t="s">
        <v>4162</v>
      </c>
      <c r="L1578" s="405" t="s">
        <v>1939</v>
      </c>
      <c r="M1578" s="418">
        <v>44615</v>
      </c>
      <c r="N1578" s="418">
        <v>44615</v>
      </c>
      <c r="O1578" s="418"/>
      <c r="P1578" s="406">
        <v>44679</v>
      </c>
      <c r="Q1578" s="406">
        <v>44691</v>
      </c>
      <c r="R1578" s="406">
        <v>44694</v>
      </c>
      <c r="S1578" s="405" t="s">
        <v>1940</v>
      </c>
      <c r="T1578" s="405">
        <v>60</v>
      </c>
      <c r="U1578" s="405" t="s">
        <v>1237</v>
      </c>
      <c r="V1578" s="405" t="s">
        <v>973</v>
      </c>
      <c r="W1578" s="405">
        <v>400</v>
      </c>
      <c r="X1578" s="407">
        <v>512</v>
      </c>
      <c r="Y1578" s="408">
        <f t="shared" si="337"/>
        <v>204800</v>
      </c>
      <c r="Z1578" s="409">
        <f t="shared" si="331"/>
        <v>0.47</v>
      </c>
      <c r="AA1578" s="410">
        <f t="shared" si="338"/>
        <v>96256</v>
      </c>
      <c r="AB1578" s="411"/>
      <c r="AC1578" s="412">
        <f t="shared" si="332"/>
        <v>0</v>
      </c>
      <c r="AD1578" s="421"/>
      <c r="AE1578" s="413"/>
      <c r="AF1578" s="424">
        <f t="shared" si="333"/>
        <v>96256</v>
      </c>
      <c r="AG1578" s="405" t="s">
        <v>47</v>
      </c>
      <c r="AH1578" s="405"/>
      <c r="AI1578" s="414" t="s">
        <v>1937</v>
      </c>
      <c r="AJ1578" s="405" t="s">
        <v>1323</v>
      </c>
      <c r="AK1578" s="425" t="s">
        <v>1136</v>
      </c>
      <c r="AL1578" s="425">
        <v>77041</v>
      </c>
      <c r="AM1578" s="405" t="s">
        <v>52</v>
      </c>
      <c r="AN1578" s="405" t="s">
        <v>50</v>
      </c>
      <c r="AO1578" s="405"/>
      <c r="AP1578" s="417"/>
      <c r="AQ1578" s="417" t="s">
        <v>37</v>
      </c>
      <c r="AR1578" s="417"/>
      <c r="AS1578" s="426"/>
      <c r="AT1578" s="426"/>
      <c r="AU1578" s="409"/>
      <c r="AV1578" s="402" t="str">
        <f>U1578</f>
        <v>30390456H</v>
      </c>
      <c r="AW1578" s="402" cm="1">
        <f t="array" ref="AW1578">SUM(MID(0&amp;AV1578,LARGE(INDEX(ISNUMBER(--MID(AV1578,ROW($1:$8),1))*ROW($1:$8),),ROW($1:$8))+1,1)*10^ROW($1:$8)/10)</f>
        <v>30390456</v>
      </c>
      <c r="AX1578" s="402" t="str">
        <f>VLOOKUP($AW1578,'Item Master Data'!$A:$F,3,FALSE)</f>
        <v>Q.PEAK DUO BLK ML G10+</v>
      </c>
      <c r="AY1578" s="402">
        <f>VLOOKUP($AW1578,'Item Master Data'!$A:$F,6,FALSE)</f>
        <v>400</v>
      </c>
      <c r="AZ1578" s="402">
        <f>X1578/BA1578</f>
        <v>16</v>
      </c>
      <c r="BA1578" s="402">
        <f>VLOOKUP(AW1578,'Item Master Data'!$A:$G,7,FALSE)</f>
        <v>32</v>
      </c>
      <c r="BC1578" s="402">
        <f>W1578-AY1578</f>
        <v>0</v>
      </c>
    </row>
    <row r="1579" spans="1:55" s="402" customFormat="1">
      <c r="A1579" s="403">
        <v>3</v>
      </c>
      <c r="B1579" s="446">
        <v>44616</v>
      </c>
      <c r="C1579" s="446">
        <v>44616</v>
      </c>
      <c r="D1579" s="416" t="s">
        <v>2480</v>
      </c>
      <c r="E1579" s="405"/>
      <c r="F1579" s="405"/>
      <c r="G1579" s="475">
        <v>2022</v>
      </c>
      <c r="H1579" s="475">
        <v>5</v>
      </c>
      <c r="I1579" s="475"/>
      <c r="J1579" s="476"/>
      <c r="K1579" s="499" t="s">
        <v>4156</v>
      </c>
      <c r="L1579" s="475" t="s">
        <v>1939</v>
      </c>
      <c r="M1579" s="418">
        <v>44615</v>
      </c>
      <c r="N1579" s="418">
        <v>44615</v>
      </c>
      <c r="O1579" s="418"/>
      <c r="P1579" s="406">
        <v>44694</v>
      </c>
      <c r="Q1579" s="406"/>
      <c r="R1579" s="406"/>
      <c r="S1579" s="405" t="s">
        <v>1940</v>
      </c>
      <c r="T1579" s="405">
        <v>60</v>
      </c>
      <c r="U1579" s="405">
        <v>49405140</v>
      </c>
      <c r="V1579" s="405" t="s">
        <v>973</v>
      </c>
      <c r="W1579" s="405">
        <v>400</v>
      </c>
      <c r="X1579" s="407">
        <f>320+192</f>
        <v>512</v>
      </c>
      <c r="Y1579" s="408">
        <f t="shared" si="337"/>
        <v>204800</v>
      </c>
      <c r="Z1579" s="409">
        <f t="shared" si="331"/>
        <v>0.47</v>
      </c>
      <c r="AA1579" s="410">
        <f t="shared" si="338"/>
        <v>96256</v>
      </c>
      <c r="AB1579" s="411"/>
      <c r="AC1579" s="412">
        <f t="shared" si="332"/>
        <v>0</v>
      </c>
      <c r="AD1579" s="421"/>
      <c r="AE1579" s="413"/>
      <c r="AF1579" s="424">
        <f t="shared" si="333"/>
        <v>96256</v>
      </c>
      <c r="AG1579" s="405" t="s">
        <v>47</v>
      </c>
      <c r="AH1579" s="405"/>
      <c r="AI1579" s="414" t="s">
        <v>1937</v>
      </c>
      <c r="AJ1579" s="405" t="s">
        <v>1080</v>
      </c>
      <c r="AK1579" s="425" t="s">
        <v>1081</v>
      </c>
      <c r="AL1579" s="425">
        <v>32205</v>
      </c>
      <c r="AM1579" s="405" t="s">
        <v>52</v>
      </c>
      <c r="AN1579" s="405" t="s">
        <v>1071</v>
      </c>
      <c r="AO1579" s="405"/>
      <c r="AP1579" s="417"/>
      <c r="AQ1579" s="417" t="s">
        <v>37</v>
      </c>
      <c r="AR1579" s="417"/>
      <c r="AS1579" s="426"/>
      <c r="AT1579" s="426"/>
      <c r="AU1579" s="409"/>
    </row>
    <row r="1580" spans="1:55" s="402" customFormat="1">
      <c r="A1580" s="403">
        <v>1</v>
      </c>
      <c r="B1580" s="446">
        <v>44616</v>
      </c>
      <c r="C1580" s="446">
        <v>44616</v>
      </c>
      <c r="D1580" s="416" t="s">
        <v>2480</v>
      </c>
      <c r="E1580" s="405"/>
      <c r="F1580" s="405"/>
      <c r="G1580" s="405">
        <v>2022</v>
      </c>
      <c r="H1580" s="405">
        <v>5</v>
      </c>
      <c r="I1580" s="405">
        <v>128545</v>
      </c>
      <c r="J1580" s="406">
        <v>44686</v>
      </c>
      <c r="K1580" s="414" t="s">
        <v>4171</v>
      </c>
      <c r="L1580" s="405" t="s">
        <v>1939</v>
      </c>
      <c r="M1580" s="418">
        <v>44615</v>
      </c>
      <c r="N1580" s="418">
        <v>44615</v>
      </c>
      <c r="O1580" s="418"/>
      <c r="P1580" s="406">
        <v>44679</v>
      </c>
      <c r="Q1580" s="406">
        <v>44685</v>
      </c>
      <c r="R1580" s="406">
        <v>44686</v>
      </c>
      <c r="S1580" s="405" t="s">
        <v>1940</v>
      </c>
      <c r="T1580" s="405">
        <v>60</v>
      </c>
      <c r="U1580" s="405" t="s">
        <v>1237</v>
      </c>
      <c r="V1580" s="405" t="s">
        <v>973</v>
      </c>
      <c r="W1580" s="405">
        <v>400</v>
      </c>
      <c r="X1580" s="407">
        <v>736</v>
      </c>
      <c r="Y1580" s="408">
        <f t="shared" si="337"/>
        <v>294400</v>
      </c>
      <c r="Z1580" s="409">
        <f t="shared" si="331"/>
        <v>0.47</v>
      </c>
      <c r="AA1580" s="410">
        <f t="shared" si="338"/>
        <v>138368</v>
      </c>
      <c r="AB1580" s="411"/>
      <c r="AC1580" s="412">
        <f t="shared" si="332"/>
        <v>0</v>
      </c>
      <c r="AD1580" s="421"/>
      <c r="AE1580" s="413"/>
      <c r="AF1580" s="424">
        <f t="shared" si="333"/>
        <v>138368</v>
      </c>
      <c r="AG1580" s="405" t="s">
        <v>47</v>
      </c>
      <c r="AH1580" s="405"/>
      <c r="AI1580" s="414" t="s">
        <v>1937</v>
      </c>
      <c r="AJ1580" s="405" t="s">
        <v>1124</v>
      </c>
      <c r="AK1580" s="425" t="s">
        <v>1125</v>
      </c>
      <c r="AL1580" s="405">
        <v>85210</v>
      </c>
      <c r="AM1580" s="405" t="s">
        <v>52</v>
      </c>
      <c r="AN1580" s="405" t="s">
        <v>50</v>
      </c>
      <c r="AO1580" s="405"/>
      <c r="AP1580" s="417"/>
      <c r="AQ1580" s="417" t="s">
        <v>37</v>
      </c>
      <c r="AR1580" s="417"/>
      <c r="AS1580" s="426"/>
      <c r="AT1580" s="426"/>
      <c r="AU1580" s="409"/>
    </row>
    <row r="1581" spans="1:55" s="402" customFormat="1">
      <c r="A1581" s="403">
        <v>2</v>
      </c>
      <c r="B1581" s="446">
        <v>44616</v>
      </c>
      <c r="C1581" s="446">
        <v>44616</v>
      </c>
      <c r="D1581" s="416" t="s">
        <v>2480</v>
      </c>
      <c r="E1581" s="405"/>
      <c r="F1581" s="405"/>
      <c r="G1581" s="405">
        <v>2022</v>
      </c>
      <c r="H1581" s="405">
        <v>5</v>
      </c>
      <c r="I1581" s="405"/>
      <c r="J1581" s="406"/>
      <c r="K1581" s="414" t="s">
        <v>4171</v>
      </c>
      <c r="L1581" s="405" t="s">
        <v>1939</v>
      </c>
      <c r="M1581" s="418">
        <v>44615</v>
      </c>
      <c r="N1581" s="418">
        <v>44615</v>
      </c>
      <c r="O1581" s="418"/>
      <c r="P1581" s="406">
        <v>44679</v>
      </c>
      <c r="Q1581" s="406">
        <v>44691</v>
      </c>
      <c r="R1581" s="406">
        <v>44692</v>
      </c>
      <c r="S1581" s="405" t="s">
        <v>1940</v>
      </c>
      <c r="T1581" s="405">
        <v>60</v>
      </c>
      <c r="U1581" s="405" t="s">
        <v>1237</v>
      </c>
      <c r="V1581" s="405" t="s">
        <v>973</v>
      </c>
      <c r="W1581" s="405">
        <v>400</v>
      </c>
      <c r="X1581" s="407">
        <v>640</v>
      </c>
      <c r="Y1581" s="408">
        <f t="shared" si="337"/>
        <v>256000</v>
      </c>
      <c r="Z1581" s="409">
        <f t="shared" si="331"/>
        <v>0.47</v>
      </c>
      <c r="AA1581" s="410">
        <f t="shared" si="338"/>
        <v>120320</v>
      </c>
      <c r="AB1581" s="411"/>
      <c r="AC1581" s="412">
        <f t="shared" si="332"/>
        <v>0</v>
      </c>
      <c r="AD1581" s="421"/>
      <c r="AE1581" s="413"/>
      <c r="AF1581" s="424">
        <f t="shared" si="333"/>
        <v>120320</v>
      </c>
      <c r="AG1581" s="405" t="s">
        <v>47</v>
      </c>
      <c r="AH1581" s="405"/>
      <c r="AI1581" s="414" t="s">
        <v>1937</v>
      </c>
      <c r="AJ1581" s="405" t="s">
        <v>1124</v>
      </c>
      <c r="AK1581" s="425" t="s">
        <v>1125</v>
      </c>
      <c r="AL1581" s="425">
        <v>85210</v>
      </c>
      <c r="AM1581" s="405" t="s">
        <v>52</v>
      </c>
      <c r="AN1581" s="405" t="s">
        <v>50</v>
      </c>
      <c r="AO1581" s="405"/>
      <c r="AP1581" s="417"/>
      <c r="AQ1581" s="417" t="s">
        <v>37</v>
      </c>
      <c r="AR1581" s="417"/>
      <c r="AS1581" s="426"/>
      <c r="AT1581" s="426"/>
      <c r="AU1581" s="409"/>
      <c r="AV1581" s="402" t="str">
        <f>U1581</f>
        <v>30390456H</v>
      </c>
      <c r="AW1581" s="402" cm="1">
        <f t="array" ref="AW1581">SUM(MID(0&amp;AV1581,LARGE(INDEX(ISNUMBER(--MID(AV1581,ROW($1:$8),1))*ROW($1:$8),),ROW($1:$8))+1,1)*10^ROW($1:$8)/10)</f>
        <v>30390456</v>
      </c>
      <c r="AX1581" s="402" t="str">
        <f>VLOOKUP($AW1581,'Item Master Data'!$A:$F,3,FALSE)</f>
        <v>Q.PEAK DUO BLK ML G10+</v>
      </c>
      <c r="AY1581" s="402">
        <f>VLOOKUP($AW1581,'Item Master Data'!$A:$F,6,FALSE)</f>
        <v>400</v>
      </c>
      <c r="AZ1581" s="402">
        <f>X1581/BA1581</f>
        <v>20</v>
      </c>
      <c r="BA1581" s="402">
        <f>VLOOKUP(AW1581,'Item Master Data'!$A:$G,7,FALSE)</f>
        <v>32</v>
      </c>
      <c r="BC1581" s="402">
        <f>W1581-AY1581</f>
        <v>0</v>
      </c>
    </row>
    <row r="1582" spans="1:55" s="402" customFormat="1">
      <c r="A1582" s="403">
        <v>1</v>
      </c>
      <c r="B1582" s="446">
        <v>44616</v>
      </c>
      <c r="C1582" s="446">
        <v>44616</v>
      </c>
      <c r="D1582" s="416" t="s">
        <v>2480</v>
      </c>
      <c r="E1582" s="405"/>
      <c r="F1582" s="405"/>
      <c r="G1582" s="405">
        <v>2022</v>
      </c>
      <c r="H1582" s="405">
        <v>5</v>
      </c>
      <c r="I1582" s="405">
        <v>128537</v>
      </c>
      <c r="J1582" s="406">
        <v>44685</v>
      </c>
      <c r="K1582" s="414" t="s">
        <v>4147</v>
      </c>
      <c r="L1582" s="405" t="s">
        <v>1939</v>
      </c>
      <c r="M1582" s="418">
        <v>44615</v>
      </c>
      <c r="N1582" s="418">
        <v>44615</v>
      </c>
      <c r="O1582" s="418"/>
      <c r="P1582" s="406">
        <v>44679</v>
      </c>
      <c r="Q1582" s="406">
        <v>44684</v>
      </c>
      <c r="R1582" s="406">
        <v>44685</v>
      </c>
      <c r="S1582" s="405" t="s">
        <v>1940</v>
      </c>
      <c r="T1582" s="405">
        <v>60</v>
      </c>
      <c r="U1582" s="405" t="s">
        <v>1237</v>
      </c>
      <c r="V1582" s="405" t="s">
        <v>973</v>
      </c>
      <c r="W1582" s="405">
        <v>400</v>
      </c>
      <c r="X1582" s="407">
        <v>608</v>
      </c>
      <c r="Y1582" s="408">
        <f t="shared" si="337"/>
        <v>243200</v>
      </c>
      <c r="Z1582" s="409">
        <f t="shared" si="331"/>
        <v>0.47</v>
      </c>
      <c r="AA1582" s="410">
        <f t="shared" si="338"/>
        <v>114304</v>
      </c>
      <c r="AB1582" s="411"/>
      <c r="AC1582" s="412">
        <f t="shared" si="332"/>
        <v>0</v>
      </c>
      <c r="AD1582" s="421"/>
      <c r="AE1582" s="413">
        <v>6858.24</v>
      </c>
      <c r="AF1582" s="424">
        <f t="shared" si="333"/>
        <v>121162.24000000001</v>
      </c>
      <c r="AG1582" s="405" t="s">
        <v>47</v>
      </c>
      <c r="AH1582" s="405"/>
      <c r="AI1582" s="414" t="s">
        <v>1937</v>
      </c>
      <c r="AJ1582" s="405" t="s">
        <v>1945</v>
      </c>
      <c r="AK1582" s="425" t="s">
        <v>1317</v>
      </c>
      <c r="AL1582" s="405">
        <v>23502</v>
      </c>
      <c r="AM1582" s="405" t="s">
        <v>52</v>
      </c>
      <c r="AN1582" s="405" t="s">
        <v>1082</v>
      </c>
      <c r="AO1582" s="405"/>
      <c r="AP1582" s="417"/>
      <c r="AQ1582" s="417" t="s">
        <v>37</v>
      </c>
      <c r="AR1582" s="417"/>
      <c r="AS1582" s="426"/>
      <c r="AT1582" s="426"/>
      <c r="AU1582" s="409"/>
      <c r="AV1582" s="402" t="str">
        <f>U1582</f>
        <v>30390456H</v>
      </c>
      <c r="AW1582" s="402" cm="1">
        <f t="array" ref="AW1582">SUM(MID(0&amp;AV1582,LARGE(INDEX(ISNUMBER(--MID(AV1582,ROW($1:$8),1))*ROW($1:$8),),ROW($1:$8))+1,1)*10^ROW($1:$8)/10)</f>
        <v>30390456</v>
      </c>
      <c r="AX1582" s="402" t="str">
        <f>VLOOKUP($AW1582,'Item Master Data'!$A:$F,3,FALSE)</f>
        <v>Q.PEAK DUO BLK ML G10+</v>
      </c>
      <c r="AY1582" s="402">
        <f>VLOOKUP($AW1582,'Item Master Data'!$A:$F,6,FALSE)</f>
        <v>400</v>
      </c>
      <c r="AZ1582" s="402">
        <f>X1582/BA1582</f>
        <v>19</v>
      </c>
      <c r="BA1582" s="402">
        <f>VLOOKUP(AW1582,'Item Master Data'!$A:$G,7,FALSE)</f>
        <v>32</v>
      </c>
      <c r="BC1582" s="402">
        <f>W1582-AY1582</f>
        <v>0</v>
      </c>
    </row>
    <row r="1583" spans="1:55" s="402" customFormat="1">
      <c r="A1583" s="403">
        <v>2</v>
      </c>
      <c r="B1583" s="446">
        <v>44616</v>
      </c>
      <c r="C1583" s="446">
        <v>44616</v>
      </c>
      <c r="D1583" s="416" t="s">
        <v>2480</v>
      </c>
      <c r="E1583" s="405"/>
      <c r="F1583" s="405"/>
      <c r="G1583" s="405">
        <v>2022</v>
      </c>
      <c r="H1583" s="405">
        <v>5</v>
      </c>
      <c r="I1583" s="405"/>
      <c r="J1583" s="406"/>
      <c r="K1583" s="526" t="s">
        <v>4147</v>
      </c>
      <c r="L1583" s="451" t="s">
        <v>1939</v>
      </c>
      <c r="M1583" s="418">
        <v>44615</v>
      </c>
      <c r="N1583" s="418">
        <v>44615</v>
      </c>
      <c r="O1583" s="418"/>
      <c r="P1583" s="406">
        <v>44679</v>
      </c>
      <c r="Q1583" s="406">
        <v>44691</v>
      </c>
      <c r="R1583" s="406">
        <v>44692</v>
      </c>
      <c r="S1583" s="405" t="s">
        <v>1940</v>
      </c>
      <c r="T1583" s="405">
        <v>60</v>
      </c>
      <c r="U1583" s="405" t="s">
        <v>1237</v>
      </c>
      <c r="V1583" s="405" t="s">
        <v>973</v>
      </c>
      <c r="W1583" s="405">
        <v>400</v>
      </c>
      <c r="X1583" s="407">
        <v>576</v>
      </c>
      <c r="Y1583" s="408">
        <f t="shared" si="337"/>
        <v>230400</v>
      </c>
      <c r="Z1583" s="409">
        <f t="shared" si="331"/>
        <v>0.47</v>
      </c>
      <c r="AA1583" s="410">
        <f t="shared" si="338"/>
        <v>108288</v>
      </c>
      <c r="AB1583" s="411"/>
      <c r="AC1583" s="412">
        <f t="shared" si="332"/>
        <v>0</v>
      </c>
      <c r="AD1583" s="421"/>
      <c r="AE1583" s="413"/>
      <c r="AF1583" s="424">
        <f t="shared" si="333"/>
        <v>108288</v>
      </c>
      <c r="AG1583" s="405" t="s">
        <v>47</v>
      </c>
      <c r="AH1583" s="405"/>
      <c r="AI1583" s="414" t="s">
        <v>1937</v>
      </c>
      <c r="AJ1583" s="405" t="s">
        <v>1945</v>
      </c>
      <c r="AK1583" s="425" t="s">
        <v>1317</v>
      </c>
      <c r="AL1583" s="425">
        <v>23502</v>
      </c>
      <c r="AM1583" s="405" t="s">
        <v>52</v>
      </c>
      <c r="AN1583" s="405" t="s">
        <v>1082</v>
      </c>
      <c r="AO1583" s="405"/>
      <c r="AP1583" s="417"/>
      <c r="AQ1583" s="417" t="s">
        <v>37</v>
      </c>
      <c r="AR1583" s="417"/>
      <c r="AS1583" s="426"/>
      <c r="AT1583" s="426"/>
      <c r="AU1583" s="409"/>
    </row>
    <row r="1584" spans="1:55" s="402" customFormat="1">
      <c r="A1584" s="403" t="s">
        <v>4401</v>
      </c>
      <c r="B1584" s="446">
        <v>44616</v>
      </c>
      <c r="C1584" s="446">
        <v>44616</v>
      </c>
      <c r="D1584" s="416" t="s">
        <v>2480</v>
      </c>
      <c r="E1584" s="405"/>
      <c r="F1584" s="405"/>
      <c r="G1584" s="405">
        <v>2022</v>
      </c>
      <c r="H1584" s="405">
        <v>5</v>
      </c>
      <c r="I1584" s="405">
        <v>128546</v>
      </c>
      <c r="J1584" s="406">
        <v>44687</v>
      </c>
      <c r="K1584" s="414" t="s">
        <v>4183</v>
      </c>
      <c r="L1584" s="405" t="s">
        <v>1939</v>
      </c>
      <c r="M1584" s="418">
        <v>44615</v>
      </c>
      <c r="N1584" s="418">
        <v>44615</v>
      </c>
      <c r="O1584" s="418"/>
      <c r="P1584" s="406">
        <v>44679</v>
      </c>
      <c r="Q1584" s="406">
        <v>44685</v>
      </c>
      <c r="R1584" s="406">
        <v>44685</v>
      </c>
      <c r="S1584" s="405" t="s">
        <v>1940</v>
      </c>
      <c r="T1584" s="405">
        <v>60</v>
      </c>
      <c r="U1584" s="405" t="s">
        <v>1237</v>
      </c>
      <c r="V1584" s="405" t="s">
        <v>973</v>
      </c>
      <c r="W1584" s="405">
        <v>400</v>
      </c>
      <c r="X1584" s="407">
        <v>416</v>
      </c>
      <c r="Y1584" s="408">
        <f t="shared" si="337"/>
        <v>166400</v>
      </c>
      <c r="Z1584" s="409">
        <f t="shared" si="331"/>
        <v>0.47</v>
      </c>
      <c r="AA1584" s="410">
        <f t="shared" si="338"/>
        <v>78208</v>
      </c>
      <c r="AB1584" s="411"/>
      <c r="AC1584" s="412">
        <f t="shared" si="332"/>
        <v>0</v>
      </c>
      <c r="AD1584" s="421"/>
      <c r="AE1584" s="413">
        <v>6061.12</v>
      </c>
      <c r="AF1584" s="424">
        <f t="shared" si="333"/>
        <v>84269.119999999995</v>
      </c>
      <c r="AG1584" s="405" t="s">
        <v>47</v>
      </c>
      <c r="AH1584" s="405"/>
      <c r="AI1584" s="414" t="s">
        <v>1937</v>
      </c>
      <c r="AJ1584" s="405" t="s">
        <v>1679</v>
      </c>
      <c r="AK1584" s="425" t="s">
        <v>50</v>
      </c>
      <c r="AL1584" s="405">
        <v>91764</v>
      </c>
      <c r="AM1584" s="405" t="s">
        <v>52</v>
      </c>
      <c r="AN1584" s="405" t="s">
        <v>50</v>
      </c>
      <c r="AO1584" s="405"/>
      <c r="AP1584" s="417"/>
      <c r="AQ1584" s="417" t="s">
        <v>37</v>
      </c>
      <c r="AR1584" s="417"/>
      <c r="AS1584" s="426"/>
      <c r="AT1584" s="426"/>
      <c r="AU1584" s="409"/>
      <c r="AV1584" s="402" t="str">
        <f>U1584</f>
        <v>30390456H</v>
      </c>
      <c r="AW1584" s="402" cm="1">
        <f t="array" ref="AW1584">SUM(MID(0&amp;AV1584,LARGE(INDEX(ISNUMBER(--MID(AV1584,ROW($1:$8),1))*ROW($1:$8),),ROW($1:$8))+1,1)*10^ROW($1:$8)/10)</f>
        <v>30390456</v>
      </c>
      <c r="AX1584" s="402" t="str">
        <f>VLOOKUP($AW1584,'Item Master Data'!$A:$F,3,FALSE)</f>
        <v>Q.PEAK DUO BLK ML G10+</v>
      </c>
      <c r="AY1584" s="402">
        <f>VLOOKUP($AW1584,'Item Master Data'!$A:$F,6,FALSE)</f>
        <v>400</v>
      </c>
      <c r="AZ1584" s="402">
        <f>X1584/BA1584</f>
        <v>13</v>
      </c>
      <c r="BA1584" s="402">
        <f>VLOOKUP(AW1584,'Item Master Data'!$A:$G,7,FALSE)</f>
        <v>32</v>
      </c>
      <c r="BC1584" s="402">
        <f>W1584-AY1584</f>
        <v>0</v>
      </c>
    </row>
    <row r="1585" spans="1:55" s="402" customFormat="1">
      <c r="A1585" s="403" t="s">
        <v>4401</v>
      </c>
      <c r="B1585" s="446">
        <v>44616</v>
      </c>
      <c r="C1585" s="446">
        <v>44616</v>
      </c>
      <c r="D1585" s="416" t="s">
        <v>2480</v>
      </c>
      <c r="E1585" s="405"/>
      <c r="F1585" s="405"/>
      <c r="G1585" s="405">
        <v>2022</v>
      </c>
      <c r="H1585" s="405">
        <v>5</v>
      </c>
      <c r="I1585" s="405"/>
      <c r="J1585" s="406"/>
      <c r="K1585" s="414" t="s">
        <v>4183</v>
      </c>
      <c r="L1585" s="405" t="s">
        <v>1939</v>
      </c>
      <c r="M1585" s="418">
        <v>44615</v>
      </c>
      <c r="N1585" s="418">
        <v>44615</v>
      </c>
      <c r="O1585" s="418"/>
      <c r="P1585" s="406">
        <v>44679</v>
      </c>
      <c r="Q1585" s="406">
        <v>44692</v>
      </c>
      <c r="R1585" s="406">
        <v>44692</v>
      </c>
      <c r="S1585" s="405" t="s">
        <v>1940</v>
      </c>
      <c r="T1585" s="405">
        <v>60</v>
      </c>
      <c r="U1585" s="405" t="s">
        <v>1237</v>
      </c>
      <c r="V1585" s="405" t="s">
        <v>973</v>
      </c>
      <c r="W1585" s="405">
        <v>400</v>
      </c>
      <c r="X1585" s="407">
        <v>416</v>
      </c>
      <c r="Y1585" s="408">
        <f t="shared" si="337"/>
        <v>166400</v>
      </c>
      <c r="Z1585" s="409">
        <f t="shared" si="331"/>
        <v>0.47</v>
      </c>
      <c r="AA1585" s="410">
        <f t="shared" si="338"/>
        <v>78208</v>
      </c>
      <c r="AB1585" s="411"/>
      <c r="AC1585" s="412">
        <f t="shared" si="332"/>
        <v>0</v>
      </c>
      <c r="AD1585" s="421"/>
      <c r="AE1585" s="413"/>
      <c r="AF1585" s="424">
        <f t="shared" si="333"/>
        <v>78208</v>
      </c>
      <c r="AG1585" s="405" t="s">
        <v>47</v>
      </c>
      <c r="AH1585" s="405"/>
      <c r="AI1585" s="414" t="s">
        <v>1937</v>
      </c>
      <c r="AJ1585" s="405" t="s">
        <v>1679</v>
      </c>
      <c r="AK1585" s="425" t="s">
        <v>50</v>
      </c>
      <c r="AL1585" s="425">
        <v>91764</v>
      </c>
      <c r="AM1585" s="405" t="s">
        <v>52</v>
      </c>
      <c r="AN1585" s="405" t="s">
        <v>50</v>
      </c>
      <c r="AO1585" s="405"/>
      <c r="AP1585" s="417"/>
      <c r="AQ1585" s="417" t="s">
        <v>37</v>
      </c>
      <c r="AR1585" s="417"/>
      <c r="AS1585" s="426"/>
      <c r="AT1585" s="426"/>
      <c r="AU1585" s="409"/>
    </row>
    <row r="1586" spans="1:55" s="402" customFormat="1">
      <c r="A1586" s="403">
        <v>1</v>
      </c>
      <c r="B1586" s="446">
        <v>44616</v>
      </c>
      <c r="C1586" s="446">
        <v>44616</v>
      </c>
      <c r="D1586" s="416" t="s">
        <v>2480</v>
      </c>
      <c r="E1586" s="405"/>
      <c r="F1586" s="405"/>
      <c r="G1586" s="405">
        <v>2022</v>
      </c>
      <c r="H1586" s="405">
        <v>5</v>
      </c>
      <c r="I1586" s="405">
        <v>128540</v>
      </c>
      <c r="J1586" s="406">
        <v>44686</v>
      </c>
      <c r="K1586" s="414" t="s">
        <v>4139</v>
      </c>
      <c r="L1586" s="405" t="s">
        <v>1939</v>
      </c>
      <c r="M1586" s="418">
        <v>44615</v>
      </c>
      <c r="N1586" s="418">
        <v>44615</v>
      </c>
      <c r="O1586" s="418"/>
      <c r="P1586" s="406">
        <v>44679</v>
      </c>
      <c r="Q1586" s="406">
        <v>44684</v>
      </c>
      <c r="R1586" s="406">
        <v>44686</v>
      </c>
      <c r="S1586" s="405" t="s">
        <v>1940</v>
      </c>
      <c r="T1586" s="405">
        <v>60</v>
      </c>
      <c r="U1586" s="405" t="s">
        <v>1237</v>
      </c>
      <c r="V1586" s="405" t="s">
        <v>973</v>
      </c>
      <c r="W1586" s="405">
        <v>400</v>
      </c>
      <c r="X1586" s="407">
        <v>512</v>
      </c>
      <c r="Y1586" s="408">
        <f t="shared" si="337"/>
        <v>204800</v>
      </c>
      <c r="Z1586" s="409">
        <f t="shared" si="331"/>
        <v>0.47</v>
      </c>
      <c r="AA1586" s="410">
        <f t="shared" si="338"/>
        <v>96256</v>
      </c>
      <c r="AB1586" s="411"/>
      <c r="AC1586" s="412">
        <f t="shared" si="332"/>
        <v>0</v>
      </c>
      <c r="AD1586" s="421"/>
      <c r="AE1586" s="413"/>
      <c r="AF1586" s="424">
        <f t="shared" si="333"/>
        <v>96256</v>
      </c>
      <c r="AG1586" s="405" t="s">
        <v>47</v>
      </c>
      <c r="AH1586" s="405"/>
      <c r="AI1586" s="414" t="s">
        <v>1937</v>
      </c>
      <c r="AJ1586" s="405" t="s">
        <v>1959</v>
      </c>
      <c r="AK1586" s="425" t="s">
        <v>1081</v>
      </c>
      <c r="AL1586" s="405">
        <v>34741</v>
      </c>
      <c r="AM1586" s="405" t="s">
        <v>52</v>
      </c>
      <c r="AN1586" s="405" t="s">
        <v>1082</v>
      </c>
      <c r="AO1586" s="405"/>
      <c r="AP1586" s="417"/>
      <c r="AQ1586" s="417" t="s">
        <v>37</v>
      </c>
      <c r="AR1586" s="417"/>
      <c r="AS1586" s="426"/>
      <c r="AT1586" s="426"/>
      <c r="AU1586" s="409"/>
    </row>
    <row r="1587" spans="1:55" s="402" customFormat="1">
      <c r="A1587" s="403">
        <v>2</v>
      </c>
      <c r="B1587" s="446">
        <v>44616</v>
      </c>
      <c r="C1587" s="446">
        <v>44616</v>
      </c>
      <c r="D1587" s="416" t="s">
        <v>2480</v>
      </c>
      <c r="E1587" s="405"/>
      <c r="F1587" s="405"/>
      <c r="G1587" s="405">
        <v>2022</v>
      </c>
      <c r="H1587" s="405">
        <v>5</v>
      </c>
      <c r="I1587" s="405"/>
      <c r="J1587" s="406"/>
      <c r="K1587" s="526" t="s">
        <v>4139</v>
      </c>
      <c r="L1587" s="451" t="s">
        <v>1939</v>
      </c>
      <c r="M1587" s="418">
        <v>44615</v>
      </c>
      <c r="N1587" s="418">
        <v>44615</v>
      </c>
      <c r="O1587" s="418"/>
      <c r="P1587" s="406">
        <v>44679</v>
      </c>
      <c r="Q1587" s="406">
        <v>44691</v>
      </c>
      <c r="R1587" s="406">
        <v>44693</v>
      </c>
      <c r="S1587" s="405" t="s">
        <v>1940</v>
      </c>
      <c r="T1587" s="405">
        <v>60</v>
      </c>
      <c r="U1587" s="405" t="s">
        <v>1237</v>
      </c>
      <c r="V1587" s="405" t="s">
        <v>973</v>
      </c>
      <c r="W1587" s="405">
        <v>400</v>
      </c>
      <c r="X1587" s="407">
        <v>512</v>
      </c>
      <c r="Y1587" s="408">
        <f t="shared" si="337"/>
        <v>204800</v>
      </c>
      <c r="Z1587" s="409">
        <f t="shared" si="331"/>
        <v>0.47</v>
      </c>
      <c r="AA1587" s="410">
        <f t="shared" si="338"/>
        <v>96256</v>
      </c>
      <c r="AB1587" s="411"/>
      <c r="AC1587" s="412">
        <f t="shared" si="332"/>
        <v>0</v>
      </c>
      <c r="AD1587" s="421"/>
      <c r="AE1587" s="413"/>
      <c r="AF1587" s="424">
        <f t="shared" si="333"/>
        <v>96256</v>
      </c>
      <c r="AG1587" s="405" t="s">
        <v>47</v>
      </c>
      <c r="AH1587" s="405"/>
      <c r="AI1587" s="414" t="s">
        <v>1937</v>
      </c>
      <c r="AJ1587" s="405" t="s">
        <v>1959</v>
      </c>
      <c r="AK1587" s="425" t="s">
        <v>1081</v>
      </c>
      <c r="AL1587" s="425">
        <v>34741</v>
      </c>
      <c r="AM1587" s="405" t="s">
        <v>52</v>
      </c>
      <c r="AN1587" s="405" t="s">
        <v>1082</v>
      </c>
      <c r="AO1587" s="405"/>
      <c r="AP1587" s="417"/>
      <c r="AQ1587" s="417" t="s">
        <v>37</v>
      </c>
      <c r="AR1587" s="417"/>
      <c r="AS1587" s="426"/>
      <c r="AT1587" s="426"/>
      <c r="AU1587" s="409"/>
    </row>
    <row r="1588" spans="1:55" s="402" customFormat="1">
      <c r="A1588" s="403">
        <v>3</v>
      </c>
      <c r="B1588" s="446">
        <v>44616</v>
      </c>
      <c r="C1588" s="446">
        <v>44616</v>
      </c>
      <c r="D1588" s="416" t="s">
        <v>2480</v>
      </c>
      <c r="E1588" s="405"/>
      <c r="F1588" s="405"/>
      <c r="G1588" s="500">
        <v>2022</v>
      </c>
      <c r="H1588" s="500">
        <v>5</v>
      </c>
      <c r="I1588" s="500"/>
      <c r="J1588" s="501"/>
      <c r="K1588" s="502" t="s">
        <v>4153</v>
      </c>
      <c r="L1588" s="500" t="s">
        <v>1939</v>
      </c>
      <c r="M1588" s="418">
        <v>44615</v>
      </c>
      <c r="N1588" s="418">
        <v>44615</v>
      </c>
      <c r="O1588" s="418"/>
      <c r="P1588" s="406">
        <v>44694</v>
      </c>
      <c r="Q1588" s="406"/>
      <c r="R1588" s="406"/>
      <c r="S1588" s="405" t="s">
        <v>1940</v>
      </c>
      <c r="T1588" s="405">
        <v>60</v>
      </c>
      <c r="U1588" s="405">
        <v>49405140</v>
      </c>
      <c r="V1588" s="405" t="s">
        <v>973</v>
      </c>
      <c r="W1588" s="405">
        <v>400</v>
      </c>
      <c r="X1588" s="407">
        <v>416</v>
      </c>
      <c r="Y1588" s="408">
        <f t="shared" si="337"/>
        <v>166400</v>
      </c>
      <c r="Z1588" s="409">
        <f t="shared" si="331"/>
        <v>0.47</v>
      </c>
      <c r="AA1588" s="410">
        <f t="shared" si="338"/>
        <v>78208</v>
      </c>
      <c r="AB1588" s="411"/>
      <c r="AC1588" s="412">
        <f t="shared" si="332"/>
        <v>0</v>
      </c>
      <c r="AD1588" s="421"/>
      <c r="AE1588" s="413"/>
      <c r="AF1588" s="424">
        <f t="shared" si="333"/>
        <v>78208</v>
      </c>
      <c r="AG1588" s="405" t="s">
        <v>47</v>
      </c>
      <c r="AH1588" s="405"/>
      <c r="AI1588" s="414" t="s">
        <v>1937</v>
      </c>
      <c r="AJ1588" s="405" t="s">
        <v>1956</v>
      </c>
      <c r="AK1588" s="425" t="s">
        <v>1081</v>
      </c>
      <c r="AL1588" s="425">
        <v>32583</v>
      </c>
      <c r="AM1588" s="405" t="s">
        <v>52</v>
      </c>
      <c r="AN1588" s="405" t="s">
        <v>1071</v>
      </c>
      <c r="AO1588" s="405"/>
      <c r="AP1588" s="417"/>
      <c r="AQ1588" s="417" t="s">
        <v>37</v>
      </c>
      <c r="AR1588" s="417"/>
      <c r="AS1588" s="426"/>
      <c r="AT1588" s="426"/>
      <c r="AU1588" s="409"/>
      <c r="AV1588" s="402">
        <f>U1588</f>
        <v>49405140</v>
      </c>
      <c r="AW1588" s="402" cm="1">
        <f t="array" ref="AW1588">SUM(MID(0&amp;AV1588,LARGE(INDEX(ISNUMBER(--MID(AV1588,ROW($1:$8),1))*ROW($1:$8),),ROW($1:$8))+1,1)*10^ROW($1:$8)/10)</f>
        <v>49405140</v>
      </c>
      <c r="AX1588" s="402" t="str">
        <f>VLOOKUP($AW1588,'Item Master Data'!$A:$F,3,FALSE)</f>
        <v>Q.PEAK DUO BLK ML G10+</v>
      </c>
      <c r="AY1588" s="402">
        <f>VLOOKUP($AW1588,'Item Master Data'!$A:$F,6,FALSE)</f>
        <v>400</v>
      </c>
      <c r="AZ1588" s="402">
        <f>X1588/BA1588</f>
        <v>13</v>
      </c>
      <c r="BA1588" s="402">
        <f>VLOOKUP(AW1588,'Item Master Data'!$A:$G,7,FALSE)</f>
        <v>32</v>
      </c>
      <c r="BC1588" s="402">
        <f>W1588-AY1588</f>
        <v>0</v>
      </c>
    </row>
    <row r="1589" spans="1:55" s="402" customFormat="1">
      <c r="A1589" s="403">
        <v>1</v>
      </c>
      <c r="B1589" s="446">
        <v>44616</v>
      </c>
      <c r="C1589" s="446">
        <v>44616</v>
      </c>
      <c r="D1589" s="416" t="s">
        <v>2480</v>
      </c>
      <c r="E1589" s="405"/>
      <c r="F1589" s="405"/>
      <c r="G1589" s="405">
        <v>2022</v>
      </c>
      <c r="H1589" s="405">
        <v>5</v>
      </c>
      <c r="I1589" s="405">
        <v>128539</v>
      </c>
      <c r="J1589" s="406">
        <v>44685</v>
      </c>
      <c r="K1589" s="414" t="s">
        <v>4158</v>
      </c>
      <c r="L1589" s="405" t="s">
        <v>1939</v>
      </c>
      <c r="M1589" s="418">
        <v>44615</v>
      </c>
      <c r="N1589" s="418">
        <v>44615</v>
      </c>
      <c r="O1589" s="418"/>
      <c r="P1589" s="406">
        <v>44679</v>
      </c>
      <c r="Q1589" s="406">
        <v>44684</v>
      </c>
      <c r="R1589" s="406">
        <v>44685</v>
      </c>
      <c r="S1589" s="405" t="s">
        <v>1940</v>
      </c>
      <c r="T1589" s="405">
        <v>60</v>
      </c>
      <c r="U1589" s="405" t="s">
        <v>1237</v>
      </c>
      <c r="V1589" s="405" t="s">
        <v>973</v>
      </c>
      <c r="W1589" s="405">
        <v>400</v>
      </c>
      <c r="X1589" s="407">
        <v>640</v>
      </c>
      <c r="Y1589" s="408">
        <f t="shared" si="337"/>
        <v>256000</v>
      </c>
      <c r="Z1589" s="409">
        <f t="shared" si="331"/>
        <v>0.47</v>
      </c>
      <c r="AA1589" s="410">
        <f t="shared" si="338"/>
        <v>120320</v>
      </c>
      <c r="AB1589" s="411"/>
      <c r="AC1589" s="412">
        <f t="shared" si="332"/>
        <v>0</v>
      </c>
      <c r="AD1589" s="421"/>
      <c r="AE1589" s="413">
        <v>8723.2000000000007</v>
      </c>
      <c r="AF1589" s="424">
        <f t="shared" si="333"/>
        <v>129043.2</v>
      </c>
      <c r="AG1589" s="405" t="s">
        <v>47</v>
      </c>
      <c r="AH1589" s="405"/>
      <c r="AI1589" s="414" t="s">
        <v>1937</v>
      </c>
      <c r="AJ1589" s="405" t="s">
        <v>1957</v>
      </c>
      <c r="AK1589" s="425" t="s">
        <v>1148</v>
      </c>
      <c r="AL1589" s="405">
        <v>27560</v>
      </c>
      <c r="AM1589" s="405" t="s">
        <v>52</v>
      </c>
      <c r="AN1589" s="405" t="s">
        <v>1082</v>
      </c>
      <c r="AO1589" s="405"/>
      <c r="AP1589" s="417"/>
      <c r="AQ1589" s="417" t="s">
        <v>37</v>
      </c>
      <c r="AR1589" s="417"/>
      <c r="AS1589" s="426"/>
      <c r="AT1589" s="426"/>
      <c r="AU1589" s="409"/>
    </row>
    <row r="1590" spans="1:55" s="402" customFormat="1">
      <c r="A1590" s="403">
        <v>1</v>
      </c>
      <c r="B1590" s="446">
        <v>44616</v>
      </c>
      <c r="C1590" s="446">
        <v>44616</v>
      </c>
      <c r="D1590" s="416" t="s">
        <v>2480</v>
      </c>
      <c r="E1590" s="405"/>
      <c r="F1590" s="405"/>
      <c r="G1590" s="405">
        <v>2022</v>
      </c>
      <c r="H1590" s="405">
        <v>5</v>
      </c>
      <c r="I1590" s="405">
        <v>128547</v>
      </c>
      <c r="J1590" s="406">
        <v>44687</v>
      </c>
      <c r="K1590" s="414" t="s">
        <v>4164</v>
      </c>
      <c r="L1590" s="405" t="s">
        <v>1939</v>
      </c>
      <c r="M1590" s="418">
        <v>44615</v>
      </c>
      <c r="N1590" s="418">
        <v>44615</v>
      </c>
      <c r="O1590" s="418"/>
      <c r="P1590" s="406">
        <v>44679</v>
      </c>
      <c r="Q1590" s="406">
        <v>44684</v>
      </c>
      <c r="R1590" s="406">
        <v>44687</v>
      </c>
      <c r="S1590" s="405" t="s">
        <v>1940</v>
      </c>
      <c r="T1590" s="405">
        <v>60</v>
      </c>
      <c r="U1590" s="405" t="s">
        <v>1237</v>
      </c>
      <c r="V1590" s="405" t="s">
        <v>973</v>
      </c>
      <c r="W1590" s="405">
        <v>400</v>
      </c>
      <c r="X1590" s="407">
        <v>416</v>
      </c>
      <c r="Y1590" s="408">
        <f t="shared" si="337"/>
        <v>166400</v>
      </c>
      <c r="Z1590" s="409">
        <f t="shared" si="331"/>
        <v>0.47</v>
      </c>
      <c r="AA1590" s="410">
        <f t="shared" si="338"/>
        <v>78208</v>
      </c>
      <c r="AB1590" s="411"/>
      <c r="AC1590" s="412">
        <f t="shared" si="332"/>
        <v>0</v>
      </c>
      <c r="AD1590" s="421"/>
      <c r="AE1590" s="413">
        <v>6452.16</v>
      </c>
      <c r="AF1590" s="424">
        <f t="shared" si="333"/>
        <v>84660.160000000003</v>
      </c>
      <c r="AG1590" s="405" t="s">
        <v>47</v>
      </c>
      <c r="AH1590" s="405"/>
      <c r="AI1590" s="414" t="s">
        <v>1937</v>
      </c>
      <c r="AJ1590" s="405" t="s">
        <v>1958</v>
      </c>
      <c r="AK1590" s="425" t="s">
        <v>1136</v>
      </c>
      <c r="AL1590" s="405">
        <v>78219</v>
      </c>
      <c r="AM1590" s="405" t="s">
        <v>52</v>
      </c>
      <c r="AN1590" s="405" t="s">
        <v>50</v>
      </c>
      <c r="AO1590" s="405"/>
      <c r="AP1590" s="417"/>
      <c r="AQ1590" s="417" t="s">
        <v>37</v>
      </c>
      <c r="AR1590" s="417"/>
      <c r="AS1590" s="426"/>
      <c r="AT1590" s="426"/>
      <c r="AU1590" s="409"/>
      <c r="AV1590" s="402" t="str">
        <f t="shared" ref="AV1590:AV1595" si="339">U1590</f>
        <v>30390456H</v>
      </c>
      <c r="AW1590" s="402" cm="1">
        <f t="array" ref="AW1590">SUM(MID(0&amp;AV1590,LARGE(INDEX(ISNUMBER(--MID(AV1590,ROW($1:$8),1))*ROW($1:$8),),ROW($1:$8))+1,1)*10^ROW($1:$8)/10)</f>
        <v>30390456</v>
      </c>
      <c r="AX1590" s="402" t="str">
        <f>VLOOKUP($AW1590,'Item Master Data'!$A:$F,3,FALSE)</f>
        <v>Q.PEAK DUO BLK ML G10+</v>
      </c>
      <c r="AY1590" s="402">
        <f>VLOOKUP($AW1590,'Item Master Data'!$A:$F,6,FALSE)</f>
        <v>400</v>
      </c>
      <c r="AZ1590" s="402">
        <f t="shared" ref="AZ1590:AZ1595" si="340">X1590/BA1590</f>
        <v>13</v>
      </c>
      <c r="BA1590" s="402">
        <f>VLOOKUP(AW1590,'Item Master Data'!$A:$G,7,FALSE)</f>
        <v>32</v>
      </c>
      <c r="BC1590" s="402">
        <f t="shared" ref="BC1590:BC1595" si="341">W1590-AY1590</f>
        <v>0</v>
      </c>
    </row>
    <row r="1591" spans="1:55" s="402" customFormat="1">
      <c r="A1591" s="403" t="s">
        <v>4401</v>
      </c>
      <c r="B1591" s="446">
        <v>44616</v>
      </c>
      <c r="C1591" s="446">
        <v>44616</v>
      </c>
      <c r="D1591" s="416" t="s">
        <v>2480</v>
      </c>
      <c r="E1591" s="405"/>
      <c r="F1591" s="405"/>
      <c r="G1591" s="405">
        <v>2022</v>
      </c>
      <c r="H1591" s="405">
        <v>5</v>
      </c>
      <c r="I1591" s="405">
        <v>128548</v>
      </c>
      <c r="J1591" s="406">
        <v>44687</v>
      </c>
      <c r="K1591" s="414" t="s">
        <v>4185</v>
      </c>
      <c r="L1591" s="405" t="s">
        <v>1939</v>
      </c>
      <c r="M1591" s="418">
        <v>44615</v>
      </c>
      <c r="N1591" s="418">
        <v>44615</v>
      </c>
      <c r="O1591" s="418"/>
      <c r="P1591" s="406">
        <v>44679</v>
      </c>
      <c r="Q1591" s="406">
        <v>44686</v>
      </c>
      <c r="R1591" s="406">
        <v>44687</v>
      </c>
      <c r="S1591" s="405" t="s">
        <v>1940</v>
      </c>
      <c r="T1591" s="405">
        <v>60</v>
      </c>
      <c r="U1591" s="405" t="s">
        <v>1237</v>
      </c>
      <c r="V1591" s="405" t="s">
        <v>973</v>
      </c>
      <c r="W1591" s="405">
        <v>400</v>
      </c>
      <c r="X1591" s="407">
        <v>416</v>
      </c>
      <c r="Y1591" s="408">
        <f t="shared" si="337"/>
        <v>166400</v>
      </c>
      <c r="Z1591" s="409">
        <f t="shared" si="331"/>
        <v>0.47</v>
      </c>
      <c r="AA1591" s="410">
        <f t="shared" si="338"/>
        <v>78208</v>
      </c>
      <c r="AB1591" s="411"/>
      <c r="AC1591" s="412">
        <f t="shared" si="332"/>
        <v>0</v>
      </c>
      <c r="AD1591" s="421"/>
      <c r="AE1591" s="413">
        <v>7038.72</v>
      </c>
      <c r="AF1591" s="424">
        <f t="shared" si="333"/>
        <v>85246.720000000001</v>
      </c>
      <c r="AG1591" s="405" t="s">
        <v>47</v>
      </c>
      <c r="AH1591" s="405"/>
      <c r="AI1591" s="414" t="s">
        <v>1937</v>
      </c>
      <c r="AJ1591" s="405" t="s">
        <v>1762</v>
      </c>
      <c r="AK1591" s="425" t="s">
        <v>50</v>
      </c>
      <c r="AL1591" s="405">
        <v>95206</v>
      </c>
      <c r="AM1591" s="405" t="s">
        <v>52</v>
      </c>
      <c r="AN1591" s="405" t="s">
        <v>50</v>
      </c>
      <c r="AO1591" s="405"/>
      <c r="AP1591" s="417"/>
      <c r="AQ1591" s="417" t="s">
        <v>37</v>
      </c>
      <c r="AR1591" s="417"/>
      <c r="AS1591" s="426"/>
      <c r="AT1591" s="426"/>
      <c r="AU1591" s="409"/>
      <c r="AV1591" s="402" t="str">
        <f t="shared" si="339"/>
        <v>30390456H</v>
      </c>
      <c r="AW1591" s="402" cm="1">
        <f t="array" ref="AW1591">SUM(MID(0&amp;AV1591,LARGE(INDEX(ISNUMBER(--MID(AV1591,ROW($1:$8),1))*ROW($1:$8),),ROW($1:$8))+1,1)*10^ROW($1:$8)/10)</f>
        <v>30390456</v>
      </c>
      <c r="AX1591" s="402" t="str">
        <f>VLOOKUP($AW1591,'Item Master Data'!$A:$F,3,FALSE)</f>
        <v>Q.PEAK DUO BLK ML G10+</v>
      </c>
      <c r="AY1591" s="402">
        <f>VLOOKUP($AW1591,'Item Master Data'!$A:$F,6,FALSE)</f>
        <v>400</v>
      </c>
      <c r="AZ1591" s="402">
        <f t="shared" si="340"/>
        <v>13</v>
      </c>
      <c r="BA1591" s="402">
        <f>VLOOKUP(AW1591,'Item Master Data'!$A:$G,7,FALSE)</f>
        <v>32</v>
      </c>
      <c r="BC1591" s="402">
        <f t="shared" si="341"/>
        <v>0</v>
      </c>
    </row>
    <row r="1592" spans="1:55" s="402" customFormat="1">
      <c r="A1592" s="403" t="s">
        <v>4401</v>
      </c>
      <c r="B1592" s="446">
        <v>44616</v>
      </c>
      <c r="C1592" s="446">
        <v>44616</v>
      </c>
      <c r="D1592" s="416" t="s">
        <v>2480</v>
      </c>
      <c r="E1592" s="405"/>
      <c r="F1592" s="405"/>
      <c r="G1592" s="405">
        <v>2022</v>
      </c>
      <c r="H1592" s="405">
        <v>5</v>
      </c>
      <c r="I1592" s="405"/>
      <c r="J1592" s="406"/>
      <c r="K1592" s="414" t="s">
        <v>4185</v>
      </c>
      <c r="L1592" s="405" t="s">
        <v>1939</v>
      </c>
      <c r="M1592" s="418">
        <v>44615</v>
      </c>
      <c r="N1592" s="418">
        <v>44615</v>
      </c>
      <c r="O1592" s="418"/>
      <c r="P1592" s="406">
        <v>44679</v>
      </c>
      <c r="Q1592" s="406">
        <v>44692</v>
      </c>
      <c r="R1592" s="406">
        <v>44692</v>
      </c>
      <c r="S1592" s="405" t="s">
        <v>1940</v>
      </c>
      <c r="T1592" s="405">
        <v>60</v>
      </c>
      <c r="U1592" s="405" t="s">
        <v>1237</v>
      </c>
      <c r="V1592" s="405" t="s">
        <v>973</v>
      </c>
      <c r="W1592" s="405">
        <v>400</v>
      </c>
      <c r="X1592" s="407">
        <v>416</v>
      </c>
      <c r="Y1592" s="408">
        <f t="shared" si="337"/>
        <v>166400</v>
      </c>
      <c r="Z1592" s="409">
        <f t="shared" si="331"/>
        <v>0.47</v>
      </c>
      <c r="AA1592" s="410">
        <f t="shared" si="338"/>
        <v>78208</v>
      </c>
      <c r="AB1592" s="411"/>
      <c r="AC1592" s="412">
        <f t="shared" si="332"/>
        <v>0</v>
      </c>
      <c r="AD1592" s="421"/>
      <c r="AE1592" s="413"/>
      <c r="AF1592" s="424">
        <f t="shared" si="333"/>
        <v>78208</v>
      </c>
      <c r="AG1592" s="405" t="s">
        <v>47</v>
      </c>
      <c r="AH1592" s="405"/>
      <c r="AI1592" s="414" t="s">
        <v>1937</v>
      </c>
      <c r="AJ1592" s="405" t="s">
        <v>1762</v>
      </c>
      <c r="AK1592" s="425" t="s">
        <v>50</v>
      </c>
      <c r="AL1592" s="425">
        <v>95206</v>
      </c>
      <c r="AM1592" s="405" t="s">
        <v>52</v>
      </c>
      <c r="AN1592" s="405" t="s">
        <v>50</v>
      </c>
      <c r="AO1592" s="405"/>
      <c r="AP1592" s="417"/>
      <c r="AQ1592" s="417" t="s">
        <v>37</v>
      </c>
      <c r="AR1592" s="417"/>
      <c r="AS1592" s="426"/>
      <c r="AT1592" s="426"/>
      <c r="AU1592" s="409"/>
      <c r="AV1592" s="402" t="str">
        <f t="shared" si="339"/>
        <v>30390456H</v>
      </c>
      <c r="AW1592" s="402" cm="1">
        <f t="array" ref="AW1592">SUM(MID(0&amp;AV1592,LARGE(INDEX(ISNUMBER(--MID(AV1592,ROW($1:$8),1))*ROW($1:$8),),ROW($1:$8))+1,1)*10^ROW($1:$8)/10)</f>
        <v>30390456</v>
      </c>
      <c r="AX1592" s="402" t="str">
        <f>VLOOKUP($AW1592,'Item Master Data'!$A:$F,3,FALSE)</f>
        <v>Q.PEAK DUO BLK ML G10+</v>
      </c>
      <c r="AY1592" s="402">
        <f>VLOOKUP($AW1592,'Item Master Data'!$A:$F,6,FALSE)</f>
        <v>400</v>
      </c>
      <c r="AZ1592" s="402">
        <f t="shared" si="340"/>
        <v>13</v>
      </c>
      <c r="BA1592" s="402">
        <f>VLOOKUP(AW1592,'Item Master Data'!$A:$G,7,FALSE)</f>
        <v>32</v>
      </c>
      <c r="BC1592" s="402">
        <f t="shared" si="341"/>
        <v>0</v>
      </c>
    </row>
    <row r="1593" spans="1:55" s="402" customFormat="1">
      <c r="A1593" s="403" t="s">
        <v>4401</v>
      </c>
      <c r="B1593" s="446">
        <v>44616</v>
      </c>
      <c r="C1593" s="446">
        <v>44616</v>
      </c>
      <c r="D1593" s="416" t="s">
        <v>2480</v>
      </c>
      <c r="E1593" s="405"/>
      <c r="F1593" s="405"/>
      <c r="G1593" s="405">
        <v>2022</v>
      </c>
      <c r="H1593" s="405">
        <v>5</v>
      </c>
      <c r="I1593" s="405">
        <v>128538</v>
      </c>
      <c r="J1593" s="406">
        <v>44686</v>
      </c>
      <c r="K1593" s="414" t="s">
        <v>4143</v>
      </c>
      <c r="L1593" s="405" t="s">
        <v>1939</v>
      </c>
      <c r="M1593" s="418">
        <v>44615</v>
      </c>
      <c r="N1593" s="418">
        <v>44615</v>
      </c>
      <c r="O1593" s="418"/>
      <c r="P1593" s="406">
        <v>44679</v>
      </c>
      <c r="Q1593" s="406">
        <v>44684</v>
      </c>
      <c r="R1593" s="406">
        <v>44686</v>
      </c>
      <c r="S1593" s="405" t="s">
        <v>1940</v>
      </c>
      <c r="T1593" s="405">
        <v>60</v>
      </c>
      <c r="U1593" s="405" t="s">
        <v>1237</v>
      </c>
      <c r="V1593" s="405" t="s">
        <v>973</v>
      </c>
      <c r="W1593" s="405">
        <v>400</v>
      </c>
      <c r="X1593" s="407">
        <v>416</v>
      </c>
      <c r="Y1593" s="408">
        <f t="shared" si="337"/>
        <v>166400</v>
      </c>
      <c r="Z1593" s="409">
        <f t="shared" si="331"/>
        <v>0.47</v>
      </c>
      <c r="AA1593" s="410">
        <f t="shared" si="338"/>
        <v>78208</v>
      </c>
      <c r="AB1593" s="411"/>
      <c r="AC1593" s="412">
        <f t="shared" si="332"/>
        <v>0</v>
      </c>
      <c r="AD1593" s="421"/>
      <c r="AE1593" s="413"/>
      <c r="AF1593" s="424">
        <f t="shared" si="333"/>
        <v>78208</v>
      </c>
      <c r="AG1593" s="405" t="s">
        <v>47</v>
      </c>
      <c r="AH1593" s="405"/>
      <c r="AI1593" s="414" t="s">
        <v>1937</v>
      </c>
      <c r="AJ1593" s="405" t="s">
        <v>1947</v>
      </c>
      <c r="AK1593" s="425" t="s">
        <v>1081</v>
      </c>
      <c r="AL1593" s="405">
        <v>33762</v>
      </c>
      <c r="AM1593" s="405" t="s">
        <v>52</v>
      </c>
      <c r="AN1593" s="405" t="s">
        <v>1082</v>
      </c>
      <c r="AO1593" s="405"/>
      <c r="AP1593" s="417"/>
      <c r="AQ1593" s="417" t="s">
        <v>37</v>
      </c>
      <c r="AR1593" s="417"/>
      <c r="AS1593" s="426"/>
      <c r="AT1593" s="426"/>
      <c r="AU1593" s="409"/>
      <c r="AV1593" s="402" t="str">
        <f t="shared" si="339"/>
        <v>30390456H</v>
      </c>
      <c r="AW1593" s="402" cm="1">
        <f t="array" ref="AW1593">SUM(MID(0&amp;AV1593,LARGE(INDEX(ISNUMBER(--MID(AV1593,ROW($1:$8),1))*ROW($1:$8),),ROW($1:$8))+1,1)*10^ROW($1:$8)/10)</f>
        <v>30390456</v>
      </c>
      <c r="AX1593" s="402" t="str">
        <f>VLOOKUP($AW1593,'Item Master Data'!$A:$F,3,FALSE)</f>
        <v>Q.PEAK DUO BLK ML G10+</v>
      </c>
      <c r="AY1593" s="402">
        <f>VLOOKUP($AW1593,'Item Master Data'!$A:$F,6,FALSE)</f>
        <v>400</v>
      </c>
      <c r="AZ1593" s="402">
        <f t="shared" si="340"/>
        <v>13</v>
      </c>
      <c r="BA1593" s="402">
        <f>VLOOKUP(AW1593,'Item Master Data'!$A:$G,7,FALSE)</f>
        <v>32</v>
      </c>
      <c r="BC1593" s="402">
        <f t="shared" si="341"/>
        <v>0</v>
      </c>
    </row>
    <row r="1594" spans="1:55" s="402" customFormat="1">
      <c r="A1594" s="403" t="s">
        <v>4401</v>
      </c>
      <c r="B1594" s="446">
        <v>44616</v>
      </c>
      <c r="C1594" s="446">
        <v>44616</v>
      </c>
      <c r="D1594" s="416" t="s">
        <v>2480</v>
      </c>
      <c r="E1594" s="405"/>
      <c r="F1594" s="405"/>
      <c r="G1594" s="405">
        <v>2022</v>
      </c>
      <c r="H1594" s="405">
        <v>5</v>
      </c>
      <c r="I1594" s="405"/>
      <c r="J1594" s="406"/>
      <c r="K1594" s="526" t="s">
        <v>4143</v>
      </c>
      <c r="L1594" s="451" t="s">
        <v>1939</v>
      </c>
      <c r="M1594" s="418">
        <v>44615</v>
      </c>
      <c r="N1594" s="418">
        <v>44615</v>
      </c>
      <c r="O1594" s="418"/>
      <c r="P1594" s="406">
        <v>44679</v>
      </c>
      <c r="Q1594" s="406">
        <v>44691</v>
      </c>
      <c r="R1594" s="406">
        <v>44693</v>
      </c>
      <c r="S1594" s="405" t="s">
        <v>1940</v>
      </c>
      <c r="T1594" s="405">
        <v>60</v>
      </c>
      <c r="U1594" s="405" t="s">
        <v>1237</v>
      </c>
      <c r="V1594" s="405" t="s">
        <v>973</v>
      </c>
      <c r="W1594" s="405">
        <v>400</v>
      </c>
      <c r="X1594" s="407">
        <v>416</v>
      </c>
      <c r="Y1594" s="408">
        <f t="shared" si="337"/>
        <v>166400</v>
      </c>
      <c r="Z1594" s="409">
        <f t="shared" ref="Z1594:Z1625" si="342">188/400</f>
        <v>0.47</v>
      </c>
      <c r="AA1594" s="410">
        <f t="shared" si="338"/>
        <v>78208</v>
      </c>
      <c r="AB1594" s="411"/>
      <c r="AC1594" s="412">
        <f t="shared" ref="AC1594:AC1632" si="343">AB1594*Y1594</f>
        <v>0</v>
      </c>
      <c r="AD1594" s="421"/>
      <c r="AE1594" s="413"/>
      <c r="AF1594" s="424">
        <f t="shared" ref="AF1594:AF1625" si="344">AA1594+AE1594</f>
        <v>78208</v>
      </c>
      <c r="AG1594" s="405" t="s">
        <v>47</v>
      </c>
      <c r="AH1594" s="405"/>
      <c r="AI1594" s="414" t="s">
        <v>1937</v>
      </c>
      <c r="AJ1594" s="405" t="s">
        <v>1947</v>
      </c>
      <c r="AK1594" s="425" t="s">
        <v>1081</v>
      </c>
      <c r="AL1594" s="425">
        <v>33762</v>
      </c>
      <c r="AM1594" s="405" t="s">
        <v>52</v>
      </c>
      <c r="AN1594" s="405" t="s">
        <v>1082</v>
      </c>
      <c r="AO1594" s="405"/>
      <c r="AP1594" s="417"/>
      <c r="AQ1594" s="417" t="s">
        <v>37</v>
      </c>
      <c r="AR1594" s="417"/>
      <c r="AS1594" s="426"/>
      <c r="AT1594" s="426"/>
      <c r="AU1594" s="409"/>
      <c r="AV1594" s="402" t="str">
        <f t="shared" si="339"/>
        <v>30390456H</v>
      </c>
      <c r="AW1594" s="402" cm="1">
        <f t="array" ref="AW1594">SUM(MID(0&amp;AV1594,LARGE(INDEX(ISNUMBER(--MID(AV1594,ROW($1:$8),1))*ROW($1:$8),),ROW($1:$8))+1,1)*10^ROW($1:$8)/10)</f>
        <v>30390456</v>
      </c>
      <c r="AX1594" s="402" t="str">
        <f>VLOOKUP($AW1594,'Item Master Data'!$A:$F,3,FALSE)</f>
        <v>Q.PEAK DUO BLK ML G10+</v>
      </c>
      <c r="AY1594" s="402">
        <f>VLOOKUP($AW1594,'Item Master Data'!$A:$F,6,FALSE)</f>
        <v>400</v>
      </c>
      <c r="AZ1594" s="402">
        <f t="shared" si="340"/>
        <v>13</v>
      </c>
      <c r="BA1594" s="402">
        <f>VLOOKUP(AW1594,'Item Master Data'!$A:$G,7,FALSE)</f>
        <v>32</v>
      </c>
      <c r="BC1594" s="402">
        <f t="shared" si="341"/>
        <v>0</v>
      </c>
    </row>
    <row r="1595" spans="1:55" s="402" customFormat="1">
      <c r="A1595" s="403">
        <v>2</v>
      </c>
      <c r="B1595" s="446">
        <v>44616</v>
      </c>
      <c r="C1595" s="446">
        <v>44616</v>
      </c>
      <c r="D1595" s="416" t="s">
        <v>2480</v>
      </c>
      <c r="E1595" s="405"/>
      <c r="F1595" s="405"/>
      <c r="G1595" s="405">
        <v>2022</v>
      </c>
      <c r="H1595" s="405">
        <v>5</v>
      </c>
      <c r="I1595" s="405"/>
      <c r="J1595" s="406"/>
      <c r="K1595" s="414" t="s">
        <v>4175</v>
      </c>
      <c r="L1595" s="405" t="s">
        <v>1939</v>
      </c>
      <c r="M1595" s="418">
        <v>44615</v>
      </c>
      <c r="N1595" s="418">
        <v>44615</v>
      </c>
      <c r="O1595" s="418"/>
      <c r="P1595" s="406">
        <v>44679</v>
      </c>
      <c r="Q1595" s="406">
        <v>44692</v>
      </c>
      <c r="R1595" s="406">
        <v>44693</v>
      </c>
      <c r="S1595" s="405" t="s">
        <v>1940</v>
      </c>
      <c r="T1595" s="405">
        <v>60</v>
      </c>
      <c r="U1595" s="405" t="s">
        <v>1237</v>
      </c>
      <c r="V1595" s="405" t="s">
        <v>973</v>
      </c>
      <c r="W1595" s="405">
        <v>400</v>
      </c>
      <c r="X1595" s="407">
        <v>384</v>
      </c>
      <c r="Y1595" s="408">
        <f t="shared" si="337"/>
        <v>153600</v>
      </c>
      <c r="Z1595" s="409">
        <f t="shared" si="342"/>
        <v>0.47</v>
      </c>
      <c r="AA1595" s="410">
        <f t="shared" si="338"/>
        <v>72192</v>
      </c>
      <c r="AB1595" s="411"/>
      <c r="AC1595" s="412">
        <f t="shared" si="343"/>
        <v>0</v>
      </c>
      <c r="AD1595" s="421"/>
      <c r="AE1595" s="413"/>
      <c r="AF1595" s="424">
        <f t="shared" si="344"/>
        <v>72192</v>
      </c>
      <c r="AG1595" s="405" t="s">
        <v>47</v>
      </c>
      <c r="AH1595" s="405"/>
      <c r="AI1595" s="414" t="s">
        <v>1937</v>
      </c>
      <c r="AJ1595" s="405" t="s">
        <v>1948</v>
      </c>
      <c r="AK1595" s="425" t="s">
        <v>1125</v>
      </c>
      <c r="AL1595" s="425">
        <v>85714</v>
      </c>
      <c r="AM1595" s="405" t="s">
        <v>52</v>
      </c>
      <c r="AN1595" s="405" t="s">
        <v>50</v>
      </c>
      <c r="AO1595" s="405"/>
      <c r="AP1595" s="417"/>
      <c r="AQ1595" s="417" t="s">
        <v>37</v>
      </c>
      <c r="AR1595" s="417"/>
      <c r="AS1595" s="426"/>
      <c r="AT1595" s="426"/>
      <c r="AU1595" s="409"/>
      <c r="AV1595" s="402" t="str">
        <f t="shared" si="339"/>
        <v>30390456H</v>
      </c>
      <c r="AW1595" s="402" cm="1">
        <f t="array" ref="AW1595">SUM(MID(0&amp;AV1595,LARGE(INDEX(ISNUMBER(--MID(AV1595,ROW($1:$8),1))*ROW($1:$8),),ROW($1:$8))+1,1)*10^ROW($1:$8)/10)</f>
        <v>30390456</v>
      </c>
      <c r="AX1595" s="402" t="str">
        <f>VLOOKUP($AW1595,'Item Master Data'!$A:$F,3,FALSE)</f>
        <v>Q.PEAK DUO BLK ML G10+</v>
      </c>
      <c r="AY1595" s="402">
        <f>VLOOKUP($AW1595,'Item Master Data'!$A:$F,6,FALSE)</f>
        <v>400</v>
      </c>
      <c r="AZ1595" s="402">
        <f t="shared" si="340"/>
        <v>12</v>
      </c>
      <c r="BA1595" s="402">
        <f>VLOOKUP(AW1595,'Item Master Data'!$A:$G,7,FALSE)</f>
        <v>32</v>
      </c>
      <c r="BC1595" s="402">
        <f t="shared" si="341"/>
        <v>0</v>
      </c>
    </row>
    <row r="1596" spans="1:55" s="402" customFormat="1">
      <c r="A1596" s="403">
        <v>2</v>
      </c>
      <c r="B1596" s="446">
        <v>44616</v>
      </c>
      <c r="C1596" s="446">
        <v>44616</v>
      </c>
      <c r="D1596" s="416" t="s">
        <v>2480</v>
      </c>
      <c r="E1596" s="405"/>
      <c r="F1596" s="405"/>
      <c r="G1596" s="405">
        <v>2022</v>
      </c>
      <c r="H1596" s="405">
        <v>5</v>
      </c>
      <c r="I1596" s="405"/>
      <c r="J1596" s="406"/>
      <c r="K1596" s="414" t="s">
        <v>4190</v>
      </c>
      <c r="L1596" s="405" t="s">
        <v>1939</v>
      </c>
      <c r="M1596" s="418">
        <v>44615</v>
      </c>
      <c r="N1596" s="418">
        <v>44615</v>
      </c>
      <c r="O1596" s="418"/>
      <c r="P1596" s="406">
        <v>44679</v>
      </c>
      <c r="Q1596" s="406">
        <v>44692</v>
      </c>
      <c r="R1596" s="406">
        <v>44694</v>
      </c>
      <c r="S1596" s="405" t="s">
        <v>1940</v>
      </c>
      <c r="T1596" s="405">
        <v>60</v>
      </c>
      <c r="U1596" s="405" t="s">
        <v>1237</v>
      </c>
      <c r="V1596" s="405" t="s">
        <v>973</v>
      </c>
      <c r="W1596" s="405">
        <v>400</v>
      </c>
      <c r="X1596" s="407">
        <v>416</v>
      </c>
      <c r="Y1596" s="408">
        <f t="shared" si="337"/>
        <v>166400</v>
      </c>
      <c r="Z1596" s="409">
        <f t="shared" si="342"/>
        <v>0.47</v>
      </c>
      <c r="AA1596" s="410">
        <f t="shared" si="338"/>
        <v>78208</v>
      </c>
      <c r="AB1596" s="411"/>
      <c r="AC1596" s="412">
        <f t="shared" si="343"/>
        <v>0</v>
      </c>
      <c r="AD1596" s="421"/>
      <c r="AE1596" s="413"/>
      <c r="AF1596" s="424">
        <f t="shared" si="344"/>
        <v>78208</v>
      </c>
      <c r="AG1596" s="405" t="s">
        <v>47</v>
      </c>
      <c r="AH1596" s="405"/>
      <c r="AI1596" s="414" t="s">
        <v>1937</v>
      </c>
      <c r="AJ1596" s="405" t="s">
        <v>2504</v>
      </c>
      <c r="AK1596" s="425" t="s">
        <v>2505</v>
      </c>
      <c r="AL1596" s="425">
        <v>84104</v>
      </c>
      <c r="AM1596" s="405" t="s">
        <v>52</v>
      </c>
      <c r="AN1596" s="405" t="s">
        <v>50</v>
      </c>
      <c r="AO1596" s="405"/>
      <c r="AP1596" s="417"/>
      <c r="AQ1596" s="417" t="s">
        <v>37</v>
      </c>
      <c r="AR1596" s="417"/>
      <c r="AS1596" s="426"/>
      <c r="AT1596" s="426"/>
      <c r="AU1596" s="409"/>
    </row>
    <row r="1597" spans="1:55" s="402" customFormat="1">
      <c r="A1597" s="403"/>
      <c r="B1597" s="446">
        <v>44616</v>
      </c>
      <c r="C1597" s="446">
        <v>44616</v>
      </c>
      <c r="D1597" s="416" t="s">
        <v>2480</v>
      </c>
      <c r="E1597" s="405"/>
      <c r="F1597" s="405"/>
      <c r="G1597" s="448">
        <v>2022</v>
      </c>
      <c r="H1597" s="448">
        <v>5</v>
      </c>
      <c r="I1597" s="448"/>
      <c r="J1597" s="449"/>
      <c r="K1597" s="529" t="s">
        <v>4187</v>
      </c>
      <c r="L1597" s="448" t="s">
        <v>1939</v>
      </c>
      <c r="M1597" s="530">
        <v>44615</v>
      </c>
      <c r="N1597" s="530">
        <v>44615</v>
      </c>
      <c r="O1597" s="530"/>
      <c r="P1597" s="449"/>
      <c r="Q1597" s="449"/>
      <c r="R1597" s="449"/>
      <c r="S1597" s="448" t="s">
        <v>1940</v>
      </c>
      <c r="T1597" s="448">
        <v>60</v>
      </c>
      <c r="U1597" s="448">
        <v>49405140</v>
      </c>
      <c r="V1597" s="448" t="s">
        <v>973</v>
      </c>
      <c r="W1597" s="448">
        <v>400</v>
      </c>
      <c r="X1597" s="450">
        <v>416</v>
      </c>
      <c r="Y1597" s="486">
        <f t="shared" si="337"/>
        <v>166400</v>
      </c>
      <c r="Z1597" s="409">
        <f t="shared" si="342"/>
        <v>0.47</v>
      </c>
      <c r="AA1597" s="410">
        <f t="shared" si="338"/>
        <v>78208</v>
      </c>
      <c r="AB1597" s="411"/>
      <c r="AC1597" s="412">
        <f t="shared" si="343"/>
        <v>0</v>
      </c>
      <c r="AD1597" s="421"/>
      <c r="AE1597" s="413"/>
      <c r="AF1597" s="424">
        <f t="shared" si="344"/>
        <v>78208</v>
      </c>
      <c r="AG1597" s="405" t="s">
        <v>47</v>
      </c>
      <c r="AH1597" s="405"/>
      <c r="AI1597" s="414" t="s">
        <v>1937</v>
      </c>
      <c r="AJ1597" s="405" t="s">
        <v>2716</v>
      </c>
      <c r="AK1597" s="425" t="s">
        <v>50</v>
      </c>
      <c r="AL1597" s="405">
        <v>91355</v>
      </c>
      <c r="AM1597" s="405" t="s">
        <v>52</v>
      </c>
      <c r="AN1597" s="405" t="s">
        <v>1101</v>
      </c>
      <c r="AO1597" s="405"/>
      <c r="AP1597" s="417"/>
      <c r="AQ1597" s="417" t="s">
        <v>37</v>
      </c>
      <c r="AR1597" s="417"/>
      <c r="AS1597" s="426"/>
      <c r="AT1597" s="426"/>
      <c r="AU1597" s="409"/>
    </row>
    <row r="1598" spans="1:55" s="402" customFormat="1">
      <c r="A1598" s="403">
        <v>1</v>
      </c>
      <c r="B1598" s="446">
        <v>44616</v>
      </c>
      <c r="C1598" s="446">
        <v>44616</v>
      </c>
      <c r="D1598" s="416" t="s">
        <v>2480</v>
      </c>
      <c r="E1598" s="405"/>
      <c r="F1598" s="405"/>
      <c r="G1598" s="405">
        <v>2022</v>
      </c>
      <c r="H1598" s="405">
        <v>5</v>
      </c>
      <c r="I1598" s="405">
        <v>128549</v>
      </c>
      <c r="J1598" s="406">
        <v>44687</v>
      </c>
      <c r="K1598" s="414" t="s">
        <v>4177</v>
      </c>
      <c r="L1598" s="405" t="s">
        <v>1939</v>
      </c>
      <c r="M1598" s="418">
        <v>44615</v>
      </c>
      <c r="N1598" s="418">
        <v>44615</v>
      </c>
      <c r="O1598" s="418"/>
      <c r="P1598" s="406">
        <v>44679</v>
      </c>
      <c r="Q1598" s="406">
        <v>44686</v>
      </c>
      <c r="R1598" s="406">
        <v>44687</v>
      </c>
      <c r="S1598" s="405" t="s">
        <v>1940</v>
      </c>
      <c r="T1598" s="405">
        <v>60</v>
      </c>
      <c r="U1598" s="405" t="s">
        <v>1237</v>
      </c>
      <c r="V1598" s="405" t="s">
        <v>973</v>
      </c>
      <c r="W1598" s="405">
        <v>400</v>
      </c>
      <c r="X1598" s="407">
        <v>768</v>
      </c>
      <c r="Y1598" s="408">
        <f t="shared" si="337"/>
        <v>307200</v>
      </c>
      <c r="Z1598" s="409">
        <f t="shared" si="342"/>
        <v>0.47</v>
      </c>
      <c r="AA1598" s="410">
        <f t="shared" si="338"/>
        <v>144384</v>
      </c>
      <c r="AB1598" s="411"/>
      <c r="AC1598" s="412">
        <f t="shared" si="343"/>
        <v>0</v>
      </c>
      <c r="AD1598" s="421"/>
      <c r="AE1598" s="413"/>
      <c r="AF1598" s="424">
        <f t="shared" si="344"/>
        <v>144384</v>
      </c>
      <c r="AG1598" s="405" t="s">
        <v>47</v>
      </c>
      <c r="AH1598" s="405"/>
      <c r="AI1598" s="414" t="s">
        <v>1937</v>
      </c>
      <c r="AJ1598" s="405" t="s">
        <v>1933</v>
      </c>
      <c r="AK1598" s="425" t="s">
        <v>1328</v>
      </c>
      <c r="AL1598" s="405">
        <v>89118</v>
      </c>
      <c r="AM1598" s="405" t="s">
        <v>52</v>
      </c>
      <c r="AN1598" s="405" t="s">
        <v>50</v>
      </c>
      <c r="AO1598" s="405"/>
      <c r="AP1598" s="417"/>
      <c r="AQ1598" s="417" t="s">
        <v>37</v>
      </c>
      <c r="AR1598" s="417"/>
      <c r="AS1598" s="426"/>
      <c r="AT1598" s="426"/>
      <c r="AU1598" s="409"/>
    </row>
    <row r="1599" spans="1:55" s="402" customFormat="1">
      <c r="A1599" s="403">
        <v>2</v>
      </c>
      <c r="B1599" s="446">
        <v>44616</v>
      </c>
      <c r="C1599" s="446">
        <v>44616</v>
      </c>
      <c r="D1599" s="416" t="s">
        <v>2480</v>
      </c>
      <c r="E1599" s="405"/>
      <c r="F1599" s="405"/>
      <c r="G1599" s="405">
        <v>2022</v>
      </c>
      <c r="H1599" s="405">
        <v>5</v>
      </c>
      <c r="I1599" s="405"/>
      <c r="J1599" s="406"/>
      <c r="K1599" s="414" t="s">
        <v>4177</v>
      </c>
      <c r="L1599" s="405" t="s">
        <v>1939</v>
      </c>
      <c r="M1599" s="418">
        <v>44615</v>
      </c>
      <c r="N1599" s="418">
        <v>44615</v>
      </c>
      <c r="O1599" s="418"/>
      <c r="P1599" s="406">
        <v>44679</v>
      </c>
      <c r="Q1599" s="406">
        <v>44693</v>
      </c>
      <c r="R1599" s="406">
        <v>44694</v>
      </c>
      <c r="S1599" s="405" t="s">
        <v>1940</v>
      </c>
      <c r="T1599" s="405">
        <v>60</v>
      </c>
      <c r="U1599" s="405" t="s">
        <v>1237</v>
      </c>
      <c r="V1599" s="405" t="s">
        <v>973</v>
      </c>
      <c r="W1599" s="405">
        <v>400</v>
      </c>
      <c r="X1599" s="407">
        <v>576</v>
      </c>
      <c r="Y1599" s="408">
        <f t="shared" si="337"/>
        <v>230400</v>
      </c>
      <c r="Z1599" s="409">
        <f t="shared" si="342"/>
        <v>0.47</v>
      </c>
      <c r="AA1599" s="410">
        <f t="shared" si="338"/>
        <v>108288</v>
      </c>
      <c r="AB1599" s="411"/>
      <c r="AC1599" s="412">
        <f t="shared" si="343"/>
        <v>0</v>
      </c>
      <c r="AD1599" s="421"/>
      <c r="AE1599" s="413"/>
      <c r="AF1599" s="424">
        <f t="shared" si="344"/>
        <v>108288</v>
      </c>
      <c r="AG1599" s="405" t="s">
        <v>47</v>
      </c>
      <c r="AH1599" s="405"/>
      <c r="AI1599" s="414" t="s">
        <v>1937</v>
      </c>
      <c r="AJ1599" s="405" t="s">
        <v>1933</v>
      </c>
      <c r="AK1599" s="425" t="s">
        <v>1328</v>
      </c>
      <c r="AL1599" s="425">
        <v>89118</v>
      </c>
      <c r="AM1599" s="405" t="s">
        <v>52</v>
      </c>
      <c r="AN1599" s="405" t="s">
        <v>50</v>
      </c>
      <c r="AO1599" s="405"/>
      <c r="AP1599" s="417"/>
      <c r="AQ1599" s="417" t="s">
        <v>37</v>
      </c>
      <c r="AR1599" s="417"/>
      <c r="AS1599" s="426"/>
      <c r="AT1599" s="426"/>
      <c r="AU1599" s="409"/>
      <c r="AV1599" s="402" t="str">
        <f t="shared" ref="AV1599:AV1607" si="345">U1599</f>
        <v>30390456H</v>
      </c>
      <c r="AW1599" s="402" cm="1">
        <f t="array" ref="AW1599">SUM(MID(0&amp;AV1599,LARGE(INDEX(ISNUMBER(--MID(AV1599,ROW($1:$8),1))*ROW($1:$8),),ROW($1:$8))+1,1)*10^ROW($1:$8)/10)</f>
        <v>30390456</v>
      </c>
      <c r="AX1599" s="402" t="str">
        <f>VLOOKUP($AW1599,'Item Master Data'!$A:$F,3,FALSE)</f>
        <v>Q.PEAK DUO BLK ML G10+</v>
      </c>
      <c r="AY1599" s="402">
        <f>VLOOKUP($AW1599,'Item Master Data'!$A:$F,6,FALSE)</f>
        <v>400</v>
      </c>
      <c r="AZ1599" s="402">
        <f t="shared" ref="AZ1599:AZ1607" si="346">X1599/BA1599</f>
        <v>18</v>
      </c>
      <c r="BA1599" s="402">
        <f>VLOOKUP(AW1599,'Item Master Data'!$A:$G,7,FALSE)</f>
        <v>32</v>
      </c>
      <c r="BC1599" s="402">
        <f t="shared" ref="BC1599:BC1607" si="347">W1599-AY1599</f>
        <v>0</v>
      </c>
    </row>
    <row r="1600" spans="1:55" s="402" customFormat="1">
      <c r="A1600" s="403" t="s">
        <v>4401</v>
      </c>
      <c r="B1600" s="446">
        <v>44616</v>
      </c>
      <c r="C1600" s="446">
        <v>44616</v>
      </c>
      <c r="D1600" s="416" t="s">
        <v>2480</v>
      </c>
      <c r="E1600" s="405"/>
      <c r="F1600" s="405"/>
      <c r="G1600" s="405">
        <v>2022</v>
      </c>
      <c r="H1600" s="405">
        <v>5</v>
      </c>
      <c r="I1600" s="405">
        <v>128550</v>
      </c>
      <c r="J1600" s="406">
        <v>44687</v>
      </c>
      <c r="K1600" s="414" t="s">
        <v>4173</v>
      </c>
      <c r="L1600" s="405" t="s">
        <v>1939</v>
      </c>
      <c r="M1600" s="418">
        <v>44615</v>
      </c>
      <c r="N1600" s="418">
        <v>44615</v>
      </c>
      <c r="O1600" s="418"/>
      <c r="P1600" s="406">
        <v>44679</v>
      </c>
      <c r="Q1600" s="406">
        <v>44686</v>
      </c>
      <c r="R1600" s="406">
        <v>44687</v>
      </c>
      <c r="S1600" s="405" t="s">
        <v>1940</v>
      </c>
      <c r="T1600" s="405">
        <v>60</v>
      </c>
      <c r="U1600" s="405" t="s">
        <v>1237</v>
      </c>
      <c r="V1600" s="405" t="s">
        <v>973</v>
      </c>
      <c r="W1600" s="405">
        <v>400</v>
      </c>
      <c r="X1600" s="407">
        <v>416</v>
      </c>
      <c r="Y1600" s="408">
        <f t="shared" si="337"/>
        <v>166400</v>
      </c>
      <c r="Z1600" s="409">
        <f t="shared" si="342"/>
        <v>0.47</v>
      </c>
      <c r="AA1600" s="410">
        <f t="shared" si="338"/>
        <v>78208</v>
      </c>
      <c r="AB1600" s="411"/>
      <c r="AC1600" s="412">
        <f t="shared" si="343"/>
        <v>0</v>
      </c>
      <c r="AD1600" s="421"/>
      <c r="AE1600" s="413"/>
      <c r="AF1600" s="424">
        <f t="shared" si="344"/>
        <v>78208</v>
      </c>
      <c r="AG1600" s="405" t="s">
        <v>47</v>
      </c>
      <c r="AH1600" s="405"/>
      <c r="AI1600" s="414" t="s">
        <v>1937</v>
      </c>
      <c r="AJ1600" s="405" t="s">
        <v>1949</v>
      </c>
      <c r="AK1600" s="425" t="s">
        <v>1125</v>
      </c>
      <c r="AL1600" s="405">
        <v>85365</v>
      </c>
      <c r="AM1600" s="405" t="s">
        <v>52</v>
      </c>
      <c r="AN1600" s="405" t="s">
        <v>50</v>
      </c>
      <c r="AO1600" s="405"/>
      <c r="AP1600" s="417"/>
      <c r="AQ1600" s="417" t="s">
        <v>37</v>
      </c>
      <c r="AR1600" s="417"/>
      <c r="AS1600" s="426"/>
      <c r="AT1600" s="426"/>
      <c r="AU1600" s="409"/>
      <c r="AV1600" s="402" t="str">
        <f t="shared" si="345"/>
        <v>30390456H</v>
      </c>
      <c r="AW1600" s="402" cm="1">
        <f t="array" ref="AW1600">SUM(MID(0&amp;AV1600,LARGE(INDEX(ISNUMBER(--MID(AV1600,ROW($1:$8),1))*ROW($1:$8),),ROW($1:$8))+1,1)*10^ROW($1:$8)/10)</f>
        <v>30390456</v>
      </c>
      <c r="AX1600" s="402" t="str">
        <f>VLOOKUP($AW1600,'Item Master Data'!$A:$F,3,FALSE)</f>
        <v>Q.PEAK DUO BLK ML G10+</v>
      </c>
      <c r="AY1600" s="402">
        <f>VLOOKUP($AW1600,'Item Master Data'!$A:$F,6,FALSE)</f>
        <v>400</v>
      </c>
      <c r="AZ1600" s="402">
        <f t="shared" si="346"/>
        <v>13</v>
      </c>
      <c r="BA1600" s="402">
        <f>VLOOKUP(AW1600,'Item Master Data'!$A:$G,7,FALSE)</f>
        <v>32</v>
      </c>
      <c r="BC1600" s="402">
        <f t="shared" si="347"/>
        <v>0</v>
      </c>
    </row>
    <row r="1601" spans="1:55" s="402" customFormat="1">
      <c r="A1601" s="403" t="s">
        <v>4401</v>
      </c>
      <c r="B1601" s="446">
        <v>44616</v>
      </c>
      <c r="C1601" s="446">
        <v>44616</v>
      </c>
      <c r="D1601" s="416" t="s">
        <v>2480</v>
      </c>
      <c r="E1601" s="405"/>
      <c r="F1601" s="405"/>
      <c r="G1601" s="405">
        <v>2022</v>
      </c>
      <c r="H1601" s="405">
        <v>5</v>
      </c>
      <c r="I1601" s="405"/>
      <c r="J1601" s="406"/>
      <c r="K1601" s="414" t="s">
        <v>4173</v>
      </c>
      <c r="L1601" s="405" t="s">
        <v>1939</v>
      </c>
      <c r="M1601" s="418">
        <v>44615</v>
      </c>
      <c r="N1601" s="418">
        <v>44615</v>
      </c>
      <c r="O1601" s="418"/>
      <c r="P1601" s="406">
        <v>44679</v>
      </c>
      <c r="Q1601" s="406">
        <v>44693</v>
      </c>
      <c r="R1601" s="406">
        <v>44694</v>
      </c>
      <c r="S1601" s="405" t="s">
        <v>1940</v>
      </c>
      <c r="T1601" s="405">
        <v>60</v>
      </c>
      <c r="U1601" s="405" t="s">
        <v>1237</v>
      </c>
      <c r="V1601" s="405" t="s">
        <v>973</v>
      </c>
      <c r="W1601" s="405">
        <v>400</v>
      </c>
      <c r="X1601" s="407">
        <v>416</v>
      </c>
      <c r="Y1601" s="408">
        <f t="shared" si="337"/>
        <v>166400</v>
      </c>
      <c r="Z1601" s="409">
        <f t="shared" si="342"/>
        <v>0.47</v>
      </c>
      <c r="AA1601" s="410">
        <f t="shared" si="338"/>
        <v>78208</v>
      </c>
      <c r="AB1601" s="411"/>
      <c r="AC1601" s="412">
        <f t="shared" si="343"/>
        <v>0</v>
      </c>
      <c r="AD1601" s="421"/>
      <c r="AE1601" s="413"/>
      <c r="AF1601" s="424">
        <f t="shared" si="344"/>
        <v>78208</v>
      </c>
      <c r="AG1601" s="405" t="s">
        <v>47</v>
      </c>
      <c r="AH1601" s="405"/>
      <c r="AI1601" s="414" t="s">
        <v>1937</v>
      </c>
      <c r="AJ1601" s="405" t="s">
        <v>1949</v>
      </c>
      <c r="AK1601" s="425" t="s">
        <v>1125</v>
      </c>
      <c r="AL1601" s="425">
        <v>85365</v>
      </c>
      <c r="AM1601" s="405" t="s">
        <v>52</v>
      </c>
      <c r="AN1601" s="405" t="s">
        <v>50</v>
      </c>
      <c r="AO1601" s="405"/>
      <c r="AP1601" s="417"/>
      <c r="AQ1601" s="417" t="s">
        <v>37</v>
      </c>
      <c r="AR1601" s="417"/>
      <c r="AS1601" s="426"/>
      <c r="AT1601" s="426"/>
      <c r="AU1601" s="409"/>
      <c r="AV1601" s="402" t="str">
        <f t="shared" si="345"/>
        <v>30390456H</v>
      </c>
      <c r="AW1601" s="402" cm="1">
        <f t="array" ref="AW1601">SUM(MID(0&amp;AV1601,LARGE(INDEX(ISNUMBER(--MID(AV1601,ROW($1:$8),1))*ROW($1:$8),),ROW($1:$8))+1,1)*10^ROW($1:$8)/10)</f>
        <v>30390456</v>
      </c>
      <c r="AX1601" s="402" t="str">
        <f>VLOOKUP($AW1601,'Item Master Data'!$A:$F,3,FALSE)</f>
        <v>Q.PEAK DUO BLK ML G10+</v>
      </c>
      <c r="AY1601" s="402">
        <f>VLOOKUP($AW1601,'Item Master Data'!$A:$F,6,FALSE)</f>
        <v>400</v>
      </c>
      <c r="AZ1601" s="402">
        <f t="shared" si="346"/>
        <v>13</v>
      </c>
      <c r="BA1601" s="402">
        <f>VLOOKUP(AW1601,'Item Master Data'!$A:$G,7,FALSE)</f>
        <v>32</v>
      </c>
      <c r="BC1601" s="402">
        <f t="shared" si="347"/>
        <v>0</v>
      </c>
    </row>
    <row r="1602" spans="1:55" s="402" customFormat="1">
      <c r="A1602" s="403"/>
      <c r="B1602" s="446">
        <v>44616</v>
      </c>
      <c r="C1602" s="446">
        <v>44616</v>
      </c>
      <c r="D1602" s="416" t="s">
        <v>2480</v>
      </c>
      <c r="E1602" s="405"/>
      <c r="F1602" s="405"/>
      <c r="G1602" s="448">
        <v>2022</v>
      </c>
      <c r="H1602" s="448">
        <v>5</v>
      </c>
      <c r="I1602" s="448"/>
      <c r="J1602" s="449"/>
      <c r="K1602" s="529" t="s">
        <v>4182</v>
      </c>
      <c r="L1602" s="448" t="s">
        <v>1939</v>
      </c>
      <c r="M1602" s="530">
        <v>44615</v>
      </c>
      <c r="N1602" s="530">
        <v>44615</v>
      </c>
      <c r="O1602" s="530"/>
      <c r="P1602" s="449"/>
      <c r="Q1602" s="449"/>
      <c r="R1602" s="449"/>
      <c r="S1602" s="448" t="s">
        <v>1940</v>
      </c>
      <c r="T1602" s="448">
        <v>60</v>
      </c>
      <c r="U1602" s="448">
        <v>49405140</v>
      </c>
      <c r="V1602" s="448" t="s">
        <v>973</v>
      </c>
      <c r="W1602" s="448">
        <v>400</v>
      </c>
      <c r="X1602" s="450">
        <v>832</v>
      </c>
      <c r="Y1602" s="486">
        <f t="shared" si="337"/>
        <v>332800</v>
      </c>
      <c r="Z1602" s="409">
        <f t="shared" si="342"/>
        <v>0.47</v>
      </c>
      <c r="AA1602" s="410">
        <f t="shared" si="338"/>
        <v>156416</v>
      </c>
      <c r="AB1602" s="411"/>
      <c r="AC1602" s="412">
        <f t="shared" si="343"/>
        <v>0</v>
      </c>
      <c r="AD1602" s="421"/>
      <c r="AE1602" s="413"/>
      <c r="AF1602" s="424">
        <f t="shared" si="344"/>
        <v>156416</v>
      </c>
      <c r="AG1602" s="405" t="s">
        <v>47</v>
      </c>
      <c r="AH1602" s="405"/>
      <c r="AI1602" s="414" t="s">
        <v>1937</v>
      </c>
      <c r="AJ1602" s="405" t="s">
        <v>1941</v>
      </c>
      <c r="AK1602" s="425" t="s">
        <v>1942</v>
      </c>
      <c r="AL1602" s="405">
        <v>87107</v>
      </c>
      <c r="AM1602" s="405" t="s">
        <v>52</v>
      </c>
      <c r="AN1602" s="405" t="s">
        <v>1101</v>
      </c>
      <c r="AO1602" s="405"/>
      <c r="AP1602" s="417"/>
      <c r="AQ1602" s="417" t="s">
        <v>37</v>
      </c>
      <c r="AR1602" s="417"/>
      <c r="AS1602" s="426"/>
      <c r="AT1602" s="426"/>
      <c r="AU1602" s="409"/>
      <c r="AV1602" s="402">
        <f t="shared" si="345"/>
        <v>49405140</v>
      </c>
      <c r="AW1602" s="402" cm="1">
        <f t="array" ref="AW1602">SUM(MID(0&amp;AV1602,LARGE(INDEX(ISNUMBER(--MID(AV1602,ROW($1:$8),1))*ROW($1:$8),),ROW($1:$8))+1,1)*10^ROW($1:$8)/10)</f>
        <v>49405140</v>
      </c>
      <c r="AX1602" s="402" t="str">
        <f>VLOOKUP($AW1602,'Item Master Data'!$A:$F,3,FALSE)</f>
        <v>Q.PEAK DUO BLK ML G10+</v>
      </c>
      <c r="AY1602" s="402">
        <f>VLOOKUP($AW1602,'Item Master Data'!$A:$F,6,FALSE)</f>
        <v>400</v>
      </c>
      <c r="AZ1602" s="402">
        <f t="shared" si="346"/>
        <v>26</v>
      </c>
      <c r="BA1602" s="402">
        <f>VLOOKUP(AW1602,'Item Master Data'!$A:$G,7,FALSE)</f>
        <v>32</v>
      </c>
      <c r="BC1602" s="402">
        <f t="shared" si="347"/>
        <v>0</v>
      </c>
    </row>
    <row r="1603" spans="1:55" s="402" customFormat="1">
      <c r="A1603" s="403">
        <v>3</v>
      </c>
      <c r="B1603" s="446">
        <v>44616</v>
      </c>
      <c r="C1603" s="446">
        <v>44616</v>
      </c>
      <c r="D1603" s="416" t="s">
        <v>2480</v>
      </c>
      <c r="E1603" s="405"/>
      <c r="F1603" s="405"/>
      <c r="G1603" s="475">
        <v>2022</v>
      </c>
      <c r="H1603" s="475">
        <v>5</v>
      </c>
      <c r="I1603" s="475"/>
      <c r="J1603" s="476"/>
      <c r="K1603" s="499" t="s">
        <v>4146</v>
      </c>
      <c r="L1603" s="475" t="s">
        <v>1939</v>
      </c>
      <c r="M1603" s="418">
        <v>44615</v>
      </c>
      <c r="N1603" s="418">
        <v>44615</v>
      </c>
      <c r="O1603" s="418"/>
      <c r="P1603" s="406">
        <v>44694</v>
      </c>
      <c r="Q1603" s="406"/>
      <c r="R1603" s="406"/>
      <c r="S1603" s="405" t="s">
        <v>1940</v>
      </c>
      <c r="T1603" s="405">
        <v>60</v>
      </c>
      <c r="U1603" s="405">
        <v>49405140</v>
      </c>
      <c r="V1603" s="405" t="s">
        <v>973</v>
      </c>
      <c r="W1603" s="405">
        <v>400</v>
      </c>
      <c r="X1603" s="407">
        <v>416</v>
      </c>
      <c r="Y1603" s="408">
        <f t="shared" si="337"/>
        <v>166400</v>
      </c>
      <c r="Z1603" s="409">
        <f t="shared" si="342"/>
        <v>0.47</v>
      </c>
      <c r="AA1603" s="410">
        <f t="shared" si="338"/>
        <v>78208</v>
      </c>
      <c r="AB1603" s="411"/>
      <c r="AC1603" s="412">
        <f t="shared" si="343"/>
        <v>0</v>
      </c>
      <c r="AD1603" s="421"/>
      <c r="AE1603" s="413"/>
      <c r="AF1603" s="424">
        <f t="shared" si="344"/>
        <v>78208</v>
      </c>
      <c r="AG1603" s="405" t="s">
        <v>47</v>
      </c>
      <c r="AH1603" s="405"/>
      <c r="AI1603" s="414" t="s">
        <v>1937</v>
      </c>
      <c r="AJ1603" s="405" t="s">
        <v>1950</v>
      </c>
      <c r="AK1603" s="425" t="s">
        <v>1071</v>
      </c>
      <c r="AL1603" s="425">
        <v>30360</v>
      </c>
      <c r="AM1603" s="405" t="s">
        <v>52</v>
      </c>
      <c r="AN1603" s="405" t="s">
        <v>1071</v>
      </c>
      <c r="AO1603" s="405"/>
      <c r="AP1603" s="417"/>
      <c r="AQ1603" s="417" t="s">
        <v>37</v>
      </c>
      <c r="AR1603" s="417"/>
      <c r="AS1603" s="426"/>
      <c r="AT1603" s="426"/>
      <c r="AU1603" s="409"/>
      <c r="AV1603" s="402">
        <f t="shared" si="345"/>
        <v>49405140</v>
      </c>
      <c r="AW1603" s="402" cm="1">
        <f t="array" ref="AW1603">SUM(MID(0&amp;AV1603,LARGE(INDEX(ISNUMBER(--MID(AV1603,ROW($1:$8),1))*ROW($1:$8),),ROW($1:$8))+1,1)*10^ROW($1:$8)/10)</f>
        <v>49405140</v>
      </c>
      <c r="AX1603" s="402" t="str">
        <f>VLOOKUP($AW1603,'Item Master Data'!$A:$F,3,FALSE)</f>
        <v>Q.PEAK DUO BLK ML G10+</v>
      </c>
      <c r="AY1603" s="402">
        <f>VLOOKUP($AW1603,'Item Master Data'!$A:$F,6,FALSE)</f>
        <v>400</v>
      </c>
      <c r="AZ1603" s="402">
        <f t="shared" si="346"/>
        <v>13</v>
      </c>
      <c r="BA1603" s="402">
        <f>VLOOKUP(AW1603,'Item Master Data'!$A:$G,7,FALSE)</f>
        <v>32</v>
      </c>
      <c r="BC1603" s="402">
        <f t="shared" si="347"/>
        <v>0</v>
      </c>
    </row>
    <row r="1604" spans="1:55" s="402" customFormat="1">
      <c r="A1604" s="403"/>
      <c r="B1604" s="446">
        <v>44616</v>
      </c>
      <c r="C1604" s="446">
        <v>44616</v>
      </c>
      <c r="D1604" s="416" t="s">
        <v>2480</v>
      </c>
      <c r="E1604" s="405"/>
      <c r="F1604" s="405"/>
      <c r="G1604" s="448">
        <v>2022</v>
      </c>
      <c r="H1604" s="448">
        <v>5</v>
      </c>
      <c r="I1604" s="448"/>
      <c r="J1604" s="449"/>
      <c r="K1604" s="529" t="s">
        <v>4167</v>
      </c>
      <c r="L1604" s="448" t="s">
        <v>1939</v>
      </c>
      <c r="M1604" s="530">
        <v>44615</v>
      </c>
      <c r="N1604" s="530">
        <v>44615</v>
      </c>
      <c r="O1604" s="530"/>
      <c r="P1604" s="449"/>
      <c r="Q1604" s="449"/>
      <c r="R1604" s="449"/>
      <c r="S1604" s="448" t="s">
        <v>1940</v>
      </c>
      <c r="T1604" s="448">
        <v>60</v>
      </c>
      <c r="U1604" s="448">
        <v>49405140</v>
      </c>
      <c r="V1604" s="448" t="s">
        <v>973</v>
      </c>
      <c r="W1604" s="448">
        <v>400</v>
      </c>
      <c r="X1604" s="450">
        <v>832</v>
      </c>
      <c r="Y1604" s="486">
        <f t="shared" si="337"/>
        <v>332800</v>
      </c>
      <c r="Z1604" s="409">
        <f t="shared" si="342"/>
        <v>0.47</v>
      </c>
      <c r="AA1604" s="410">
        <f t="shared" si="338"/>
        <v>156416</v>
      </c>
      <c r="AB1604" s="411"/>
      <c r="AC1604" s="412">
        <f t="shared" si="343"/>
        <v>0</v>
      </c>
      <c r="AD1604" s="421"/>
      <c r="AE1604" s="413"/>
      <c r="AF1604" s="424">
        <f t="shared" si="344"/>
        <v>156416</v>
      </c>
      <c r="AG1604" s="405" t="s">
        <v>47</v>
      </c>
      <c r="AH1604" s="405"/>
      <c r="AI1604" s="414" t="s">
        <v>1937</v>
      </c>
      <c r="AJ1604" s="405" t="s">
        <v>1951</v>
      </c>
      <c r="AK1604" s="425" t="s">
        <v>1136</v>
      </c>
      <c r="AL1604" s="405">
        <v>78610</v>
      </c>
      <c r="AM1604" s="405" t="s">
        <v>52</v>
      </c>
      <c r="AN1604" s="405" t="s">
        <v>1101</v>
      </c>
      <c r="AO1604" s="405"/>
      <c r="AP1604" s="417"/>
      <c r="AQ1604" s="417" t="s">
        <v>37</v>
      </c>
      <c r="AR1604" s="417"/>
      <c r="AS1604" s="426"/>
      <c r="AT1604" s="426"/>
      <c r="AU1604" s="409"/>
      <c r="AV1604" s="402">
        <f t="shared" si="345"/>
        <v>49405140</v>
      </c>
      <c r="AW1604" s="402" cm="1">
        <f t="array" ref="AW1604">SUM(MID(0&amp;AV1604,LARGE(INDEX(ISNUMBER(--MID(AV1604,ROW($1:$8),1))*ROW($1:$8),),ROW($1:$8))+1,1)*10^ROW($1:$8)/10)</f>
        <v>49405140</v>
      </c>
      <c r="AX1604" s="402" t="str">
        <f>VLOOKUP($AW1604,'Item Master Data'!$A:$F,3,FALSE)</f>
        <v>Q.PEAK DUO BLK ML G10+</v>
      </c>
      <c r="AY1604" s="402">
        <f>VLOOKUP($AW1604,'Item Master Data'!$A:$F,6,FALSE)</f>
        <v>400</v>
      </c>
      <c r="AZ1604" s="402">
        <f t="shared" si="346"/>
        <v>26</v>
      </c>
      <c r="BA1604" s="402">
        <f>VLOOKUP(AW1604,'Item Master Data'!$A:$G,7,FALSE)</f>
        <v>32</v>
      </c>
      <c r="BC1604" s="402">
        <f t="shared" si="347"/>
        <v>0</v>
      </c>
    </row>
    <row r="1605" spans="1:55" s="402" customFormat="1">
      <c r="A1605" s="403">
        <v>3</v>
      </c>
      <c r="B1605" s="446">
        <v>44616</v>
      </c>
      <c r="C1605" s="446">
        <v>44616</v>
      </c>
      <c r="D1605" s="416" t="s">
        <v>2480</v>
      </c>
      <c r="E1605" s="405"/>
      <c r="F1605" s="405"/>
      <c r="G1605" s="475">
        <v>2022</v>
      </c>
      <c r="H1605" s="475">
        <v>5</v>
      </c>
      <c r="I1605" s="475"/>
      <c r="J1605" s="476"/>
      <c r="K1605" s="499" t="s">
        <v>4152</v>
      </c>
      <c r="L1605" s="475" t="s">
        <v>1939</v>
      </c>
      <c r="M1605" s="418">
        <v>44615</v>
      </c>
      <c r="N1605" s="418">
        <v>44615</v>
      </c>
      <c r="O1605" s="418"/>
      <c r="P1605" s="406">
        <v>44694</v>
      </c>
      <c r="Q1605" s="406"/>
      <c r="R1605" s="406"/>
      <c r="S1605" s="405" t="s">
        <v>1940</v>
      </c>
      <c r="T1605" s="405">
        <v>60</v>
      </c>
      <c r="U1605" s="405">
        <v>49405140</v>
      </c>
      <c r="V1605" s="405" t="s">
        <v>973</v>
      </c>
      <c r="W1605" s="405">
        <v>400</v>
      </c>
      <c r="X1605" s="407">
        <f>640-224</f>
        <v>416</v>
      </c>
      <c r="Y1605" s="408">
        <f t="shared" si="337"/>
        <v>166400</v>
      </c>
      <c r="Z1605" s="409">
        <f t="shared" si="342"/>
        <v>0.47</v>
      </c>
      <c r="AA1605" s="410">
        <f t="shared" si="338"/>
        <v>78208</v>
      </c>
      <c r="AB1605" s="411"/>
      <c r="AC1605" s="412">
        <f t="shared" si="343"/>
        <v>0</v>
      </c>
      <c r="AD1605" s="421"/>
      <c r="AE1605" s="413"/>
      <c r="AF1605" s="424">
        <f t="shared" si="344"/>
        <v>78208</v>
      </c>
      <c r="AG1605" s="405" t="s">
        <v>47</v>
      </c>
      <c r="AH1605" s="405"/>
      <c r="AI1605" s="414" t="s">
        <v>1937</v>
      </c>
      <c r="AJ1605" s="405" t="s">
        <v>2640</v>
      </c>
      <c r="AK1605" s="425" t="s">
        <v>1953</v>
      </c>
      <c r="AL1605" s="425">
        <v>29420</v>
      </c>
      <c r="AM1605" s="405" t="s">
        <v>52</v>
      </c>
      <c r="AN1605" s="405" t="s">
        <v>1071</v>
      </c>
      <c r="AO1605" s="405"/>
      <c r="AP1605" s="417"/>
      <c r="AQ1605" s="417" t="s">
        <v>37</v>
      </c>
      <c r="AR1605" s="417"/>
      <c r="AS1605" s="426"/>
      <c r="AT1605" s="426"/>
      <c r="AU1605" s="409"/>
      <c r="AV1605" s="402">
        <f t="shared" si="345"/>
        <v>49405140</v>
      </c>
      <c r="AW1605" s="402" cm="1">
        <f t="array" ref="AW1605">SUM(MID(0&amp;AV1605,LARGE(INDEX(ISNUMBER(--MID(AV1605,ROW($1:$8),1))*ROW($1:$8),),ROW($1:$8))+1,1)*10^ROW($1:$8)/10)</f>
        <v>49405140</v>
      </c>
      <c r="AX1605" s="402" t="str">
        <f>VLOOKUP($AW1605,'Item Master Data'!$A:$F,3,FALSE)</f>
        <v>Q.PEAK DUO BLK ML G10+</v>
      </c>
      <c r="AY1605" s="402">
        <f>VLOOKUP($AW1605,'Item Master Data'!$A:$F,6,FALSE)</f>
        <v>400</v>
      </c>
      <c r="AZ1605" s="402">
        <f t="shared" si="346"/>
        <v>13</v>
      </c>
      <c r="BA1605" s="402">
        <f>VLOOKUP(AW1605,'Item Master Data'!$A:$G,7,FALSE)</f>
        <v>32</v>
      </c>
      <c r="BC1605" s="402">
        <f t="shared" si="347"/>
        <v>0</v>
      </c>
    </row>
    <row r="1606" spans="1:55" s="402" customFormat="1">
      <c r="A1606" s="403">
        <v>3</v>
      </c>
      <c r="B1606" s="446">
        <v>44616</v>
      </c>
      <c r="C1606" s="446">
        <v>44616</v>
      </c>
      <c r="D1606" s="416" t="s">
        <v>2480</v>
      </c>
      <c r="E1606" s="405"/>
      <c r="F1606" s="405"/>
      <c r="G1606" s="500">
        <v>2022</v>
      </c>
      <c r="H1606" s="500">
        <v>5</v>
      </c>
      <c r="I1606" s="500"/>
      <c r="J1606" s="501"/>
      <c r="K1606" s="502" t="s">
        <v>4142</v>
      </c>
      <c r="L1606" s="500" t="s">
        <v>1939</v>
      </c>
      <c r="M1606" s="418">
        <v>44615</v>
      </c>
      <c r="N1606" s="418">
        <v>44615</v>
      </c>
      <c r="O1606" s="418"/>
      <c r="P1606" s="406">
        <v>44694</v>
      </c>
      <c r="Q1606" s="406"/>
      <c r="R1606" s="406"/>
      <c r="S1606" s="405" t="s">
        <v>1940</v>
      </c>
      <c r="T1606" s="405">
        <v>60</v>
      </c>
      <c r="U1606" s="405">
        <v>49405140</v>
      </c>
      <c r="V1606" s="405" t="s">
        <v>973</v>
      </c>
      <c r="W1606" s="405">
        <v>400</v>
      </c>
      <c r="X1606" s="407">
        <f>1664-352-480</f>
        <v>832</v>
      </c>
      <c r="Y1606" s="408">
        <f t="shared" si="337"/>
        <v>332800</v>
      </c>
      <c r="Z1606" s="409">
        <f t="shared" si="342"/>
        <v>0.47</v>
      </c>
      <c r="AA1606" s="410">
        <f t="shared" si="338"/>
        <v>156416</v>
      </c>
      <c r="AB1606" s="411"/>
      <c r="AC1606" s="412">
        <f t="shared" si="343"/>
        <v>0</v>
      </c>
      <c r="AD1606" s="421"/>
      <c r="AE1606" s="413"/>
      <c r="AF1606" s="424">
        <f t="shared" si="344"/>
        <v>156416</v>
      </c>
      <c r="AG1606" s="405" t="s">
        <v>47</v>
      </c>
      <c r="AH1606" s="405"/>
      <c r="AI1606" s="414" t="s">
        <v>1937</v>
      </c>
      <c r="AJ1606" s="405" t="s">
        <v>1152</v>
      </c>
      <c r="AK1606" s="425" t="s">
        <v>1148</v>
      </c>
      <c r="AL1606" s="425">
        <v>28216</v>
      </c>
      <c r="AM1606" s="405" t="s">
        <v>52</v>
      </c>
      <c r="AN1606" s="405" t="s">
        <v>1071</v>
      </c>
      <c r="AO1606" s="405"/>
      <c r="AP1606" s="417"/>
      <c r="AQ1606" s="417" t="s">
        <v>37</v>
      </c>
      <c r="AR1606" s="417"/>
      <c r="AS1606" s="426"/>
      <c r="AT1606" s="426"/>
      <c r="AU1606" s="409"/>
      <c r="AV1606" s="402">
        <f t="shared" si="345"/>
        <v>49405140</v>
      </c>
      <c r="AW1606" s="402" cm="1">
        <f t="array" ref="AW1606">SUM(MID(0&amp;AV1606,LARGE(INDEX(ISNUMBER(--MID(AV1606,ROW($1:$8),1))*ROW($1:$8),),ROW($1:$8))+1,1)*10^ROW($1:$8)/10)</f>
        <v>49405140</v>
      </c>
      <c r="AX1606" s="402" t="str">
        <f>VLOOKUP($AW1606,'Item Master Data'!$A:$F,3,FALSE)</f>
        <v>Q.PEAK DUO BLK ML G10+</v>
      </c>
      <c r="AY1606" s="402">
        <f>VLOOKUP($AW1606,'Item Master Data'!$A:$F,6,FALSE)</f>
        <v>400</v>
      </c>
      <c r="AZ1606" s="402">
        <f t="shared" si="346"/>
        <v>26</v>
      </c>
      <c r="BA1606" s="402">
        <f>VLOOKUP(AW1606,'Item Master Data'!$A:$G,7,FALSE)</f>
        <v>32</v>
      </c>
      <c r="BC1606" s="402">
        <f t="shared" si="347"/>
        <v>0</v>
      </c>
    </row>
    <row r="1607" spans="1:55" s="402" customFormat="1">
      <c r="A1607" s="403">
        <v>3</v>
      </c>
      <c r="B1607" s="446">
        <v>44616</v>
      </c>
      <c r="C1607" s="446">
        <v>44616</v>
      </c>
      <c r="D1607" s="416" t="s">
        <v>2480</v>
      </c>
      <c r="E1607" s="405"/>
      <c r="F1607" s="405"/>
      <c r="G1607" s="475">
        <v>2022</v>
      </c>
      <c r="H1607" s="475">
        <v>5</v>
      </c>
      <c r="I1607" s="475"/>
      <c r="J1607" s="476"/>
      <c r="K1607" s="499" t="s">
        <v>4161</v>
      </c>
      <c r="L1607" s="475" t="s">
        <v>1939</v>
      </c>
      <c r="M1607" s="418">
        <v>44615</v>
      </c>
      <c r="N1607" s="418">
        <v>44615</v>
      </c>
      <c r="O1607" s="418"/>
      <c r="P1607" s="406">
        <v>44694</v>
      </c>
      <c r="Q1607" s="406"/>
      <c r="R1607" s="406"/>
      <c r="S1607" s="405" t="s">
        <v>1940</v>
      </c>
      <c r="T1607" s="405">
        <v>60</v>
      </c>
      <c r="U1607" s="405" t="s">
        <v>1237</v>
      </c>
      <c r="V1607" s="405" t="s">
        <v>973</v>
      </c>
      <c r="W1607" s="405">
        <v>400</v>
      </c>
      <c r="X1607" s="407">
        <f>1664-608-224</f>
        <v>832</v>
      </c>
      <c r="Y1607" s="408">
        <f t="shared" si="337"/>
        <v>332800</v>
      </c>
      <c r="Z1607" s="409">
        <f t="shared" si="342"/>
        <v>0.47</v>
      </c>
      <c r="AA1607" s="410">
        <f t="shared" si="338"/>
        <v>156416</v>
      </c>
      <c r="AB1607" s="411"/>
      <c r="AC1607" s="412">
        <f t="shared" si="343"/>
        <v>0</v>
      </c>
      <c r="AD1607" s="421"/>
      <c r="AE1607" s="413"/>
      <c r="AF1607" s="424">
        <f t="shared" si="344"/>
        <v>156416</v>
      </c>
      <c r="AG1607" s="405" t="s">
        <v>47</v>
      </c>
      <c r="AH1607" s="405"/>
      <c r="AI1607" s="414" t="s">
        <v>1937</v>
      </c>
      <c r="AJ1607" s="405" t="s">
        <v>1944</v>
      </c>
      <c r="AK1607" s="425" t="s">
        <v>1136</v>
      </c>
      <c r="AL1607" s="425">
        <v>75061</v>
      </c>
      <c r="AM1607" s="405" t="s">
        <v>52</v>
      </c>
      <c r="AN1607" s="405" t="s">
        <v>50</v>
      </c>
      <c r="AO1607" s="405"/>
      <c r="AP1607" s="417"/>
      <c r="AQ1607" s="417" t="s">
        <v>37</v>
      </c>
      <c r="AR1607" s="417"/>
      <c r="AS1607" s="426"/>
      <c r="AT1607" s="426"/>
      <c r="AU1607" s="409"/>
      <c r="AV1607" s="402" t="str">
        <f t="shared" si="345"/>
        <v>30390456H</v>
      </c>
      <c r="AW1607" s="402" cm="1">
        <f t="array" ref="AW1607">SUM(MID(0&amp;AV1607,LARGE(INDEX(ISNUMBER(--MID(AV1607,ROW($1:$8),1))*ROW($1:$8),),ROW($1:$8))+1,1)*10^ROW($1:$8)/10)</f>
        <v>30390456</v>
      </c>
      <c r="AX1607" s="402" t="str">
        <f>VLOOKUP($AW1607,'Item Master Data'!$A:$F,3,FALSE)</f>
        <v>Q.PEAK DUO BLK ML G10+</v>
      </c>
      <c r="AY1607" s="402">
        <f>VLOOKUP($AW1607,'Item Master Data'!$A:$F,6,FALSE)</f>
        <v>400</v>
      </c>
      <c r="AZ1607" s="402">
        <f t="shared" si="346"/>
        <v>26</v>
      </c>
      <c r="BA1607" s="402">
        <f>VLOOKUP(AW1607,'Item Master Data'!$A:$G,7,FALSE)</f>
        <v>32</v>
      </c>
      <c r="BC1607" s="402">
        <f t="shared" si="347"/>
        <v>0</v>
      </c>
    </row>
    <row r="1608" spans="1:55" s="402" customFormat="1">
      <c r="A1608" s="403">
        <v>3</v>
      </c>
      <c r="B1608" s="446">
        <v>44616</v>
      </c>
      <c r="C1608" s="446">
        <v>44616</v>
      </c>
      <c r="D1608" s="416" t="s">
        <v>2480</v>
      </c>
      <c r="E1608" s="405"/>
      <c r="F1608" s="405"/>
      <c r="G1608" s="475">
        <v>2022</v>
      </c>
      <c r="H1608" s="475">
        <v>5</v>
      </c>
      <c r="I1608" s="475"/>
      <c r="J1608" s="476"/>
      <c r="K1608" s="499" t="s">
        <v>4180</v>
      </c>
      <c r="L1608" s="475" t="s">
        <v>1939</v>
      </c>
      <c r="M1608" s="418">
        <v>44615</v>
      </c>
      <c r="N1608" s="418">
        <v>44615</v>
      </c>
      <c r="O1608" s="418"/>
      <c r="P1608" s="406">
        <v>44694</v>
      </c>
      <c r="Q1608" s="406"/>
      <c r="R1608" s="406"/>
      <c r="S1608" s="405" t="s">
        <v>1940</v>
      </c>
      <c r="T1608" s="405">
        <v>60</v>
      </c>
      <c r="U1608" s="405" t="s">
        <v>1237</v>
      </c>
      <c r="V1608" s="405" t="s">
        <v>973</v>
      </c>
      <c r="W1608" s="405">
        <v>400</v>
      </c>
      <c r="X1608" s="407">
        <f>3328-576-1504</f>
        <v>1248</v>
      </c>
      <c r="Y1608" s="408">
        <f t="shared" si="337"/>
        <v>499200</v>
      </c>
      <c r="Z1608" s="409">
        <f t="shared" si="342"/>
        <v>0.47</v>
      </c>
      <c r="AA1608" s="410">
        <f t="shared" si="338"/>
        <v>234624</v>
      </c>
      <c r="AB1608" s="411"/>
      <c r="AC1608" s="412">
        <f t="shared" si="343"/>
        <v>0</v>
      </c>
      <c r="AD1608" s="421"/>
      <c r="AE1608" s="413"/>
      <c r="AF1608" s="424">
        <f t="shared" si="344"/>
        <v>234624</v>
      </c>
      <c r="AG1608" s="405" t="s">
        <v>47</v>
      </c>
      <c r="AH1608" s="405"/>
      <c r="AI1608" s="414" t="s">
        <v>1937</v>
      </c>
      <c r="AJ1608" s="405" t="s">
        <v>1946</v>
      </c>
      <c r="AK1608" s="425" t="s">
        <v>1930</v>
      </c>
      <c r="AL1608" s="425">
        <v>80239</v>
      </c>
      <c r="AM1608" s="405" t="s">
        <v>52</v>
      </c>
      <c r="AN1608" s="405" t="s">
        <v>50</v>
      </c>
      <c r="AO1608" s="405"/>
      <c r="AP1608" s="417"/>
      <c r="AQ1608" s="417" t="s">
        <v>37</v>
      </c>
      <c r="AR1608" s="417"/>
      <c r="AS1608" s="426"/>
      <c r="AT1608" s="426"/>
      <c r="AU1608" s="409"/>
    </row>
    <row r="1609" spans="1:55" s="402" customFormat="1">
      <c r="A1609" s="403">
        <v>3</v>
      </c>
      <c r="B1609" s="446">
        <v>44616</v>
      </c>
      <c r="C1609" s="446">
        <v>44616</v>
      </c>
      <c r="D1609" s="416" t="s">
        <v>2480</v>
      </c>
      <c r="E1609" s="405" t="s">
        <v>2711</v>
      </c>
      <c r="F1609" s="405"/>
      <c r="G1609" s="531">
        <v>2022</v>
      </c>
      <c r="H1609" s="531">
        <v>5</v>
      </c>
      <c r="I1609" s="531"/>
      <c r="J1609" s="532"/>
      <c r="K1609" s="533" t="s">
        <v>4150</v>
      </c>
      <c r="L1609" s="531" t="s">
        <v>1939</v>
      </c>
      <c r="M1609" s="418">
        <v>44615</v>
      </c>
      <c r="N1609" s="418">
        <v>44615</v>
      </c>
      <c r="O1609" s="418"/>
      <c r="P1609" s="406">
        <v>44694</v>
      </c>
      <c r="Q1609" s="406"/>
      <c r="R1609" s="406"/>
      <c r="S1609" s="405" t="s">
        <v>1940</v>
      </c>
      <c r="T1609" s="405">
        <v>60</v>
      </c>
      <c r="U1609" s="405">
        <v>49405140</v>
      </c>
      <c r="V1609" s="405" t="s">
        <v>973</v>
      </c>
      <c r="W1609" s="405">
        <v>400</v>
      </c>
      <c r="X1609" s="407">
        <f>640-224</f>
        <v>416</v>
      </c>
      <c r="Y1609" s="408">
        <f t="shared" ref="Y1609:Y1636" si="348">X1609*W1609</f>
        <v>166400</v>
      </c>
      <c r="Z1609" s="409">
        <f t="shared" si="342"/>
        <v>0.47</v>
      </c>
      <c r="AA1609" s="410">
        <f t="shared" si="338"/>
        <v>78208</v>
      </c>
      <c r="AB1609" s="411"/>
      <c r="AC1609" s="412">
        <f t="shared" si="343"/>
        <v>0</v>
      </c>
      <c r="AD1609" s="421"/>
      <c r="AE1609" s="413"/>
      <c r="AF1609" s="424">
        <f t="shared" si="344"/>
        <v>78208</v>
      </c>
      <c r="AG1609" s="405" t="s">
        <v>47</v>
      </c>
      <c r="AH1609" s="405"/>
      <c r="AI1609" s="414" t="s">
        <v>1937</v>
      </c>
      <c r="AJ1609" s="405" t="s">
        <v>1952</v>
      </c>
      <c r="AK1609" s="425" t="s">
        <v>1953</v>
      </c>
      <c r="AL1609" s="425">
        <v>29673</v>
      </c>
      <c r="AM1609" s="405" t="s">
        <v>52</v>
      </c>
      <c r="AN1609" s="405" t="s">
        <v>1071</v>
      </c>
      <c r="AO1609" s="405"/>
      <c r="AP1609" s="417"/>
      <c r="AQ1609" s="417" t="s">
        <v>37</v>
      </c>
      <c r="AR1609" s="417"/>
      <c r="AS1609" s="426"/>
      <c r="AT1609" s="426"/>
      <c r="AU1609" s="409"/>
    </row>
    <row r="1610" spans="1:55" s="402" customFormat="1">
      <c r="A1610" s="403">
        <v>3</v>
      </c>
      <c r="B1610" s="446">
        <v>44616</v>
      </c>
      <c r="C1610" s="446">
        <v>44616</v>
      </c>
      <c r="D1610" s="416" t="s">
        <v>2480</v>
      </c>
      <c r="E1610" s="405"/>
      <c r="F1610" s="405"/>
      <c r="G1610" s="475">
        <v>2022</v>
      </c>
      <c r="H1610" s="475">
        <v>5</v>
      </c>
      <c r="I1610" s="475"/>
      <c r="J1610" s="476"/>
      <c r="K1610" s="499" t="s">
        <v>4163</v>
      </c>
      <c r="L1610" s="475" t="s">
        <v>1939</v>
      </c>
      <c r="M1610" s="418">
        <v>44615</v>
      </c>
      <c r="N1610" s="418">
        <v>44615</v>
      </c>
      <c r="O1610" s="418"/>
      <c r="P1610" s="406">
        <v>44694</v>
      </c>
      <c r="Q1610" s="406"/>
      <c r="R1610" s="406"/>
      <c r="S1610" s="405" t="s">
        <v>1940</v>
      </c>
      <c r="T1610" s="405">
        <v>60</v>
      </c>
      <c r="U1610" s="405" t="s">
        <v>1237</v>
      </c>
      <c r="V1610" s="405" t="s">
        <v>973</v>
      </c>
      <c r="W1610" s="405">
        <v>400</v>
      </c>
      <c r="X1610" s="407">
        <f>1280-448</f>
        <v>832</v>
      </c>
      <c r="Y1610" s="408">
        <f t="shared" si="348"/>
        <v>332800</v>
      </c>
      <c r="Z1610" s="409">
        <f t="shared" si="342"/>
        <v>0.47</v>
      </c>
      <c r="AA1610" s="410">
        <f t="shared" si="338"/>
        <v>156416</v>
      </c>
      <c r="AB1610" s="411"/>
      <c r="AC1610" s="412">
        <f t="shared" si="343"/>
        <v>0</v>
      </c>
      <c r="AD1610" s="421"/>
      <c r="AE1610" s="413"/>
      <c r="AF1610" s="424">
        <f t="shared" si="344"/>
        <v>156416</v>
      </c>
      <c r="AG1610" s="405" t="s">
        <v>47</v>
      </c>
      <c r="AH1610" s="405"/>
      <c r="AI1610" s="414" t="s">
        <v>1937</v>
      </c>
      <c r="AJ1610" s="405" t="s">
        <v>1323</v>
      </c>
      <c r="AK1610" s="425" t="s">
        <v>1136</v>
      </c>
      <c r="AL1610" s="425">
        <v>77041</v>
      </c>
      <c r="AM1610" s="405" t="s">
        <v>52</v>
      </c>
      <c r="AN1610" s="405" t="s">
        <v>50</v>
      </c>
      <c r="AO1610" s="405"/>
      <c r="AP1610" s="417"/>
      <c r="AQ1610" s="417" t="s">
        <v>37</v>
      </c>
      <c r="AR1610" s="417"/>
      <c r="AS1610" s="426"/>
      <c r="AT1610" s="426"/>
      <c r="AU1610" s="409"/>
    </row>
    <row r="1611" spans="1:55" s="402" customFormat="1">
      <c r="A1611" s="403"/>
      <c r="B1611" s="446">
        <v>44616</v>
      </c>
      <c r="C1611" s="446">
        <v>44616</v>
      </c>
      <c r="D1611" s="416" t="s">
        <v>2480</v>
      </c>
      <c r="E1611" s="405"/>
      <c r="F1611" s="405"/>
      <c r="G1611" s="448">
        <v>2022</v>
      </c>
      <c r="H1611" s="448">
        <v>5</v>
      </c>
      <c r="I1611" s="448"/>
      <c r="J1611" s="449"/>
      <c r="K1611" s="529" t="s">
        <v>4157</v>
      </c>
      <c r="L1611" s="448" t="s">
        <v>1939</v>
      </c>
      <c r="M1611" s="530">
        <v>44615</v>
      </c>
      <c r="N1611" s="530">
        <v>44615</v>
      </c>
      <c r="O1611" s="530"/>
      <c r="P1611" s="449"/>
      <c r="Q1611" s="449"/>
      <c r="R1611" s="449"/>
      <c r="S1611" s="448" t="s">
        <v>1940</v>
      </c>
      <c r="T1611" s="448">
        <v>60</v>
      </c>
      <c r="U1611" s="448">
        <v>49401140</v>
      </c>
      <c r="V1611" s="448" t="s">
        <v>973</v>
      </c>
      <c r="W1611" s="448">
        <v>400</v>
      </c>
      <c r="X1611" s="450">
        <v>320</v>
      </c>
      <c r="Y1611" s="486">
        <f t="shared" si="348"/>
        <v>128000</v>
      </c>
      <c r="Z1611" s="409">
        <f t="shared" si="342"/>
        <v>0.47</v>
      </c>
      <c r="AA1611" s="410">
        <f t="shared" si="338"/>
        <v>60160</v>
      </c>
      <c r="AB1611" s="411"/>
      <c r="AC1611" s="412">
        <f t="shared" si="343"/>
        <v>0</v>
      </c>
      <c r="AD1611" s="421"/>
      <c r="AE1611" s="413"/>
      <c r="AF1611" s="424">
        <f t="shared" si="344"/>
        <v>60160</v>
      </c>
      <c r="AG1611" s="405" t="s">
        <v>47</v>
      </c>
      <c r="AH1611" s="405"/>
      <c r="AI1611" s="414" t="s">
        <v>1937</v>
      </c>
      <c r="AJ1611" s="405" t="s">
        <v>1080</v>
      </c>
      <c r="AK1611" s="425" t="s">
        <v>1081</v>
      </c>
      <c r="AL1611" s="405">
        <v>32205</v>
      </c>
      <c r="AM1611" s="405" t="s">
        <v>52</v>
      </c>
      <c r="AN1611" s="405" t="s">
        <v>1101</v>
      </c>
      <c r="AO1611" s="405"/>
      <c r="AP1611" s="417"/>
      <c r="AQ1611" s="417" t="s">
        <v>37</v>
      </c>
      <c r="AR1611" s="417"/>
      <c r="AS1611" s="426"/>
      <c r="AT1611" s="426"/>
      <c r="AU1611" s="409"/>
    </row>
    <row r="1612" spans="1:55" s="402" customFormat="1">
      <c r="A1612" s="403">
        <v>3</v>
      </c>
      <c r="B1612" s="446">
        <v>44616</v>
      </c>
      <c r="C1612" s="446">
        <v>44616</v>
      </c>
      <c r="D1612" s="416" t="s">
        <v>2480</v>
      </c>
      <c r="E1612" s="405"/>
      <c r="F1612" s="405"/>
      <c r="G1612" s="475">
        <v>2022</v>
      </c>
      <c r="H1612" s="475">
        <v>5</v>
      </c>
      <c r="I1612" s="475"/>
      <c r="J1612" s="476"/>
      <c r="K1612" s="499" t="s">
        <v>4172</v>
      </c>
      <c r="L1612" s="475" t="s">
        <v>1939</v>
      </c>
      <c r="M1612" s="418">
        <v>44615</v>
      </c>
      <c r="N1612" s="418">
        <v>44615</v>
      </c>
      <c r="O1612" s="418"/>
      <c r="P1612" s="406">
        <v>44694</v>
      </c>
      <c r="Q1612" s="406"/>
      <c r="R1612" s="406"/>
      <c r="S1612" s="405" t="s">
        <v>1940</v>
      </c>
      <c r="T1612" s="405">
        <v>60</v>
      </c>
      <c r="U1612" s="405" t="s">
        <v>1237</v>
      </c>
      <c r="V1612" s="405" t="s">
        <v>973</v>
      </c>
      <c r="W1612" s="405">
        <v>400</v>
      </c>
      <c r="X1612" s="407">
        <f>4992-1888-1856</f>
        <v>1248</v>
      </c>
      <c r="Y1612" s="408">
        <f t="shared" si="348"/>
        <v>499200</v>
      </c>
      <c r="Z1612" s="409">
        <f t="shared" si="342"/>
        <v>0.47</v>
      </c>
      <c r="AA1612" s="410">
        <f t="shared" si="338"/>
        <v>234624</v>
      </c>
      <c r="AB1612" s="411"/>
      <c r="AC1612" s="412">
        <f t="shared" si="343"/>
        <v>0</v>
      </c>
      <c r="AD1612" s="421"/>
      <c r="AE1612" s="413"/>
      <c r="AF1612" s="424">
        <f t="shared" si="344"/>
        <v>234624</v>
      </c>
      <c r="AG1612" s="405" t="s">
        <v>47</v>
      </c>
      <c r="AH1612" s="405"/>
      <c r="AI1612" s="414" t="s">
        <v>1937</v>
      </c>
      <c r="AJ1612" s="405" t="s">
        <v>1124</v>
      </c>
      <c r="AK1612" s="425" t="s">
        <v>1125</v>
      </c>
      <c r="AL1612" s="425">
        <v>85210</v>
      </c>
      <c r="AM1612" s="405" t="s">
        <v>52</v>
      </c>
      <c r="AN1612" s="405" t="s">
        <v>50</v>
      </c>
      <c r="AO1612" s="405"/>
      <c r="AP1612" s="417"/>
      <c r="AQ1612" s="417" t="s">
        <v>37</v>
      </c>
      <c r="AR1612" s="417"/>
      <c r="AS1612" s="426"/>
      <c r="AT1612" s="426"/>
      <c r="AU1612" s="409"/>
    </row>
    <row r="1613" spans="1:55" s="402" customFormat="1">
      <c r="A1613" s="403">
        <v>3</v>
      </c>
      <c r="B1613" s="446">
        <v>44616</v>
      </c>
      <c r="C1613" s="446">
        <v>44616</v>
      </c>
      <c r="D1613" s="416" t="s">
        <v>2480</v>
      </c>
      <c r="E1613" s="405"/>
      <c r="F1613" s="405"/>
      <c r="G1613" s="475">
        <v>2022</v>
      </c>
      <c r="H1613" s="475">
        <v>5</v>
      </c>
      <c r="I1613" s="475"/>
      <c r="J1613" s="476"/>
      <c r="K1613" s="499" t="s">
        <v>4148</v>
      </c>
      <c r="L1613" s="475" t="s">
        <v>1939</v>
      </c>
      <c r="M1613" s="418">
        <v>44615</v>
      </c>
      <c r="N1613" s="418">
        <v>44615</v>
      </c>
      <c r="O1613" s="418"/>
      <c r="P1613" s="406">
        <v>44694</v>
      </c>
      <c r="Q1613" s="406"/>
      <c r="R1613" s="406"/>
      <c r="S1613" s="405" t="s">
        <v>1940</v>
      </c>
      <c r="T1613" s="405">
        <v>60</v>
      </c>
      <c r="U1613" s="405">
        <v>49405140</v>
      </c>
      <c r="V1613" s="405" t="s">
        <v>973</v>
      </c>
      <c r="W1613" s="405">
        <v>400</v>
      </c>
      <c r="X1613" s="407">
        <f>1280-256-192</f>
        <v>832</v>
      </c>
      <c r="Y1613" s="408">
        <f t="shared" si="348"/>
        <v>332800</v>
      </c>
      <c r="Z1613" s="409">
        <f t="shared" si="342"/>
        <v>0.47</v>
      </c>
      <c r="AA1613" s="410">
        <f t="shared" ref="AA1613:AA1640" si="349">Z1613*Y1613</f>
        <v>156416</v>
      </c>
      <c r="AB1613" s="411"/>
      <c r="AC1613" s="412">
        <f t="shared" si="343"/>
        <v>0</v>
      </c>
      <c r="AD1613" s="421"/>
      <c r="AE1613" s="413"/>
      <c r="AF1613" s="424">
        <f t="shared" si="344"/>
        <v>156416</v>
      </c>
      <c r="AG1613" s="405" t="s">
        <v>47</v>
      </c>
      <c r="AH1613" s="405"/>
      <c r="AI1613" s="414" t="s">
        <v>1937</v>
      </c>
      <c r="AJ1613" s="405" t="s">
        <v>1945</v>
      </c>
      <c r="AK1613" s="425" t="s">
        <v>1317</v>
      </c>
      <c r="AL1613" s="425">
        <v>23502</v>
      </c>
      <c r="AM1613" s="405" t="s">
        <v>52</v>
      </c>
      <c r="AN1613" s="405" t="s">
        <v>1071</v>
      </c>
      <c r="AO1613" s="405"/>
      <c r="AP1613" s="417"/>
      <c r="AQ1613" s="417" t="s">
        <v>37</v>
      </c>
      <c r="AR1613" s="417"/>
      <c r="AS1613" s="426"/>
      <c r="AT1613" s="426"/>
      <c r="AU1613" s="409"/>
    </row>
    <row r="1614" spans="1:55" s="402" customFormat="1">
      <c r="A1614" s="403"/>
      <c r="B1614" s="446">
        <v>44616</v>
      </c>
      <c r="C1614" s="446">
        <v>44616</v>
      </c>
      <c r="D1614" s="416" t="s">
        <v>2480</v>
      </c>
      <c r="E1614" s="405"/>
      <c r="F1614" s="405"/>
      <c r="G1614" s="448">
        <v>2022</v>
      </c>
      <c r="H1614" s="448">
        <v>5</v>
      </c>
      <c r="I1614" s="448"/>
      <c r="J1614" s="449"/>
      <c r="K1614" s="529" t="s">
        <v>4184</v>
      </c>
      <c r="L1614" s="448" t="s">
        <v>1939</v>
      </c>
      <c r="M1614" s="530">
        <v>44615</v>
      </c>
      <c r="N1614" s="530">
        <v>44615</v>
      </c>
      <c r="O1614" s="530"/>
      <c r="P1614" s="449"/>
      <c r="Q1614" s="449"/>
      <c r="R1614" s="449"/>
      <c r="S1614" s="448" t="s">
        <v>1940</v>
      </c>
      <c r="T1614" s="448">
        <v>60</v>
      </c>
      <c r="U1614" s="448">
        <v>49405140</v>
      </c>
      <c r="V1614" s="448" t="s">
        <v>973</v>
      </c>
      <c r="W1614" s="448">
        <v>400</v>
      </c>
      <c r="X1614" s="450">
        <v>832</v>
      </c>
      <c r="Y1614" s="486">
        <f t="shared" si="348"/>
        <v>332800</v>
      </c>
      <c r="Z1614" s="409">
        <f t="shared" si="342"/>
        <v>0.47</v>
      </c>
      <c r="AA1614" s="410">
        <f t="shared" si="349"/>
        <v>156416</v>
      </c>
      <c r="AB1614" s="411"/>
      <c r="AC1614" s="412">
        <f t="shared" si="343"/>
        <v>0</v>
      </c>
      <c r="AD1614" s="421"/>
      <c r="AE1614" s="413"/>
      <c r="AF1614" s="424">
        <f t="shared" si="344"/>
        <v>156416</v>
      </c>
      <c r="AG1614" s="405" t="s">
        <v>47</v>
      </c>
      <c r="AH1614" s="405"/>
      <c r="AI1614" s="414" t="s">
        <v>1937</v>
      </c>
      <c r="AJ1614" s="405" t="s">
        <v>1679</v>
      </c>
      <c r="AK1614" s="425" t="s">
        <v>50</v>
      </c>
      <c r="AL1614" s="405">
        <v>91764</v>
      </c>
      <c r="AM1614" s="405" t="s">
        <v>52</v>
      </c>
      <c r="AN1614" s="405" t="s">
        <v>1101</v>
      </c>
      <c r="AO1614" s="405"/>
      <c r="AP1614" s="417"/>
      <c r="AQ1614" s="417" t="s">
        <v>37</v>
      </c>
      <c r="AR1614" s="417"/>
      <c r="AS1614" s="426"/>
      <c r="AT1614" s="426"/>
      <c r="AU1614" s="409"/>
    </row>
    <row r="1615" spans="1:55" s="402" customFormat="1">
      <c r="A1615" s="403">
        <v>3</v>
      </c>
      <c r="B1615" s="446">
        <v>44616</v>
      </c>
      <c r="C1615" s="446">
        <v>44616</v>
      </c>
      <c r="D1615" s="416" t="s">
        <v>2480</v>
      </c>
      <c r="E1615" s="405"/>
      <c r="F1615" s="405"/>
      <c r="G1615" s="500">
        <v>2022</v>
      </c>
      <c r="H1615" s="500">
        <v>5</v>
      </c>
      <c r="I1615" s="500"/>
      <c r="J1615" s="501"/>
      <c r="K1615" s="502" t="s">
        <v>4140</v>
      </c>
      <c r="L1615" s="500" t="s">
        <v>1939</v>
      </c>
      <c r="M1615" s="418">
        <v>44615</v>
      </c>
      <c r="N1615" s="418">
        <v>44615</v>
      </c>
      <c r="O1615" s="418"/>
      <c r="P1615" s="406">
        <v>44694</v>
      </c>
      <c r="Q1615" s="406"/>
      <c r="R1615" s="406"/>
      <c r="S1615" s="405" t="s">
        <v>1940</v>
      </c>
      <c r="T1615" s="405">
        <v>60</v>
      </c>
      <c r="U1615" s="405">
        <v>49405140</v>
      </c>
      <c r="V1615" s="405" t="s">
        <v>973</v>
      </c>
      <c r="W1615" s="405">
        <v>400</v>
      </c>
      <c r="X1615" s="407">
        <f>2496-672-992</f>
        <v>832</v>
      </c>
      <c r="Y1615" s="408">
        <f t="shared" si="348"/>
        <v>332800</v>
      </c>
      <c r="Z1615" s="409">
        <f t="shared" si="342"/>
        <v>0.47</v>
      </c>
      <c r="AA1615" s="410">
        <f t="shared" si="349"/>
        <v>156416</v>
      </c>
      <c r="AB1615" s="411"/>
      <c r="AC1615" s="412">
        <f t="shared" si="343"/>
        <v>0</v>
      </c>
      <c r="AD1615" s="421"/>
      <c r="AE1615" s="413"/>
      <c r="AF1615" s="424">
        <f t="shared" si="344"/>
        <v>156416</v>
      </c>
      <c r="AG1615" s="405" t="s">
        <v>47</v>
      </c>
      <c r="AH1615" s="405"/>
      <c r="AI1615" s="414" t="s">
        <v>1937</v>
      </c>
      <c r="AJ1615" s="405" t="s">
        <v>1959</v>
      </c>
      <c r="AK1615" s="425" t="s">
        <v>1081</v>
      </c>
      <c r="AL1615" s="425">
        <v>34741</v>
      </c>
      <c r="AM1615" s="405" t="s">
        <v>52</v>
      </c>
      <c r="AN1615" s="405" t="s">
        <v>1071</v>
      </c>
      <c r="AO1615" s="405"/>
      <c r="AP1615" s="417"/>
      <c r="AQ1615" s="417" t="s">
        <v>37</v>
      </c>
      <c r="AR1615" s="417"/>
      <c r="AS1615" s="426"/>
      <c r="AT1615" s="426"/>
      <c r="AU1615" s="409"/>
    </row>
    <row r="1616" spans="1:55" s="402" customFormat="1">
      <c r="A1616" s="403"/>
      <c r="B1616" s="446">
        <v>44616</v>
      </c>
      <c r="C1616" s="446">
        <v>44616</v>
      </c>
      <c r="D1616" s="416" t="s">
        <v>2480</v>
      </c>
      <c r="E1616" s="405"/>
      <c r="F1616" s="405"/>
      <c r="G1616" s="448">
        <v>2022</v>
      </c>
      <c r="H1616" s="448">
        <v>5</v>
      </c>
      <c r="I1616" s="448"/>
      <c r="J1616" s="449"/>
      <c r="K1616" s="529" t="s">
        <v>4154</v>
      </c>
      <c r="L1616" s="448" t="s">
        <v>1939</v>
      </c>
      <c r="M1616" s="530">
        <v>44615</v>
      </c>
      <c r="N1616" s="530">
        <v>44615</v>
      </c>
      <c r="O1616" s="530"/>
      <c r="P1616" s="449"/>
      <c r="Q1616" s="449"/>
      <c r="R1616" s="449"/>
      <c r="S1616" s="448" t="s">
        <v>1940</v>
      </c>
      <c r="T1616" s="448">
        <v>60</v>
      </c>
      <c r="U1616" s="448">
        <v>49401140</v>
      </c>
      <c r="V1616" s="448" t="s">
        <v>973</v>
      </c>
      <c r="W1616" s="448">
        <v>400</v>
      </c>
      <c r="X1616" s="450">
        <v>416</v>
      </c>
      <c r="Y1616" s="486">
        <f t="shared" si="348"/>
        <v>166400</v>
      </c>
      <c r="Z1616" s="409">
        <f t="shared" si="342"/>
        <v>0.47</v>
      </c>
      <c r="AA1616" s="410">
        <f t="shared" si="349"/>
        <v>78208</v>
      </c>
      <c r="AB1616" s="411"/>
      <c r="AC1616" s="412">
        <f t="shared" si="343"/>
        <v>0</v>
      </c>
      <c r="AD1616" s="421"/>
      <c r="AE1616" s="413"/>
      <c r="AF1616" s="424">
        <f t="shared" si="344"/>
        <v>78208</v>
      </c>
      <c r="AG1616" s="405" t="s">
        <v>47</v>
      </c>
      <c r="AH1616" s="405"/>
      <c r="AI1616" s="414" t="s">
        <v>1937</v>
      </c>
      <c r="AJ1616" s="405" t="s">
        <v>1956</v>
      </c>
      <c r="AK1616" s="425" t="s">
        <v>1081</v>
      </c>
      <c r="AL1616" s="405">
        <v>32583</v>
      </c>
      <c r="AM1616" s="405" t="s">
        <v>52</v>
      </c>
      <c r="AN1616" s="405" t="s">
        <v>1101</v>
      </c>
      <c r="AO1616" s="405"/>
      <c r="AP1616" s="417"/>
      <c r="AQ1616" s="417" t="s">
        <v>37</v>
      </c>
      <c r="AR1616" s="417"/>
      <c r="AS1616" s="426"/>
      <c r="AT1616" s="426"/>
      <c r="AU1616" s="409"/>
      <c r="AV1616" s="402">
        <f>U1616</f>
        <v>49401140</v>
      </c>
      <c r="AW1616" s="402" cm="1">
        <f t="array" ref="AW1616">SUM(MID(0&amp;AV1616,LARGE(INDEX(ISNUMBER(--MID(AV1616,ROW($1:$8),1))*ROW($1:$8),),ROW($1:$8))+1,1)*10^ROW($1:$8)/10)</f>
        <v>49401140</v>
      </c>
      <c r="AX1616" s="402" t="str">
        <f>VLOOKUP($AW1616,'Item Master Data'!$A:$F,3,FALSE)</f>
        <v>Q.PEAK DUO BLK ML G10.a+</v>
      </c>
      <c r="AY1616" s="402">
        <f>VLOOKUP($AW1616,'Item Master Data'!$A:$F,6,FALSE)</f>
        <v>400</v>
      </c>
      <c r="AZ1616" s="402">
        <f>X1616/BA1616</f>
        <v>13</v>
      </c>
      <c r="BA1616" s="402">
        <f>VLOOKUP(AW1616,'Item Master Data'!$A:$G,7,FALSE)</f>
        <v>32</v>
      </c>
      <c r="BC1616" s="402">
        <f>W1616-AY1616</f>
        <v>0</v>
      </c>
    </row>
    <row r="1617" spans="1:55" s="402" customFormat="1">
      <c r="A1617" s="403">
        <v>3</v>
      </c>
      <c r="B1617" s="446">
        <v>44616</v>
      </c>
      <c r="C1617" s="446">
        <v>44616</v>
      </c>
      <c r="D1617" s="416" t="s">
        <v>2480</v>
      </c>
      <c r="E1617" s="405"/>
      <c r="F1617" s="405"/>
      <c r="G1617" s="475">
        <v>2022</v>
      </c>
      <c r="H1617" s="475">
        <v>5</v>
      </c>
      <c r="I1617" s="475"/>
      <c r="J1617" s="476"/>
      <c r="K1617" s="499" t="s">
        <v>4159</v>
      </c>
      <c r="L1617" s="475" t="s">
        <v>1939</v>
      </c>
      <c r="M1617" s="418">
        <v>44615</v>
      </c>
      <c r="N1617" s="418">
        <v>44615</v>
      </c>
      <c r="O1617" s="418"/>
      <c r="P1617" s="406">
        <v>44694</v>
      </c>
      <c r="Q1617" s="406"/>
      <c r="R1617" s="406"/>
      <c r="S1617" s="405" t="s">
        <v>1940</v>
      </c>
      <c r="T1617" s="405">
        <v>60</v>
      </c>
      <c r="U1617" s="405">
        <v>49405140</v>
      </c>
      <c r="V1617" s="405" t="s">
        <v>973</v>
      </c>
      <c r="W1617" s="405">
        <v>400</v>
      </c>
      <c r="X1617" s="407">
        <f>640-224</f>
        <v>416</v>
      </c>
      <c r="Y1617" s="408">
        <f t="shared" si="348"/>
        <v>166400</v>
      </c>
      <c r="Z1617" s="409">
        <f t="shared" si="342"/>
        <v>0.47</v>
      </c>
      <c r="AA1617" s="410">
        <f t="shared" si="349"/>
        <v>78208</v>
      </c>
      <c r="AB1617" s="411"/>
      <c r="AC1617" s="412">
        <f t="shared" si="343"/>
        <v>0</v>
      </c>
      <c r="AD1617" s="421"/>
      <c r="AE1617" s="413"/>
      <c r="AF1617" s="424">
        <f t="shared" si="344"/>
        <v>78208</v>
      </c>
      <c r="AG1617" s="405" t="s">
        <v>47</v>
      </c>
      <c r="AH1617" s="405"/>
      <c r="AI1617" s="414" t="s">
        <v>1937</v>
      </c>
      <c r="AJ1617" s="405" t="s">
        <v>1957</v>
      </c>
      <c r="AK1617" s="425" t="s">
        <v>1148</v>
      </c>
      <c r="AL1617" s="425">
        <v>27560</v>
      </c>
      <c r="AM1617" s="405" t="s">
        <v>52</v>
      </c>
      <c r="AN1617" s="405" t="s">
        <v>1071</v>
      </c>
      <c r="AO1617" s="405"/>
      <c r="AP1617" s="417"/>
      <c r="AQ1617" s="417" t="s">
        <v>37</v>
      </c>
      <c r="AR1617" s="417"/>
      <c r="AS1617" s="426"/>
      <c r="AT1617" s="426"/>
      <c r="AU1617" s="409"/>
      <c r="AV1617" s="402">
        <f>U1617</f>
        <v>49405140</v>
      </c>
      <c r="AW1617" s="402" cm="1">
        <f t="array" ref="AW1617">SUM(MID(0&amp;AV1617,LARGE(INDEX(ISNUMBER(--MID(AV1617,ROW($1:$8),1))*ROW($1:$8),),ROW($1:$8))+1,1)*10^ROW($1:$8)/10)</f>
        <v>49405140</v>
      </c>
      <c r="AX1617" s="402" t="str">
        <f>VLOOKUP($AW1617,'Item Master Data'!$A:$F,3,FALSE)</f>
        <v>Q.PEAK DUO BLK ML G10+</v>
      </c>
      <c r="AY1617" s="402">
        <f>VLOOKUP($AW1617,'Item Master Data'!$A:$F,6,FALSE)</f>
        <v>400</v>
      </c>
      <c r="AZ1617" s="402">
        <f>X1617/BA1617</f>
        <v>13</v>
      </c>
      <c r="BA1617" s="402">
        <f>VLOOKUP(AW1617,'Item Master Data'!$A:$G,7,FALSE)</f>
        <v>32</v>
      </c>
      <c r="BC1617" s="402">
        <f>W1617-AY1617</f>
        <v>0</v>
      </c>
    </row>
    <row r="1618" spans="1:55" s="402" customFormat="1">
      <c r="A1618" s="403">
        <v>3</v>
      </c>
      <c r="B1618" s="446">
        <v>44616</v>
      </c>
      <c r="C1618" s="446">
        <v>44616</v>
      </c>
      <c r="D1618" s="416" t="s">
        <v>2480</v>
      </c>
      <c r="E1618" s="405"/>
      <c r="F1618" s="405"/>
      <c r="G1618" s="475">
        <v>2022</v>
      </c>
      <c r="H1618" s="475">
        <v>5</v>
      </c>
      <c r="I1618" s="475"/>
      <c r="J1618" s="476"/>
      <c r="K1618" s="499" t="s">
        <v>4165</v>
      </c>
      <c r="L1618" s="475" t="s">
        <v>1939</v>
      </c>
      <c r="M1618" s="418">
        <v>44615</v>
      </c>
      <c r="N1618" s="418">
        <v>44615</v>
      </c>
      <c r="O1618" s="418"/>
      <c r="P1618" s="406">
        <v>44694</v>
      </c>
      <c r="Q1618" s="406"/>
      <c r="R1618" s="406"/>
      <c r="S1618" s="405" t="s">
        <v>1940</v>
      </c>
      <c r="T1618" s="405">
        <v>60</v>
      </c>
      <c r="U1618" s="405" t="s">
        <v>1237</v>
      </c>
      <c r="V1618" s="405" t="s">
        <v>973</v>
      </c>
      <c r="W1618" s="405">
        <v>400</v>
      </c>
      <c r="X1618" s="407">
        <f>832-416</f>
        <v>416</v>
      </c>
      <c r="Y1618" s="408">
        <f t="shared" si="348"/>
        <v>166400</v>
      </c>
      <c r="Z1618" s="409">
        <f t="shared" si="342"/>
        <v>0.47</v>
      </c>
      <c r="AA1618" s="410">
        <f t="shared" si="349"/>
        <v>78208</v>
      </c>
      <c r="AB1618" s="411"/>
      <c r="AC1618" s="412">
        <f t="shared" si="343"/>
        <v>0</v>
      </c>
      <c r="AD1618" s="421"/>
      <c r="AE1618" s="413"/>
      <c r="AF1618" s="424">
        <f t="shared" si="344"/>
        <v>78208</v>
      </c>
      <c r="AG1618" s="405" t="s">
        <v>47</v>
      </c>
      <c r="AH1618" s="405"/>
      <c r="AI1618" s="414" t="s">
        <v>1937</v>
      </c>
      <c r="AJ1618" s="405" t="s">
        <v>1958</v>
      </c>
      <c r="AK1618" s="425" t="s">
        <v>1136</v>
      </c>
      <c r="AL1618" s="425">
        <v>78219</v>
      </c>
      <c r="AM1618" s="405" t="s">
        <v>52</v>
      </c>
      <c r="AN1618" s="405" t="s">
        <v>50</v>
      </c>
      <c r="AO1618" s="405"/>
      <c r="AP1618" s="417"/>
      <c r="AQ1618" s="417" t="s">
        <v>37</v>
      </c>
      <c r="AR1618" s="417"/>
      <c r="AS1618" s="426"/>
      <c r="AT1618" s="426"/>
      <c r="AU1618" s="409"/>
      <c r="AV1618" s="402" t="str">
        <f>U1618</f>
        <v>30390456H</v>
      </c>
      <c r="AW1618" s="402" cm="1">
        <f t="array" ref="AW1618">SUM(MID(0&amp;AV1618,LARGE(INDEX(ISNUMBER(--MID(AV1618,ROW($1:$8),1))*ROW($1:$8),),ROW($1:$8))+1,1)*10^ROW($1:$8)/10)</f>
        <v>30390456</v>
      </c>
      <c r="AX1618" s="402" t="str">
        <f>VLOOKUP($AW1618,'Item Master Data'!$A:$F,3,FALSE)</f>
        <v>Q.PEAK DUO BLK ML G10+</v>
      </c>
      <c r="AY1618" s="402">
        <f>VLOOKUP($AW1618,'Item Master Data'!$A:$F,6,FALSE)</f>
        <v>400</v>
      </c>
      <c r="AZ1618" s="402">
        <f>X1618/BA1618</f>
        <v>13</v>
      </c>
      <c r="BA1618" s="402">
        <f>VLOOKUP(AW1618,'Item Master Data'!$A:$G,7,FALSE)</f>
        <v>32</v>
      </c>
      <c r="BC1618" s="402">
        <f>W1618-AY1618</f>
        <v>0</v>
      </c>
    </row>
    <row r="1619" spans="1:55" s="402" customFormat="1">
      <c r="A1619" s="403"/>
      <c r="B1619" s="446">
        <v>44616</v>
      </c>
      <c r="C1619" s="446">
        <v>44616</v>
      </c>
      <c r="D1619" s="416" t="s">
        <v>2480</v>
      </c>
      <c r="E1619" s="405"/>
      <c r="F1619" s="405"/>
      <c r="G1619" s="448">
        <v>2022</v>
      </c>
      <c r="H1619" s="448">
        <v>5</v>
      </c>
      <c r="I1619" s="448"/>
      <c r="J1619" s="449"/>
      <c r="K1619" s="529" t="s">
        <v>4186</v>
      </c>
      <c r="L1619" s="448" t="s">
        <v>1939</v>
      </c>
      <c r="M1619" s="530">
        <v>44615</v>
      </c>
      <c r="N1619" s="530">
        <v>44615</v>
      </c>
      <c r="O1619" s="530"/>
      <c r="P1619" s="449"/>
      <c r="Q1619" s="449"/>
      <c r="R1619" s="449"/>
      <c r="S1619" s="448" t="s">
        <v>1940</v>
      </c>
      <c r="T1619" s="448">
        <v>60</v>
      </c>
      <c r="U1619" s="448">
        <v>49405140</v>
      </c>
      <c r="V1619" s="448" t="s">
        <v>973</v>
      </c>
      <c r="W1619" s="448">
        <v>400</v>
      </c>
      <c r="X1619" s="450">
        <v>832</v>
      </c>
      <c r="Y1619" s="486">
        <f t="shared" si="348"/>
        <v>332800</v>
      </c>
      <c r="Z1619" s="409">
        <f t="shared" si="342"/>
        <v>0.47</v>
      </c>
      <c r="AA1619" s="410">
        <f t="shared" si="349"/>
        <v>156416</v>
      </c>
      <c r="AB1619" s="411"/>
      <c r="AC1619" s="412">
        <f t="shared" si="343"/>
        <v>0</v>
      </c>
      <c r="AD1619" s="421"/>
      <c r="AE1619" s="413"/>
      <c r="AF1619" s="424">
        <f t="shared" si="344"/>
        <v>156416</v>
      </c>
      <c r="AG1619" s="405" t="s">
        <v>47</v>
      </c>
      <c r="AH1619" s="405"/>
      <c r="AI1619" s="414" t="s">
        <v>1937</v>
      </c>
      <c r="AJ1619" s="405" t="s">
        <v>1762</v>
      </c>
      <c r="AK1619" s="425" t="s">
        <v>50</v>
      </c>
      <c r="AL1619" s="405">
        <v>95206</v>
      </c>
      <c r="AM1619" s="405" t="s">
        <v>52</v>
      </c>
      <c r="AN1619" s="405" t="s">
        <v>1101</v>
      </c>
      <c r="AO1619" s="405"/>
      <c r="AP1619" s="417"/>
      <c r="AQ1619" s="417" t="s">
        <v>37</v>
      </c>
      <c r="AR1619" s="417"/>
      <c r="AS1619" s="426"/>
      <c r="AT1619" s="426"/>
      <c r="AU1619" s="409"/>
    </row>
    <row r="1620" spans="1:55" s="402" customFormat="1">
      <c r="A1620" s="403">
        <v>3</v>
      </c>
      <c r="B1620" s="446">
        <v>44616</v>
      </c>
      <c r="C1620" s="446">
        <v>44616</v>
      </c>
      <c r="D1620" s="416" t="s">
        <v>2480</v>
      </c>
      <c r="E1620" s="405"/>
      <c r="F1620" s="405"/>
      <c r="G1620" s="475">
        <v>2022</v>
      </c>
      <c r="H1620" s="475">
        <v>5</v>
      </c>
      <c r="I1620" s="475"/>
      <c r="J1620" s="476"/>
      <c r="K1620" s="499" t="s">
        <v>4144</v>
      </c>
      <c r="L1620" s="475" t="s">
        <v>1939</v>
      </c>
      <c r="M1620" s="418">
        <v>44615</v>
      </c>
      <c r="N1620" s="418">
        <v>44615</v>
      </c>
      <c r="O1620" s="418"/>
      <c r="P1620" s="406">
        <v>44694</v>
      </c>
      <c r="Q1620" s="406"/>
      <c r="R1620" s="406"/>
      <c r="S1620" s="405" t="s">
        <v>1940</v>
      </c>
      <c r="T1620" s="405">
        <v>60</v>
      </c>
      <c r="U1620" s="405">
        <v>49405140</v>
      </c>
      <c r="V1620" s="405" t="s">
        <v>973</v>
      </c>
      <c r="W1620" s="405">
        <v>400</v>
      </c>
      <c r="X1620" s="407">
        <v>416</v>
      </c>
      <c r="Y1620" s="408">
        <f t="shared" si="348"/>
        <v>166400</v>
      </c>
      <c r="Z1620" s="409">
        <f t="shared" si="342"/>
        <v>0.47</v>
      </c>
      <c r="AA1620" s="410">
        <f t="shared" si="349"/>
        <v>78208</v>
      </c>
      <c r="AB1620" s="411"/>
      <c r="AC1620" s="412">
        <f t="shared" si="343"/>
        <v>0</v>
      </c>
      <c r="AD1620" s="421"/>
      <c r="AE1620" s="413"/>
      <c r="AF1620" s="424">
        <f t="shared" si="344"/>
        <v>78208</v>
      </c>
      <c r="AG1620" s="405" t="s">
        <v>47</v>
      </c>
      <c r="AH1620" s="405"/>
      <c r="AI1620" s="414" t="s">
        <v>1937</v>
      </c>
      <c r="AJ1620" s="405" t="s">
        <v>1947</v>
      </c>
      <c r="AK1620" s="425" t="s">
        <v>1081</v>
      </c>
      <c r="AL1620" s="425">
        <v>33762</v>
      </c>
      <c r="AM1620" s="405" t="s">
        <v>52</v>
      </c>
      <c r="AN1620" s="405" t="s">
        <v>1071</v>
      </c>
      <c r="AO1620" s="405"/>
      <c r="AP1620" s="417"/>
      <c r="AQ1620" s="417" t="s">
        <v>37</v>
      </c>
      <c r="AR1620" s="417"/>
      <c r="AS1620" s="426"/>
      <c r="AT1620" s="426"/>
      <c r="AU1620" s="409"/>
    </row>
    <row r="1621" spans="1:55" s="402" customFormat="1">
      <c r="A1621" s="403">
        <v>3</v>
      </c>
      <c r="B1621" s="446">
        <v>44616</v>
      </c>
      <c r="C1621" s="446">
        <v>44616</v>
      </c>
      <c r="D1621" s="416" t="s">
        <v>2480</v>
      </c>
      <c r="E1621" s="405"/>
      <c r="F1621" s="405"/>
      <c r="G1621" s="475">
        <v>2022</v>
      </c>
      <c r="H1621" s="475">
        <v>5</v>
      </c>
      <c r="I1621" s="475"/>
      <c r="J1621" s="476"/>
      <c r="K1621" s="499" t="s">
        <v>4176</v>
      </c>
      <c r="L1621" s="475" t="s">
        <v>1939</v>
      </c>
      <c r="M1621" s="418">
        <v>44615</v>
      </c>
      <c r="N1621" s="418">
        <v>44615</v>
      </c>
      <c r="O1621" s="418"/>
      <c r="P1621" s="406">
        <v>44694</v>
      </c>
      <c r="Q1621" s="406"/>
      <c r="R1621" s="406"/>
      <c r="S1621" s="405" t="s">
        <v>1940</v>
      </c>
      <c r="T1621" s="405">
        <v>60</v>
      </c>
      <c r="U1621" s="405" t="s">
        <v>1237</v>
      </c>
      <c r="V1621" s="405" t="s">
        <v>973</v>
      </c>
      <c r="W1621" s="405">
        <v>400</v>
      </c>
      <c r="X1621" s="407">
        <f>1408-128-864</f>
        <v>416</v>
      </c>
      <c r="Y1621" s="408">
        <f t="shared" si="348"/>
        <v>166400</v>
      </c>
      <c r="Z1621" s="409">
        <f t="shared" si="342"/>
        <v>0.47</v>
      </c>
      <c r="AA1621" s="410">
        <f t="shared" si="349"/>
        <v>78208</v>
      </c>
      <c r="AB1621" s="411"/>
      <c r="AC1621" s="412">
        <f t="shared" si="343"/>
        <v>0</v>
      </c>
      <c r="AD1621" s="421"/>
      <c r="AE1621" s="413"/>
      <c r="AF1621" s="424">
        <f t="shared" si="344"/>
        <v>78208</v>
      </c>
      <c r="AG1621" s="405" t="s">
        <v>47</v>
      </c>
      <c r="AH1621" s="405"/>
      <c r="AI1621" s="414" t="s">
        <v>1937</v>
      </c>
      <c r="AJ1621" s="405" t="s">
        <v>1948</v>
      </c>
      <c r="AK1621" s="425" t="s">
        <v>1125</v>
      </c>
      <c r="AL1621" s="425">
        <v>85714</v>
      </c>
      <c r="AM1621" s="405" t="s">
        <v>52</v>
      </c>
      <c r="AN1621" s="405" t="s">
        <v>50</v>
      </c>
      <c r="AO1621" s="405"/>
      <c r="AP1621" s="417"/>
      <c r="AQ1621" s="417" t="s">
        <v>37</v>
      </c>
      <c r="AR1621" s="417"/>
      <c r="AS1621" s="426"/>
      <c r="AT1621" s="426"/>
      <c r="AU1621" s="409"/>
    </row>
    <row r="1622" spans="1:55" s="402" customFormat="1">
      <c r="A1622" s="403"/>
      <c r="B1622" s="446">
        <v>44616</v>
      </c>
      <c r="C1622" s="446">
        <v>44616</v>
      </c>
      <c r="D1622" s="416" t="s">
        <v>2480</v>
      </c>
      <c r="E1622" s="405"/>
      <c r="F1622" s="405"/>
      <c r="G1622" s="448">
        <v>2022</v>
      </c>
      <c r="H1622" s="448">
        <v>5</v>
      </c>
      <c r="I1622" s="448"/>
      <c r="J1622" s="449"/>
      <c r="K1622" s="529" t="s">
        <v>4191</v>
      </c>
      <c r="L1622" s="448" t="s">
        <v>1939</v>
      </c>
      <c r="M1622" s="530">
        <v>44615</v>
      </c>
      <c r="N1622" s="530">
        <v>44615</v>
      </c>
      <c r="O1622" s="530"/>
      <c r="P1622" s="449"/>
      <c r="Q1622" s="449"/>
      <c r="R1622" s="449"/>
      <c r="S1622" s="448" t="s">
        <v>1940</v>
      </c>
      <c r="T1622" s="448">
        <v>60</v>
      </c>
      <c r="U1622" s="448">
        <v>49401140</v>
      </c>
      <c r="V1622" s="448" t="s">
        <v>973</v>
      </c>
      <c r="W1622" s="448">
        <v>400</v>
      </c>
      <c r="X1622" s="450">
        <v>416</v>
      </c>
      <c r="Y1622" s="486">
        <f t="shared" si="348"/>
        <v>166400</v>
      </c>
      <c r="Z1622" s="409">
        <f t="shared" si="342"/>
        <v>0.47</v>
      </c>
      <c r="AA1622" s="410">
        <f t="shared" si="349"/>
        <v>78208</v>
      </c>
      <c r="AB1622" s="411"/>
      <c r="AC1622" s="412">
        <f t="shared" si="343"/>
        <v>0</v>
      </c>
      <c r="AD1622" s="421"/>
      <c r="AE1622" s="413"/>
      <c r="AF1622" s="424">
        <f t="shared" si="344"/>
        <v>78208</v>
      </c>
      <c r="AG1622" s="405" t="s">
        <v>47</v>
      </c>
      <c r="AH1622" s="405"/>
      <c r="AI1622" s="414" t="s">
        <v>1937</v>
      </c>
      <c r="AJ1622" s="405" t="s">
        <v>2504</v>
      </c>
      <c r="AK1622" s="425" t="s">
        <v>2505</v>
      </c>
      <c r="AL1622" s="405">
        <v>84104</v>
      </c>
      <c r="AM1622" s="405" t="s">
        <v>52</v>
      </c>
      <c r="AN1622" s="405" t="s">
        <v>1101</v>
      </c>
      <c r="AO1622" s="405"/>
      <c r="AP1622" s="417"/>
      <c r="AQ1622" s="417" t="s">
        <v>37</v>
      </c>
      <c r="AR1622" s="417"/>
      <c r="AS1622" s="426"/>
      <c r="AT1622" s="426"/>
      <c r="AU1622" s="409"/>
    </row>
    <row r="1623" spans="1:55" s="402" customFormat="1">
      <c r="A1623" s="403"/>
      <c r="B1623" s="446">
        <v>44616</v>
      </c>
      <c r="C1623" s="446">
        <v>44616</v>
      </c>
      <c r="D1623" s="416" t="s">
        <v>2480</v>
      </c>
      <c r="E1623" s="405"/>
      <c r="F1623" s="405"/>
      <c r="G1623" s="448">
        <v>2022</v>
      </c>
      <c r="H1623" s="448">
        <v>5</v>
      </c>
      <c r="I1623" s="448"/>
      <c r="J1623" s="449"/>
      <c r="K1623" s="529" t="s">
        <v>4188</v>
      </c>
      <c r="L1623" s="448" t="s">
        <v>1939</v>
      </c>
      <c r="M1623" s="530">
        <v>44615</v>
      </c>
      <c r="N1623" s="530">
        <v>44615</v>
      </c>
      <c r="O1623" s="530"/>
      <c r="P1623" s="449"/>
      <c r="Q1623" s="449"/>
      <c r="R1623" s="449"/>
      <c r="S1623" s="448" t="s">
        <v>1940</v>
      </c>
      <c r="T1623" s="448">
        <v>60</v>
      </c>
      <c r="U1623" s="448">
        <v>49401140</v>
      </c>
      <c r="V1623" s="448" t="s">
        <v>973</v>
      </c>
      <c r="W1623" s="448">
        <v>400</v>
      </c>
      <c r="X1623" s="450">
        <v>416</v>
      </c>
      <c r="Y1623" s="486">
        <f t="shared" si="348"/>
        <v>166400</v>
      </c>
      <c r="Z1623" s="409">
        <f t="shared" si="342"/>
        <v>0.47</v>
      </c>
      <c r="AA1623" s="410">
        <f t="shared" si="349"/>
        <v>78208</v>
      </c>
      <c r="AB1623" s="411"/>
      <c r="AC1623" s="412">
        <f t="shared" si="343"/>
        <v>0</v>
      </c>
      <c r="AD1623" s="421"/>
      <c r="AE1623" s="413"/>
      <c r="AF1623" s="424">
        <f t="shared" si="344"/>
        <v>78208</v>
      </c>
      <c r="AG1623" s="405" t="s">
        <v>47</v>
      </c>
      <c r="AH1623" s="405"/>
      <c r="AI1623" s="414" t="s">
        <v>1937</v>
      </c>
      <c r="AJ1623" s="405" t="s">
        <v>2716</v>
      </c>
      <c r="AK1623" s="425" t="s">
        <v>50</v>
      </c>
      <c r="AL1623" s="405">
        <v>91355</v>
      </c>
      <c r="AM1623" s="405" t="s">
        <v>52</v>
      </c>
      <c r="AN1623" s="405" t="s">
        <v>1101</v>
      </c>
      <c r="AO1623" s="405"/>
      <c r="AP1623" s="417"/>
      <c r="AQ1623" s="417" t="s">
        <v>37</v>
      </c>
      <c r="AR1623" s="417"/>
      <c r="AS1623" s="426"/>
      <c r="AT1623" s="426"/>
      <c r="AU1623" s="409"/>
    </row>
    <row r="1624" spans="1:55" s="402" customFormat="1">
      <c r="A1624" s="403">
        <v>3</v>
      </c>
      <c r="B1624" s="446">
        <v>44616</v>
      </c>
      <c r="C1624" s="446">
        <v>44616</v>
      </c>
      <c r="D1624" s="416" t="s">
        <v>2480</v>
      </c>
      <c r="E1624" s="405"/>
      <c r="F1624" s="405"/>
      <c r="G1624" s="475">
        <v>2022</v>
      </c>
      <c r="H1624" s="475">
        <v>5</v>
      </c>
      <c r="I1624" s="475"/>
      <c r="J1624" s="476"/>
      <c r="K1624" s="499" t="s">
        <v>4178</v>
      </c>
      <c r="L1624" s="475" t="s">
        <v>1939</v>
      </c>
      <c r="M1624" s="418">
        <v>44615</v>
      </c>
      <c r="N1624" s="418">
        <v>44615</v>
      </c>
      <c r="O1624" s="418"/>
      <c r="P1624" s="406">
        <v>44694</v>
      </c>
      <c r="Q1624" s="406"/>
      <c r="R1624" s="406"/>
      <c r="S1624" s="405" t="s">
        <v>1940</v>
      </c>
      <c r="T1624" s="405">
        <v>60</v>
      </c>
      <c r="U1624" s="405" t="s">
        <v>1237</v>
      </c>
      <c r="V1624" s="405" t="s">
        <v>973</v>
      </c>
      <c r="W1624" s="405">
        <v>400</v>
      </c>
      <c r="X1624" s="407">
        <f>2496-256-992</f>
        <v>1248</v>
      </c>
      <c r="Y1624" s="408">
        <f t="shared" si="348"/>
        <v>499200</v>
      </c>
      <c r="Z1624" s="409">
        <f t="shared" si="342"/>
        <v>0.47</v>
      </c>
      <c r="AA1624" s="410">
        <f t="shared" si="349"/>
        <v>234624</v>
      </c>
      <c r="AB1624" s="411"/>
      <c r="AC1624" s="412">
        <f t="shared" si="343"/>
        <v>0</v>
      </c>
      <c r="AD1624" s="421"/>
      <c r="AE1624" s="413"/>
      <c r="AF1624" s="424">
        <f t="shared" si="344"/>
        <v>234624</v>
      </c>
      <c r="AG1624" s="405" t="s">
        <v>47</v>
      </c>
      <c r="AH1624" s="405"/>
      <c r="AI1624" s="414" t="s">
        <v>1937</v>
      </c>
      <c r="AJ1624" s="405" t="s">
        <v>1933</v>
      </c>
      <c r="AK1624" s="425" t="s">
        <v>1328</v>
      </c>
      <c r="AL1624" s="425">
        <v>89118</v>
      </c>
      <c r="AM1624" s="405" t="s">
        <v>52</v>
      </c>
      <c r="AN1624" s="405" t="s">
        <v>50</v>
      </c>
      <c r="AO1624" s="405"/>
      <c r="AP1624" s="417"/>
      <c r="AQ1624" s="417" t="s">
        <v>37</v>
      </c>
      <c r="AR1624" s="417"/>
      <c r="AS1624" s="426"/>
      <c r="AT1624" s="426"/>
      <c r="AU1624" s="409"/>
    </row>
    <row r="1625" spans="1:55" s="402" customFormat="1">
      <c r="A1625" s="403">
        <v>3</v>
      </c>
      <c r="B1625" s="446">
        <v>44616</v>
      </c>
      <c r="C1625" s="446">
        <v>44616</v>
      </c>
      <c r="D1625" s="416" t="s">
        <v>2480</v>
      </c>
      <c r="E1625" s="405"/>
      <c r="F1625" s="405"/>
      <c r="G1625" s="475">
        <v>2022</v>
      </c>
      <c r="H1625" s="475">
        <v>5</v>
      </c>
      <c r="I1625" s="475"/>
      <c r="J1625" s="476"/>
      <c r="K1625" s="499" t="s">
        <v>4174</v>
      </c>
      <c r="L1625" s="475" t="s">
        <v>1939</v>
      </c>
      <c r="M1625" s="418">
        <v>44615</v>
      </c>
      <c r="N1625" s="418">
        <v>44615</v>
      </c>
      <c r="O1625" s="418"/>
      <c r="P1625" s="406">
        <v>44694</v>
      </c>
      <c r="Q1625" s="406"/>
      <c r="R1625" s="406"/>
      <c r="S1625" s="405" t="s">
        <v>1940</v>
      </c>
      <c r="T1625" s="405">
        <v>60</v>
      </c>
      <c r="U1625" s="405" t="s">
        <v>1237</v>
      </c>
      <c r="V1625" s="405" t="s">
        <v>973</v>
      </c>
      <c r="W1625" s="405">
        <v>400</v>
      </c>
      <c r="X1625" s="407">
        <f>832-416</f>
        <v>416</v>
      </c>
      <c r="Y1625" s="408">
        <f t="shared" si="348"/>
        <v>166400</v>
      </c>
      <c r="Z1625" s="409">
        <f t="shared" si="342"/>
        <v>0.47</v>
      </c>
      <c r="AA1625" s="410">
        <f t="shared" si="349"/>
        <v>78208</v>
      </c>
      <c r="AB1625" s="411"/>
      <c r="AC1625" s="412">
        <f t="shared" si="343"/>
        <v>0</v>
      </c>
      <c r="AD1625" s="421"/>
      <c r="AE1625" s="413"/>
      <c r="AF1625" s="424">
        <f t="shared" si="344"/>
        <v>78208</v>
      </c>
      <c r="AG1625" s="405" t="s">
        <v>47</v>
      </c>
      <c r="AH1625" s="405"/>
      <c r="AI1625" s="414" t="s">
        <v>1937</v>
      </c>
      <c r="AJ1625" s="405" t="s">
        <v>1949</v>
      </c>
      <c r="AK1625" s="425" t="s">
        <v>1125</v>
      </c>
      <c r="AL1625" s="425">
        <v>85365</v>
      </c>
      <c r="AM1625" s="405" t="s">
        <v>52</v>
      </c>
      <c r="AN1625" s="405" t="s">
        <v>50</v>
      </c>
      <c r="AO1625" s="405"/>
      <c r="AP1625" s="417"/>
      <c r="AQ1625" s="417" t="s">
        <v>37</v>
      </c>
      <c r="AR1625" s="417"/>
      <c r="AS1625" s="426"/>
      <c r="AT1625" s="426"/>
      <c r="AU1625" s="409"/>
    </row>
    <row r="1626" spans="1:55" s="402" customFormat="1">
      <c r="A1626" s="403" t="s">
        <v>4585</v>
      </c>
      <c r="B1626" s="446"/>
      <c r="C1626" s="446"/>
      <c r="D1626" s="416" t="s">
        <v>2480</v>
      </c>
      <c r="E1626" s="405" t="s">
        <v>2406</v>
      </c>
      <c r="F1626" s="405"/>
      <c r="G1626" s="405"/>
      <c r="H1626" s="405">
        <v>5</v>
      </c>
      <c r="I1626" s="405" t="s">
        <v>1498</v>
      </c>
      <c r="J1626" s="406" t="s">
        <v>1053</v>
      </c>
      <c r="K1626" s="414" t="s">
        <v>2734</v>
      </c>
      <c r="L1626" s="405" t="s">
        <v>2509</v>
      </c>
      <c r="M1626" s="418">
        <v>44551</v>
      </c>
      <c r="N1626" s="418">
        <v>44652</v>
      </c>
      <c r="O1626" s="418"/>
      <c r="P1626" s="406"/>
      <c r="Q1626" s="406"/>
      <c r="R1626" s="406"/>
      <c r="S1626" s="405" t="s">
        <v>1940</v>
      </c>
      <c r="T1626" s="405">
        <v>60</v>
      </c>
      <c r="U1626" s="405">
        <v>49203132</v>
      </c>
      <c r="V1626" s="405" t="s">
        <v>1557</v>
      </c>
      <c r="W1626" s="405">
        <v>360</v>
      </c>
      <c r="X1626" s="407">
        <v>640</v>
      </c>
      <c r="Y1626" s="408">
        <f t="shared" si="348"/>
        <v>230400</v>
      </c>
      <c r="Z1626" s="409">
        <v>0.505</v>
      </c>
      <c r="AA1626" s="410">
        <f t="shared" si="349"/>
        <v>116352</v>
      </c>
      <c r="AB1626" s="411"/>
      <c r="AC1626" s="412">
        <f t="shared" si="343"/>
        <v>0</v>
      </c>
      <c r="AD1626" s="421"/>
      <c r="AE1626" s="413"/>
      <c r="AF1626" s="424">
        <f t="shared" ref="AF1626:AF1632" si="350">AE1626+AD1626+AA1626</f>
        <v>116352</v>
      </c>
      <c r="AG1626" s="405" t="s">
        <v>1069</v>
      </c>
      <c r="AH1626" s="405"/>
      <c r="AI1626" s="414">
        <v>60</v>
      </c>
      <c r="AJ1626" s="405" t="s">
        <v>1454</v>
      </c>
      <c r="AK1626" s="425" t="s">
        <v>1136</v>
      </c>
      <c r="AL1626" s="405">
        <v>78744</v>
      </c>
      <c r="AM1626" s="405" t="s">
        <v>52</v>
      </c>
      <c r="AN1626" s="405" t="s">
        <v>1101</v>
      </c>
      <c r="AO1626" s="405"/>
      <c r="AP1626" s="417"/>
      <c r="AQ1626" s="417" t="s">
        <v>37</v>
      </c>
      <c r="AR1626" s="417"/>
      <c r="AS1626" s="426" t="s">
        <v>1073</v>
      </c>
      <c r="AT1626" s="426" t="s">
        <v>1073</v>
      </c>
      <c r="AU1626" s="409">
        <v>0.505</v>
      </c>
    </row>
    <row r="1627" spans="1:55" s="402" customFormat="1">
      <c r="A1627" s="403"/>
      <c r="B1627" s="446">
        <v>44658</v>
      </c>
      <c r="C1627" s="446">
        <v>44658</v>
      </c>
      <c r="D1627" s="416" t="s">
        <v>2480</v>
      </c>
      <c r="E1627" s="405" t="s">
        <v>4348</v>
      </c>
      <c r="F1627" s="405"/>
      <c r="G1627" s="405">
        <v>2022</v>
      </c>
      <c r="H1627" s="405">
        <v>5</v>
      </c>
      <c r="I1627" s="405" t="s">
        <v>1434</v>
      </c>
      <c r="J1627" s="406">
        <v>44684</v>
      </c>
      <c r="K1627" s="526" t="s">
        <v>2546</v>
      </c>
      <c r="L1627" s="451" t="s">
        <v>2509</v>
      </c>
      <c r="M1627" s="418">
        <v>44550</v>
      </c>
      <c r="N1627" s="418">
        <v>44652</v>
      </c>
      <c r="O1627" s="418" t="s">
        <v>4297</v>
      </c>
      <c r="P1627" s="406">
        <v>44673</v>
      </c>
      <c r="Q1627" s="406">
        <v>44684</v>
      </c>
      <c r="R1627" s="406">
        <v>44687</v>
      </c>
      <c r="S1627" s="405" t="s">
        <v>1940</v>
      </c>
      <c r="T1627" s="405">
        <v>72</v>
      </c>
      <c r="U1627" s="405">
        <v>49303156</v>
      </c>
      <c r="V1627" s="405" t="s">
        <v>1050</v>
      </c>
      <c r="W1627" s="405">
        <v>480</v>
      </c>
      <c r="X1627" s="407">
        <v>435</v>
      </c>
      <c r="Y1627" s="408">
        <f t="shared" si="348"/>
        <v>208800</v>
      </c>
      <c r="Z1627" s="409">
        <v>0.47499999999999998</v>
      </c>
      <c r="AA1627" s="410">
        <f t="shared" si="349"/>
        <v>99180</v>
      </c>
      <c r="AB1627" s="411"/>
      <c r="AC1627" s="412">
        <f t="shared" si="343"/>
        <v>0</v>
      </c>
      <c r="AD1627" s="421"/>
      <c r="AE1627" s="413"/>
      <c r="AF1627" s="424">
        <f t="shared" si="350"/>
        <v>99180</v>
      </c>
      <c r="AG1627" s="405" t="s">
        <v>1069</v>
      </c>
      <c r="AH1627" s="405"/>
      <c r="AI1627" s="414">
        <v>60</v>
      </c>
      <c r="AJ1627" s="405" t="s">
        <v>1454</v>
      </c>
      <c r="AK1627" s="425" t="s">
        <v>1136</v>
      </c>
      <c r="AL1627" s="405">
        <v>78744</v>
      </c>
      <c r="AM1627" s="405" t="s">
        <v>52</v>
      </c>
      <c r="AN1627" s="405" t="s">
        <v>1101</v>
      </c>
      <c r="AO1627" s="405"/>
      <c r="AP1627" s="417" t="s">
        <v>38</v>
      </c>
      <c r="AQ1627" s="417" t="s">
        <v>37</v>
      </c>
      <c r="AR1627" s="417"/>
      <c r="AS1627" s="426" t="s">
        <v>1073</v>
      </c>
      <c r="AT1627" s="426" t="s">
        <v>1073</v>
      </c>
      <c r="AU1627" s="409"/>
    </row>
    <row r="1628" spans="1:55" s="402" customFormat="1">
      <c r="A1628" s="403"/>
      <c r="B1628" s="446">
        <v>44658</v>
      </c>
      <c r="C1628" s="446">
        <v>44658</v>
      </c>
      <c r="D1628" s="416" t="s">
        <v>2480</v>
      </c>
      <c r="E1628" s="405"/>
      <c r="F1628" s="405"/>
      <c r="G1628" s="405">
        <v>2022</v>
      </c>
      <c r="H1628" s="405">
        <v>5</v>
      </c>
      <c r="I1628" s="405"/>
      <c r="J1628" s="406"/>
      <c r="K1628" s="528" t="s">
        <v>2635</v>
      </c>
      <c r="L1628" s="453" t="s">
        <v>2509</v>
      </c>
      <c r="M1628" s="418">
        <v>44550</v>
      </c>
      <c r="N1628" s="418">
        <v>44687</v>
      </c>
      <c r="O1628" s="418"/>
      <c r="P1628" s="406"/>
      <c r="Q1628" s="406"/>
      <c r="R1628" s="406"/>
      <c r="S1628" s="405" t="s">
        <v>1940</v>
      </c>
      <c r="T1628" s="405">
        <v>72</v>
      </c>
      <c r="U1628" s="405" t="s">
        <v>1099</v>
      </c>
      <c r="V1628" s="405" t="s">
        <v>1050</v>
      </c>
      <c r="W1628" s="405">
        <v>480</v>
      </c>
      <c r="X1628" s="407">
        <v>435</v>
      </c>
      <c r="Y1628" s="408">
        <f t="shared" si="348"/>
        <v>208800</v>
      </c>
      <c r="Z1628" s="409">
        <v>0.47499999999999998</v>
      </c>
      <c r="AA1628" s="410">
        <f t="shared" si="349"/>
        <v>99180</v>
      </c>
      <c r="AB1628" s="411"/>
      <c r="AC1628" s="412">
        <f t="shared" si="343"/>
        <v>0</v>
      </c>
      <c r="AD1628" s="421"/>
      <c r="AE1628" s="413"/>
      <c r="AF1628" s="424">
        <f t="shared" si="350"/>
        <v>99180</v>
      </c>
      <c r="AG1628" s="405" t="s">
        <v>1069</v>
      </c>
      <c r="AH1628" s="405"/>
      <c r="AI1628" s="414">
        <v>60</v>
      </c>
      <c r="AJ1628" s="405" t="s">
        <v>1454</v>
      </c>
      <c r="AK1628" s="425" t="s">
        <v>1136</v>
      </c>
      <c r="AL1628" s="405">
        <v>78744</v>
      </c>
      <c r="AM1628" s="405" t="s">
        <v>52</v>
      </c>
      <c r="AN1628" s="405" t="s">
        <v>50</v>
      </c>
      <c r="AO1628" s="405"/>
      <c r="AP1628" s="417"/>
      <c r="AQ1628" s="417" t="s">
        <v>37</v>
      </c>
      <c r="AR1628" s="417"/>
      <c r="AS1628" s="426" t="s">
        <v>1073</v>
      </c>
      <c r="AT1628" s="426" t="s">
        <v>1073</v>
      </c>
      <c r="AU1628" s="409"/>
    </row>
    <row r="1629" spans="1:55" s="402" customFormat="1">
      <c r="A1629" s="403" t="s">
        <v>4585</v>
      </c>
      <c r="B1629" s="446"/>
      <c r="C1629" s="446"/>
      <c r="D1629" s="416" t="s">
        <v>2480</v>
      </c>
      <c r="E1629" s="405" t="s">
        <v>2406</v>
      </c>
      <c r="F1629" s="405"/>
      <c r="G1629" s="405"/>
      <c r="H1629" s="405">
        <v>5</v>
      </c>
      <c r="I1629" s="405" t="s">
        <v>1498</v>
      </c>
      <c r="J1629" s="406" t="s">
        <v>1053</v>
      </c>
      <c r="K1629" s="414" t="s">
        <v>2611</v>
      </c>
      <c r="L1629" s="405" t="s">
        <v>2509</v>
      </c>
      <c r="M1629" s="418">
        <v>44550</v>
      </c>
      <c r="N1629" s="418">
        <v>44652</v>
      </c>
      <c r="O1629" s="418"/>
      <c r="P1629" s="406"/>
      <c r="Q1629" s="406"/>
      <c r="R1629" s="406"/>
      <c r="S1629" s="405" t="s">
        <v>1940</v>
      </c>
      <c r="T1629" s="405">
        <v>60</v>
      </c>
      <c r="U1629" s="405" t="s">
        <v>1237</v>
      </c>
      <c r="V1629" s="405" t="s">
        <v>973</v>
      </c>
      <c r="W1629" s="405">
        <v>400</v>
      </c>
      <c r="X1629" s="407">
        <v>320</v>
      </c>
      <c r="Y1629" s="408">
        <f t="shared" si="348"/>
        <v>128000</v>
      </c>
      <c r="Z1629" s="409">
        <v>0.53</v>
      </c>
      <c r="AA1629" s="410">
        <f t="shared" si="349"/>
        <v>67840</v>
      </c>
      <c r="AB1629" s="411"/>
      <c r="AC1629" s="412">
        <f t="shared" si="343"/>
        <v>0</v>
      </c>
      <c r="AD1629" s="421"/>
      <c r="AE1629" s="413"/>
      <c r="AF1629" s="424">
        <f t="shared" si="350"/>
        <v>67840</v>
      </c>
      <c r="AG1629" s="405" t="s">
        <v>1069</v>
      </c>
      <c r="AH1629" s="405"/>
      <c r="AI1629" s="414">
        <v>60</v>
      </c>
      <c r="AJ1629" s="405" t="s">
        <v>1958</v>
      </c>
      <c r="AK1629" s="425" t="s">
        <v>1136</v>
      </c>
      <c r="AL1629" s="405">
        <v>78217</v>
      </c>
      <c r="AM1629" s="405" t="s">
        <v>52</v>
      </c>
      <c r="AN1629" s="405" t="s">
        <v>50</v>
      </c>
      <c r="AO1629" s="405"/>
      <c r="AP1629" s="417"/>
      <c r="AQ1629" s="417" t="s">
        <v>37</v>
      </c>
      <c r="AR1629" s="417"/>
      <c r="AS1629" s="426" t="s">
        <v>1073</v>
      </c>
      <c r="AT1629" s="426" t="s">
        <v>1073</v>
      </c>
      <c r="AU1629" s="409">
        <v>0.53</v>
      </c>
    </row>
    <row r="1630" spans="1:55" s="402" customFormat="1">
      <c r="A1630" s="403" t="s">
        <v>4585</v>
      </c>
      <c r="B1630" s="446"/>
      <c r="C1630" s="446"/>
      <c r="D1630" s="416" t="s">
        <v>2480</v>
      </c>
      <c r="E1630" s="405" t="s">
        <v>2406</v>
      </c>
      <c r="F1630" s="405"/>
      <c r="G1630" s="405"/>
      <c r="H1630" s="405">
        <v>5</v>
      </c>
      <c r="I1630" s="405" t="s">
        <v>1498</v>
      </c>
      <c r="J1630" s="406" t="s">
        <v>1053</v>
      </c>
      <c r="K1630" s="414" t="s">
        <v>2658</v>
      </c>
      <c r="L1630" s="405" t="s">
        <v>2509</v>
      </c>
      <c r="M1630" s="418">
        <v>44550</v>
      </c>
      <c r="N1630" s="418">
        <v>44652</v>
      </c>
      <c r="O1630" s="418"/>
      <c r="P1630" s="406"/>
      <c r="Q1630" s="406"/>
      <c r="R1630" s="406"/>
      <c r="S1630" s="405" t="s">
        <v>1940</v>
      </c>
      <c r="T1630" s="405">
        <v>60</v>
      </c>
      <c r="U1630" s="405" t="s">
        <v>1237</v>
      </c>
      <c r="V1630" s="405" t="s">
        <v>973</v>
      </c>
      <c r="W1630" s="405">
        <v>400</v>
      </c>
      <c r="X1630" s="407">
        <v>320</v>
      </c>
      <c r="Y1630" s="408">
        <f t="shared" si="348"/>
        <v>128000</v>
      </c>
      <c r="Z1630" s="409">
        <v>0.53</v>
      </c>
      <c r="AA1630" s="410">
        <f t="shared" si="349"/>
        <v>67840</v>
      </c>
      <c r="AB1630" s="411"/>
      <c r="AC1630" s="412">
        <f t="shared" si="343"/>
        <v>0</v>
      </c>
      <c r="AD1630" s="421"/>
      <c r="AE1630" s="413"/>
      <c r="AF1630" s="424">
        <f t="shared" si="350"/>
        <v>67840</v>
      </c>
      <c r="AG1630" s="405" t="s">
        <v>1069</v>
      </c>
      <c r="AH1630" s="405"/>
      <c r="AI1630" s="414">
        <v>60</v>
      </c>
      <c r="AJ1630" s="405" t="s">
        <v>2659</v>
      </c>
      <c r="AK1630" s="425" t="s">
        <v>2660</v>
      </c>
      <c r="AL1630" s="405">
        <v>70087</v>
      </c>
      <c r="AM1630" s="405" t="s">
        <v>52</v>
      </c>
      <c r="AN1630" s="405" t="s">
        <v>50</v>
      </c>
      <c r="AO1630" s="405"/>
      <c r="AP1630" s="417"/>
      <c r="AQ1630" s="417" t="s">
        <v>37</v>
      </c>
      <c r="AR1630" s="417"/>
      <c r="AS1630" s="426" t="s">
        <v>1073</v>
      </c>
      <c r="AT1630" s="426" t="s">
        <v>1073</v>
      </c>
      <c r="AU1630" s="409">
        <v>0.53</v>
      </c>
    </row>
    <row r="1631" spans="1:55" s="402" customFormat="1">
      <c r="A1631" s="403" t="s">
        <v>4584</v>
      </c>
      <c r="B1631" s="446">
        <v>44655</v>
      </c>
      <c r="C1631" s="446">
        <v>44671</v>
      </c>
      <c r="D1631" s="416" t="s">
        <v>2480</v>
      </c>
      <c r="E1631" s="405"/>
      <c r="F1631" s="405"/>
      <c r="G1631" s="405">
        <v>2022</v>
      </c>
      <c r="H1631" s="405">
        <v>5</v>
      </c>
      <c r="I1631" s="405" t="s">
        <v>4462</v>
      </c>
      <c r="J1631" s="406"/>
      <c r="K1631" s="526" t="s">
        <v>2732</v>
      </c>
      <c r="L1631" s="451" t="s">
        <v>2509</v>
      </c>
      <c r="M1631" s="418">
        <v>44558</v>
      </c>
      <c r="N1631" s="418">
        <v>44620</v>
      </c>
      <c r="O1631" s="418"/>
      <c r="P1631" s="406">
        <v>44691</v>
      </c>
      <c r="Q1631" s="406">
        <v>44692</v>
      </c>
      <c r="R1631" s="406">
        <v>44697</v>
      </c>
      <c r="S1631" s="405" t="s">
        <v>2541</v>
      </c>
      <c r="T1631" s="405">
        <v>60</v>
      </c>
      <c r="U1631" s="405" t="s">
        <v>1559</v>
      </c>
      <c r="V1631" s="405" t="s">
        <v>973</v>
      </c>
      <c r="W1631" s="405">
        <v>400</v>
      </c>
      <c r="X1631" s="407">
        <v>768</v>
      </c>
      <c r="Y1631" s="408">
        <f t="shared" si="348"/>
        <v>307200</v>
      </c>
      <c r="Z1631" s="409">
        <v>0.52500000000000002</v>
      </c>
      <c r="AA1631" s="410">
        <f t="shared" si="349"/>
        <v>161280</v>
      </c>
      <c r="AB1631" s="411"/>
      <c r="AC1631" s="412">
        <f t="shared" si="343"/>
        <v>0</v>
      </c>
      <c r="AD1631" s="421"/>
      <c r="AE1631" s="413"/>
      <c r="AF1631" s="424">
        <f t="shared" si="350"/>
        <v>161280</v>
      </c>
      <c r="AG1631" s="405" t="s">
        <v>1069</v>
      </c>
      <c r="AH1631" s="405"/>
      <c r="AI1631" s="414">
        <v>60</v>
      </c>
      <c r="AJ1631" s="405" t="s">
        <v>1881</v>
      </c>
      <c r="AK1631" s="425" t="s">
        <v>1081</v>
      </c>
      <c r="AL1631" s="425">
        <v>32809</v>
      </c>
      <c r="AM1631" s="405" t="s">
        <v>52</v>
      </c>
      <c r="AN1631" s="405" t="s">
        <v>50</v>
      </c>
      <c r="AO1631" s="405"/>
      <c r="AP1631" s="417"/>
      <c r="AQ1631" s="417" t="s">
        <v>37</v>
      </c>
      <c r="AR1631" s="417"/>
      <c r="AS1631" s="426" t="s">
        <v>1073</v>
      </c>
      <c r="AT1631" s="426" t="s">
        <v>1073</v>
      </c>
      <c r="AU1631" s="409">
        <v>0.52500000000000002</v>
      </c>
    </row>
    <row r="1632" spans="1:55" s="402" customFormat="1">
      <c r="A1632" s="403" t="s">
        <v>4845</v>
      </c>
      <c r="B1632" s="446">
        <v>44573</v>
      </c>
      <c r="C1632" s="446">
        <v>44630</v>
      </c>
      <c r="D1632" s="416" t="s">
        <v>2480</v>
      </c>
      <c r="E1632" s="405" t="s">
        <v>2406</v>
      </c>
      <c r="F1632" s="405"/>
      <c r="G1632" s="405">
        <v>2022</v>
      </c>
      <c r="H1632" s="405">
        <v>5</v>
      </c>
      <c r="I1632" s="405" t="s">
        <v>1498</v>
      </c>
      <c r="J1632" s="406"/>
      <c r="K1632" s="414" t="s">
        <v>2727</v>
      </c>
      <c r="L1632" s="405" t="s">
        <v>2549</v>
      </c>
      <c r="M1632" s="418">
        <v>44573</v>
      </c>
      <c r="N1632" s="418">
        <v>44606</v>
      </c>
      <c r="O1632" s="418"/>
      <c r="P1632" s="406">
        <v>44693</v>
      </c>
      <c r="Q1632" s="406"/>
      <c r="R1632" s="406"/>
      <c r="S1632" s="405" t="s">
        <v>1940</v>
      </c>
      <c r="T1632" s="405">
        <v>60</v>
      </c>
      <c r="U1632" s="405">
        <v>49204132</v>
      </c>
      <c r="V1632" s="405" t="s">
        <v>1192</v>
      </c>
      <c r="W1632" s="405">
        <v>360</v>
      </c>
      <c r="X1632" s="407">
        <v>676</v>
      </c>
      <c r="Y1632" s="408">
        <f t="shared" si="348"/>
        <v>243360</v>
      </c>
      <c r="Z1632" s="409">
        <v>0.80577777777000004</v>
      </c>
      <c r="AA1632" s="410">
        <f t="shared" si="349"/>
        <v>196094.07999810722</v>
      </c>
      <c r="AB1632" s="411"/>
      <c r="AC1632" s="412">
        <f t="shared" si="343"/>
        <v>0</v>
      </c>
      <c r="AD1632" s="421"/>
      <c r="AE1632" s="413"/>
      <c r="AF1632" s="424">
        <f t="shared" si="350"/>
        <v>196094.07999810722</v>
      </c>
      <c r="AG1632" s="405" t="s">
        <v>1069</v>
      </c>
      <c r="AH1632" s="405"/>
      <c r="AI1632" s="414">
        <v>60</v>
      </c>
      <c r="AJ1632" s="405" t="s">
        <v>1454</v>
      </c>
      <c r="AK1632" s="425" t="s">
        <v>1136</v>
      </c>
      <c r="AL1632" s="425" t="s">
        <v>2608</v>
      </c>
      <c r="AM1632" s="405" t="s">
        <v>52</v>
      </c>
      <c r="AN1632" s="405" t="s">
        <v>1101</v>
      </c>
      <c r="AO1632" s="405"/>
      <c r="AP1632" s="417"/>
      <c r="AQ1632" s="417" t="s">
        <v>37</v>
      </c>
      <c r="AR1632" s="417"/>
      <c r="AS1632" s="426"/>
      <c r="AT1632" s="426"/>
      <c r="AU1632" s="409">
        <v>0.80577777777000004</v>
      </c>
    </row>
    <row r="1633" spans="1:55" s="402" customFormat="1">
      <c r="A1633" s="403"/>
      <c r="B1633" s="446">
        <v>44658</v>
      </c>
      <c r="C1633" s="446">
        <v>44662</v>
      </c>
      <c r="D1633" s="416" t="s">
        <v>2480</v>
      </c>
      <c r="E1633" s="405" t="s">
        <v>4348</v>
      </c>
      <c r="F1633" s="405"/>
      <c r="G1633" s="405">
        <v>2022</v>
      </c>
      <c r="H1633" s="405">
        <v>5</v>
      </c>
      <c r="I1633" s="503" t="s">
        <v>1434</v>
      </c>
      <c r="J1633" s="406">
        <v>44684</v>
      </c>
      <c r="K1633" s="526" t="s">
        <v>2548</v>
      </c>
      <c r="L1633" s="451" t="s">
        <v>2549</v>
      </c>
      <c r="M1633" s="418">
        <v>44578</v>
      </c>
      <c r="N1633" s="418">
        <v>44655</v>
      </c>
      <c r="O1633" s="418" t="s">
        <v>4297</v>
      </c>
      <c r="P1633" s="406">
        <v>44673</v>
      </c>
      <c r="Q1633" s="406">
        <v>44684</v>
      </c>
      <c r="R1633" s="406">
        <v>44692</v>
      </c>
      <c r="S1633" s="405" t="s">
        <v>1443</v>
      </c>
      <c r="T1633" s="405">
        <v>72</v>
      </c>
      <c r="U1633" s="405">
        <v>49303156</v>
      </c>
      <c r="V1633" s="405" t="s">
        <v>1050</v>
      </c>
      <c r="W1633" s="405">
        <v>480</v>
      </c>
      <c r="X1633" s="407">
        <v>754</v>
      </c>
      <c r="Y1633" s="408">
        <f>W1633*X1633</f>
        <v>361920</v>
      </c>
      <c r="Z1633" s="409">
        <v>0.47499999999999998</v>
      </c>
      <c r="AA1633" s="410">
        <v>171912</v>
      </c>
      <c r="AB1633" s="411"/>
      <c r="AC1633" s="412">
        <v>0</v>
      </c>
      <c r="AD1633" s="421"/>
      <c r="AE1633" s="413"/>
      <c r="AF1633" s="424">
        <v>171912</v>
      </c>
      <c r="AG1633" s="405" t="s">
        <v>1069</v>
      </c>
      <c r="AH1633" s="405"/>
      <c r="AI1633" s="414">
        <v>60</v>
      </c>
      <c r="AJ1633" s="405" t="s">
        <v>2510</v>
      </c>
      <c r="AK1633" s="425" t="s">
        <v>50</v>
      </c>
      <c r="AL1633" s="405">
        <v>92841</v>
      </c>
      <c r="AM1633" s="405" t="s">
        <v>52</v>
      </c>
      <c r="AN1633" s="405" t="s">
        <v>1101</v>
      </c>
      <c r="AO1633" s="405"/>
      <c r="AP1633" s="417"/>
      <c r="AQ1633" s="417" t="s">
        <v>37</v>
      </c>
      <c r="AR1633" s="417"/>
      <c r="AS1633" s="426"/>
      <c r="AT1633" s="426"/>
      <c r="AU1633" s="409"/>
      <c r="AV1633" s="402">
        <f t="shared" ref="AV1633:AV1638" si="351">U1633</f>
        <v>49303156</v>
      </c>
      <c r="AW1633" s="402" cm="1">
        <f t="array" ref="AW1633">SUM(MID(0&amp;AV1633,LARGE(INDEX(ISNUMBER(--MID(AV1633,ROW($1:$8),1))*ROW($1:$8),),ROW($1:$8))+1,1)*10^ROW($1:$8)/10)</f>
        <v>49303156</v>
      </c>
      <c r="AX1633" s="402" t="str">
        <f>VLOOKUP($AW1633,'Item Master Data'!$A:$F,3,FALSE)</f>
        <v>Q.PEAK DUO XL G10 BFG</v>
      </c>
      <c r="AY1633" s="402">
        <f>VLOOKUP($AW1633,'Item Master Data'!$A:$F,6,FALSE)</f>
        <v>480</v>
      </c>
      <c r="AZ1633" s="402">
        <f t="shared" ref="AZ1633:AZ1638" si="352">X1633/BA1633</f>
        <v>26</v>
      </c>
      <c r="BA1633" s="402">
        <f>VLOOKUP(AW1633,'Item Master Data'!$A:$G,7,FALSE)</f>
        <v>29</v>
      </c>
      <c r="BC1633" s="402">
        <f t="shared" ref="BC1633:BC1638" si="353">W1633-AY1633</f>
        <v>0</v>
      </c>
    </row>
    <row r="1634" spans="1:55" s="402" customFormat="1">
      <c r="A1634" s="403"/>
      <c r="B1634" s="446">
        <v>44658</v>
      </c>
      <c r="C1634" s="446">
        <v>44662</v>
      </c>
      <c r="D1634" s="416" t="s">
        <v>2480</v>
      </c>
      <c r="E1634" s="405" t="s">
        <v>4348</v>
      </c>
      <c r="F1634" s="405"/>
      <c r="G1634" s="405">
        <v>2022</v>
      </c>
      <c r="H1634" s="405">
        <v>5</v>
      </c>
      <c r="I1634" s="405" t="s">
        <v>2393</v>
      </c>
      <c r="J1634" s="406"/>
      <c r="K1634" s="526" t="s">
        <v>2606</v>
      </c>
      <c r="L1634" s="451" t="s">
        <v>2549</v>
      </c>
      <c r="M1634" s="418">
        <v>44578</v>
      </c>
      <c r="N1634" s="418">
        <v>44655</v>
      </c>
      <c r="O1634" s="418" t="s">
        <v>4297</v>
      </c>
      <c r="P1634" s="406">
        <v>44673</v>
      </c>
      <c r="Q1634" s="406">
        <v>44684</v>
      </c>
      <c r="R1634" s="406">
        <v>44690</v>
      </c>
      <c r="S1634" s="405" t="s">
        <v>1443</v>
      </c>
      <c r="T1634" s="405">
        <v>72</v>
      </c>
      <c r="U1634" s="405">
        <v>49303156</v>
      </c>
      <c r="V1634" s="405" t="s">
        <v>1050</v>
      </c>
      <c r="W1634" s="405">
        <v>480</v>
      </c>
      <c r="X1634" s="407">
        <v>754</v>
      </c>
      <c r="Y1634" s="408">
        <f t="shared" ref="Y1634:Y1677" si="354">X1634*W1634</f>
        <v>361920</v>
      </c>
      <c r="Z1634" s="409">
        <v>0.47499999999999998</v>
      </c>
      <c r="AA1634" s="410">
        <v>171912</v>
      </c>
      <c r="AB1634" s="411"/>
      <c r="AC1634" s="412">
        <v>0</v>
      </c>
      <c r="AD1634" s="421"/>
      <c r="AE1634" s="413"/>
      <c r="AF1634" s="424">
        <v>171912</v>
      </c>
      <c r="AG1634" s="405" t="s">
        <v>1069</v>
      </c>
      <c r="AH1634" s="405"/>
      <c r="AI1634" s="414">
        <v>60</v>
      </c>
      <c r="AJ1634" s="405" t="s">
        <v>1448</v>
      </c>
      <c r="AK1634" s="425" t="s">
        <v>50</v>
      </c>
      <c r="AL1634" s="405">
        <v>94544</v>
      </c>
      <c r="AM1634" s="405" t="s">
        <v>52</v>
      </c>
      <c r="AN1634" s="405" t="s">
        <v>1101</v>
      </c>
      <c r="AO1634" s="405"/>
      <c r="AP1634" s="417"/>
      <c r="AQ1634" s="417" t="s">
        <v>37</v>
      </c>
      <c r="AR1634" s="417"/>
      <c r="AS1634" s="426"/>
      <c r="AT1634" s="426"/>
      <c r="AU1634" s="409"/>
      <c r="AV1634" s="402">
        <f t="shared" si="351"/>
        <v>49303156</v>
      </c>
      <c r="AW1634" s="402" cm="1">
        <f t="array" ref="AW1634">SUM(MID(0&amp;AV1634,LARGE(INDEX(ISNUMBER(--MID(AV1634,ROW($1:$8),1))*ROW($1:$8),),ROW($1:$8))+1,1)*10^ROW($1:$8)/10)</f>
        <v>49303156</v>
      </c>
      <c r="AX1634" s="402" t="str">
        <f>VLOOKUP($AW1634,'Item Master Data'!$A:$F,3,FALSE)</f>
        <v>Q.PEAK DUO XL G10 BFG</v>
      </c>
      <c r="AY1634" s="402">
        <f>VLOOKUP($AW1634,'Item Master Data'!$A:$F,6,FALSE)</f>
        <v>480</v>
      </c>
      <c r="AZ1634" s="402">
        <f t="shared" si="352"/>
        <v>26</v>
      </c>
      <c r="BA1634" s="402">
        <f>VLOOKUP(AW1634,'Item Master Data'!$A:$G,7,FALSE)</f>
        <v>29</v>
      </c>
      <c r="BC1634" s="402">
        <f t="shared" si="353"/>
        <v>0</v>
      </c>
    </row>
    <row r="1635" spans="1:55" s="402" customFormat="1">
      <c r="A1635" s="403" t="s">
        <v>4584</v>
      </c>
      <c r="B1635" s="446">
        <v>44692</v>
      </c>
      <c r="C1635" s="446">
        <v>44691</v>
      </c>
      <c r="D1635" s="416" t="s">
        <v>2480</v>
      </c>
      <c r="E1635" s="405" t="s">
        <v>2544</v>
      </c>
      <c r="F1635" s="405"/>
      <c r="G1635" s="405"/>
      <c r="H1635" s="405">
        <v>5</v>
      </c>
      <c r="I1635" s="405" t="s">
        <v>1498</v>
      </c>
      <c r="J1635" s="406"/>
      <c r="K1635" s="414" t="s">
        <v>4775</v>
      </c>
      <c r="L1635" s="405" t="s">
        <v>2549</v>
      </c>
      <c r="M1635" s="418">
        <v>44594</v>
      </c>
      <c r="N1635" s="418">
        <v>44655</v>
      </c>
      <c r="O1635" s="418"/>
      <c r="P1635" s="406">
        <v>44693</v>
      </c>
      <c r="Q1635" s="406">
        <v>44697</v>
      </c>
      <c r="R1635" s="406">
        <v>44698</v>
      </c>
      <c r="S1635" s="405" t="s">
        <v>1443</v>
      </c>
      <c r="T1635" s="405">
        <v>60</v>
      </c>
      <c r="U1635" s="405" t="s">
        <v>1237</v>
      </c>
      <c r="V1635" s="405" t="s">
        <v>973</v>
      </c>
      <c r="W1635" s="405">
        <v>400</v>
      </c>
      <c r="X1635" s="407">
        <v>384</v>
      </c>
      <c r="Y1635" s="408">
        <f t="shared" si="354"/>
        <v>153600</v>
      </c>
      <c r="Z1635" s="409">
        <v>0.52500000000000002</v>
      </c>
      <c r="AA1635" s="410">
        <f t="shared" ref="AA1635:AA1677" si="355">Z1635*Y1635</f>
        <v>80640</v>
      </c>
      <c r="AB1635" s="411"/>
      <c r="AC1635" s="412">
        <f t="shared" ref="AC1635:AC1670" si="356">AB1635*Y1635</f>
        <v>0</v>
      </c>
      <c r="AD1635" s="421"/>
      <c r="AE1635" s="413"/>
      <c r="AF1635" s="424">
        <f t="shared" ref="AF1635:AF1670" si="357">AE1635+AD1635+AA1635</f>
        <v>80640</v>
      </c>
      <c r="AG1635" s="405" t="s">
        <v>1069</v>
      </c>
      <c r="AH1635" s="405"/>
      <c r="AI1635" s="414">
        <v>60</v>
      </c>
      <c r="AJ1635" s="405" t="s">
        <v>2510</v>
      </c>
      <c r="AK1635" s="425" t="s">
        <v>50</v>
      </c>
      <c r="AL1635" s="425">
        <v>92841</v>
      </c>
      <c r="AM1635" s="405" t="s">
        <v>52</v>
      </c>
      <c r="AN1635" s="405" t="s">
        <v>50</v>
      </c>
      <c r="AO1635" s="405"/>
      <c r="AP1635" s="417"/>
      <c r="AQ1635" s="417" t="s">
        <v>37</v>
      </c>
      <c r="AR1635" s="417"/>
      <c r="AS1635" s="426"/>
      <c r="AT1635" s="426"/>
      <c r="AU1635" s="409"/>
      <c r="AV1635" s="402" t="str">
        <f t="shared" si="351"/>
        <v>30390456H</v>
      </c>
      <c r="AW1635" s="402" cm="1">
        <f t="array" ref="AW1635">SUM(MID(0&amp;AV1635,LARGE(INDEX(ISNUMBER(--MID(AV1635,ROW($1:$8),1))*ROW($1:$8),),ROW($1:$8))+1,1)*10^ROW($1:$8)/10)</f>
        <v>30390456</v>
      </c>
      <c r="AX1635" s="402" t="str">
        <f>VLOOKUP($AW1635,'Item Master Data'!$A:$F,3,FALSE)</f>
        <v>Q.PEAK DUO BLK ML G10+</v>
      </c>
      <c r="AY1635" s="402">
        <f>VLOOKUP($AW1635,'Item Master Data'!$A:$F,6,FALSE)</f>
        <v>400</v>
      </c>
      <c r="AZ1635" s="402">
        <f t="shared" si="352"/>
        <v>12</v>
      </c>
      <c r="BA1635" s="402">
        <f>VLOOKUP(AW1635,'Item Master Data'!$A:$G,7,FALSE)</f>
        <v>32</v>
      </c>
      <c r="BC1635" s="402">
        <f t="shared" si="353"/>
        <v>0</v>
      </c>
    </row>
    <row r="1636" spans="1:55" s="402" customFormat="1">
      <c r="A1636" s="403" t="s">
        <v>4585</v>
      </c>
      <c r="B1636" s="446">
        <v>44692</v>
      </c>
      <c r="C1636" s="446">
        <v>44691</v>
      </c>
      <c r="D1636" s="416" t="s">
        <v>2480</v>
      </c>
      <c r="E1636" s="405" t="s">
        <v>2544</v>
      </c>
      <c r="F1636" s="405"/>
      <c r="G1636" s="405"/>
      <c r="H1636" s="405">
        <v>5</v>
      </c>
      <c r="I1636" s="405" t="s">
        <v>1498</v>
      </c>
      <c r="J1636" s="406"/>
      <c r="K1636" s="414" t="s">
        <v>4775</v>
      </c>
      <c r="L1636" s="405" t="s">
        <v>2549</v>
      </c>
      <c r="M1636" s="418">
        <v>44594</v>
      </c>
      <c r="N1636" s="418">
        <v>44655</v>
      </c>
      <c r="O1636" s="418"/>
      <c r="P1636" s="418" t="s">
        <v>4539</v>
      </c>
      <c r="Q1636" s="406"/>
      <c r="R1636" s="406"/>
      <c r="S1636" s="405" t="s">
        <v>1443</v>
      </c>
      <c r="T1636" s="405">
        <v>60</v>
      </c>
      <c r="U1636" s="405">
        <v>49203132</v>
      </c>
      <c r="V1636" s="405" t="s">
        <v>986</v>
      </c>
      <c r="W1636" s="405">
        <v>360</v>
      </c>
      <c r="X1636" s="407">
        <v>384</v>
      </c>
      <c r="Y1636" s="408">
        <f t="shared" si="354"/>
        <v>138240</v>
      </c>
      <c r="Z1636" s="409">
        <v>0.505</v>
      </c>
      <c r="AA1636" s="410">
        <f t="shared" si="355"/>
        <v>69811.199999999997</v>
      </c>
      <c r="AB1636" s="411"/>
      <c r="AC1636" s="412">
        <f t="shared" si="356"/>
        <v>0</v>
      </c>
      <c r="AD1636" s="421"/>
      <c r="AE1636" s="413"/>
      <c r="AF1636" s="424">
        <f t="shared" si="357"/>
        <v>69811.199999999997</v>
      </c>
      <c r="AG1636" s="405" t="s">
        <v>1069</v>
      </c>
      <c r="AH1636" s="405"/>
      <c r="AI1636" s="414">
        <v>60</v>
      </c>
      <c r="AJ1636" s="405" t="s">
        <v>2510</v>
      </c>
      <c r="AK1636" s="425" t="s">
        <v>50</v>
      </c>
      <c r="AL1636" s="405">
        <v>92841</v>
      </c>
      <c r="AM1636" s="405" t="s">
        <v>52</v>
      </c>
      <c r="AN1636" s="405" t="s">
        <v>1101</v>
      </c>
      <c r="AO1636" s="405"/>
      <c r="AP1636" s="417"/>
      <c r="AQ1636" s="417" t="s">
        <v>37</v>
      </c>
      <c r="AR1636" s="417"/>
      <c r="AS1636" s="426"/>
      <c r="AT1636" s="426"/>
      <c r="AU1636" s="409"/>
      <c r="AV1636" s="402">
        <f t="shared" si="351"/>
        <v>49203132</v>
      </c>
      <c r="AW1636" s="402" cm="1">
        <f t="array" ref="AW1636">SUM(MID(0&amp;AV1636,LARGE(INDEX(ISNUMBER(--MID(AV1636,ROW($1:$8),1))*ROW($1:$8),),ROW($1:$8))+1,1)*10^ROW($1:$8)/10)</f>
        <v>49203132</v>
      </c>
      <c r="AX1636" s="402" t="str">
        <f>VLOOKUP($AW1636,'Item Master Data'!$A:$F,3,FALSE)</f>
        <v>Q.PEAK DUO BLK G10+</v>
      </c>
      <c r="AY1636" s="402">
        <f>VLOOKUP($AW1636,'Item Master Data'!$A:$F,6,FALSE)</f>
        <v>360</v>
      </c>
      <c r="AZ1636" s="402">
        <f t="shared" si="352"/>
        <v>12</v>
      </c>
      <c r="BA1636" s="402">
        <f>VLOOKUP(AW1636,'Item Master Data'!$A:$G,7,FALSE)</f>
        <v>32</v>
      </c>
      <c r="BC1636" s="402">
        <f t="shared" si="353"/>
        <v>0</v>
      </c>
    </row>
    <row r="1637" spans="1:55" s="402" customFormat="1">
      <c r="A1637" s="403" t="s">
        <v>4584</v>
      </c>
      <c r="B1637" s="446">
        <v>44665</v>
      </c>
      <c r="C1637" s="446">
        <v>44665</v>
      </c>
      <c r="D1637" s="416" t="s">
        <v>2480</v>
      </c>
      <c r="E1637" s="405" t="s">
        <v>2367</v>
      </c>
      <c r="F1637" s="405"/>
      <c r="G1637" s="405">
        <v>2022</v>
      </c>
      <c r="H1637" s="405">
        <v>5</v>
      </c>
      <c r="I1637" s="405" t="s">
        <v>1498</v>
      </c>
      <c r="J1637" s="406"/>
      <c r="K1637" s="414" t="s">
        <v>4770</v>
      </c>
      <c r="L1637" s="405" t="s">
        <v>2549</v>
      </c>
      <c r="M1637" s="418">
        <v>44594</v>
      </c>
      <c r="N1637" s="418">
        <v>44655</v>
      </c>
      <c r="O1637" s="418"/>
      <c r="P1637" s="406">
        <v>44693</v>
      </c>
      <c r="Q1637" s="406"/>
      <c r="R1637" s="406"/>
      <c r="S1637" s="405" t="s">
        <v>1443</v>
      </c>
      <c r="T1637" s="405">
        <v>60</v>
      </c>
      <c r="U1637" s="405">
        <v>49203132</v>
      </c>
      <c r="V1637" s="405" t="s">
        <v>986</v>
      </c>
      <c r="W1637" s="405">
        <v>360</v>
      </c>
      <c r="X1637" s="407">
        <v>384</v>
      </c>
      <c r="Y1637" s="408">
        <f t="shared" si="354"/>
        <v>138240</v>
      </c>
      <c r="Z1637" s="409">
        <v>0.53500000000000003</v>
      </c>
      <c r="AA1637" s="410">
        <f t="shared" si="355"/>
        <v>73958.400000000009</v>
      </c>
      <c r="AB1637" s="411"/>
      <c r="AC1637" s="412">
        <f t="shared" si="356"/>
        <v>0</v>
      </c>
      <c r="AD1637" s="421"/>
      <c r="AE1637" s="413"/>
      <c r="AF1637" s="424">
        <f t="shared" si="357"/>
        <v>73958.400000000009</v>
      </c>
      <c r="AG1637" s="405" t="s">
        <v>1069</v>
      </c>
      <c r="AH1637" s="405"/>
      <c r="AI1637" s="414">
        <v>60</v>
      </c>
      <c r="AJ1637" s="405" t="s">
        <v>1448</v>
      </c>
      <c r="AK1637" s="425" t="s">
        <v>50</v>
      </c>
      <c r="AL1637" s="425">
        <v>94544</v>
      </c>
      <c r="AM1637" s="405" t="s">
        <v>52</v>
      </c>
      <c r="AN1637" s="405" t="s">
        <v>1101</v>
      </c>
      <c r="AO1637" s="405"/>
      <c r="AP1637" s="417"/>
      <c r="AQ1637" s="417" t="s">
        <v>37</v>
      </c>
      <c r="AR1637" s="417"/>
      <c r="AS1637" s="426"/>
      <c r="AT1637" s="426"/>
      <c r="AU1637" s="409">
        <v>0.80577777777000004</v>
      </c>
      <c r="AV1637" s="402">
        <f t="shared" si="351"/>
        <v>49203132</v>
      </c>
      <c r="AW1637" s="402" cm="1">
        <f t="array" ref="AW1637">SUM(MID(0&amp;AV1637,LARGE(INDEX(ISNUMBER(--MID(AV1637,ROW($1:$8),1))*ROW($1:$8),),ROW($1:$8))+1,1)*10^ROW($1:$8)/10)</f>
        <v>49203132</v>
      </c>
      <c r="AX1637" s="402" t="str">
        <f>VLOOKUP($AW1637,'Item Master Data'!$A:$F,3,FALSE)</f>
        <v>Q.PEAK DUO BLK G10+</v>
      </c>
      <c r="AY1637" s="402">
        <f>VLOOKUP($AW1637,'Item Master Data'!$A:$F,6,FALSE)</f>
        <v>360</v>
      </c>
      <c r="AZ1637" s="402">
        <f t="shared" si="352"/>
        <v>12</v>
      </c>
      <c r="BA1637" s="402">
        <f>VLOOKUP(AW1637,'Item Master Data'!$A:$G,7,FALSE)</f>
        <v>32</v>
      </c>
      <c r="BC1637" s="402">
        <f t="shared" si="353"/>
        <v>0</v>
      </c>
    </row>
    <row r="1638" spans="1:55" s="402" customFormat="1">
      <c r="A1638" s="403" t="s">
        <v>4584</v>
      </c>
      <c r="B1638" s="446">
        <v>44665</v>
      </c>
      <c r="C1638" s="446">
        <v>44665</v>
      </c>
      <c r="D1638" s="416" t="s">
        <v>2480</v>
      </c>
      <c r="E1638" s="405" t="s">
        <v>2367</v>
      </c>
      <c r="F1638" s="405"/>
      <c r="G1638" s="405">
        <v>2022</v>
      </c>
      <c r="H1638" s="405">
        <v>5</v>
      </c>
      <c r="I1638" s="405" t="s">
        <v>1498</v>
      </c>
      <c r="J1638" s="406"/>
      <c r="K1638" s="526" t="s">
        <v>4770</v>
      </c>
      <c r="L1638" s="451" t="s">
        <v>2549</v>
      </c>
      <c r="M1638" s="418">
        <v>44594</v>
      </c>
      <c r="N1638" s="418">
        <v>44655</v>
      </c>
      <c r="O1638" s="418"/>
      <c r="P1638" s="406">
        <v>44693</v>
      </c>
      <c r="Q1638" s="406">
        <v>44694</v>
      </c>
      <c r="R1638" s="406">
        <v>44694</v>
      </c>
      <c r="S1638" s="405" t="s">
        <v>1443</v>
      </c>
      <c r="T1638" s="405">
        <v>60</v>
      </c>
      <c r="U1638" s="405" t="s">
        <v>1237</v>
      </c>
      <c r="V1638" s="405" t="s">
        <v>973</v>
      </c>
      <c r="W1638" s="405">
        <v>400</v>
      </c>
      <c r="X1638" s="407">
        <v>384</v>
      </c>
      <c r="Y1638" s="408">
        <f t="shared" si="354"/>
        <v>153600</v>
      </c>
      <c r="Z1638" s="409">
        <v>0.52500000000000002</v>
      </c>
      <c r="AA1638" s="410">
        <f t="shared" si="355"/>
        <v>80640</v>
      </c>
      <c r="AB1638" s="411"/>
      <c r="AC1638" s="412">
        <f t="shared" si="356"/>
        <v>0</v>
      </c>
      <c r="AD1638" s="421"/>
      <c r="AE1638" s="413"/>
      <c r="AF1638" s="424">
        <f t="shared" si="357"/>
        <v>80640</v>
      </c>
      <c r="AG1638" s="405" t="s">
        <v>1069</v>
      </c>
      <c r="AH1638" s="405"/>
      <c r="AI1638" s="414">
        <v>60</v>
      </c>
      <c r="AJ1638" s="405" t="s">
        <v>1448</v>
      </c>
      <c r="AK1638" s="425" t="s">
        <v>50</v>
      </c>
      <c r="AL1638" s="425">
        <v>94544</v>
      </c>
      <c r="AM1638" s="405" t="s">
        <v>52</v>
      </c>
      <c r="AN1638" s="405" t="s">
        <v>50</v>
      </c>
      <c r="AO1638" s="405"/>
      <c r="AP1638" s="417"/>
      <c r="AQ1638" s="417" t="s">
        <v>37</v>
      </c>
      <c r="AR1638" s="417"/>
      <c r="AS1638" s="426"/>
      <c r="AT1638" s="426"/>
      <c r="AU1638" s="409">
        <v>0.80577777777000004</v>
      </c>
      <c r="AV1638" s="402" t="str">
        <f t="shared" si="351"/>
        <v>30390456H</v>
      </c>
      <c r="AW1638" s="402" cm="1">
        <f t="array" ref="AW1638">SUM(MID(0&amp;AV1638,LARGE(INDEX(ISNUMBER(--MID(AV1638,ROW($1:$8),1))*ROW($1:$8),),ROW($1:$8))+1,1)*10^ROW($1:$8)/10)</f>
        <v>30390456</v>
      </c>
      <c r="AX1638" s="402" t="str">
        <f>VLOOKUP($AW1638,'Item Master Data'!$A:$F,3,FALSE)</f>
        <v>Q.PEAK DUO BLK ML G10+</v>
      </c>
      <c r="AY1638" s="402">
        <f>VLOOKUP($AW1638,'Item Master Data'!$A:$F,6,FALSE)</f>
        <v>400</v>
      </c>
      <c r="AZ1638" s="402">
        <f t="shared" si="352"/>
        <v>12</v>
      </c>
      <c r="BA1638" s="402">
        <f>VLOOKUP(AW1638,'Item Master Data'!$A:$G,7,FALSE)</f>
        <v>32</v>
      </c>
      <c r="BC1638" s="402">
        <f t="shared" si="353"/>
        <v>0</v>
      </c>
    </row>
    <row r="1639" spans="1:55" s="402" customFormat="1">
      <c r="A1639" s="403" t="s">
        <v>4584</v>
      </c>
      <c r="B1639" s="446"/>
      <c r="C1639" s="446"/>
      <c r="D1639" s="416" t="s">
        <v>2480</v>
      </c>
      <c r="E1639" s="405" t="s">
        <v>4824</v>
      </c>
      <c r="F1639" s="405"/>
      <c r="G1639" s="405">
        <v>2022</v>
      </c>
      <c r="H1639" s="405">
        <v>5</v>
      </c>
      <c r="I1639" s="405" t="s">
        <v>4462</v>
      </c>
      <c r="J1639" s="406"/>
      <c r="K1639" s="414" t="s">
        <v>2543</v>
      </c>
      <c r="L1639" s="405" t="s">
        <v>2514</v>
      </c>
      <c r="M1639" s="418">
        <v>44509</v>
      </c>
      <c r="N1639" s="418">
        <v>44576</v>
      </c>
      <c r="O1639" s="418"/>
      <c r="P1639" s="406">
        <v>44671</v>
      </c>
      <c r="Q1639" s="406">
        <v>44701</v>
      </c>
      <c r="R1639" s="406"/>
      <c r="S1639" s="405" t="s">
        <v>1443</v>
      </c>
      <c r="T1639" s="405">
        <v>60</v>
      </c>
      <c r="U1639" s="405">
        <v>49204132</v>
      </c>
      <c r="V1639" s="405" t="s">
        <v>986</v>
      </c>
      <c r="W1639" s="405">
        <v>360</v>
      </c>
      <c r="X1639" s="407">
        <v>704</v>
      </c>
      <c r="Y1639" s="408">
        <f t="shared" si="354"/>
        <v>253440</v>
      </c>
      <c r="Z1639" s="409">
        <f>181.8/360</f>
        <v>0.505</v>
      </c>
      <c r="AA1639" s="410">
        <f t="shared" si="355"/>
        <v>127987.2</v>
      </c>
      <c r="AB1639" s="411"/>
      <c r="AC1639" s="412">
        <f t="shared" si="356"/>
        <v>0</v>
      </c>
      <c r="AD1639" s="421"/>
      <c r="AE1639" s="413"/>
      <c r="AF1639" s="424">
        <f t="shared" si="357"/>
        <v>127987.2</v>
      </c>
      <c r="AG1639" s="405" t="s">
        <v>1069</v>
      </c>
      <c r="AH1639" s="405"/>
      <c r="AI1639" s="414">
        <v>60</v>
      </c>
      <c r="AJ1639" s="405" t="s">
        <v>2517</v>
      </c>
      <c r="AK1639" s="425" t="s">
        <v>1599</v>
      </c>
      <c r="AL1639" s="425">
        <v>97005</v>
      </c>
      <c r="AM1639" s="405" t="s">
        <v>52</v>
      </c>
      <c r="AN1639" s="405" t="s">
        <v>1101</v>
      </c>
      <c r="AO1639" s="405"/>
      <c r="AP1639" s="417"/>
      <c r="AQ1639" s="417" t="s">
        <v>37</v>
      </c>
      <c r="AR1639" s="417"/>
      <c r="AS1639" s="426"/>
      <c r="AT1639" s="426"/>
      <c r="AU1639" s="409"/>
    </row>
    <row r="1640" spans="1:55" s="402" customFormat="1">
      <c r="A1640" s="403" t="s">
        <v>4584</v>
      </c>
      <c r="B1640" s="446">
        <v>44690</v>
      </c>
      <c r="C1640" s="446">
        <v>44690</v>
      </c>
      <c r="D1640" s="416" t="s">
        <v>2480</v>
      </c>
      <c r="E1640" s="405" t="s">
        <v>2544</v>
      </c>
      <c r="F1640" s="405"/>
      <c r="G1640" s="405">
        <v>2022</v>
      </c>
      <c r="H1640" s="405">
        <v>5</v>
      </c>
      <c r="I1640" s="405">
        <v>128531</v>
      </c>
      <c r="J1640" s="406">
        <v>44685</v>
      </c>
      <c r="K1640" s="414" t="s">
        <v>2545</v>
      </c>
      <c r="L1640" s="405" t="s">
        <v>2514</v>
      </c>
      <c r="M1640" s="418">
        <v>44550</v>
      </c>
      <c r="N1640" s="418">
        <v>44621</v>
      </c>
      <c r="O1640" s="418"/>
      <c r="P1640" s="406">
        <v>44676</v>
      </c>
      <c r="Q1640" s="406">
        <v>44685</v>
      </c>
      <c r="R1640" s="406">
        <v>44687</v>
      </c>
      <c r="S1640" s="405" t="s">
        <v>1443</v>
      </c>
      <c r="T1640" s="405">
        <v>60</v>
      </c>
      <c r="U1640" s="405" t="s">
        <v>1559</v>
      </c>
      <c r="V1640" s="405" t="s">
        <v>973</v>
      </c>
      <c r="W1640" s="405">
        <v>400</v>
      </c>
      <c r="X1640" s="407">
        <v>768</v>
      </c>
      <c r="Y1640" s="408">
        <f t="shared" si="354"/>
        <v>307200</v>
      </c>
      <c r="Z1640" s="409">
        <v>0.55500000000000005</v>
      </c>
      <c r="AA1640" s="410">
        <f t="shared" si="355"/>
        <v>170496.00000000003</v>
      </c>
      <c r="AB1640" s="411"/>
      <c r="AC1640" s="412">
        <f t="shared" si="356"/>
        <v>0</v>
      </c>
      <c r="AD1640" s="421"/>
      <c r="AE1640" s="413"/>
      <c r="AF1640" s="424">
        <f t="shared" si="357"/>
        <v>170496.00000000003</v>
      </c>
      <c r="AG1640" s="405" t="s">
        <v>1069</v>
      </c>
      <c r="AH1640" s="405"/>
      <c r="AI1640" s="414">
        <v>60</v>
      </c>
      <c r="AJ1640" s="405" t="s">
        <v>4774</v>
      </c>
      <c r="AK1640" s="425" t="s">
        <v>1522</v>
      </c>
      <c r="AL1640" s="405">
        <v>98032</v>
      </c>
      <c r="AM1640" s="405" t="s">
        <v>52</v>
      </c>
      <c r="AN1640" s="405" t="s">
        <v>50</v>
      </c>
      <c r="AO1640" s="405"/>
      <c r="AP1640" s="417"/>
      <c r="AQ1640" s="417" t="s">
        <v>37</v>
      </c>
      <c r="AR1640" s="417"/>
      <c r="AS1640" s="426"/>
      <c r="AT1640" s="426"/>
      <c r="AU1640" s="409">
        <v>0.52500000000000002</v>
      </c>
      <c r="AV1640" s="402" t="str">
        <f>U1640</f>
        <v>30390156H</v>
      </c>
      <c r="AW1640" s="402" cm="1">
        <f t="array" ref="AW1640">SUM(MID(0&amp;AV1640,LARGE(INDEX(ISNUMBER(--MID(AV1640,ROW($1:$8),1))*ROW($1:$8),),ROW($1:$8))+1,1)*10^ROW($1:$8)/10)</f>
        <v>30390156</v>
      </c>
      <c r="AX1640" s="402" t="str">
        <f>VLOOKUP($AW1640,'Item Master Data'!$A:$F,3,FALSE)</f>
        <v>Q.PEAK DUO BLK ML G10+</v>
      </c>
      <c r="AY1640" s="402">
        <f>VLOOKUP($AW1640,'Item Master Data'!$A:$F,6,FALSE)</f>
        <v>400</v>
      </c>
      <c r="AZ1640" s="402">
        <f>X1640/BA1640</f>
        <v>24</v>
      </c>
      <c r="BA1640" s="402">
        <f>VLOOKUP(AW1640,'Item Master Data'!$A:$G,7,FALSE)</f>
        <v>32</v>
      </c>
      <c r="BC1640" s="402">
        <f>W1640-AY1640</f>
        <v>0</v>
      </c>
    </row>
    <row r="1641" spans="1:55" s="402" customFormat="1">
      <c r="A1641" s="403"/>
      <c r="B1641" s="446">
        <v>44629</v>
      </c>
      <c r="C1641" s="446">
        <v>44629</v>
      </c>
      <c r="D1641" s="416" t="s">
        <v>2480</v>
      </c>
      <c r="E1641" s="405" t="s">
        <v>1239</v>
      </c>
      <c r="F1641" s="405"/>
      <c r="G1641" s="405">
        <v>2022</v>
      </c>
      <c r="H1641" s="405">
        <v>6</v>
      </c>
      <c r="I1641" s="405">
        <v>2005163</v>
      </c>
      <c r="J1641" s="406"/>
      <c r="K1641" s="414" t="s">
        <v>2519</v>
      </c>
      <c r="L1641" s="405" t="s">
        <v>2481</v>
      </c>
      <c r="M1641" s="418">
        <v>44610</v>
      </c>
      <c r="N1641" s="418">
        <v>44652</v>
      </c>
      <c r="O1641" s="418">
        <v>44652</v>
      </c>
      <c r="P1641" s="406"/>
      <c r="Q1641" s="406"/>
      <c r="R1641" s="406"/>
      <c r="S1641" s="405" t="s">
        <v>1940</v>
      </c>
      <c r="T1641" s="405">
        <v>72</v>
      </c>
      <c r="U1641" s="405"/>
      <c r="V1641" s="405" t="s">
        <v>995</v>
      </c>
      <c r="W1641" s="405">
        <v>480</v>
      </c>
      <c r="X1641" s="407">
        <v>16008</v>
      </c>
      <c r="Y1641" s="408">
        <f t="shared" si="354"/>
        <v>7683840</v>
      </c>
      <c r="Z1641" s="409">
        <v>0.48</v>
      </c>
      <c r="AA1641" s="410">
        <f t="shared" si="355"/>
        <v>3688243.1999999997</v>
      </c>
      <c r="AB1641" s="411"/>
      <c r="AC1641" s="412">
        <f t="shared" si="356"/>
        <v>0</v>
      </c>
      <c r="AD1641" s="421"/>
      <c r="AE1641" s="413"/>
      <c r="AF1641" s="424">
        <f t="shared" si="357"/>
        <v>3688243.1999999997</v>
      </c>
      <c r="AG1641" s="405" t="s">
        <v>47</v>
      </c>
      <c r="AH1641" s="405"/>
      <c r="AI1641" s="414" t="s">
        <v>2520</v>
      </c>
      <c r="AJ1641" s="405"/>
      <c r="AK1641" s="425"/>
      <c r="AL1641" s="405"/>
      <c r="AM1641" s="405" t="s">
        <v>52</v>
      </c>
      <c r="AN1641" s="405"/>
      <c r="AO1641" s="405"/>
      <c r="AP1641" s="417"/>
      <c r="AQ1641" s="417" t="s">
        <v>37</v>
      </c>
      <c r="AR1641" s="417"/>
      <c r="AS1641" s="426"/>
      <c r="AT1641" s="426"/>
      <c r="AU1641" s="409"/>
      <c r="AV1641" s="402">
        <f>U1641</f>
        <v>0</v>
      </c>
      <c r="AW1641" s="402" cm="1">
        <f t="array" ref="AW1641">SUM(MID(0&amp;AV1641,LARGE(INDEX(ISNUMBER(--MID(AV1641,ROW($1:$8),1))*ROW($1:$8),),ROW($1:$8))+1,1)*10^ROW($1:$8)/10)</f>
        <v>0</v>
      </c>
      <c r="AX1641" s="402" t="e">
        <f>VLOOKUP($AW1641,'Item Master Data'!$A:$F,3,FALSE)</f>
        <v>#N/A</v>
      </c>
      <c r="AY1641" s="402" t="e">
        <f>VLOOKUP($AW1641,'Item Master Data'!$A:$F,6,FALSE)</f>
        <v>#N/A</v>
      </c>
      <c r="AZ1641" s="402" t="e">
        <f>X1641/BA1641</f>
        <v>#N/A</v>
      </c>
      <c r="BA1641" s="402" t="e">
        <f>VLOOKUP(AW1641,'Item Master Data'!$A:$G,7,FALSE)</f>
        <v>#N/A</v>
      </c>
      <c r="BC1641" s="402" t="e">
        <f>W1641-AY1641</f>
        <v>#N/A</v>
      </c>
    </row>
    <row r="1642" spans="1:55" s="402" customFormat="1">
      <c r="A1642" s="403"/>
      <c r="B1642" s="446">
        <v>44629</v>
      </c>
      <c r="C1642" s="446">
        <v>44629</v>
      </c>
      <c r="D1642" s="416" t="s">
        <v>2480</v>
      </c>
      <c r="E1642" s="405" t="s">
        <v>1239</v>
      </c>
      <c r="F1642" s="405"/>
      <c r="G1642" s="405">
        <v>2022</v>
      </c>
      <c r="H1642" s="405">
        <v>6</v>
      </c>
      <c r="I1642" s="405">
        <v>2005163</v>
      </c>
      <c r="J1642" s="406"/>
      <c r="K1642" s="414" t="s">
        <v>2519</v>
      </c>
      <c r="L1642" s="405" t="s">
        <v>2481</v>
      </c>
      <c r="M1642" s="418">
        <v>44610</v>
      </c>
      <c r="N1642" s="418">
        <v>44652</v>
      </c>
      <c r="O1642" s="418">
        <v>44652</v>
      </c>
      <c r="P1642" s="406"/>
      <c r="Q1642" s="406"/>
      <c r="R1642" s="406"/>
      <c r="S1642" s="405" t="s">
        <v>1940</v>
      </c>
      <c r="T1642" s="405">
        <v>72</v>
      </c>
      <c r="U1642" s="405"/>
      <c r="V1642" s="405" t="s">
        <v>995</v>
      </c>
      <c r="W1642" s="405">
        <v>485</v>
      </c>
      <c r="X1642" s="407">
        <v>2262</v>
      </c>
      <c r="Y1642" s="408">
        <f t="shared" si="354"/>
        <v>1097070</v>
      </c>
      <c r="Z1642" s="409">
        <v>0.48</v>
      </c>
      <c r="AA1642" s="410">
        <f t="shared" si="355"/>
        <v>526593.6</v>
      </c>
      <c r="AB1642" s="411"/>
      <c r="AC1642" s="412">
        <f t="shared" si="356"/>
        <v>0</v>
      </c>
      <c r="AD1642" s="421"/>
      <c r="AE1642" s="413"/>
      <c r="AF1642" s="424">
        <f t="shared" si="357"/>
        <v>526593.6</v>
      </c>
      <c r="AG1642" s="405" t="s">
        <v>47</v>
      </c>
      <c r="AH1642" s="405"/>
      <c r="AI1642" s="414" t="s">
        <v>2520</v>
      </c>
      <c r="AJ1642" s="405"/>
      <c r="AK1642" s="425"/>
      <c r="AL1642" s="405"/>
      <c r="AM1642" s="405" t="s">
        <v>52</v>
      </c>
      <c r="AN1642" s="405"/>
      <c r="AO1642" s="405"/>
      <c r="AP1642" s="417"/>
      <c r="AQ1642" s="417" t="s">
        <v>37</v>
      </c>
      <c r="AR1642" s="417"/>
      <c r="AS1642" s="426"/>
      <c r="AT1642" s="426"/>
      <c r="AU1642" s="409"/>
      <c r="AV1642" s="402">
        <f>U1642</f>
        <v>0</v>
      </c>
      <c r="AW1642" s="402" cm="1">
        <f t="array" ref="AW1642">SUM(MID(0&amp;AV1642,LARGE(INDEX(ISNUMBER(--MID(AV1642,ROW($1:$8),1))*ROW($1:$8),),ROW($1:$8))+1,1)*10^ROW($1:$8)/10)</f>
        <v>0</v>
      </c>
      <c r="AX1642" s="402" t="e">
        <f>VLOOKUP($AW1642,'Item Master Data'!$A:$F,3,FALSE)</f>
        <v>#N/A</v>
      </c>
      <c r="AY1642" s="402" t="e">
        <f>VLOOKUP($AW1642,'Item Master Data'!$A:$F,6,FALSE)</f>
        <v>#N/A</v>
      </c>
      <c r="AZ1642" s="402" t="e">
        <f>X1642/BA1642</f>
        <v>#N/A</v>
      </c>
      <c r="BA1642" s="402" t="e">
        <f>VLOOKUP(AW1642,'Item Master Data'!$A:$G,7,FALSE)</f>
        <v>#N/A</v>
      </c>
      <c r="BC1642" s="402" t="e">
        <f>W1642-AY1642</f>
        <v>#N/A</v>
      </c>
    </row>
    <row r="1643" spans="1:55" s="402" customFormat="1">
      <c r="A1643" s="403"/>
      <c r="B1643" s="446">
        <v>44629</v>
      </c>
      <c r="C1643" s="446">
        <v>44629</v>
      </c>
      <c r="D1643" s="416" t="s">
        <v>2480</v>
      </c>
      <c r="E1643" s="405" t="s">
        <v>1239</v>
      </c>
      <c r="F1643" s="405"/>
      <c r="G1643" s="405">
        <v>2022</v>
      </c>
      <c r="H1643" s="405">
        <v>6</v>
      </c>
      <c r="I1643" s="405">
        <v>2005163</v>
      </c>
      <c r="J1643" s="406"/>
      <c r="K1643" s="414" t="s">
        <v>2519</v>
      </c>
      <c r="L1643" s="405" t="s">
        <v>2481</v>
      </c>
      <c r="M1643" s="418">
        <v>44610</v>
      </c>
      <c r="N1643" s="418">
        <v>44652</v>
      </c>
      <c r="O1643" s="418">
        <v>44652</v>
      </c>
      <c r="P1643" s="406"/>
      <c r="Q1643" s="406"/>
      <c r="R1643" s="406"/>
      <c r="S1643" s="405" t="s">
        <v>1940</v>
      </c>
      <c r="T1643" s="405">
        <v>72</v>
      </c>
      <c r="U1643" s="405"/>
      <c r="V1643" s="405" t="s">
        <v>1895</v>
      </c>
      <c r="W1643" s="405">
        <v>575</v>
      </c>
      <c r="X1643" s="407">
        <v>4524</v>
      </c>
      <c r="Y1643" s="408">
        <f t="shared" si="354"/>
        <v>2601300</v>
      </c>
      <c r="Z1643" s="409">
        <v>0.5</v>
      </c>
      <c r="AA1643" s="410">
        <f t="shared" si="355"/>
        <v>1300650</v>
      </c>
      <c r="AB1643" s="411"/>
      <c r="AC1643" s="412">
        <f t="shared" si="356"/>
        <v>0</v>
      </c>
      <c r="AD1643" s="421"/>
      <c r="AE1643" s="413"/>
      <c r="AF1643" s="424">
        <f t="shared" si="357"/>
        <v>1300650</v>
      </c>
      <c r="AG1643" s="405" t="s">
        <v>47</v>
      </c>
      <c r="AH1643" s="405"/>
      <c r="AI1643" s="414" t="s">
        <v>2520</v>
      </c>
      <c r="AJ1643" s="405"/>
      <c r="AK1643" s="425"/>
      <c r="AL1643" s="405"/>
      <c r="AM1643" s="405" t="s">
        <v>52</v>
      </c>
      <c r="AN1643" s="405"/>
      <c r="AO1643" s="405"/>
      <c r="AP1643" s="417"/>
      <c r="AQ1643" s="417" t="s">
        <v>37</v>
      </c>
      <c r="AR1643" s="417"/>
      <c r="AS1643" s="426"/>
      <c r="AT1643" s="426"/>
      <c r="AU1643" s="409"/>
    </row>
    <row r="1644" spans="1:55" s="402" customFormat="1">
      <c r="A1644" s="403"/>
      <c r="B1644" s="446">
        <v>44629</v>
      </c>
      <c r="C1644" s="446">
        <v>44629</v>
      </c>
      <c r="D1644" s="416" t="s">
        <v>2480</v>
      </c>
      <c r="E1644" s="405" t="s">
        <v>1239</v>
      </c>
      <c r="F1644" s="405"/>
      <c r="G1644" s="405">
        <v>2022</v>
      </c>
      <c r="H1644" s="405">
        <v>6</v>
      </c>
      <c r="I1644" s="405">
        <v>2005163</v>
      </c>
      <c r="J1644" s="406"/>
      <c r="K1644" s="414" t="s">
        <v>2519</v>
      </c>
      <c r="L1644" s="405" t="s">
        <v>2481</v>
      </c>
      <c r="M1644" s="418">
        <v>44610</v>
      </c>
      <c r="N1644" s="418">
        <v>44652</v>
      </c>
      <c r="O1644" s="418">
        <v>44652</v>
      </c>
      <c r="P1644" s="406"/>
      <c r="Q1644" s="406"/>
      <c r="R1644" s="406"/>
      <c r="S1644" s="405" t="s">
        <v>1940</v>
      </c>
      <c r="T1644" s="405">
        <v>72</v>
      </c>
      <c r="U1644" s="405"/>
      <c r="V1644" s="405" t="s">
        <v>1895</v>
      </c>
      <c r="W1644" s="405">
        <v>580</v>
      </c>
      <c r="X1644" s="407">
        <v>2117</v>
      </c>
      <c r="Y1644" s="408">
        <f t="shared" si="354"/>
        <v>1227860</v>
      </c>
      <c r="Z1644" s="409">
        <v>0.45</v>
      </c>
      <c r="AA1644" s="410">
        <f t="shared" si="355"/>
        <v>552537</v>
      </c>
      <c r="AB1644" s="411"/>
      <c r="AC1644" s="412">
        <f t="shared" si="356"/>
        <v>0</v>
      </c>
      <c r="AD1644" s="421"/>
      <c r="AE1644" s="413"/>
      <c r="AF1644" s="424">
        <f t="shared" si="357"/>
        <v>552537</v>
      </c>
      <c r="AG1644" s="405" t="s">
        <v>47</v>
      </c>
      <c r="AH1644" s="405"/>
      <c r="AI1644" s="414" t="s">
        <v>2520</v>
      </c>
      <c r="AJ1644" s="405"/>
      <c r="AK1644" s="425"/>
      <c r="AL1644" s="405"/>
      <c r="AM1644" s="405" t="s">
        <v>52</v>
      </c>
      <c r="AN1644" s="405"/>
      <c r="AO1644" s="405"/>
      <c r="AP1644" s="417"/>
      <c r="AQ1644" s="417" t="s">
        <v>37</v>
      </c>
      <c r="AR1644" s="417"/>
      <c r="AS1644" s="426"/>
      <c r="AT1644" s="426"/>
      <c r="AU1644" s="409"/>
      <c r="AV1644" s="402">
        <f t="shared" ref="AV1644:AV1650" si="358">U1644</f>
        <v>0</v>
      </c>
      <c r="AW1644" s="402" cm="1">
        <f t="array" ref="AW1644">SUM(MID(0&amp;AV1644,LARGE(INDEX(ISNUMBER(--MID(AV1644,ROW($1:$8),1))*ROW($1:$8),),ROW($1:$8))+1,1)*10^ROW($1:$8)/10)</f>
        <v>0</v>
      </c>
      <c r="AX1644" s="402" t="e">
        <f>VLOOKUP($AW1644,'Item Master Data'!$A:$F,3,FALSE)</f>
        <v>#N/A</v>
      </c>
      <c r="AY1644" s="402" t="e">
        <f>VLOOKUP($AW1644,'Item Master Data'!$A:$F,6,FALSE)</f>
        <v>#N/A</v>
      </c>
      <c r="AZ1644" s="402" t="e">
        <f t="shared" ref="AZ1644:AZ1650" si="359">X1644/BA1644</f>
        <v>#N/A</v>
      </c>
      <c r="BA1644" s="402" t="e">
        <f>VLOOKUP(AW1644,'Item Master Data'!$A:$G,7,FALSE)</f>
        <v>#N/A</v>
      </c>
      <c r="BC1644" s="402" t="e">
        <f t="shared" ref="BC1644:BC1650" si="360">W1644-AY1644</f>
        <v>#N/A</v>
      </c>
    </row>
    <row r="1645" spans="1:55" s="402" customFormat="1">
      <c r="A1645" s="403"/>
      <c r="B1645" s="446">
        <v>44635</v>
      </c>
      <c r="C1645" s="446">
        <v>44634</v>
      </c>
      <c r="D1645" s="416" t="s">
        <v>2480</v>
      </c>
      <c r="E1645" s="405" t="s">
        <v>2065</v>
      </c>
      <c r="F1645" s="405"/>
      <c r="G1645" s="405">
        <v>2022</v>
      </c>
      <c r="H1645" s="405">
        <v>6</v>
      </c>
      <c r="I1645" s="405" t="s">
        <v>1498</v>
      </c>
      <c r="J1645" s="406"/>
      <c r="K1645" s="414" t="s">
        <v>2740</v>
      </c>
      <c r="L1645" s="405" t="s">
        <v>2481</v>
      </c>
      <c r="M1645" s="418">
        <v>44568</v>
      </c>
      <c r="N1645" s="418">
        <v>44733</v>
      </c>
      <c r="O1645" s="418"/>
      <c r="P1645" s="406"/>
      <c r="Q1645" s="406"/>
      <c r="R1645" s="406"/>
      <c r="S1645" s="405" t="s">
        <v>1940</v>
      </c>
      <c r="T1645" s="405">
        <v>60</v>
      </c>
      <c r="U1645" s="405"/>
      <c r="V1645" s="405" t="s">
        <v>973</v>
      </c>
      <c r="W1645" s="405">
        <v>400</v>
      </c>
      <c r="X1645" s="407">
        <v>352</v>
      </c>
      <c r="Y1645" s="408">
        <f t="shared" si="354"/>
        <v>140800</v>
      </c>
      <c r="Z1645" s="409">
        <v>0.55000000000000004</v>
      </c>
      <c r="AA1645" s="410">
        <f t="shared" si="355"/>
        <v>77440</v>
      </c>
      <c r="AB1645" s="411"/>
      <c r="AC1645" s="412">
        <f t="shared" si="356"/>
        <v>0</v>
      </c>
      <c r="AD1645" s="421"/>
      <c r="AE1645" s="413"/>
      <c r="AF1645" s="424">
        <f t="shared" si="357"/>
        <v>77440</v>
      </c>
      <c r="AG1645" s="405" t="s">
        <v>47</v>
      </c>
      <c r="AH1645" s="405"/>
      <c r="AI1645" s="414" t="s">
        <v>1937</v>
      </c>
      <c r="AJ1645" s="405" t="s">
        <v>2504</v>
      </c>
      <c r="AK1645" s="425" t="s">
        <v>2505</v>
      </c>
      <c r="AL1645" s="405">
        <v>84115</v>
      </c>
      <c r="AM1645" s="405" t="s">
        <v>52</v>
      </c>
      <c r="AN1645" s="405"/>
      <c r="AO1645" s="405"/>
      <c r="AP1645" s="417"/>
      <c r="AQ1645" s="417" t="s">
        <v>37</v>
      </c>
      <c r="AR1645" s="417"/>
      <c r="AS1645" s="426"/>
      <c r="AT1645" s="426"/>
      <c r="AU1645" s="409">
        <v>0.55000000000000004</v>
      </c>
      <c r="AV1645" s="402">
        <f t="shared" si="358"/>
        <v>0</v>
      </c>
      <c r="AW1645" s="402" cm="1">
        <f t="array" ref="AW1645">SUM(MID(0&amp;AV1645,LARGE(INDEX(ISNUMBER(--MID(AV1645,ROW($1:$8),1))*ROW($1:$8),),ROW($1:$8))+1,1)*10^ROW($1:$8)/10)</f>
        <v>0</v>
      </c>
      <c r="AX1645" s="402" t="e">
        <f>VLOOKUP($AW1645,'Item Master Data'!$A:$F,3,FALSE)</f>
        <v>#N/A</v>
      </c>
      <c r="AY1645" s="402" t="e">
        <f>VLOOKUP($AW1645,'Item Master Data'!$A:$F,6,FALSE)</f>
        <v>#N/A</v>
      </c>
      <c r="AZ1645" s="402" t="e">
        <f t="shared" si="359"/>
        <v>#N/A</v>
      </c>
      <c r="BA1645" s="402" t="e">
        <f>VLOOKUP(AW1645,'Item Master Data'!$A:$G,7,FALSE)</f>
        <v>#N/A</v>
      </c>
      <c r="BC1645" s="402" t="e">
        <f t="shared" si="360"/>
        <v>#N/A</v>
      </c>
    </row>
    <row r="1646" spans="1:55" s="402" customFormat="1">
      <c r="A1646" s="403"/>
      <c r="B1646" s="446">
        <v>44648</v>
      </c>
      <c r="C1646" s="446"/>
      <c r="D1646" s="416" t="s">
        <v>2480</v>
      </c>
      <c r="E1646" s="405" t="s">
        <v>2752</v>
      </c>
      <c r="F1646" s="405"/>
      <c r="G1646" s="405">
        <v>2022</v>
      </c>
      <c r="H1646" s="405">
        <v>6</v>
      </c>
      <c r="I1646" s="405" t="s">
        <v>1498</v>
      </c>
      <c r="J1646" s="406"/>
      <c r="K1646" s="414" t="s">
        <v>2753</v>
      </c>
      <c r="L1646" s="405" t="s">
        <v>2481</v>
      </c>
      <c r="M1646" s="418">
        <v>44644</v>
      </c>
      <c r="N1646" s="418">
        <v>44682</v>
      </c>
      <c r="O1646" s="418"/>
      <c r="P1646" s="406"/>
      <c r="Q1646" s="406"/>
      <c r="R1646" s="406"/>
      <c r="S1646" s="405" t="s">
        <v>1940</v>
      </c>
      <c r="T1646" s="405">
        <v>60</v>
      </c>
      <c r="U1646" s="405"/>
      <c r="V1646" s="405" t="s">
        <v>973</v>
      </c>
      <c r="W1646" s="405">
        <v>400</v>
      </c>
      <c r="X1646" s="407">
        <v>768</v>
      </c>
      <c r="Y1646" s="408">
        <f t="shared" si="354"/>
        <v>307200</v>
      </c>
      <c r="Z1646" s="409">
        <v>0.57999999999999996</v>
      </c>
      <c r="AA1646" s="410">
        <f t="shared" si="355"/>
        <v>178176</v>
      </c>
      <c r="AB1646" s="411"/>
      <c r="AC1646" s="412">
        <f t="shared" si="356"/>
        <v>0</v>
      </c>
      <c r="AD1646" s="421"/>
      <c r="AE1646" s="413"/>
      <c r="AF1646" s="424">
        <f t="shared" si="357"/>
        <v>178176</v>
      </c>
      <c r="AG1646" s="405" t="s">
        <v>47</v>
      </c>
      <c r="AH1646" s="405"/>
      <c r="AI1646" s="414" t="s">
        <v>1937</v>
      </c>
      <c r="AJ1646" s="405" t="s">
        <v>2498</v>
      </c>
      <c r="AK1646" s="425" t="s">
        <v>1317</v>
      </c>
      <c r="AL1646" s="405">
        <v>22031</v>
      </c>
      <c r="AM1646" s="405" t="s">
        <v>52</v>
      </c>
      <c r="AN1646" s="405"/>
      <c r="AO1646" s="405"/>
      <c r="AP1646" s="417"/>
      <c r="AQ1646" s="417" t="s">
        <v>37</v>
      </c>
      <c r="AR1646" s="417"/>
      <c r="AS1646" s="426"/>
      <c r="AT1646" s="426"/>
      <c r="AU1646" s="409">
        <v>0.55000000000000004</v>
      </c>
      <c r="AV1646" s="402">
        <f t="shared" si="358"/>
        <v>0</v>
      </c>
      <c r="AW1646" s="402" cm="1">
        <f t="array" ref="AW1646">SUM(MID(0&amp;AV1646,LARGE(INDEX(ISNUMBER(--MID(AV1646,ROW($1:$8),1))*ROW($1:$8),),ROW($1:$8))+1,1)*10^ROW($1:$8)/10)</f>
        <v>0</v>
      </c>
      <c r="AX1646" s="402" t="e">
        <f>VLOOKUP($AW1646,'Item Master Data'!$A:$F,3,FALSE)</f>
        <v>#N/A</v>
      </c>
      <c r="AY1646" s="402" t="e">
        <f>VLOOKUP($AW1646,'Item Master Data'!$A:$F,6,FALSE)</f>
        <v>#N/A</v>
      </c>
      <c r="AZ1646" s="402" t="e">
        <f t="shared" si="359"/>
        <v>#N/A</v>
      </c>
      <c r="BA1646" s="402" t="e">
        <f>VLOOKUP(AW1646,'Item Master Data'!$A:$G,7,FALSE)</f>
        <v>#N/A</v>
      </c>
      <c r="BC1646" s="402" t="e">
        <f t="shared" si="360"/>
        <v>#N/A</v>
      </c>
    </row>
    <row r="1647" spans="1:55" s="402" customFormat="1">
      <c r="A1647" s="403"/>
      <c r="B1647" s="446">
        <v>44468</v>
      </c>
      <c r="C1647" s="446">
        <v>44468</v>
      </c>
      <c r="D1647" s="416" t="s">
        <v>2480</v>
      </c>
      <c r="E1647" s="405" t="s">
        <v>1239</v>
      </c>
      <c r="F1647" s="405"/>
      <c r="G1647" s="405">
        <v>2022</v>
      </c>
      <c r="H1647" s="405">
        <v>6</v>
      </c>
      <c r="I1647" s="405"/>
      <c r="J1647" s="406"/>
      <c r="K1647" s="414" t="s">
        <v>2641</v>
      </c>
      <c r="L1647" s="405" t="s">
        <v>2481</v>
      </c>
      <c r="M1647" s="418">
        <v>44466</v>
      </c>
      <c r="N1647" s="418">
        <v>44684</v>
      </c>
      <c r="O1647" s="418"/>
      <c r="P1647" s="406"/>
      <c r="Q1647" s="406"/>
      <c r="R1647" s="406"/>
      <c r="S1647" s="405" t="s">
        <v>1940</v>
      </c>
      <c r="T1647" s="405">
        <v>60</v>
      </c>
      <c r="U1647" s="405">
        <v>49201132</v>
      </c>
      <c r="V1647" s="405" t="s">
        <v>986</v>
      </c>
      <c r="W1647" s="405">
        <v>360</v>
      </c>
      <c r="X1647" s="407">
        <v>320</v>
      </c>
      <c r="Y1647" s="408">
        <f t="shared" si="354"/>
        <v>115200</v>
      </c>
      <c r="Z1647" s="409">
        <v>0.53</v>
      </c>
      <c r="AA1647" s="410">
        <f t="shared" si="355"/>
        <v>61056</v>
      </c>
      <c r="AB1647" s="411"/>
      <c r="AC1647" s="412">
        <f t="shared" si="356"/>
        <v>0</v>
      </c>
      <c r="AD1647" s="421"/>
      <c r="AE1647" s="413"/>
      <c r="AF1647" s="424">
        <f t="shared" si="357"/>
        <v>61056</v>
      </c>
      <c r="AG1647" s="405" t="s">
        <v>47</v>
      </c>
      <c r="AH1647" s="405"/>
      <c r="AI1647" s="414">
        <v>30</v>
      </c>
      <c r="AJ1647" s="405" t="s">
        <v>2642</v>
      </c>
      <c r="AK1647" s="425" t="s">
        <v>1391</v>
      </c>
      <c r="AL1647" s="405">
        <v>54406</v>
      </c>
      <c r="AM1647" s="405" t="s">
        <v>52</v>
      </c>
      <c r="AN1647" s="405"/>
      <c r="AO1647" s="405"/>
      <c r="AP1647" s="417"/>
      <c r="AQ1647" s="417" t="s">
        <v>37</v>
      </c>
      <c r="AR1647" s="417"/>
      <c r="AS1647" s="426"/>
      <c r="AT1647" s="426"/>
      <c r="AU1647" s="409"/>
      <c r="AV1647" s="402">
        <f t="shared" si="358"/>
        <v>49201132</v>
      </c>
      <c r="AW1647" s="402" cm="1">
        <f t="array" ref="AW1647">SUM(MID(0&amp;AV1647,LARGE(INDEX(ISNUMBER(--MID(AV1647,ROW($1:$8),1))*ROW($1:$8),),ROW($1:$8))+1,1)*10^ROW($1:$8)/10)</f>
        <v>49201132</v>
      </c>
      <c r="AX1647" s="402" t="str">
        <f>VLOOKUP($AW1647,'Item Master Data'!$A:$F,3,FALSE)</f>
        <v>Q.PEAK DUO BLK G10+</v>
      </c>
      <c r="AY1647" s="402">
        <f>VLOOKUP($AW1647,'Item Master Data'!$A:$F,6,FALSE)</f>
        <v>360</v>
      </c>
      <c r="AZ1647" s="402">
        <f t="shared" si="359"/>
        <v>10</v>
      </c>
      <c r="BA1647" s="402">
        <f>VLOOKUP(AW1647,'Item Master Data'!$A:$G,7,FALSE)</f>
        <v>32</v>
      </c>
      <c r="BC1647" s="402">
        <f t="shared" si="360"/>
        <v>0</v>
      </c>
    </row>
    <row r="1648" spans="1:55" s="402" customFormat="1">
      <c r="A1648" s="403"/>
      <c r="B1648" s="446">
        <v>44673</v>
      </c>
      <c r="C1648" s="446">
        <v>44673</v>
      </c>
      <c r="D1648" s="416" t="s">
        <v>2480</v>
      </c>
      <c r="E1648" s="405" t="s">
        <v>1239</v>
      </c>
      <c r="F1648" s="405"/>
      <c r="G1648" s="405">
        <v>2022</v>
      </c>
      <c r="H1648" s="405">
        <v>6</v>
      </c>
      <c r="I1648" s="405" t="s">
        <v>1498</v>
      </c>
      <c r="J1648" s="406"/>
      <c r="K1648" s="414" t="s">
        <v>2677</v>
      </c>
      <c r="L1648" s="405" t="s">
        <v>2481</v>
      </c>
      <c r="M1648" s="418">
        <v>44573</v>
      </c>
      <c r="N1648" s="418">
        <v>44652</v>
      </c>
      <c r="O1648" s="418"/>
      <c r="P1648" s="406"/>
      <c r="Q1648" s="406"/>
      <c r="R1648" s="406"/>
      <c r="S1648" s="405" t="s">
        <v>1940</v>
      </c>
      <c r="T1648" s="405">
        <v>60</v>
      </c>
      <c r="U1648" s="405"/>
      <c r="V1648" s="405" t="s">
        <v>986</v>
      </c>
      <c r="W1648" s="405">
        <v>360</v>
      </c>
      <c r="X1648" s="407">
        <f>1664-1152</f>
        <v>512</v>
      </c>
      <c r="Y1648" s="408">
        <f t="shared" si="354"/>
        <v>184320</v>
      </c>
      <c r="Z1648" s="409">
        <v>0.53</v>
      </c>
      <c r="AA1648" s="410">
        <f t="shared" si="355"/>
        <v>97689.600000000006</v>
      </c>
      <c r="AB1648" s="411"/>
      <c r="AC1648" s="412">
        <f t="shared" si="356"/>
        <v>0</v>
      </c>
      <c r="AD1648" s="421"/>
      <c r="AE1648" s="413"/>
      <c r="AF1648" s="424">
        <f t="shared" si="357"/>
        <v>97689.600000000006</v>
      </c>
      <c r="AG1648" s="405" t="s">
        <v>47</v>
      </c>
      <c r="AH1648" s="405"/>
      <c r="AI1648" s="414" t="s">
        <v>1937</v>
      </c>
      <c r="AJ1648" s="405" t="s">
        <v>1435</v>
      </c>
      <c r="AK1648" s="425" t="s">
        <v>1252</v>
      </c>
      <c r="AL1648" s="405">
        <v>4106</v>
      </c>
      <c r="AM1648" s="405" t="s">
        <v>52</v>
      </c>
      <c r="AN1648" s="405"/>
      <c r="AO1648" s="405"/>
      <c r="AP1648" s="417"/>
      <c r="AQ1648" s="417" t="s">
        <v>37</v>
      </c>
      <c r="AR1648" s="417"/>
      <c r="AS1648" s="426"/>
      <c r="AT1648" s="426"/>
      <c r="AU1648" s="409">
        <v>0.53</v>
      </c>
      <c r="AV1648" s="402">
        <f t="shared" si="358"/>
        <v>0</v>
      </c>
      <c r="AW1648" s="402" cm="1">
        <f t="array" ref="AW1648">SUM(MID(0&amp;AV1648,LARGE(INDEX(ISNUMBER(--MID(AV1648,ROW($1:$8),1))*ROW($1:$8),),ROW($1:$8))+1,1)*10^ROW($1:$8)/10)</f>
        <v>0</v>
      </c>
      <c r="AX1648" s="402" t="e">
        <f>VLOOKUP($AW1648,'Item Master Data'!$A:$F,3,FALSE)</f>
        <v>#N/A</v>
      </c>
      <c r="AY1648" s="402" t="e">
        <f>VLOOKUP($AW1648,'Item Master Data'!$A:$F,6,FALSE)</f>
        <v>#N/A</v>
      </c>
      <c r="AZ1648" s="402" t="e">
        <f t="shared" si="359"/>
        <v>#N/A</v>
      </c>
      <c r="BA1648" s="402" t="e">
        <f>VLOOKUP(AW1648,'Item Master Data'!$A:$G,7,FALSE)</f>
        <v>#N/A</v>
      </c>
      <c r="BC1648" s="402" t="e">
        <f t="shared" si="360"/>
        <v>#N/A</v>
      </c>
    </row>
    <row r="1649" spans="1:55" s="402" customFormat="1">
      <c r="A1649" s="403"/>
      <c r="B1649" s="446">
        <v>44616</v>
      </c>
      <c r="C1649" s="446">
        <v>44671</v>
      </c>
      <c r="D1649" s="416" t="s">
        <v>2480</v>
      </c>
      <c r="E1649" s="405" t="s">
        <v>4298</v>
      </c>
      <c r="F1649" s="405"/>
      <c r="G1649" s="405">
        <v>2022</v>
      </c>
      <c r="H1649" s="405">
        <v>6</v>
      </c>
      <c r="I1649" s="405"/>
      <c r="J1649" s="406"/>
      <c r="K1649" s="414" t="s">
        <v>2613</v>
      </c>
      <c r="L1649" s="405" t="s">
        <v>2481</v>
      </c>
      <c r="M1649" s="418">
        <v>44615</v>
      </c>
      <c r="N1649" s="418">
        <v>44718</v>
      </c>
      <c r="O1649" s="418"/>
      <c r="P1649" s="406" t="s">
        <v>2614</v>
      </c>
      <c r="Q1649" s="406"/>
      <c r="R1649" s="406"/>
      <c r="S1649" s="405" t="s">
        <v>1940</v>
      </c>
      <c r="T1649" s="405">
        <v>72</v>
      </c>
      <c r="U1649" s="405"/>
      <c r="V1649" s="405" t="s">
        <v>1068</v>
      </c>
      <c r="W1649" s="405">
        <v>470</v>
      </c>
      <c r="X1649" s="407">
        <v>580</v>
      </c>
      <c r="Y1649" s="408">
        <f t="shared" si="354"/>
        <v>272600</v>
      </c>
      <c r="Z1649" s="409">
        <v>0.505</v>
      </c>
      <c r="AA1649" s="410">
        <f t="shared" si="355"/>
        <v>137663</v>
      </c>
      <c r="AB1649" s="411"/>
      <c r="AC1649" s="412">
        <f t="shared" si="356"/>
        <v>0</v>
      </c>
      <c r="AD1649" s="421"/>
      <c r="AE1649" s="413"/>
      <c r="AF1649" s="424">
        <f t="shared" si="357"/>
        <v>137663</v>
      </c>
      <c r="AG1649" s="405" t="s">
        <v>47</v>
      </c>
      <c r="AH1649" s="405"/>
      <c r="AI1649" s="414" t="s">
        <v>2507</v>
      </c>
      <c r="AJ1649" s="405" t="s">
        <v>2563</v>
      </c>
      <c r="AK1649" s="425" t="s">
        <v>1312</v>
      </c>
      <c r="AL1649" s="405">
        <v>5676</v>
      </c>
      <c r="AM1649" s="405" t="s">
        <v>52</v>
      </c>
      <c r="AN1649" s="405"/>
      <c r="AO1649" s="405"/>
      <c r="AP1649" s="417"/>
      <c r="AQ1649" s="417" t="s">
        <v>37</v>
      </c>
      <c r="AR1649" s="417"/>
      <c r="AS1649" s="426"/>
      <c r="AT1649" s="426"/>
      <c r="AU1649" s="409"/>
      <c r="AV1649" s="402">
        <f t="shared" si="358"/>
        <v>0</v>
      </c>
      <c r="AW1649" s="402" cm="1">
        <f t="array" ref="AW1649">SUM(MID(0&amp;AV1649,LARGE(INDEX(ISNUMBER(--MID(AV1649,ROW($1:$8),1))*ROW($1:$8),),ROW($1:$8))+1,1)*10^ROW($1:$8)/10)</f>
        <v>0</v>
      </c>
      <c r="AX1649" s="402" t="e">
        <f>VLOOKUP($AW1649,'Item Master Data'!$A:$F,3,FALSE)</f>
        <v>#N/A</v>
      </c>
      <c r="AY1649" s="402" t="e">
        <f>VLOOKUP($AW1649,'Item Master Data'!$A:$F,6,FALSE)</f>
        <v>#N/A</v>
      </c>
      <c r="AZ1649" s="402" t="e">
        <f t="shared" si="359"/>
        <v>#N/A</v>
      </c>
      <c r="BA1649" s="402" t="e">
        <f>VLOOKUP(AW1649,'Item Master Data'!$A:$G,7,FALSE)</f>
        <v>#N/A</v>
      </c>
      <c r="BC1649" s="402" t="e">
        <f t="shared" si="360"/>
        <v>#N/A</v>
      </c>
    </row>
    <row r="1650" spans="1:55" s="402" customFormat="1">
      <c r="A1650" s="403"/>
      <c r="B1650" s="446">
        <v>44665</v>
      </c>
      <c r="C1650" s="446">
        <v>44665</v>
      </c>
      <c r="D1650" s="416" t="s">
        <v>2480</v>
      </c>
      <c r="E1650" s="405" t="s">
        <v>4298</v>
      </c>
      <c r="F1650" s="405"/>
      <c r="G1650" s="405">
        <v>2022</v>
      </c>
      <c r="H1650" s="405">
        <v>6</v>
      </c>
      <c r="I1650" s="405"/>
      <c r="J1650" s="406"/>
      <c r="K1650" s="414" t="s">
        <v>2615</v>
      </c>
      <c r="L1650" s="405" t="s">
        <v>2481</v>
      </c>
      <c r="M1650" s="418">
        <v>44615</v>
      </c>
      <c r="N1650" s="418">
        <v>44718</v>
      </c>
      <c r="O1650" s="418"/>
      <c r="P1650" s="406" t="s">
        <v>2614</v>
      </c>
      <c r="Q1650" s="406"/>
      <c r="R1650" s="406"/>
      <c r="S1650" s="405" t="s">
        <v>1940</v>
      </c>
      <c r="T1650" s="405">
        <v>72</v>
      </c>
      <c r="U1650" s="405" t="s">
        <v>1615</v>
      </c>
      <c r="V1650" s="405" t="s">
        <v>995</v>
      </c>
      <c r="W1650" s="405">
        <v>480</v>
      </c>
      <c r="X1650" s="407">
        <v>580</v>
      </c>
      <c r="Y1650" s="408">
        <f t="shared" si="354"/>
        <v>278400</v>
      </c>
      <c r="Z1650" s="409">
        <v>0.495</v>
      </c>
      <c r="AA1650" s="410">
        <f t="shared" si="355"/>
        <v>137808</v>
      </c>
      <c r="AB1650" s="411"/>
      <c r="AC1650" s="412">
        <f t="shared" si="356"/>
        <v>0</v>
      </c>
      <c r="AD1650" s="421"/>
      <c r="AE1650" s="413"/>
      <c r="AF1650" s="424">
        <f t="shared" si="357"/>
        <v>137808</v>
      </c>
      <c r="AG1650" s="405" t="s">
        <v>47</v>
      </c>
      <c r="AH1650" s="405"/>
      <c r="AI1650" s="414" t="s">
        <v>2507</v>
      </c>
      <c r="AJ1650" s="405" t="s">
        <v>2563</v>
      </c>
      <c r="AK1650" s="425" t="s">
        <v>1312</v>
      </c>
      <c r="AL1650" s="405">
        <v>5676</v>
      </c>
      <c r="AM1650" s="405" t="s">
        <v>52</v>
      </c>
      <c r="AN1650" s="405" t="s">
        <v>50</v>
      </c>
      <c r="AO1650" s="405"/>
      <c r="AP1650" s="417"/>
      <c r="AQ1650" s="417" t="s">
        <v>37</v>
      </c>
      <c r="AR1650" s="417"/>
      <c r="AS1650" s="426"/>
      <c r="AT1650" s="426"/>
      <c r="AU1650" s="409"/>
      <c r="AV1650" s="402" t="str">
        <f t="shared" si="358"/>
        <v>30397471C</v>
      </c>
      <c r="AW1650" s="402" cm="1">
        <f t="array" ref="AW1650">SUM(MID(0&amp;AV1650,LARGE(INDEX(ISNUMBER(--MID(AV1650,ROW($1:$8),1))*ROW($1:$8),),ROW($1:$8))+1,1)*10^ROW($1:$8)/10)</f>
        <v>30397471</v>
      </c>
      <c r="AX1650" s="402" t="str">
        <f>VLOOKUP($AW1650,'Item Master Data'!$A:$F,3,FALSE)</f>
        <v>Q.PEAK DUO XL G10</v>
      </c>
      <c r="AY1650" s="402">
        <f>VLOOKUP($AW1650,'Item Master Data'!$A:$F,6,FALSE)</f>
        <v>475</v>
      </c>
      <c r="AZ1650" s="402">
        <f t="shared" si="359"/>
        <v>20</v>
      </c>
      <c r="BA1650" s="402">
        <f>VLOOKUP(AW1650,'Item Master Data'!$A:$G,7,FALSE)</f>
        <v>29</v>
      </c>
      <c r="BC1650" s="402">
        <f t="shared" si="360"/>
        <v>5</v>
      </c>
    </row>
    <row r="1651" spans="1:55" s="402" customFormat="1">
      <c r="A1651" s="403"/>
      <c r="B1651" s="446">
        <v>44610</v>
      </c>
      <c r="C1651" s="446">
        <v>44610</v>
      </c>
      <c r="D1651" s="416" t="s">
        <v>2480</v>
      </c>
      <c r="E1651" s="405" t="s">
        <v>2499</v>
      </c>
      <c r="F1651" s="405"/>
      <c r="G1651" s="405">
        <v>2022</v>
      </c>
      <c r="H1651" s="405">
        <v>6</v>
      </c>
      <c r="I1651" s="405" t="s">
        <v>1498</v>
      </c>
      <c r="J1651" s="406"/>
      <c r="K1651" s="414" t="s">
        <v>2557</v>
      </c>
      <c r="L1651" s="405" t="s">
        <v>2481</v>
      </c>
      <c r="M1651" s="418">
        <v>44609</v>
      </c>
      <c r="N1651" s="418">
        <v>44655</v>
      </c>
      <c r="O1651" s="418"/>
      <c r="P1651" s="406"/>
      <c r="Q1651" s="406"/>
      <c r="R1651" s="406"/>
      <c r="S1651" s="405" t="s">
        <v>1940</v>
      </c>
      <c r="T1651" s="405">
        <v>60</v>
      </c>
      <c r="U1651" s="405"/>
      <c r="V1651" s="405" t="s">
        <v>1192</v>
      </c>
      <c r="W1651" s="405">
        <v>360</v>
      </c>
      <c r="X1651" s="407">
        <v>13182</v>
      </c>
      <c r="Y1651" s="408">
        <f t="shared" si="354"/>
        <v>4745520</v>
      </c>
      <c r="Z1651" s="409">
        <v>0.83</v>
      </c>
      <c r="AA1651" s="410">
        <f t="shared" si="355"/>
        <v>3938781.5999999996</v>
      </c>
      <c r="AB1651" s="411"/>
      <c r="AC1651" s="412">
        <f t="shared" si="356"/>
        <v>0</v>
      </c>
      <c r="AD1651" s="421"/>
      <c r="AE1651" s="413"/>
      <c r="AF1651" s="424">
        <f t="shared" si="357"/>
        <v>3938781.5999999996</v>
      </c>
      <c r="AG1651" s="405" t="s">
        <v>47</v>
      </c>
      <c r="AH1651" s="405"/>
      <c r="AI1651" s="414" t="s">
        <v>2507</v>
      </c>
      <c r="AJ1651" s="405" t="s">
        <v>2482</v>
      </c>
      <c r="AK1651" s="425" t="s">
        <v>2483</v>
      </c>
      <c r="AL1651" s="405">
        <v>25704</v>
      </c>
      <c r="AM1651" s="405" t="s">
        <v>52</v>
      </c>
      <c r="AN1651" s="405"/>
      <c r="AO1651" s="405"/>
      <c r="AP1651" s="417"/>
      <c r="AQ1651" s="417" t="s">
        <v>37</v>
      </c>
      <c r="AR1651" s="417"/>
      <c r="AS1651" s="426"/>
      <c r="AT1651" s="426"/>
      <c r="AU1651" s="409">
        <v>0.55000000000000004</v>
      </c>
    </row>
    <row r="1652" spans="1:55" s="402" customFormat="1">
      <c r="A1652" s="403"/>
      <c r="B1652" s="446">
        <v>44559</v>
      </c>
      <c r="C1652" s="446">
        <v>44634</v>
      </c>
      <c r="D1652" s="416" t="s">
        <v>2480</v>
      </c>
      <c r="E1652" s="405" t="s">
        <v>1239</v>
      </c>
      <c r="F1652" s="405"/>
      <c r="G1652" s="405">
        <v>2022</v>
      </c>
      <c r="H1652" s="405">
        <v>6</v>
      </c>
      <c r="I1652" s="405" t="s">
        <v>1498</v>
      </c>
      <c r="J1652" s="406"/>
      <c r="K1652" s="414" t="s">
        <v>2748</v>
      </c>
      <c r="L1652" s="405" t="s">
        <v>2481</v>
      </c>
      <c r="M1652" s="418">
        <v>44559</v>
      </c>
      <c r="N1652" s="418">
        <v>44713</v>
      </c>
      <c r="O1652" s="418"/>
      <c r="P1652" s="406"/>
      <c r="Q1652" s="406"/>
      <c r="R1652" s="406"/>
      <c r="S1652" s="405" t="s">
        <v>1940</v>
      </c>
      <c r="T1652" s="405">
        <v>60</v>
      </c>
      <c r="U1652" s="405"/>
      <c r="V1652" s="405" t="s">
        <v>973</v>
      </c>
      <c r="W1652" s="405">
        <v>400</v>
      </c>
      <c r="X1652" s="407">
        <v>320</v>
      </c>
      <c r="Y1652" s="408">
        <f t="shared" si="354"/>
        <v>128000</v>
      </c>
      <c r="Z1652" s="409">
        <v>0.55000000000000004</v>
      </c>
      <c r="AA1652" s="410">
        <f t="shared" si="355"/>
        <v>70400</v>
      </c>
      <c r="AB1652" s="411"/>
      <c r="AC1652" s="412">
        <f t="shared" si="356"/>
        <v>0</v>
      </c>
      <c r="AD1652" s="421"/>
      <c r="AE1652" s="413"/>
      <c r="AF1652" s="424">
        <f t="shared" si="357"/>
        <v>70400</v>
      </c>
      <c r="AG1652" s="405" t="s">
        <v>47</v>
      </c>
      <c r="AH1652" s="405"/>
      <c r="AI1652" s="414" t="s">
        <v>1937</v>
      </c>
      <c r="AJ1652" s="405" t="s">
        <v>1598</v>
      </c>
      <c r="AK1652" s="425" t="s">
        <v>1599</v>
      </c>
      <c r="AL1652" s="405">
        <v>97702</v>
      </c>
      <c r="AM1652" s="405" t="s">
        <v>52</v>
      </c>
      <c r="AN1652" s="405"/>
      <c r="AO1652" s="405"/>
      <c r="AP1652" s="417"/>
      <c r="AQ1652" s="417" t="s">
        <v>37</v>
      </c>
      <c r="AR1652" s="417"/>
      <c r="AS1652" s="426"/>
      <c r="AT1652" s="426"/>
      <c r="AU1652" s="409">
        <v>0.55000000000000004</v>
      </c>
    </row>
    <row r="1653" spans="1:55" s="402" customFormat="1">
      <c r="A1653" s="403"/>
      <c r="B1653" s="446">
        <v>44599</v>
      </c>
      <c r="C1653" s="446">
        <v>44634</v>
      </c>
      <c r="D1653" s="416" t="s">
        <v>2480</v>
      </c>
      <c r="E1653" s="405" t="s">
        <v>1239</v>
      </c>
      <c r="F1653" s="405"/>
      <c r="G1653" s="405">
        <v>2022</v>
      </c>
      <c r="H1653" s="405">
        <v>6</v>
      </c>
      <c r="I1653" s="405" t="s">
        <v>1498</v>
      </c>
      <c r="J1653" s="406"/>
      <c r="K1653" s="414" t="s">
        <v>2749</v>
      </c>
      <c r="L1653" s="405" t="s">
        <v>2481</v>
      </c>
      <c r="M1653" s="418">
        <v>44599</v>
      </c>
      <c r="N1653" s="418">
        <v>44713</v>
      </c>
      <c r="O1653" s="418"/>
      <c r="P1653" s="406"/>
      <c r="Q1653" s="406"/>
      <c r="R1653" s="406"/>
      <c r="S1653" s="405" t="s">
        <v>1940</v>
      </c>
      <c r="T1653" s="405">
        <v>60</v>
      </c>
      <c r="U1653" s="405"/>
      <c r="V1653" s="405" t="s">
        <v>973</v>
      </c>
      <c r="W1653" s="405">
        <v>400</v>
      </c>
      <c r="X1653" s="407">
        <v>320</v>
      </c>
      <c r="Y1653" s="408">
        <f t="shared" si="354"/>
        <v>128000</v>
      </c>
      <c r="Z1653" s="409">
        <v>0.57999999999999996</v>
      </c>
      <c r="AA1653" s="410">
        <f t="shared" si="355"/>
        <v>74240</v>
      </c>
      <c r="AB1653" s="411"/>
      <c r="AC1653" s="412">
        <f t="shared" si="356"/>
        <v>0</v>
      </c>
      <c r="AD1653" s="421"/>
      <c r="AE1653" s="413"/>
      <c r="AF1653" s="424">
        <f t="shared" si="357"/>
        <v>74240</v>
      </c>
      <c r="AG1653" s="405" t="s">
        <v>47</v>
      </c>
      <c r="AH1653" s="405"/>
      <c r="AI1653" s="414" t="s">
        <v>1937</v>
      </c>
      <c r="AJ1653" s="405" t="s">
        <v>1598</v>
      </c>
      <c r="AK1653" s="425" t="s">
        <v>1599</v>
      </c>
      <c r="AL1653" s="405">
        <v>97702</v>
      </c>
      <c r="AM1653" s="405" t="s">
        <v>52</v>
      </c>
      <c r="AN1653" s="405"/>
      <c r="AO1653" s="405"/>
      <c r="AP1653" s="417"/>
      <c r="AQ1653" s="417" t="s">
        <v>37</v>
      </c>
      <c r="AR1653" s="417"/>
      <c r="AS1653" s="426"/>
      <c r="AT1653" s="426"/>
      <c r="AU1653" s="409">
        <v>0.55000000000000004</v>
      </c>
      <c r="AV1653" s="402">
        <f>U1653</f>
        <v>0</v>
      </c>
      <c r="AW1653" s="402" cm="1">
        <f t="array" ref="AW1653">SUM(MID(0&amp;AV1653,LARGE(INDEX(ISNUMBER(--MID(AV1653,ROW($1:$8),1))*ROW($1:$8),),ROW($1:$8))+1,1)*10^ROW($1:$8)/10)</f>
        <v>0</v>
      </c>
      <c r="AX1653" s="402" t="e">
        <f>VLOOKUP($AW1653,'Item Master Data'!$A:$F,3,FALSE)</f>
        <v>#N/A</v>
      </c>
      <c r="AY1653" s="402" t="e">
        <f>VLOOKUP($AW1653,'Item Master Data'!$A:$F,6,FALSE)</f>
        <v>#N/A</v>
      </c>
      <c r="AZ1653" s="402" t="e">
        <f>X1653/BA1653</f>
        <v>#N/A</v>
      </c>
      <c r="BA1653" s="402" t="e">
        <f>VLOOKUP(AW1653,'Item Master Data'!$A:$G,7,FALSE)</f>
        <v>#N/A</v>
      </c>
      <c r="BC1653" s="402" t="e">
        <f>W1653-AY1653</f>
        <v>#N/A</v>
      </c>
    </row>
    <row r="1654" spans="1:55" s="402" customFormat="1">
      <c r="A1654" s="403"/>
      <c r="B1654" s="446">
        <v>44628</v>
      </c>
      <c r="C1654" s="446">
        <v>44629</v>
      </c>
      <c r="D1654" s="416" t="s">
        <v>2480</v>
      </c>
      <c r="E1654" s="405" t="s">
        <v>1239</v>
      </c>
      <c r="F1654" s="405"/>
      <c r="G1654" s="405">
        <v>2022</v>
      </c>
      <c r="H1654" s="405">
        <v>6</v>
      </c>
      <c r="I1654" s="405" t="s">
        <v>1498</v>
      </c>
      <c r="J1654" s="406"/>
      <c r="K1654" s="414" t="s">
        <v>2750</v>
      </c>
      <c r="L1654" s="405" t="s">
        <v>2481</v>
      </c>
      <c r="M1654" s="418">
        <v>44564</v>
      </c>
      <c r="N1654" s="418">
        <v>44717</v>
      </c>
      <c r="O1654" s="418"/>
      <c r="P1654" s="406"/>
      <c r="Q1654" s="406"/>
      <c r="R1654" s="406"/>
      <c r="S1654" s="405" t="s">
        <v>1940</v>
      </c>
      <c r="T1654" s="405">
        <v>60</v>
      </c>
      <c r="U1654" s="405"/>
      <c r="V1654" s="405" t="s">
        <v>973</v>
      </c>
      <c r="W1654" s="405">
        <v>400</v>
      </c>
      <c r="X1654" s="407">
        <v>726</v>
      </c>
      <c r="Y1654" s="408">
        <f t="shared" si="354"/>
        <v>290400</v>
      </c>
      <c r="Z1654" s="409">
        <v>0.55000000000000004</v>
      </c>
      <c r="AA1654" s="410">
        <f t="shared" si="355"/>
        <v>159720</v>
      </c>
      <c r="AB1654" s="411"/>
      <c r="AC1654" s="412">
        <f t="shared" si="356"/>
        <v>0</v>
      </c>
      <c r="AD1654" s="421"/>
      <c r="AE1654" s="413"/>
      <c r="AF1654" s="424">
        <f t="shared" si="357"/>
        <v>159720</v>
      </c>
      <c r="AG1654" s="405" t="s">
        <v>1069</v>
      </c>
      <c r="AH1654" s="405"/>
      <c r="AI1654" s="414" t="s">
        <v>1937</v>
      </c>
      <c r="AJ1654" s="405" t="s">
        <v>2751</v>
      </c>
      <c r="AK1654" s="425" t="s">
        <v>2745</v>
      </c>
      <c r="AL1654" s="405">
        <v>63132</v>
      </c>
      <c r="AM1654" s="405" t="s">
        <v>52</v>
      </c>
      <c r="AN1654" s="405"/>
      <c r="AO1654" s="405"/>
      <c r="AP1654" s="417"/>
      <c r="AQ1654" s="417" t="s">
        <v>37</v>
      </c>
      <c r="AR1654" s="417"/>
      <c r="AS1654" s="426"/>
      <c r="AT1654" s="426"/>
      <c r="AU1654" s="409">
        <v>0.55000000000000004</v>
      </c>
    </row>
    <row r="1655" spans="1:55" s="402" customFormat="1">
      <c r="A1655" s="403"/>
      <c r="B1655" s="446">
        <v>44692</v>
      </c>
      <c r="C1655" s="446">
        <v>44629</v>
      </c>
      <c r="D1655" s="416" t="s">
        <v>2480</v>
      </c>
      <c r="E1655" s="405" t="s">
        <v>2754</v>
      </c>
      <c r="F1655" s="405"/>
      <c r="G1655" s="405">
        <v>2022</v>
      </c>
      <c r="H1655" s="405">
        <v>6</v>
      </c>
      <c r="I1655" s="405" t="s">
        <v>1498</v>
      </c>
      <c r="J1655" s="406"/>
      <c r="K1655" s="414" t="s">
        <v>2755</v>
      </c>
      <c r="L1655" s="405" t="s">
        <v>1926</v>
      </c>
      <c r="M1655" s="418">
        <v>44547</v>
      </c>
      <c r="N1655" s="418">
        <v>44547</v>
      </c>
      <c r="O1655" s="418"/>
      <c r="P1655" s="406"/>
      <c r="Q1655" s="406"/>
      <c r="R1655" s="406"/>
      <c r="S1655" s="405" t="s">
        <v>1940</v>
      </c>
      <c r="T1655" s="405">
        <v>60</v>
      </c>
      <c r="U1655" s="405"/>
      <c r="V1655" s="405" t="s">
        <v>4235</v>
      </c>
      <c r="W1655" s="405">
        <v>400</v>
      </c>
      <c r="X1655" s="407">
        <v>2496</v>
      </c>
      <c r="Y1655" s="408">
        <f t="shared" si="354"/>
        <v>998400</v>
      </c>
      <c r="Z1655" s="409">
        <v>0.55000000000000004</v>
      </c>
      <c r="AA1655" s="410">
        <f t="shared" si="355"/>
        <v>549120</v>
      </c>
      <c r="AB1655" s="411"/>
      <c r="AC1655" s="412">
        <f t="shared" si="356"/>
        <v>0</v>
      </c>
      <c r="AD1655" s="421"/>
      <c r="AE1655" s="413"/>
      <c r="AF1655" s="424">
        <f t="shared" si="357"/>
        <v>549120</v>
      </c>
      <c r="AG1655" s="405" t="s">
        <v>1069</v>
      </c>
      <c r="AH1655" s="405"/>
      <c r="AI1655" s="414" t="s">
        <v>1962</v>
      </c>
      <c r="AJ1655" s="405" t="s">
        <v>1454</v>
      </c>
      <c r="AK1655" s="425" t="s">
        <v>1136</v>
      </c>
      <c r="AL1655" s="405">
        <v>78744</v>
      </c>
      <c r="AM1655" s="405" t="s">
        <v>52</v>
      </c>
      <c r="AN1655" s="405"/>
      <c r="AO1655" s="405"/>
      <c r="AP1655" s="417"/>
      <c r="AQ1655" s="417" t="s">
        <v>37</v>
      </c>
      <c r="AR1655" s="417"/>
      <c r="AS1655" s="426"/>
      <c r="AT1655" s="426"/>
      <c r="AU1655" s="409">
        <v>0.5</v>
      </c>
      <c r="AV1655" s="402">
        <f>U1655</f>
        <v>0</v>
      </c>
      <c r="AW1655" s="402" cm="1">
        <f t="array" ref="AW1655">SUM(MID(0&amp;AV1655,LARGE(INDEX(ISNUMBER(--MID(AV1655,ROW($1:$8),1))*ROW($1:$8),),ROW($1:$8))+1,1)*10^ROW($1:$8)/10)</f>
        <v>0</v>
      </c>
      <c r="AX1655" s="402" t="e">
        <f>VLOOKUP($AW1655,'Item Master Data'!$A:$F,3,FALSE)</f>
        <v>#N/A</v>
      </c>
      <c r="AY1655" s="402" t="e">
        <f>VLOOKUP($AW1655,'Item Master Data'!$A:$F,6,FALSE)</f>
        <v>#N/A</v>
      </c>
      <c r="AZ1655" s="402" t="e">
        <f>X1655/BA1655</f>
        <v>#N/A</v>
      </c>
      <c r="BA1655" s="402" t="e">
        <f>VLOOKUP(AW1655,'Item Master Data'!$A:$G,7,FALSE)</f>
        <v>#N/A</v>
      </c>
      <c r="BC1655" s="402" t="e">
        <f>W1655-AY1655</f>
        <v>#N/A</v>
      </c>
    </row>
    <row r="1656" spans="1:55" s="402" customFormat="1">
      <c r="A1656" s="403"/>
      <c r="B1656" s="446">
        <v>44692</v>
      </c>
      <c r="C1656" s="446">
        <v>44692</v>
      </c>
      <c r="D1656" s="416" t="s">
        <v>2480</v>
      </c>
      <c r="E1656" s="405" t="s">
        <v>2754</v>
      </c>
      <c r="F1656" s="405"/>
      <c r="G1656" s="405">
        <v>2022</v>
      </c>
      <c r="H1656" s="405">
        <v>6</v>
      </c>
      <c r="I1656" s="405" t="s">
        <v>1498</v>
      </c>
      <c r="J1656" s="406"/>
      <c r="K1656" s="414" t="s">
        <v>4604</v>
      </c>
      <c r="L1656" s="405" t="s">
        <v>1926</v>
      </c>
      <c r="M1656" s="418">
        <v>44547</v>
      </c>
      <c r="N1656" s="418">
        <v>44547</v>
      </c>
      <c r="O1656" s="418"/>
      <c r="P1656" s="406"/>
      <c r="Q1656" s="406"/>
      <c r="R1656" s="406"/>
      <c r="S1656" s="405" t="s">
        <v>1940</v>
      </c>
      <c r="T1656" s="405">
        <v>60</v>
      </c>
      <c r="U1656" s="405"/>
      <c r="V1656" s="405" t="s">
        <v>986</v>
      </c>
      <c r="W1656" s="405">
        <v>360</v>
      </c>
      <c r="X1656" s="407">
        <v>832</v>
      </c>
      <c r="Y1656" s="408">
        <f t="shared" si="354"/>
        <v>299520</v>
      </c>
      <c r="Z1656" s="409">
        <v>0.53</v>
      </c>
      <c r="AA1656" s="410">
        <f t="shared" si="355"/>
        <v>158745.60000000001</v>
      </c>
      <c r="AB1656" s="411"/>
      <c r="AC1656" s="412">
        <f t="shared" si="356"/>
        <v>0</v>
      </c>
      <c r="AD1656" s="421"/>
      <c r="AE1656" s="413"/>
      <c r="AF1656" s="424">
        <f t="shared" si="357"/>
        <v>158745.60000000001</v>
      </c>
      <c r="AG1656" s="405" t="s">
        <v>1069</v>
      </c>
      <c r="AH1656" s="405"/>
      <c r="AI1656" s="414" t="s">
        <v>1962</v>
      </c>
      <c r="AJ1656" s="405" t="s">
        <v>1454</v>
      </c>
      <c r="AK1656" s="425" t="s">
        <v>1136</v>
      </c>
      <c r="AL1656" s="405">
        <v>78744</v>
      </c>
      <c r="AM1656" s="405" t="s">
        <v>52</v>
      </c>
      <c r="AN1656" s="405"/>
      <c r="AO1656" s="405"/>
      <c r="AP1656" s="417"/>
      <c r="AQ1656" s="417" t="s">
        <v>37</v>
      </c>
      <c r="AR1656" s="417"/>
      <c r="AS1656" s="426"/>
      <c r="AT1656" s="426"/>
      <c r="AU1656" s="409">
        <v>0.5</v>
      </c>
      <c r="AV1656" s="402">
        <f>U1656</f>
        <v>0</v>
      </c>
      <c r="AW1656" s="402" cm="1">
        <f t="array" ref="AW1656">SUM(MID(0&amp;AV1656,LARGE(INDEX(ISNUMBER(--MID(AV1656,ROW($1:$8),1))*ROW($1:$8),),ROW($1:$8))+1,1)*10^ROW($1:$8)/10)</f>
        <v>0</v>
      </c>
      <c r="AX1656" s="402" t="e">
        <f>VLOOKUP($AW1656,'Item Master Data'!$A:$F,3,FALSE)</f>
        <v>#N/A</v>
      </c>
      <c r="AY1656" s="402" t="e">
        <f>VLOOKUP($AW1656,'Item Master Data'!$A:$F,6,FALSE)</f>
        <v>#N/A</v>
      </c>
      <c r="AZ1656" s="402" t="e">
        <f>X1656/BA1656</f>
        <v>#N/A</v>
      </c>
      <c r="BA1656" s="402" t="e">
        <f>VLOOKUP(AW1656,'Item Master Data'!$A:$G,7,FALSE)</f>
        <v>#N/A</v>
      </c>
      <c r="BC1656" s="402" t="e">
        <f>W1656-AY1656</f>
        <v>#N/A</v>
      </c>
    </row>
    <row r="1657" spans="1:55" s="402" customFormat="1">
      <c r="A1657" s="403"/>
      <c r="B1657" s="446">
        <v>44631</v>
      </c>
      <c r="C1657" s="446">
        <v>44631</v>
      </c>
      <c r="D1657" s="416" t="s">
        <v>2480</v>
      </c>
      <c r="E1657" s="405" t="s">
        <v>2484</v>
      </c>
      <c r="F1657" s="405"/>
      <c r="G1657" s="405">
        <v>2022</v>
      </c>
      <c r="H1657" s="405">
        <v>6</v>
      </c>
      <c r="I1657" s="405"/>
      <c r="J1657" s="406"/>
      <c r="K1657" s="414" t="s">
        <v>2616</v>
      </c>
      <c r="L1657" s="405" t="s">
        <v>2489</v>
      </c>
      <c r="M1657" s="418">
        <v>44504</v>
      </c>
      <c r="N1657" s="418">
        <v>44714</v>
      </c>
      <c r="O1657" s="418" t="s">
        <v>1236</v>
      </c>
      <c r="P1657" s="406"/>
      <c r="Q1657" s="406"/>
      <c r="R1657" s="406"/>
      <c r="S1657" s="405" t="s">
        <v>1940</v>
      </c>
      <c r="T1657" s="405">
        <v>60</v>
      </c>
      <c r="U1657" s="405">
        <v>49401140</v>
      </c>
      <c r="V1657" s="405" t="s">
        <v>973</v>
      </c>
      <c r="W1657" s="405">
        <v>400</v>
      </c>
      <c r="X1657" s="407">
        <v>768</v>
      </c>
      <c r="Y1657" s="408">
        <f t="shared" si="354"/>
        <v>307200</v>
      </c>
      <c r="Z1657" s="409">
        <v>0.55000000000000004</v>
      </c>
      <c r="AA1657" s="410">
        <f t="shared" si="355"/>
        <v>168960</v>
      </c>
      <c r="AB1657" s="411"/>
      <c r="AC1657" s="412">
        <f t="shared" si="356"/>
        <v>0</v>
      </c>
      <c r="AD1657" s="421"/>
      <c r="AE1657" s="413"/>
      <c r="AF1657" s="424">
        <f t="shared" si="357"/>
        <v>168960</v>
      </c>
      <c r="AG1657" s="405" t="s">
        <v>1069</v>
      </c>
      <c r="AH1657" s="405"/>
      <c r="AI1657" s="414" t="s">
        <v>1962</v>
      </c>
      <c r="AJ1657" s="405" t="s">
        <v>2490</v>
      </c>
      <c r="AK1657" s="425" t="s">
        <v>1136</v>
      </c>
      <c r="AL1657" s="405">
        <v>79936</v>
      </c>
      <c r="AM1657" s="405" t="s">
        <v>52</v>
      </c>
      <c r="AN1657" s="405"/>
      <c r="AO1657" s="405"/>
      <c r="AP1657" s="417"/>
      <c r="AQ1657" s="417" t="s">
        <v>37</v>
      </c>
      <c r="AR1657" s="417" t="s">
        <v>2491</v>
      </c>
      <c r="AS1657" s="426"/>
      <c r="AT1657" s="426"/>
      <c r="AU1657" s="409">
        <v>0.49</v>
      </c>
    </row>
    <row r="1658" spans="1:55" s="402" customFormat="1">
      <c r="A1658" s="403"/>
      <c r="B1658" s="446"/>
      <c r="C1658" s="446"/>
      <c r="D1658" s="416" t="s">
        <v>2480</v>
      </c>
      <c r="E1658" s="405"/>
      <c r="F1658" s="405"/>
      <c r="G1658" s="405">
        <v>2022</v>
      </c>
      <c r="H1658" s="405">
        <v>6</v>
      </c>
      <c r="I1658" s="405"/>
      <c r="J1658" s="406"/>
      <c r="K1658" s="414" t="s">
        <v>2617</v>
      </c>
      <c r="L1658" s="405" t="s">
        <v>2489</v>
      </c>
      <c r="M1658" s="418">
        <v>44522</v>
      </c>
      <c r="N1658" s="418">
        <v>44654</v>
      </c>
      <c r="O1658" s="418"/>
      <c r="P1658" s="406"/>
      <c r="Q1658" s="406"/>
      <c r="R1658" s="406"/>
      <c r="S1658" s="405" t="s">
        <v>1940</v>
      </c>
      <c r="T1658" s="405">
        <v>60</v>
      </c>
      <c r="U1658" s="405">
        <v>49401140</v>
      </c>
      <c r="V1658" s="405" t="s">
        <v>973</v>
      </c>
      <c r="W1658" s="405">
        <v>400</v>
      </c>
      <c r="X1658" s="407">
        <v>2304</v>
      </c>
      <c r="Y1658" s="408">
        <f t="shared" si="354"/>
        <v>921600</v>
      </c>
      <c r="Z1658" s="409">
        <v>0.52</v>
      </c>
      <c r="AA1658" s="410">
        <f t="shared" si="355"/>
        <v>479232</v>
      </c>
      <c r="AB1658" s="411"/>
      <c r="AC1658" s="412">
        <f t="shared" si="356"/>
        <v>0</v>
      </c>
      <c r="AD1658" s="421"/>
      <c r="AE1658" s="413"/>
      <c r="AF1658" s="424">
        <f t="shared" si="357"/>
        <v>479232</v>
      </c>
      <c r="AG1658" s="405" t="s">
        <v>1069</v>
      </c>
      <c r="AH1658" s="405"/>
      <c r="AI1658" s="414" t="s">
        <v>1962</v>
      </c>
      <c r="AJ1658" s="405" t="s">
        <v>2490</v>
      </c>
      <c r="AK1658" s="425" t="s">
        <v>1136</v>
      </c>
      <c r="AL1658" s="405">
        <v>79936</v>
      </c>
      <c r="AM1658" s="405" t="s">
        <v>52</v>
      </c>
      <c r="AN1658" s="405"/>
      <c r="AO1658" s="405"/>
      <c r="AP1658" s="417"/>
      <c r="AQ1658" s="417" t="s">
        <v>37</v>
      </c>
      <c r="AR1658" s="417"/>
      <c r="AS1658" s="426"/>
      <c r="AT1658" s="426"/>
      <c r="AU1658" s="409"/>
      <c r="AV1658" s="402">
        <f>U1658</f>
        <v>49401140</v>
      </c>
      <c r="AW1658" s="402" cm="1">
        <f t="array" ref="AW1658">SUM(MID(0&amp;AV1658,LARGE(INDEX(ISNUMBER(--MID(AV1658,ROW($1:$8),1))*ROW($1:$8),),ROW($1:$8))+1,1)*10^ROW($1:$8)/10)</f>
        <v>49401140</v>
      </c>
      <c r="AX1658" s="402" t="str">
        <f>VLOOKUP($AW1658,'Item Master Data'!$A:$F,3,FALSE)</f>
        <v>Q.PEAK DUO BLK ML G10.a+</v>
      </c>
      <c r="AY1658" s="402">
        <f>VLOOKUP($AW1658,'Item Master Data'!$A:$F,6,FALSE)</f>
        <v>400</v>
      </c>
      <c r="AZ1658" s="402">
        <f>X1658/BA1658</f>
        <v>72</v>
      </c>
      <c r="BA1658" s="402">
        <f>VLOOKUP(AW1658,'Item Master Data'!$A:$G,7,FALSE)</f>
        <v>32</v>
      </c>
      <c r="BC1658" s="402">
        <f>W1658-AY1658</f>
        <v>0</v>
      </c>
    </row>
    <row r="1659" spans="1:55" s="402" customFormat="1">
      <c r="A1659" s="403"/>
      <c r="B1659" s="446">
        <v>44628</v>
      </c>
      <c r="C1659" s="446">
        <v>44628</v>
      </c>
      <c r="D1659" s="416" t="s">
        <v>2480</v>
      </c>
      <c r="E1659" s="405" t="s">
        <v>2484</v>
      </c>
      <c r="F1659" s="405"/>
      <c r="G1659" s="405">
        <v>2022</v>
      </c>
      <c r="H1659" s="405">
        <v>6</v>
      </c>
      <c r="I1659" s="405"/>
      <c r="J1659" s="406"/>
      <c r="K1659" s="414" t="s">
        <v>2618</v>
      </c>
      <c r="L1659" s="405" t="s">
        <v>1931</v>
      </c>
      <c r="M1659" s="418">
        <v>44491</v>
      </c>
      <c r="N1659" s="418">
        <v>44656</v>
      </c>
      <c r="O1659" s="418" t="s">
        <v>1932</v>
      </c>
      <c r="P1659" s="406"/>
      <c r="Q1659" s="406"/>
      <c r="R1659" s="406"/>
      <c r="S1659" s="405" t="s">
        <v>1940</v>
      </c>
      <c r="T1659" s="405">
        <v>60</v>
      </c>
      <c r="U1659" s="405">
        <v>49401140</v>
      </c>
      <c r="V1659" s="405" t="s">
        <v>973</v>
      </c>
      <c r="W1659" s="405">
        <v>400</v>
      </c>
      <c r="X1659" s="407">
        <v>832</v>
      </c>
      <c r="Y1659" s="408">
        <f t="shared" si="354"/>
        <v>332800</v>
      </c>
      <c r="Z1659" s="409">
        <v>0.55000000000000004</v>
      </c>
      <c r="AA1659" s="410">
        <f t="shared" si="355"/>
        <v>183040.00000000003</v>
      </c>
      <c r="AB1659" s="411"/>
      <c r="AC1659" s="412">
        <f t="shared" si="356"/>
        <v>0</v>
      </c>
      <c r="AD1659" s="421"/>
      <c r="AE1659" s="413"/>
      <c r="AF1659" s="424">
        <f t="shared" si="357"/>
        <v>183040.00000000003</v>
      </c>
      <c r="AG1659" s="405" t="s">
        <v>1069</v>
      </c>
      <c r="AH1659" s="405"/>
      <c r="AI1659" s="414" t="s">
        <v>1962</v>
      </c>
      <c r="AJ1659" s="405" t="s">
        <v>1933</v>
      </c>
      <c r="AK1659" s="425" t="s">
        <v>1328</v>
      </c>
      <c r="AL1659" s="405">
        <v>89118</v>
      </c>
      <c r="AM1659" s="405" t="s">
        <v>52</v>
      </c>
      <c r="AN1659" s="405"/>
      <c r="AO1659" s="405"/>
      <c r="AP1659" s="417"/>
      <c r="AQ1659" s="417" t="s">
        <v>37</v>
      </c>
      <c r="AR1659" s="417" t="s">
        <v>1499</v>
      </c>
      <c r="AS1659" s="426"/>
      <c r="AT1659" s="426"/>
      <c r="AU1659" s="409">
        <v>0.45500000000000002</v>
      </c>
    </row>
    <row r="1660" spans="1:55" s="402" customFormat="1">
      <c r="A1660" s="403"/>
      <c r="B1660" s="446"/>
      <c r="C1660" s="446"/>
      <c r="D1660" s="416" t="s">
        <v>2480</v>
      </c>
      <c r="E1660" s="405" t="s">
        <v>2484</v>
      </c>
      <c r="F1660" s="405"/>
      <c r="G1660" s="405">
        <v>2022</v>
      </c>
      <c r="H1660" s="405">
        <v>6</v>
      </c>
      <c r="I1660" s="405"/>
      <c r="J1660" s="406"/>
      <c r="K1660" s="414" t="s">
        <v>2741</v>
      </c>
      <c r="L1660" s="405" t="s">
        <v>1931</v>
      </c>
      <c r="M1660" s="418">
        <v>44504</v>
      </c>
      <c r="N1660" s="418">
        <v>44599</v>
      </c>
      <c r="O1660" s="418"/>
      <c r="P1660" s="406"/>
      <c r="Q1660" s="406"/>
      <c r="R1660" s="406"/>
      <c r="S1660" s="405" t="s">
        <v>1940</v>
      </c>
      <c r="T1660" s="405">
        <v>60</v>
      </c>
      <c r="U1660" s="405">
        <v>49401140</v>
      </c>
      <c r="V1660" s="405" t="s">
        <v>973</v>
      </c>
      <c r="W1660" s="405">
        <v>400</v>
      </c>
      <c r="X1660" s="407">
        <v>832</v>
      </c>
      <c r="Y1660" s="408">
        <f t="shared" si="354"/>
        <v>332800</v>
      </c>
      <c r="Z1660" s="409">
        <v>0.55000000000000004</v>
      </c>
      <c r="AA1660" s="410">
        <f t="shared" si="355"/>
        <v>183040.00000000003</v>
      </c>
      <c r="AB1660" s="411"/>
      <c r="AC1660" s="412">
        <f t="shared" si="356"/>
        <v>0</v>
      </c>
      <c r="AD1660" s="421"/>
      <c r="AE1660" s="413"/>
      <c r="AF1660" s="424">
        <f t="shared" si="357"/>
        <v>183040.00000000003</v>
      </c>
      <c r="AG1660" s="405" t="s">
        <v>1069</v>
      </c>
      <c r="AH1660" s="405"/>
      <c r="AI1660" s="414">
        <v>60</v>
      </c>
      <c r="AJ1660" s="405" t="s">
        <v>1933</v>
      </c>
      <c r="AK1660" s="425" t="s">
        <v>1328</v>
      </c>
      <c r="AL1660" s="405">
        <v>89118</v>
      </c>
      <c r="AM1660" s="405" t="s">
        <v>52</v>
      </c>
      <c r="AN1660" s="405"/>
      <c r="AO1660" s="405"/>
      <c r="AP1660" s="417"/>
      <c r="AQ1660" s="417"/>
      <c r="AR1660" s="417" t="s">
        <v>2531</v>
      </c>
      <c r="AS1660" s="426"/>
      <c r="AT1660" s="426"/>
      <c r="AU1660" s="409">
        <v>0.52</v>
      </c>
    </row>
    <row r="1661" spans="1:55" s="402" customFormat="1">
      <c r="A1661" s="403"/>
      <c r="B1661" s="446"/>
      <c r="C1661" s="446"/>
      <c r="D1661" s="416" t="s">
        <v>2480</v>
      </c>
      <c r="E1661" s="405" t="s">
        <v>2484</v>
      </c>
      <c r="F1661" s="405"/>
      <c r="G1661" s="405">
        <v>2022</v>
      </c>
      <c r="H1661" s="405">
        <v>6</v>
      </c>
      <c r="I1661" s="405"/>
      <c r="J1661" s="406"/>
      <c r="K1661" s="414" t="s">
        <v>2742</v>
      </c>
      <c r="L1661" s="405" t="s">
        <v>1931</v>
      </c>
      <c r="M1661" s="418">
        <v>44504</v>
      </c>
      <c r="N1661" s="418">
        <v>44627</v>
      </c>
      <c r="O1661" s="418"/>
      <c r="P1661" s="406"/>
      <c r="Q1661" s="406"/>
      <c r="R1661" s="406"/>
      <c r="S1661" s="405" t="s">
        <v>1940</v>
      </c>
      <c r="T1661" s="405">
        <v>60</v>
      </c>
      <c r="U1661" s="405">
        <v>49401140</v>
      </c>
      <c r="V1661" s="405" t="s">
        <v>973</v>
      </c>
      <c r="W1661" s="405">
        <v>400</v>
      </c>
      <c r="X1661" s="407">
        <v>832</v>
      </c>
      <c r="Y1661" s="408">
        <f t="shared" si="354"/>
        <v>332800</v>
      </c>
      <c r="Z1661" s="409">
        <v>0.55000000000000004</v>
      </c>
      <c r="AA1661" s="410">
        <f t="shared" si="355"/>
        <v>183040.00000000003</v>
      </c>
      <c r="AB1661" s="411"/>
      <c r="AC1661" s="412">
        <f t="shared" si="356"/>
        <v>0</v>
      </c>
      <c r="AD1661" s="421"/>
      <c r="AE1661" s="413"/>
      <c r="AF1661" s="424">
        <f t="shared" si="357"/>
        <v>183040.00000000003</v>
      </c>
      <c r="AG1661" s="405" t="s">
        <v>1069</v>
      </c>
      <c r="AH1661" s="405"/>
      <c r="AI1661" s="414">
        <v>60</v>
      </c>
      <c r="AJ1661" s="405" t="s">
        <v>1933</v>
      </c>
      <c r="AK1661" s="425" t="s">
        <v>1328</v>
      </c>
      <c r="AL1661" s="405">
        <v>89118</v>
      </c>
      <c r="AM1661" s="405" t="s">
        <v>52</v>
      </c>
      <c r="AN1661" s="405"/>
      <c r="AO1661" s="405"/>
      <c r="AP1661" s="417"/>
      <c r="AQ1661" s="417"/>
      <c r="AR1661" s="417" t="s">
        <v>2531</v>
      </c>
      <c r="AS1661" s="426"/>
      <c r="AT1661" s="426"/>
      <c r="AU1661" s="409">
        <v>0.52</v>
      </c>
    </row>
    <row r="1662" spans="1:55" s="402" customFormat="1">
      <c r="A1662" s="403"/>
      <c r="B1662" s="446">
        <v>44620</v>
      </c>
      <c r="C1662" s="446">
        <v>44617</v>
      </c>
      <c r="D1662" s="416" t="s">
        <v>2480</v>
      </c>
      <c r="E1662" s="405" t="s">
        <v>2484</v>
      </c>
      <c r="F1662" s="405"/>
      <c r="G1662" s="405">
        <v>2022</v>
      </c>
      <c r="H1662" s="405">
        <v>6</v>
      </c>
      <c r="I1662" s="405"/>
      <c r="J1662" s="406"/>
      <c r="K1662" s="414" t="s">
        <v>4606</v>
      </c>
      <c r="L1662" s="405" t="s">
        <v>2532</v>
      </c>
      <c r="M1662" s="418">
        <v>44503</v>
      </c>
      <c r="N1662" s="418">
        <v>44595</v>
      </c>
      <c r="O1662" s="418" t="s">
        <v>1236</v>
      </c>
      <c r="P1662" s="406"/>
      <c r="Q1662" s="406"/>
      <c r="R1662" s="406"/>
      <c r="S1662" s="405" t="s">
        <v>1940</v>
      </c>
      <c r="T1662" s="405">
        <v>60</v>
      </c>
      <c r="U1662" s="405">
        <v>49403140</v>
      </c>
      <c r="V1662" s="405" t="s">
        <v>973</v>
      </c>
      <c r="W1662" s="405">
        <v>400</v>
      </c>
      <c r="X1662" s="407">
        <v>1536</v>
      </c>
      <c r="Y1662" s="422">
        <f t="shared" si="354"/>
        <v>614400</v>
      </c>
      <c r="Z1662" s="409">
        <v>0.55000000000000004</v>
      </c>
      <c r="AA1662" s="410">
        <f t="shared" si="355"/>
        <v>337920</v>
      </c>
      <c r="AB1662" s="411"/>
      <c r="AC1662" s="412">
        <f t="shared" si="356"/>
        <v>0</v>
      </c>
      <c r="AD1662" s="421"/>
      <c r="AE1662" s="413"/>
      <c r="AF1662" s="424">
        <f t="shared" si="357"/>
        <v>337920</v>
      </c>
      <c r="AG1662" s="405" t="s">
        <v>1069</v>
      </c>
      <c r="AH1662" s="405"/>
      <c r="AI1662" s="414" t="s">
        <v>1962</v>
      </c>
      <c r="AJ1662" s="405" t="s">
        <v>2533</v>
      </c>
      <c r="AK1662" s="425" t="s">
        <v>1136</v>
      </c>
      <c r="AL1662" s="405">
        <v>79423</v>
      </c>
      <c r="AM1662" s="405" t="s">
        <v>52</v>
      </c>
      <c r="AN1662" s="405" t="s">
        <v>1071</v>
      </c>
      <c r="AO1662" s="405"/>
      <c r="AP1662" s="417"/>
      <c r="AQ1662" s="417" t="s">
        <v>37</v>
      </c>
      <c r="AR1662" s="417" t="s">
        <v>1499</v>
      </c>
      <c r="AS1662" s="426"/>
      <c r="AT1662" s="426"/>
      <c r="AU1662" s="409">
        <v>0.45500000000000002</v>
      </c>
      <c r="AV1662" s="402">
        <f>U1662</f>
        <v>49403140</v>
      </c>
      <c r="AW1662" s="402" cm="1">
        <f t="array" ref="AW1662">SUM(MID(0&amp;AV1662,LARGE(INDEX(ISNUMBER(--MID(AV1662,ROW($1:$8),1))*ROW($1:$8),),ROW($1:$8))+1,1)*10^ROW($1:$8)/10)</f>
        <v>49403140</v>
      </c>
      <c r="AX1662" s="402" t="str">
        <f>VLOOKUP($AW1662,'Item Master Data'!$A:$F,3,FALSE)</f>
        <v>Q.PEAK DUO BLK ML G10+</v>
      </c>
      <c r="AY1662" s="402">
        <f>VLOOKUP($AW1662,'Item Master Data'!$A:$F,6,FALSE)</f>
        <v>400</v>
      </c>
      <c r="AZ1662" s="402">
        <f>X1662/BA1662</f>
        <v>48</v>
      </c>
      <c r="BA1662" s="402">
        <f>VLOOKUP(AW1662,'Item Master Data'!$A:$G,7,FALSE)</f>
        <v>32</v>
      </c>
      <c r="BC1662" s="402">
        <f>W1662-AY1662</f>
        <v>0</v>
      </c>
    </row>
    <row r="1663" spans="1:55" s="402" customFormat="1">
      <c r="A1663" s="403"/>
      <c r="B1663" s="445">
        <v>44201</v>
      </c>
      <c r="C1663" s="446">
        <v>44629</v>
      </c>
      <c r="D1663" s="416" t="s">
        <v>2480</v>
      </c>
      <c r="E1663" s="405" t="s">
        <v>2484</v>
      </c>
      <c r="F1663" s="405"/>
      <c r="G1663" s="405">
        <v>2022</v>
      </c>
      <c r="H1663" s="405">
        <v>6</v>
      </c>
      <c r="I1663" s="405" t="s">
        <v>1498</v>
      </c>
      <c r="J1663" s="406"/>
      <c r="K1663" s="414" t="s">
        <v>2619</v>
      </c>
      <c r="L1663" s="405" t="s">
        <v>2527</v>
      </c>
      <c r="M1663" s="418">
        <v>44558</v>
      </c>
      <c r="N1663" s="418">
        <v>44558</v>
      </c>
      <c r="O1663" s="418"/>
      <c r="P1663" s="406"/>
      <c r="Q1663" s="406"/>
      <c r="R1663" s="406"/>
      <c r="S1663" s="405" t="s">
        <v>1940</v>
      </c>
      <c r="T1663" s="405">
        <v>60</v>
      </c>
      <c r="U1663" s="405"/>
      <c r="V1663" s="405" t="s">
        <v>2620</v>
      </c>
      <c r="W1663" s="405">
        <v>400</v>
      </c>
      <c r="X1663" s="407">
        <v>1536</v>
      </c>
      <c r="Y1663" s="422">
        <f t="shared" si="354"/>
        <v>614400</v>
      </c>
      <c r="Z1663" s="409">
        <v>0.5</v>
      </c>
      <c r="AA1663" s="423">
        <f t="shared" si="355"/>
        <v>307200</v>
      </c>
      <c r="AB1663" s="411"/>
      <c r="AC1663" s="412">
        <f t="shared" si="356"/>
        <v>0</v>
      </c>
      <c r="AD1663" s="421"/>
      <c r="AE1663" s="413"/>
      <c r="AF1663" s="424">
        <f t="shared" si="357"/>
        <v>307200</v>
      </c>
      <c r="AG1663" s="405" t="s">
        <v>1069</v>
      </c>
      <c r="AH1663" s="405"/>
      <c r="AI1663" s="414" t="s">
        <v>1962</v>
      </c>
      <c r="AJ1663" s="405" t="s">
        <v>1941</v>
      </c>
      <c r="AK1663" s="425" t="s">
        <v>1942</v>
      </c>
      <c r="AL1663" s="405">
        <v>87107</v>
      </c>
      <c r="AM1663" s="405" t="s">
        <v>52</v>
      </c>
      <c r="AN1663" s="405"/>
      <c r="AO1663" s="405"/>
      <c r="AP1663" s="417"/>
      <c r="AQ1663" s="417" t="s">
        <v>37</v>
      </c>
      <c r="AR1663" s="417" t="s">
        <v>2621</v>
      </c>
      <c r="AS1663" s="426"/>
      <c r="AT1663" s="426"/>
      <c r="AU1663" s="409">
        <v>0.5</v>
      </c>
    </row>
    <row r="1664" spans="1:55" s="402" customFormat="1">
      <c r="A1664" s="403"/>
      <c r="B1664" s="445">
        <v>44201</v>
      </c>
      <c r="C1664" s="446">
        <v>44629</v>
      </c>
      <c r="D1664" s="416" t="s">
        <v>2480</v>
      </c>
      <c r="E1664" s="405" t="s">
        <v>2484</v>
      </c>
      <c r="F1664" s="405"/>
      <c r="G1664" s="405">
        <v>2022</v>
      </c>
      <c r="H1664" s="405">
        <v>6</v>
      </c>
      <c r="I1664" s="405" t="s">
        <v>1498</v>
      </c>
      <c r="J1664" s="406"/>
      <c r="K1664" s="414" t="s">
        <v>2619</v>
      </c>
      <c r="L1664" s="405" t="s">
        <v>2527</v>
      </c>
      <c r="M1664" s="418">
        <v>44558</v>
      </c>
      <c r="N1664" s="418">
        <v>44558</v>
      </c>
      <c r="O1664" s="418"/>
      <c r="P1664" s="519"/>
      <c r="Q1664" s="406"/>
      <c r="R1664" s="406"/>
      <c r="S1664" s="405" t="s">
        <v>1940</v>
      </c>
      <c r="T1664" s="405">
        <v>60</v>
      </c>
      <c r="U1664" s="405"/>
      <c r="V1664" s="405" t="s">
        <v>2620</v>
      </c>
      <c r="W1664" s="405">
        <v>400</v>
      </c>
      <c r="X1664" s="407">
        <v>1536</v>
      </c>
      <c r="Y1664" s="422">
        <f t="shared" si="354"/>
        <v>614400</v>
      </c>
      <c r="Z1664" s="409">
        <v>0.49</v>
      </c>
      <c r="AA1664" s="423">
        <f t="shared" si="355"/>
        <v>301056</v>
      </c>
      <c r="AB1664" s="411"/>
      <c r="AC1664" s="412">
        <f t="shared" si="356"/>
        <v>0</v>
      </c>
      <c r="AD1664" s="421"/>
      <c r="AE1664" s="413"/>
      <c r="AF1664" s="424">
        <f t="shared" si="357"/>
        <v>301056</v>
      </c>
      <c r="AG1664" s="405" t="s">
        <v>1069</v>
      </c>
      <c r="AH1664" s="405"/>
      <c r="AI1664" s="414" t="s">
        <v>1962</v>
      </c>
      <c r="AJ1664" s="405" t="s">
        <v>1941</v>
      </c>
      <c r="AK1664" s="425" t="s">
        <v>1942</v>
      </c>
      <c r="AL1664" s="405">
        <v>87107</v>
      </c>
      <c r="AM1664" s="405" t="s">
        <v>52</v>
      </c>
      <c r="AN1664" s="405"/>
      <c r="AO1664" s="405"/>
      <c r="AP1664" s="417"/>
      <c r="AQ1664" s="417" t="s">
        <v>37</v>
      </c>
      <c r="AR1664" s="417" t="s">
        <v>1243</v>
      </c>
      <c r="AS1664" s="426"/>
      <c r="AT1664" s="426"/>
      <c r="AU1664" s="409">
        <v>0.49</v>
      </c>
      <c r="AV1664" s="402">
        <f>U1664</f>
        <v>0</v>
      </c>
      <c r="AW1664" s="402" cm="1">
        <f t="array" ref="AW1664">SUM(MID(0&amp;AV1664,LARGE(INDEX(ISNUMBER(--MID(AV1664,ROW($1:$8),1))*ROW($1:$8),),ROW($1:$8))+1,1)*10^ROW($1:$8)/10)</f>
        <v>0</v>
      </c>
      <c r="AX1664" s="402" t="e">
        <f>VLOOKUP($AW1664,'Item Master Data'!$A:$F,3,FALSE)</f>
        <v>#N/A</v>
      </c>
      <c r="AY1664" s="402" t="e">
        <f>VLOOKUP($AW1664,'Item Master Data'!$A:$F,6,FALSE)</f>
        <v>#N/A</v>
      </c>
      <c r="AZ1664" s="402" t="e">
        <f>X1664/BA1664</f>
        <v>#N/A</v>
      </c>
      <c r="BA1664" s="402" t="e">
        <f>VLOOKUP(AW1664,'Item Master Data'!$A:$G,7,FALSE)</f>
        <v>#N/A</v>
      </c>
      <c r="BC1664" s="402" t="e">
        <f>W1664-AY1664</f>
        <v>#N/A</v>
      </c>
    </row>
    <row r="1665" spans="1:55" s="402" customFormat="1">
      <c r="A1665" s="403"/>
      <c r="B1665" s="446"/>
      <c r="C1665" s="446"/>
      <c r="D1665" s="416" t="s">
        <v>2480</v>
      </c>
      <c r="E1665" s="405"/>
      <c r="F1665" s="405"/>
      <c r="G1665" s="405">
        <v>2022</v>
      </c>
      <c r="H1665" s="405">
        <v>6</v>
      </c>
      <c r="I1665" s="405"/>
      <c r="J1665" s="406"/>
      <c r="K1665" s="414" t="s">
        <v>2622</v>
      </c>
      <c r="L1665" s="405" t="s">
        <v>2623</v>
      </c>
      <c r="M1665" s="418">
        <v>44522</v>
      </c>
      <c r="N1665" s="418">
        <v>44522</v>
      </c>
      <c r="O1665" s="418"/>
      <c r="P1665" s="406"/>
      <c r="Q1665" s="406"/>
      <c r="R1665" s="406"/>
      <c r="S1665" s="405" t="s">
        <v>1940</v>
      </c>
      <c r="T1665" s="405">
        <v>60</v>
      </c>
      <c r="U1665" s="405" t="s">
        <v>1102</v>
      </c>
      <c r="V1665" s="405" t="s">
        <v>986</v>
      </c>
      <c r="W1665" s="405">
        <v>360</v>
      </c>
      <c r="X1665" s="407">
        <v>832</v>
      </c>
      <c r="Y1665" s="408">
        <f t="shared" si="354"/>
        <v>299520</v>
      </c>
      <c r="Z1665" s="409">
        <v>0.5</v>
      </c>
      <c r="AA1665" s="410">
        <f t="shared" si="355"/>
        <v>149760</v>
      </c>
      <c r="AB1665" s="411"/>
      <c r="AC1665" s="412">
        <f t="shared" si="356"/>
        <v>0</v>
      </c>
      <c r="AD1665" s="421"/>
      <c r="AE1665" s="413"/>
      <c r="AF1665" s="424">
        <f t="shared" si="357"/>
        <v>149760</v>
      </c>
      <c r="AG1665" s="405" t="s">
        <v>1069</v>
      </c>
      <c r="AH1665" s="405"/>
      <c r="AI1665" s="414" t="s">
        <v>1962</v>
      </c>
      <c r="AJ1665" s="405" t="s">
        <v>2624</v>
      </c>
      <c r="AK1665" s="425" t="s">
        <v>2625</v>
      </c>
      <c r="AL1665" s="405">
        <v>73108</v>
      </c>
      <c r="AM1665" s="405" t="s">
        <v>52</v>
      </c>
      <c r="AN1665" s="405" t="s">
        <v>1102</v>
      </c>
      <c r="AO1665" s="405"/>
      <c r="AP1665" s="417"/>
      <c r="AQ1665" s="417" t="s">
        <v>37</v>
      </c>
      <c r="AR1665" s="417"/>
      <c r="AS1665" s="426"/>
      <c r="AT1665" s="426"/>
      <c r="AU1665" s="409"/>
    </row>
    <row r="1666" spans="1:55" s="402" customFormat="1">
      <c r="A1666" s="403"/>
      <c r="B1666" s="446"/>
      <c r="C1666" s="446"/>
      <c r="D1666" s="416" t="s">
        <v>2480</v>
      </c>
      <c r="E1666" s="405"/>
      <c r="F1666" s="405"/>
      <c r="G1666" s="405">
        <v>2022</v>
      </c>
      <c r="H1666" s="405">
        <v>6</v>
      </c>
      <c r="I1666" s="405" t="s">
        <v>1498</v>
      </c>
      <c r="J1666" s="406"/>
      <c r="K1666" s="414" t="s">
        <v>2626</v>
      </c>
      <c r="L1666" s="405" t="s">
        <v>2623</v>
      </c>
      <c r="M1666" s="418">
        <v>44523</v>
      </c>
      <c r="N1666" s="418">
        <v>44523</v>
      </c>
      <c r="O1666" s="418"/>
      <c r="P1666" s="406"/>
      <c r="Q1666" s="406"/>
      <c r="R1666" s="406"/>
      <c r="S1666" s="405" t="s">
        <v>1940</v>
      </c>
      <c r="T1666" s="405">
        <v>60</v>
      </c>
      <c r="U1666" s="405">
        <v>49401140</v>
      </c>
      <c r="V1666" s="405" t="s">
        <v>985</v>
      </c>
      <c r="W1666" s="405">
        <v>400</v>
      </c>
      <c r="X1666" s="407">
        <v>768</v>
      </c>
      <c r="Y1666" s="408">
        <f t="shared" si="354"/>
        <v>307200</v>
      </c>
      <c r="Z1666" s="409">
        <v>0.51</v>
      </c>
      <c r="AA1666" s="410">
        <f t="shared" si="355"/>
        <v>156672</v>
      </c>
      <c r="AB1666" s="411"/>
      <c r="AC1666" s="412">
        <f t="shared" si="356"/>
        <v>0</v>
      </c>
      <c r="AD1666" s="421"/>
      <c r="AE1666" s="413"/>
      <c r="AF1666" s="424">
        <f t="shared" si="357"/>
        <v>156672</v>
      </c>
      <c r="AG1666" s="405" t="s">
        <v>1069</v>
      </c>
      <c r="AH1666" s="405"/>
      <c r="AI1666" s="414" t="s">
        <v>1962</v>
      </c>
      <c r="AJ1666" s="405" t="s">
        <v>2624</v>
      </c>
      <c r="AK1666" s="425" t="s">
        <v>2625</v>
      </c>
      <c r="AL1666" s="405">
        <v>73108</v>
      </c>
      <c r="AM1666" s="405" t="s">
        <v>52</v>
      </c>
      <c r="AN1666" s="405" t="s">
        <v>50</v>
      </c>
      <c r="AO1666" s="405"/>
      <c r="AP1666" s="417"/>
      <c r="AQ1666" s="417" t="s">
        <v>37</v>
      </c>
      <c r="AR1666" s="417"/>
      <c r="AS1666" s="426"/>
      <c r="AT1666" s="426"/>
      <c r="AU1666" s="409">
        <v>0.51</v>
      </c>
      <c r="AV1666" s="402">
        <f>U1666</f>
        <v>49401140</v>
      </c>
      <c r="AW1666" s="402" cm="1">
        <f t="array" ref="AW1666">SUM(MID(0&amp;AV1666,LARGE(INDEX(ISNUMBER(--MID(AV1666,ROW($1:$8),1))*ROW($1:$8),),ROW($1:$8))+1,1)*10^ROW($1:$8)/10)</f>
        <v>49401140</v>
      </c>
      <c r="AX1666" s="402" t="str">
        <f>VLOOKUP($AW1666,'Item Master Data'!$A:$F,3,FALSE)</f>
        <v>Q.PEAK DUO BLK ML G10.a+</v>
      </c>
      <c r="AY1666" s="402">
        <f>VLOOKUP($AW1666,'Item Master Data'!$A:$F,6,FALSE)</f>
        <v>400</v>
      </c>
      <c r="AZ1666" s="402">
        <f>X1666/BA1666</f>
        <v>24</v>
      </c>
      <c r="BA1666" s="402">
        <f>VLOOKUP(AW1666,'Item Master Data'!$A:$G,7,FALSE)</f>
        <v>32</v>
      </c>
      <c r="BC1666" s="402">
        <f>W1666-AY1666</f>
        <v>0</v>
      </c>
    </row>
    <row r="1667" spans="1:55" s="402" customFormat="1">
      <c r="A1667" s="403"/>
      <c r="B1667" s="446"/>
      <c r="C1667" s="446"/>
      <c r="D1667" s="416" t="s">
        <v>2480</v>
      </c>
      <c r="E1667" s="405"/>
      <c r="F1667" s="405"/>
      <c r="G1667" s="405">
        <v>2022</v>
      </c>
      <c r="H1667" s="405">
        <v>6</v>
      </c>
      <c r="I1667" s="405"/>
      <c r="J1667" s="406"/>
      <c r="K1667" s="414" t="s">
        <v>2627</v>
      </c>
      <c r="L1667" s="405" t="s">
        <v>2628</v>
      </c>
      <c r="M1667" s="418">
        <v>44531</v>
      </c>
      <c r="N1667" s="418">
        <v>44653</v>
      </c>
      <c r="O1667" s="418"/>
      <c r="P1667" s="406"/>
      <c r="Q1667" s="406"/>
      <c r="R1667" s="406"/>
      <c r="S1667" s="405" t="s">
        <v>1940</v>
      </c>
      <c r="T1667" s="405">
        <v>60</v>
      </c>
      <c r="U1667" s="405" t="s">
        <v>1102</v>
      </c>
      <c r="V1667" s="405" t="s">
        <v>986</v>
      </c>
      <c r="W1667" s="405">
        <v>360</v>
      </c>
      <c r="X1667" s="407">
        <v>1664</v>
      </c>
      <c r="Y1667" s="408">
        <f t="shared" si="354"/>
        <v>599040</v>
      </c>
      <c r="Z1667" s="409">
        <v>0.5</v>
      </c>
      <c r="AA1667" s="410">
        <f t="shared" si="355"/>
        <v>299520</v>
      </c>
      <c r="AB1667" s="411"/>
      <c r="AC1667" s="412">
        <f t="shared" si="356"/>
        <v>0</v>
      </c>
      <c r="AD1667" s="421"/>
      <c r="AE1667" s="413"/>
      <c r="AF1667" s="424">
        <f t="shared" si="357"/>
        <v>299520</v>
      </c>
      <c r="AG1667" s="405" t="s">
        <v>1069</v>
      </c>
      <c r="AH1667" s="405"/>
      <c r="AI1667" s="414" t="s">
        <v>1962</v>
      </c>
      <c r="AJ1667" s="405" t="s">
        <v>2629</v>
      </c>
      <c r="AK1667" s="425" t="s">
        <v>1328</v>
      </c>
      <c r="AL1667" s="405">
        <v>89502</v>
      </c>
      <c r="AM1667" s="405" t="s">
        <v>52</v>
      </c>
      <c r="AN1667" s="405"/>
      <c r="AO1667" s="405"/>
      <c r="AP1667" s="417"/>
      <c r="AQ1667" s="417" t="s">
        <v>37</v>
      </c>
      <c r="AR1667" s="417"/>
      <c r="AS1667" s="426"/>
      <c r="AT1667" s="426"/>
      <c r="AU1667" s="409"/>
    </row>
    <row r="1668" spans="1:55" s="402" customFormat="1">
      <c r="A1668" s="403"/>
      <c r="B1668" s="446">
        <v>44629</v>
      </c>
      <c r="C1668" s="446">
        <v>44629</v>
      </c>
      <c r="D1668" s="416" t="s">
        <v>2480</v>
      </c>
      <c r="E1668" s="405" t="s">
        <v>2484</v>
      </c>
      <c r="F1668" s="405"/>
      <c r="G1668" s="405">
        <v>2022</v>
      </c>
      <c r="H1668" s="405">
        <v>6</v>
      </c>
      <c r="I1668" s="405" t="s">
        <v>1498</v>
      </c>
      <c r="J1668" s="406"/>
      <c r="K1668" s="414" t="s">
        <v>2756</v>
      </c>
      <c r="L1668" s="405" t="s">
        <v>2495</v>
      </c>
      <c r="M1668" s="418">
        <v>44504</v>
      </c>
      <c r="N1668" s="418">
        <v>44564</v>
      </c>
      <c r="O1668" s="418"/>
      <c r="P1668" s="406"/>
      <c r="Q1668" s="406"/>
      <c r="R1668" s="406"/>
      <c r="S1668" s="405" t="s">
        <v>1940</v>
      </c>
      <c r="T1668" s="405">
        <v>60</v>
      </c>
      <c r="U1668" s="405">
        <v>49401140</v>
      </c>
      <c r="V1668" s="405" t="s">
        <v>973</v>
      </c>
      <c r="W1668" s="405">
        <v>400</v>
      </c>
      <c r="X1668" s="407">
        <v>768</v>
      </c>
      <c r="Y1668" s="408">
        <f t="shared" si="354"/>
        <v>307200</v>
      </c>
      <c r="Z1668" s="409">
        <v>0.55000000000000004</v>
      </c>
      <c r="AA1668" s="423">
        <f t="shared" si="355"/>
        <v>168960</v>
      </c>
      <c r="AB1668" s="411"/>
      <c r="AC1668" s="412">
        <f t="shared" si="356"/>
        <v>0</v>
      </c>
      <c r="AD1668" s="421"/>
      <c r="AE1668" s="413"/>
      <c r="AF1668" s="424">
        <f t="shared" si="357"/>
        <v>168960</v>
      </c>
      <c r="AG1668" s="405" t="s">
        <v>1069</v>
      </c>
      <c r="AH1668" s="405"/>
      <c r="AI1668" s="414" t="s">
        <v>1962</v>
      </c>
      <c r="AJ1668" s="405" t="s">
        <v>2496</v>
      </c>
      <c r="AK1668" s="425" t="s">
        <v>1136</v>
      </c>
      <c r="AL1668" s="405">
        <v>78503</v>
      </c>
      <c r="AM1668" s="405" t="s">
        <v>52</v>
      </c>
      <c r="AN1668" s="405" t="s">
        <v>1071</v>
      </c>
      <c r="AO1668" s="405"/>
      <c r="AP1668" s="417"/>
      <c r="AQ1668" s="417"/>
      <c r="AR1668" s="417" t="s">
        <v>2491</v>
      </c>
      <c r="AS1668" s="426"/>
      <c r="AT1668" s="426"/>
      <c r="AU1668" s="409">
        <v>0.52</v>
      </c>
      <c r="AV1668" s="402">
        <f>U1668</f>
        <v>49401140</v>
      </c>
      <c r="AW1668" s="402" cm="1">
        <f t="array" ref="AW1668">SUM(MID(0&amp;AV1668,LARGE(INDEX(ISNUMBER(--MID(AV1668,ROW($1:$8),1))*ROW($1:$8),),ROW($1:$8))+1,1)*10^ROW($1:$8)/10)</f>
        <v>49401140</v>
      </c>
      <c r="AX1668" s="402" t="str">
        <f>VLOOKUP($AW1668,'Item Master Data'!$A:$F,3,FALSE)</f>
        <v>Q.PEAK DUO BLK ML G10.a+</v>
      </c>
      <c r="AY1668" s="402">
        <f>VLOOKUP($AW1668,'Item Master Data'!$A:$F,6,FALSE)</f>
        <v>400</v>
      </c>
      <c r="AZ1668" s="402">
        <f>X1668/BA1668</f>
        <v>24</v>
      </c>
      <c r="BA1668" s="402">
        <f>VLOOKUP(AW1668,'Item Master Data'!$A:$G,7,FALSE)</f>
        <v>32</v>
      </c>
      <c r="BC1668" s="402">
        <f>W1668-AY1668</f>
        <v>0</v>
      </c>
    </row>
    <row r="1669" spans="1:55" s="402" customFormat="1">
      <c r="A1669" s="403"/>
      <c r="B1669" s="446"/>
      <c r="C1669" s="446"/>
      <c r="D1669" s="416" t="s">
        <v>2480</v>
      </c>
      <c r="E1669" s="405" t="s">
        <v>2484</v>
      </c>
      <c r="F1669" s="405"/>
      <c r="G1669" s="405">
        <v>2022</v>
      </c>
      <c r="H1669" s="405">
        <v>6</v>
      </c>
      <c r="I1669" s="405"/>
      <c r="J1669" s="406"/>
      <c r="K1669" s="414" t="s">
        <v>2589</v>
      </c>
      <c r="L1669" s="405" t="s">
        <v>2530</v>
      </c>
      <c r="M1669" s="418">
        <v>44509</v>
      </c>
      <c r="N1669" s="418">
        <v>44595</v>
      </c>
      <c r="O1669" s="418"/>
      <c r="P1669" s="406"/>
      <c r="Q1669" s="406"/>
      <c r="R1669" s="406"/>
      <c r="S1669" s="405" t="s">
        <v>1940</v>
      </c>
      <c r="T1669" s="405">
        <v>60</v>
      </c>
      <c r="U1669" s="405">
        <v>49401140</v>
      </c>
      <c r="V1669" s="405" t="s">
        <v>973</v>
      </c>
      <c r="W1669" s="405">
        <v>400</v>
      </c>
      <c r="X1669" s="407">
        <v>6144</v>
      </c>
      <c r="Y1669" s="408">
        <f t="shared" si="354"/>
        <v>2457600</v>
      </c>
      <c r="Z1669" s="409">
        <v>0.49</v>
      </c>
      <c r="AA1669" s="410">
        <f t="shared" si="355"/>
        <v>1204224</v>
      </c>
      <c r="AB1669" s="411"/>
      <c r="AC1669" s="412">
        <f t="shared" si="356"/>
        <v>0</v>
      </c>
      <c r="AD1669" s="421"/>
      <c r="AE1669" s="413"/>
      <c r="AF1669" s="424">
        <f t="shared" si="357"/>
        <v>1204224</v>
      </c>
      <c r="AG1669" s="405" t="s">
        <v>1069</v>
      </c>
      <c r="AH1669" s="405"/>
      <c r="AI1669" s="414" t="s">
        <v>1962</v>
      </c>
      <c r="AJ1669" s="405" t="s">
        <v>1958</v>
      </c>
      <c r="AK1669" s="425" t="s">
        <v>1136</v>
      </c>
      <c r="AL1669" s="405">
        <v>78218</v>
      </c>
      <c r="AM1669" s="405" t="s">
        <v>52</v>
      </c>
      <c r="AN1669" s="405" t="s">
        <v>1071</v>
      </c>
      <c r="AO1669" s="405"/>
      <c r="AP1669" s="417"/>
      <c r="AQ1669" s="417" t="s">
        <v>37</v>
      </c>
      <c r="AR1669" s="417" t="s">
        <v>1686</v>
      </c>
      <c r="AS1669" s="426"/>
      <c r="AT1669" s="426"/>
      <c r="AU1669" s="409">
        <v>0.49</v>
      </c>
      <c r="AV1669" s="402">
        <f>U1669</f>
        <v>49401140</v>
      </c>
      <c r="AW1669" s="402" cm="1">
        <f t="array" ref="AW1669">SUM(MID(0&amp;AV1669,LARGE(INDEX(ISNUMBER(--MID(AV1669,ROW($1:$8),1))*ROW($1:$8),),ROW($1:$8))+1,1)*10^ROW($1:$8)/10)</f>
        <v>49401140</v>
      </c>
      <c r="AX1669" s="402" t="str">
        <f>VLOOKUP($AW1669,'Item Master Data'!$A:$F,3,FALSE)</f>
        <v>Q.PEAK DUO BLK ML G10.a+</v>
      </c>
      <c r="AY1669" s="402">
        <f>VLOOKUP($AW1669,'Item Master Data'!$A:$F,6,FALSE)</f>
        <v>400</v>
      </c>
      <c r="AZ1669" s="402">
        <f>X1669/BA1669</f>
        <v>192</v>
      </c>
      <c r="BA1669" s="402">
        <f>VLOOKUP(AW1669,'Item Master Data'!$A:$G,7,FALSE)</f>
        <v>32</v>
      </c>
      <c r="BC1669" s="402">
        <f>W1669-AY1669</f>
        <v>0</v>
      </c>
    </row>
    <row r="1670" spans="1:55" s="402" customFormat="1">
      <c r="A1670" s="403"/>
      <c r="B1670" s="446">
        <v>44690</v>
      </c>
      <c r="C1670" s="446"/>
      <c r="D1670" s="416" t="s">
        <v>2480</v>
      </c>
      <c r="E1670" s="405"/>
      <c r="F1670" s="405"/>
      <c r="G1670" s="405">
        <v>2022</v>
      </c>
      <c r="H1670" s="405">
        <v>6</v>
      </c>
      <c r="I1670" s="405"/>
      <c r="J1670" s="406"/>
      <c r="K1670" s="414" t="s">
        <v>2592</v>
      </c>
      <c r="L1670" s="405" t="s">
        <v>2530</v>
      </c>
      <c r="M1670" s="418">
        <v>44529</v>
      </c>
      <c r="N1670" s="418">
        <v>44682</v>
      </c>
      <c r="O1670" s="418"/>
      <c r="P1670" s="406"/>
      <c r="Q1670" s="406"/>
      <c r="R1670" s="406"/>
      <c r="S1670" s="405" t="s">
        <v>1940</v>
      </c>
      <c r="T1670" s="405">
        <v>60</v>
      </c>
      <c r="U1670" s="405" t="s">
        <v>1237</v>
      </c>
      <c r="V1670" s="405" t="s">
        <v>973</v>
      </c>
      <c r="W1670" s="405">
        <v>400</v>
      </c>
      <c r="X1670" s="407">
        <f>9216-2304-3804+2268</f>
        <v>5376</v>
      </c>
      <c r="Y1670" s="408">
        <f t="shared" si="354"/>
        <v>2150400</v>
      </c>
      <c r="Z1670" s="409">
        <v>0.55000000000000004</v>
      </c>
      <c r="AA1670" s="410">
        <f t="shared" si="355"/>
        <v>1182720</v>
      </c>
      <c r="AB1670" s="411"/>
      <c r="AC1670" s="412">
        <f t="shared" si="356"/>
        <v>0</v>
      </c>
      <c r="AD1670" s="421"/>
      <c r="AE1670" s="413"/>
      <c r="AF1670" s="424">
        <f t="shared" si="357"/>
        <v>1182720</v>
      </c>
      <c r="AG1670" s="405" t="s">
        <v>1069</v>
      </c>
      <c r="AH1670" s="405"/>
      <c r="AI1670" s="414">
        <v>60</v>
      </c>
      <c r="AJ1670" s="405" t="s">
        <v>2053</v>
      </c>
      <c r="AK1670" s="425" t="s">
        <v>1136</v>
      </c>
      <c r="AL1670" s="405">
        <v>78218</v>
      </c>
      <c r="AM1670" s="405" t="s">
        <v>52</v>
      </c>
      <c r="AN1670" s="405"/>
      <c r="AO1670" s="405"/>
      <c r="AP1670" s="417"/>
      <c r="AQ1670" s="417" t="s">
        <v>37</v>
      </c>
      <c r="AR1670" s="417"/>
      <c r="AS1670" s="426"/>
      <c r="AT1670" s="426"/>
      <c r="AU1670" s="409"/>
    </row>
    <row r="1671" spans="1:55" s="402" customFormat="1">
      <c r="A1671" s="403"/>
      <c r="B1671" s="446">
        <v>44694</v>
      </c>
      <c r="C1671" s="446">
        <v>44694</v>
      </c>
      <c r="D1671" s="416" t="s">
        <v>2480</v>
      </c>
      <c r="E1671" s="405"/>
      <c r="F1671" s="405"/>
      <c r="G1671" s="405">
        <v>2022</v>
      </c>
      <c r="H1671" s="405">
        <v>6</v>
      </c>
      <c r="I1671" s="405"/>
      <c r="J1671" s="406"/>
      <c r="K1671" s="414" t="s">
        <v>4431</v>
      </c>
      <c r="L1671" s="405" t="s">
        <v>2534</v>
      </c>
      <c r="M1671" s="418">
        <v>44673</v>
      </c>
      <c r="N1671" s="418">
        <v>44673</v>
      </c>
      <c r="O1671" s="418"/>
      <c r="P1671" s="406"/>
      <c r="Q1671" s="406"/>
      <c r="R1671" s="406"/>
      <c r="S1671" s="405" t="s">
        <v>1940</v>
      </c>
      <c r="T1671" s="405">
        <v>72</v>
      </c>
      <c r="U1671" s="405"/>
      <c r="V1671" s="405" t="s">
        <v>1050</v>
      </c>
      <c r="W1671" s="405">
        <v>470</v>
      </c>
      <c r="X1671" s="407">
        <v>638</v>
      </c>
      <c r="Y1671" s="422">
        <f t="shared" si="354"/>
        <v>299860</v>
      </c>
      <c r="Z1671" s="409">
        <v>0.58499999999999996</v>
      </c>
      <c r="AA1671" s="410">
        <f t="shared" si="355"/>
        <v>175418.09999999998</v>
      </c>
      <c r="AB1671" s="411"/>
      <c r="AC1671" s="412">
        <v>0</v>
      </c>
      <c r="AD1671" s="421"/>
      <c r="AE1671" s="413"/>
      <c r="AF1671" s="424">
        <f>AA1671+AD1671+AE1671</f>
        <v>175418.09999999998</v>
      </c>
      <c r="AG1671" s="405" t="s">
        <v>1069</v>
      </c>
      <c r="AH1671" s="405"/>
      <c r="AI1671" s="414">
        <v>60</v>
      </c>
      <c r="AJ1671" s="405" t="s">
        <v>1969</v>
      </c>
      <c r="AK1671" s="425" t="s">
        <v>1125</v>
      </c>
      <c r="AL1671" s="405">
        <v>85040</v>
      </c>
      <c r="AM1671" s="405" t="s">
        <v>52</v>
      </c>
      <c r="AN1671" s="405"/>
      <c r="AO1671" s="405"/>
      <c r="AP1671" s="417"/>
      <c r="AQ1671" s="417" t="s">
        <v>37</v>
      </c>
      <c r="AR1671" s="417"/>
      <c r="AS1671" s="426"/>
      <c r="AT1671" s="426"/>
      <c r="AU1671" s="409"/>
      <c r="AV1671" s="402">
        <f>U1671</f>
        <v>0</v>
      </c>
      <c r="AW1671" s="402" cm="1">
        <f t="array" ref="AW1671">SUM(MID(0&amp;AV1671,LARGE(INDEX(ISNUMBER(--MID(AV1671,ROW($1:$8),1))*ROW($1:$8),),ROW($1:$8))+1,1)*10^ROW($1:$8)/10)</f>
        <v>0</v>
      </c>
      <c r="AX1671" s="402" t="e">
        <f>VLOOKUP($AW1671,'Item Master Data'!$A:$F,3,FALSE)</f>
        <v>#N/A</v>
      </c>
      <c r="AY1671" s="402" t="e">
        <f>VLOOKUP($AW1671,'Item Master Data'!$A:$F,6,FALSE)</f>
        <v>#N/A</v>
      </c>
      <c r="AZ1671" s="402" t="e">
        <f>X1671/BA1671</f>
        <v>#N/A</v>
      </c>
      <c r="BA1671" s="402" t="e">
        <f>VLOOKUP(AW1671,'Item Master Data'!$A:$G,7,FALSE)</f>
        <v>#N/A</v>
      </c>
      <c r="BC1671" s="402" t="e">
        <f>W1671-AY1671</f>
        <v>#N/A</v>
      </c>
    </row>
    <row r="1672" spans="1:55" s="402" customFormat="1">
      <c r="A1672" s="403"/>
      <c r="B1672" s="446">
        <v>44596</v>
      </c>
      <c r="C1672" s="446">
        <v>44599</v>
      </c>
      <c r="D1672" s="416" t="s">
        <v>2480</v>
      </c>
      <c r="E1672" s="405" t="s">
        <v>2484</v>
      </c>
      <c r="F1672" s="405"/>
      <c r="G1672" s="405">
        <v>2022</v>
      </c>
      <c r="H1672" s="405">
        <v>6</v>
      </c>
      <c r="I1672" s="405"/>
      <c r="J1672" s="406"/>
      <c r="K1672" s="414" t="s">
        <v>4608</v>
      </c>
      <c r="L1672" s="405" t="s">
        <v>2534</v>
      </c>
      <c r="M1672" s="418">
        <v>44530</v>
      </c>
      <c r="N1672" s="418">
        <v>44564</v>
      </c>
      <c r="O1672" s="418"/>
      <c r="P1672" s="406"/>
      <c r="Q1672" s="406"/>
      <c r="R1672" s="406"/>
      <c r="S1672" s="405" t="s">
        <v>1940</v>
      </c>
      <c r="T1672" s="405">
        <v>60</v>
      </c>
      <c r="U1672" s="405">
        <v>49201132</v>
      </c>
      <c r="V1672" s="405" t="s">
        <v>986</v>
      </c>
      <c r="W1672" s="405">
        <v>360</v>
      </c>
      <c r="X1672" s="407">
        <f>7488+832+832+832-5824+1728-64-832</f>
        <v>4992</v>
      </c>
      <c r="Y1672" s="408">
        <f t="shared" si="354"/>
        <v>1797120</v>
      </c>
      <c r="Z1672" s="409">
        <v>0.53</v>
      </c>
      <c r="AA1672" s="410">
        <f t="shared" si="355"/>
        <v>952473.60000000009</v>
      </c>
      <c r="AB1672" s="411"/>
      <c r="AC1672" s="412">
        <f t="shared" ref="AC1672:AC1677" si="361">AB1672*Y1672</f>
        <v>0</v>
      </c>
      <c r="AD1672" s="421"/>
      <c r="AE1672" s="413"/>
      <c r="AF1672" s="424">
        <f>AE1672+AD1672+AA1672</f>
        <v>952473.60000000009</v>
      </c>
      <c r="AG1672" s="405" t="s">
        <v>1069</v>
      </c>
      <c r="AH1672" s="405"/>
      <c r="AI1672" s="414" t="s">
        <v>1962</v>
      </c>
      <c r="AJ1672" s="405" t="s">
        <v>1969</v>
      </c>
      <c r="AK1672" s="425" t="s">
        <v>1125</v>
      </c>
      <c r="AL1672" s="405">
        <v>85040</v>
      </c>
      <c r="AM1672" s="405" t="s">
        <v>52</v>
      </c>
      <c r="AN1672" s="405" t="s">
        <v>1071</v>
      </c>
      <c r="AO1672" s="405"/>
      <c r="AP1672" s="417"/>
      <c r="AQ1672" s="417" t="s">
        <v>37</v>
      </c>
      <c r="AR1672" s="417" t="s">
        <v>2597</v>
      </c>
      <c r="AS1672" s="426"/>
      <c r="AT1672" s="426"/>
      <c r="AU1672" s="409">
        <v>0.49</v>
      </c>
      <c r="AV1672" s="402">
        <f>U1672</f>
        <v>49201132</v>
      </c>
      <c r="AW1672" s="402" cm="1">
        <f t="array" ref="AW1672">SUM(MID(0&amp;AV1672,LARGE(INDEX(ISNUMBER(--MID(AV1672,ROW($1:$8),1))*ROW($1:$8),),ROW($1:$8))+1,1)*10^ROW($1:$8)/10)</f>
        <v>49201132</v>
      </c>
      <c r="AX1672" s="402" t="str">
        <f>VLOOKUP($AW1672,'Item Master Data'!$A:$F,3,FALSE)</f>
        <v>Q.PEAK DUO BLK G10+</v>
      </c>
      <c r="AY1672" s="402">
        <f>VLOOKUP($AW1672,'Item Master Data'!$A:$F,6,FALSE)</f>
        <v>360</v>
      </c>
      <c r="AZ1672" s="402">
        <f>X1672/BA1672</f>
        <v>156</v>
      </c>
      <c r="BA1672" s="402">
        <f>VLOOKUP(AW1672,'Item Master Data'!$A:$G,7,FALSE)</f>
        <v>32</v>
      </c>
      <c r="BC1672" s="402">
        <f>W1672-AY1672</f>
        <v>0</v>
      </c>
    </row>
    <row r="1673" spans="1:55" s="402" customFormat="1">
      <c r="A1673" s="403"/>
      <c r="B1673" s="445">
        <v>44610</v>
      </c>
      <c r="C1673" s="445">
        <v>44693</v>
      </c>
      <c r="D1673" s="416" t="s">
        <v>2480</v>
      </c>
      <c r="E1673" s="405" t="s">
        <v>3726</v>
      </c>
      <c r="F1673" s="405"/>
      <c r="G1673" s="405">
        <v>2022</v>
      </c>
      <c r="H1673" s="405">
        <v>6</v>
      </c>
      <c r="I1673" s="405" t="s">
        <v>1498</v>
      </c>
      <c r="J1673" s="406"/>
      <c r="K1673" s="414" t="s">
        <v>3730</v>
      </c>
      <c r="L1673" s="405" t="s">
        <v>3728</v>
      </c>
      <c r="M1673" s="418">
        <v>44602</v>
      </c>
      <c r="N1673" s="418">
        <v>44743</v>
      </c>
      <c r="O1673" s="418"/>
      <c r="P1673" s="406"/>
      <c r="Q1673" s="406"/>
      <c r="R1673" s="406"/>
      <c r="S1673" s="405" t="s">
        <v>1940</v>
      </c>
      <c r="T1673" s="405">
        <v>60</v>
      </c>
      <c r="U1673" s="405"/>
      <c r="V1673" s="405" t="s">
        <v>973</v>
      </c>
      <c r="W1673" s="405">
        <v>400</v>
      </c>
      <c r="X1673" s="407">
        <v>896</v>
      </c>
      <c r="Y1673" s="422">
        <f t="shared" si="354"/>
        <v>358400</v>
      </c>
      <c r="Z1673" s="409">
        <v>0.55000000000000004</v>
      </c>
      <c r="AA1673" s="423">
        <f t="shared" si="355"/>
        <v>197120.00000000003</v>
      </c>
      <c r="AB1673" s="411"/>
      <c r="AC1673" s="412">
        <f t="shared" si="361"/>
        <v>0</v>
      </c>
      <c r="AD1673" s="421"/>
      <c r="AE1673" s="413"/>
      <c r="AF1673" s="424">
        <f>AE1673+AD1673+AA1673</f>
        <v>197120.00000000003</v>
      </c>
      <c r="AG1673" s="405" t="s">
        <v>1069</v>
      </c>
      <c r="AH1673" s="405"/>
      <c r="AI1673" s="414" t="s">
        <v>1962</v>
      </c>
      <c r="AJ1673" s="405" t="s">
        <v>3729</v>
      </c>
      <c r="AK1673" s="425" t="s">
        <v>2505</v>
      </c>
      <c r="AL1673" s="405">
        <v>84120</v>
      </c>
      <c r="AM1673" s="405" t="s">
        <v>52</v>
      </c>
      <c r="AN1673" s="405"/>
      <c r="AO1673" s="405"/>
      <c r="AP1673" s="417"/>
      <c r="AQ1673" s="417" t="s">
        <v>37</v>
      </c>
      <c r="AR1673" s="417"/>
      <c r="AS1673" s="426"/>
      <c r="AT1673" s="426"/>
      <c r="AU1673" s="426"/>
      <c r="AV1673" s="402">
        <f>U1673</f>
        <v>0</v>
      </c>
      <c r="AW1673" s="402" cm="1">
        <f t="array" ref="AW1673">SUM(MID(0&amp;AV1673,LARGE(INDEX(ISNUMBER(--MID(AV1673,ROW($1:$8),1))*ROW($1:$8),),ROW($1:$8))+1,1)*10^ROW($1:$8)/10)</f>
        <v>0</v>
      </c>
      <c r="AX1673" s="402" t="e">
        <f>VLOOKUP($AW1673,'Item Master Data'!$A:$F,3,FALSE)</f>
        <v>#N/A</v>
      </c>
      <c r="AY1673" s="402" t="e">
        <f>VLOOKUP($AW1673,'Item Master Data'!$A:$F,6,FALSE)</f>
        <v>#N/A</v>
      </c>
      <c r="AZ1673" s="402" t="e">
        <f>X1673/BA1673</f>
        <v>#N/A</v>
      </c>
      <c r="BA1673" s="402" t="e">
        <f>VLOOKUP(AW1673,'Item Master Data'!$A:$G,7,FALSE)</f>
        <v>#N/A</v>
      </c>
      <c r="BC1673" s="402" t="e">
        <f>W1673-AY1673</f>
        <v>#N/A</v>
      </c>
    </row>
    <row r="1674" spans="1:55" s="402" customFormat="1">
      <c r="A1674" s="403"/>
      <c r="B1674" s="446">
        <v>44616</v>
      </c>
      <c r="C1674" s="446">
        <v>44616</v>
      </c>
      <c r="D1674" s="416" t="s">
        <v>2480</v>
      </c>
      <c r="E1674" s="405" t="s">
        <v>2576</v>
      </c>
      <c r="F1674" s="405"/>
      <c r="G1674" s="405">
        <v>2022</v>
      </c>
      <c r="H1674" s="405">
        <v>6</v>
      </c>
      <c r="I1674" s="405"/>
      <c r="J1674" s="406"/>
      <c r="K1674" s="414" t="s">
        <v>2700</v>
      </c>
      <c r="L1674" s="405" t="s">
        <v>1939</v>
      </c>
      <c r="M1674" s="418">
        <v>44615</v>
      </c>
      <c r="N1674" s="418">
        <v>44615</v>
      </c>
      <c r="O1674" s="418"/>
      <c r="P1674" s="406"/>
      <c r="Q1674" s="406"/>
      <c r="R1674" s="406"/>
      <c r="S1674" s="405" t="s">
        <v>1940</v>
      </c>
      <c r="T1674" s="405">
        <v>60</v>
      </c>
      <c r="U1674" s="405">
        <v>49401140</v>
      </c>
      <c r="V1674" s="405" t="s">
        <v>973</v>
      </c>
      <c r="W1674" s="405">
        <v>400</v>
      </c>
      <c r="X1674" s="407">
        <v>62500</v>
      </c>
      <c r="Y1674" s="408">
        <f t="shared" si="354"/>
        <v>25000000</v>
      </c>
      <c r="Z1674" s="409">
        <f>188/400</f>
        <v>0.47</v>
      </c>
      <c r="AA1674" s="410">
        <f t="shared" si="355"/>
        <v>11750000</v>
      </c>
      <c r="AB1674" s="411"/>
      <c r="AC1674" s="412">
        <f t="shared" si="361"/>
        <v>0</v>
      </c>
      <c r="AD1674" s="421"/>
      <c r="AE1674" s="413"/>
      <c r="AF1674" s="424">
        <f>AA1674+AE1674</f>
        <v>11750000</v>
      </c>
      <c r="AG1674" s="405" t="s">
        <v>47</v>
      </c>
      <c r="AH1674" s="405"/>
      <c r="AI1674" s="414" t="s">
        <v>1937</v>
      </c>
      <c r="AJ1674" s="405" t="s">
        <v>1124</v>
      </c>
      <c r="AK1674" s="425" t="s">
        <v>1125</v>
      </c>
      <c r="AL1674" s="405">
        <v>85210</v>
      </c>
      <c r="AM1674" s="405" t="s">
        <v>52</v>
      </c>
      <c r="AN1674" s="405" t="s">
        <v>50</v>
      </c>
      <c r="AO1674" s="405"/>
      <c r="AP1674" s="417"/>
      <c r="AQ1674" s="417" t="s">
        <v>37</v>
      </c>
      <c r="AR1674" s="417"/>
      <c r="AS1674" s="426"/>
      <c r="AT1674" s="426"/>
      <c r="AU1674" s="409"/>
      <c r="AV1674" s="402">
        <f>U1674</f>
        <v>49401140</v>
      </c>
      <c r="AW1674" s="402" cm="1">
        <f t="array" ref="AW1674">SUM(MID(0&amp;AV1674,LARGE(INDEX(ISNUMBER(--MID(AV1674,ROW($1:$8),1))*ROW($1:$8),),ROW($1:$8))+1,1)*10^ROW($1:$8)/10)</f>
        <v>49401140</v>
      </c>
      <c r="AX1674" s="402" t="str">
        <f>VLOOKUP($AW1674,'Item Master Data'!$A:$F,3,FALSE)</f>
        <v>Q.PEAK DUO BLK ML G10.a+</v>
      </c>
      <c r="AY1674" s="402">
        <f>VLOOKUP($AW1674,'Item Master Data'!$A:$F,6,FALSE)</f>
        <v>400</v>
      </c>
      <c r="AZ1674" s="402">
        <f>X1674/BA1674</f>
        <v>1953.125</v>
      </c>
      <c r="BA1674" s="402">
        <f>VLOOKUP(AW1674,'Item Master Data'!$A:$G,7,FALSE)</f>
        <v>32</v>
      </c>
      <c r="BC1674" s="402">
        <f>W1674-AY1674</f>
        <v>0</v>
      </c>
    </row>
    <row r="1675" spans="1:55" s="402" customFormat="1">
      <c r="A1675" s="403"/>
      <c r="B1675" s="446"/>
      <c r="C1675" s="446"/>
      <c r="D1675" s="416" t="s">
        <v>2480</v>
      </c>
      <c r="E1675" s="405" t="s">
        <v>2724</v>
      </c>
      <c r="F1675" s="405"/>
      <c r="G1675" s="405">
        <v>2022</v>
      </c>
      <c r="H1675" s="405">
        <v>6</v>
      </c>
      <c r="I1675" s="405"/>
      <c r="J1675" s="406"/>
      <c r="K1675" s="414" t="s">
        <v>2725</v>
      </c>
      <c r="L1675" s="405" t="s">
        <v>2509</v>
      </c>
      <c r="M1675" s="418">
        <v>44516</v>
      </c>
      <c r="N1675" s="418">
        <v>44592</v>
      </c>
      <c r="O1675" s="418"/>
      <c r="P1675" s="406"/>
      <c r="Q1675" s="406"/>
      <c r="R1675" s="406"/>
      <c r="S1675" s="405" t="s">
        <v>1443</v>
      </c>
      <c r="T1675" s="405">
        <v>60</v>
      </c>
      <c r="U1675" s="405">
        <v>49401140</v>
      </c>
      <c r="V1675" s="405" t="s">
        <v>973</v>
      </c>
      <c r="W1675" s="405">
        <v>400</v>
      </c>
      <c r="X1675" s="407">
        <v>352</v>
      </c>
      <c r="Y1675" s="408">
        <f t="shared" si="354"/>
        <v>140800</v>
      </c>
      <c r="Z1675" s="409">
        <f>210/400</f>
        <v>0.52500000000000002</v>
      </c>
      <c r="AA1675" s="410">
        <f t="shared" si="355"/>
        <v>73920</v>
      </c>
      <c r="AB1675" s="411"/>
      <c r="AC1675" s="412">
        <f t="shared" si="361"/>
        <v>0</v>
      </c>
      <c r="AD1675" s="421"/>
      <c r="AE1675" s="413"/>
      <c r="AF1675" s="424">
        <f>AE1675+AD1675+AA1675</f>
        <v>73920</v>
      </c>
      <c r="AG1675" s="405" t="s">
        <v>1069</v>
      </c>
      <c r="AH1675" s="405"/>
      <c r="AI1675" s="414">
        <v>60</v>
      </c>
      <c r="AJ1675" s="405" t="s">
        <v>1946</v>
      </c>
      <c r="AK1675" s="425" t="s">
        <v>1930</v>
      </c>
      <c r="AL1675" s="405">
        <v>80239</v>
      </c>
      <c r="AM1675" s="405" t="s">
        <v>52</v>
      </c>
      <c r="AN1675" s="405" t="s">
        <v>1071</v>
      </c>
      <c r="AO1675" s="405"/>
      <c r="AP1675" s="417"/>
      <c r="AQ1675" s="417" t="s">
        <v>37</v>
      </c>
      <c r="AR1675" s="417"/>
      <c r="AS1675" s="426"/>
      <c r="AT1675" s="426"/>
      <c r="AU1675" s="409"/>
    </row>
    <row r="1676" spans="1:55" s="402" customFormat="1">
      <c r="A1676" s="403"/>
      <c r="B1676" s="446"/>
      <c r="C1676" s="446"/>
      <c r="D1676" s="416" t="s">
        <v>2480</v>
      </c>
      <c r="E1676" s="405"/>
      <c r="F1676" s="405"/>
      <c r="G1676" s="405">
        <v>2022</v>
      </c>
      <c r="H1676" s="405">
        <v>6</v>
      </c>
      <c r="I1676" s="405"/>
      <c r="J1676" s="406"/>
      <c r="K1676" s="414" t="s">
        <v>2610</v>
      </c>
      <c r="L1676" s="405" t="s">
        <v>2509</v>
      </c>
      <c r="M1676" s="418">
        <v>44516</v>
      </c>
      <c r="N1676" s="418">
        <v>44651</v>
      </c>
      <c r="O1676" s="418"/>
      <c r="P1676" s="406"/>
      <c r="Q1676" s="406"/>
      <c r="R1676" s="406"/>
      <c r="S1676" s="405" t="s">
        <v>1443</v>
      </c>
      <c r="T1676" s="405">
        <v>60</v>
      </c>
      <c r="U1676" s="405">
        <v>49401140</v>
      </c>
      <c r="V1676" s="405" t="s">
        <v>973</v>
      </c>
      <c r="W1676" s="405">
        <v>400</v>
      </c>
      <c r="X1676" s="407">
        <v>512</v>
      </c>
      <c r="Y1676" s="408">
        <f t="shared" si="354"/>
        <v>204800</v>
      </c>
      <c r="Z1676" s="409">
        <f>210/400</f>
        <v>0.52500000000000002</v>
      </c>
      <c r="AA1676" s="410">
        <f t="shared" si="355"/>
        <v>107520</v>
      </c>
      <c r="AB1676" s="411"/>
      <c r="AC1676" s="412">
        <f t="shared" si="361"/>
        <v>0</v>
      </c>
      <c r="AD1676" s="421"/>
      <c r="AE1676" s="413"/>
      <c r="AF1676" s="424">
        <f>AE1676+AD1676+AA1676</f>
        <v>107520</v>
      </c>
      <c r="AG1676" s="405" t="s">
        <v>1069</v>
      </c>
      <c r="AH1676" s="405"/>
      <c r="AI1676" s="414">
        <v>60</v>
      </c>
      <c r="AJ1676" s="405" t="s">
        <v>2539</v>
      </c>
      <c r="AK1676" s="425" t="s">
        <v>1930</v>
      </c>
      <c r="AL1676" s="405">
        <v>81001</v>
      </c>
      <c r="AM1676" s="405" t="s">
        <v>52</v>
      </c>
      <c r="AN1676" s="405" t="s">
        <v>1071</v>
      </c>
      <c r="AO1676" s="405"/>
      <c r="AP1676" s="417"/>
      <c r="AQ1676" s="417" t="s">
        <v>37</v>
      </c>
      <c r="AR1676" s="417"/>
      <c r="AS1676" s="426"/>
      <c r="AT1676" s="426"/>
      <c r="AU1676" s="409"/>
      <c r="AV1676" s="402">
        <f>U1676</f>
        <v>49401140</v>
      </c>
      <c r="AW1676" s="402" cm="1">
        <f t="array" ref="AW1676">SUM(MID(0&amp;AV1676,LARGE(INDEX(ISNUMBER(--MID(AV1676,ROW($1:$8),1))*ROW($1:$8),),ROW($1:$8))+1,1)*10^ROW($1:$8)/10)</f>
        <v>49401140</v>
      </c>
      <c r="AX1676" s="402" t="str">
        <f>VLOOKUP($AW1676,'Item Master Data'!$A:$F,3,FALSE)</f>
        <v>Q.PEAK DUO BLK ML G10.a+</v>
      </c>
      <c r="AY1676" s="402">
        <f>VLOOKUP($AW1676,'Item Master Data'!$A:$F,6,FALSE)</f>
        <v>400</v>
      </c>
      <c r="AZ1676" s="402">
        <f>X1676/BA1676</f>
        <v>16</v>
      </c>
      <c r="BA1676" s="402">
        <f>VLOOKUP(AW1676,'Item Master Data'!$A:$G,7,FALSE)</f>
        <v>32</v>
      </c>
      <c r="BC1676" s="402">
        <f>W1676-AY1676</f>
        <v>0</v>
      </c>
    </row>
    <row r="1677" spans="1:55" s="402" customFormat="1">
      <c r="A1677" s="403"/>
      <c r="B1677" s="446">
        <v>44658</v>
      </c>
      <c r="C1677" s="446">
        <v>44658</v>
      </c>
      <c r="D1677" s="416" t="s">
        <v>2480</v>
      </c>
      <c r="E1677" s="405"/>
      <c r="F1677" s="405"/>
      <c r="G1677" s="405">
        <v>2022</v>
      </c>
      <c r="H1677" s="405">
        <v>6</v>
      </c>
      <c r="I1677" s="405"/>
      <c r="J1677" s="406"/>
      <c r="K1677" s="414" t="s">
        <v>2637</v>
      </c>
      <c r="L1677" s="405" t="s">
        <v>2509</v>
      </c>
      <c r="M1677" s="418">
        <v>44550</v>
      </c>
      <c r="N1677" s="418">
        <v>44713</v>
      </c>
      <c r="O1677" s="418"/>
      <c r="P1677" s="406"/>
      <c r="Q1677" s="406"/>
      <c r="R1677" s="406"/>
      <c r="S1677" s="405" t="s">
        <v>1940</v>
      </c>
      <c r="T1677" s="405">
        <v>72</v>
      </c>
      <c r="U1677" s="405" t="s">
        <v>1099</v>
      </c>
      <c r="V1677" s="405" t="s">
        <v>1050</v>
      </c>
      <c r="W1677" s="405">
        <v>480</v>
      </c>
      <c r="X1677" s="407">
        <v>435</v>
      </c>
      <c r="Y1677" s="408">
        <f t="shared" si="354"/>
        <v>208800</v>
      </c>
      <c r="Z1677" s="409">
        <v>0.47499999999999998</v>
      </c>
      <c r="AA1677" s="410">
        <f t="shared" si="355"/>
        <v>99180</v>
      </c>
      <c r="AB1677" s="411"/>
      <c r="AC1677" s="412">
        <f t="shared" si="361"/>
        <v>0</v>
      </c>
      <c r="AD1677" s="421"/>
      <c r="AE1677" s="413"/>
      <c r="AF1677" s="424">
        <f>AE1677+AD1677+AA1677</f>
        <v>99180</v>
      </c>
      <c r="AG1677" s="405" t="s">
        <v>1069</v>
      </c>
      <c r="AH1677" s="405"/>
      <c r="AI1677" s="414">
        <v>60</v>
      </c>
      <c r="AJ1677" s="405" t="s">
        <v>1454</v>
      </c>
      <c r="AK1677" s="425" t="s">
        <v>1136</v>
      </c>
      <c r="AL1677" s="405">
        <v>78744</v>
      </c>
      <c r="AM1677" s="405" t="s">
        <v>52</v>
      </c>
      <c r="AN1677" s="405" t="s">
        <v>50</v>
      </c>
      <c r="AO1677" s="405"/>
      <c r="AP1677" s="417"/>
      <c r="AQ1677" s="417" t="s">
        <v>37</v>
      </c>
      <c r="AR1677" s="417"/>
      <c r="AS1677" s="426" t="s">
        <v>1073</v>
      </c>
      <c r="AT1677" s="426" t="s">
        <v>1073</v>
      </c>
      <c r="AU1677" s="409"/>
      <c r="AV1677" s="402" t="str">
        <f>U1677</f>
        <v>30397472F</v>
      </c>
      <c r="AW1677" s="402" cm="1">
        <f t="array" ref="AW1677">SUM(MID(0&amp;AV1677,LARGE(INDEX(ISNUMBER(--MID(AV1677,ROW($1:$8),1))*ROW($1:$8),),ROW($1:$8))+1,1)*10^ROW($1:$8)/10)</f>
        <v>30397472</v>
      </c>
      <c r="AX1677" s="402" t="str">
        <f>VLOOKUP($AW1677,'Item Master Data'!$A:$F,3,FALSE)</f>
        <v>Q.PEAK DUO XL G10</v>
      </c>
      <c r="AY1677" s="402">
        <f>VLOOKUP($AW1677,'Item Master Data'!$A:$F,6,FALSE)</f>
        <v>480</v>
      </c>
      <c r="AZ1677" s="402">
        <f>X1677/BA1677</f>
        <v>15</v>
      </c>
      <c r="BA1677" s="402">
        <f>VLOOKUP(AW1677,'Item Master Data'!$A:$G,7,FALSE)</f>
        <v>29</v>
      </c>
      <c r="BC1677" s="402">
        <f>W1677-AY1677</f>
        <v>0</v>
      </c>
    </row>
    <row r="1678" spans="1:55" s="402" customFormat="1">
      <c r="A1678" s="403"/>
      <c r="B1678" s="446"/>
      <c r="C1678" s="446"/>
      <c r="D1678" s="416" t="s">
        <v>2480</v>
      </c>
      <c r="E1678" s="405" t="s">
        <v>2406</v>
      </c>
      <c r="F1678" s="405"/>
      <c r="G1678" s="405"/>
      <c r="H1678" s="405">
        <v>6</v>
      </c>
      <c r="I1678" s="405" t="s">
        <v>1498</v>
      </c>
      <c r="J1678" s="406"/>
      <c r="K1678" s="414" t="s">
        <v>2729</v>
      </c>
      <c r="L1678" s="405" t="s">
        <v>2509</v>
      </c>
      <c r="M1678" s="418">
        <v>44550</v>
      </c>
      <c r="N1678" s="418">
        <v>44687</v>
      </c>
      <c r="O1678" s="418"/>
      <c r="P1678" s="406"/>
      <c r="Q1678" s="406"/>
      <c r="R1678" s="406"/>
      <c r="S1678" s="405" t="s">
        <v>1940</v>
      </c>
      <c r="T1678" s="405">
        <v>60</v>
      </c>
      <c r="U1678" s="405"/>
      <c r="V1678" s="405" t="s">
        <v>973</v>
      </c>
      <c r="W1678" s="405">
        <v>400</v>
      </c>
      <c r="X1678" s="407">
        <v>320</v>
      </c>
      <c r="Y1678" s="408">
        <v>128000</v>
      </c>
      <c r="Z1678" s="409">
        <v>0.53</v>
      </c>
      <c r="AA1678" s="410">
        <v>67840</v>
      </c>
      <c r="AB1678" s="411"/>
      <c r="AC1678" s="412">
        <v>0</v>
      </c>
      <c r="AD1678" s="421"/>
      <c r="AE1678" s="413"/>
      <c r="AF1678" s="424">
        <v>67840</v>
      </c>
      <c r="AG1678" s="405" t="s">
        <v>1069</v>
      </c>
      <c r="AH1678" s="405"/>
      <c r="AI1678" s="414">
        <v>60</v>
      </c>
      <c r="AJ1678" s="405" t="s">
        <v>1958</v>
      </c>
      <c r="AK1678" s="425" t="s">
        <v>1136</v>
      </c>
      <c r="AL1678" s="405">
        <v>78217</v>
      </c>
      <c r="AM1678" s="405" t="s">
        <v>52</v>
      </c>
      <c r="AN1678" s="405"/>
      <c r="AO1678" s="405"/>
      <c r="AP1678" s="417"/>
      <c r="AQ1678" s="417" t="s">
        <v>37</v>
      </c>
      <c r="AR1678" s="417"/>
      <c r="AS1678" s="426" t="s">
        <v>1073</v>
      </c>
      <c r="AT1678" s="426" t="s">
        <v>1073</v>
      </c>
      <c r="AU1678" s="409">
        <v>0.53</v>
      </c>
    </row>
    <row r="1679" spans="1:55" s="402" customFormat="1">
      <c r="A1679" s="403"/>
      <c r="B1679" s="446"/>
      <c r="C1679" s="446"/>
      <c r="D1679" s="416" t="s">
        <v>2480</v>
      </c>
      <c r="E1679" s="405" t="s">
        <v>2406</v>
      </c>
      <c r="F1679" s="405"/>
      <c r="G1679" s="405"/>
      <c r="H1679" s="405">
        <v>6</v>
      </c>
      <c r="I1679" s="405" t="s">
        <v>1498</v>
      </c>
      <c r="J1679" s="406"/>
      <c r="K1679" s="414" t="s">
        <v>2731</v>
      </c>
      <c r="L1679" s="405" t="s">
        <v>2509</v>
      </c>
      <c r="M1679" s="418">
        <v>44550</v>
      </c>
      <c r="N1679" s="418">
        <v>44687</v>
      </c>
      <c r="O1679" s="418"/>
      <c r="P1679" s="406"/>
      <c r="Q1679" s="406"/>
      <c r="R1679" s="406"/>
      <c r="S1679" s="405" t="s">
        <v>1940</v>
      </c>
      <c r="T1679" s="405">
        <v>60</v>
      </c>
      <c r="U1679" s="405"/>
      <c r="V1679" s="405" t="s">
        <v>973</v>
      </c>
      <c r="W1679" s="405">
        <v>400</v>
      </c>
      <c r="X1679" s="407">
        <v>320</v>
      </c>
      <c r="Y1679" s="408">
        <v>128000</v>
      </c>
      <c r="Z1679" s="409">
        <v>0.53</v>
      </c>
      <c r="AA1679" s="410">
        <v>67840</v>
      </c>
      <c r="AB1679" s="411"/>
      <c r="AC1679" s="412">
        <v>0</v>
      </c>
      <c r="AD1679" s="421"/>
      <c r="AE1679" s="413"/>
      <c r="AF1679" s="424">
        <v>67840</v>
      </c>
      <c r="AG1679" s="405" t="s">
        <v>1069</v>
      </c>
      <c r="AH1679" s="405"/>
      <c r="AI1679" s="414">
        <v>60</v>
      </c>
      <c r="AJ1679" s="405" t="s">
        <v>2659</v>
      </c>
      <c r="AK1679" s="425" t="s">
        <v>2660</v>
      </c>
      <c r="AL1679" s="405">
        <v>70087</v>
      </c>
      <c r="AM1679" s="405" t="s">
        <v>52</v>
      </c>
      <c r="AN1679" s="405"/>
      <c r="AO1679" s="405"/>
      <c r="AP1679" s="417"/>
      <c r="AQ1679" s="417" t="s">
        <v>37</v>
      </c>
      <c r="AR1679" s="417"/>
      <c r="AS1679" s="426" t="s">
        <v>1073</v>
      </c>
      <c r="AT1679" s="426" t="s">
        <v>1073</v>
      </c>
      <c r="AU1679" s="409">
        <v>0.53</v>
      </c>
      <c r="AV1679" s="402">
        <f>U1679</f>
        <v>0</v>
      </c>
      <c r="AW1679" s="402" cm="1">
        <f t="array" ref="AW1679">SUM(MID(0&amp;AV1679,LARGE(INDEX(ISNUMBER(--MID(AV1679,ROW($1:$8),1))*ROW($1:$8),),ROW($1:$8))+1,1)*10^ROW($1:$8)/10)</f>
        <v>0</v>
      </c>
      <c r="AX1679" s="402" t="e">
        <f>VLOOKUP($AW1679,'Item Master Data'!$A:$F,3,FALSE)</f>
        <v>#N/A</v>
      </c>
      <c r="AY1679" s="402" t="e">
        <f>VLOOKUP($AW1679,'Item Master Data'!$A:$F,6,FALSE)</f>
        <v>#N/A</v>
      </c>
      <c r="AZ1679" s="402" t="e">
        <f>X1679/BA1679</f>
        <v>#N/A</v>
      </c>
      <c r="BA1679" s="402" t="e">
        <f>VLOOKUP(AW1679,'Item Master Data'!$A:$G,7,FALSE)</f>
        <v>#N/A</v>
      </c>
      <c r="BC1679" s="402" t="e">
        <f>W1679-AY1679</f>
        <v>#N/A</v>
      </c>
    </row>
    <row r="1680" spans="1:55" s="402" customFormat="1">
      <c r="A1680" s="403"/>
      <c r="B1680" s="446"/>
      <c r="C1680" s="446"/>
      <c r="D1680" s="416" t="s">
        <v>2480</v>
      </c>
      <c r="E1680" s="405" t="s">
        <v>2406</v>
      </c>
      <c r="F1680" s="405"/>
      <c r="G1680" s="405"/>
      <c r="H1680" s="405">
        <v>6</v>
      </c>
      <c r="I1680" s="405" t="s">
        <v>1498</v>
      </c>
      <c r="J1680" s="406"/>
      <c r="K1680" s="414" t="s">
        <v>2726</v>
      </c>
      <c r="L1680" s="405" t="s">
        <v>2509</v>
      </c>
      <c r="M1680" s="418">
        <v>44550</v>
      </c>
      <c r="N1680" s="418">
        <v>44652</v>
      </c>
      <c r="O1680" s="418"/>
      <c r="P1680" s="406"/>
      <c r="Q1680" s="406"/>
      <c r="R1680" s="406"/>
      <c r="S1680" s="405" t="s">
        <v>1940</v>
      </c>
      <c r="T1680" s="405">
        <v>60</v>
      </c>
      <c r="U1680" s="405"/>
      <c r="V1680" s="405" t="s">
        <v>973</v>
      </c>
      <c r="W1680" s="405">
        <v>400</v>
      </c>
      <c r="X1680" s="407">
        <v>480</v>
      </c>
      <c r="Y1680" s="408">
        <f t="shared" ref="Y1680:Y1736" si="362">X1680*W1680</f>
        <v>192000</v>
      </c>
      <c r="Z1680" s="409">
        <v>0.53</v>
      </c>
      <c r="AA1680" s="410">
        <f>Z1680*Y1680</f>
        <v>101760</v>
      </c>
      <c r="AB1680" s="411"/>
      <c r="AC1680" s="412">
        <f>AB1680*Y1680</f>
        <v>0</v>
      </c>
      <c r="AD1680" s="421"/>
      <c r="AE1680" s="413"/>
      <c r="AF1680" s="424">
        <f>AE1680+AD1680+AA1680</f>
        <v>101760</v>
      </c>
      <c r="AG1680" s="405" t="s">
        <v>1069</v>
      </c>
      <c r="AH1680" s="405"/>
      <c r="AI1680" s="414">
        <v>60</v>
      </c>
      <c r="AJ1680" s="405" t="s">
        <v>2508</v>
      </c>
      <c r="AK1680" s="425" t="s">
        <v>1136</v>
      </c>
      <c r="AL1680" s="405">
        <v>75007</v>
      </c>
      <c r="AM1680" s="405" t="s">
        <v>52</v>
      </c>
      <c r="AN1680" s="405"/>
      <c r="AO1680" s="405"/>
      <c r="AP1680" s="417"/>
      <c r="AQ1680" s="417" t="s">
        <v>37</v>
      </c>
      <c r="AR1680" s="417"/>
      <c r="AS1680" s="426" t="s">
        <v>1073</v>
      </c>
      <c r="AT1680" s="426" t="s">
        <v>1073</v>
      </c>
      <c r="AU1680" s="409">
        <v>0.53</v>
      </c>
      <c r="AV1680" s="402">
        <f>U1680</f>
        <v>0</v>
      </c>
      <c r="AW1680" s="402" cm="1">
        <f t="array" ref="AW1680">SUM(MID(0&amp;AV1680,LARGE(INDEX(ISNUMBER(--MID(AV1680,ROW($1:$8),1))*ROW($1:$8),),ROW($1:$8))+1,1)*10^ROW($1:$8)/10)</f>
        <v>0</v>
      </c>
      <c r="AX1680" s="402" t="e">
        <f>VLOOKUP($AW1680,'Item Master Data'!$A:$F,3,FALSE)</f>
        <v>#N/A</v>
      </c>
      <c r="AY1680" s="402" t="e">
        <f>VLOOKUP($AW1680,'Item Master Data'!$A:$F,6,FALSE)</f>
        <v>#N/A</v>
      </c>
      <c r="AZ1680" s="402" t="e">
        <f>X1680/BA1680</f>
        <v>#N/A</v>
      </c>
      <c r="BA1680" s="402" t="e">
        <f>VLOOKUP(AW1680,'Item Master Data'!$A:$G,7,FALSE)</f>
        <v>#N/A</v>
      </c>
      <c r="BC1680" s="402" t="e">
        <f>W1680-AY1680</f>
        <v>#N/A</v>
      </c>
    </row>
    <row r="1681" spans="1:55" s="402" customFormat="1">
      <c r="A1681" s="403"/>
      <c r="B1681" s="446"/>
      <c r="C1681" s="446"/>
      <c r="D1681" s="416" t="s">
        <v>2480</v>
      </c>
      <c r="E1681" s="405"/>
      <c r="F1681" s="405"/>
      <c r="G1681" s="405">
        <v>2022</v>
      </c>
      <c r="H1681" s="405">
        <v>6</v>
      </c>
      <c r="I1681" s="406" t="s">
        <v>4462</v>
      </c>
      <c r="J1681" s="406"/>
      <c r="K1681" s="414" t="s">
        <v>2540</v>
      </c>
      <c r="L1681" s="405" t="s">
        <v>2509</v>
      </c>
      <c r="M1681" s="418">
        <v>44566</v>
      </c>
      <c r="N1681" s="418">
        <v>44567</v>
      </c>
      <c r="O1681" s="418"/>
      <c r="P1681" s="406" t="s">
        <v>4778</v>
      </c>
      <c r="Q1681" s="406"/>
      <c r="R1681" s="406"/>
      <c r="S1681" s="405" t="s">
        <v>2541</v>
      </c>
      <c r="T1681" s="405">
        <v>60</v>
      </c>
      <c r="U1681" s="405">
        <v>49203132</v>
      </c>
      <c r="V1681" s="405" t="s">
        <v>986</v>
      </c>
      <c r="W1681" s="405">
        <v>360</v>
      </c>
      <c r="X1681" s="407">
        <v>832</v>
      </c>
      <c r="Y1681" s="408">
        <f t="shared" si="362"/>
        <v>299520</v>
      </c>
      <c r="Z1681" s="409">
        <v>0.505</v>
      </c>
      <c r="AA1681" s="410">
        <f>Z1681*Y1681</f>
        <v>151257.60000000001</v>
      </c>
      <c r="AB1681" s="411"/>
      <c r="AC1681" s="412">
        <f>AB1681*Y1681</f>
        <v>0</v>
      </c>
      <c r="AD1681" s="421"/>
      <c r="AE1681" s="413"/>
      <c r="AF1681" s="424">
        <f>AE1681+AD1681+AA1681</f>
        <v>151257.60000000001</v>
      </c>
      <c r="AG1681" s="405" t="s">
        <v>1069</v>
      </c>
      <c r="AH1681" s="405"/>
      <c r="AI1681" s="414">
        <v>60</v>
      </c>
      <c r="AJ1681" s="405" t="s">
        <v>1881</v>
      </c>
      <c r="AK1681" s="425" t="s">
        <v>1081</v>
      </c>
      <c r="AL1681" s="405">
        <v>32809</v>
      </c>
      <c r="AM1681" s="405" t="s">
        <v>52</v>
      </c>
      <c r="AN1681" s="405" t="s">
        <v>1101</v>
      </c>
      <c r="AO1681" s="405"/>
      <c r="AP1681" s="417"/>
      <c r="AQ1681" s="417" t="s">
        <v>37</v>
      </c>
      <c r="AR1681" s="417"/>
      <c r="AS1681" s="426" t="s">
        <v>1073</v>
      </c>
      <c r="AT1681" s="426" t="s">
        <v>1073</v>
      </c>
      <c r="AU1681" s="409">
        <v>0.505</v>
      </c>
      <c r="AV1681" s="402">
        <f>U1681</f>
        <v>49203132</v>
      </c>
      <c r="AW1681" s="402" cm="1">
        <f t="array" ref="AW1681">SUM(MID(0&amp;AV1681,LARGE(INDEX(ISNUMBER(--MID(AV1681,ROW($1:$8),1))*ROW($1:$8),),ROW($1:$8))+1,1)*10^ROW($1:$8)/10)</f>
        <v>49203132</v>
      </c>
      <c r="AX1681" s="402" t="str">
        <f>VLOOKUP($AW1681,'Item Master Data'!$A:$F,3,FALSE)</f>
        <v>Q.PEAK DUO BLK G10+</v>
      </c>
      <c r="AY1681" s="402">
        <f>VLOOKUP($AW1681,'Item Master Data'!$A:$F,6,FALSE)</f>
        <v>360</v>
      </c>
      <c r="AZ1681" s="402">
        <f>X1681/BA1681</f>
        <v>26</v>
      </c>
      <c r="BA1681" s="402">
        <f>VLOOKUP(AW1681,'Item Master Data'!$A:$G,7,FALSE)</f>
        <v>32</v>
      </c>
      <c r="BC1681" s="402">
        <f>W1681-AY1681</f>
        <v>0</v>
      </c>
    </row>
    <row r="1682" spans="1:55" s="402" customFormat="1">
      <c r="A1682" s="403"/>
      <c r="B1682" s="446">
        <v>44615</v>
      </c>
      <c r="C1682" s="446">
        <v>44614</v>
      </c>
      <c r="D1682" s="416" t="s">
        <v>2480</v>
      </c>
      <c r="E1682" s="405"/>
      <c r="F1682" s="405"/>
      <c r="G1682" s="405">
        <v>2022</v>
      </c>
      <c r="H1682" s="405">
        <v>6</v>
      </c>
      <c r="I1682" s="405"/>
      <c r="J1682" s="406"/>
      <c r="K1682" s="414" t="s">
        <v>2547</v>
      </c>
      <c r="L1682" s="405" t="s">
        <v>2509</v>
      </c>
      <c r="M1682" s="418">
        <v>44613</v>
      </c>
      <c r="N1682" s="418">
        <v>44652</v>
      </c>
      <c r="O1682" s="418"/>
      <c r="P1682" s="406"/>
      <c r="Q1682" s="406"/>
      <c r="R1682" s="406"/>
      <c r="S1682" s="405" t="s">
        <v>1940</v>
      </c>
      <c r="T1682" s="405">
        <v>72</v>
      </c>
      <c r="U1682" s="405" t="s">
        <v>1079</v>
      </c>
      <c r="V1682" s="405" t="s">
        <v>1050</v>
      </c>
      <c r="W1682" s="405">
        <v>475</v>
      </c>
      <c r="X1682" s="407">
        <v>290</v>
      </c>
      <c r="Y1682" s="408">
        <f t="shared" si="362"/>
        <v>137750</v>
      </c>
      <c r="Z1682" s="409">
        <v>0.505</v>
      </c>
      <c r="AA1682" s="410">
        <f>Z1682*Y1682</f>
        <v>69563.75</v>
      </c>
      <c r="AB1682" s="411"/>
      <c r="AC1682" s="412">
        <f>AB1682*Y1682</f>
        <v>0</v>
      </c>
      <c r="AD1682" s="421"/>
      <c r="AE1682" s="413"/>
      <c r="AF1682" s="424">
        <f>AE1682+AD1682+AA1682</f>
        <v>69563.75</v>
      </c>
      <c r="AG1682" s="405" t="s">
        <v>1069</v>
      </c>
      <c r="AH1682" s="405"/>
      <c r="AI1682" s="414">
        <v>60</v>
      </c>
      <c r="AJ1682" s="405" t="s">
        <v>1454</v>
      </c>
      <c r="AK1682" s="425" t="s">
        <v>1136</v>
      </c>
      <c r="AL1682" s="405">
        <v>78744</v>
      </c>
      <c r="AM1682" s="405" t="s">
        <v>52</v>
      </c>
      <c r="AN1682" s="405"/>
      <c r="AO1682" s="405"/>
      <c r="AP1682" s="417"/>
      <c r="AQ1682" s="417" t="s">
        <v>37</v>
      </c>
      <c r="AR1682" s="417"/>
      <c r="AS1682" s="426" t="s">
        <v>1073</v>
      </c>
      <c r="AT1682" s="426" t="s">
        <v>1073</v>
      </c>
      <c r="AU1682" s="409">
        <v>0.505</v>
      </c>
    </row>
    <row r="1683" spans="1:55" s="402" customFormat="1">
      <c r="A1683" s="403"/>
      <c r="B1683" s="446">
        <v>44658</v>
      </c>
      <c r="C1683" s="446">
        <v>44662</v>
      </c>
      <c r="D1683" s="416" t="s">
        <v>2480</v>
      </c>
      <c r="E1683" s="405" t="s">
        <v>2367</v>
      </c>
      <c r="F1683" s="405"/>
      <c r="G1683" s="405">
        <v>2022</v>
      </c>
      <c r="H1683" s="405">
        <v>6</v>
      </c>
      <c r="I1683" s="405" t="s">
        <v>1498</v>
      </c>
      <c r="J1683" s="406"/>
      <c r="K1683" s="414" t="s">
        <v>2683</v>
      </c>
      <c r="L1683" s="405" t="s">
        <v>2549</v>
      </c>
      <c r="M1683" s="418">
        <v>44578</v>
      </c>
      <c r="N1683" s="418">
        <v>44690</v>
      </c>
      <c r="O1683" s="418"/>
      <c r="P1683" s="406"/>
      <c r="Q1683" s="406"/>
      <c r="R1683" s="406"/>
      <c r="S1683" s="405" t="s">
        <v>1443</v>
      </c>
      <c r="T1683" s="405">
        <v>72</v>
      </c>
      <c r="U1683" s="405" t="s">
        <v>2550</v>
      </c>
      <c r="V1683" s="405" t="s">
        <v>1050</v>
      </c>
      <c r="W1683" s="405">
        <v>480</v>
      </c>
      <c r="X1683" s="407">
        <v>754</v>
      </c>
      <c r="Y1683" s="408">
        <f t="shared" si="362"/>
        <v>361920</v>
      </c>
      <c r="Z1683" s="409">
        <v>0.47499999999999998</v>
      </c>
      <c r="AA1683" s="410">
        <v>171912</v>
      </c>
      <c r="AB1683" s="411"/>
      <c r="AC1683" s="412">
        <v>0</v>
      </c>
      <c r="AD1683" s="421"/>
      <c r="AE1683" s="413"/>
      <c r="AF1683" s="424">
        <v>171912</v>
      </c>
      <c r="AG1683" s="405" t="s">
        <v>1069</v>
      </c>
      <c r="AH1683" s="405"/>
      <c r="AI1683" s="414">
        <v>60</v>
      </c>
      <c r="AJ1683" s="405" t="s">
        <v>2510</v>
      </c>
      <c r="AK1683" s="425" t="s">
        <v>50</v>
      </c>
      <c r="AL1683" s="405">
        <v>92841</v>
      </c>
      <c r="AM1683" s="405" t="s">
        <v>52</v>
      </c>
      <c r="AN1683" s="405"/>
      <c r="AO1683" s="405"/>
      <c r="AP1683" s="417"/>
      <c r="AQ1683" s="417" t="s">
        <v>37</v>
      </c>
      <c r="AR1683" s="417"/>
      <c r="AS1683" s="426"/>
      <c r="AT1683" s="426"/>
      <c r="AU1683" s="409"/>
      <c r="AV1683" s="402" t="str">
        <f t="shared" ref="AV1683:AV1704" si="363">U1683</f>
        <v>LONGER MC34 LEADS</v>
      </c>
      <c r="AW1683" s="402" cm="1">
        <f t="array" ref="AW1683">SUM(MID(0&amp;AV1683,LARGE(INDEX(ISNUMBER(--MID(AV1683,ROW($1:$8),1))*ROW($1:$8),),ROW($1:$8))+1,1)*10^ROW($1:$8)/10)</f>
        <v>0</v>
      </c>
      <c r="AX1683" s="402" t="e">
        <f>VLOOKUP($AW1683,'Item Master Data'!$A:$F,3,FALSE)</f>
        <v>#N/A</v>
      </c>
      <c r="AY1683" s="402" t="e">
        <f>VLOOKUP($AW1683,'Item Master Data'!$A:$F,6,FALSE)</f>
        <v>#N/A</v>
      </c>
      <c r="AZ1683" s="402" t="e">
        <f t="shared" ref="AZ1683:AZ1704" si="364">X1683/BA1683</f>
        <v>#N/A</v>
      </c>
      <c r="BA1683" s="402" t="e">
        <f>VLOOKUP(AW1683,'Item Master Data'!$A:$G,7,FALSE)</f>
        <v>#N/A</v>
      </c>
      <c r="BC1683" s="402" t="e">
        <f t="shared" ref="BC1683:BC1704" si="365">W1683-AY1683</f>
        <v>#N/A</v>
      </c>
    </row>
    <row r="1684" spans="1:55" s="402" customFormat="1">
      <c r="A1684" s="403"/>
      <c r="B1684" s="446">
        <v>44658</v>
      </c>
      <c r="C1684" s="446">
        <v>44662</v>
      </c>
      <c r="D1684" s="416" t="s">
        <v>2480</v>
      </c>
      <c r="E1684" s="405" t="s">
        <v>2367</v>
      </c>
      <c r="F1684" s="405"/>
      <c r="G1684" s="405">
        <v>2022</v>
      </c>
      <c r="H1684" s="405">
        <v>6</v>
      </c>
      <c r="I1684" s="405" t="s">
        <v>1498</v>
      </c>
      <c r="J1684" s="406"/>
      <c r="K1684" s="414" t="s">
        <v>2723</v>
      </c>
      <c r="L1684" s="405" t="s">
        <v>2549</v>
      </c>
      <c r="M1684" s="418">
        <v>44578</v>
      </c>
      <c r="N1684" s="418">
        <v>44718</v>
      </c>
      <c r="O1684" s="418"/>
      <c r="P1684" s="406"/>
      <c r="Q1684" s="406"/>
      <c r="R1684" s="406"/>
      <c r="S1684" s="405" t="s">
        <v>1443</v>
      </c>
      <c r="T1684" s="405">
        <v>72</v>
      </c>
      <c r="U1684" s="405" t="s">
        <v>2550</v>
      </c>
      <c r="V1684" s="405" t="s">
        <v>1050</v>
      </c>
      <c r="W1684" s="405">
        <v>480</v>
      </c>
      <c r="X1684" s="407">
        <v>754</v>
      </c>
      <c r="Y1684" s="408">
        <f t="shared" si="362"/>
        <v>361920</v>
      </c>
      <c r="Z1684" s="409">
        <v>0.47499999999999998</v>
      </c>
      <c r="AA1684" s="410">
        <v>171912</v>
      </c>
      <c r="AB1684" s="411"/>
      <c r="AC1684" s="412">
        <v>0</v>
      </c>
      <c r="AD1684" s="421"/>
      <c r="AE1684" s="413"/>
      <c r="AF1684" s="424">
        <v>171912</v>
      </c>
      <c r="AG1684" s="405" t="s">
        <v>1069</v>
      </c>
      <c r="AH1684" s="405"/>
      <c r="AI1684" s="414">
        <v>60</v>
      </c>
      <c r="AJ1684" s="405" t="s">
        <v>2510</v>
      </c>
      <c r="AK1684" s="425" t="s">
        <v>50</v>
      </c>
      <c r="AL1684" s="405">
        <v>92841</v>
      </c>
      <c r="AM1684" s="405" t="s">
        <v>52</v>
      </c>
      <c r="AN1684" s="405"/>
      <c r="AO1684" s="405"/>
      <c r="AP1684" s="417"/>
      <c r="AQ1684" s="417" t="s">
        <v>37</v>
      </c>
      <c r="AR1684" s="417"/>
      <c r="AS1684" s="426"/>
      <c r="AT1684" s="426"/>
      <c r="AU1684" s="409"/>
      <c r="AV1684" s="402" t="str">
        <f t="shared" si="363"/>
        <v>LONGER MC34 LEADS</v>
      </c>
      <c r="AW1684" s="402" cm="1">
        <f t="array" ref="AW1684">SUM(MID(0&amp;AV1684,LARGE(INDEX(ISNUMBER(--MID(AV1684,ROW($1:$8),1))*ROW($1:$8),),ROW($1:$8))+1,1)*10^ROW($1:$8)/10)</f>
        <v>0</v>
      </c>
      <c r="AX1684" s="402" t="e">
        <f>VLOOKUP($AW1684,'Item Master Data'!$A:$F,3,FALSE)</f>
        <v>#N/A</v>
      </c>
      <c r="AY1684" s="402" t="e">
        <f>VLOOKUP($AW1684,'Item Master Data'!$A:$F,6,FALSE)</f>
        <v>#N/A</v>
      </c>
      <c r="AZ1684" s="402" t="e">
        <f t="shared" si="364"/>
        <v>#N/A</v>
      </c>
      <c r="BA1684" s="402" t="e">
        <f>VLOOKUP(AW1684,'Item Master Data'!$A:$G,7,FALSE)</f>
        <v>#N/A</v>
      </c>
      <c r="BC1684" s="402" t="e">
        <f t="shared" si="365"/>
        <v>#N/A</v>
      </c>
    </row>
    <row r="1685" spans="1:55" s="402" customFormat="1">
      <c r="A1685" s="403"/>
      <c r="B1685" s="446">
        <v>44658</v>
      </c>
      <c r="C1685" s="446">
        <v>44662</v>
      </c>
      <c r="D1685" s="416" t="s">
        <v>2480</v>
      </c>
      <c r="E1685" s="405" t="s">
        <v>2367</v>
      </c>
      <c r="F1685" s="405"/>
      <c r="G1685" s="405">
        <v>2022</v>
      </c>
      <c r="H1685" s="405">
        <v>6</v>
      </c>
      <c r="I1685" s="405" t="s">
        <v>1498</v>
      </c>
      <c r="J1685" s="406"/>
      <c r="K1685" s="414" t="s">
        <v>2718</v>
      </c>
      <c r="L1685" s="405" t="s">
        <v>2549</v>
      </c>
      <c r="M1685" s="418">
        <v>44578</v>
      </c>
      <c r="N1685" s="418">
        <v>44690</v>
      </c>
      <c r="O1685" s="418"/>
      <c r="P1685" s="406"/>
      <c r="Q1685" s="406"/>
      <c r="R1685" s="406"/>
      <c r="S1685" s="405" t="s">
        <v>1443</v>
      </c>
      <c r="T1685" s="405">
        <v>72</v>
      </c>
      <c r="U1685" s="405" t="s">
        <v>2550</v>
      </c>
      <c r="V1685" s="405" t="s">
        <v>1050</v>
      </c>
      <c r="W1685" s="405">
        <v>480</v>
      </c>
      <c r="X1685" s="407">
        <v>754</v>
      </c>
      <c r="Y1685" s="408">
        <f t="shared" si="362"/>
        <v>361920</v>
      </c>
      <c r="Z1685" s="409">
        <v>0.47499999999999998</v>
      </c>
      <c r="AA1685" s="410">
        <v>171912</v>
      </c>
      <c r="AB1685" s="411"/>
      <c r="AC1685" s="412">
        <v>0</v>
      </c>
      <c r="AD1685" s="421"/>
      <c r="AE1685" s="413"/>
      <c r="AF1685" s="424">
        <v>171912</v>
      </c>
      <c r="AG1685" s="405" t="s">
        <v>1069</v>
      </c>
      <c r="AH1685" s="405"/>
      <c r="AI1685" s="414">
        <v>60</v>
      </c>
      <c r="AJ1685" s="405" t="s">
        <v>1448</v>
      </c>
      <c r="AK1685" s="425" t="s">
        <v>50</v>
      </c>
      <c r="AL1685" s="405">
        <v>94544</v>
      </c>
      <c r="AM1685" s="405" t="s">
        <v>52</v>
      </c>
      <c r="AN1685" s="405"/>
      <c r="AO1685" s="405"/>
      <c r="AP1685" s="417"/>
      <c r="AQ1685" s="417" t="s">
        <v>37</v>
      </c>
      <c r="AR1685" s="417"/>
      <c r="AS1685" s="426"/>
      <c r="AT1685" s="426"/>
      <c r="AU1685" s="409"/>
      <c r="AV1685" s="402" t="str">
        <f t="shared" si="363"/>
        <v>LONGER MC34 LEADS</v>
      </c>
      <c r="AW1685" s="402" cm="1">
        <f t="array" ref="AW1685">SUM(MID(0&amp;AV1685,LARGE(INDEX(ISNUMBER(--MID(AV1685,ROW($1:$8),1))*ROW($1:$8),),ROW($1:$8))+1,1)*10^ROW($1:$8)/10)</f>
        <v>0</v>
      </c>
      <c r="AX1685" s="402" t="e">
        <f>VLOOKUP($AW1685,'Item Master Data'!$A:$F,3,FALSE)</f>
        <v>#N/A</v>
      </c>
      <c r="AY1685" s="402" t="e">
        <f>VLOOKUP($AW1685,'Item Master Data'!$A:$F,6,FALSE)</f>
        <v>#N/A</v>
      </c>
      <c r="AZ1685" s="402" t="e">
        <f t="shared" si="364"/>
        <v>#N/A</v>
      </c>
      <c r="BA1685" s="402" t="e">
        <f>VLOOKUP(AW1685,'Item Master Data'!$A:$G,7,FALSE)</f>
        <v>#N/A</v>
      </c>
      <c r="BC1685" s="402" t="e">
        <f t="shared" si="365"/>
        <v>#N/A</v>
      </c>
    </row>
    <row r="1686" spans="1:55" s="402" customFormat="1">
      <c r="A1686" s="403"/>
      <c r="B1686" s="446">
        <v>44692</v>
      </c>
      <c r="C1686" s="446">
        <v>44691</v>
      </c>
      <c r="D1686" s="416" t="s">
        <v>2480</v>
      </c>
      <c r="E1686" s="405" t="s">
        <v>2544</v>
      </c>
      <c r="F1686" s="405"/>
      <c r="G1686" s="405"/>
      <c r="H1686" s="405">
        <v>6</v>
      </c>
      <c r="I1686" s="405" t="s">
        <v>1498</v>
      </c>
      <c r="J1686" s="406"/>
      <c r="K1686" s="414" t="s">
        <v>4777</v>
      </c>
      <c r="L1686" s="405" t="s">
        <v>2549</v>
      </c>
      <c r="M1686" s="418">
        <v>44594</v>
      </c>
      <c r="N1686" s="418">
        <v>44655</v>
      </c>
      <c r="O1686" s="418"/>
      <c r="P1686" s="406"/>
      <c r="Q1686" s="406"/>
      <c r="R1686" s="406"/>
      <c r="S1686" s="405" t="s">
        <v>1443</v>
      </c>
      <c r="T1686" s="405">
        <v>60</v>
      </c>
      <c r="U1686" s="405"/>
      <c r="V1686" s="405" t="s">
        <v>973</v>
      </c>
      <c r="W1686" s="405">
        <v>400</v>
      </c>
      <c r="X1686" s="407">
        <v>384</v>
      </c>
      <c r="Y1686" s="408">
        <f t="shared" si="362"/>
        <v>153600</v>
      </c>
      <c r="Z1686" s="409">
        <v>0.52500000000000002</v>
      </c>
      <c r="AA1686" s="410">
        <f t="shared" ref="AA1686:AA1736" si="366">Z1686*Y1686</f>
        <v>80640</v>
      </c>
      <c r="AB1686" s="411"/>
      <c r="AC1686" s="412">
        <f>AB1686*Y1686</f>
        <v>0</v>
      </c>
      <c r="AD1686" s="421"/>
      <c r="AE1686" s="413"/>
      <c r="AF1686" s="424">
        <f>AE1686+AD1686+AA1686</f>
        <v>80640</v>
      </c>
      <c r="AG1686" s="405" t="s">
        <v>1069</v>
      </c>
      <c r="AH1686" s="405"/>
      <c r="AI1686" s="414">
        <v>60</v>
      </c>
      <c r="AJ1686" s="405" t="s">
        <v>2510</v>
      </c>
      <c r="AK1686" s="425" t="s">
        <v>50</v>
      </c>
      <c r="AL1686" s="405">
        <v>92841</v>
      </c>
      <c r="AM1686" s="405" t="s">
        <v>52</v>
      </c>
      <c r="AN1686" s="405"/>
      <c r="AO1686" s="405"/>
      <c r="AP1686" s="417"/>
      <c r="AQ1686" s="417" t="s">
        <v>37</v>
      </c>
      <c r="AR1686" s="417"/>
      <c r="AS1686" s="426"/>
      <c r="AT1686" s="426"/>
      <c r="AU1686" s="409"/>
      <c r="AV1686" s="402">
        <f t="shared" si="363"/>
        <v>0</v>
      </c>
      <c r="AW1686" s="402" cm="1">
        <f t="array" ref="AW1686">SUM(MID(0&amp;AV1686,LARGE(INDEX(ISNUMBER(--MID(AV1686,ROW($1:$8),1))*ROW($1:$8),),ROW($1:$8))+1,1)*10^ROW($1:$8)/10)</f>
        <v>0</v>
      </c>
      <c r="AX1686" s="402" t="e">
        <f>VLOOKUP($AW1686,'Item Master Data'!$A:$F,3,FALSE)</f>
        <v>#N/A</v>
      </c>
      <c r="AY1686" s="402" t="e">
        <f>VLOOKUP($AW1686,'Item Master Data'!$A:$F,6,FALSE)</f>
        <v>#N/A</v>
      </c>
      <c r="AZ1686" s="402" t="e">
        <f t="shared" si="364"/>
        <v>#N/A</v>
      </c>
      <c r="BA1686" s="402" t="e">
        <f>VLOOKUP(AW1686,'Item Master Data'!$A:$G,7,FALSE)</f>
        <v>#N/A</v>
      </c>
      <c r="BC1686" s="402" t="e">
        <f t="shared" si="365"/>
        <v>#N/A</v>
      </c>
    </row>
    <row r="1687" spans="1:55" s="402" customFormat="1">
      <c r="A1687" s="403"/>
      <c r="B1687" s="446">
        <v>44692</v>
      </c>
      <c r="C1687" s="446">
        <v>44691</v>
      </c>
      <c r="D1687" s="416" t="s">
        <v>2480</v>
      </c>
      <c r="E1687" s="405" t="s">
        <v>2544</v>
      </c>
      <c r="F1687" s="405"/>
      <c r="G1687" s="405"/>
      <c r="H1687" s="405">
        <v>6</v>
      </c>
      <c r="I1687" s="405" t="s">
        <v>1498</v>
      </c>
      <c r="J1687" s="456"/>
      <c r="K1687" s="414" t="s">
        <v>4777</v>
      </c>
      <c r="L1687" s="405" t="s">
        <v>2549</v>
      </c>
      <c r="M1687" s="418">
        <v>44594</v>
      </c>
      <c r="N1687" s="418">
        <v>44655</v>
      </c>
      <c r="O1687" s="418"/>
      <c r="P1687" s="406"/>
      <c r="Q1687" s="406"/>
      <c r="R1687" s="406"/>
      <c r="S1687" s="405" t="s">
        <v>1443</v>
      </c>
      <c r="T1687" s="405">
        <v>60</v>
      </c>
      <c r="U1687" s="405"/>
      <c r="V1687" s="405" t="s">
        <v>986</v>
      </c>
      <c r="W1687" s="405">
        <v>360</v>
      </c>
      <c r="X1687" s="407">
        <f>3584-384</f>
        <v>3200</v>
      </c>
      <c r="Y1687" s="422">
        <f t="shared" si="362"/>
        <v>1152000</v>
      </c>
      <c r="Z1687" s="409">
        <v>0.505</v>
      </c>
      <c r="AA1687" s="423">
        <f t="shared" si="366"/>
        <v>581760</v>
      </c>
      <c r="AB1687" s="411"/>
      <c r="AC1687" s="412">
        <f>AB1687*Y1687</f>
        <v>0</v>
      </c>
      <c r="AD1687" s="421"/>
      <c r="AE1687" s="413"/>
      <c r="AF1687" s="424">
        <f>AE1687+AD1687+AA1687</f>
        <v>581760</v>
      </c>
      <c r="AG1687" s="405" t="s">
        <v>1069</v>
      </c>
      <c r="AH1687" s="405"/>
      <c r="AI1687" s="414">
        <v>60</v>
      </c>
      <c r="AJ1687" s="405" t="s">
        <v>2510</v>
      </c>
      <c r="AK1687" s="425" t="s">
        <v>50</v>
      </c>
      <c r="AL1687" s="405">
        <v>92841</v>
      </c>
      <c r="AM1687" s="405" t="s">
        <v>52</v>
      </c>
      <c r="AN1687" s="405"/>
      <c r="AO1687" s="405"/>
      <c r="AP1687" s="417"/>
      <c r="AQ1687" s="417" t="s">
        <v>37</v>
      </c>
      <c r="AR1687" s="417"/>
      <c r="AS1687" s="426"/>
      <c r="AT1687" s="426"/>
      <c r="AU1687" s="496"/>
      <c r="AV1687" s="402">
        <f t="shared" si="363"/>
        <v>0</v>
      </c>
      <c r="AW1687" s="402" cm="1">
        <f t="array" ref="AW1687">SUM(MID(0&amp;AV1687,LARGE(INDEX(ISNUMBER(--MID(AV1687,ROW($1:$8),1))*ROW($1:$8),),ROW($1:$8))+1,1)*10^ROW($1:$8)/10)</f>
        <v>0</v>
      </c>
      <c r="AX1687" s="402" t="e">
        <f>VLOOKUP($AW1687,'Item Master Data'!$A:$F,3,FALSE)</f>
        <v>#N/A</v>
      </c>
      <c r="AY1687" s="402" t="e">
        <f>VLOOKUP($AW1687,'Item Master Data'!$A:$F,6,FALSE)</f>
        <v>#N/A</v>
      </c>
      <c r="AZ1687" s="402" t="e">
        <f t="shared" si="364"/>
        <v>#N/A</v>
      </c>
      <c r="BA1687" s="402" t="e">
        <f>VLOOKUP(AW1687,'Item Master Data'!$A:$G,7,FALSE)</f>
        <v>#N/A</v>
      </c>
      <c r="BC1687" s="402" t="e">
        <f t="shared" si="365"/>
        <v>#N/A</v>
      </c>
    </row>
    <row r="1688" spans="1:55" s="402" customFormat="1">
      <c r="A1688" s="403"/>
      <c r="B1688" s="446">
        <v>44665</v>
      </c>
      <c r="C1688" s="446">
        <v>44665</v>
      </c>
      <c r="D1688" s="416" t="s">
        <v>2480</v>
      </c>
      <c r="E1688" s="405" t="s">
        <v>2367</v>
      </c>
      <c r="F1688" s="405"/>
      <c r="G1688" s="405">
        <v>2022</v>
      </c>
      <c r="H1688" s="405">
        <v>6</v>
      </c>
      <c r="I1688" s="405" t="s">
        <v>1498</v>
      </c>
      <c r="J1688" s="406"/>
      <c r="K1688" s="414" t="s">
        <v>4776</v>
      </c>
      <c r="L1688" s="405" t="s">
        <v>2549</v>
      </c>
      <c r="M1688" s="418">
        <v>44594</v>
      </c>
      <c r="N1688" s="418">
        <v>44655</v>
      </c>
      <c r="O1688" s="418"/>
      <c r="P1688" s="406"/>
      <c r="Q1688" s="406"/>
      <c r="R1688" s="406"/>
      <c r="S1688" s="405" t="s">
        <v>1443</v>
      </c>
      <c r="T1688" s="405">
        <v>60</v>
      </c>
      <c r="U1688" s="405"/>
      <c r="V1688" s="405" t="s">
        <v>986</v>
      </c>
      <c r="W1688" s="405">
        <v>360</v>
      </c>
      <c r="X1688" s="407">
        <f>3168-384</f>
        <v>2784</v>
      </c>
      <c r="Y1688" s="408">
        <f t="shared" si="362"/>
        <v>1002240</v>
      </c>
      <c r="Z1688" s="409">
        <v>0.53500000000000003</v>
      </c>
      <c r="AA1688" s="410">
        <f t="shared" si="366"/>
        <v>536198.40000000002</v>
      </c>
      <c r="AB1688" s="411"/>
      <c r="AC1688" s="412">
        <f>AB1688*Y1688</f>
        <v>0</v>
      </c>
      <c r="AD1688" s="421"/>
      <c r="AE1688" s="413"/>
      <c r="AF1688" s="424">
        <f>AE1688+AD1688+AA1688</f>
        <v>536198.40000000002</v>
      </c>
      <c r="AG1688" s="405" t="s">
        <v>1069</v>
      </c>
      <c r="AH1688" s="405"/>
      <c r="AI1688" s="414">
        <v>60</v>
      </c>
      <c r="AJ1688" s="405" t="s">
        <v>1448</v>
      </c>
      <c r="AK1688" s="425" t="s">
        <v>50</v>
      </c>
      <c r="AL1688" s="405">
        <v>94544</v>
      </c>
      <c r="AM1688" s="405" t="s">
        <v>52</v>
      </c>
      <c r="AN1688" s="405"/>
      <c r="AO1688" s="405"/>
      <c r="AP1688" s="417"/>
      <c r="AQ1688" s="417" t="s">
        <v>37</v>
      </c>
      <c r="AR1688" s="417"/>
      <c r="AS1688" s="426"/>
      <c r="AT1688" s="426"/>
      <c r="AU1688" s="409">
        <v>0.80577777777000004</v>
      </c>
      <c r="AV1688" s="402">
        <f t="shared" si="363"/>
        <v>0</v>
      </c>
      <c r="AW1688" s="402" cm="1">
        <f t="array" ref="AW1688">SUM(MID(0&amp;AV1688,LARGE(INDEX(ISNUMBER(--MID(AV1688,ROW($1:$8),1))*ROW($1:$8),),ROW($1:$8))+1,1)*10^ROW($1:$8)/10)</f>
        <v>0</v>
      </c>
      <c r="AX1688" s="402" t="e">
        <f>VLOOKUP($AW1688,'Item Master Data'!$A:$F,3,FALSE)</f>
        <v>#N/A</v>
      </c>
      <c r="AY1688" s="402" t="e">
        <f>VLOOKUP($AW1688,'Item Master Data'!$A:$F,6,FALSE)</f>
        <v>#N/A</v>
      </c>
      <c r="AZ1688" s="402" t="e">
        <f t="shared" si="364"/>
        <v>#N/A</v>
      </c>
      <c r="BA1688" s="402" t="e">
        <f>VLOOKUP(AW1688,'Item Master Data'!$A:$G,7,FALSE)</f>
        <v>#N/A</v>
      </c>
      <c r="BC1688" s="402" t="e">
        <f t="shared" si="365"/>
        <v>#N/A</v>
      </c>
    </row>
    <row r="1689" spans="1:55" s="402" customFormat="1">
      <c r="A1689" s="403"/>
      <c r="B1689" s="446">
        <v>44665</v>
      </c>
      <c r="C1689" s="446">
        <v>44665</v>
      </c>
      <c r="D1689" s="416" t="s">
        <v>2480</v>
      </c>
      <c r="E1689" s="405" t="s">
        <v>2367</v>
      </c>
      <c r="F1689" s="405"/>
      <c r="G1689" s="405">
        <v>2022</v>
      </c>
      <c r="H1689" s="405">
        <v>6</v>
      </c>
      <c r="I1689" s="405" t="s">
        <v>1498</v>
      </c>
      <c r="J1689" s="406"/>
      <c r="K1689" s="414" t="s">
        <v>4776</v>
      </c>
      <c r="L1689" s="405" t="s">
        <v>2549</v>
      </c>
      <c r="M1689" s="418">
        <v>44594</v>
      </c>
      <c r="N1689" s="418">
        <v>44655</v>
      </c>
      <c r="O1689" s="418"/>
      <c r="P1689" s="406"/>
      <c r="Q1689" s="406"/>
      <c r="R1689" s="406"/>
      <c r="S1689" s="405" t="s">
        <v>1443</v>
      </c>
      <c r="T1689" s="405">
        <v>60</v>
      </c>
      <c r="U1689" s="405"/>
      <c r="V1689" s="405" t="s">
        <v>973</v>
      </c>
      <c r="W1689" s="405">
        <v>400</v>
      </c>
      <c r="X1689" s="407">
        <v>384</v>
      </c>
      <c r="Y1689" s="408">
        <f t="shared" si="362"/>
        <v>153600</v>
      </c>
      <c r="Z1689" s="409">
        <v>0.52500000000000002</v>
      </c>
      <c r="AA1689" s="410">
        <f t="shared" si="366"/>
        <v>80640</v>
      </c>
      <c r="AB1689" s="411"/>
      <c r="AC1689" s="412">
        <f>AB1689*Y1689</f>
        <v>0</v>
      </c>
      <c r="AD1689" s="421"/>
      <c r="AE1689" s="413"/>
      <c r="AF1689" s="424">
        <f>AE1689+AD1689+AA1689</f>
        <v>80640</v>
      </c>
      <c r="AG1689" s="405" t="s">
        <v>1069</v>
      </c>
      <c r="AH1689" s="405"/>
      <c r="AI1689" s="414">
        <v>60</v>
      </c>
      <c r="AJ1689" s="405" t="s">
        <v>1448</v>
      </c>
      <c r="AK1689" s="425" t="s">
        <v>50</v>
      </c>
      <c r="AL1689" s="405">
        <v>94544</v>
      </c>
      <c r="AM1689" s="405" t="s">
        <v>52</v>
      </c>
      <c r="AN1689" s="405"/>
      <c r="AO1689" s="405"/>
      <c r="AP1689" s="417"/>
      <c r="AQ1689" s="417" t="s">
        <v>37</v>
      </c>
      <c r="AR1689" s="417"/>
      <c r="AS1689" s="426"/>
      <c r="AT1689" s="426"/>
      <c r="AU1689" s="409">
        <v>0.80577777777000004</v>
      </c>
      <c r="AV1689" s="402">
        <f t="shared" si="363"/>
        <v>0</v>
      </c>
      <c r="AW1689" s="402" cm="1">
        <f t="array" ref="AW1689">SUM(MID(0&amp;AV1689,LARGE(INDEX(ISNUMBER(--MID(AV1689,ROW($1:$8),1))*ROW($1:$8),),ROW($1:$8))+1,1)*10^ROW($1:$8)/10)</f>
        <v>0</v>
      </c>
      <c r="AX1689" s="402" t="e">
        <f>VLOOKUP($AW1689,'Item Master Data'!$A:$F,3,FALSE)</f>
        <v>#N/A</v>
      </c>
      <c r="AY1689" s="402" t="e">
        <f>VLOOKUP($AW1689,'Item Master Data'!$A:$F,6,FALSE)</f>
        <v>#N/A</v>
      </c>
      <c r="AZ1689" s="402" t="e">
        <f t="shared" si="364"/>
        <v>#N/A</v>
      </c>
      <c r="BA1689" s="402" t="e">
        <f>VLOOKUP(AW1689,'Item Master Data'!$A:$G,7,FALSE)</f>
        <v>#N/A</v>
      </c>
      <c r="BC1689" s="402" t="e">
        <f t="shared" si="365"/>
        <v>#N/A</v>
      </c>
    </row>
    <row r="1690" spans="1:55" s="402" customFormat="1">
      <c r="A1690" s="403"/>
      <c r="B1690" s="446"/>
      <c r="C1690" s="446"/>
      <c r="D1690" s="416" t="s">
        <v>2480</v>
      </c>
      <c r="E1690" s="405" t="s">
        <v>2544</v>
      </c>
      <c r="F1690" s="405"/>
      <c r="G1690" s="405"/>
      <c r="H1690" s="405">
        <v>6</v>
      </c>
      <c r="I1690" s="405" t="s">
        <v>1498</v>
      </c>
      <c r="J1690" s="406"/>
      <c r="K1690" s="414" t="s">
        <v>2721</v>
      </c>
      <c r="L1690" s="405" t="s">
        <v>2549</v>
      </c>
      <c r="M1690" s="418">
        <v>44594</v>
      </c>
      <c r="N1690" s="418">
        <v>44718</v>
      </c>
      <c r="O1690" s="418"/>
      <c r="P1690" s="406"/>
      <c r="Q1690" s="406"/>
      <c r="R1690" s="406"/>
      <c r="S1690" s="405" t="s">
        <v>1443</v>
      </c>
      <c r="T1690" s="405">
        <v>60</v>
      </c>
      <c r="U1690" s="405"/>
      <c r="V1690" s="405" t="s">
        <v>973</v>
      </c>
      <c r="W1690" s="405">
        <v>400</v>
      </c>
      <c r="X1690" s="407">
        <v>384</v>
      </c>
      <c r="Y1690" s="408">
        <f t="shared" si="362"/>
        <v>153600</v>
      </c>
      <c r="Z1690" s="409">
        <v>0.52500000000000002</v>
      </c>
      <c r="AA1690" s="410">
        <f t="shared" si="366"/>
        <v>80640</v>
      </c>
      <c r="AB1690" s="411"/>
      <c r="AC1690" s="412">
        <f>AB1690*Y1690</f>
        <v>0</v>
      </c>
      <c r="AD1690" s="421"/>
      <c r="AE1690" s="413"/>
      <c r="AF1690" s="424">
        <f>AE1690+AD1690+AA1690</f>
        <v>80640</v>
      </c>
      <c r="AG1690" s="405" t="s">
        <v>1069</v>
      </c>
      <c r="AH1690" s="405"/>
      <c r="AI1690" s="414">
        <v>60</v>
      </c>
      <c r="AJ1690" s="405" t="s">
        <v>1448</v>
      </c>
      <c r="AK1690" s="425" t="s">
        <v>50</v>
      </c>
      <c r="AL1690" s="405">
        <v>94544</v>
      </c>
      <c r="AM1690" s="405" t="s">
        <v>52</v>
      </c>
      <c r="AN1690" s="405"/>
      <c r="AO1690" s="405"/>
      <c r="AP1690" s="417"/>
      <c r="AQ1690" s="417" t="s">
        <v>37</v>
      </c>
      <c r="AR1690" s="417"/>
      <c r="AS1690" s="426"/>
      <c r="AT1690" s="426"/>
      <c r="AU1690" s="409">
        <v>0.80577777777000004</v>
      </c>
      <c r="AV1690" s="402">
        <f t="shared" si="363"/>
        <v>0</v>
      </c>
      <c r="AW1690" s="402" cm="1">
        <f t="array" ref="AW1690">SUM(MID(0&amp;AV1690,LARGE(INDEX(ISNUMBER(--MID(AV1690,ROW($1:$8),1))*ROW($1:$8),),ROW($1:$8))+1,1)*10^ROW($1:$8)/10)</f>
        <v>0</v>
      </c>
      <c r="AX1690" s="402" t="e">
        <f>VLOOKUP($AW1690,'Item Master Data'!$A:$F,3,FALSE)</f>
        <v>#N/A</v>
      </c>
      <c r="AY1690" s="402" t="e">
        <f>VLOOKUP($AW1690,'Item Master Data'!$A:$F,6,FALSE)</f>
        <v>#N/A</v>
      </c>
      <c r="AZ1690" s="402" t="e">
        <f t="shared" si="364"/>
        <v>#N/A</v>
      </c>
      <c r="BA1690" s="402" t="e">
        <f>VLOOKUP(AW1690,'Item Master Data'!$A:$G,7,FALSE)</f>
        <v>#N/A</v>
      </c>
      <c r="BC1690" s="402" t="e">
        <f t="shared" si="365"/>
        <v>#N/A</v>
      </c>
    </row>
    <row r="1691" spans="1:55" s="402" customFormat="1">
      <c r="A1691" s="403"/>
      <c r="B1691" s="446">
        <v>44652</v>
      </c>
      <c r="C1691" s="446">
        <v>44652</v>
      </c>
      <c r="D1691" s="416" t="s">
        <v>2480</v>
      </c>
      <c r="E1691" s="405" t="s">
        <v>1239</v>
      </c>
      <c r="F1691" s="405"/>
      <c r="G1691" s="405">
        <v>2022</v>
      </c>
      <c r="H1691" s="405">
        <v>6</v>
      </c>
      <c r="I1691" s="405" t="s">
        <v>1498</v>
      </c>
      <c r="J1691" s="406"/>
      <c r="K1691" s="414" t="s">
        <v>2636</v>
      </c>
      <c r="L1691" s="405" t="s">
        <v>2549</v>
      </c>
      <c r="M1691" s="418">
        <v>44645</v>
      </c>
      <c r="N1691" s="418">
        <v>44708</v>
      </c>
      <c r="O1691" s="418"/>
      <c r="P1691" s="406"/>
      <c r="Q1691" s="406"/>
      <c r="R1691" s="406"/>
      <c r="S1691" s="405" t="s">
        <v>1940</v>
      </c>
      <c r="T1691" s="405">
        <v>72</v>
      </c>
      <c r="U1691" s="405">
        <v>49303154</v>
      </c>
      <c r="V1691" s="405" t="s">
        <v>1050</v>
      </c>
      <c r="W1691" s="405">
        <v>470</v>
      </c>
      <c r="X1691" s="407">
        <v>696</v>
      </c>
      <c r="Y1691" s="408">
        <f t="shared" si="362"/>
        <v>327120</v>
      </c>
      <c r="Z1691" s="409">
        <v>0.5</v>
      </c>
      <c r="AA1691" s="410">
        <f t="shared" si="366"/>
        <v>163560</v>
      </c>
      <c r="AB1691" s="411"/>
      <c r="AC1691" s="412">
        <v>0</v>
      </c>
      <c r="AD1691" s="421"/>
      <c r="AE1691" s="413"/>
      <c r="AF1691" s="424">
        <v>99180</v>
      </c>
      <c r="AG1691" s="405" t="s">
        <v>1069</v>
      </c>
      <c r="AH1691" s="405"/>
      <c r="AI1691" s="414">
        <v>60</v>
      </c>
      <c r="AJ1691" s="405" t="s">
        <v>1323</v>
      </c>
      <c r="AK1691" s="425" t="s">
        <v>1136</v>
      </c>
      <c r="AL1691" s="405" t="s">
        <v>2608</v>
      </c>
      <c r="AM1691" s="405" t="s">
        <v>52</v>
      </c>
      <c r="AN1691" s="405" t="s">
        <v>1101</v>
      </c>
      <c r="AO1691" s="405"/>
      <c r="AP1691" s="417"/>
      <c r="AQ1691" s="417" t="s">
        <v>37</v>
      </c>
      <c r="AR1691" s="417"/>
      <c r="AS1691" s="426"/>
      <c r="AT1691" s="426"/>
      <c r="AU1691" s="409"/>
      <c r="AV1691" s="402">
        <f t="shared" si="363"/>
        <v>49303154</v>
      </c>
      <c r="AW1691" s="402" cm="1">
        <f t="array" ref="AW1691">SUM(MID(0&amp;AV1691,LARGE(INDEX(ISNUMBER(--MID(AV1691,ROW($1:$8),1))*ROW($1:$8),),ROW($1:$8))+1,1)*10^ROW($1:$8)/10)</f>
        <v>49303154</v>
      </c>
      <c r="AX1691" s="402" t="str">
        <f>VLOOKUP($AW1691,'Item Master Data'!$A:$F,3,FALSE)</f>
        <v>Q.PEAK DUO XL G10 BFG</v>
      </c>
      <c r="AY1691" s="402">
        <f>VLOOKUP($AW1691,'Item Master Data'!$A:$F,6,FALSE)</f>
        <v>470</v>
      </c>
      <c r="AZ1691" s="402">
        <f t="shared" si="364"/>
        <v>24</v>
      </c>
      <c r="BA1691" s="402">
        <f>VLOOKUP(AW1691,'Item Master Data'!$A:$G,7,FALSE)</f>
        <v>29</v>
      </c>
      <c r="BC1691" s="402">
        <f t="shared" si="365"/>
        <v>0</v>
      </c>
    </row>
    <row r="1692" spans="1:55" s="402" customFormat="1">
      <c r="A1692" s="403"/>
      <c r="B1692" s="446">
        <v>44652</v>
      </c>
      <c r="C1692" s="446">
        <v>44671</v>
      </c>
      <c r="D1692" s="416" t="s">
        <v>2480</v>
      </c>
      <c r="E1692" s="405" t="s">
        <v>2544</v>
      </c>
      <c r="F1692" s="405"/>
      <c r="G1692" s="405">
        <v>2022</v>
      </c>
      <c r="H1692" s="405">
        <v>6</v>
      </c>
      <c r="I1692" s="405" t="s">
        <v>1498</v>
      </c>
      <c r="J1692" s="406"/>
      <c r="K1692" s="414" t="s">
        <v>3820</v>
      </c>
      <c r="L1692" s="405" t="s">
        <v>2549</v>
      </c>
      <c r="M1692" s="418">
        <v>44649</v>
      </c>
      <c r="N1692" s="418">
        <v>44690</v>
      </c>
      <c r="O1692" s="418"/>
      <c r="P1692" s="406"/>
      <c r="Q1692" s="406"/>
      <c r="R1692" s="406"/>
      <c r="S1692" s="405" t="s">
        <v>2541</v>
      </c>
      <c r="T1692" s="405">
        <v>60</v>
      </c>
      <c r="U1692" s="405"/>
      <c r="V1692" s="405" t="s">
        <v>973</v>
      </c>
      <c r="W1692" s="405">
        <v>400</v>
      </c>
      <c r="X1692" s="407">
        <v>768</v>
      </c>
      <c r="Y1692" s="408">
        <f t="shared" si="362"/>
        <v>307200</v>
      </c>
      <c r="Z1692" s="409">
        <v>0.52500000000000002</v>
      </c>
      <c r="AA1692" s="410">
        <f t="shared" si="366"/>
        <v>161280</v>
      </c>
      <c r="AB1692" s="411"/>
      <c r="AC1692" s="412">
        <f>AB1692*Y1692</f>
        <v>0</v>
      </c>
      <c r="AD1692" s="421"/>
      <c r="AE1692" s="413"/>
      <c r="AF1692" s="424">
        <f>AE1692+AD1692+AA1692</f>
        <v>161280</v>
      </c>
      <c r="AG1692" s="405" t="s">
        <v>1069</v>
      </c>
      <c r="AH1692" s="405"/>
      <c r="AI1692" s="414">
        <v>60</v>
      </c>
      <c r="AJ1692" s="405" t="s">
        <v>1454</v>
      </c>
      <c r="AK1692" s="425" t="s">
        <v>1136</v>
      </c>
      <c r="AL1692" s="405">
        <v>78744</v>
      </c>
      <c r="AM1692" s="405" t="s">
        <v>52</v>
      </c>
      <c r="AN1692" s="405"/>
      <c r="AO1692" s="405"/>
      <c r="AP1692" s="417"/>
      <c r="AQ1692" s="417" t="s">
        <v>37</v>
      </c>
      <c r="AR1692" s="417" t="s">
        <v>3795</v>
      </c>
      <c r="AS1692" s="426"/>
      <c r="AT1692" s="426"/>
      <c r="AU1692" s="409">
        <v>0.80577777777000004</v>
      </c>
      <c r="AV1692" s="402">
        <f t="shared" si="363"/>
        <v>0</v>
      </c>
      <c r="AW1692" s="402" cm="1">
        <f t="array" ref="AW1692">SUM(MID(0&amp;AV1692,LARGE(INDEX(ISNUMBER(--MID(AV1692,ROW($1:$8),1))*ROW($1:$8),),ROW($1:$8))+1,1)*10^ROW($1:$8)/10)</f>
        <v>0</v>
      </c>
      <c r="AX1692" s="402" t="e">
        <f>VLOOKUP($AW1692,'Item Master Data'!$A:$F,3,FALSE)</f>
        <v>#N/A</v>
      </c>
      <c r="AY1692" s="402" t="e">
        <f>VLOOKUP($AW1692,'Item Master Data'!$A:$F,6,FALSE)</f>
        <v>#N/A</v>
      </c>
      <c r="AZ1692" s="402" t="e">
        <f t="shared" si="364"/>
        <v>#N/A</v>
      </c>
      <c r="BA1692" s="402" t="e">
        <f>VLOOKUP(AW1692,'Item Master Data'!$A:$G,7,FALSE)</f>
        <v>#N/A</v>
      </c>
      <c r="BC1692" s="402" t="e">
        <f t="shared" si="365"/>
        <v>#N/A</v>
      </c>
    </row>
    <row r="1693" spans="1:55" s="402" customFormat="1">
      <c r="A1693" s="403"/>
      <c r="B1693" s="446">
        <v>44680</v>
      </c>
      <c r="C1693" s="446"/>
      <c r="D1693" s="416" t="s">
        <v>2480</v>
      </c>
      <c r="E1693" s="405" t="s">
        <v>4302</v>
      </c>
      <c r="F1693" s="405"/>
      <c r="G1693" s="405">
        <v>2022</v>
      </c>
      <c r="H1693" s="405">
        <v>6</v>
      </c>
      <c r="I1693" s="405" t="s">
        <v>1498</v>
      </c>
      <c r="J1693" s="406"/>
      <c r="K1693" s="414" t="s">
        <v>4460</v>
      </c>
      <c r="L1693" s="405" t="s">
        <v>2549</v>
      </c>
      <c r="M1693" s="418">
        <v>44679</v>
      </c>
      <c r="N1693" s="418">
        <v>44712</v>
      </c>
      <c r="O1693" s="418"/>
      <c r="P1693" s="406"/>
      <c r="Q1693" s="406"/>
      <c r="R1693" s="406"/>
      <c r="S1693" s="405" t="s">
        <v>1940</v>
      </c>
      <c r="T1693" s="405">
        <v>72</v>
      </c>
      <c r="U1693" s="405" t="s">
        <v>4304</v>
      </c>
      <c r="V1693" s="405" t="s">
        <v>1068</v>
      </c>
      <c r="W1693" s="405">
        <v>480</v>
      </c>
      <c r="X1693" s="407">
        <v>435</v>
      </c>
      <c r="Y1693" s="408">
        <f t="shared" si="362"/>
        <v>208800</v>
      </c>
      <c r="Z1693" s="409">
        <v>0.6</v>
      </c>
      <c r="AA1693" s="410">
        <f t="shared" si="366"/>
        <v>125280</v>
      </c>
      <c r="AB1693" s="411"/>
      <c r="AC1693" s="412">
        <f>AB1693*Y1693</f>
        <v>0</v>
      </c>
      <c r="AD1693" s="421"/>
      <c r="AE1693" s="413"/>
      <c r="AF1693" s="424">
        <f>AE1693+AD1693+AA1693</f>
        <v>125280</v>
      </c>
      <c r="AG1693" s="405" t="s">
        <v>1069</v>
      </c>
      <c r="AH1693" s="405"/>
      <c r="AI1693" s="414" t="s">
        <v>1962</v>
      </c>
      <c r="AJ1693" s="405" t="s">
        <v>1454</v>
      </c>
      <c r="AK1693" s="425" t="s">
        <v>1136</v>
      </c>
      <c r="AL1693" s="405">
        <v>78744</v>
      </c>
      <c r="AM1693" s="405" t="s">
        <v>52</v>
      </c>
      <c r="AN1693" s="405"/>
      <c r="AO1693" s="405"/>
      <c r="AP1693" s="417"/>
      <c r="AQ1693" s="417" t="s">
        <v>37</v>
      </c>
      <c r="AR1693" s="417"/>
      <c r="AS1693" s="426"/>
      <c r="AT1693" s="426"/>
      <c r="AU1693" s="409">
        <v>0.55000000000000004</v>
      </c>
      <c r="AV1693" s="402" t="str">
        <f t="shared" si="363"/>
        <v>LONGER MC4 LEADS</v>
      </c>
      <c r="AW1693" s="402" cm="1">
        <f t="array" ref="AW1693">SUM(MID(0&amp;AV1693,LARGE(INDEX(ISNUMBER(--MID(AV1693,ROW($1:$8),1))*ROW($1:$8),),ROW($1:$8))+1,1)*10^ROW($1:$8)/10)</f>
        <v>0</v>
      </c>
      <c r="AX1693" s="402" t="e">
        <f>VLOOKUP($AW1693,'Item Master Data'!$A:$F,3,FALSE)</f>
        <v>#N/A</v>
      </c>
      <c r="AY1693" s="402" t="e">
        <f>VLOOKUP($AW1693,'Item Master Data'!$A:$F,6,FALSE)</f>
        <v>#N/A</v>
      </c>
      <c r="AZ1693" s="402" t="e">
        <f t="shared" si="364"/>
        <v>#N/A</v>
      </c>
      <c r="BA1693" s="402" t="e">
        <f>VLOOKUP(AW1693,'Item Master Data'!$A:$G,7,FALSE)</f>
        <v>#N/A</v>
      </c>
      <c r="BC1693" s="402" t="e">
        <f t="shared" si="365"/>
        <v>#N/A</v>
      </c>
    </row>
    <row r="1694" spans="1:55" s="402" customFormat="1">
      <c r="A1694" s="403"/>
      <c r="B1694" s="446"/>
      <c r="C1694" s="446"/>
      <c r="D1694" s="416" t="s">
        <v>2480</v>
      </c>
      <c r="E1694" s="405" t="s">
        <v>2542</v>
      </c>
      <c r="F1694" s="405"/>
      <c r="G1694" s="405">
        <v>2022</v>
      </c>
      <c r="H1694" s="405">
        <v>6</v>
      </c>
      <c r="I1694" s="405"/>
      <c r="J1694" s="406"/>
      <c r="K1694" s="414" t="s">
        <v>2669</v>
      </c>
      <c r="L1694" s="405" t="s">
        <v>2514</v>
      </c>
      <c r="M1694" s="418">
        <v>44509</v>
      </c>
      <c r="N1694" s="418">
        <v>44576</v>
      </c>
      <c r="O1694" s="418"/>
      <c r="P1694" s="406"/>
      <c r="Q1694" s="406"/>
      <c r="R1694" s="406"/>
      <c r="S1694" s="405" t="s">
        <v>1443</v>
      </c>
      <c r="T1694" s="405">
        <v>60</v>
      </c>
      <c r="U1694" s="405"/>
      <c r="V1694" s="405" t="s">
        <v>986</v>
      </c>
      <c r="W1694" s="405">
        <v>360</v>
      </c>
      <c r="X1694" s="407">
        <v>704</v>
      </c>
      <c r="Y1694" s="408">
        <f t="shared" si="362"/>
        <v>253440</v>
      </c>
      <c r="Z1694" s="409">
        <f>181.8/360</f>
        <v>0.505</v>
      </c>
      <c r="AA1694" s="410">
        <f t="shared" si="366"/>
        <v>127987.2</v>
      </c>
      <c r="AB1694" s="411"/>
      <c r="AC1694" s="412">
        <f>AB1694*Y1694</f>
        <v>0</v>
      </c>
      <c r="AD1694" s="421"/>
      <c r="AE1694" s="413"/>
      <c r="AF1694" s="424">
        <f>AE1694+AD1694+AA1694</f>
        <v>127987.2</v>
      </c>
      <c r="AG1694" s="405" t="s">
        <v>1069</v>
      </c>
      <c r="AH1694" s="405"/>
      <c r="AI1694" s="414">
        <v>60</v>
      </c>
      <c r="AJ1694" s="405" t="s">
        <v>2515</v>
      </c>
      <c r="AK1694" s="425" t="s">
        <v>50</v>
      </c>
      <c r="AL1694" s="405">
        <v>95363</v>
      </c>
      <c r="AM1694" s="405" t="s">
        <v>52</v>
      </c>
      <c r="AN1694" s="405"/>
      <c r="AO1694" s="405"/>
      <c r="AP1694" s="417"/>
      <c r="AQ1694" s="417" t="s">
        <v>37</v>
      </c>
      <c r="AR1694" s="417"/>
      <c r="AS1694" s="426"/>
      <c r="AT1694" s="426"/>
      <c r="AU1694" s="409"/>
      <c r="AV1694" s="402">
        <f t="shared" si="363"/>
        <v>0</v>
      </c>
      <c r="AW1694" s="402" cm="1">
        <f t="array" ref="AW1694">SUM(MID(0&amp;AV1694,LARGE(INDEX(ISNUMBER(--MID(AV1694,ROW($1:$8),1))*ROW($1:$8),),ROW($1:$8))+1,1)*10^ROW($1:$8)/10)</f>
        <v>0</v>
      </c>
      <c r="AX1694" s="402" t="e">
        <f>VLOOKUP($AW1694,'Item Master Data'!$A:$F,3,FALSE)</f>
        <v>#N/A</v>
      </c>
      <c r="AY1694" s="402" t="e">
        <f>VLOOKUP($AW1694,'Item Master Data'!$A:$F,6,FALSE)</f>
        <v>#N/A</v>
      </c>
      <c r="AZ1694" s="402" t="e">
        <f t="shared" si="364"/>
        <v>#N/A</v>
      </c>
      <c r="BA1694" s="402" t="e">
        <f>VLOOKUP(AW1694,'Item Master Data'!$A:$G,7,FALSE)</f>
        <v>#N/A</v>
      </c>
      <c r="BC1694" s="402" t="e">
        <f t="shared" si="365"/>
        <v>#N/A</v>
      </c>
    </row>
    <row r="1695" spans="1:55" s="402" customFormat="1">
      <c r="A1695" s="403"/>
      <c r="B1695" s="446">
        <v>44670</v>
      </c>
      <c r="C1695" s="446">
        <v>44580</v>
      </c>
      <c r="D1695" s="416" t="s">
        <v>2480</v>
      </c>
      <c r="E1695" s="405" t="s">
        <v>2367</v>
      </c>
      <c r="F1695" s="405"/>
      <c r="G1695" s="405">
        <v>2022</v>
      </c>
      <c r="H1695" s="405">
        <v>6</v>
      </c>
      <c r="I1695" s="405" t="s">
        <v>1498</v>
      </c>
      <c r="J1695" s="406"/>
      <c r="K1695" s="414" t="s">
        <v>2670</v>
      </c>
      <c r="L1695" s="405" t="s">
        <v>2514</v>
      </c>
      <c r="M1695" s="418">
        <v>44579</v>
      </c>
      <c r="N1695" s="418">
        <v>44711</v>
      </c>
      <c r="O1695" s="418"/>
      <c r="P1695" s="406"/>
      <c r="Q1695" s="406"/>
      <c r="R1695" s="406"/>
      <c r="S1695" s="405" t="s">
        <v>1443</v>
      </c>
      <c r="T1695" s="405">
        <v>72</v>
      </c>
      <c r="U1695" s="405"/>
      <c r="V1695" s="405" t="s">
        <v>2516</v>
      </c>
      <c r="W1695" s="405">
        <v>480</v>
      </c>
      <c r="X1695" s="407">
        <v>696</v>
      </c>
      <c r="Y1695" s="408">
        <f t="shared" si="362"/>
        <v>334080</v>
      </c>
      <c r="Z1695" s="409">
        <v>0.47499999999999998</v>
      </c>
      <c r="AA1695" s="410">
        <f t="shared" si="366"/>
        <v>158688</v>
      </c>
      <c r="AB1695" s="411"/>
      <c r="AC1695" s="412">
        <v>0</v>
      </c>
      <c r="AD1695" s="421"/>
      <c r="AE1695" s="413"/>
      <c r="AF1695" s="424">
        <v>158688</v>
      </c>
      <c r="AG1695" s="405" t="s">
        <v>1069</v>
      </c>
      <c r="AH1695" s="405"/>
      <c r="AI1695" s="414">
        <v>60</v>
      </c>
      <c r="AJ1695" s="405" t="s">
        <v>2517</v>
      </c>
      <c r="AK1695" s="425" t="s">
        <v>1599</v>
      </c>
      <c r="AL1695" s="405">
        <v>97005</v>
      </c>
      <c r="AM1695" s="405" t="s">
        <v>52</v>
      </c>
      <c r="AN1695" s="405"/>
      <c r="AO1695" s="405"/>
      <c r="AP1695" s="417"/>
      <c r="AQ1695" s="417" t="s">
        <v>37</v>
      </c>
      <c r="AR1695" s="417"/>
      <c r="AS1695" s="426"/>
      <c r="AT1695" s="426"/>
      <c r="AU1695" s="409"/>
      <c r="AV1695" s="402">
        <f t="shared" si="363"/>
        <v>0</v>
      </c>
      <c r="AW1695" s="402" cm="1">
        <f t="array" ref="AW1695">SUM(MID(0&amp;AV1695,LARGE(INDEX(ISNUMBER(--MID(AV1695,ROW($1:$8),1))*ROW($1:$8),),ROW($1:$8))+1,1)*10^ROW($1:$8)/10)</f>
        <v>0</v>
      </c>
      <c r="AX1695" s="402" t="e">
        <f>VLOOKUP($AW1695,'Item Master Data'!$A:$F,3,FALSE)</f>
        <v>#N/A</v>
      </c>
      <c r="AY1695" s="402" t="e">
        <f>VLOOKUP($AW1695,'Item Master Data'!$A:$F,6,FALSE)</f>
        <v>#N/A</v>
      </c>
      <c r="AZ1695" s="402" t="e">
        <f t="shared" si="364"/>
        <v>#N/A</v>
      </c>
      <c r="BA1695" s="402" t="e">
        <f>VLOOKUP(AW1695,'Item Master Data'!$A:$G,7,FALSE)</f>
        <v>#N/A</v>
      </c>
      <c r="BC1695" s="402" t="e">
        <f t="shared" si="365"/>
        <v>#N/A</v>
      </c>
    </row>
    <row r="1696" spans="1:55" s="402" customFormat="1">
      <c r="A1696" s="403"/>
      <c r="B1696" s="446">
        <v>44662</v>
      </c>
      <c r="C1696" s="446">
        <v>44662</v>
      </c>
      <c r="D1696" s="416" t="s">
        <v>2480</v>
      </c>
      <c r="E1696" s="405" t="s">
        <v>2367</v>
      </c>
      <c r="F1696" s="405"/>
      <c r="G1696" s="405">
        <v>2022</v>
      </c>
      <c r="H1696" s="405">
        <v>6</v>
      </c>
      <c r="I1696" s="405" t="s">
        <v>1498</v>
      </c>
      <c r="J1696" s="406"/>
      <c r="K1696" s="414" t="s">
        <v>2671</v>
      </c>
      <c r="L1696" s="405" t="s">
        <v>2514</v>
      </c>
      <c r="M1696" s="418">
        <v>44615</v>
      </c>
      <c r="N1696" s="418">
        <v>44691</v>
      </c>
      <c r="O1696" s="418"/>
      <c r="P1696" s="406"/>
      <c r="Q1696" s="406"/>
      <c r="R1696" s="406"/>
      <c r="S1696" s="405" t="s">
        <v>1443</v>
      </c>
      <c r="T1696" s="405">
        <v>72</v>
      </c>
      <c r="U1696" s="405"/>
      <c r="V1696" s="405" t="s">
        <v>2516</v>
      </c>
      <c r="W1696" s="405">
        <v>480</v>
      </c>
      <c r="X1696" s="407">
        <v>696</v>
      </c>
      <c r="Y1696" s="408">
        <f t="shared" si="362"/>
        <v>334080</v>
      </c>
      <c r="Z1696" s="409">
        <v>0.495</v>
      </c>
      <c r="AA1696" s="410">
        <f t="shared" si="366"/>
        <v>165369.60000000001</v>
      </c>
      <c r="AB1696" s="411"/>
      <c r="AC1696" s="412">
        <v>0</v>
      </c>
      <c r="AD1696" s="421"/>
      <c r="AE1696" s="413"/>
      <c r="AF1696" s="424">
        <v>158688</v>
      </c>
      <c r="AG1696" s="405" t="s">
        <v>1069</v>
      </c>
      <c r="AH1696" s="405"/>
      <c r="AI1696" s="414">
        <v>60</v>
      </c>
      <c r="AJ1696" s="405" t="s">
        <v>2672</v>
      </c>
      <c r="AK1696" s="425" t="s">
        <v>1522</v>
      </c>
      <c r="AL1696" s="405">
        <v>98134</v>
      </c>
      <c r="AM1696" s="405" t="s">
        <v>52</v>
      </c>
      <c r="AN1696" s="405"/>
      <c r="AO1696" s="405"/>
      <c r="AP1696" s="417"/>
      <c r="AQ1696" s="417" t="s">
        <v>2673</v>
      </c>
      <c r="AR1696" s="417"/>
      <c r="AS1696" s="426"/>
      <c r="AT1696" s="426"/>
      <c r="AU1696" s="409"/>
      <c r="AV1696" s="402">
        <f t="shared" si="363"/>
        <v>0</v>
      </c>
      <c r="AW1696" s="402" cm="1">
        <f t="array" ref="AW1696">SUM(MID(0&amp;AV1696,LARGE(INDEX(ISNUMBER(--MID(AV1696,ROW($1:$8),1))*ROW($1:$8),),ROW($1:$8))+1,1)*10^ROW($1:$8)/10)</f>
        <v>0</v>
      </c>
      <c r="AX1696" s="402" t="e">
        <f>VLOOKUP($AW1696,'Item Master Data'!$A:$F,3,FALSE)</f>
        <v>#N/A</v>
      </c>
      <c r="AY1696" s="402" t="e">
        <f>VLOOKUP($AW1696,'Item Master Data'!$A:$F,6,FALSE)</f>
        <v>#N/A</v>
      </c>
      <c r="AZ1696" s="402" t="e">
        <f t="shared" si="364"/>
        <v>#N/A</v>
      </c>
      <c r="BA1696" s="402" t="e">
        <f>VLOOKUP(AW1696,'Item Master Data'!$A:$G,7,FALSE)</f>
        <v>#N/A</v>
      </c>
      <c r="BC1696" s="402" t="e">
        <f t="shared" si="365"/>
        <v>#N/A</v>
      </c>
    </row>
    <row r="1697" spans="1:55" s="402" customFormat="1">
      <c r="A1697" s="403"/>
      <c r="B1697" s="446">
        <v>44658</v>
      </c>
      <c r="C1697" s="403"/>
      <c r="D1697" s="416" t="s">
        <v>2480</v>
      </c>
      <c r="E1697" s="405" t="s">
        <v>2544</v>
      </c>
      <c r="F1697" s="405"/>
      <c r="G1697" s="405">
        <v>2022</v>
      </c>
      <c r="H1697" s="405">
        <v>6</v>
      </c>
      <c r="I1697" s="405" t="s">
        <v>1498</v>
      </c>
      <c r="J1697" s="456"/>
      <c r="K1697" s="414" t="s">
        <v>2674</v>
      </c>
      <c r="L1697" s="405" t="s">
        <v>2514</v>
      </c>
      <c r="M1697" s="418">
        <v>44657</v>
      </c>
      <c r="N1697" s="418">
        <v>44743</v>
      </c>
      <c r="O1697" s="418"/>
      <c r="P1697" s="406"/>
      <c r="Q1697" s="406"/>
      <c r="R1697" s="406"/>
      <c r="S1697" s="405" t="s">
        <v>1443</v>
      </c>
      <c r="T1697" s="405">
        <v>60</v>
      </c>
      <c r="U1697" s="405"/>
      <c r="V1697" s="405" t="s">
        <v>986</v>
      </c>
      <c r="W1697" s="405">
        <v>360</v>
      </c>
      <c r="X1697" s="407">
        <v>704</v>
      </c>
      <c r="Y1697" s="422">
        <f t="shared" si="362"/>
        <v>253440</v>
      </c>
      <c r="Z1697" s="409">
        <v>0.53500000000000003</v>
      </c>
      <c r="AA1697" s="423">
        <f t="shared" si="366"/>
        <v>135590.39999999999</v>
      </c>
      <c r="AB1697" s="411"/>
      <c r="AC1697" s="412">
        <f t="shared" ref="AC1697:AC1703" si="367">AB1697*Y1697</f>
        <v>0</v>
      </c>
      <c r="AD1697" s="421"/>
      <c r="AE1697" s="413"/>
      <c r="AF1697" s="424">
        <f t="shared" ref="AF1697:AF1736" si="368">AE1697+AD1697+AA1697</f>
        <v>135590.39999999999</v>
      </c>
      <c r="AG1697" s="405" t="s">
        <v>1069</v>
      </c>
      <c r="AH1697" s="405"/>
      <c r="AI1697" s="414">
        <v>60</v>
      </c>
      <c r="AJ1697" s="405" t="s">
        <v>2515</v>
      </c>
      <c r="AK1697" s="425" t="s">
        <v>50</v>
      </c>
      <c r="AL1697" s="405">
        <v>95363</v>
      </c>
      <c r="AM1697" s="405" t="s">
        <v>52</v>
      </c>
      <c r="AN1697" s="405"/>
      <c r="AO1697" s="405"/>
      <c r="AP1697" s="417"/>
      <c r="AQ1697" s="417" t="s">
        <v>37</v>
      </c>
      <c r="AR1697" s="417"/>
      <c r="AS1697" s="426"/>
      <c r="AT1697" s="426"/>
      <c r="AU1697" s="409">
        <v>0.80577777777000004</v>
      </c>
      <c r="AV1697" s="402">
        <f t="shared" si="363"/>
        <v>0</v>
      </c>
      <c r="AW1697" s="402" cm="1">
        <f t="array" ref="AW1697">SUM(MID(0&amp;AV1697,LARGE(INDEX(ISNUMBER(--MID(AV1697,ROW($1:$8),1))*ROW($1:$8),),ROW($1:$8))+1,1)*10^ROW($1:$8)/10)</f>
        <v>0</v>
      </c>
      <c r="AX1697" s="402" t="e">
        <f>VLOOKUP($AW1697,'Item Master Data'!$A:$F,3,FALSE)</f>
        <v>#N/A</v>
      </c>
      <c r="AY1697" s="402" t="e">
        <f>VLOOKUP($AW1697,'Item Master Data'!$A:$F,6,FALSE)</f>
        <v>#N/A</v>
      </c>
      <c r="AZ1697" s="402" t="e">
        <f t="shared" si="364"/>
        <v>#N/A</v>
      </c>
      <c r="BA1697" s="402" t="e">
        <f>VLOOKUP(AW1697,'Item Master Data'!$A:$G,7,FALSE)</f>
        <v>#N/A</v>
      </c>
      <c r="BC1697" s="402" t="e">
        <f t="shared" si="365"/>
        <v>#N/A</v>
      </c>
    </row>
    <row r="1698" spans="1:55" s="402" customFormat="1">
      <c r="A1698" s="403"/>
      <c r="B1698" s="446">
        <v>44468</v>
      </c>
      <c r="C1698" s="446">
        <v>44468</v>
      </c>
      <c r="D1698" s="416" t="s">
        <v>2480</v>
      </c>
      <c r="E1698" s="405" t="s">
        <v>2661</v>
      </c>
      <c r="F1698" s="405"/>
      <c r="G1698" s="405">
        <v>2022</v>
      </c>
      <c r="H1698" s="405">
        <v>7</v>
      </c>
      <c r="I1698" s="405"/>
      <c r="J1698" s="406"/>
      <c r="K1698" s="414" t="s">
        <v>2662</v>
      </c>
      <c r="L1698" s="405" t="s">
        <v>2481</v>
      </c>
      <c r="M1698" s="418">
        <v>44466</v>
      </c>
      <c r="N1698" s="418">
        <v>44714</v>
      </c>
      <c r="O1698" s="418"/>
      <c r="P1698" s="406"/>
      <c r="Q1698" s="406"/>
      <c r="R1698" s="406"/>
      <c r="S1698" s="405" t="s">
        <v>1940</v>
      </c>
      <c r="T1698" s="405">
        <v>60</v>
      </c>
      <c r="U1698" s="405">
        <v>49201132</v>
      </c>
      <c r="V1698" s="405" t="s">
        <v>986</v>
      </c>
      <c r="W1698" s="405">
        <v>360</v>
      </c>
      <c r="X1698" s="407">
        <v>320</v>
      </c>
      <c r="Y1698" s="408">
        <f t="shared" si="362"/>
        <v>115200</v>
      </c>
      <c r="Z1698" s="409">
        <v>0.53</v>
      </c>
      <c r="AA1698" s="410">
        <f t="shared" si="366"/>
        <v>61056</v>
      </c>
      <c r="AB1698" s="411"/>
      <c r="AC1698" s="412">
        <f t="shared" si="367"/>
        <v>0</v>
      </c>
      <c r="AD1698" s="421"/>
      <c r="AE1698" s="413"/>
      <c r="AF1698" s="424">
        <f t="shared" si="368"/>
        <v>61056</v>
      </c>
      <c r="AG1698" s="405" t="s">
        <v>47</v>
      </c>
      <c r="AH1698" s="405"/>
      <c r="AI1698" s="414">
        <v>30</v>
      </c>
      <c r="AJ1698" s="405" t="s">
        <v>2642</v>
      </c>
      <c r="AK1698" s="425" t="s">
        <v>1391</v>
      </c>
      <c r="AL1698" s="405">
        <v>54406</v>
      </c>
      <c r="AM1698" s="405" t="s">
        <v>52</v>
      </c>
      <c r="AN1698" s="405"/>
      <c r="AO1698" s="405"/>
      <c r="AP1698" s="417"/>
      <c r="AQ1698" s="417" t="s">
        <v>37</v>
      </c>
      <c r="AR1698" s="417"/>
      <c r="AS1698" s="426"/>
      <c r="AT1698" s="426"/>
      <c r="AU1698" s="409"/>
      <c r="AV1698" s="402">
        <f t="shared" si="363"/>
        <v>49201132</v>
      </c>
      <c r="AW1698" s="402" cm="1">
        <f t="array" ref="AW1698">SUM(MID(0&amp;AV1698,LARGE(INDEX(ISNUMBER(--MID(AV1698,ROW($1:$8),1))*ROW($1:$8),),ROW($1:$8))+1,1)*10^ROW($1:$8)/10)</f>
        <v>49201132</v>
      </c>
      <c r="AX1698" s="402" t="str">
        <f>VLOOKUP($AW1698,'Item Master Data'!$A:$F,3,FALSE)</f>
        <v>Q.PEAK DUO BLK G10+</v>
      </c>
      <c r="AY1698" s="402">
        <f>VLOOKUP($AW1698,'Item Master Data'!$A:$F,6,FALSE)</f>
        <v>360</v>
      </c>
      <c r="AZ1698" s="402">
        <f t="shared" si="364"/>
        <v>10</v>
      </c>
      <c r="BA1698" s="402">
        <f>VLOOKUP(AW1698,'Item Master Data'!$A:$G,7,FALSE)</f>
        <v>32</v>
      </c>
      <c r="BC1698" s="402">
        <f t="shared" si="365"/>
        <v>0</v>
      </c>
    </row>
    <row r="1699" spans="1:55" s="402" customFormat="1">
      <c r="A1699" s="403"/>
      <c r="B1699" s="446">
        <v>44468</v>
      </c>
      <c r="C1699" s="446">
        <v>44468</v>
      </c>
      <c r="D1699" s="416" t="s">
        <v>2480</v>
      </c>
      <c r="E1699" s="405" t="s">
        <v>1239</v>
      </c>
      <c r="F1699" s="405"/>
      <c r="G1699" s="405">
        <v>2022</v>
      </c>
      <c r="H1699" s="405">
        <v>7</v>
      </c>
      <c r="I1699" s="405"/>
      <c r="J1699" s="406"/>
      <c r="K1699" s="414" t="s">
        <v>2698</v>
      </c>
      <c r="L1699" s="405" t="s">
        <v>2481</v>
      </c>
      <c r="M1699" s="418">
        <v>44466</v>
      </c>
      <c r="N1699" s="418">
        <v>44748</v>
      </c>
      <c r="O1699" s="418"/>
      <c r="P1699" s="406"/>
      <c r="Q1699" s="406"/>
      <c r="R1699" s="406"/>
      <c r="S1699" s="405" t="s">
        <v>1940</v>
      </c>
      <c r="T1699" s="405">
        <v>60</v>
      </c>
      <c r="U1699" s="405">
        <v>49201132</v>
      </c>
      <c r="V1699" s="405" t="s">
        <v>986</v>
      </c>
      <c r="W1699" s="405">
        <v>360</v>
      </c>
      <c r="X1699" s="407">
        <v>320</v>
      </c>
      <c r="Y1699" s="408">
        <f t="shared" si="362"/>
        <v>115200</v>
      </c>
      <c r="Z1699" s="409">
        <v>0.53</v>
      </c>
      <c r="AA1699" s="410">
        <f t="shared" si="366"/>
        <v>61056</v>
      </c>
      <c r="AB1699" s="411"/>
      <c r="AC1699" s="412">
        <f t="shared" si="367"/>
        <v>0</v>
      </c>
      <c r="AD1699" s="421"/>
      <c r="AE1699" s="413"/>
      <c r="AF1699" s="424">
        <f t="shared" si="368"/>
        <v>61056</v>
      </c>
      <c r="AG1699" s="405" t="s">
        <v>47</v>
      </c>
      <c r="AH1699" s="405"/>
      <c r="AI1699" s="414">
        <v>30</v>
      </c>
      <c r="AJ1699" s="405" t="s">
        <v>2642</v>
      </c>
      <c r="AK1699" s="425" t="s">
        <v>1391</v>
      </c>
      <c r="AL1699" s="405">
        <v>54406</v>
      </c>
      <c r="AM1699" s="405" t="s">
        <v>52</v>
      </c>
      <c r="AN1699" s="405"/>
      <c r="AO1699" s="405"/>
      <c r="AP1699" s="417"/>
      <c r="AQ1699" s="417" t="s">
        <v>37</v>
      </c>
      <c r="AR1699" s="417"/>
      <c r="AS1699" s="426"/>
      <c r="AT1699" s="426"/>
      <c r="AU1699" s="409"/>
      <c r="AV1699" s="402">
        <f t="shared" si="363"/>
        <v>49201132</v>
      </c>
      <c r="AW1699" s="402" cm="1">
        <f t="array" ref="AW1699">SUM(MID(0&amp;AV1699,LARGE(INDEX(ISNUMBER(--MID(AV1699,ROW($1:$8),1))*ROW($1:$8),),ROW($1:$8))+1,1)*10^ROW($1:$8)/10)</f>
        <v>49201132</v>
      </c>
      <c r="AX1699" s="402" t="str">
        <f>VLOOKUP($AW1699,'Item Master Data'!$A:$F,3,FALSE)</f>
        <v>Q.PEAK DUO BLK G10+</v>
      </c>
      <c r="AY1699" s="402">
        <f>VLOOKUP($AW1699,'Item Master Data'!$A:$F,6,FALSE)</f>
        <v>360</v>
      </c>
      <c r="AZ1699" s="402">
        <f t="shared" si="364"/>
        <v>10</v>
      </c>
      <c r="BA1699" s="402">
        <f>VLOOKUP(AW1699,'Item Master Data'!$A:$G,7,FALSE)</f>
        <v>32</v>
      </c>
      <c r="BC1699" s="402">
        <f t="shared" si="365"/>
        <v>0</v>
      </c>
    </row>
    <row r="1700" spans="1:55" s="402" customFormat="1">
      <c r="A1700" s="403"/>
      <c r="B1700" s="446">
        <v>44630</v>
      </c>
      <c r="C1700" s="446">
        <v>44630</v>
      </c>
      <c r="D1700" s="416" t="s">
        <v>2480</v>
      </c>
      <c r="E1700" s="405" t="s">
        <v>1239</v>
      </c>
      <c r="F1700" s="405"/>
      <c r="G1700" s="405">
        <v>2022</v>
      </c>
      <c r="H1700" s="405">
        <v>7</v>
      </c>
      <c r="I1700" s="405" t="s">
        <v>1498</v>
      </c>
      <c r="J1700" s="406"/>
      <c r="K1700" s="414" t="s">
        <v>2758</v>
      </c>
      <c r="L1700" s="405" t="s">
        <v>2481</v>
      </c>
      <c r="M1700" s="418">
        <v>44630</v>
      </c>
      <c r="N1700" s="418">
        <v>44743</v>
      </c>
      <c r="O1700" s="418"/>
      <c r="P1700" s="406"/>
      <c r="Q1700" s="406"/>
      <c r="R1700" s="406"/>
      <c r="S1700" s="405" t="s">
        <v>1940</v>
      </c>
      <c r="T1700" s="405">
        <v>60</v>
      </c>
      <c r="U1700" s="405"/>
      <c r="V1700" s="405" t="s">
        <v>973</v>
      </c>
      <c r="W1700" s="405">
        <v>400</v>
      </c>
      <c r="X1700" s="407">
        <v>1088</v>
      </c>
      <c r="Y1700" s="408">
        <f t="shared" si="362"/>
        <v>435200</v>
      </c>
      <c r="Z1700" s="409">
        <v>0.57999999999999996</v>
      </c>
      <c r="AA1700" s="410">
        <f t="shared" si="366"/>
        <v>252415.99999999997</v>
      </c>
      <c r="AB1700" s="411"/>
      <c r="AC1700" s="412">
        <f t="shared" si="367"/>
        <v>0</v>
      </c>
      <c r="AD1700" s="421"/>
      <c r="AE1700" s="413"/>
      <c r="AF1700" s="424">
        <f t="shared" si="368"/>
        <v>252415.99999999997</v>
      </c>
      <c r="AG1700" s="405" t="s">
        <v>47</v>
      </c>
      <c r="AH1700" s="405"/>
      <c r="AI1700" s="414" t="s">
        <v>1937</v>
      </c>
      <c r="AJ1700" s="405" t="s">
        <v>2759</v>
      </c>
      <c r="AK1700" s="425" t="s">
        <v>2760</v>
      </c>
      <c r="AL1700" s="405">
        <v>3216</v>
      </c>
      <c r="AM1700" s="405" t="s">
        <v>52</v>
      </c>
      <c r="AN1700" s="405"/>
      <c r="AO1700" s="405"/>
      <c r="AP1700" s="417"/>
      <c r="AQ1700" s="417" t="s">
        <v>37</v>
      </c>
      <c r="AR1700" s="417"/>
      <c r="AS1700" s="426"/>
      <c r="AT1700" s="426"/>
      <c r="AU1700" s="409">
        <v>0.55000000000000004</v>
      </c>
      <c r="AV1700" s="402">
        <f t="shared" si="363"/>
        <v>0</v>
      </c>
      <c r="AW1700" s="402" cm="1">
        <f t="array" ref="AW1700">SUM(MID(0&amp;AV1700,LARGE(INDEX(ISNUMBER(--MID(AV1700,ROW($1:$8),1))*ROW($1:$8),),ROW($1:$8))+1,1)*10^ROW($1:$8)/10)</f>
        <v>0</v>
      </c>
      <c r="AX1700" s="402" t="e">
        <f>VLOOKUP($AW1700,'Item Master Data'!$A:$F,3,FALSE)</f>
        <v>#N/A</v>
      </c>
      <c r="AY1700" s="402" t="e">
        <f>VLOOKUP($AW1700,'Item Master Data'!$A:$F,6,FALSE)</f>
        <v>#N/A</v>
      </c>
      <c r="AZ1700" s="402" t="e">
        <f t="shared" si="364"/>
        <v>#N/A</v>
      </c>
      <c r="BA1700" s="402" t="e">
        <f>VLOOKUP(AW1700,'Item Master Data'!$A:$G,7,FALSE)</f>
        <v>#N/A</v>
      </c>
      <c r="BC1700" s="402" t="e">
        <f t="shared" si="365"/>
        <v>#N/A</v>
      </c>
    </row>
    <row r="1701" spans="1:55" s="402" customFormat="1">
      <c r="A1701" s="403"/>
      <c r="B1701" s="446">
        <v>44656</v>
      </c>
      <c r="C1701" s="446">
        <v>44656</v>
      </c>
      <c r="D1701" s="416" t="s">
        <v>2480</v>
      </c>
      <c r="E1701" s="405" t="s">
        <v>2761</v>
      </c>
      <c r="F1701" s="405"/>
      <c r="G1701" s="405">
        <v>2022</v>
      </c>
      <c r="H1701" s="405">
        <v>7</v>
      </c>
      <c r="I1701" s="405"/>
      <c r="J1701" s="406"/>
      <c r="K1701" s="414" t="s">
        <v>2762</v>
      </c>
      <c r="L1701" s="405" t="s">
        <v>2481</v>
      </c>
      <c r="M1701" s="418">
        <v>44655</v>
      </c>
      <c r="N1701" s="418">
        <v>44753</v>
      </c>
      <c r="O1701" s="418"/>
      <c r="P1701" s="406"/>
      <c r="Q1701" s="406"/>
      <c r="R1701" s="406"/>
      <c r="S1701" s="405" t="s">
        <v>1940</v>
      </c>
      <c r="T1701" s="405">
        <v>60</v>
      </c>
      <c r="U1701" s="405"/>
      <c r="V1701" s="405" t="s">
        <v>986</v>
      </c>
      <c r="W1701" s="405">
        <v>365</v>
      </c>
      <c r="X1701" s="407">
        <v>320</v>
      </c>
      <c r="Y1701" s="408">
        <f t="shared" si="362"/>
        <v>116800</v>
      </c>
      <c r="Z1701" s="409">
        <v>0.56000000000000005</v>
      </c>
      <c r="AA1701" s="410">
        <f t="shared" si="366"/>
        <v>65408.000000000007</v>
      </c>
      <c r="AB1701" s="411"/>
      <c r="AC1701" s="412">
        <f t="shared" si="367"/>
        <v>0</v>
      </c>
      <c r="AD1701" s="421"/>
      <c r="AE1701" s="413"/>
      <c r="AF1701" s="424">
        <f t="shared" si="368"/>
        <v>65408.000000000007</v>
      </c>
      <c r="AG1701" s="405" t="s">
        <v>47</v>
      </c>
      <c r="AH1701" s="405"/>
      <c r="AI1701" s="414" t="s">
        <v>1937</v>
      </c>
      <c r="AJ1701" s="405" t="s">
        <v>2763</v>
      </c>
      <c r="AK1701" s="425" t="s">
        <v>1092</v>
      </c>
      <c r="AL1701" s="405">
        <v>1085</v>
      </c>
      <c r="AM1701" s="405" t="s">
        <v>52</v>
      </c>
      <c r="AN1701" s="405"/>
      <c r="AO1701" s="405"/>
      <c r="AP1701" s="417"/>
      <c r="AQ1701" s="417" t="s">
        <v>37</v>
      </c>
      <c r="AR1701" s="417"/>
      <c r="AS1701" s="426"/>
      <c r="AT1701" s="426"/>
      <c r="AU1701" s="409">
        <v>0.55000000000000004</v>
      </c>
      <c r="AV1701" s="402">
        <f t="shared" si="363"/>
        <v>0</v>
      </c>
      <c r="AW1701" s="402" cm="1">
        <f t="array" ref="AW1701">SUM(MID(0&amp;AV1701,LARGE(INDEX(ISNUMBER(--MID(AV1701,ROW($1:$8),1))*ROW($1:$8),),ROW($1:$8))+1,1)*10^ROW($1:$8)/10)</f>
        <v>0</v>
      </c>
      <c r="AX1701" s="402" t="e">
        <f>VLOOKUP($AW1701,'Item Master Data'!$A:$F,3,FALSE)</f>
        <v>#N/A</v>
      </c>
      <c r="AY1701" s="402" t="e">
        <f>VLOOKUP($AW1701,'Item Master Data'!$A:$F,6,FALSE)</f>
        <v>#N/A</v>
      </c>
      <c r="AZ1701" s="402" t="e">
        <f t="shared" si="364"/>
        <v>#N/A</v>
      </c>
      <c r="BA1701" s="402" t="e">
        <f>VLOOKUP(AW1701,'Item Master Data'!$A:$G,7,FALSE)</f>
        <v>#N/A</v>
      </c>
      <c r="BC1701" s="402" t="e">
        <f t="shared" si="365"/>
        <v>#N/A</v>
      </c>
    </row>
    <row r="1702" spans="1:55" s="402" customFormat="1">
      <c r="A1702" s="403"/>
      <c r="B1702" s="446">
        <v>44677</v>
      </c>
      <c r="C1702" s="446">
        <v>44636</v>
      </c>
      <c r="D1702" s="416" t="s">
        <v>2480</v>
      </c>
      <c r="E1702" s="405"/>
      <c r="F1702" s="405"/>
      <c r="G1702" s="405">
        <v>2022</v>
      </c>
      <c r="H1702" s="405">
        <v>7</v>
      </c>
      <c r="I1702" s="405"/>
      <c r="J1702" s="406"/>
      <c r="K1702" s="414" t="s">
        <v>2511</v>
      </c>
      <c r="L1702" s="405" t="s">
        <v>2512</v>
      </c>
      <c r="M1702" s="418">
        <v>44503</v>
      </c>
      <c r="N1702" s="418">
        <v>44743</v>
      </c>
      <c r="O1702" s="418"/>
      <c r="P1702" s="406" t="s">
        <v>1071</v>
      </c>
      <c r="Q1702" s="406"/>
      <c r="R1702" s="406"/>
      <c r="S1702" s="405" t="s">
        <v>1940</v>
      </c>
      <c r="T1702" s="405">
        <v>72</v>
      </c>
      <c r="U1702" s="405" t="s">
        <v>1079</v>
      </c>
      <c r="V1702" s="405" t="s">
        <v>2513</v>
      </c>
      <c r="W1702" s="405">
        <v>480</v>
      </c>
      <c r="X1702" s="407">
        <v>290</v>
      </c>
      <c r="Y1702" s="422">
        <f t="shared" si="362"/>
        <v>139200</v>
      </c>
      <c r="Z1702" s="409">
        <v>0.47499999999999998</v>
      </c>
      <c r="AA1702" s="410">
        <f t="shared" si="366"/>
        <v>66120</v>
      </c>
      <c r="AB1702" s="411"/>
      <c r="AC1702" s="412">
        <f t="shared" si="367"/>
        <v>0</v>
      </c>
      <c r="AD1702" s="421"/>
      <c r="AE1702" s="413"/>
      <c r="AF1702" s="424">
        <f t="shared" si="368"/>
        <v>66120</v>
      </c>
      <c r="AG1702" s="405" t="s">
        <v>1069</v>
      </c>
      <c r="AH1702" s="405"/>
      <c r="AI1702" s="414" t="s">
        <v>1962</v>
      </c>
      <c r="AJ1702" s="405" t="s">
        <v>1233</v>
      </c>
      <c r="AK1702" s="425" t="s">
        <v>1955</v>
      </c>
      <c r="AL1702" s="405">
        <v>66105</v>
      </c>
      <c r="AM1702" s="405" t="s">
        <v>52</v>
      </c>
      <c r="AN1702" s="405" t="s">
        <v>1082</v>
      </c>
      <c r="AO1702" s="405"/>
      <c r="AP1702" s="417" t="s">
        <v>38</v>
      </c>
      <c r="AQ1702" s="417" t="s">
        <v>37</v>
      </c>
      <c r="AR1702" s="417"/>
      <c r="AS1702" s="426"/>
      <c r="AT1702" s="426"/>
      <c r="AU1702" s="409"/>
      <c r="AV1702" s="402" t="str">
        <f t="shared" si="363"/>
        <v>12005833C</v>
      </c>
      <c r="AW1702" s="402" cm="1">
        <f t="array" ref="AW1702">SUM(MID(0&amp;AV1702,LARGE(INDEX(ISNUMBER(--MID(AV1702,ROW($1:$8),1))*ROW($1:$8),),ROW($1:$8))+1,1)*10^ROW($1:$8)/10)</f>
        <v>12005833</v>
      </c>
      <c r="AX1702" s="402" t="str">
        <f>VLOOKUP($AW1702,'Item Master Data'!$A:$F,3,FALSE)</f>
        <v>Q.PEAK DUO XL G10 BFG</v>
      </c>
      <c r="AY1702" s="402">
        <f>VLOOKUP($AW1702,'Item Master Data'!$A:$F,6,FALSE)</f>
        <v>475</v>
      </c>
      <c r="AZ1702" s="402">
        <f t="shared" si="364"/>
        <v>9.6666666666666661</v>
      </c>
      <c r="BA1702" s="402">
        <f>VLOOKUP(AW1702,'Item Master Data'!$A:$G,7,FALSE)</f>
        <v>30</v>
      </c>
      <c r="BC1702" s="402">
        <f t="shared" si="365"/>
        <v>5</v>
      </c>
    </row>
    <row r="1703" spans="1:55" s="402" customFormat="1">
      <c r="A1703" s="403"/>
      <c r="B1703" s="446">
        <v>44677</v>
      </c>
      <c r="C1703" s="446">
        <v>44636</v>
      </c>
      <c r="D1703" s="416" t="s">
        <v>2480</v>
      </c>
      <c r="E1703" s="405"/>
      <c r="F1703" s="405"/>
      <c r="G1703" s="405">
        <v>2022</v>
      </c>
      <c r="H1703" s="405">
        <v>7</v>
      </c>
      <c r="I1703" s="405"/>
      <c r="J1703" s="406"/>
      <c r="K1703" s="414" t="s">
        <v>2521</v>
      </c>
      <c r="L1703" s="405" t="s">
        <v>2512</v>
      </c>
      <c r="M1703" s="418">
        <v>44503</v>
      </c>
      <c r="N1703" s="418">
        <v>44743</v>
      </c>
      <c r="O1703" s="418"/>
      <c r="P1703" s="406" t="s">
        <v>1071</v>
      </c>
      <c r="Q1703" s="406"/>
      <c r="R1703" s="406"/>
      <c r="S1703" s="405" t="s">
        <v>1940</v>
      </c>
      <c r="T1703" s="405">
        <v>72</v>
      </c>
      <c r="U1703" s="405" t="s">
        <v>1079</v>
      </c>
      <c r="V1703" s="405" t="s">
        <v>2513</v>
      </c>
      <c r="W1703" s="405">
        <v>480</v>
      </c>
      <c r="X1703" s="407">
        <v>2088</v>
      </c>
      <c r="Y1703" s="422">
        <f t="shared" si="362"/>
        <v>1002240</v>
      </c>
      <c r="Z1703" s="409">
        <v>0.47499999999999998</v>
      </c>
      <c r="AA1703" s="410">
        <f t="shared" si="366"/>
        <v>476064</v>
      </c>
      <c r="AB1703" s="411"/>
      <c r="AC1703" s="412">
        <f t="shared" si="367"/>
        <v>0</v>
      </c>
      <c r="AD1703" s="421"/>
      <c r="AE1703" s="413"/>
      <c r="AF1703" s="424">
        <f t="shared" si="368"/>
        <v>476064</v>
      </c>
      <c r="AG1703" s="405" t="s">
        <v>1069</v>
      </c>
      <c r="AH1703" s="405"/>
      <c r="AI1703" s="414" t="s">
        <v>1962</v>
      </c>
      <c r="AJ1703" s="405" t="s">
        <v>1233</v>
      </c>
      <c r="AK1703" s="425" t="s">
        <v>1955</v>
      </c>
      <c r="AL1703" s="405">
        <v>66105</v>
      </c>
      <c r="AM1703" s="405" t="s">
        <v>52</v>
      </c>
      <c r="AN1703" s="405" t="s">
        <v>1082</v>
      </c>
      <c r="AO1703" s="405"/>
      <c r="AP1703" s="417"/>
      <c r="AQ1703" s="417" t="s">
        <v>37</v>
      </c>
      <c r="AR1703" s="417"/>
      <c r="AS1703" s="426"/>
      <c r="AT1703" s="426"/>
      <c r="AU1703" s="409"/>
      <c r="AV1703" s="402" t="str">
        <f t="shared" si="363"/>
        <v>12005833C</v>
      </c>
      <c r="AW1703" s="402" cm="1">
        <f t="array" ref="AW1703">SUM(MID(0&amp;AV1703,LARGE(INDEX(ISNUMBER(--MID(AV1703,ROW($1:$8),1))*ROW($1:$8),),ROW($1:$8))+1,1)*10^ROW($1:$8)/10)</f>
        <v>12005833</v>
      </c>
      <c r="AX1703" s="402" t="str">
        <f>VLOOKUP($AW1703,'Item Master Data'!$A:$F,3,FALSE)</f>
        <v>Q.PEAK DUO XL G10 BFG</v>
      </c>
      <c r="AY1703" s="402">
        <f>VLOOKUP($AW1703,'Item Master Data'!$A:$F,6,FALSE)</f>
        <v>475</v>
      </c>
      <c r="AZ1703" s="402">
        <f t="shared" si="364"/>
        <v>69.599999999999994</v>
      </c>
      <c r="BA1703" s="402">
        <f>VLOOKUP(AW1703,'Item Master Data'!$A:$G,7,FALSE)</f>
        <v>30</v>
      </c>
      <c r="BC1703" s="402">
        <f t="shared" si="365"/>
        <v>5</v>
      </c>
    </row>
    <row r="1704" spans="1:55" s="402" customFormat="1">
      <c r="A1704" s="403"/>
      <c r="B1704" s="446">
        <v>44636</v>
      </c>
      <c r="C1704" s="446">
        <v>44636</v>
      </c>
      <c r="D1704" s="416" t="s">
        <v>2480</v>
      </c>
      <c r="E1704" s="405" t="s">
        <v>2644</v>
      </c>
      <c r="F1704" s="405"/>
      <c r="G1704" s="405">
        <v>2022</v>
      </c>
      <c r="H1704" s="405">
        <v>7</v>
      </c>
      <c r="I1704" s="405" t="s">
        <v>1498</v>
      </c>
      <c r="J1704" s="406"/>
      <c r="K1704" s="414" t="s">
        <v>2645</v>
      </c>
      <c r="L1704" s="405" t="s">
        <v>2512</v>
      </c>
      <c r="M1704" s="418">
        <v>44578</v>
      </c>
      <c r="N1704" s="418">
        <v>44747</v>
      </c>
      <c r="O1704" s="418"/>
      <c r="P1704" s="406" t="s">
        <v>1071</v>
      </c>
      <c r="Q1704" s="406"/>
      <c r="R1704" s="406"/>
      <c r="S1704" s="405" t="s">
        <v>1940</v>
      </c>
      <c r="T1704" s="405">
        <v>72</v>
      </c>
      <c r="U1704" s="405"/>
      <c r="V1704" s="405" t="s">
        <v>2513</v>
      </c>
      <c r="W1704" s="405">
        <v>480</v>
      </c>
      <c r="X1704" s="407">
        <v>5630</v>
      </c>
      <c r="Y1704" s="408">
        <f t="shared" si="362"/>
        <v>2702400</v>
      </c>
      <c r="Z1704" s="409">
        <v>0.47499999999999998</v>
      </c>
      <c r="AA1704" s="410">
        <f t="shared" si="366"/>
        <v>1283640</v>
      </c>
      <c r="AB1704" s="411"/>
      <c r="AC1704" s="412">
        <v>0</v>
      </c>
      <c r="AD1704" s="421"/>
      <c r="AE1704" s="413"/>
      <c r="AF1704" s="424">
        <f t="shared" si="368"/>
        <v>1283640</v>
      </c>
      <c r="AG1704" s="405" t="s">
        <v>1069</v>
      </c>
      <c r="AH1704" s="405"/>
      <c r="AI1704" s="414">
        <v>60</v>
      </c>
      <c r="AJ1704" s="405" t="s">
        <v>1233</v>
      </c>
      <c r="AK1704" s="425" t="s">
        <v>1955</v>
      </c>
      <c r="AL1704" s="405">
        <v>66105</v>
      </c>
      <c r="AM1704" s="405" t="s">
        <v>52</v>
      </c>
      <c r="AN1704" s="405"/>
      <c r="AO1704" s="405"/>
      <c r="AP1704" s="417"/>
      <c r="AQ1704" s="417" t="s">
        <v>37</v>
      </c>
      <c r="AR1704" s="417"/>
      <c r="AS1704" s="426"/>
      <c r="AT1704" s="426"/>
      <c r="AU1704" s="409"/>
      <c r="AV1704" s="402">
        <f t="shared" si="363"/>
        <v>0</v>
      </c>
      <c r="AW1704" s="402" cm="1">
        <f t="array" ref="AW1704">SUM(MID(0&amp;AV1704,LARGE(INDEX(ISNUMBER(--MID(AV1704,ROW($1:$8),1))*ROW($1:$8),),ROW($1:$8))+1,1)*10^ROW($1:$8)/10)</f>
        <v>0</v>
      </c>
      <c r="AX1704" s="402" t="e">
        <f>VLOOKUP($AW1704,'Item Master Data'!$A:$F,3,FALSE)</f>
        <v>#N/A</v>
      </c>
      <c r="AY1704" s="402" t="e">
        <f>VLOOKUP($AW1704,'Item Master Data'!$A:$F,6,FALSE)</f>
        <v>#N/A</v>
      </c>
      <c r="AZ1704" s="402" t="e">
        <f t="shared" si="364"/>
        <v>#N/A</v>
      </c>
      <c r="BA1704" s="402" t="e">
        <f>VLOOKUP(AW1704,'Item Master Data'!$A:$G,7,FALSE)</f>
        <v>#N/A</v>
      </c>
      <c r="BC1704" s="402" t="e">
        <f t="shared" si="365"/>
        <v>#N/A</v>
      </c>
    </row>
    <row r="1705" spans="1:55" s="402" customFormat="1">
      <c r="A1705" s="403"/>
      <c r="B1705" s="446">
        <v>44608</v>
      </c>
      <c r="C1705" s="446">
        <v>44636</v>
      </c>
      <c r="D1705" s="416" t="s">
        <v>2480</v>
      </c>
      <c r="E1705" s="405" t="s">
        <v>2367</v>
      </c>
      <c r="F1705" s="405"/>
      <c r="G1705" s="405">
        <v>2022</v>
      </c>
      <c r="H1705" s="405">
        <v>7</v>
      </c>
      <c r="I1705" s="405" t="s">
        <v>1498</v>
      </c>
      <c r="J1705" s="406"/>
      <c r="K1705" s="414" t="s">
        <v>2764</v>
      </c>
      <c r="L1705" s="405" t="s">
        <v>2765</v>
      </c>
      <c r="M1705" s="418">
        <v>44608</v>
      </c>
      <c r="N1705" s="418">
        <v>44608</v>
      </c>
      <c r="O1705" s="418">
        <v>44743</v>
      </c>
      <c r="P1705" s="406"/>
      <c r="Q1705" s="406"/>
      <c r="R1705" s="406"/>
      <c r="S1705" s="405" t="s">
        <v>1940</v>
      </c>
      <c r="T1705" s="405">
        <v>60</v>
      </c>
      <c r="U1705" s="405"/>
      <c r="V1705" s="405" t="s">
        <v>973</v>
      </c>
      <c r="W1705" s="405">
        <v>400</v>
      </c>
      <c r="X1705" s="407">
        <v>768</v>
      </c>
      <c r="Y1705" s="408">
        <f t="shared" si="362"/>
        <v>307200</v>
      </c>
      <c r="Z1705" s="409">
        <v>0.55000000000000004</v>
      </c>
      <c r="AA1705" s="410">
        <f t="shared" si="366"/>
        <v>168960</v>
      </c>
      <c r="AB1705" s="411"/>
      <c r="AC1705" s="412">
        <f t="shared" ref="AC1705:AC1736" si="369">AB1705*Y1705</f>
        <v>0</v>
      </c>
      <c r="AD1705" s="421"/>
      <c r="AE1705" s="413"/>
      <c r="AF1705" s="424">
        <f t="shared" si="368"/>
        <v>168960</v>
      </c>
      <c r="AG1705" s="405" t="s">
        <v>1069</v>
      </c>
      <c r="AH1705" s="405"/>
      <c r="AI1705" s="414" t="s">
        <v>1962</v>
      </c>
      <c r="AJ1705" s="405" t="s">
        <v>2494</v>
      </c>
      <c r="AK1705" s="425" t="s">
        <v>1930</v>
      </c>
      <c r="AL1705" s="405">
        <v>80915</v>
      </c>
      <c r="AM1705" s="405" t="s">
        <v>52</v>
      </c>
      <c r="AN1705" s="405"/>
      <c r="AO1705" s="405"/>
      <c r="AP1705" s="417"/>
      <c r="AQ1705" s="417" t="s">
        <v>37</v>
      </c>
      <c r="AR1705" s="417"/>
      <c r="AS1705" s="426"/>
      <c r="AT1705" s="426"/>
      <c r="AU1705" s="409">
        <v>0.5</v>
      </c>
    </row>
    <row r="1706" spans="1:55" s="402" customFormat="1">
      <c r="A1706" s="403"/>
      <c r="B1706" s="403"/>
      <c r="C1706" s="403"/>
      <c r="D1706" s="416" t="s">
        <v>2480</v>
      </c>
      <c r="E1706" s="405" t="s">
        <v>2367</v>
      </c>
      <c r="F1706" s="405"/>
      <c r="G1706" s="405">
        <v>2022</v>
      </c>
      <c r="H1706" s="405">
        <v>7</v>
      </c>
      <c r="I1706" s="405" t="s">
        <v>1498</v>
      </c>
      <c r="J1706" s="406"/>
      <c r="K1706" s="414" t="s">
        <v>4468</v>
      </c>
      <c r="L1706" s="405" t="s">
        <v>2485</v>
      </c>
      <c r="M1706" s="418">
        <v>44593</v>
      </c>
      <c r="N1706" s="418">
        <v>44593</v>
      </c>
      <c r="O1706" s="418" t="s">
        <v>1932</v>
      </c>
      <c r="P1706" s="406"/>
      <c r="Q1706" s="406"/>
      <c r="R1706" s="406"/>
      <c r="S1706" s="405" t="s">
        <v>1940</v>
      </c>
      <c r="T1706" s="405">
        <v>60</v>
      </c>
      <c r="U1706" s="405"/>
      <c r="V1706" s="405" t="s">
        <v>973</v>
      </c>
      <c r="W1706" s="405">
        <v>400</v>
      </c>
      <c r="X1706" s="407">
        <f>6912-768-768-768</f>
        <v>4608</v>
      </c>
      <c r="Y1706" s="422">
        <f t="shared" si="362"/>
        <v>1843200</v>
      </c>
      <c r="Z1706" s="409">
        <v>0.55000000000000004</v>
      </c>
      <c r="AA1706" s="423">
        <f t="shared" si="366"/>
        <v>1013760.0000000001</v>
      </c>
      <c r="AB1706" s="411"/>
      <c r="AC1706" s="412">
        <f t="shared" si="369"/>
        <v>0</v>
      </c>
      <c r="AD1706" s="421"/>
      <c r="AE1706" s="413"/>
      <c r="AF1706" s="424">
        <f t="shared" si="368"/>
        <v>1013760.0000000001</v>
      </c>
      <c r="AG1706" s="405"/>
      <c r="AH1706" s="405"/>
      <c r="AI1706" s="414"/>
      <c r="AJ1706" s="405" t="s">
        <v>2486</v>
      </c>
      <c r="AK1706" s="425" t="s">
        <v>1136</v>
      </c>
      <c r="AL1706" s="405">
        <v>76011</v>
      </c>
      <c r="AM1706" s="405" t="s">
        <v>52</v>
      </c>
      <c r="AN1706" s="405"/>
      <c r="AO1706" s="405"/>
      <c r="AP1706" s="417"/>
      <c r="AQ1706" s="417" t="s">
        <v>37</v>
      </c>
      <c r="AR1706" s="417" t="s">
        <v>1499</v>
      </c>
      <c r="AS1706" s="426"/>
      <c r="AT1706" s="426"/>
      <c r="AU1706" s="496"/>
      <c r="AV1706" s="402">
        <f>U1706</f>
        <v>0</v>
      </c>
      <c r="AW1706" s="402" cm="1">
        <f t="array" ref="AW1706">SUM(MID(0&amp;AV1706,LARGE(INDEX(ISNUMBER(--MID(AV1706,ROW($1:$8),1))*ROW($1:$8),),ROW($1:$8))+1,1)*10^ROW($1:$8)/10)</f>
        <v>0</v>
      </c>
      <c r="AX1706" s="402" t="e">
        <f>VLOOKUP($AW1706,'Item Master Data'!$A:$F,3,FALSE)</f>
        <v>#N/A</v>
      </c>
      <c r="AY1706" s="402" t="e">
        <f>VLOOKUP($AW1706,'Item Master Data'!$A:$F,6,FALSE)</f>
        <v>#N/A</v>
      </c>
      <c r="AZ1706" s="402" t="e">
        <f>X1706/BA1706</f>
        <v>#N/A</v>
      </c>
      <c r="BA1706" s="402" t="e">
        <f>VLOOKUP(AW1706,'Item Master Data'!$A:$G,7,FALSE)</f>
        <v>#N/A</v>
      </c>
      <c r="BC1706" s="402" t="e">
        <f>W1706-AY1706</f>
        <v>#N/A</v>
      </c>
    </row>
    <row r="1707" spans="1:55" s="402" customFormat="1">
      <c r="A1707" s="403"/>
      <c r="B1707" s="446">
        <v>44690</v>
      </c>
      <c r="C1707" s="446"/>
      <c r="D1707" s="416" t="s">
        <v>2480</v>
      </c>
      <c r="E1707" s="405"/>
      <c r="F1707" s="405"/>
      <c r="G1707" s="405">
        <v>2022</v>
      </c>
      <c r="H1707" s="405">
        <v>7</v>
      </c>
      <c r="I1707" s="405"/>
      <c r="J1707" s="406"/>
      <c r="K1707" s="414" t="s">
        <v>4779</v>
      </c>
      <c r="L1707" s="405" t="s">
        <v>1928</v>
      </c>
      <c r="M1707" s="418">
        <v>44538</v>
      </c>
      <c r="N1707" s="418">
        <v>44743</v>
      </c>
      <c r="O1707" s="418"/>
      <c r="P1707" s="406"/>
      <c r="Q1707" s="406"/>
      <c r="R1707" s="406"/>
      <c r="S1707" s="405" t="s">
        <v>1940</v>
      </c>
      <c r="T1707" s="405">
        <v>60</v>
      </c>
      <c r="U1707" s="405">
        <v>49401140</v>
      </c>
      <c r="V1707" s="405" t="s">
        <v>973</v>
      </c>
      <c r="W1707" s="405">
        <v>400</v>
      </c>
      <c r="X1707" s="407">
        <f>3072-768</f>
        <v>2304</v>
      </c>
      <c r="Y1707" s="408">
        <f t="shared" si="362"/>
        <v>921600</v>
      </c>
      <c r="Z1707" s="409">
        <v>0.55000000000000004</v>
      </c>
      <c r="AA1707" s="410">
        <f t="shared" si="366"/>
        <v>506880.00000000006</v>
      </c>
      <c r="AB1707" s="411"/>
      <c r="AC1707" s="412">
        <f t="shared" si="369"/>
        <v>0</v>
      </c>
      <c r="AD1707" s="421"/>
      <c r="AE1707" s="413"/>
      <c r="AF1707" s="424">
        <f t="shared" si="368"/>
        <v>506880.00000000006</v>
      </c>
      <c r="AG1707" s="405" t="s">
        <v>1069</v>
      </c>
      <c r="AH1707" s="405"/>
      <c r="AI1707" s="414" t="s">
        <v>1962</v>
      </c>
      <c r="AJ1707" s="405" t="s">
        <v>1946</v>
      </c>
      <c r="AK1707" s="425" t="s">
        <v>1930</v>
      </c>
      <c r="AL1707" s="405">
        <v>80223</v>
      </c>
      <c r="AM1707" s="405" t="s">
        <v>52</v>
      </c>
      <c r="AN1707" s="405" t="s">
        <v>1071</v>
      </c>
      <c r="AO1707" s="405"/>
      <c r="AP1707" s="417"/>
      <c r="AQ1707" s="417" t="s">
        <v>37</v>
      </c>
      <c r="AR1707" s="417"/>
      <c r="AS1707" s="426"/>
      <c r="AT1707" s="426"/>
      <c r="AU1707" s="409"/>
      <c r="AV1707" s="402">
        <f>U1707</f>
        <v>49401140</v>
      </c>
      <c r="AW1707" s="402" cm="1">
        <f t="array" ref="AW1707">SUM(MID(0&amp;AV1707,LARGE(INDEX(ISNUMBER(--MID(AV1707,ROW($1:$8),1))*ROW($1:$8),),ROW($1:$8))+1,1)*10^ROW($1:$8)/10)</f>
        <v>49401140</v>
      </c>
      <c r="AX1707" s="402" t="str">
        <f>VLOOKUP($AW1707,'Item Master Data'!$A:$F,3,FALSE)</f>
        <v>Q.PEAK DUO BLK ML G10.a+</v>
      </c>
      <c r="AY1707" s="402">
        <f>VLOOKUP($AW1707,'Item Master Data'!$A:$F,6,FALSE)</f>
        <v>400</v>
      </c>
      <c r="AZ1707" s="402">
        <f>X1707/BA1707</f>
        <v>72</v>
      </c>
      <c r="BA1707" s="402">
        <f>VLOOKUP(AW1707,'Item Master Data'!$A:$G,7,FALSE)</f>
        <v>32</v>
      </c>
      <c r="BC1707" s="402">
        <f>W1707-AY1707</f>
        <v>0</v>
      </c>
    </row>
    <row r="1708" spans="1:55" s="402" customFormat="1">
      <c r="A1708" s="403"/>
      <c r="B1708" s="446">
        <v>44623</v>
      </c>
      <c r="C1708" s="446">
        <v>44623</v>
      </c>
      <c r="D1708" s="416" t="s">
        <v>2480</v>
      </c>
      <c r="E1708" s="405" t="s">
        <v>2646</v>
      </c>
      <c r="F1708" s="405"/>
      <c r="G1708" s="405">
        <v>2022</v>
      </c>
      <c r="H1708" s="405">
        <v>7</v>
      </c>
      <c r="I1708" s="405"/>
      <c r="J1708" s="406"/>
      <c r="K1708" s="414" t="s">
        <v>2647</v>
      </c>
      <c r="L1708" s="405" t="s">
        <v>1928</v>
      </c>
      <c r="M1708" s="418">
        <v>44620</v>
      </c>
      <c r="N1708" s="418">
        <v>44743</v>
      </c>
      <c r="O1708" s="418"/>
      <c r="P1708" s="406"/>
      <c r="Q1708" s="406"/>
      <c r="R1708" s="406"/>
      <c r="S1708" s="405" t="s">
        <v>1940</v>
      </c>
      <c r="T1708" s="405">
        <v>72</v>
      </c>
      <c r="U1708" s="405" t="s">
        <v>1816</v>
      </c>
      <c r="V1708" s="405" t="s">
        <v>1068</v>
      </c>
      <c r="W1708" s="405">
        <v>480</v>
      </c>
      <c r="X1708" s="407">
        <v>2320</v>
      </c>
      <c r="Y1708" s="408">
        <f t="shared" si="362"/>
        <v>1113600</v>
      </c>
      <c r="Z1708" s="409">
        <v>0.49</v>
      </c>
      <c r="AA1708" s="410">
        <f t="shared" si="366"/>
        <v>545664</v>
      </c>
      <c r="AB1708" s="411"/>
      <c r="AC1708" s="412">
        <f t="shared" si="369"/>
        <v>0</v>
      </c>
      <c r="AD1708" s="421"/>
      <c r="AE1708" s="413"/>
      <c r="AF1708" s="424">
        <f t="shared" si="368"/>
        <v>545664</v>
      </c>
      <c r="AG1708" s="405" t="s">
        <v>1069</v>
      </c>
      <c r="AH1708" s="405"/>
      <c r="AI1708" s="414" t="s">
        <v>1962</v>
      </c>
      <c r="AJ1708" s="405" t="s">
        <v>2648</v>
      </c>
      <c r="AK1708" s="425" t="s">
        <v>1930</v>
      </c>
      <c r="AL1708" s="405">
        <v>80016</v>
      </c>
      <c r="AM1708" s="405" t="s">
        <v>52</v>
      </c>
      <c r="AN1708" s="405"/>
      <c r="AO1708" s="405"/>
      <c r="AP1708" s="417"/>
      <c r="AQ1708" s="417" t="s">
        <v>37</v>
      </c>
      <c r="AR1708" s="417"/>
      <c r="AS1708" s="426"/>
      <c r="AT1708" s="426"/>
      <c r="AU1708" s="409"/>
      <c r="AV1708" s="402" t="str">
        <f>U1708</f>
        <v>CYB MODS</v>
      </c>
      <c r="AW1708" s="402" cm="1">
        <f t="array" ref="AW1708">SUM(MID(0&amp;AV1708,LARGE(INDEX(ISNUMBER(--MID(AV1708,ROW($1:$8),1))*ROW($1:$8),),ROW($1:$8))+1,1)*10^ROW($1:$8)/10)</f>
        <v>0</v>
      </c>
      <c r="AX1708" s="402" t="e">
        <f>VLOOKUP($AW1708,'Item Master Data'!$A:$F,3,FALSE)</f>
        <v>#N/A</v>
      </c>
      <c r="AY1708" s="402" t="e">
        <f>VLOOKUP($AW1708,'Item Master Data'!$A:$F,6,FALSE)</f>
        <v>#N/A</v>
      </c>
      <c r="AZ1708" s="402" t="e">
        <f>X1708/BA1708</f>
        <v>#N/A</v>
      </c>
      <c r="BA1708" s="402" t="e">
        <f>VLOOKUP(AW1708,'Item Master Data'!$A:$G,7,FALSE)</f>
        <v>#N/A</v>
      </c>
      <c r="BC1708" s="402" t="e">
        <f>W1708-AY1708</f>
        <v>#N/A</v>
      </c>
    </row>
    <row r="1709" spans="1:55" s="402" customFormat="1">
      <c r="A1709" s="403"/>
      <c r="B1709" s="446">
        <v>44631</v>
      </c>
      <c r="C1709" s="446">
        <v>44631</v>
      </c>
      <c r="D1709" s="416" t="s">
        <v>2480</v>
      </c>
      <c r="E1709" s="405" t="s">
        <v>2484</v>
      </c>
      <c r="F1709" s="405"/>
      <c r="G1709" s="405">
        <v>2022</v>
      </c>
      <c r="H1709" s="405">
        <v>7</v>
      </c>
      <c r="I1709" s="405"/>
      <c r="J1709" s="406"/>
      <c r="K1709" s="414" t="s">
        <v>2649</v>
      </c>
      <c r="L1709" s="405" t="s">
        <v>2489</v>
      </c>
      <c r="M1709" s="418">
        <v>44504</v>
      </c>
      <c r="N1709" s="418">
        <v>44744</v>
      </c>
      <c r="O1709" s="418" t="s">
        <v>1236</v>
      </c>
      <c r="P1709" s="406"/>
      <c r="Q1709" s="406"/>
      <c r="R1709" s="406"/>
      <c r="S1709" s="405" t="s">
        <v>1940</v>
      </c>
      <c r="T1709" s="405">
        <v>60</v>
      </c>
      <c r="U1709" s="405">
        <v>49401140</v>
      </c>
      <c r="V1709" s="405" t="s">
        <v>973</v>
      </c>
      <c r="W1709" s="405">
        <v>400</v>
      </c>
      <c r="X1709" s="407">
        <v>768</v>
      </c>
      <c r="Y1709" s="408">
        <f t="shared" si="362"/>
        <v>307200</v>
      </c>
      <c r="Z1709" s="409">
        <v>0.55000000000000004</v>
      </c>
      <c r="AA1709" s="410">
        <f t="shared" si="366"/>
        <v>168960</v>
      </c>
      <c r="AB1709" s="411"/>
      <c r="AC1709" s="412">
        <f t="shared" si="369"/>
        <v>0</v>
      </c>
      <c r="AD1709" s="421"/>
      <c r="AE1709" s="413"/>
      <c r="AF1709" s="424">
        <f t="shared" si="368"/>
        <v>168960</v>
      </c>
      <c r="AG1709" s="405" t="s">
        <v>1069</v>
      </c>
      <c r="AH1709" s="405"/>
      <c r="AI1709" s="414" t="s">
        <v>1962</v>
      </c>
      <c r="AJ1709" s="405" t="s">
        <v>2490</v>
      </c>
      <c r="AK1709" s="425" t="s">
        <v>1136</v>
      </c>
      <c r="AL1709" s="405">
        <v>79936</v>
      </c>
      <c r="AM1709" s="405" t="s">
        <v>52</v>
      </c>
      <c r="AN1709" s="405"/>
      <c r="AO1709" s="405"/>
      <c r="AP1709" s="417"/>
      <c r="AQ1709" s="417" t="s">
        <v>37</v>
      </c>
      <c r="AR1709" s="417" t="s">
        <v>2491</v>
      </c>
      <c r="AS1709" s="426"/>
      <c r="AT1709" s="426"/>
      <c r="AU1709" s="409">
        <v>0.49</v>
      </c>
      <c r="AV1709" s="402">
        <f>U1709</f>
        <v>49401140</v>
      </c>
      <c r="AW1709" s="402" cm="1">
        <f t="array" ref="AW1709">SUM(MID(0&amp;AV1709,LARGE(INDEX(ISNUMBER(--MID(AV1709,ROW($1:$8),1))*ROW($1:$8),),ROW($1:$8))+1,1)*10^ROW($1:$8)/10)</f>
        <v>49401140</v>
      </c>
      <c r="AX1709" s="402" t="str">
        <f>VLOOKUP($AW1709,'Item Master Data'!$A:$F,3,FALSE)</f>
        <v>Q.PEAK DUO BLK ML G10.a+</v>
      </c>
      <c r="AY1709" s="402">
        <f>VLOOKUP($AW1709,'Item Master Data'!$A:$F,6,FALSE)</f>
        <v>400</v>
      </c>
      <c r="AZ1709" s="402">
        <f>X1709/BA1709</f>
        <v>24</v>
      </c>
      <c r="BA1709" s="402">
        <f>VLOOKUP(AW1709,'Item Master Data'!$A:$G,7,FALSE)</f>
        <v>32</v>
      </c>
      <c r="BC1709" s="402">
        <f>W1709-AY1709</f>
        <v>0</v>
      </c>
    </row>
    <row r="1710" spans="1:55" s="402" customFormat="1">
      <c r="A1710" s="403"/>
      <c r="B1710" s="446">
        <v>44659</v>
      </c>
      <c r="C1710" s="446">
        <v>44659</v>
      </c>
      <c r="D1710" s="416" t="s">
        <v>2480</v>
      </c>
      <c r="E1710" s="405" t="s">
        <v>2406</v>
      </c>
      <c r="F1710" s="405"/>
      <c r="G1710" s="405">
        <v>2022</v>
      </c>
      <c r="H1710" s="405">
        <v>7</v>
      </c>
      <c r="I1710" s="405" t="s">
        <v>1498</v>
      </c>
      <c r="J1710" s="406"/>
      <c r="K1710" s="414" t="s">
        <v>2799</v>
      </c>
      <c r="L1710" s="405" t="s">
        <v>2489</v>
      </c>
      <c r="M1710" s="418">
        <v>44635</v>
      </c>
      <c r="N1710" s="418">
        <v>44743</v>
      </c>
      <c r="O1710" s="418"/>
      <c r="P1710" s="406"/>
      <c r="Q1710" s="406"/>
      <c r="R1710" s="406"/>
      <c r="S1710" s="405" t="s">
        <v>1940</v>
      </c>
      <c r="T1710" s="405">
        <v>60</v>
      </c>
      <c r="U1710" s="405"/>
      <c r="V1710" s="405" t="s">
        <v>973</v>
      </c>
      <c r="W1710" s="405">
        <v>400</v>
      </c>
      <c r="X1710" s="407">
        <v>1536</v>
      </c>
      <c r="Y1710" s="408">
        <f t="shared" si="362"/>
        <v>614400</v>
      </c>
      <c r="Z1710" s="409">
        <v>0.55000000000000004</v>
      </c>
      <c r="AA1710" s="410">
        <f t="shared" si="366"/>
        <v>337920</v>
      </c>
      <c r="AB1710" s="411"/>
      <c r="AC1710" s="412">
        <f t="shared" si="369"/>
        <v>0</v>
      </c>
      <c r="AD1710" s="421"/>
      <c r="AE1710" s="413"/>
      <c r="AF1710" s="424">
        <f t="shared" si="368"/>
        <v>337920</v>
      </c>
      <c r="AG1710" s="405" t="s">
        <v>1069</v>
      </c>
      <c r="AH1710" s="405">
        <v>60</v>
      </c>
      <c r="AI1710" s="414"/>
      <c r="AJ1710" s="405" t="s">
        <v>2490</v>
      </c>
      <c r="AK1710" s="425" t="s">
        <v>1136</v>
      </c>
      <c r="AL1710" s="405">
        <v>79936</v>
      </c>
      <c r="AM1710" s="405" t="s">
        <v>52</v>
      </c>
      <c r="AN1710" s="405"/>
      <c r="AO1710" s="405"/>
      <c r="AP1710" s="417"/>
      <c r="AQ1710" s="417" t="s">
        <v>37</v>
      </c>
      <c r="AR1710" s="417" t="s">
        <v>2800</v>
      </c>
      <c r="AS1710" s="426"/>
      <c r="AT1710" s="426"/>
      <c r="AU1710" s="409">
        <v>0.5</v>
      </c>
      <c r="AV1710" s="402">
        <f>U1710</f>
        <v>0</v>
      </c>
      <c r="AW1710" s="402" cm="1">
        <f t="array" ref="AW1710">SUM(MID(0&amp;AV1710,LARGE(INDEX(ISNUMBER(--MID(AV1710,ROW($1:$8),1))*ROW($1:$8),),ROW($1:$8))+1,1)*10^ROW($1:$8)/10)</f>
        <v>0</v>
      </c>
      <c r="AX1710" s="402" t="e">
        <f>VLOOKUP($AW1710,'Item Master Data'!$A:$F,3,FALSE)</f>
        <v>#N/A</v>
      </c>
      <c r="AY1710" s="402" t="e">
        <f>VLOOKUP($AW1710,'Item Master Data'!$A:$F,6,FALSE)</f>
        <v>#N/A</v>
      </c>
      <c r="AZ1710" s="402" t="e">
        <f>X1710/BA1710</f>
        <v>#N/A</v>
      </c>
      <c r="BA1710" s="402" t="e">
        <f>VLOOKUP(AW1710,'Item Master Data'!$A:$G,7,FALSE)</f>
        <v>#N/A</v>
      </c>
      <c r="BC1710" s="402" t="e">
        <f>W1710-AY1710</f>
        <v>#N/A</v>
      </c>
    </row>
    <row r="1711" spans="1:55" s="402" customFormat="1">
      <c r="A1711" s="403"/>
      <c r="B1711" s="445">
        <v>44644</v>
      </c>
      <c r="C1711" s="445">
        <v>44644</v>
      </c>
      <c r="D1711" s="416" t="s">
        <v>2480</v>
      </c>
      <c r="E1711" s="405" t="s">
        <v>2544</v>
      </c>
      <c r="F1711" s="405"/>
      <c r="G1711" s="405">
        <v>2022</v>
      </c>
      <c r="H1711" s="405">
        <v>7</v>
      </c>
      <c r="I1711" s="405"/>
      <c r="J1711" s="406"/>
      <c r="K1711" s="414" t="s">
        <v>2650</v>
      </c>
      <c r="L1711" s="405" t="s">
        <v>2489</v>
      </c>
      <c r="M1711" s="418">
        <v>44644</v>
      </c>
      <c r="N1711" s="418">
        <v>44743</v>
      </c>
      <c r="O1711" s="418"/>
      <c r="P1711" s="406"/>
      <c r="Q1711" s="406"/>
      <c r="R1711" s="406"/>
      <c r="S1711" s="405" t="s">
        <v>1940</v>
      </c>
      <c r="T1711" s="405">
        <v>60</v>
      </c>
      <c r="U1711" s="405"/>
      <c r="V1711" s="405" t="s">
        <v>973</v>
      </c>
      <c r="W1711" s="405">
        <v>400</v>
      </c>
      <c r="X1711" s="407">
        <v>2304</v>
      </c>
      <c r="Y1711" s="422">
        <f t="shared" si="362"/>
        <v>921600</v>
      </c>
      <c r="Z1711" s="409">
        <v>0.55000000000000004</v>
      </c>
      <c r="AA1711" s="423">
        <f t="shared" si="366"/>
        <v>506880.00000000006</v>
      </c>
      <c r="AB1711" s="411"/>
      <c r="AC1711" s="412">
        <f t="shared" si="369"/>
        <v>0</v>
      </c>
      <c r="AD1711" s="421"/>
      <c r="AE1711" s="413"/>
      <c r="AF1711" s="424">
        <f t="shared" si="368"/>
        <v>506880.00000000006</v>
      </c>
      <c r="AG1711" s="405" t="s">
        <v>1069</v>
      </c>
      <c r="AH1711" s="405">
        <v>60</v>
      </c>
      <c r="AI1711" s="414"/>
      <c r="AJ1711" s="405" t="s">
        <v>2651</v>
      </c>
      <c r="AK1711" s="425" t="s">
        <v>1136</v>
      </c>
      <c r="AL1711" s="405">
        <v>79936</v>
      </c>
      <c r="AM1711" s="405" t="s">
        <v>52</v>
      </c>
      <c r="AN1711" s="405"/>
      <c r="AO1711" s="405"/>
      <c r="AP1711" s="417"/>
      <c r="AQ1711" s="417" t="s">
        <v>37</v>
      </c>
      <c r="AR1711" s="417"/>
      <c r="AS1711" s="426"/>
      <c r="AT1711" s="426"/>
      <c r="AU1711" s="409">
        <v>0.5</v>
      </c>
    </row>
    <row r="1712" spans="1:55" s="402" customFormat="1">
      <c r="A1712" s="403"/>
      <c r="B1712" s="446">
        <v>44693</v>
      </c>
      <c r="C1712" s="446">
        <v>44693</v>
      </c>
      <c r="D1712" s="416" t="s">
        <v>2480</v>
      </c>
      <c r="E1712" s="405" t="s">
        <v>2484</v>
      </c>
      <c r="F1712" s="405"/>
      <c r="G1712" s="405">
        <v>2022</v>
      </c>
      <c r="H1712" s="405">
        <v>7</v>
      </c>
      <c r="I1712" s="405"/>
      <c r="J1712" s="406"/>
      <c r="K1712" s="414" t="s">
        <v>4543</v>
      </c>
      <c r="L1712" s="405" t="s">
        <v>2502</v>
      </c>
      <c r="M1712" s="418">
        <v>44497</v>
      </c>
      <c r="N1712" s="418">
        <v>44621</v>
      </c>
      <c r="O1712" s="418" t="s">
        <v>1932</v>
      </c>
      <c r="P1712" s="406"/>
      <c r="Q1712" s="406"/>
      <c r="R1712" s="406"/>
      <c r="S1712" s="405" t="s">
        <v>1940</v>
      </c>
      <c r="T1712" s="405">
        <v>60</v>
      </c>
      <c r="U1712" s="405">
        <v>49401140</v>
      </c>
      <c r="V1712" s="405" t="s">
        <v>973</v>
      </c>
      <c r="W1712" s="405">
        <v>400</v>
      </c>
      <c r="X1712" s="407">
        <f>4608-768</f>
        <v>3840</v>
      </c>
      <c r="Y1712" s="408">
        <f t="shared" si="362"/>
        <v>1536000</v>
      </c>
      <c r="Z1712" s="409">
        <v>0.55000000000000004</v>
      </c>
      <c r="AA1712" s="410">
        <f t="shared" si="366"/>
        <v>844800.00000000012</v>
      </c>
      <c r="AB1712" s="411"/>
      <c r="AC1712" s="412">
        <f t="shared" si="369"/>
        <v>0</v>
      </c>
      <c r="AD1712" s="421"/>
      <c r="AE1712" s="413"/>
      <c r="AF1712" s="424">
        <f t="shared" si="368"/>
        <v>844800.00000000012</v>
      </c>
      <c r="AG1712" s="405" t="s">
        <v>1069</v>
      </c>
      <c r="AH1712" s="405"/>
      <c r="AI1712" s="414" t="s">
        <v>1962</v>
      </c>
      <c r="AJ1712" s="405" t="s">
        <v>2503</v>
      </c>
      <c r="AK1712" s="425" t="s">
        <v>1136</v>
      </c>
      <c r="AL1712" s="405">
        <v>77494</v>
      </c>
      <c r="AM1712" s="405" t="s">
        <v>52</v>
      </c>
      <c r="AN1712" s="405" t="s">
        <v>1071</v>
      </c>
      <c r="AO1712" s="405"/>
      <c r="AP1712" s="417"/>
      <c r="AQ1712" s="417" t="s">
        <v>37</v>
      </c>
      <c r="AR1712" s="417" t="s">
        <v>2574</v>
      </c>
      <c r="AS1712" s="426"/>
      <c r="AT1712" s="426"/>
      <c r="AU1712" s="409">
        <v>0.45500000000000002</v>
      </c>
      <c r="AV1712" s="402">
        <f>U1712</f>
        <v>49401140</v>
      </c>
      <c r="AW1712" s="402" cm="1">
        <f t="array" ref="AW1712">SUM(MID(0&amp;AV1712,LARGE(INDEX(ISNUMBER(--MID(AV1712,ROW($1:$8),1))*ROW($1:$8),),ROW($1:$8))+1,1)*10^ROW($1:$8)/10)</f>
        <v>49401140</v>
      </c>
      <c r="AX1712" s="402" t="str">
        <f>VLOOKUP($AW1712,'Item Master Data'!$A:$F,3,FALSE)</f>
        <v>Q.PEAK DUO BLK ML G10.a+</v>
      </c>
      <c r="AY1712" s="402">
        <f>VLOOKUP($AW1712,'Item Master Data'!$A:$F,6,FALSE)</f>
        <v>400</v>
      </c>
      <c r="AZ1712" s="402">
        <f>X1712/BA1712</f>
        <v>120</v>
      </c>
      <c r="BA1712" s="402">
        <f>VLOOKUP(AW1712,'Item Master Data'!$A:$G,7,FALSE)</f>
        <v>32</v>
      </c>
      <c r="BC1712" s="402">
        <f>W1712-AY1712</f>
        <v>0</v>
      </c>
    </row>
    <row r="1713" spans="1:55" s="402" customFormat="1">
      <c r="A1713" s="403"/>
      <c r="B1713" s="445">
        <v>44201</v>
      </c>
      <c r="C1713" s="446">
        <v>44629</v>
      </c>
      <c r="D1713" s="416" t="s">
        <v>2480</v>
      </c>
      <c r="E1713" s="405" t="s">
        <v>2484</v>
      </c>
      <c r="F1713" s="405"/>
      <c r="G1713" s="405">
        <v>2022</v>
      </c>
      <c r="H1713" s="405">
        <v>7</v>
      </c>
      <c r="I1713" s="405" t="s">
        <v>1498</v>
      </c>
      <c r="J1713" s="406"/>
      <c r="K1713" s="414" t="s">
        <v>2619</v>
      </c>
      <c r="L1713" s="405" t="s">
        <v>2527</v>
      </c>
      <c r="M1713" s="418">
        <v>44558</v>
      </c>
      <c r="N1713" s="418">
        <v>44558</v>
      </c>
      <c r="O1713" s="418"/>
      <c r="P1713" s="406"/>
      <c r="Q1713" s="406"/>
      <c r="R1713" s="406"/>
      <c r="S1713" s="405" t="s">
        <v>1940</v>
      </c>
      <c r="T1713" s="405">
        <v>60</v>
      </c>
      <c r="U1713" s="405"/>
      <c r="V1713" s="405" t="s">
        <v>2582</v>
      </c>
      <c r="W1713" s="405">
        <v>400</v>
      </c>
      <c r="X1713" s="407">
        <v>1536</v>
      </c>
      <c r="Y1713" s="422">
        <f t="shared" si="362"/>
        <v>614400</v>
      </c>
      <c r="Z1713" s="409">
        <v>0.47499999999999998</v>
      </c>
      <c r="AA1713" s="423">
        <f t="shared" si="366"/>
        <v>291840</v>
      </c>
      <c r="AB1713" s="411"/>
      <c r="AC1713" s="412">
        <f t="shared" si="369"/>
        <v>0</v>
      </c>
      <c r="AD1713" s="421"/>
      <c r="AE1713" s="413"/>
      <c r="AF1713" s="424">
        <f t="shared" si="368"/>
        <v>291840</v>
      </c>
      <c r="AG1713" s="405" t="s">
        <v>1069</v>
      </c>
      <c r="AH1713" s="405"/>
      <c r="AI1713" s="414" t="s">
        <v>1962</v>
      </c>
      <c r="AJ1713" s="405" t="s">
        <v>1941</v>
      </c>
      <c r="AK1713" s="425" t="s">
        <v>1942</v>
      </c>
      <c r="AL1713" s="405">
        <v>87107</v>
      </c>
      <c r="AM1713" s="405" t="s">
        <v>52</v>
      </c>
      <c r="AN1713" s="405"/>
      <c r="AO1713" s="405"/>
      <c r="AP1713" s="417"/>
      <c r="AQ1713" s="417" t="s">
        <v>37</v>
      </c>
      <c r="AR1713" s="417" t="s">
        <v>2014</v>
      </c>
      <c r="AS1713" s="426"/>
      <c r="AT1713" s="426"/>
      <c r="AU1713" s="409">
        <v>0.47499999999999998</v>
      </c>
      <c r="AV1713" s="402">
        <f>U1713</f>
        <v>0</v>
      </c>
      <c r="AW1713" s="402" cm="1">
        <f t="array" ref="AW1713">SUM(MID(0&amp;AV1713,LARGE(INDEX(ISNUMBER(--MID(AV1713,ROW($1:$8),1))*ROW($1:$8),),ROW($1:$8))+1,1)*10^ROW($1:$8)/10)</f>
        <v>0</v>
      </c>
      <c r="AX1713" s="402" t="e">
        <f>VLOOKUP($AW1713,'Item Master Data'!$A:$F,3,FALSE)</f>
        <v>#N/A</v>
      </c>
      <c r="AY1713" s="402" t="e">
        <f>VLOOKUP($AW1713,'Item Master Data'!$A:$F,6,FALSE)</f>
        <v>#N/A</v>
      </c>
      <c r="AZ1713" s="402" t="e">
        <f>X1713/BA1713</f>
        <v>#N/A</v>
      </c>
      <c r="BA1713" s="402" t="e">
        <f>VLOOKUP(AW1713,'Item Master Data'!$A:$G,7,FALSE)</f>
        <v>#N/A</v>
      </c>
      <c r="BC1713" s="402" t="e">
        <f>W1713-AY1713</f>
        <v>#N/A</v>
      </c>
    </row>
    <row r="1714" spans="1:55" s="402" customFormat="1">
      <c r="A1714" s="403"/>
      <c r="B1714" s="445">
        <v>44571</v>
      </c>
      <c r="C1714" s="446">
        <v>44629</v>
      </c>
      <c r="D1714" s="416" t="s">
        <v>2480</v>
      </c>
      <c r="E1714" s="405" t="s">
        <v>2484</v>
      </c>
      <c r="F1714" s="405"/>
      <c r="G1714" s="405">
        <v>2022</v>
      </c>
      <c r="H1714" s="405">
        <v>7</v>
      </c>
      <c r="I1714" s="405" t="s">
        <v>1498</v>
      </c>
      <c r="J1714" s="406"/>
      <c r="K1714" s="414" t="s">
        <v>2652</v>
      </c>
      <c r="L1714" s="405" t="s">
        <v>2527</v>
      </c>
      <c r="M1714" s="418">
        <v>44571</v>
      </c>
      <c r="N1714" s="418">
        <v>44652</v>
      </c>
      <c r="O1714" s="418"/>
      <c r="P1714" s="406"/>
      <c r="Q1714" s="406"/>
      <c r="R1714" s="406"/>
      <c r="S1714" s="405" t="s">
        <v>1940</v>
      </c>
      <c r="T1714" s="405">
        <v>60</v>
      </c>
      <c r="U1714" s="405"/>
      <c r="V1714" s="405" t="s">
        <v>2620</v>
      </c>
      <c r="W1714" s="405">
        <v>400</v>
      </c>
      <c r="X1714" s="407">
        <v>4608</v>
      </c>
      <c r="Y1714" s="422">
        <f t="shared" si="362"/>
        <v>1843200</v>
      </c>
      <c r="Z1714" s="409">
        <v>0.49</v>
      </c>
      <c r="AA1714" s="423">
        <f t="shared" si="366"/>
        <v>903168</v>
      </c>
      <c r="AB1714" s="411"/>
      <c r="AC1714" s="412">
        <f t="shared" si="369"/>
        <v>0</v>
      </c>
      <c r="AD1714" s="421"/>
      <c r="AE1714" s="413"/>
      <c r="AF1714" s="424">
        <f t="shared" si="368"/>
        <v>903168</v>
      </c>
      <c r="AG1714" s="405" t="s">
        <v>1069</v>
      </c>
      <c r="AH1714" s="405"/>
      <c r="AI1714" s="414" t="s">
        <v>1962</v>
      </c>
      <c r="AJ1714" s="405" t="s">
        <v>1941</v>
      </c>
      <c r="AK1714" s="425" t="s">
        <v>1942</v>
      </c>
      <c r="AL1714" s="405">
        <v>87107</v>
      </c>
      <c r="AM1714" s="405" t="s">
        <v>52</v>
      </c>
      <c r="AN1714" s="405"/>
      <c r="AO1714" s="405"/>
      <c r="AP1714" s="417"/>
      <c r="AQ1714" s="417" t="s">
        <v>37</v>
      </c>
      <c r="AR1714" s="417" t="s">
        <v>2653</v>
      </c>
      <c r="AS1714" s="426"/>
      <c r="AT1714" s="426"/>
      <c r="AU1714" s="409">
        <v>0.49</v>
      </c>
      <c r="AV1714" s="402">
        <f>U1714</f>
        <v>0</v>
      </c>
      <c r="AW1714" s="402" cm="1">
        <f t="array" ref="AW1714">SUM(MID(0&amp;AV1714,LARGE(INDEX(ISNUMBER(--MID(AV1714,ROW($1:$8),1))*ROW($1:$8),),ROW($1:$8))+1,1)*10^ROW($1:$8)/10)</f>
        <v>0</v>
      </c>
      <c r="AX1714" s="402" t="e">
        <f>VLOOKUP($AW1714,'Item Master Data'!$A:$F,3,FALSE)</f>
        <v>#N/A</v>
      </c>
      <c r="AY1714" s="402" t="e">
        <f>VLOOKUP($AW1714,'Item Master Data'!$A:$F,6,FALSE)</f>
        <v>#N/A</v>
      </c>
      <c r="AZ1714" s="402" t="e">
        <f>X1714/BA1714</f>
        <v>#N/A</v>
      </c>
      <c r="BA1714" s="402" t="e">
        <f>VLOOKUP(AW1714,'Item Master Data'!$A:$G,7,FALSE)</f>
        <v>#N/A</v>
      </c>
      <c r="BC1714" s="402" t="e">
        <f>W1714-AY1714</f>
        <v>#N/A</v>
      </c>
    </row>
    <row r="1715" spans="1:55" s="402" customFormat="1">
      <c r="A1715" s="403"/>
      <c r="B1715" s="446"/>
      <c r="C1715" s="446"/>
      <c r="D1715" s="416" t="s">
        <v>2480</v>
      </c>
      <c r="E1715" s="405"/>
      <c r="F1715" s="405"/>
      <c r="G1715" s="405">
        <v>2022</v>
      </c>
      <c r="H1715" s="405">
        <v>7</v>
      </c>
      <c r="I1715" s="405"/>
      <c r="J1715" s="406"/>
      <c r="K1715" s="414" t="s">
        <v>2654</v>
      </c>
      <c r="L1715" s="405" t="s">
        <v>2628</v>
      </c>
      <c r="M1715" s="418">
        <v>44531</v>
      </c>
      <c r="N1715" s="418">
        <v>44743</v>
      </c>
      <c r="O1715" s="418"/>
      <c r="P1715" s="406"/>
      <c r="Q1715" s="406"/>
      <c r="R1715" s="406"/>
      <c r="S1715" s="405" t="s">
        <v>1940</v>
      </c>
      <c r="T1715" s="405">
        <v>60</v>
      </c>
      <c r="U1715" s="405" t="s">
        <v>1102</v>
      </c>
      <c r="V1715" s="405" t="s">
        <v>986</v>
      </c>
      <c r="W1715" s="405">
        <v>360</v>
      </c>
      <c r="X1715" s="407">
        <v>1664</v>
      </c>
      <c r="Y1715" s="408">
        <f t="shared" si="362"/>
        <v>599040</v>
      </c>
      <c r="Z1715" s="409">
        <v>0.5</v>
      </c>
      <c r="AA1715" s="410">
        <f t="shared" si="366"/>
        <v>299520</v>
      </c>
      <c r="AB1715" s="411"/>
      <c r="AC1715" s="412">
        <f t="shared" si="369"/>
        <v>0</v>
      </c>
      <c r="AD1715" s="421"/>
      <c r="AE1715" s="413"/>
      <c r="AF1715" s="424">
        <f t="shared" si="368"/>
        <v>299520</v>
      </c>
      <c r="AG1715" s="405" t="s">
        <v>1069</v>
      </c>
      <c r="AH1715" s="405"/>
      <c r="AI1715" s="414" t="s">
        <v>1962</v>
      </c>
      <c r="AJ1715" s="405" t="s">
        <v>2629</v>
      </c>
      <c r="AK1715" s="425" t="s">
        <v>1328</v>
      </c>
      <c r="AL1715" s="405">
        <v>89502</v>
      </c>
      <c r="AM1715" s="405" t="s">
        <v>52</v>
      </c>
      <c r="AN1715" s="405"/>
      <c r="AO1715" s="405"/>
      <c r="AP1715" s="417"/>
      <c r="AQ1715" s="417" t="s">
        <v>37</v>
      </c>
      <c r="AR1715" s="417"/>
      <c r="AS1715" s="426"/>
      <c r="AT1715" s="426"/>
      <c r="AU1715" s="409"/>
      <c r="AV1715" s="402" t="str">
        <f>U1715</f>
        <v>TBD</v>
      </c>
      <c r="AW1715" s="402" cm="1">
        <f t="array" ref="AW1715">SUM(MID(0&amp;AV1715,LARGE(INDEX(ISNUMBER(--MID(AV1715,ROW($1:$8),1))*ROW($1:$8),),ROW($1:$8))+1,1)*10^ROW($1:$8)/10)</f>
        <v>0</v>
      </c>
      <c r="AX1715" s="402" t="e">
        <f>VLOOKUP($AW1715,'Item Master Data'!$A:$F,3,FALSE)</f>
        <v>#N/A</v>
      </c>
      <c r="AY1715" s="402" t="e">
        <f>VLOOKUP($AW1715,'Item Master Data'!$A:$F,6,FALSE)</f>
        <v>#N/A</v>
      </c>
      <c r="AZ1715" s="402" t="e">
        <f>X1715/BA1715</f>
        <v>#N/A</v>
      </c>
      <c r="BA1715" s="402" t="e">
        <f>VLOOKUP(AW1715,'Item Master Data'!$A:$G,7,FALSE)</f>
        <v>#N/A</v>
      </c>
      <c r="BC1715" s="402" t="e">
        <f>W1715-AY1715</f>
        <v>#N/A</v>
      </c>
    </row>
    <row r="1716" spans="1:55" s="402" customFormat="1">
      <c r="A1716" s="403"/>
      <c r="B1716" s="446">
        <v>44629</v>
      </c>
      <c r="C1716" s="446">
        <v>44629</v>
      </c>
      <c r="D1716" s="416" t="s">
        <v>2480</v>
      </c>
      <c r="E1716" s="405" t="s">
        <v>2484</v>
      </c>
      <c r="F1716" s="405"/>
      <c r="G1716" s="405">
        <v>2022</v>
      </c>
      <c r="H1716" s="405">
        <v>7</v>
      </c>
      <c r="I1716" s="405" t="s">
        <v>1498</v>
      </c>
      <c r="J1716" s="406"/>
      <c r="K1716" s="414" t="s">
        <v>4607</v>
      </c>
      <c r="L1716" s="405" t="s">
        <v>2495</v>
      </c>
      <c r="M1716" s="418">
        <v>44504</v>
      </c>
      <c r="N1716" s="418">
        <v>44564</v>
      </c>
      <c r="O1716" s="418"/>
      <c r="P1716" s="406"/>
      <c r="Q1716" s="406"/>
      <c r="R1716" s="406"/>
      <c r="S1716" s="405" t="s">
        <v>1940</v>
      </c>
      <c r="T1716" s="405">
        <v>60</v>
      </c>
      <c r="U1716" s="405">
        <v>49401140</v>
      </c>
      <c r="V1716" s="405" t="s">
        <v>973</v>
      </c>
      <c r="W1716" s="405">
        <v>400</v>
      </c>
      <c r="X1716" s="407">
        <f>5760-768</f>
        <v>4992</v>
      </c>
      <c r="Y1716" s="408">
        <f t="shared" si="362"/>
        <v>1996800</v>
      </c>
      <c r="Z1716" s="409">
        <v>0.55000000000000004</v>
      </c>
      <c r="AA1716" s="423">
        <f t="shared" si="366"/>
        <v>1098240</v>
      </c>
      <c r="AB1716" s="411"/>
      <c r="AC1716" s="412">
        <f t="shared" si="369"/>
        <v>0</v>
      </c>
      <c r="AD1716" s="421"/>
      <c r="AE1716" s="413"/>
      <c r="AF1716" s="424">
        <f t="shared" si="368"/>
        <v>1098240</v>
      </c>
      <c r="AG1716" s="405" t="s">
        <v>1069</v>
      </c>
      <c r="AH1716" s="405"/>
      <c r="AI1716" s="414" t="s">
        <v>1962</v>
      </c>
      <c r="AJ1716" s="405" t="s">
        <v>2496</v>
      </c>
      <c r="AK1716" s="425" t="s">
        <v>1136</v>
      </c>
      <c r="AL1716" s="405">
        <v>78503</v>
      </c>
      <c r="AM1716" s="405" t="s">
        <v>52</v>
      </c>
      <c r="AN1716" s="405" t="s">
        <v>1071</v>
      </c>
      <c r="AO1716" s="405"/>
      <c r="AP1716" s="417"/>
      <c r="AQ1716" s="417"/>
      <c r="AR1716" s="417" t="s">
        <v>2491</v>
      </c>
      <c r="AS1716" s="426"/>
      <c r="AT1716" s="426"/>
      <c r="AU1716" s="409">
        <v>0.52</v>
      </c>
    </row>
    <row r="1717" spans="1:55" s="402" customFormat="1">
      <c r="A1717" s="403"/>
      <c r="B1717" s="446"/>
      <c r="C1717" s="446"/>
      <c r="D1717" s="416" t="s">
        <v>2480</v>
      </c>
      <c r="E1717" s="405" t="s">
        <v>2484</v>
      </c>
      <c r="F1717" s="405"/>
      <c r="G1717" s="405">
        <v>2022</v>
      </c>
      <c r="H1717" s="405">
        <v>7</v>
      </c>
      <c r="I1717" s="405" t="s">
        <v>2535</v>
      </c>
      <c r="J1717" s="406"/>
      <c r="K1717" s="414" t="s">
        <v>2536</v>
      </c>
      <c r="L1717" s="405" t="s">
        <v>2530</v>
      </c>
      <c r="M1717" s="418">
        <v>44501</v>
      </c>
      <c r="N1717" s="418">
        <v>44621</v>
      </c>
      <c r="O1717" s="418"/>
      <c r="P1717" s="406"/>
      <c r="Q1717" s="406"/>
      <c r="R1717" s="406"/>
      <c r="S1717" s="405" t="s">
        <v>1940</v>
      </c>
      <c r="T1717" s="405">
        <v>60</v>
      </c>
      <c r="U1717" s="405">
        <v>49401140</v>
      </c>
      <c r="V1717" s="405" t="s">
        <v>973</v>
      </c>
      <c r="W1717" s="405">
        <v>400</v>
      </c>
      <c r="X1717" s="407">
        <v>1536</v>
      </c>
      <c r="Y1717" s="422">
        <f t="shared" si="362"/>
        <v>614400</v>
      </c>
      <c r="Z1717" s="409">
        <v>0.45500000000000002</v>
      </c>
      <c r="AA1717" s="410">
        <f t="shared" si="366"/>
        <v>279552</v>
      </c>
      <c r="AB1717" s="411"/>
      <c r="AC1717" s="412">
        <f t="shared" si="369"/>
        <v>0</v>
      </c>
      <c r="AD1717" s="421"/>
      <c r="AE1717" s="413"/>
      <c r="AF1717" s="424">
        <f t="shared" si="368"/>
        <v>279552</v>
      </c>
      <c r="AG1717" s="405" t="s">
        <v>1069</v>
      </c>
      <c r="AH1717" s="405"/>
      <c r="AI1717" s="414" t="s">
        <v>1962</v>
      </c>
      <c r="AJ1717" s="405" t="s">
        <v>1958</v>
      </c>
      <c r="AK1717" s="425" t="s">
        <v>1136</v>
      </c>
      <c r="AL1717" s="405">
        <v>78218</v>
      </c>
      <c r="AM1717" s="405" t="s">
        <v>52</v>
      </c>
      <c r="AN1717" s="405"/>
      <c r="AO1717" s="405"/>
      <c r="AP1717" s="417"/>
      <c r="AQ1717" s="417" t="s">
        <v>37</v>
      </c>
      <c r="AR1717" s="417" t="s">
        <v>1499</v>
      </c>
      <c r="AS1717" s="426"/>
      <c r="AT1717" s="426"/>
      <c r="AU1717" s="409">
        <v>0.45500000000000002</v>
      </c>
    </row>
    <row r="1718" spans="1:55" s="402" customFormat="1">
      <c r="A1718" s="403"/>
      <c r="B1718" s="446"/>
      <c r="C1718" s="446"/>
      <c r="D1718" s="416" t="s">
        <v>2480</v>
      </c>
      <c r="E1718" s="405" t="s">
        <v>2484</v>
      </c>
      <c r="F1718" s="405"/>
      <c r="G1718" s="405">
        <v>2022</v>
      </c>
      <c r="H1718" s="405">
        <v>7</v>
      </c>
      <c r="I1718" s="405"/>
      <c r="J1718" s="406"/>
      <c r="K1718" s="414" t="s">
        <v>2583</v>
      </c>
      <c r="L1718" s="405" t="s">
        <v>2530</v>
      </c>
      <c r="M1718" s="418">
        <v>44501</v>
      </c>
      <c r="N1718" s="418">
        <v>44621</v>
      </c>
      <c r="O1718" s="418"/>
      <c r="P1718" s="406"/>
      <c r="Q1718" s="406"/>
      <c r="R1718" s="406"/>
      <c r="S1718" s="405" t="s">
        <v>1940</v>
      </c>
      <c r="T1718" s="405">
        <v>60</v>
      </c>
      <c r="U1718" s="405">
        <v>49401140</v>
      </c>
      <c r="V1718" s="405" t="s">
        <v>973</v>
      </c>
      <c r="W1718" s="405">
        <v>400</v>
      </c>
      <c r="X1718" s="407">
        <f>9216-1536</f>
        <v>7680</v>
      </c>
      <c r="Y1718" s="408">
        <f t="shared" si="362"/>
        <v>3072000</v>
      </c>
      <c r="Z1718" s="409">
        <v>0.45500000000000002</v>
      </c>
      <c r="AA1718" s="410">
        <f t="shared" si="366"/>
        <v>1397760</v>
      </c>
      <c r="AB1718" s="411"/>
      <c r="AC1718" s="412">
        <f t="shared" si="369"/>
        <v>0</v>
      </c>
      <c r="AD1718" s="421"/>
      <c r="AE1718" s="413"/>
      <c r="AF1718" s="424">
        <f t="shared" si="368"/>
        <v>1397760</v>
      </c>
      <c r="AG1718" s="405" t="s">
        <v>1069</v>
      </c>
      <c r="AH1718" s="405"/>
      <c r="AI1718" s="414" t="s">
        <v>1962</v>
      </c>
      <c r="AJ1718" s="405" t="s">
        <v>1958</v>
      </c>
      <c r="AK1718" s="425" t="s">
        <v>1136</v>
      </c>
      <c r="AL1718" s="405">
        <v>78218</v>
      </c>
      <c r="AM1718" s="405" t="s">
        <v>52</v>
      </c>
      <c r="AN1718" s="405"/>
      <c r="AO1718" s="405"/>
      <c r="AP1718" s="417"/>
      <c r="AQ1718" s="417" t="s">
        <v>37</v>
      </c>
      <c r="AR1718" s="417" t="s">
        <v>1499</v>
      </c>
      <c r="AS1718" s="426"/>
      <c r="AT1718" s="426"/>
      <c r="AU1718" s="409">
        <v>0.45500000000000002</v>
      </c>
    </row>
    <row r="1719" spans="1:55" s="402" customFormat="1">
      <c r="A1719" s="403"/>
      <c r="B1719" s="446"/>
      <c r="C1719" s="446"/>
      <c r="D1719" s="416" t="s">
        <v>2480</v>
      </c>
      <c r="E1719" s="405" t="s">
        <v>2584</v>
      </c>
      <c r="F1719" s="405"/>
      <c r="G1719" s="405">
        <v>2022</v>
      </c>
      <c r="H1719" s="405">
        <v>7</v>
      </c>
      <c r="I1719" s="405"/>
      <c r="J1719" s="406"/>
      <c r="K1719" s="414" t="s">
        <v>2585</v>
      </c>
      <c r="L1719" s="405" t="s">
        <v>2530</v>
      </c>
      <c r="M1719" s="418">
        <v>44503</v>
      </c>
      <c r="N1719" s="418">
        <v>44563</v>
      </c>
      <c r="O1719" s="418"/>
      <c r="P1719" s="406" t="s">
        <v>1368</v>
      </c>
      <c r="Q1719" s="406"/>
      <c r="R1719" s="406"/>
      <c r="S1719" s="405" t="s">
        <v>1940</v>
      </c>
      <c r="T1719" s="405">
        <v>60</v>
      </c>
      <c r="U1719" s="405">
        <v>49401140</v>
      </c>
      <c r="V1719" s="405" t="s">
        <v>2586</v>
      </c>
      <c r="W1719" s="405">
        <v>400</v>
      </c>
      <c r="X1719" s="407">
        <v>3072</v>
      </c>
      <c r="Y1719" s="408">
        <f t="shared" si="362"/>
        <v>1228800</v>
      </c>
      <c r="Z1719" s="409">
        <v>0.45500000000000002</v>
      </c>
      <c r="AA1719" s="410">
        <f t="shared" si="366"/>
        <v>559104</v>
      </c>
      <c r="AB1719" s="411"/>
      <c r="AC1719" s="412">
        <f t="shared" si="369"/>
        <v>0</v>
      </c>
      <c r="AD1719" s="421"/>
      <c r="AE1719" s="413"/>
      <c r="AF1719" s="424">
        <f t="shared" si="368"/>
        <v>559104</v>
      </c>
      <c r="AG1719" s="405" t="s">
        <v>1069</v>
      </c>
      <c r="AH1719" s="405"/>
      <c r="AI1719" s="414" t="s">
        <v>1962</v>
      </c>
      <c r="AJ1719" s="405" t="s">
        <v>1958</v>
      </c>
      <c r="AK1719" s="425" t="s">
        <v>1136</v>
      </c>
      <c r="AL1719" s="405">
        <v>78218</v>
      </c>
      <c r="AM1719" s="405" t="s">
        <v>52</v>
      </c>
      <c r="AN1719" s="405" t="s">
        <v>1071</v>
      </c>
      <c r="AO1719" s="405"/>
      <c r="AP1719" s="417"/>
      <c r="AQ1719" s="417" t="s">
        <v>37</v>
      </c>
      <c r="AR1719" s="417" t="s">
        <v>1499</v>
      </c>
      <c r="AS1719" s="426"/>
      <c r="AT1719" s="426"/>
      <c r="AU1719" s="409">
        <v>0.45500000000000002</v>
      </c>
      <c r="AV1719" s="402">
        <f>U1719</f>
        <v>49401140</v>
      </c>
      <c r="AW1719" s="402" cm="1">
        <f t="array" ref="AW1719">SUM(MID(0&amp;AV1719,LARGE(INDEX(ISNUMBER(--MID(AV1719,ROW($1:$8),1))*ROW($1:$8),),ROW($1:$8))+1,1)*10^ROW($1:$8)/10)</f>
        <v>49401140</v>
      </c>
      <c r="AX1719" s="402" t="str">
        <f>VLOOKUP($AW1719,'Item Master Data'!$A:$F,3,FALSE)</f>
        <v>Q.PEAK DUO BLK ML G10.a+</v>
      </c>
      <c r="AY1719" s="402">
        <f>VLOOKUP($AW1719,'Item Master Data'!$A:$F,6,FALSE)</f>
        <v>400</v>
      </c>
      <c r="AZ1719" s="402">
        <f>X1719/BA1719</f>
        <v>96</v>
      </c>
      <c r="BA1719" s="402">
        <f>VLOOKUP(AW1719,'Item Master Data'!$A:$G,7,FALSE)</f>
        <v>32</v>
      </c>
      <c r="BC1719" s="402">
        <f>W1719-AY1719</f>
        <v>0</v>
      </c>
    </row>
    <row r="1720" spans="1:55" s="402" customFormat="1">
      <c r="A1720" s="403"/>
      <c r="B1720" s="446"/>
      <c r="C1720" s="446"/>
      <c r="D1720" s="416" t="s">
        <v>2480</v>
      </c>
      <c r="E1720" s="405" t="s">
        <v>2484</v>
      </c>
      <c r="F1720" s="405"/>
      <c r="G1720" s="405">
        <v>2022</v>
      </c>
      <c r="H1720" s="405">
        <v>7</v>
      </c>
      <c r="I1720" s="405"/>
      <c r="J1720" s="406"/>
      <c r="K1720" s="414" t="s">
        <v>2587</v>
      </c>
      <c r="L1720" s="405" t="s">
        <v>2530</v>
      </c>
      <c r="M1720" s="418">
        <v>44503</v>
      </c>
      <c r="N1720" s="418">
        <v>44614</v>
      </c>
      <c r="O1720" s="418"/>
      <c r="P1720" s="406"/>
      <c r="Q1720" s="406"/>
      <c r="R1720" s="406"/>
      <c r="S1720" s="405" t="s">
        <v>1940</v>
      </c>
      <c r="T1720" s="405">
        <v>60</v>
      </c>
      <c r="U1720" s="405">
        <v>49401140</v>
      </c>
      <c r="V1720" s="405" t="s">
        <v>973</v>
      </c>
      <c r="W1720" s="405">
        <v>400</v>
      </c>
      <c r="X1720" s="407">
        <v>3840</v>
      </c>
      <c r="Y1720" s="408">
        <f t="shared" si="362"/>
        <v>1536000</v>
      </c>
      <c r="Z1720" s="409">
        <v>0.45500000000000002</v>
      </c>
      <c r="AA1720" s="410">
        <f t="shared" si="366"/>
        <v>698880</v>
      </c>
      <c r="AB1720" s="411"/>
      <c r="AC1720" s="412">
        <f t="shared" si="369"/>
        <v>0</v>
      </c>
      <c r="AD1720" s="421"/>
      <c r="AE1720" s="413"/>
      <c r="AF1720" s="424">
        <f t="shared" si="368"/>
        <v>698880</v>
      </c>
      <c r="AG1720" s="405" t="s">
        <v>1069</v>
      </c>
      <c r="AH1720" s="405"/>
      <c r="AI1720" s="414" t="s">
        <v>1962</v>
      </c>
      <c r="AJ1720" s="405" t="s">
        <v>1958</v>
      </c>
      <c r="AK1720" s="425" t="s">
        <v>1136</v>
      </c>
      <c r="AL1720" s="405">
        <v>78218</v>
      </c>
      <c r="AM1720" s="405" t="s">
        <v>52</v>
      </c>
      <c r="AN1720" s="405" t="s">
        <v>1071</v>
      </c>
      <c r="AO1720" s="405"/>
      <c r="AP1720" s="417"/>
      <c r="AQ1720" s="417" t="s">
        <v>37</v>
      </c>
      <c r="AR1720" s="417" t="s">
        <v>1499</v>
      </c>
      <c r="AS1720" s="426"/>
      <c r="AT1720" s="426"/>
      <c r="AU1720" s="409">
        <v>0.45500000000000002</v>
      </c>
      <c r="AV1720" s="402">
        <f>U1720</f>
        <v>49401140</v>
      </c>
      <c r="AW1720" s="402" cm="1">
        <f t="array" ref="AW1720">SUM(MID(0&amp;AV1720,LARGE(INDEX(ISNUMBER(--MID(AV1720,ROW($1:$8),1))*ROW($1:$8),),ROW($1:$8))+1,1)*10^ROW($1:$8)/10)</f>
        <v>49401140</v>
      </c>
      <c r="AX1720" s="402" t="str">
        <f>VLOOKUP($AW1720,'Item Master Data'!$A:$F,3,FALSE)</f>
        <v>Q.PEAK DUO BLK ML G10.a+</v>
      </c>
      <c r="AY1720" s="402">
        <f>VLOOKUP($AW1720,'Item Master Data'!$A:$F,6,FALSE)</f>
        <v>400</v>
      </c>
      <c r="AZ1720" s="402">
        <f>X1720/BA1720</f>
        <v>120</v>
      </c>
      <c r="BA1720" s="402">
        <f>VLOOKUP(AW1720,'Item Master Data'!$A:$G,7,FALSE)</f>
        <v>32</v>
      </c>
      <c r="BC1720" s="402">
        <f>W1720-AY1720</f>
        <v>0</v>
      </c>
    </row>
    <row r="1721" spans="1:55" s="402" customFormat="1">
      <c r="A1721" s="403"/>
      <c r="B1721" s="446"/>
      <c r="C1721" s="446"/>
      <c r="D1721" s="416" t="s">
        <v>2480</v>
      </c>
      <c r="E1721" s="405" t="s">
        <v>2484</v>
      </c>
      <c r="F1721" s="405"/>
      <c r="G1721" s="405">
        <v>2022</v>
      </c>
      <c r="H1721" s="405">
        <v>7</v>
      </c>
      <c r="I1721" s="405"/>
      <c r="J1721" s="406"/>
      <c r="K1721" s="414" t="s">
        <v>2588</v>
      </c>
      <c r="L1721" s="405" t="s">
        <v>2530</v>
      </c>
      <c r="M1721" s="418">
        <v>44503</v>
      </c>
      <c r="N1721" s="418">
        <v>44622</v>
      </c>
      <c r="O1721" s="418"/>
      <c r="P1721" s="406"/>
      <c r="Q1721" s="406"/>
      <c r="R1721" s="406"/>
      <c r="S1721" s="405" t="s">
        <v>1940</v>
      </c>
      <c r="T1721" s="405">
        <v>60</v>
      </c>
      <c r="U1721" s="405">
        <v>49401140</v>
      </c>
      <c r="V1721" s="405" t="s">
        <v>973</v>
      </c>
      <c r="W1721" s="405">
        <v>400</v>
      </c>
      <c r="X1721" s="407">
        <v>3840</v>
      </c>
      <c r="Y1721" s="408">
        <f t="shared" si="362"/>
        <v>1536000</v>
      </c>
      <c r="Z1721" s="409">
        <v>0.45500000000000002</v>
      </c>
      <c r="AA1721" s="410">
        <f t="shared" si="366"/>
        <v>698880</v>
      </c>
      <c r="AB1721" s="411"/>
      <c r="AC1721" s="412">
        <f t="shared" si="369"/>
        <v>0</v>
      </c>
      <c r="AD1721" s="421"/>
      <c r="AE1721" s="413"/>
      <c r="AF1721" s="424">
        <f t="shared" si="368"/>
        <v>698880</v>
      </c>
      <c r="AG1721" s="405" t="s">
        <v>1069</v>
      </c>
      <c r="AH1721" s="405"/>
      <c r="AI1721" s="414" t="s">
        <v>1962</v>
      </c>
      <c r="AJ1721" s="405" t="s">
        <v>1958</v>
      </c>
      <c r="AK1721" s="425" t="s">
        <v>1136</v>
      </c>
      <c r="AL1721" s="405">
        <v>78218</v>
      </c>
      <c r="AM1721" s="405" t="s">
        <v>52</v>
      </c>
      <c r="AN1721" s="405"/>
      <c r="AO1721" s="405"/>
      <c r="AP1721" s="417"/>
      <c r="AQ1721" s="417" t="s">
        <v>37</v>
      </c>
      <c r="AR1721" s="417" t="s">
        <v>1499</v>
      </c>
      <c r="AS1721" s="426"/>
      <c r="AT1721" s="426"/>
      <c r="AU1721" s="409">
        <v>0.45500000000000002</v>
      </c>
      <c r="AV1721" s="402">
        <f>U1721</f>
        <v>49401140</v>
      </c>
      <c r="AW1721" s="402" cm="1">
        <f t="array" ref="AW1721">SUM(MID(0&amp;AV1721,LARGE(INDEX(ISNUMBER(--MID(AV1721,ROW($1:$8),1))*ROW($1:$8),),ROW($1:$8))+1,1)*10^ROW($1:$8)/10)</f>
        <v>49401140</v>
      </c>
      <c r="AX1721" s="402" t="str">
        <f>VLOOKUP($AW1721,'Item Master Data'!$A:$F,3,FALSE)</f>
        <v>Q.PEAK DUO BLK ML G10.a+</v>
      </c>
      <c r="AY1721" s="402">
        <f>VLOOKUP($AW1721,'Item Master Data'!$A:$F,6,FALSE)</f>
        <v>400</v>
      </c>
      <c r="AZ1721" s="402">
        <f>X1721/BA1721</f>
        <v>120</v>
      </c>
      <c r="BA1721" s="402">
        <f>VLOOKUP(AW1721,'Item Master Data'!$A:$G,7,FALSE)</f>
        <v>32</v>
      </c>
      <c r="BC1721" s="402">
        <f>W1721-AY1721</f>
        <v>0</v>
      </c>
    </row>
    <row r="1722" spans="1:55" s="402" customFormat="1" ht="15" customHeight="1">
      <c r="A1722" s="403"/>
      <c r="B1722" s="403"/>
      <c r="C1722" s="403"/>
      <c r="D1722" s="416" t="s">
        <v>2480</v>
      </c>
      <c r="E1722" s="405" t="s">
        <v>2484</v>
      </c>
      <c r="F1722" s="405"/>
      <c r="G1722" s="405">
        <v>2022</v>
      </c>
      <c r="H1722" s="405">
        <v>7</v>
      </c>
      <c r="I1722" s="405" t="s">
        <v>2535</v>
      </c>
      <c r="J1722" s="406"/>
      <c r="K1722" s="414" t="s">
        <v>2538</v>
      </c>
      <c r="L1722" s="405" t="s">
        <v>2530</v>
      </c>
      <c r="M1722" s="418">
        <v>44509</v>
      </c>
      <c r="N1722" s="418">
        <v>44622</v>
      </c>
      <c r="O1722" s="418"/>
      <c r="P1722" s="406"/>
      <c r="Q1722" s="406"/>
      <c r="R1722" s="406"/>
      <c r="S1722" s="405" t="s">
        <v>1940</v>
      </c>
      <c r="T1722" s="405">
        <v>60</v>
      </c>
      <c r="U1722" s="405">
        <v>49401140</v>
      </c>
      <c r="V1722" s="405" t="s">
        <v>2284</v>
      </c>
      <c r="W1722" s="405">
        <v>400</v>
      </c>
      <c r="X1722" s="407">
        <v>3072</v>
      </c>
      <c r="Y1722" s="422">
        <f t="shared" si="362"/>
        <v>1228800</v>
      </c>
      <c r="Z1722" s="409">
        <v>0.55000000000000004</v>
      </c>
      <c r="AA1722" s="423">
        <f t="shared" si="366"/>
        <v>675840</v>
      </c>
      <c r="AB1722" s="411"/>
      <c r="AC1722" s="412">
        <f t="shared" si="369"/>
        <v>0</v>
      </c>
      <c r="AD1722" s="421"/>
      <c r="AE1722" s="413"/>
      <c r="AF1722" s="424">
        <f t="shared" si="368"/>
        <v>675840</v>
      </c>
      <c r="AG1722" s="405" t="s">
        <v>1069</v>
      </c>
      <c r="AH1722" s="405"/>
      <c r="AI1722" s="414" t="s">
        <v>1962</v>
      </c>
      <c r="AJ1722" s="405" t="s">
        <v>1958</v>
      </c>
      <c r="AK1722" s="425" t="s">
        <v>1136</v>
      </c>
      <c r="AL1722" s="405">
        <v>78218</v>
      </c>
      <c r="AM1722" s="405" t="s">
        <v>52</v>
      </c>
      <c r="AN1722" s="405" t="s">
        <v>1071</v>
      </c>
      <c r="AO1722" s="405"/>
      <c r="AP1722" s="417"/>
      <c r="AQ1722" s="417" t="s">
        <v>37</v>
      </c>
      <c r="AR1722" s="417" t="s">
        <v>1686</v>
      </c>
      <c r="AS1722" s="426"/>
      <c r="AT1722" s="426"/>
      <c r="AU1722" s="409">
        <v>0.49</v>
      </c>
      <c r="AV1722" s="402">
        <f>U1722</f>
        <v>49401140</v>
      </c>
      <c r="AW1722" s="402" cm="1">
        <f t="array" ref="AW1722">SUM(MID(0&amp;AV1722,LARGE(INDEX(ISNUMBER(--MID(AV1722,ROW($1:$8),1))*ROW($1:$8),),ROW($1:$8))+1,1)*10^ROW($1:$8)/10)</f>
        <v>49401140</v>
      </c>
      <c r="AX1722" s="402" t="str">
        <f>VLOOKUP($AW1722,'Item Master Data'!$A:$F,3,FALSE)</f>
        <v>Q.PEAK DUO BLK ML G10.a+</v>
      </c>
      <c r="AY1722" s="402">
        <f>VLOOKUP($AW1722,'Item Master Data'!$A:$F,6,FALSE)</f>
        <v>400</v>
      </c>
      <c r="AZ1722" s="402">
        <f>X1722/BA1722</f>
        <v>96</v>
      </c>
      <c r="BA1722" s="402">
        <f>VLOOKUP(AW1722,'Item Master Data'!$A:$G,7,FALSE)</f>
        <v>32</v>
      </c>
      <c r="BC1722" s="402">
        <f>W1722-AY1722</f>
        <v>0</v>
      </c>
    </row>
    <row r="1723" spans="1:55" s="402" customFormat="1" ht="14.45" customHeight="1">
      <c r="A1723" s="403"/>
      <c r="B1723" s="446"/>
      <c r="C1723" s="446"/>
      <c r="D1723" s="416" t="s">
        <v>2480</v>
      </c>
      <c r="E1723" s="405" t="s">
        <v>2484</v>
      </c>
      <c r="F1723" s="405"/>
      <c r="G1723" s="405">
        <v>2022</v>
      </c>
      <c r="H1723" s="405">
        <v>7</v>
      </c>
      <c r="I1723" s="405"/>
      <c r="J1723" s="406"/>
      <c r="K1723" s="414" t="s">
        <v>2590</v>
      </c>
      <c r="L1723" s="405" t="s">
        <v>2530</v>
      </c>
      <c r="M1723" s="418">
        <v>44512</v>
      </c>
      <c r="N1723" s="418">
        <v>44564</v>
      </c>
      <c r="O1723" s="418"/>
      <c r="P1723" s="406"/>
      <c r="Q1723" s="406"/>
      <c r="R1723" s="406"/>
      <c r="S1723" s="405" t="s">
        <v>1940</v>
      </c>
      <c r="T1723" s="405">
        <v>60</v>
      </c>
      <c r="U1723" s="405">
        <v>49401140</v>
      </c>
      <c r="V1723" s="405" t="s">
        <v>973</v>
      </c>
      <c r="W1723" s="405">
        <v>400</v>
      </c>
      <c r="X1723" s="407">
        <v>3840</v>
      </c>
      <c r="Y1723" s="408">
        <f t="shared" si="362"/>
        <v>1536000</v>
      </c>
      <c r="Z1723" s="409">
        <v>0.46500000000000002</v>
      </c>
      <c r="AA1723" s="410">
        <f t="shared" si="366"/>
        <v>714240</v>
      </c>
      <c r="AB1723" s="411"/>
      <c r="AC1723" s="412">
        <f t="shared" si="369"/>
        <v>0</v>
      </c>
      <c r="AD1723" s="421"/>
      <c r="AE1723" s="413"/>
      <c r="AF1723" s="424">
        <f t="shared" si="368"/>
        <v>714240</v>
      </c>
      <c r="AG1723" s="405" t="s">
        <v>1069</v>
      </c>
      <c r="AH1723" s="405"/>
      <c r="AI1723" s="414">
        <v>60</v>
      </c>
      <c r="AJ1723" s="405" t="s">
        <v>2053</v>
      </c>
      <c r="AK1723" s="425" t="s">
        <v>1136</v>
      </c>
      <c r="AL1723" s="405">
        <v>78218</v>
      </c>
      <c r="AM1723" s="405" t="s">
        <v>52</v>
      </c>
      <c r="AN1723" s="405"/>
      <c r="AO1723" s="405"/>
      <c r="AP1723" s="417"/>
      <c r="AQ1723" s="417" t="s">
        <v>37</v>
      </c>
      <c r="AR1723" s="417" t="s">
        <v>1209</v>
      </c>
      <c r="AS1723" s="426"/>
      <c r="AT1723" s="426"/>
      <c r="AU1723" s="409">
        <v>0.46500000000000002</v>
      </c>
    </row>
    <row r="1724" spans="1:55" s="402" customFormat="1" ht="15" customHeight="1">
      <c r="A1724" s="403"/>
      <c r="B1724" s="446"/>
      <c r="C1724" s="446"/>
      <c r="D1724" s="416" t="s">
        <v>2480</v>
      </c>
      <c r="E1724" s="405" t="s">
        <v>2484</v>
      </c>
      <c r="F1724" s="405"/>
      <c r="G1724" s="405">
        <v>2022</v>
      </c>
      <c r="H1724" s="405">
        <v>7</v>
      </c>
      <c r="I1724" s="405"/>
      <c r="J1724" s="406"/>
      <c r="K1724" s="414" t="s">
        <v>2591</v>
      </c>
      <c r="L1724" s="405" t="s">
        <v>2530</v>
      </c>
      <c r="M1724" s="418">
        <v>44512</v>
      </c>
      <c r="N1724" s="418">
        <v>44595</v>
      </c>
      <c r="O1724" s="418"/>
      <c r="P1724" s="406"/>
      <c r="Q1724" s="406"/>
      <c r="R1724" s="406"/>
      <c r="S1724" s="405" t="s">
        <v>1940</v>
      </c>
      <c r="T1724" s="405">
        <v>60</v>
      </c>
      <c r="U1724" s="405">
        <v>49401140</v>
      </c>
      <c r="V1724" s="405" t="s">
        <v>973</v>
      </c>
      <c r="W1724" s="405">
        <v>400</v>
      </c>
      <c r="X1724" s="407">
        <v>3840</v>
      </c>
      <c r="Y1724" s="408">
        <f t="shared" si="362"/>
        <v>1536000</v>
      </c>
      <c r="Z1724" s="409">
        <v>0.46500000000000002</v>
      </c>
      <c r="AA1724" s="410">
        <f t="shared" si="366"/>
        <v>714240</v>
      </c>
      <c r="AB1724" s="411"/>
      <c r="AC1724" s="412">
        <f t="shared" si="369"/>
        <v>0</v>
      </c>
      <c r="AD1724" s="421"/>
      <c r="AE1724" s="413"/>
      <c r="AF1724" s="424">
        <f t="shared" si="368"/>
        <v>714240</v>
      </c>
      <c r="AG1724" s="405" t="s">
        <v>1069</v>
      </c>
      <c r="AH1724" s="405"/>
      <c r="AI1724" s="414">
        <v>60</v>
      </c>
      <c r="AJ1724" s="405" t="s">
        <v>2053</v>
      </c>
      <c r="AK1724" s="425" t="s">
        <v>1136</v>
      </c>
      <c r="AL1724" s="405">
        <v>78218</v>
      </c>
      <c r="AM1724" s="405" t="s">
        <v>52</v>
      </c>
      <c r="AN1724" s="405"/>
      <c r="AO1724" s="405"/>
      <c r="AP1724" s="417"/>
      <c r="AQ1724" s="417" t="s">
        <v>37</v>
      </c>
      <c r="AR1724" s="417" t="s">
        <v>1209</v>
      </c>
      <c r="AS1724" s="426"/>
      <c r="AT1724" s="426"/>
      <c r="AU1724" s="409">
        <v>0.46500000000000002</v>
      </c>
      <c r="AV1724" s="402">
        <f>U1724</f>
        <v>49401140</v>
      </c>
      <c r="AW1724" s="402" cm="1">
        <f t="array" ref="AW1724">SUM(MID(0&amp;AV1724,LARGE(INDEX(ISNUMBER(--MID(AV1724,ROW($1:$8),1))*ROW($1:$8),),ROW($1:$8))+1,1)*10^ROW($1:$8)/10)</f>
        <v>49401140</v>
      </c>
      <c r="AX1724" s="402" t="str">
        <f>VLOOKUP($AW1724,'Item Master Data'!$A:$F,3,FALSE)</f>
        <v>Q.PEAK DUO BLK ML G10.a+</v>
      </c>
      <c r="AY1724" s="402">
        <f>VLOOKUP($AW1724,'Item Master Data'!$A:$F,6,FALSE)</f>
        <v>400</v>
      </c>
      <c r="AZ1724" s="402">
        <f>X1724/BA1724</f>
        <v>120</v>
      </c>
      <c r="BA1724" s="402">
        <f>VLOOKUP(AW1724,'Item Master Data'!$A:$G,7,FALSE)</f>
        <v>32</v>
      </c>
      <c r="BC1724" s="402">
        <f>W1724-AY1724</f>
        <v>0</v>
      </c>
    </row>
    <row r="1725" spans="1:55">
      <c r="A1725" s="403"/>
      <c r="B1725" s="446"/>
      <c r="C1725" s="446"/>
      <c r="D1725" s="416" t="s">
        <v>2480</v>
      </c>
      <c r="E1725" s="405" t="s">
        <v>2484</v>
      </c>
      <c r="F1725" s="405"/>
      <c r="G1725" s="405">
        <v>2022</v>
      </c>
      <c r="H1725" s="405">
        <v>7</v>
      </c>
      <c r="I1725" s="405"/>
      <c r="J1725" s="406"/>
      <c r="K1725" s="414" t="s">
        <v>2630</v>
      </c>
      <c r="L1725" s="405" t="s">
        <v>2530</v>
      </c>
      <c r="M1725" s="418">
        <v>44512</v>
      </c>
      <c r="N1725" s="418">
        <v>44624</v>
      </c>
      <c r="O1725" s="418"/>
      <c r="P1725" s="406"/>
      <c r="Q1725" s="406"/>
      <c r="R1725" s="406"/>
      <c r="S1725" s="405" t="s">
        <v>2631</v>
      </c>
      <c r="T1725" s="405">
        <v>60</v>
      </c>
      <c r="U1725" s="405">
        <v>49401140</v>
      </c>
      <c r="V1725" s="405" t="s">
        <v>973</v>
      </c>
      <c r="W1725" s="405">
        <v>400</v>
      </c>
      <c r="X1725" s="407">
        <v>3840</v>
      </c>
      <c r="Y1725" s="408">
        <f t="shared" si="362"/>
        <v>1536000</v>
      </c>
      <c r="Z1725" s="409">
        <v>0.46500000000000002</v>
      </c>
      <c r="AA1725" s="410">
        <f t="shared" si="366"/>
        <v>714240</v>
      </c>
      <c r="AB1725" s="411"/>
      <c r="AC1725" s="412">
        <f t="shared" si="369"/>
        <v>0</v>
      </c>
      <c r="AD1725" s="421"/>
      <c r="AE1725" s="413"/>
      <c r="AF1725" s="424">
        <f t="shared" si="368"/>
        <v>714240</v>
      </c>
      <c r="AG1725" s="405" t="s">
        <v>1069</v>
      </c>
      <c r="AH1725" s="405"/>
      <c r="AI1725" s="414">
        <v>60</v>
      </c>
      <c r="AJ1725" s="405" t="s">
        <v>2053</v>
      </c>
      <c r="AK1725" s="425" t="s">
        <v>1136</v>
      </c>
      <c r="AL1725" s="405">
        <v>78218</v>
      </c>
      <c r="AM1725" s="405" t="s">
        <v>52</v>
      </c>
      <c r="AN1725" s="405"/>
      <c r="AO1725" s="405"/>
      <c r="AP1725" s="417"/>
      <c r="AQ1725" s="417" t="s">
        <v>37</v>
      </c>
      <c r="AR1725" s="417" t="s">
        <v>1209</v>
      </c>
      <c r="AS1725" s="426"/>
      <c r="AT1725" s="426"/>
      <c r="AU1725" s="409">
        <v>0.46500000000000002</v>
      </c>
    </row>
    <row r="1726" spans="1:55">
      <c r="A1726" s="403"/>
      <c r="B1726" s="446"/>
      <c r="C1726" s="446"/>
      <c r="D1726" s="416" t="s">
        <v>2480</v>
      </c>
      <c r="E1726" s="405"/>
      <c r="F1726" s="405"/>
      <c r="G1726" s="405">
        <v>2022</v>
      </c>
      <c r="H1726" s="405">
        <v>7</v>
      </c>
      <c r="I1726" s="405"/>
      <c r="J1726" s="406"/>
      <c r="K1726" s="414" t="s">
        <v>2632</v>
      </c>
      <c r="L1726" s="405" t="s">
        <v>2530</v>
      </c>
      <c r="M1726" s="418">
        <v>44529</v>
      </c>
      <c r="N1726" s="418">
        <v>44713</v>
      </c>
      <c r="O1726" s="418"/>
      <c r="P1726" s="406"/>
      <c r="Q1726" s="406"/>
      <c r="R1726" s="406"/>
      <c r="S1726" s="405" t="s">
        <v>1940</v>
      </c>
      <c r="T1726" s="405">
        <v>60</v>
      </c>
      <c r="U1726" s="405">
        <v>49401140</v>
      </c>
      <c r="V1726" s="405" t="s">
        <v>973</v>
      </c>
      <c r="W1726" s="405">
        <v>400</v>
      </c>
      <c r="X1726" s="407">
        <v>9216</v>
      </c>
      <c r="Y1726" s="408">
        <f t="shared" si="362"/>
        <v>3686400</v>
      </c>
      <c r="Z1726" s="409">
        <v>0.52</v>
      </c>
      <c r="AA1726" s="410">
        <f t="shared" si="366"/>
        <v>1916928</v>
      </c>
      <c r="AB1726" s="411"/>
      <c r="AC1726" s="412">
        <f t="shared" si="369"/>
        <v>0</v>
      </c>
      <c r="AD1726" s="421"/>
      <c r="AE1726" s="413"/>
      <c r="AF1726" s="424">
        <f t="shared" si="368"/>
        <v>1916928</v>
      </c>
      <c r="AG1726" s="405" t="s">
        <v>1069</v>
      </c>
      <c r="AH1726" s="405"/>
      <c r="AI1726" s="414">
        <v>60</v>
      </c>
      <c r="AJ1726" s="405" t="s">
        <v>2053</v>
      </c>
      <c r="AK1726" s="425" t="s">
        <v>1136</v>
      </c>
      <c r="AL1726" s="405">
        <v>78218</v>
      </c>
      <c r="AM1726" s="405" t="s">
        <v>52</v>
      </c>
      <c r="AN1726" s="405"/>
      <c r="AO1726" s="405"/>
      <c r="AP1726" s="417"/>
      <c r="AQ1726" s="417" t="s">
        <v>37</v>
      </c>
      <c r="AR1726" s="417"/>
      <c r="AS1726" s="426"/>
      <c r="AT1726" s="426"/>
      <c r="AU1726" s="409"/>
      <c r="AV1726" s="262">
        <f>U1726</f>
        <v>49401140</v>
      </c>
      <c r="AW1726" s="262" cm="1">
        <f t="array" ref="AW1726">SUM(MID(0&amp;AV1726,LARGE(INDEX(ISNUMBER(--MID(AV1726,ROW($1:$8),1))*ROW($1:$8),),ROW($1:$8))+1,1)*10^ROW($1:$8)/10)</f>
        <v>49401140</v>
      </c>
      <c r="AX1726" s="262" t="str">
        <f>VLOOKUP($AW1726,'Item Master Data'!$A:$F,3,FALSE)</f>
        <v>Q.PEAK DUO BLK ML G10.a+</v>
      </c>
      <c r="AY1726" s="262">
        <f>VLOOKUP($AW1726,'Item Master Data'!$A:$F,6,FALSE)</f>
        <v>400</v>
      </c>
      <c r="AZ1726" s="262">
        <f>X1726/BA1726</f>
        <v>288</v>
      </c>
      <c r="BA1726" s="262">
        <f>VLOOKUP(AW1726,'Item Master Data'!$A:$G,7,FALSE)</f>
        <v>32</v>
      </c>
      <c r="BC1726" s="262">
        <f>W1726-AY1726</f>
        <v>0</v>
      </c>
    </row>
    <row r="1727" spans="1:55">
      <c r="A1727" s="403"/>
      <c r="B1727" s="403"/>
      <c r="C1727" s="403"/>
      <c r="D1727" s="416" t="s">
        <v>2480</v>
      </c>
      <c r="E1727" s="405"/>
      <c r="F1727" s="405"/>
      <c r="G1727" s="405">
        <v>2022</v>
      </c>
      <c r="H1727" s="405">
        <v>7</v>
      </c>
      <c r="I1727" s="405" t="s">
        <v>1498</v>
      </c>
      <c r="J1727" s="406"/>
      <c r="K1727" s="414" t="s">
        <v>2556</v>
      </c>
      <c r="L1727" s="405" t="s">
        <v>2534</v>
      </c>
      <c r="M1727" s="418">
        <v>44504</v>
      </c>
      <c r="N1727" s="418">
        <v>44683</v>
      </c>
      <c r="O1727" s="418"/>
      <c r="P1727" s="406"/>
      <c r="Q1727" s="406"/>
      <c r="R1727" s="406"/>
      <c r="S1727" s="405" t="s">
        <v>1940</v>
      </c>
      <c r="T1727" s="405">
        <v>60</v>
      </c>
      <c r="U1727" s="405">
        <v>49401140</v>
      </c>
      <c r="V1727" s="405" t="s">
        <v>973</v>
      </c>
      <c r="W1727" s="405">
        <v>400</v>
      </c>
      <c r="X1727" s="407">
        <f>6656+2560+768+768+1536</f>
        <v>12288</v>
      </c>
      <c r="Y1727" s="422">
        <f t="shared" si="362"/>
        <v>4915200</v>
      </c>
      <c r="Z1727" s="409">
        <v>0.55000000000000004</v>
      </c>
      <c r="AA1727" s="423">
        <f t="shared" si="366"/>
        <v>2703360</v>
      </c>
      <c r="AB1727" s="411"/>
      <c r="AC1727" s="412">
        <f t="shared" si="369"/>
        <v>0</v>
      </c>
      <c r="AD1727" s="421"/>
      <c r="AE1727" s="413"/>
      <c r="AF1727" s="424">
        <f t="shared" si="368"/>
        <v>2703360</v>
      </c>
      <c r="AG1727" s="405" t="s">
        <v>1069</v>
      </c>
      <c r="AH1727" s="405"/>
      <c r="AI1727" s="414" t="s">
        <v>1962</v>
      </c>
      <c r="AJ1727" s="405" t="s">
        <v>1969</v>
      </c>
      <c r="AK1727" s="425" t="s">
        <v>1125</v>
      </c>
      <c r="AL1727" s="405">
        <v>85040</v>
      </c>
      <c r="AM1727" s="405" t="s">
        <v>52</v>
      </c>
      <c r="AN1727" s="405"/>
      <c r="AO1727" s="405"/>
      <c r="AP1727" s="417"/>
      <c r="AQ1727" s="417" t="s">
        <v>37</v>
      </c>
      <c r="AR1727" s="417"/>
      <c r="AS1727" s="426"/>
      <c r="AT1727" s="426"/>
      <c r="AU1727" s="409">
        <v>0.51</v>
      </c>
    </row>
    <row r="1728" spans="1:55">
      <c r="A1728" s="403"/>
      <c r="B1728" s="446">
        <v>44596</v>
      </c>
      <c r="C1728" s="446">
        <v>44599</v>
      </c>
      <c r="D1728" s="416" t="s">
        <v>2480</v>
      </c>
      <c r="E1728" s="405" t="s">
        <v>2484</v>
      </c>
      <c r="F1728" s="405"/>
      <c r="G1728" s="405">
        <v>2022</v>
      </c>
      <c r="H1728" s="405">
        <v>7</v>
      </c>
      <c r="I1728" s="405"/>
      <c r="J1728" s="406"/>
      <c r="K1728" s="414" t="s">
        <v>4780</v>
      </c>
      <c r="L1728" s="405" t="s">
        <v>2534</v>
      </c>
      <c r="M1728" s="418">
        <v>44530</v>
      </c>
      <c r="N1728" s="418">
        <v>44564</v>
      </c>
      <c r="O1728" s="418"/>
      <c r="P1728" s="406"/>
      <c r="Q1728" s="406"/>
      <c r="R1728" s="406"/>
      <c r="S1728" s="405" t="s">
        <v>1940</v>
      </c>
      <c r="T1728" s="405">
        <v>60</v>
      </c>
      <c r="U1728" s="405">
        <v>49201132</v>
      </c>
      <c r="V1728" s="405" t="s">
        <v>986</v>
      </c>
      <c r="W1728" s="405">
        <v>360</v>
      </c>
      <c r="X1728" s="407">
        <v>5824</v>
      </c>
      <c r="Y1728" s="408">
        <f t="shared" si="362"/>
        <v>2096640</v>
      </c>
      <c r="Z1728" s="409">
        <v>0.53</v>
      </c>
      <c r="AA1728" s="410">
        <f t="shared" si="366"/>
        <v>1111219.2</v>
      </c>
      <c r="AB1728" s="411"/>
      <c r="AC1728" s="412">
        <f t="shared" si="369"/>
        <v>0</v>
      </c>
      <c r="AD1728" s="421"/>
      <c r="AE1728" s="413"/>
      <c r="AF1728" s="424">
        <f t="shared" si="368"/>
        <v>1111219.2</v>
      </c>
      <c r="AG1728" s="405" t="s">
        <v>1069</v>
      </c>
      <c r="AH1728" s="405"/>
      <c r="AI1728" s="414" t="s">
        <v>1962</v>
      </c>
      <c r="AJ1728" s="405" t="s">
        <v>1969</v>
      </c>
      <c r="AK1728" s="425" t="s">
        <v>1125</v>
      </c>
      <c r="AL1728" s="405">
        <v>85040</v>
      </c>
      <c r="AM1728" s="405" t="s">
        <v>52</v>
      </c>
      <c r="AN1728" s="405" t="s">
        <v>1071</v>
      </c>
      <c r="AO1728" s="405"/>
      <c r="AP1728" s="417"/>
      <c r="AQ1728" s="417" t="s">
        <v>37</v>
      </c>
      <c r="AR1728" s="417" t="s">
        <v>2597</v>
      </c>
      <c r="AS1728" s="426"/>
      <c r="AT1728" s="426"/>
      <c r="AU1728" s="409">
        <v>0.49</v>
      </c>
      <c r="AV1728" s="262">
        <f>U1728</f>
        <v>49201132</v>
      </c>
      <c r="AW1728" s="262" cm="1">
        <f t="array" ref="AW1728">SUM(MID(0&amp;AV1728,LARGE(INDEX(ISNUMBER(--MID(AV1728,ROW($1:$8),1))*ROW($1:$8),),ROW($1:$8))+1,1)*10^ROW($1:$8)/10)</f>
        <v>49201132</v>
      </c>
      <c r="AX1728" s="262" t="str">
        <f>VLOOKUP($AW1728,'Item Master Data'!$A:$F,3,FALSE)</f>
        <v>Q.PEAK DUO BLK G10+</v>
      </c>
      <c r="AY1728" s="262">
        <f>VLOOKUP($AW1728,'Item Master Data'!$A:$F,6,FALSE)</f>
        <v>360</v>
      </c>
      <c r="AZ1728" s="262">
        <f>X1728/BA1728</f>
        <v>182</v>
      </c>
      <c r="BA1728" s="262">
        <f>VLOOKUP(AW1728,'Item Master Data'!$A:$G,7,FALSE)</f>
        <v>32</v>
      </c>
      <c r="BC1728" s="262">
        <f>W1728-AY1728</f>
        <v>0</v>
      </c>
    </row>
    <row r="1729" spans="1:55">
      <c r="A1729" s="403"/>
      <c r="B1729" s="446"/>
      <c r="C1729" s="446"/>
      <c r="D1729" s="416" t="s">
        <v>2480</v>
      </c>
      <c r="E1729" s="405" t="s">
        <v>2484</v>
      </c>
      <c r="F1729" s="405"/>
      <c r="G1729" s="405">
        <v>2022</v>
      </c>
      <c r="H1729" s="405">
        <v>7</v>
      </c>
      <c r="I1729" s="405"/>
      <c r="J1729" s="406"/>
      <c r="K1729" s="414" t="s">
        <v>2634</v>
      </c>
      <c r="L1729" s="405" t="s">
        <v>2534</v>
      </c>
      <c r="M1729" s="418">
        <v>44533</v>
      </c>
      <c r="N1729" s="418">
        <v>44651</v>
      </c>
      <c r="O1729" s="418"/>
      <c r="P1729" s="406"/>
      <c r="Q1729" s="406"/>
      <c r="R1729" s="406"/>
      <c r="S1729" s="405" t="s">
        <v>1940</v>
      </c>
      <c r="T1729" s="405">
        <v>60</v>
      </c>
      <c r="U1729" s="405">
        <v>49401140</v>
      </c>
      <c r="V1729" s="405" t="s">
        <v>973</v>
      </c>
      <c r="W1729" s="405">
        <v>400</v>
      </c>
      <c r="X1729" s="407">
        <f>7488+3840+3392+768</f>
        <v>15488</v>
      </c>
      <c r="Y1729" s="408">
        <f t="shared" si="362"/>
        <v>6195200</v>
      </c>
      <c r="Z1729" s="409">
        <v>0.55000000000000004</v>
      </c>
      <c r="AA1729" s="410">
        <f t="shared" si="366"/>
        <v>3407360.0000000005</v>
      </c>
      <c r="AB1729" s="411"/>
      <c r="AC1729" s="412">
        <f t="shared" si="369"/>
        <v>0</v>
      </c>
      <c r="AD1729" s="421"/>
      <c r="AE1729" s="413"/>
      <c r="AF1729" s="424">
        <f t="shared" si="368"/>
        <v>3407360.0000000005</v>
      </c>
      <c r="AG1729" s="405" t="s">
        <v>1069</v>
      </c>
      <c r="AH1729" s="405"/>
      <c r="AI1729" s="414" t="s">
        <v>1962</v>
      </c>
      <c r="AJ1729" s="405" t="s">
        <v>1969</v>
      </c>
      <c r="AK1729" s="425" t="s">
        <v>1125</v>
      </c>
      <c r="AL1729" s="405">
        <v>85040</v>
      </c>
      <c r="AM1729" s="405" t="s">
        <v>52</v>
      </c>
      <c r="AN1729" s="405"/>
      <c r="AO1729" s="405"/>
      <c r="AP1729" s="417"/>
      <c r="AQ1729" s="417" t="s">
        <v>37</v>
      </c>
      <c r="AR1729" s="417" t="s">
        <v>2537</v>
      </c>
      <c r="AS1729" s="426"/>
      <c r="AT1729" s="426"/>
      <c r="AU1729" s="409">
        <v>0.49</v>
      </c>
    </row>
    <row r="1730" spans="1:55">
      <c r="A1730" s="403"/>
      <c r="B1730" s="446">
        <v>44623</v>
      </c>
      <c r="C1730" s="446">
        <v>44623</v>
      </c>
      <c r="D1730" s="416" t="s">
        <v>2480</v>
      </c>
      <c r="E1730" s="405"/>
      <c r="F1730" s="405"/>
      <c r="G1730" s="405">
        <v>2022</v>
      </c>
      <c r="H1730" s="405">
        <v>7</v>
      </c>
      <c r="I1730" s="405" t="s">
        <v>1498</v>
      </c>
      <c r="J1730" s="406"/>
      <c r="K1730" s="414" t="s">
        <v>2687</v>
      </c>
      <c r="L1730" s="405" t="s">
        <v>2534</v>
      </c>
      <c r="M1730" s="418">
        <v>44609</v>
      </c>
      <c r="N1730" s="418">
        <v>44609</v>
      </c>
      <c r="O1730" s="418">
        <v>44652</v>
      </c>
      <c r="P1730" s="406"/>
      <c r="Q1730" s="406"/>
      <c r="R1730" s="406"/>
      <c r="S1730" s="405" t="s">
        <v>1940</v>
      </c>
      <c r="T1730" s="405">
        <v>60</v>
      </c>
      <c r="U1730" s="405"/>
      <c r="V1730" s="405" t="s">
        <v>986</v>
      </c>
      <c r="W1730" s="405">
        <v>360</v>
      </c>
      <c r="X1730" s="407">
        <f>19968-832</f>
        <v>19136</v>
      </c>
      <c r="Y1730" s="408">
        <f t="shared" si="362"/>
        <v>6888960</v>
      </c>
      <c r="Z1730" s="409">
        <v>0.53</v>
      </c>
      <c r="AA1730" s="410">
        <f t="shared" si="366"/>
        <v>3651148.8000000003</v>
      </c>
      <c r="AB1730" s="411"/>
      <c r="AC1730" s="412">
        <f t="shared" si="369"/>
        <v>0</v>
      </c>
      <c r="AD1730" s="421"/>
      <c r="AE1730" s="413"/>
      <c r="AF1730" s="424">
        <f t="shared" si="368"/>
        <v>3651148.8000000003</v>
      </c>
      <c r="AG1730" s="405" t="s">
        <v>1069</v>
      </c>
      <c r="AH1730" s="405"/>
      <c r="AI1730" s="414" t="s">
        <v>1962</v>
      </c>
      <c r="AJ1730" s="405" t="s">
        <v>1969</v>
      </c>
      <c r="AK1730" s="425" t="s">
        <v>1125</v>
      </c>
      <c r="AL1730" s="405">
        <v>85040</v>
      </c>
      <c r="AM1730" s="405" t="s">
        <v>52</v>
      </c>
      <c r="AN1730" s="405"/>
      <c r="AO1730" s="405"/>
      <c r="AP1730" s="417"/>
      <c r="AQ1730" s="417" t="s">
        <v>37</v>
      </c>
      <c r="AR1730" s="417"/>
      <c r="AS1730" s="426"/>
      <c r="AT1730" s="426"/>
      <c r="AU1730" s="409">
        <v>0.51</v>
      </c>
      <c r="AV1730" s="262">
        <f>U1730</f>
        <v>0</v>
      </c>
      <c r="AW1730" s="262" cm="1">
        <f t="array" ref="AW1730">SUM(MID(0&amp;AV1730,LARGE(INDEX(ISNUMBER(--MID(AV1730,ROW($1:$8),1))*ROW($1:$8),),ROW($1:$8))+1,1)*10^ROW($1:$8)/10)</f>
        <v>0</v>
      </c>
      <c r="AX1730" s="262" t="e">
        <f>VLOOKUP($AW1730,'Item Master Data'!$A:$F,3,FALSE)</f>
        <v>#N/A</v>
      </c>
      <c r="AY1730" s="262" t="e">
        <f>VLOOKUP($AW1730,'Item Master Data'!$A:$F,6,FALSE)</f>
        <v>#N/A</v>
      </c>
      <c r="AZ1730" s="262" t="e">
        <f>X1730/BA1730</f>
        <v>#N/A</v>
      </c>
      <c r="BA1730" s="262" t="e">
        <f>VLOOKUP(AW1730,'Item Master Data'!$A:$G,7,FALSE)</f>
        <v>#N/A</v>
      </c>
      <c r="BC1730" s="262" t="e">
        <f>W1730-AY1730</f>
        <v>#N/A</v>
      </c>
    </row>
    <row r="1731" spans="1:55">
      <c r="A1731" s="403"/>
      <c r="B1731" s="446">
        <v>44657</v>
      </c>
      <c r="C1731" s="446">
        <v>44657</v>
      </c>
      <c r="D1731" s="416" t="s">
        <v>2480</v>
      </c>
      <c r="E1731" s="405"/>
      <c r="F1731" s="405"/>
      <c r="G1731" s="405">
        <v>2022</v>
      </c>
      <c r="H1731" s="405">
        <v>7</v>
      </c>
      <c r="I1731" s="405" t="s">
        <v>1498</v>
      </c>
      <c r="J1731" s="406"/>
      <c r="K1731" s="414" t="s">
        <v>2743</v>
      </c>
      <c r="L1731" s="405" t="s">
        <v>2600</v>
      </c>
      <c r="M1731" s="418">
        <v>44650</v>
      </c>
      <c r="N1731" s="418">
        <v>44743</v>
      </c>
      <c r="O1731" s="418"/>
      <c r="P1731" s="406"/>
      <c r="Q1731" s="406"/>
      <c r="R1731" s="406"/>
      <c r="S1731" s="405" t="s">
        <v>1940</v>
      </c>
      <c r="T1731" s="405">
        <v>60</v>
      </c>
      <c r="U1731" s="405"/>
      <c r="V1731" s="405" t="s">
        <v>973</v>
      </c>
      <c r="W1731" s="405">
        <v>400</v>
      </c>
      <c r="X1731" s="407">
        <v>832</v>
      </c>
      <c r="Y1731" s="408">
        <f t="shared" si="362"/>
        <v>332800</v>
      </c>
      <c r="Z1731" s="409">
        <v>0.55500000000000005</v>
      </c>
      <c r="AA1731" s="410">
        <f t="shared" si="366"/>
        <v>184704.00000000003</v>
      </c>
      <c r="AB1731" s="411"/>
      <c r="AC1731" s="412">
        <f t="shared" si="369"/>
        <v>0</v>
      </c>
      <c r="AD1731" s="421"/>
      <c r="AE1731" s="413"/>
      <c r="AF1731" s="424">
        <f t="shared" si="368"/>
        <v>184704.00000000003</v>
      </c>
      <c r="AG1731" s="405" t="s">
        <v>1069</v>
      </c>
      <c r="AH1731" s="405"/>
      <c r="AI1731" s="414" t="s">
        <v>1962</v>
      </c>
      <c r="AJ1731" s="405" t="s">
        <v>2744</v>
      </c>
      <c r="AK1731" s="425" t="s">
        <v>2745</v>
      </c>
      <c r="AL1731" s="405">
        <v>63110</v>
      </c>
      <c r="AM1731" s="405" t="s">
        <v>52</v>
      </c>
      <c r="AN1731" s="405"/>
      <c r="AO1731" s="405"/>
      <c r="AP1731" s="417"/>
      <c r="AQ1731" s="417" t="s">
        <v>37</v>
      </c>
      <c r="AR1731" s="417"/>
      <c r="AS1731" s="426"/>
      <c r="AT1731" s="426"/>
      <c r="AU1731" s="409">
        <v>0.51</v>
      </c>
      <c r="AV1731" s="262">
        <f>U1731</f>
        <v>0</v>
      </c>
      <c r="AW1731" s="262" cm="1">
        <f t="array" ref="AW1731">SUM(MID(0&amp;AV1731,LARGE(INDEX(ISNUMBER(--MID(AV1731,ROW($1:$8),1))*ROW($1:$8),),ROW($1:$8))+1,1)*10^ROW($1:$8)/10)</f>
        <v>0</v>
      </c>
      <c r="AX1731" s="262" t="e">
        <f>VLOOKUP($AW1731,'Item Master Data'!$A:$F,3,FALSE)</f>
        <v>#N/A</v>
      </c>
      <c r="AY1731" s="262" t="e">
        <f>VLOOKUP($AW1731,'Item Master Data'!$A:$F,6,FALSE)</f>
        <v>#N/A</v>
      </c>
      <c r="AZ1731" s="262" t="e">
        <f>X1731/BA1731</f>
        <v>#N/A</v>
      </c>
      <c r="BA1731" s="262" t="e">
        <f>VLOOKUP(AW1731,'Item Master Data'!$A:$G,7,FALSE)</f>
        <v>#N/A</v>
      </c>
      <c r="BC1731" s="262" t="e">
        <f>W1731-AY1731</f>
        <v>#N/A</v>
      </c>
    </row>
    <row r="1732" spans="1:55">
      <c r="A1732" s="403"/>
      <c r="B1732" s="446">
        <v>44628</v>
      </c>
      <c r="C1732" s="446">
        <v>44628</v>
      </c>
      <c r="D1732" s="416" t="s">
        <v>2480</v>
      </c>
      <c r="E1732" s="405" t="s">
        <v>2646</v>
      </c>
      <c r="F1732" s="405"/>
      <c r="G1732" s="405">
        <v>2022</v>
      </c>
      <c r="H1732" s="405">
        <v>7</v>
      </c>
      <c r="I1732" s="405"/>
      <c r="J1732" s="406"/>
      <c r="K1732" s="414" t="s">
        <v>2655</v>
      </c>
      <c r="L1732" s="405" t="s">
        <v>2506</v>
      </c>
      <c r="M1732" s="418">
        <v>44624</v>
      </c>
      <c r="N1732" s="418">
        <v>44743</v>
      </c>
      <c r="O1732" s="418"/>
      <c r="P1732" s="406"/>
      <c r="Q1732" s="406"/>
      <c r="R1732" s="406"/>
      <c r="S1732" s="405" t="s">
        <v>1067</v>
      </c>
      <c r="T1732" s="405">
        <v>72</v>
      </c>
      <c r="U1732" s="405" t="s">
        <v>1816</v>
      </c>
      <c r="V1732" s="405" t="s">
        <v>2513</v>
      </c>
      <c r="W1732" s="405">
        <v>475</v>
      </c>
      <c r="X1732" s="407">
        <v>1276</v>
      </c>
      <c r="Y1732" s="408">
        <f t="shared" si="362"/>
        <v>606100</v>
      </c>
      <c r="Z1732" s="409">
        <v>0.495</v>
      </c>
      <c r="AA1732" s="410">
        <f t="shared" si="366"/>
        <v>300019.5</v>
      </c>
      <c r="AB1732" s="411"/>
      <c r="AC1732" s="412">
        <f t="shared" si="369"/>
        <v>0</v>
      </c>
      <c r="AD1732" s="421"/>
      <c r="AE1732" s="413"/>
      <c r="AF1732" s="424">
        <f t="shared" si="368"/>
        <v>300019.5</v>
      </c>
      <c r="AG1732" s="405" t="s">
        <v>1069</v>
      </c>
      <c r="AH1732" s="405"/>
      <c r="AI1732" s="414" t="s">
        <v>1962</v>
      </c>
      <c r="AJ1732" s="405" t="s">
        <v>2656</v>
      </c>
      <c r="AK1732" s="425" t="s">
        <v>2657</v>
      </c>
      <c r="AL1732" s="405">
        <v>2910</v>
      </c>
      <c r="AM1732" s="405" t="s">
        <v>52</v>
      </c>
      <c r="AN1732" s="405"/>
      <c r="AO1732" s="405"/>
      <c r="AP1732" s="417"/>
      <c r="AQ1732" s="417" t="s">
        <v>37</v>
      </c>
      <c r="AR1732" s="417"/>
      <c r="AS1732" s="426"/>
      <c r="AT1732" s="426"/>
      <c r="AU1732" s="409"/>
      <c r="AV1732" s="262" t="str">
        <f>U1732</f>
        <v>CYB MODS</v>
      </c>
      <c r="AW1732" s="262" cm="1">
        <f t="array" ref="AW1732">SUM(MID(0&amp;AV1732,LARGE(INDEX(ISNUMBER(--MID(AV1732,ROW($1:$8),1))*ROW($1:$8),),ROW($1:$8))+1,1)*10^ROW($1:$8)/10)</f>
        <v>0</v>
      </c>
      <c r="AX1732" s="262" t="e">
        <f>VLOOKUP($AW1732,'Item Master Data'!$A:$F,3,FALSE)</f>
        <v>#N/A</v>
      </c>
      <c r="AY1732" s="262" t="e">
        <f>VLOOKUP($AW1732,'Item Master Data'!$A:$F,6,FALSE)</f>
        <v>#N/A</v>
      </c>
      <c r="AZ1732" s="262" t="e">
        <f>X1732/BA1732</f>
        <v>#N/A</v>
      </c>
      <c r="BA1732" s="262" t="e">
        <f>VLOOKUP(AW1732,'Item Master Data'!$A:$G,7,FALSE)</f>
        <v>#N/A</v>
      </c>
      <c r="BC1732" s="262" t="e">
        <f>W1732-AY1732</f>
        <v>#N/A</v>
      </c>
    </row>
    <row r="1733" spans="1:55">
      <c r="A1733" s="403"/>
      <c r="B1733" s="446"/>
      <c r="C1733" s="446"/>
      <c r="D1733" s="416" t="s">
        <v>2480</v>
      </c>
      <c r="E1733" s="405" t="s">
        <v>2724</v>
      </c>
      <c r="F1733" s="405"/>
      <c r="G1733" s="405">
        <v>2022</v>
      </c>
      <c r="H1733" s="405">
        <v>7</v>
      </c>
      <c r="I1733" s="405"/>
      <c r="J1733" s="406"/>
      <c r="K1733" s="414" t="s">
        <v>2730</v>
      </c>
      <c r="L1733" s="405" t="s">
        <v>2509</v>
      </c>
      <c r="M1733" s="418">
        <v>44516</v>
      </c>
      <c r="N1733" s="418">
        <v>44592</v>
      </c>
      <c r="O1733" s="418"/>
      <c r="P1733" s="406"/>
      <c r="Q1733" s="406"/>
      <c r="R1733" s="406"/>
      <c r="S1733" s="405" t="s">
        <v>1443</v>
      </c>
      <c r="T1733" s="405">
        <v>60</v>
      </c>
      <c r="U1733" s="405">
        <v>49401140</v>
      </c>
      <c r="V1733" s="405" t="s">
        <v>973</v>
      </c>
      <c r="W1733" s="405">
        <v>400</v>
      </c>
      <c r="X1733" s="407">
        <v>384</v>
      </c>
      <c r="Y1733" s="408">
        <f t="shared" si="362"/>
        <v>153600</v>
      </c>
      <c r="Z1733" s="409">
        <f>210/400</f>
        <v>0.52500000000000002</v>
      </c>
      <c r="AA1733" s="410">
        <f t="shared" si="366"/>
        <v>80640</v>
      </c>
      <c r="AB1733" s="411"/>
      <c r="AC1733" s="412">
        <f t="shared" si="369"/>
        <v>0</v>
      </c>
      <c r="AD1733" s="421"/>
      <c r="AE1733" s="413"/>
      <c r="AF1733" s="424">
        <f t="shared" si="368"/>
        <v>80640</v>
      </c>
      <c r="AG1733" s="405" t="s">
        <v>1069</v>
      </c>
      <c r="AH1733" s="405"/>
      <c r="AI1733" s="414">
        <v>60</v>
      </c>
      <c r="AJ1733" s="405" t="s">
        <v>2553</v>
      </c>
      <c r="AK1733" s="425" t="s">
        <v>2554</v>
      </c>
      <c r="AL1733" s="405">
        <v>82007</v>
      </c>
      <c r="AM1733" s="405" t="s">
        <v>52</v>
      </c>
      <c r="AN1733" s="405" t="s">
        <v>1071</v>
      </c>
      <c r="AO1733" s="405"/>
      <c r="AP1733" s="417"/>
      <c r="AQ1733" s="417" t="s">
        <v>37</v>
      </c>
      <c r="AR1733" s="417"/>
      <c r="AS1733" s="426"/>
      <c r="AT1733" s="426"/>
      <c r="AU1733" s="409"/>
    </row>
    <row r="1734" spans="1:55">
      <c r="A1734" s="403"/>
      <c r="B1734" s="446"/>
      <c r="C1734" s="446"/>
      <c r="D1734" s="416" t="s">
        <v>2480</v>
      </c>
      <c r="E1734" s="405"/>
      <c r="F1734" s="405"/>
      <c r="G1734" s="405">
        <v>2022</v>
      </c>
      <c r="H1734" s="405">
        <v>7</v>
      </c>
      <c r="I1734" s="405"/>
      <c r="J1734" s="406"/>
      <c r="K1734" s="414" t="s">
        <v>2728</v>
      </c>
      <c r="L1734" s="405" t="s">
        <v>2509</v>
      </c>
      <c r="M1734" s="418">
        <v>44516</v>
      </c>
      <c r="N1734" s="418">
        <v>44651</v>
      </c>
      <c r="O1734" s="418"/>
      <c r="P1734" s="406"/>
      <c r="Q1734" s="406"/>
      <c r="R1734" s="406"/>
      <c r="S1734" s="405" t="s">
        <v>1443</v>
      </c>
      <c r="T1734" s="405">
        <v>60</v>
      </c>
      <c r="U1734" s="405">
        <v>49401140</v>
      </c>
      <c r="V1734" s="405" t="s">
        <v>973</v>
      </c>
      <c r="W1734" s="405">
        <v>400</v>
      </c>
      <c r="X1734" s="407">
        <v>544</v>
      </c>
      <c r="Y1734" s="408">
        <f t="shared" si="362"/>
        <v>217600</v>
      </c>
      <c r="Z1734" s="409">
        <f>210/400</f>
        <v>0.52500000000000002</v>
      </c>
      <c r="AA1734" s="410">
        <f t="shared" si="366"/>
        <v>114240</v>
      </c>
      <c r="AB1734" s="411"/>
      <c r="AC1734" s="412">
        <f t="shared" si="369"/>
        <v>0</v>
      </c>
      <c r="AD1734" s="421"/>
      <c r="AE1734" s="413"/>
      <c r="AF1734" s="424">
        <f t="shared" si="368"/>
        <v>114240</v>
      </c>
      <c r="AG1734" s="405" t="s">
        <v>1069</v>
      </c>
      <c r="AH1734" s="405"/>
      <c r="AI1734" s="414">
        <v>60</v>
      </c>
      <c r="AJ1734" s="405" t="s">
        <v>2553</v>
      </c>
      <c r="AK1734" s="425" t="s">
        <v>2554</v>
      </c>
      <c r="AL1734" s="405">
        <v>82007</v>
      </c>
      <c r="AM1734" s="405" t="s">
        <v>52</v>
      </c>
      <c r="AN1734" s="405" t="s">
        <v>1071</v>
      </c>
      <c r="AO1734" s="405"/>
      <c r="AP1734" s="417"/>
      <c r="AQ1734" s="417" t="s">
        <v>37</v>
      </c>
      <c r="AR1734" s="417"/>
      <c r="AS1734" s="426"/>
      <c r="AT1734" s="426"/>
      <c r="AU1734" s="409"/>
    </row>
    <row r="1735" spans="1:55">
      <c r="A1735" s="403"/>
      <c r="B1735" s="446"/>
      <c r="C1735" s="446"/>
      <c r="D1735" s="416" t="s">
        <v>2480</v>
      </c>
      <c r="E1735" s="405"/>
      <c r="F1735" s="405"/>
      <c r="G1735" s="405">
        <v>2022</v>
      </c>
      <c r="H1735" s="405">
        <v>7</v>
      </c>
      <c r="I1735" s="405"/>
      <c r="J1735" s="406"/>
      <c r="K1735" s="414" t="s">
        <v>2610</v>
      </c>
      <c r="L1735" s="405" t="s">
        <v>2509</v>
      </c>
      <c r="M1735" s="418">
        <v>44516</v>
      </c>
      <c r="N1735" s="418">
        <v>44651</v>
      </c>
      <c r="O1735" s="418"/>
      <c r="P1735" s="406"/>
      <c r="Q1735" s="406"/>
      <c r="R1735" s="406"/>
      <c r="S1735" s="405" t="s">
        <v>1443</v>
      </c>
      <c r="T1735" s="405">
        <v>60</v>
      </c>
      <c r="U1735" s="405">
        <v>49401140</v>
      </c>
      <c r="V1735" s="405" t="s">
        <v>973</v>
      </c>
      <c r="W1735" s="405">
        <v>400</v>
      </c>
      <c r="X1735" s="407">
        <v>512</v>
      </c>
      <c r="Y1735" s="408">
        <f t="shared" si="362"/>
        <v>204800</v>
      </c>
      <c r="Z1735" s="409">
        <f>210/400</f>
        <v>0.52500000000000002</v>
      </c>
      <c r="AA1735" s="410">
        <f t="shared" si="366"/>
        <v>107520</v>
      </c>
      <c r="AB1735" s="411"/>
      <c r="AC1735" s="412">
        <f t="shared" si="369"/>
        <v>0</v>
      </c>
      <c r="AD1735" s="421"/>
      <c r="AE1735" s="413"/>
      <c r="AF1735" s="424">
        <f t="shared" si="368"/>
        <v>107520</v>
      </c>
      <c r="AG1735" s="405" t="s">
        <v>1069</v>
      </c>
      <c r="AH1735" s="405"/>
      <c r="AI1735" s="414">
        <v>60</v>
      </c>
      <c r="AJ1735" s="405" t="s">
        <v>2539</v>
      </c>
      <c r="AK1735" s="425" t="s">
        <v>1930</v>
      </c>
      <c r="AL1735" s="405">
        <v>81001</v>
      </c>
      <c r="AM1735" s="405" t="s">
        <v>52</v>
      </c>
      <c r="AN1735" s="405" t="s">
        <v>1071</v>
      </c>
      <c r="AO1735" s="405"/>
      <c r="AP1735" s="417"/>
      <c r="AQ1735" s="417" t="s">
        <v>37</v>
      </c>
      <c r="AR1735" s="417"/>
      <c r="AS1735" s="426"/>
      <c r="AT1735" s="426"/>
      <c r="AU1735" s="409"/>
      <c r="AV1735" s="262">
        <f>U1735</f>
        <v>49401140</v>
      </c>
      <c r="AW1735" s="262" cm="1">
        <f t="array" ref="AW1735">SUM(MID(0&amp;AV1735,LARGE(INDEX(ISNUMBER(--MID(AV1735,ROW($1:$8),1))*ROW($1:$8),),ROW($1:$8))+1,1)*10^ROW($1:$8)/10)</f>
        <v>49401140</v>
      </c>
      <c r="AX1735" s="262" t="str">
        <f>VLOOKUP($AW1735,'Item Master Data'!$A:$F,3,FALSE)</f>
        <v>Q.PEAK DUO BLK ML G10.a+</v>
      </c>
      <c r="AY1735" s="262">
        <f>VLOOKUP($AW1735,'Item Master Data'!$A:$F,6,FALSE)</f>
        <v>400</v>
      </c>
      <c r="AZ1735" s="262">
        <f>X1735/BA1735</f>
        <v>16</v>
      </c>
      <c r="BA1735" s="262">
        <f>VLOOKUP(AW1735,'Item Master Data'!$A:$G,7,FALSE)</f>
        <v>32</v>
      </c>
      <c r="BC1735" s="262">
        <f>W1735-AY1735</f>
        <v>0</v>
      </c>
    </row>
    <row r="1736" spans="1:55">
      <c r="A1736" s="403"/>
      <c r="B1736" s="446"/>
      <c r="C1736" s="446"/>
      <c r="D1736" s="416" t="s">
        <v>2480</v>
      </c>
      <c r="E1736" s="405"/>
      <c r="F1736" s="405"/>
      <c r="G1736" s="405">
        <v>2022</v>
      </c>
      <c r="H1736" s="405">
        <v>7</v>
      </c>
      <c r="I1736" s="405"/>
      <c r="J1736" s="406"/>
      <c r="K1736" s="414" t="s">
        <v>2551</v>
      </c>
      <c r="L1736" s="405" t="s">
        <v>2509</v>
      </c>
      <c r="M1736" s="418">
        <v>44516</v>
      </c>
      <c r="N1736" s="418">
        <v>44742</v>
      </c>
      <c r="O1736" s="418"/>
      <c r="P1736" s="406"/>
      <c r="Q1736" s="406"/>
      <c r="R1736" s="406"/>
      <c r="S1736" s="405" t="s">
        <v>1443</v>
      </c>
      <c r="T1736" s="405">
        <v>60</v>
      </c>
      <c r="U1736" s="405">
        <v>49401140</v>
      </c>
      <c r="V1736" s="405" t="s">
        <v>973</v>
      </c>
      <c r="W1736" s="405">
        <v>400</v>
      </c>
      <c r="X1736" s="407">
        <v>768</v>
      </c>
      <c r="Y1736" s="408">
        <f t="shared" si="362"/>
        <v>307200</v>
      </c>
      <c r="Z1736" s="409">
        <f>210/400</f>
        <v>0.52500000000000002</v>
      </c>
      <c r="AA1736" s="410">
        <f t="shared" si="366"/>
        <v>161280</v>
      </c>
      <c r="AB1736" s="411"/>
      <c r="AC1736" s="412">
        <f t="shared" si="369"/>
        <v>0</v>
      </c>
      <c r="AD1736" s="421"/>
      <c r="AE1736" s="413"/>
      <c r="AF1736" s="424">
        <f t="shared" si="368"/>
        <v>161280</v>
      </c>
      <c r="AG1736" s="405" t="s">
        <v>1069</v>
      </c>
      <c r="AH1736" s="405"/>
      <c r="AI1736" s="414">
        <v>60</v>
      </c>
      <c r="AJ1736" s="405" t="s">
        <v>2488</v>
      </c>
      <c r="AK1736" s="425" t="s">
        <v>1930</v>
      </c>
      <c r="AL1736" s="405">
        <v>81505</v>
      </c>
      <c r="AM1736" s="405" t="s">
        <v>52</v>
      </c>
      <c r="AN1736" s="405" t="s">
        <v>1071</v>
      </c>
      <c r="AO1736" s="405"/>
      <c r="AP1736" s="417"/>
      <c r="AQ1736" s="417" t="s">
        <v>37</v>
      </c>
      <c r="AR1736" s="417"/>
      <c r="AS1736" s="426"/>
      <c r="AT1736" s="426"/>
      <c r="AU1736" s="409"/>
      <c r="AV1736" s="262">
        <f>U1736</f>
        <v>49401140</v>
      </c>
      <c r="AW1736" s="262" cm="1">
        <f t="array" ref="AW1736">SUM(MID(0&amp;AV1736,LARGE(INDEX(ISNUMBER(--MID(AV1736,ROW($1:$8),1))*ROW($1:$8),),ROW($1:$8))+1,1)*10^ROW($1:$8)/10)</f>
        <v>49401140</v>
      </c>
      <c r="AX1736" s="262" t="str">
        <f>VLOOKUP($AW1736,'Item Master Data'!$A:$F,3,FALSE)</f>
        <v>Q.PEAK DUO BLK ML G10.a+</v>
      </c>
      <c r="AY1736" s="262">
        <f>VLOOKUP($AW1736,'Item Master Data'!$A:$F,6,FALSE)</f>
        <v>400</v>
      </c>
      <c r="AZ1736" s="262">
        <f>X1736/BA1736</f>
        <v>24</v>
      </c>
      <c r="BA1736" s="262">
        <f>VLOOKUP(AW1736,'Item Master Data'!$A:$G,7,FALSE)</f>
        <v>32</v>
      </c>
      <c r="BC1736" s="262">
        <f>W1736-AY1736</f>
        <v>0</v>
      </c>
    </row>
    <row r="1737" spans="1:55">
      <c r="A1737" s="403"/>
      <c r="B1737" s="446">
        <v>44658</v>
      </c>
      <c r="C1737" s="446">
        <v>44658</v>
      </c>
      <c r="D1737" s="416" t="s">
        <v>2480</v>
      </c>
      <c r="E1737" s="405" t="s">
        <v>4299</v>
      </c>
      <c r="F1737" s="405"/>
      <c r="G1737" s="405">
        <v>2022</v>
      </c>
      <c r="H1737" s="405">
        <v>7</v>
      </c>
      <c r="I1737" s="405" t="s">
        <v>1498</v>
      </c>
      <c r="J1737" s="406"/>
      <c r="K1737" s="414" t="s">
        <v>2668</v>
      </c>
      <c r="L1737" s="405" t="s">
        <v>2549</v>
      </c>
      <c r="M1737" s="418">
        <v>44577</v>
      </c>
      <c r="N1737" s="418">
        <v>44743</v>
      </c>
      <c r="O1737" s="418"/>
      <c r="P1737" s="406"/>
      <c r="Q1737" s="406"/>
      <c r="R1737" s="406"/>
      <c r="S1737" s="405" t="s">
        <v>1940</v>
      </c>
      <c r="T1737" s="405">
        <v>72</v>
      </c>
      <c r="U1737" s="405"/>
      <c r="V1737" s="405" t="s">
        <v>1050</v>
      </c>
      <c r="W1737" s="405">
        <v>480</v>
      </c>
      <c r="X1737" s="407">
        <v>435</v>
      </c>
      <c r="Y1737" s="408">
        <f>W1737*X1737</f>
        <v>208800</v>
      </c>
      <c r="Z1737" s="409">
        <v>0.47499999999999998</v>
      </c>
      <c r="AA1737" s="410">
        <v>99180</v>
      </c>
      <c r="AB1737" s="411"/>
      <c r="AC1737" s="412">
        <v>0</v>
      </c>
      <c r="AD1737" s="421"/>
      <c r="AE1737" s="413"/>
      <c r="AF1737" s="424">
        <v>99180</v>
      </c>
      <c r="AG1737" s="405" t="s">
        <v>1069</v>
      </c>
      <c r="AH1737" s="405"/>
      <c r="AI1737" s="414">
        <v>60</v>
      </c>
      <c r="AJ1737" s="405" t="s">
        <v>1454</v>
      </c>
      <c r="AK1737" s="425" t="s">
        <v>1136</v>
      </c>
      <c r="AL1737" s="405" t="s">
        <v>2608</v>
      </c>
      <c r="AM1737" s="405" t="s">
        <v>52</v>
      </c>
      <c r="AN1737" s="405"/>
      <c r="AO1737" s="405"/>
      <c r="AP1737" s="417"/>
      <c r="AQ1737" s="417" t="s">
        <v>37</v>
      </c>
      <c r="AR1737" s="417"/>
      <c r="AS1737" s="426"/>
      <c r="AT1737" s="426"/>
      <c r="AU1737" s="409"/>
    </row>
    <row r="1738" spans="1:55" s="402" customFormat="1" ht="15" customHeight="1">
      <c r="A1738" s="403"/>
      <c r="B1738" s="446">
        <v>44680</v>
      </c>
      <c r="C1738" s="446"/>
      <c r="D1738" s="416" t="s">
        <v>2480</v>
      </c>
      <c r="E1738" s="405" t="s">
        <v>4302</v>
      </c>
      <c r="F1738" s="405"/>
      <c r="G1738" s="405">
        <v>2022</v>
      </c>
      <c r="H1738" s="405">
        <v>7</v>
      </c>
      <c r="I1738" s="405" t="s">
        <v>1498</v>
      </c>
      <c r="J1738" s="406"/>
      <c r="K1738" s="414" t="s">
        <v>4461</v>
      </c>
      <c r="L1738" s="405" t="s">
        <v>2549</v>
      </c>
      <c r="M1738" s="418">
        <v>44679</v>
      </c>
      <c r="N1738" s="418">
        <v>44773</v>
      </c>
      <c r="O1738" s="418"/>
      <c r="P1738" s="406"/>
      <c r="Q1738" s="406"/>
      <c r="R1738" s="406"/>
      <c r="S1738" s="405" t="s">
        <v>1940</v>
      </c>
      <c r="T1738" s="405">
        <v>72</v>
      </c>
      <c r="U1738" s="405" t="s">
        <v>4304</v>
      </c>
      <c r="V1738" s="405" t="s">
        <v>1068</v>
      </c>
      <c r="W1738" s="405">
        <v>480</v>
      </c>
      <c r="X1738" s="407">
        <v>435</v>
      </c>
      <c r="Y1738" s="408">
        <f t="shared" ref="Y1738:Y1801" si="370">X1738*W1738</f>
        <v>208800</v>
      </c>
      <c r="Z1738" s="409">
        <v>0.6</v>
      </c>
      <c r="AA1738" s="410">
        <f t="shared" ref="AA1738:AA1752" si="371">Z1738*Y1738</f>
        <v>125280</v>
      </c>
      <c r="AB1738" s="411"/>
      <c r="AC1738" s="412">
        <f t="shared" ref="AC1738:AC1752" si="372">AB1738*Y1738</f>
        <v>0</v>
      </c>
      <c r="AD1738" s="421"/>
      <c r="AE1738" s="413"/>
      <c r="AF1738" s="424">
        <f t="shared" ref="AF1738:AF1752" si="373">AE1738+AD1738+AA1738</f>
        <v>125280</v>
      </c>
      <c r="AG1738" s="405" t="s">
        <v>1069</v>
      </c>
      <c r="AH1738" s="405"/>
      <c r="AI1738" s="414" t="s">
        <v>1962</v>
      </c>
      <c r="AJ1738" s="405" t="s">
        <v>1454</v>
      </c>
      <c r="AK1738" s="425" t="s">
        <v>1136</v>
      </c>
      <c r="AL1738" s="405">
        <v>78744</v>
      </c>
      <c r="AM1738" s="405" t="s">
        <v>52</v>
      </c>
      <c r="AN1738" s="405"/>
      <c r="AO1738" s="405"/>
      <c r="AP1738" s="417"/>
      <c r="AQ1738" s="417" t="s">
        <v>37</v>
      </c>
      <c r="AR1738" s="417"/>
      <c r="AS1738" s="426"/>
      <c r="AT1738" s="426"/>
      <c r="AU1738" s="409">
        <v>0.55000000000000004</v>
      </c>
    </row>
    <row r="1739" spans="1:55" s="402" customFormat="1" ht="15" customHeight="1">
      <c r="A1739" s="403"/>
      <c r="B1739" s="446">
        <v>44635</v>
      </c>
      <c r="C1739" s="446">
        <v>44634</v>
      </c>
      <c r="D1739" s="416" t="s">
        <v>2480</v>
      </c>
      <c r="E1739" s="405" t="s">
        <v>2065</v>
      </c>
      <c r="F1739" s="405"/>
      <c r="G1739" s="405">
        <v>2022</v>
      </c>
      <c r="H1739" s="405">
        <v>8</v>
      </c>
      <c r="I1739" s="405" t="s">
        <v>1498</v>
      </c>
      <c r="J1739" s="406"/>
      <c r="K1739" s="414" t="s">
        <v>2766</v>
      </c>
      <c r="L1739" s="405" t="s">
        <v>2481</v>
      </c>
      <c r="M1739" s="418">
        <v>44568</v>
      </c>
      <c r="N1739" s="418">
        <v>44775</v>
      </c>
      <c r="O1739" s="418"/>
      <c r="P1739" s="406"/>
      <c r="Q1739" s="406"/>
      <c r="R1739" s="406"/>
      <c r="S1739" s="405" t="s">
        <v>1940</v>
      </c>
      <c r="T1739" s="405">
        <v>60</v>
      </c>
      <c r="U1739" s="405"/>
      <c r="V1739" s="405" t="s">
        <v>973</v>
      </c>
      <c r="W1739" s="405">
        <v>400</v>
      </c>
      <c r="X1739" s="407">
        <v>384</v>
      </c>
      <c r="Y1739" s="408">
        <f t="shared" si="370"/>
        <v>153600</v>
      </c>
      <c r="Z1739" s="409">
        <v>0.55000000000000004</v>
      </c>
      <c r="AA1739" s="410">
        <f t="shared" si="371"/>
        <v>84480</v>
      </c>
      <c r="AB1739" s="411"/>
      <c r="AC1739" s="412">
        <f t="shared" si="372"/>
        <v>0</v>
      </c>
      <c r="AD1739" s="421"/>
      <c r="AE1739" s="413"/>
      <c r="AF1739" s="424">
        <f t="shared" si="373"/>
        <v>84480</v>
      </c>
      <c r="AG1739" s="405" t="s">
        <v>47</v>
      </c>
      <c r="AH1739" s="405"/>
      <c r="AI1739" s="414" t="s">
        <v>1937</v>
      </c>
      <c r="AJ1739" s="405" t="s">
        <v>2504</v>
      </c>
      <c r="AK1739" s="425" t="s">
        <v>2505</v>
      </c>
      <c r="AL1739" s="405">
        <v>84115</v>
      </c>
      <c r="AM1739" s="405" t="s">
        <v>52</v>
      </c>
      <c r="AN1739" s="405"/>
      <c r="AO1739" s="405"/>
      <c r="AP1739" s="417"/>
      <c r="AQ1739" s="417" t="s">
        <v>37</v>
      </c>
      <c r="AR1739" s="417"/>
      <c r="AS1739" s="426"/>
      <c r="AT1739" s="426"/>
      <c r="AU1739" s="409">
        <v>0.55000000000000004</v>
      </c>
      <c r="AV1739" s="402">
        <f t="shared" ref="AV1739:AV1753" si="374">U1739</f>
        <v>0</v>
      </c>
      <c r="AW1739" s="402" cm="1">
        <f t="array" ref="AW1739">SUM(MID(0&amp;AV1739,LARGE(INDEX(ISNUMBER(--MID(AV1739,ROW($1:$8),1))*ROW($1:$8),),ROW($1:$8))+1,1)*10^ROW($1:$8)/10)</f>
        <v>0</v>
      </c>
      <c r="AX1739" s="402" t="e">
        <f>VLOOKUP($AW1739,'Item Master Data'!$A:$F,3,FALSE)</f>
        <v>#N/A</v>
      </c>
      <c r="AY1739" s="402" t="e">
        <f>VLOOKUP($AW1739,'Item Master Data'!$A:$F,6,FALSE)</f>
        <v>#N/A</v>
      </c>
      <c r="AZ1739" s="402" t="e">
        <f t="shared" ref="AZ1739:AZ1753" si="375">X1739/BA1739</f>
        <v>#N/A</v>
      </c>
      <c r="BA1739" s="402" t="e">
        <f>VLOOKUP(AW1739,'Item Master Data'!$A:$G,7,FALSE)</f>
        <v>#N/A</v>
      </c>
      <c r="BC1739" s="402" t="e">
        <f t="shared" ref="BC1739:BC1753" si="376">W1739-AY1739</f>
        <v>#N/A</v>
      </c>
    </row>
    <row r="1740" spans="1:55" s="402" customFormat="1" ht="15" customHeight="1">
      <c r="A1740" s="403"/>
      <c r="B1740" s="446">
        <v>44468</v>
      </c>
      <c r="C1740" s="446">
        <v>44468</v>
      </c>
      <c r="D1740" s="416" t="s">
        <v>2480</v>
      </c>
      <c r="E1740" s="405" t="s">
        <v>2499</v>
      </c>
      <c r="F1740" s="405"/>
      <c r="G1740" s="405">
        <v>2022</v>
      </c>
      <c r="H1740" s="405">
        <v>8</v>
      </c>
      <c r="I1740" s="405"/>
      <c r="J1740" s="406"/>
      <c r="K1740" s="414" t="s">
        <v>2704</v>
      </c>
      <c r="L1740" s="405" t="s">
        <v>2481</v>
      </c>
      <c r="M1740" s="418">
        <v>44466</v>
      </c>
      <c r="N1740" s="418">
        <v>44775</v>
      </c>
      <c r="O1740" s="418"/>
      <c r="P1740" s="406"/>
      <c r="Q1740" s="406"/>
      <c r="R1740" s="406"/>
      <c r="S1740" s="405" t="s">
        <v>1940</v>
      </c>
      <c r="T1740" s="405">
        <v>60</v>
      </c>
      <c r="U1740" s="405">
        <v>49201132</v>
      </c>
      <c r="V1740" s="405" t="s">
        <v>986</v>
      </c>
      <c r="W1740" s="405">
        <v>360</v>
      </c>
      <c r="X1740" s="407">
        <v>320</v>
      </c>
      <c r="Y1740" s="408">
        <f t="shared" si="370"/>
        <v>115200</v>
      </c>
      <c r="Z1740" s="409">
        <v>0.53</v>
      </c>
      <c r="AA1740" s="410">
        <f t="shared" si="371"/>
        <v>61056</v>
      </c>
      <c r="AB1740" s="411"/>
      <c r="AC1740" s="412">
        <f t="shared" si="372"/>
        <v>0</v>
      </c>
      <c r="AD1740" s="421"/>
      <c r="AE1740" s="413"/>
      <c r="AF1740" s="424">
        <f t="shared" si="373"/>
        <v>61056</v>
      </c>
      <c r="AG1740" s="405" t="s">
        <v>47</v>
      </c>
      <c r="AH1740" s="405"/>
      <c r="AI1740" s="414">
        <v>30</v>
      </c>
      <c r="AJ1740" s="405" t="s">
        <v>2642</v>
      </c>
      <c r="AK1740" s="425" t="s">
        <v>1391</v>
      </c>
      <c r="AL1740" s="405">
        <v>54406</v>
      </c>
      <c r="AM1740" s="405" t="s">
        <v>52</v>
      </c>
      <c r="AN1740" s="405"/>
      <c r="AO1740" s="405"/>
      <c r="AP1740" s="417"/>
      <c r="AQ1740" s="417" t="s">
        <v>37</v>
      </c>
      <c r="AR1740" s="417"/>
      <c r="AS1740" s="426"/>
      <c r="AT1740" s="426"/>
      <c r="AU1740" s="409"/>
      <c r="AV1740" s="402">
        <f t="shared" si="374"/>
        <v>49201132</v>
      </c>
      <c r="AW1740" s="402" cm="1">
        <f t="array" ref="AW1740">SUM(MID(0&amp;AV1740,LARGE(INDEX(ISNUMBER(--MID(AV1740,ROW($1:$8),1))*ROW($1:$8),),ROW($1:$8))+1,1)*10^ROW($1:$8)/10)</f>
        <v>49201132</v>
      </c>
      <c r="AX1740" s="402" t="str">
        <f>VLOOKUP($AW1740,'Item Master Data'!$A:$F,3,FALSE)</f>
        <v>Q.PEAK DUO BLK G10+</v>
      </c>
      <c r="AY1740" s="402">
        <f>VLOOKUP($AW1740,'Item Master Data'!$A:$F,6,FALSE)</f>
        <v>360</v>
      </c>
      <c r="AZ1740" s="402">
        <f t="shared" si="375"/>
        <v>10</v>
      </c>
      <c r="BA1740" s="402">
        <f>VLOOKUP(AW1740,'Item Master Data'!$A:$G,7,FALSE)</f>
        <v>32</v>
      </c>
      <c r="BC1740" s="402">
        <f t="shared" si="376"/>
        <v>0</v>
      </c>
    </row>
    <row r="1741" spans="1:55" s="402" customFormat="1" ht="15" customHeight="1">
      <c r="A1741" s="403"/>
      <c r="B1741" s="446">
        <v>44670</v>
      </c>
      <c r="C1741" s="446">
        <v>44616</v>
      </c>
      <c r="D1741" s="416" t="s">
        <v>2480</v>
      </c>
      <c r="E1741" s="405" t="s">
        <v>2767</v>
      </c>
      <c r="F1741" s="405"/>
      <c r="G1741" s="405">
        <v>2022</v>
      </c>
      <c r="H1741" s="405">
        <v>8</v>
      </c>
      <c r="I1741" s="405" t="s">
        <v>1498</v>
      </c>
      <c r="J1741" s="406"/>
      <c r="K1741" s="414" t="s">
        <v>2768</v>
      </c>
      <c r="L1741" s="405" t="s">
        <v>2481</v>
      </c>
      <c r="M1741" s="418">
        <v>44615</v>
      </c>
      <c r="N1741" s="418">
        <v>44777</v>
      </c>
      <c r="O1741" s="418"/>
      <c r="P1741" s="406"/>
      <c r="Q1741" s="406"/>
      <c r="R1741" s="406"/>
      <c r="S1741" s="405" t="s">
        <v>1940</v>
      </c>
      <c r="T1741" s="405">
        <v>60</v>
      </c>
      <c r="U1741" s="405"/>
      <c r="V1741" s="405" t="s">
        <v>973</v>
      </c>
      <c r="W1741" s="405">
        <v>400</v>
      </c>
      <c r="X1741" s="407">
        <v>320</v>
      </c>
      <c r="Y1741" s="408">
        <f t="shared" si="370"/>
        <v>128000</v>
      </c>
      <c r="Z1741" s="409">
        <v>0.55000000000000004</v>
      </c>
      <c r="AA1741" s="410">
        <f t="shared" si="371"/>
        <v>70400</v>
      </c>
      <c r="AB1741" s="411"/>
      <c r="AC1741" s="412">
        <f t="shared" si="372"/>
        <v>0</v>
      </c>
      <c r="AD1741" s="421"/>
      <c r="AE1741" s="413"/>
      <c r="AF1741" s="424">
        <f t="shared" si="373"/>
        <v>70400</v>
      </c>
      <c r="AG1741" s="405" t="s">
        <v>47</v>
      </c>
      <c r="AH1741" s="405"/>
      <c r="AI1741" s="414" t="s">
        <v>1937</v>
      </c>
      <c r="AJ1741" s="405" t="s">
        <v>1941</v>
      </c>
      <c r="AK1741" s="425" t="s">
        <v>1942</v>
      </c>
      <c r="AL1741" s="405">
        <v>87107</v>
      </c>
      <c r="AM1741" s="405" t="s">
        <v>52</v>
      </c>
      <c r="AN1741" s="405"/>
      <c r="AO1741" s="405"/>
      <c r="AP1741" s="417"/>
      <c r="AQ1741" s="417" t="s">
        <v>37</v>
      </c>
      <c r="AR1741" s="417"/>
      <c r="AS1741" s="426"/>
      <c r="AT1741" s="426"/>
      <c r="AU1741" s="409">
        <v>0.55000000000000004</v>
      </c>
      <c r="AV1741" s="402">
        <f t="shared" si="374"/>
        <v>0</v>
      </c>
      <c r="AW1741" s="402" cm="1">
        <f t="array" ref="AW1741">SUM(MID(0&amp;AV1741,LARGE(INDEX(ISNUMBER(--MID(AV1741,ROW($1:$8),1))*ROW($1:$8),),ROW($1:$8))+1,1)*10^ROW($1:$8)/10)</f>
        <v>0</v>
      </c>
      <c r="AX1741" s="402" t="e">
        <f>VLOOKUP($AW1741,'Item Master Data'!$A:$F,3,FALSE)</f>
        <v>#N/A</v>
      </c>
      <c r="AY1741" s="402" t="e">
        <f>VLOOKUP($AW1741,'Item Master Data'!$A:$F,6,FALSE)</f>
        <v>#N/A</v>
      </c>
      <c r="AZ1741" s="402" t="e">
        <f t="shared" si="375"/>
        <v>#N/A</v>
      </c>
      <c r="BA1741" s="402" t="e">
        <f>VLOOKUP(AW1741,'Item Master Data'!$A:$G,7,FALSE)</f>
        <v>#N/A</v>
      </c>
      <c r="BC1741" s="402" t="e">
        <f t="shared" si="376"/>
        <v>#N/A</v>
      </c>
    </row>
    <row r="1742" spans="1:55" s="402" customFormat="1" ht="15" customHeight="1">
      <c r="A1742" s="403"/>
      <c r="B1742" s="446">
        <v>44630</v>
      </c>
      <c r="C1742" s="446">
        <v>44630</v>
      </c>
      <c r="D1742" s="416" t="s">
        <v>2480</v>
      </c>
      <c r="E1742" s="405" t="s">
        <v>1239</v>
      </c>
      <c r="F1742" s="405"/>
      <c r="G1742" s="405">
        <v>2022</v>
      </c>
      <c r="H1742" s="405">
        <v>8</v>
      </c>
      <c r="I1742" s="405" t="s">
        <v>1498</v>
      </c>
      <c r="J1742" s="406"/>
      <c r="K1742" s="414" t="s">
        <v>2769</v>
      </c>
      <c r="L1742" s="405" t="s">
        <v>2481</v>
      </c>
      <c r="M1742" s="418">
        <v>44630</v>
      </c>
      <c r="N1742" s="418">
        <v>44774</v>
      </c>
      <c r="O1742" s="418"/>
      <c r="P1742" s="406"/>
      <c r="Q1742" s="406"/>
      <c r="R1742" s="406"/>
      <c r="S1742" s="405" t="s">
        <v>1940</v>
      </c>
      <c r="T1742" s="405">
        <v>60</v>
      </c>
      <c r="U1742" s="405"/>
      <c r="V1742" s="405" t="s">
        <v>973</v>
      </c>
      <c r="W1742" s="405">
        <v>400</v>
      </c>
      <c r="X1742" s="407">
        <v>704</v>
      </c>
      <c r="Y1742" s="408">
        <f t="shared" si="370"/>
        <v>281600</v>
      </c>
      <c r="Z1742" s="409">
        <v>0.57999999999999996</v>
      </c>
      <c r="AA1742" s="410">
        <f t="shared" si="371"/>
        <v>163328</v>
      </c>
      <c r="AB1742" s="411"/>
      <c r="AC1742" s="412">
        <f t="shared" si="372"/>
        <v>0</v>
      </c>
      <c r="AD1742" s="421"/>
      <c r="AE1742" s="413"/>
      <c r="AF1742" s="424">
        <f t="shared" si="373"/>
        <v>163328</v>
      </c>
      <c r="AG1742" s="405" t="s">
        <v>47</v>
      </c>
      <c r="AH1742" s="405"/>
      <c r="AI1742" s="414" t="s">
        <v>1937</v>
      </c>
      <c r="AJ1742" s="405" t="s">
        <v>2770</v>
      </c>
      <c r="AK1742" s="425" t="s">
        <v>2760</v>
      </c>
      <c r="AL1742" s="405">
        <v>3064</v>
      </c>
      <c r="AM1742" s="405" t="s">
        <v>52</v>
      </c>
      <c r="AN1742" s="405"/>
      <c r="AO1742" s="405"/>
      <c r="AP1742" s="417"/>
      <c r="AQ1742" s="417" t="s">
        <v>37</v>
      </c>
      <c r="AR1742" s="417"/>
      <c r="AS1742" s="426"/>
      <c r="AT1742" s="426"/>
      <c r="AU1742" s="409">
        <v>0.55000000000000004</v>
      </c>
      <c r="AV1742" s="402">
        <f t="shared" si="374"/>
        <v>0</v>
      </c>
      <c r="AW1742" s="402" cm="1">
        <f t="array" ref="AW1742">SUM(MID(0&amp;AV1742,LARGE(INDEX(ISNUMBER(--MID(AV1742,ROW($1:$8),1))*ROW($1:$8),),ROW($1:$8))+1,1)*10^ROW($1:$8)/10)</f>
        <v>0</v>
      </c>
      <c r="AX1742" s="402" t="e">
        <f>VLOOKUP($AW1742,'Item Master Data'!$A:$F,3,FALSE)</f>
        <v>#N/A</v>
      </c>
      <c r="AY1742" s="402" t="e">
        <f>VLOOKUP($AW1742,'Item Master Data'!$A:$F,6,FALSE)</f>
        <v>#N/A</v>
      </c>
      <c r="AZ1742" s="402" t="e">
        <f t="shared" si="375"/>
        <v>#N/A</v>
      </c>
      <c r="BA1742" s="402" t="e">
        <f>VLOOKUP(AW1742,'Item Master Data'!$A:$G,7,FALSE)</f>
        <v>#N/A</v>
      </c>
      <c r="BC1742" s="402" t="e">
        <f t="shared" si="376"/>
        <v>#N/A</v>
      </c>
    </row>
    <row r="1743" spans="1:55" s="402" customFormat="1" ht="15" customHeight="1">
      <c r="A1743" s="403"/>
      <c r="B1743" s="446">
        <v>44656</v>
      </c>
      <c r="C1743" s="446">
        <v>44656</v>
      </c>
      <c r="D1743" s="416" t="s">
        <v>2480</v>
      </c>
      <c r="E1743" s="405" t="s">
        <v>2761</v>
      </c>
      <c r="F1743" s="405"/>
      <c r="G1743" s="405">
        <v>2022</v>
      </c>
      <c r="H1743" s="405">
        <v>8</v>
      </c>
      <c r="I1743" s="405"/>
      <c r="J1743" s="406"/>
      <c r="K1743" s="414" t="s">
        <v>2771</v>
      </c>
      <c r="L1743" s="405" t="s">
        <v>2481</v>
      </c>
      <c r="M1743" s="418">
        <v>44655</v>
      </c>
      <c r="N1743" s="418">
        <v>44795</v>
      </c>
      <c r="O1743" s="418"/>
      <c r="P1743" s="406"/>
      <c r="Q1743" s="406"/>
      <c r="R1743" s="406"/>
      <c r="S1743" s="405" t="s">
        <v>1940</v>
      </c>
      <c r="T1743" s="405">
        <v>60</v>
      </c>
      <c r="U1743" s="405"/>
      <c r="V1743" s="405" t="s">
        <v>986</v>
      </c>
      <c r="W1743" s="405">
        <v>365</v>
      </c>
      <c r="X1743" s="407">
        <v>320</v>
      </c>
      <c r="Y1743" s="408">
        <f t="shared" si="370"/>
        <v>116800</v>
      </c>
      <c r="Z1743" s="409">
        <v>0.56000000000000005</v>
      </c>
      <c r="AA1743" s="410">
        <f t="shared" si="371"/>
        <v>65408.000000000007</v>
      </c>
      <c r="AB1743" s="411"/>
      <c r="AC1743" s="412">
        <f t="shared" si="372"/>
        <v>0</v>
      </c>
      <c r="AD1743" s="421"/>
      <c r="AE1743" s="413"/>
      <c r="AF1743" s="424">
        <f t="shared" si="373"/>
        <v>65408.000000000007</v>
      </c>
      <c r="AG1743" s="405" t="s">
        <v>47</v>
      </c>
      <c r="AH1743" s="405"/>
      <c r="AI1743" s="414" t="s">
        <v>1937</v>
      </c>
      <c r="AJ1743" s="405" t="s">
        <v>2763</v>
      </c>
      <c r="AK1743" s="425" t="s">
        <v>1092</v>
      </c>
      <c r="AL1743" s="405">
        <v>1085</v>
      </c>
      <c r="AM1743" s="405" t="s">
        <v>52</v>
      </c>
      <c r="AN1743" s="405"/>
      <c r="AO1743" s="405"/>
      <c r="AP1743" s="417"/>
      <c r="AQ1743" s="417" t="s">
        <v>37</v>
      </c>
      <c r="AR1743" s="417"/>
      <c r="AS1743" s="426"/>
      <c r="AT1743" s="426"/>
      <c r="AU1743" s="409">
        <v>0.55000000000000004</v>
      </c>
      <c r="AV1743" s="402">
        <f t="shared" si="374"/>
        <v>0</v>
      </c>
      <c r="AW1743" s="402" cm="1">
        <f t="array" ref="AW1743">SUM(MID(0&amp;AV1743,LARGE(INDEX(ISNUMBER(--MID(AV1743,ROW($1:$8),1))*ROW($1:$8),),ROW($1:$8))+1,1)*10^ROW($1:$8)/10)</f>
        <v>0</v>
      </c>
      <c r="AX1743" s="402" t="e">
        <f>VLOOKUP($AW1743,'Item Master Data'!$A:$F,3,FALSE)</f>
        <v>#N/A</v>
      </c>
      <c r="AY1743" s="402" t="e">
        <f>VLOOKUP($AW1743,'Item Master Data'!$A:$F,6,FALSE)</f>
        <v>#N/A</v>
      </c>
      <c r="AZ1743" s="402" t="e">
        <f t="shared" si="375"/>
        <v>#N/A</v>
      </c>
      <c r="BA1743" s="402" t="e">
        <f>VLOOKUP(AW1743,'Item Master Data'!$A:$G,7,FALSE)</f>
        <v>#N/A</v>
      </c>
      <c r="BC1743" s="402" t="e">
        <f t="shared" si="376"/>
        <v>#N/A</v>
      </c>
    </row>
    <row r="1744" spans="1:55" s="402" customFormat="1" ht="15" customHeight="1">
      <c r="A1744" s="403"/>
      <c r="B1744" s="446">
        <v>44670</v>
      </c>
      <c r="C1744" s="446">
        <v>44670</v>
      </c>
      <c r="D1744" s="416" t="s">
        <v>2480</v>
      </c>
      <c r="E1744" s="405" t="s">
        <v>1239</v>
      </c>
      <c r="F1744" s="405"/>
      <c r="G1744" s="405">
        <v>2022</v>
      </c>
      <c r="H1744" s="405">
        <v>8</v>
      </c>
      <c r="I1744" s="405"/>
      <c r="J1744" s="406"/>
      <c r="K1744" s="414" t="s">
        <v>2663</v>
      </c>
      <c r="L1744" s="405" t="s">
        <v>2481</v>
      </c>
      <c r="M1744" s="418">
        <v>44581</v>
      </c>
      <c r="N1744" s="418">
        <v>44804</v>
      </c>
      <c r="O1744" s="418"/>
      <c r="P1744" s="406"/>
      <c r="Q1744" s="406"/>
      <c r="R1744" s="406"/>
      <c r="S1744" s="405" t="s">
        <v>1940</v>
      </c>
      <c r="T1744" s="405">
        <v>72</v>
      </c>
      <c r="U1744" s="405"/>
      <c r="V1744" s="405" t="s">
        <v>1068</v>
      </c>
      <c r="W1744" s="405">
        <v>480</v>
      </c>
      <c r="X1744" s="407">
        <v>464</v>
      </c>
      <c r="Y1744" s="408">
        <f t="shared" si="370"/>
        <v>222720</v>
      </c>
      <c r="Z1744" s="409">
        <v>0.48</v>
      </c>
      <c r="AA1744" s="410">
        <f t="shared" si="371"/>
        <v>106905.59999999999</v>
      </c>
      <c r="AB1744" s="411"/>
      <c r="AC1744" s="412">
        <f t="shared" si="372"/>
        <v>0</v>
      </c>
      <c r="AD1744" s="421"/>
      <c r="AE1744" s="413"/>
      <c r="AF1744" s="424">
        <f t="shared" si="373"/>
        <v>106905.59999999999</v>
      </c>
      <c r="AG1744" s="405" t="s">
        <v>47</v>
      </c>
      <c r="AH1744" s="405"/>
      <c r="AI1744" s="414">
        <v>30</v>
      </c>
      <c r="AJ1744" s="405" t="s">
        <v>2664</v>
      </c>
      <c r="AK1744" s="425" t="s">
        <v>1930</v>
      </c>
      <c r="AL1744" s="405">
        <v>81623</v>
      </c>
      <c r="AM1744" s="405" t="s">
        <v>52</v>
      </c>
      <c r="AN1744" s="405"/>
      <c r="AO1744" s="405"/>
      <c r="AP1744" s="417"/>
      <c r="AQ1744" s="417" t="s">
        <v>37</v>
      </c>
      <c r="AR1744" s="417"/>
      <c r="AS1744" s="426"/>
      <c r="AT1744" s="426"/>
      <c r="AU1744" s="409"/>
      <c r="AV1744" s="402">
        <f t="shared" si="374"/>
        <v>0</v>
      </c>
      <c r="AW1744" s="402" cm="1">
        <f t="array" ref="AW1744">SUM(MID(0&amp;AV1744,LARGE(INDEX(ISNUMBER(--MID(AV1744,ROW($1:$8),1))*ROW($1:$8),),ROW($1:$8))+1,1)*10^ROW($1:$8)/10)</f>
        <v>0</v>
      </c>
      <c r="AX1744" s="402" t="e">
        <f>VLOOKUP($AW1744,'Item Master Data'!$A:$F,3,FALSE)</f>
        <v>#N/A</v>
      </c>
      <c r="AY1744" s="402" t="e">
        <f>VLOOKUP($AW1744,'Item Master Data'!$A:$F,6,FALSE)</f>
        <v>#N/A</v>
      </c>
      <c r="AZ1744" s="402" t="e">
        <f t="shared" si="375"/>
        <v>#N/A</v>
      </c>
      <c r="BA1744" s="402" t="e">
        <f>VLOOKUP(AW1744,'Item Master Data'!$A:$G,7,FALSE)</f>
        <v>#N/A</v>
      </c>
      <c r="BC1744" s="402" t="e">
        <f t="shared" si="376"/>
        <v>#N/A</v>
      </c>
    </row>
    <row r="1745" spans="1:55" s="402" customFormat="1" ht="15" customHeight="1">
      <c r="A1745" s="403"/>
      <c r="B1745" s="446">
        <v>44690</v>
      </c>
      <c r="C1745" s="446"/>
      <c r="D1745" s="416" t="s">
        <v>2480</v>
      </c>
      <c r="E1745" s="405"/>
      <c r="F1745" s="405"/>
      <c r="G1745" s="405">
        <v>2022</v>
      </c>
      <c r="H1745" s="405">
        <v>8</v>
      </c>
      <c r="I1745" s="405"/>
      <c r="J1745" s="406"/>
      <c r="K1745" s="414" t="s">
        <v>4781</v>
      </c>
      <c r="L1745" s="405" t="s">
        <v>1928</v>
      </c>
      <c r="M1745" s="418">
        <v>44538</v>
      </c>
      <c r="N1745" s="418">
        <v>44774</v>
      </c>
      <c r="O1745" s="418"/>
      <c r="P1745" s="406"/>
      <c r="Q1745" s="406"/>
      <c r="R1745" s="406"/>
      <c r="S1745" s="405" t="s">
        <v>1940</v>
      </c>
      <c r="T1745" s="405">
        <v>60</v>
      </c>
      <c r="U1745" s="405">
        <v>49401140</v>
      </c>
      <c r="V1745" s="405" t="s">
        <v>973</v>
      </c>
      <c r="W1745" s="405">
        <v>400</v>
      </c>
      <c r="X1745" s="407">
        <v>3840</v>
      </c>
      <c r="Y1745" s="408">
        <f t="shared" si="370"/>
        <v>1536000</v>
      </c>
      <c r="Z1745" s="409">
        <v>0.55000000000000004</v>
      </c>
      <c r="AA1745" s="410">
        <f t="shared" si="371"/>
        <v>844800.00000000012</v>
      </c>
      <c r="AB1745" s="411"/>
      <c r="AC1745" s="412">
        <f t="shared" si="372"/>
        <v>0</v>
      </c>
      <c r="AD1745" s="421"/>
      <c r="AE1745" s="413"/>
      <c r="AF1745" s="424">
        <f t="shared" si="373"/>
        <v>844800.00000000012</v>
      </c>
      <c r="AG1745" s="405" t="s">
        <v>1069</v>
      </c>
      <c r="AH1745" s="405"/>
      <c r="AI1745" s="414" t="s">
        <v>1962</v>
      </c>
      <c r="AJ1745" s="405" t="s">
        <v>1946</v>
      </c>
      <c r="AK1745" s="425" t="s">
        <v>1930</v>
      </c>
      <c r="AL1745" s="405">
        <v>80223</v>
      </c>
      <c r="AM1745" s="405" t="s">
        <v>52</v>
      </c>
      <c r="AN1745" s="405" t="s">
        <v>1071</v>
      </c>
      <c r="AO1745" s="405"/>
      <c r="AP1745" s="417"/>
      <c r="AQ1745" s="417" t="s">
        <v>37</v>
      </c>
      <c r="AR1745" s="417"/>
      <c r="AS1745" s="426"/>
      <c r="AT1745" s="426"/>
      <c r="AU1745" s="409"/>
      <c r="AV1745" s="402">
        <f t="shared" si="374"/>
        <v>49401140</v>
      </c>
      <c r="AW1745" s="402" cm="1">
        <f t="array" ref="AW1745">SUM(MID(0&amp;AV1745,LARGE(INDEX(ISNUMBER(--MID(AV1745,ROW($1:$8),1))*ROW($1:$8),),ROW($1:$8))+1,1)*10^ROW($1:$8)/10)</f>
        <v>49401140</v>
      </c>
      <c r="AX1745" s="402" t="str">
        <f>VLOOKUP($AW1745,'Item Master Data'!$A:$F,3,FALSE)</f>
        <v>Q.PEAK DUO BLK ML G10.a+</v>
      </c>
      <c r="AY1745" s="402">
        <f>VLOOKUP($AW1745,'Item Master Data'!$A:$F,6,FALSE)</f>
        <v>400</v>
      </c>
      <c r="AZ1745" s="402">
        <f t="shared" si="375"/>
        <v>120</v>
      </c>
      <c r="BA1745" s="402">
        <f>VLOOKUP(AW1745,'Item Master Data'!$A:$G,7,FALSE)</f>
        <v>32</v>
      </c>
      <c r="BC1745" s="402">
        <f t="shared" si="376"/>
        <v>0</v>
      </c>
    </row>
    <row r="1746" spans="1:55" s="402" customFormat="1" ht="15" customHeight="1">
      <c r="A1746" s="403"/>
      <c r="B1746" s="446">
        <v>44631</v>
      </c>
      <c r="C1746" s="446">
        <v>44631</v>
      </c>
      <c r="D1746" s="416" t="s">
        <v>2480</v>
      </c>
      <c r="E1746" s="405" t="s">
        <v>2484</v>
      </c>
      <c r="F1746" s="405"/>
      <c r="G1746" s="405">
        <v>2022</v>
      </c>
      <c r="H1746" s="405">
        <v>8</v>
      </c>
      <c r="I1746" s="405"/>
      <c r="J1746" s="406"/>
      <c r="K1746" s="414" t="s">
        <v>2665</v>
      </c>
      <c r="L1746" s="405" t="s">
        <v>2489</v>
      </c>
      <c r="M1746" s="418">
        <v>44504</v>
      </c>
      <c r="N1746" s="418">
        <v>44775</v>
      </c>
      <c r="O1746" s="418" t="s">
        <v>1236</v>
      </c>
      <c r="P1746" s="406"/>
      <c r="Q1746" s="406"/>
      <c r="R1746" s="406"/>
      <c r="S1746" s="405" t="s">
        <v>1940</v>
      </c>
      <c r="T1746" s="405">
        <v>60</v>
      </c>
      <c r="U1746" s="405">
        <v>49401140</v>
      </c>
      <c r="V1746" s="405" t="s">
        <v>973</v>
      </c>
      <c r="W1746" s="405">
        <v>400</v>
      </c>
      <c r="X1746" s="407">
        <v>768</v>
      </c>
      <c r="Y1746" s="408">
        <f t="shared" si="370"/>
        <v>307200</v>
      </c>
      <c r="Z1746" s="409">
        <v>0.55000000000000004</v>
      </c>
      <c r="AA1746" s="410">
        <f t="shared" si="371"/>
        <v>168960</v>
      </c>
      <c r="AB1746" s="411"/>
      <c r="AC1746" s="412">
        <f t="shared" si="372"/>
        <v>0</v>
      </c>
      <c r="AD1746" s="421"/>
      <c r="AE1746" s="413"/>
      <c r="AF1746" s="424">
        <f t="shared" si="373"/>
        <v>168960</v>
      </c>
      <c r="AG1746" s="405" t="s">
        <v>1069</v>
      </c>
      <c r="AH1746" s="405"/>
      <c r="AI1746" s="414" t="s">
        <v>1962</v>
      </c>
      <c r="AJ1746" s="405" t="s">
        <v>2490</v>
      </c>
      <c r="AK1746" s="425" t="s">
        <v>1136</v>
      </c>
      <c r="AL1746" s="405">
        <v>79936</v>
      </c>
      <c r="AM1746" s="405" t="s">
        <v>52</v>
      </c>
      <c r="AN1746" s="405"/>
      <c r="AO1746" s="405"/>
      <c r="AP1746" s="417"/>
      <c r="AQ1746" s="417" t="s">
        <v>37</v>
      </c>
      <c r="AR1746" s="417" t="s">
        <v>2491</v>
      </c>
      <c r="AS1746" s="426"/>
      <c r="AT1746" s="426"/>
      <c r="AU1746" s="409">
        <v>0.49</v>
      </c>
      <c r="AV1746" s="402">
        <f t="shared" si="374"/>
        <v>49401140</v>
      </c>
      <c r="AW1746" s="402" cm="1">
        <f t="array" ref="AW1746">SUM(MID(0&amp;AV1746,LARGE(INDEX(ISNUMBER(--MID(AV1746,ROW($1:$8),1))*ROW($1:$8),),ROW($1:$8))+1,1)*10^ROW($1:$8)/10)</f>
        <v>49401140</v>
      </c>
      <c r="AX1746" s="402" t="str">
        <f>VLOOKUP($AW1746,'Item Master Data'!$A:$F,3,FALSE)</f>
        <v>Q.PEAK DUO BLK ML G10.a+</v>
      </c>
      <c r="AY1746" s="402">
        <f>VLOOKUP($AW1746,'Item Master Data'!$A:$F,6,FALSE)</f>
        <v>400</v>
      </c>
      <c r="AZ1746" s="402">
        <f t="shared" si="375"/>
        <v>24</v>
      </c>
      <c r="BA1746" s="402">
        <f>VLOOKUP(AW1746,'Item Master Data'!$A:$G,7,FALSE)</f>
        <v>32</v>
      </c>
      <c r="BC1746" s="402">
        <f t="shared" si="376"/>
        <v>0</v>
      </c>
    </row>
    <row r="1747" spans="1:55" s="402" customFormat="1" ht="15" customHeight="1">
      <c r="A1747" s="403"/>
      <c r="B1747" s="446">
        <v>44644</v>
      </c>
      <c r="C1747" s="446">
        <v>44644</v>
      </c>
      <c r="D1747" s="416" t="s">
        <v>2480</v>
      </c>
      <c r="E1747" s="405" t="s">
        <v>2544</v>
      </c>
      <c r="F1747" s="405"/>
      <c r="G1747" s="405">
        <v>2022</v>
      </c>
      <c r="H1747" s="405">
        <v>8</v>
      </c>
      <c r="I1747" s="405" t="s">
        <v>1498</v>
      </c>
      <c r="J1747" s="406"/>
      <c r="K1747" s="414" t="s">
        <v>2666</v>
      </c>
      <c r="L1747" s="405" t="s">
        <v>2489</v>
      </c>
      <c r="M1747" s="418">
        <v>44644</v>
      </c>
      <c r="N1747" s="418">
        <v>44774</v>
      </c>
      <c r="O1747" s="418"/>
      <c r="P1747" s="406"/>
      <c r="Q1747" s="406"/>
      <c r="R1747" s="406"/>
      <c r="S1747" s="405" t="s">
        <v>1940</v>
      </c>
      <c r="T1747" s="405">
        <v>60</v>
      </c>
      <c r="U1747" s="405"/>
      <c r="V1747" s="405" t="s">
        <v>973</v>
      </c>
      <c r="W1747" s="405">
        <v>400</v>
      </c>
      <c r="X1747" s="407">
        <v>2304</v>
      </c>
      <c r="Y1747" s="408">
        <f t="shared" si="370"/>
        <v>921600</v>
      </c>
      <c r="Z1747" s="409">
        <v>0.55000000000000004</v>
      </c>
      <c r="AA1747" s="410">
        <f t="shared" si="371"/>
        <v>506880.00000000006</v>
      </c>
      <c r="AB1747" s="411"/>
      <c r="AC1747" s="412">
        <f t="shared" si="372"/>
        <v>0</v>
      </c>
      <c r="AD1747" s="421"/>
      <c r="AE1747" s="413"/>
      <c r="AF1747" s="424">
        <f t="shared" si="373"/>
        <v>506880.00000000006</v>
      </c>
      <c r="AG1747" s="405" t="s">
        <v>1069</v>
      </c>
      <c r="AH1747" s="405">
        <v>60</v>
      </c>
      <c r="AI1747" s="414"/>
      <c r="AJ1747" s="405" t="s">
        <v>2651</v>
      </c>
      <c r="AK1747" s="425" t="s">
        <v>1136</v>
      </c>
      <c r="AL1747" s="405">
        <v>79936</v>
      </c>
      <c r="AM1747" s="405" t="s">
        <v>52</v>
      </c>
      <c r="AN1747" s="405"/>
      <c r="AO1747" s="405"/>
      <c r="AP1747" s="417"/>
      <c r="AQ1747" s="417" t="s">
        <v>37</v>
      </c>
      <c r="AR1747" s="417"/>
      <c r="AS1747" s="426"/>
      <c r="AT1747" s="426"/>
      <c r="AU1747" s="409">
        <v>0.5</v>
      </c>
      <c r="AV1747" s="402">
        <f t="shared" si="374"/>
        <v>0</v>
      </c>
      <c r="AW1747" s="402" cm="1">
        <f t="array" ref="AW1747">SUM(MID(0&amp;AV1747,LARGE(INDEX(ISNUMBER(--MID(AV1747,ROW($1:$8),1))*ROW($1:$8),),ROW($1:$8))+1,1)*10^ROW($1:$8)/10)</f>
        <v>0</v>
      </c>
      <c r="AX1747" s="402" t="e">
        <f>VLOOKUP($AW1747,'Item Master Data'!$A:$F,3,FALSE)</f>
        <v>#N/A</v>
      </c>
      <c r="AY1747" s="402" t="e">
        <f>VLOOKUP($AW1747,'Item Master Data'!$A:$F,6,FALSE)</f>
        <v>#N/A</v>
      </c>
      <c r="AZ1747" s="402" t="e">
        <f t="shared" si="375"/>
        <v>#N/A</v>
      </c>
      <c r="BA1747" s="402" t="e">
        <f>VLOOKUP(AW1747,'Item Master Data'!$A:$G,7,FALSE)</f>
        <v>#N/A</v>
      </c>
      <c r="BC1747" s="402" t="e">
        <f t="shared" si="376"/>
        <v>#N/A</v>
      </c>
    </row>
    <row r="1748" spans="1:55" s="402" customFormat="1" ht="15" customHeight="1">
      <c r="A1748" s="403"/>
      <c r="B1748" s="446"/>
      <c r="C1748" s="446"/>
      <c r="D1748" s="416" t="s">
        <v>2480</v>
      </c>
      <c r="E1748" s="405"/>
      <c r="F1748" s="405"/>
      <c r="G1748" s="405">
        <v>2022</v>
      </c>
      <c r="H1748" s="405">
        <v>8</v>
      </c>
      <c r="I1748" s="405"/>
      <c r="J1748" s="406"/>
      <c r="K1748" s="414" t="s">
        <v>2667</v>
      </c>
      <c r="L1748" s="405" t="s">
        <v>2628</v>
      </c>
      <c r="M1748" s="418">
        <v>44531</v>
      </c>
      <c r="N1748" s="418">
        <v>44835</v>
      </c>
      <c r="O1748" s="418"/>
      <c r="P1748" s="406"/>
      <c r="Q1748" s="406"/>
      <c r="R1748" s="406"/>
      <c r="S1748" s="405" t="s">
        <v>1940</v>
      </c>
      <c r="T1748" s="405">
        <v>60</v>
      </c>
      <c r="U1748" s="405" t="s">
        <v>1102</v>
      </c>
      <c r="V1748" s="405" t="s">
        <v>986</v>
      </c>
      <c r="W1748" s="405">
        <v>360</v>
      </c>
      <c r="X1748" s="407">
        <v>1664</v>
      </c>
      <c r="Y1748" s="408">
        <f t="shared" si="370"/>
        <v>599040</v>
      </c>
      <c r="Z1748" s="409">
        <v>0.5</v>
      </c>
      <c r="AA1748" s="410">
        <f t="shared" si="371"/>
        <v>299520</v>
      </c>
      <c r="AB1748" s="411"/>
      <c r="AC1748" s="412">
        <f t="shared" si="372"/>
        <v>0</v>
      </c>
      <c r="AD1748" s="421"/>
      <c r="AE1748" s="413"/>
      <c r="AF1748" s="424">
        <f t="shared" si="373"/>
        <v>299520</v>
      </c>
      <c r="AG1748" s="405" t="s">
        <v>1069</v>
      </c>
      <c r="AH1748" s="405"/>
      <c r="AI1748" s="414" t="s">
        <v>1962</v>
      </c>
      <c r="AJ1748" s="405" t="s">
        <v>2629</v>
      </c>
      <c r="AK1748" s="425" t="s">
        <v>1328</v>
      </c>
      <c r="AL1748" s="405">
        <v>89502</v>
      </c>
      <c r="AM1748" s="405" t="s">
        <v>52</v>
      </c>
      <c r="AN1748" s="405"/>
      <c r="AO1748" s="405"/>
      <c r="AP1748" s="417"/>
      <c r="AQ1748" s="417" t="s">
        <v>37</v>
      </c>
      <c r="AR1748" s="417"/>
      <c r="AS1748" s="426"/>
      <c r="AT1748" s="426"/>
      <c r="AU1748" s="409"/>
      <c r="AV1748" s="402" t="str">
        <f t="shared" si="374"/>
        <v>TBD</v>
      </c>
      <c r="AW1748" s="402" cm="1">
        <f t="array" ref="AW1748">SUM(MID(0&amp;AV1748,LARGE(INDEX(ISNUMBER(--MID(AV1748,ROW($1:$8),1))*ROW($1:$8),),ROW($1:$8))+1,1)*10^ROW($1:$8)/10)</f>
        <v>0</v>
      </c>
      <c r="AX1748" s="402" t="e">
        <f>VLOOKUP($AW1748,'Item Master Data'!$A:$F,3,FALSE)</f>
        <v>#N/A</v>
      </c>
      <c r="AY1748" s="402" t="e">
        <f>VLOOKUP($AW1748,'Item Master Data'!$A:$F,6,FALSE)</f>
        <v>#N/A</v>
      </c>
      <c r="AZ1748" s="402" t="e">
        <f t="shared" si="375"/>
        <v>#N/A</v>
      </c>
      <c r="BA1748" s="402" t="e">
        <f>VLOOKUP(AW1748,'Item Master Data'!$A:$G,7,FALSE)</f>
        <v>#N/A</v>
      </c>
      <c r="BC1748" s="402" t="e">
        <f t="shared" si="376"/>
        <v>#N/A</v>
      </c>
    </row>
    <row r="1749" spans="1:55" s="402" customFormat="1" ht="15" customHeight="1">
      <c r="A1749" s="403"/>
      <c r="B1749" s="446">
        <v>44657</v>
      </c>
      <c r="C1749" s="446">
        <v>44657</v>
      </c>
      <c r="D1749" s="416" t="s">
        <v>2480</v>
      </c>
      <c r="E1749" s="405"/>
      <c r="F1749" s="405"/>
      <c r="G1749" s="405">
        <v>2022</v>
      </c>
      <c r="H1749" s="405">
        <v>8</v>
      </c>
      <c r="I1749" s="405" t="s">
        <v>1498</v>
      </c>
      <c r="J1749" s="406"/>
      <c r="K1749" s="414" t="s">
        <v>2746</v>
      </c>
      <c r="L1749" s="405" t="s">
        <v>2600</v>
      </c>
      <c r="M1749" s="418">
        <v>44650</v>
      </c>
      <c r="N1749" s="418">
        <v>44774</v>
      </c>
      <c r="O1749" s="418"/>
      <c r="P1749" s="406"/>
      <c r="Q1749" s="406"/>
      <c r="R1749" s="406"/>
      <c r="S1749" s="405" t="s">
        <v>1940</v>
      </c>
      <c r="T1749" s="405">
        <v>60</v>
      </c>
      <c r="U1749" s="405"/>
      <c r="V1749" s="405" t="s">
        <v>973</v>
      </c>
      <c r="W1749" s="405">
        <v>400</v>
      </c>
      <c r="X1749" s="407">
        <v>832</v>
      </c>
      <c r="Y1749" s="408">
        <f t="shared" si="370"/>
        <v>332800</v>
      </c>
      <c r="Z1749" s="409">
        <v>0.55500000000000005</v>
      </c>
      <c r="AA1749" s="410">
        <f t="shared" si="371"/>
        <v>184704.00000000003</v>
      </c>
      <c r="AB1749" s="411"/>
      <c r="AC1749" s="412">
        <f t="shared" si="372"/>
        <v>0</v>
      </c>
      <c r="AD1749" s="421"/>
      <c r="AE1749" s="413"/>
      <c r="AF1749" s="424">
        <f t="shared" si="373"/>
        <v>184704.00000000003</v>
      </c>
      <c r="AG1749" s="405" t="s">
        <v>1069</v>
      </c>
      <c r="AH1749" s="405"/>
      <c r="AI1749" s="414" t="s">
        <v>1962</v>
      </c>
      <c r="AJ1749" s="405" t="s">
        <v>2744</v>
      </c>
      <c r="AK1749" s="425" t="s">
        <v>2745</v>
      </c>
      <c r="AL1749" s="405">
        <v>63110</v>
      </c>
      <c r="AM1749" s="405" t="s">
        <v>52</v>
      </c>
      <c r="AN1749" s="405"/>
      <c r="AO1749" s="405"/>
      <c r="AP1749" s="417"/>
      <c r="AQ1749" s="417" t="s">
        <v>37</v>
      </c>
      <c r="AR1749" s="417"/>
      <c r="AS1749" s="426"/>
      <c r="AT1749" s="426"/>
      <c r="AU1749" s="409">
        <v>0.51</v>
      </c>
      <c r="AV1749" s="402">
        <f t="shared" si="374"/>
        <v>0</v>
      </c>
      <c r="AW1749" s="402" cm="1">
        <f t="array" ref="AW1749">SUM(MID(0&amp;AV1749,LARGE(INDEX(ISNUMBER(--MID(AV1749,ROW($1:$8),1))*ROW($1:$8),),ROW($1:$8))+1,1)*10^ROW($1:$8)/10)</f>
        <v>0</v>
      </c>
      <c r="AX1749" s="402" t="e">
        <f>VLOOKUP($AW1749,'Item Master Data'!$A:$F,3,FALSE)</f>
        <v>#N/A</v>
      </c>
      <c r="AY1749" s="402" t="e">
        <f>VLOOKUP($AW1749,'Item Master Data'!$A:$F,6,FALSE)</f>
        <v>#N/A</v>
      </c>
      <c r="AZ1749" s="402" t="e">
        <f t="shared" si="375"/>
        <v>#N/A</v>
      </c>
      <c r="BA1749" s="402" t="e">
        <f>VLOOKUP(AW1749,'Item Master Data'!$A:$G,7,FALSE)</f>
        <v>#N/A</v>
      </c>
      <c r="BC1749" s="402" t="e">
        <f t="shared" si="376"/>
        <v>#N/A</v>
      </c>
    </row>
    <row r="1750" spans="1:55" s="402" customFormat="1" ht="15" customHeight="1">
      <c r="A1750" s="403"/>
      <c r="B1750" s="446"/>
      <c r="C1750" s="446"/>
      <c r="D1750" s="416" t="s">
        <v>2480</v>
      </c>
      <c r="E1750" s="405"/>
      <c r="F1750" s="405"/>
      <c r="G1750" s="405">
        <v>2022</v>
      </c>
      <c r="H1750" s="405">
        <v>8</v>
      </c>
      <c r="I1750" s="405"/>
      <c r="J1750" s="406"/>
      <c r="K1750" s="414" t="s">
        <v>2735</v>
      </c>
      <c r="L1750" s="405" t="s">
        <v>2509</v>
      </c>
      <c r="M1750" s="418">
        <v>44516</v>
      </c>
      <c r="N1750" s="418">
        <v>44651</v>
      </c>
      <c r="O1750" s="418"/>
      <c r="P1750" s="406"/>
      <c r="Q1750" s="406"/>
      <c r="R1750" s="406"/>
      <c r="S1750" s="405" t="s">
        <v>1443</v>
      </c>
      <c r="T1750" s="405">
        <v>60</v>
      </c>
      <c r="U1750" s="405">
        <v>49401140</v>
      </c>
      <c r="V1750" s="405" t="s">
        <v>973</v>
      </c>
      <c r="W1750" s="405">
        <v>400</v>
      </c>
      <c r="X1750" s="407">
        <v>768</v>
      </c>
      <c r="Y1750" s="408">
        <f t="shared" si="370"/>
        <v>307200</v>
      </c>
      <c r="Z1750" s="409">
        <f>210/400</f>
        <v>0.52500000000000002</v>
      </c>
      <c r="AA1750" s="410">
        <f t="shared" si="371"/>
        <v>161280</v>
      </c>
      <c r="AB1750" s="411"/>
      <c r="AC1750" s="412">
        <f t="shared" si="372"/>
        <v>0</v>
      </c>
      <c r="AD1750" s="421"/>
      <c r="AE1750" s="413"/>
      <c r="AF1750" s="424">
        <f t="shared" si="373"/>
        <v>161280</v>
      </c>
      <c r="AG1750" s="405" t="s">
        <v>1069</v>
      </c>
      <c r="AH1750" s="405"/>
      <c r="AI1750" s="414">
        <v>60</v>
      </c>
      <c r="AJ1750" s="405" t="s">
        <v>2488</v>
      </c>
      <c r="AK1750" s="425" t="s">
        <v>1930</v>
      </c>
      <c r="AL1750" s="405">
        <v>81505</v>
      </c>
      <c r="AM1750" s="405" t="s">
        <v>52</v>
      </c>
      <c r="AN1750" s="405" t="s">
        <v>1071</v>
      </c>
      <c r="AO1750" s="405"/>
      <c r="AP1750" s="417"/>
      <c r="AQ1750" s="417" t="s">
        <v>37</v>
      </c>
      <c r="AR1750" s="417"/>
      <c r="AS1750" s="426"/>
      <c r="AT1750" s="426"/>
      <c r="AU1750" s="409"/>
      <c r="AV1750" s="402">
        <f t="shared" si="374"/>
        <v>49401140</v>
      </c>
      <c r="AW1750" s="402" cm="1">
        <f t="array" ref="AW1750">SUM(MID(0&amp;AV1750,LARGE(INDEX(ISNUMBER(--MID(AV1750,ROW($1:$8),1))*ROW($1:$8),),ROW($1:$8))+1,1)*10^ROW($1:$8)/10)</f>
        <v>49401140</v>
      </c>
      <c r="AX1750" s="402" t="str">
        <f>VLOOKUP($AW1750,'Item Master Data'!$A:$F,3,FALSE)</f>
        <v>Q.PEAK DUO BLK ML G10.a+</v>
      </c>
      <c r="AY1750" s="402">
        <f>VLOOKUP($AW1750,'Item Master Data'!$A:$F,6,FALSE)</f>
        <v>400</v>
      </c>
      <c r="AZ1750" s="402">
        <f t="shared" si="375"/>
        <v>24</v>
      </c>
      <c r="BA1750" s="402">
        <f>VLOOKUP(AW1750,'Item Master Data'!$A:$G,7,FALSE)</f>
        <v>32</v>
      </c>
      <c r="BC1750" s="402">
        <f t="shared" si="376"/>
        <v>0</v>
      </c>
    </row>
    <row r="1751" spans="1:55" s="402" customFormat="1" ht="15" customHeight="1">
      <c r="A1751" s="403"/>
      <c r="B1751" s="446"/>
      <c r="C1751" s="446"/>
      <c r="D1751" s="416" t="s">
        <v>2480</v>
      </c>
      <c r="E1751" s="405"/>
      <c r="F1751" s="405"/>
      <c r="G1751" s="405">
        <v>2022</v>
      </c>
      <c r="H1751" s="405">
        <v>8</v>
      </c>
      <c r="I1751" s="405"/>
      <c r="J1751" s="406"/>
      <c r="K1751" s="414" t="s">
        <v>2747</v>
      </c>
      <c r="L1751" s="405" t="s">
        <v>2509</v>
      </c>
      <c r="M1751" s="418">
        <v>44516</v>
      </c>
      <c r="N1751" s="418">
        <v>44742</v>
      </c>
      <c r="O1751" s="418"/>
      <c r="P1751" s="406"/>
      <c r="Q1751" s="406"/>
      <c r="R1751" s="406"/>
      <c r="S1751" s="405" t="s">
        <v>1443</v>
      </c>
      <c r="T1751" s="405">
        <v>60</v>
      </c>
      <c r="U1751" s="405">
        <v>49401140</v>
      </c>
      <c r="V1751" s="405" t="s">
        <v>973</v>
      </c>
      <c r="W1751" s="405">
        <v>400</v>
      </c>
      <c r="X1751" s="407">
        <v>384</v>
      </c>
      <c r="Y1751" s="408">
        <f t="shared" si="370"/>
        <v>153600</v>
      </c>
      <c r="Z1751" s="409">
        <f>210/400</f>
        <v>0.52500000000000002</v>
      </c>
      <c r="AA1751" s="410">
        <f t="shared" si="371"/>
        <v>80640</v>
      </c>
      <c r="AB1751" s="411"/>
      <c r="AC1751" s="412">
        <f t="shared" si="372"/>
        <v>0</v>
      </c>
      <c r="AD1751" s="421"/>
      <c r="AE1751" s="413"/>
      <c r="AF1751" s="424">
        <f t="shared" si="373"/>
        <v>80640</v>
      </c>
      <c r="AG1751" s="405" t="s">
        <v>1069</v>
      </c>
      <c r="AH1751" s="405"/>
      <c r="AI1751" s="414">
        <v>60</v>
      </c>
      <c r="AJ1751" s="405" t="s">
        <v>1946</v>
      </c>
      <c r="AK1751" s="425" t="s">
        <v>1930</v>
      </c>
      <c r="AL1751" s="405">
        <v>80239</v>
      </c>
      <c r="AM1751" s="405" t="s">
        <v>52</v>
      </c>
      <c r="AN1751" s="405" t="s">
        <v>1071</v>
      </c>
      <c r="AO1751" s="405"/>
      <c r="AP1751" s="417"/>
      <c r="AQ1751" s="417" t="s">
        <v>37</v>
      </c>
      <c r="AR1751" s="417"/>
      <c r="AS1751" s="426"/>
      <c r="AT1751" s="426"/>
      <c r="AU1751" s="409"/>
      <c r="AV1751" s="402">
        <f t="shared" si="374"/>
        <v>49401140</v>
      </c>
      <c r="AW1751" s="402" cm="1">
        <f t="array" ref="AW1751">SUM(MID(0&amp;AV1751,LARGE(INDEX(ISNUMBER(--MID(AV1751,ROW($1:$8),1))*ROW($1:$8),),ROW($1:$8))+1,1)*10^ROW($1:$8)/10)</f>
        <v>49401140</v>
      </c>
      <c r="AX1751" s="402" t="str">
        <f>VLOOKUP($AW1751,'Item Master Data'!$A:$F,3,FALSE)</f>
        <v>Q.PEAK DUO BLK ML G10.a+</v>
      </c>
      <c r="AY1751" s="402">
        <f>VLOOKUP($AW1751,'Item Master Data'!$A:$F,6,FALSE)</f>
        <v>400</v>
      </c>
      <c r="AZ1751" s="402">
        <f t="shared" si="375"/>
        <v>12</v>
      </c>
      <c r="BA1751" s="402">
        <f>VLOOKUP(AW1751,'Item Master Data'!$A:$G,7,FALSE)</f>
        <v>32</v>
      </c>
      <c r="BC1751" s="402">
        <f t="shared" si="376"/>
        <v>0</v>
      </c>
    </row>
    <row r="1752" spans="1:55" s="402" customFormat="1" ht="15" customHeight="1">
      <c r="A1752" s="403"/>
      <c r="B1752" s="446"/>
      <c r="C1752" s="446"/>
      <c r="D1752" s="416" t="s">
        <v>2480</v>
      </c>
      <c r="E1752" s="405"/>
      <c r="F1752" s="405"/>
      <c r="G1752" s="405">
        <v>2022</v>
      </c>
      <c r="H1752" s="405">
        <v>8</v>
      </c>
      <c r="I1752" s="405"/>
      <c r="J1752" s="406"/>
      <c r="K1752" s="414" t="s">
        <v>2757</v>
      </c>
      <c r="L1752" s="405" t="s">
        <v>2509</v>
      </c>
      <c r="M1752" s="418">
        <v>44516</v>
      </c>
      <c r="N1752" s="418">
        <v>44742</v>
      </c>
      <c r="O1752" s="418"/>
      <c r="P1752" s="406"/>
      <c r="Q1752" s="406"/>
      <c r="R1752" s="406"/>
      <c r="S1752" s="405" t="s">
        <v>1443</v>
      </c>
      <c r="T1752" s="405">
        <v>60</v>
      </c>
      <c r="U1752" s="405">
        <v>49401140</v>
      </c>
      <c r="V1752" s="405" t="s">
        <v>973</v>
      </c>
      <c r="W1752" s="405">
        <v>400</v>
      </c>
      <c r="X1752" s="407">
        <v>512</v>
      </c>
      <c r="Y1752" s="408">
        <f t="shared" si="370"/>
        <v>204800</v>
      </c>
      <c r="Z1752" s="409">
        <f>210/400</f>
        <v>0.52500000000000002</v>
      </c>
      <c r="AA1752" s="410">
        <f t="shared" si="371"/>
        <v>107520</v>
      </c>
      <c r="AB1752" s="411"/>
      <c r="AC1752" s="412">
        <f t="shared" si="372"/>
        <v>0</v>
      </c>
      <c r="AD1752" s="421"/>
      <c r="AE1752" s="413"/>
      <c r="AF1752" s="424">
        <f t="shared" si="373"/>
        <v>107520</v>
      </c>
      <c r="AG1752" s="405" t="s">
        <v>1069</v>
      </c>
      <c r="AH1752" s="405"/>
      <c r="AI1752" s="414">
        <v>60</v>
      </c>
      <c r="AJ1752" s="405" t="s">
        <v>2539</v>
      </c>
      <c r="AK1752" s="425" t="s">
        <v>1930</v>
      </c>
      <c r="AL1752" s="405">
        <v>81001</v>
      </c>
      <c r="AM1752" s="405" t="s">
        <v>52</v>
      </c>
      <c r="AN1752" s="405" t="s">
        <v>1071</v>
      </c>
      <c r="AO1752" s="405"/>
      <c r="AP1752" s="417"/>
      <c r="AQ1752" s="417" t="s">
        <v>37</v>
      </c>
      <c r="AR1752" s="417"/>
      <c r="AS1752" s="426"/>
      <c r="AT1752" s="426"/>
      <c r="AU1752" s="409"/>
      <c r="AV1752" s="402">
        <f t="shared" si="374"/>
        <v>49401140</v>
      </c>
      <c r="AW1752" s="402" cm="1">
        <f t="array" ref="AW1752">SUM(MID(0&amp;AV1752,LARGE(INDEX(ISNUMBER(--MID(AV1752,ROW($1:$8),1))*ROW($1:$8),),ROW($1:$8))+1,1)*10^ROW($1:$8)/10)</f>
        <v>49401140</v>
      </c>
      <c r="AX1752" s="402" t="str">
        <f>VLOOKUP($AW1752,'Item Master Data'!$A:$F,3,FALSE)</f>
        <v>Q.PEAK DUO BLK ML G10.a+</v>
      </c>
      <c r="AY1752" s="402">
        <f>VLOOKUP($AW1752,'Item Master Data'!$A:$F,6,FALSE)</f>
        <v>400</v>
      </c>
      <c r="AZ1752" s="402">
        <f t="shared" si="375"/>
        <v>16</v>
      </c>
      <c r="BA1752" s="402">
        <f>VLOOKUP(AW1752,'Item Master Data'!$A:$G,7,FALSE)</f>
        <v>32</v>
      </c>
      <c r="BC1752" s="402">
        <f t="shared" si="376"/>
        <v>0</v>
      </c>
    </row>
    <row r="1753" spans="1:55" s="402" customFormat="1" ht="15" customHeight="1">
      <c r="A1753" s="403"/>
      <c r="B1753" s="446">
        <v>44658</v>
      </c>
      <c r="C1753" s="446">
        <v>44658</v>
      </c>
      <c r="D1753" s="416" t="s">
        <v>2480</v>
      </c>
      <c r="E1753" s="405" t="s">
        <v>4299</v>
      </c>
      <c r="F1753" s="405"/>
      <c r="G1753" s="405">
        <v>2022</v>
      </c>
      <c r="H1753" s="405">
        <v>8</v>
      </c>
      <c r="I1753" s="405" t="s">
        <v>1498</v>
      </c>
      <c r="J1753" s="406"/>
      <c r="K1753" s="414" t="s">
        <v>2720</v>
      </c>
      <c r="L1753" s="405" t="s">
        <v>2549</v>
      </c>
      <c r="M1753" s="418">
        <v>44577</v>
      </c>
      <c r="N1753" s="418">
        <v>44778</v>
      </c>
      <c r="O1753" s="418"/>
      <c r="P1753" s="406"/>
      <c r="Q1753" s="406"/>
      <c r="R1753" s="406"/>
      <c r="S1753" s="405" t="s">
        <v>1940</v>
      </c>
      <c r="T1753" s="405">
        <v>72</v>
      </c>
      <c r="U1753" s="405"/>
      <c r="V1753" s="405" t="s">
        <v>1050</v>
      </c>
      <c r="W1753" s="405">
        <v>480</v>
      </c>
      <c r="X1753" s="407">
        <v>435</v>
      </c>
      <c r="Y1753" s="408">
        <f t="shared" si="370"/>
        <v>208800</v>
      </c>
      <c r="Z1753" s="409">
        <v>0.47499999999999998</v>
      </c>
      <c r="AA1753" s="410">
        <v>99180</v>
      </c>
      <c r="AB1753" s="411"/>
      <c r="AC1753" s="412">
        <v>0</v>
      </c>
      <c r="AD1753" s="421"/>
      <c r="AE1753" s="413"/>
      <c r="AF1753" s="424">
        <v>99180</v>
      </c>
      <c r="AG1753" s="405" t="s">
        <v>1069</v>
      </c>
      <c r="AH1753" s="405"/>
      <c r="AI1753" s="414">
        <v>60</v>
      </c>
      <c r="AJ1753" s="405" t="s">
        <v>1454</v>
      </c>
      <c r="AK1753" s="425" t="s">
        <v>1136</v>
      </c>
      <c r="AL1753" s="405" t="s">
        <v>2608</v>
      </c>
      <c r="AM1753" s="405" t="s">
        <v>52</v>
      </c>
      <c r="AN1753" s="405"/>
      <c r="AO1753" s="405"/>
      <c r="AP1753" s="417"/>
      <c r="AQ1753" s="417" t="s">
        <v>37</v>
      </c>
      <c r="AR1753" s="417"/>
      <c r="AS1753" s="426"/>
      <c r="AT1753" s="426"/>
      <c r="AU1753" s="409"/>
      <c r="AV1753" s="402">
        <f t="shared" si="374"/>
        <v>0</v>
      </c>
      <c r="AW1753" s="402" cm="1">
        <f t="array" ref="AW1753">SUM(MID(0&amp;AV1753,LARGE(INDEX(ISNUMBER(--MID(AV1753,ROW($1:$8),1))*ROW($1:$8),),ROW($1:$8))+1,1)*10^ROW($1:$8)/10)</f>
        <v>0</v>
      </c>
      <c r="AX1753" s="402" t="e">
        <f>VLOOKUP($AW1753,'Item Master Data'!$A:$F,3,FALSE)</f>
        <v>#N/A</v>
      </c>
      <c r="AY1753" s="402" t="e">
        <f>VLOOKUP($AW1753,'Item Master Data'!$A:$F,6,FALSE)</f>
        <v>#N/A</v>
      </c>
      <c r="AZ1753" s="402" t="e">
        <f t="shared" si="375"/>
        <v>#N/A</v>
      </c>
      <c r="BA1753" s="402" t="e">
        <f>VLOOKUP(AW1753,'Item Master Data'!$A:$G,7,FALSE)</f>
        <v>#N/A</v>
      </c>
      <c r="BC1753" s="402" t="e">
        <f t="shared" si="376"/>
        <v>#N/A</v>
      </c>
    </row>
    <row r="1754" spans="1:55" s="402" customFormat="1">
      <c r="A1754" s="403"/>
      <c r="B1754" s="445">
        <v>44666</v>
      </c>
      <c r="C1754" s="445">
        <v>44665</v>
      </c>
      <c r="D1754" s="416" t="s">
        <v>2480</v>
      </c>
      <c r="E1754" s="405" t="s">
        <v>2367</v>
      </c>
      <c r="F1754" s="405"/>
      <c r="G1754" s="405">
        <v>2022</v>
      </c>
      <c r="H1754" s="405">
        <v>8</v>
      </c>
      <c r="I1754" s="405" t="s">
        <v>1498</v>
      </c>
      <c r="J1754" s="456"/>
      <c r="K1754" s="414" t="s">
        <v>3821</v>
      </c>
      <c r="L1754" s="405" t="s">
        <v>2549</v>
      </c>
      <c r="M1754" s="418">
        <v>44662</v>
      </c>
      <c r="N1754" s="418">
        <v>44697</v>
      </c>
      <c r="O1754" s="418"/>
      <c r="P1754" s="406"/>
      <c r="Q1754" s="406"/>
      <c r="R1754" s="406"/>
      <c r="S1754" s="405" t="s">
        <v>2541</v>
      </c>
      <c r="T1754" s="405">
        <v>60</v>
      </c>
      <c r="U1754" s="405"/>
      <c r="V1754" s="405" t="s">
        <v>986</v>
      </c>
      <c r="W1754" s="405">
        <v>360</v>
      </c>
      <c r="X1754" s="407">
        <v>832</v>
      </c>
      <c r="Y1754" s="422">
        <f t="shared" si="370"/>
        <v>299520</v>
      </c>
      <c r="Z1754" s="409">
        <v>0.505</v>
      </c>
      <c r="AA1754" s="423">
        <f t="shared" ref="AA1754:AA1817" si="377">Z1754*Y1754</f>
        <v>151257.60000000001</v>
      </c>
      <c r="AB1754" s="411"/>
      <c r="AC1754" s="412">
        <f>AB1754*Y1754</f>
        <v>0</v>
      </c>
      <c r="AD1754" s="421"/>
      <c r="AE1754" s="413"/>
      <c r="AF1754" s="424">
        <f>AE1754+AD1754+AA1754</f>
        <v>151257.60000000001</v>
      </c>
      <c r="AG1754" s="405" t="s">
        <v>1069</v>
      </c>
      <c r="AH1754" s="405"/>
      <c r="AI1754" s="414">
        <v>60</v>
      </c>
      <c r="AJ1754" s="405" t="s">
        <v>1881</v>
      </c>
      <c r="AK1754" s="425" t="s">
        <v>1081</v>
      </c>
      <c r="AL1754" s="405">
        <v>32809</v>
      </c>
      <c r="AM1754" s="405" t="s">
        <v>52</v>
      </c>
      <c r="AN1754" s="405"/>
      <c r="AO1754" s="405"/>
      <c r="AP1754" s="417"/>
      <c r="AQ1754" s="417" t="s">
        <v>37</v>
      </c>
      <c r="AR1754" s="417" t="s">
        <v>3795</v>
      </c>
      <c r="AS1754" s="426"/>
      <c r="AT1754" s="426"/>
      <c r="AU1754" s="409">
        <v>0.80577777777000004</v>
      </c>
    </row>
    <row r="1755" spans="1:55" s="402" customFormat="1">
      <c r="A1755" s="403"/>
      <c r="B1755" s="445">
        <v>44665</v>
      </c>
      <c r="C1755" s="445">
        <v>44665</v>
      </c>
      <c r="D1755" s="416" t="s">
        <v>2480</v>
      </c>
      <c r="E1755" s="405" t="s">
        <v>2367</v>
      </c>
      <c r="F1755" s="405"/>
      <c r="G1755" s="405">
        <v>2022</v>
      </c>
      <c r="H1755" s="405">
        <v>8</v>
      </c>
      <c r="I1755" s="405" t="s">
        <v>1498</v>
      </c>
      <c r="J1755" s="456"/>
      <c r="K1755" s="414" t="s">
        <v>3822</v>
      </c>
      <c r="L1755" s="405" t="s">
        <v>2549</v>
      </c>
      <c r="M1755" s="418">
        <v>44663</v>
      </c>
      <c r="N1755" s="418">
        <v>44777</v>
      </c>
      <c r="O1755" s="418"/>
      <c r="P1755" s="406"/>
      <c r="Q1755" s="406"/>
      <c r="R1755" s="406"/>
      <c r="S1755" s="405" t="s">
        <v>2541</v>
      </c>
      <c r="T1755" s="405">
        <v>60</v>
      </c>
      <c r="U1755" s="405"/>
      <c r="V1755" s="405" t="s">
        <v>986</v>
      </c>
      <c r="W1755" s="405">
        <v>360</v>
      </c>
      <c r="X1755" s="407">
        <v>832</v>
      </c>
      <c r="Y1755" s="422">
        <f t="shared" si="370"/>
        <v>299520</v>
      </c>
      <c r="Z1755" s="409">
        <v>0.505</v>
      </c>
      <c r="AA1755" s="423">
        <f t="shared" si="377"/>
        <v>151257.60000000001</v>
      </c>
      <c r="AB1755" s="411"/>
      <c r="AC1755" s="412">
        <f>AB1755*Y1755</f>
        <v>0</v>
      </c>
      <c r="AD1755" s="421"/>
      <c r="AE1755" s="413"/>
      <c r="AF1755" s="424">
        <f>AE1755+AD1755+AA1755</f>
        <v>151257.60000000001</v>
      </c>
      <c r="AG1755" s="405" t="s">
        <v>1069</v>
      </c>
      <c r="AH1755" s="405"/>
      <c r="AI1755" s="414">
        <v>60</v>
      </c>
      <c r="AJ1755" s="405" t="s">
        <v>1881</v>
      </c>
      <c r="AK1755" s="425" t="s">
        <v>1081</v>
      </c>
      <c r="AL1755" s="405">
        <v>32809</v>
      </c>
      <c r="AM1755" s="405" t="s">
        <v>52</v>
      </c>
      <c r="AN1755" s="405"/>
      <c r="AO1755" s="405"/>
      <c r="AP1755" s="417"/>
      <c r="AQ1755" s="417" t="s">
        <v>37</v>
      </c>
      <c r="AR1755" s="417" t="s">
        <v>3795</v>
      </c>
      <c r="AS1755" s="426"/>
      <c r="AT1755" s="426"/>
      <c r="AU1755" s="409">
        <v>0.80577777777000004</v>
      </c>
    </row>
    <row r="1756" spans="1:55" s="402" customFormat="1">
      <c r="A1756" s="403"/>
      <c r="B1756" s="445">
        <v>44665</v>
      </c>
      <c r="C1756" s="445">
        <v>44665</v>
      </c>
      <c r="D1756" s="416" t="s">
        <v>2480</v>
      </c>
      <c r="E1756" s="405" t="s">
        <v>2367</v>
      </c>
      <c r="F1756" s="405"/>
      <c r="G1756" s="405">
        <v>2022</v>
      </c>
      <c r="H1756" s="405">
        <v>8</v>
      </c>
      <c r="I1756" s="405" t="s">
        <v>1498</v>
      </c>
      <c r="J1756" s="456"/>
      <c r="K1756" s="414" t="s">
        <v>3791</v>
      </c>
      <c r="L1756" s="405" t="s">
        <v>2549</v>
      </c>
      <c r="M1756" s="418">
        <v>44655</v>
      </c>
      <c r="N1756" s="418">
        <v>44656</v>
      </c>
      <c r="O1756" s="418"/>
      <c r="P1756" s="406"/>
      <c r="Q1756" s="406"/>
      <c r="R1756" s="406"/>
      <c r="S1756" s="405" t="s">
        <v>1443</v>
      </c>
      <c r="T1756" s="405">
        <v>60</v>
      </c>
      <c r="U1756" s="405"/>
      <c r="V1756" s="405" t="s">
        <v>986</v>
      </c>
      <c r="W1756" s="405">
        <v>360</v>
      </c>
      <c r="X1756" s="407">
        <v>416</v>
      </c>
      <c r="Y1756" s="422">
        <f t="shared" si="370"/>
        <v>149760</v>
      </c>
      <c r="Z1756" s="409">
        <v>0.53500000000000003</v>
      </c>
      <c r="AA1756" s="423">
        <f t="shared" si="377"/>
        <v>80121.600000000006</v>
      </c>
      <c r="AB1756" s="411"/>
      <c r="AC1756" s="412">
        <f>AB1756*Y1756</f>
        <v>0</v>
      </c>
      <c r="AD1756" s="421"/>
      <c r="AE1756" s="413"/>
      <c r="AF1756" s="424">
        <f>AE1756+AD1756+AA1756</f>
        <v>80121.600000000006</v>
      </c>
      <c r="AG1756" s="405" t="s">
        <v>1069</v>
      </c>
      <c r="AH1756" s="405"/>
      <c r="AI1756" s="414">
        <v>60</v>
      </c>
      <c r="AJ1756" s="405" t="s">
        <v>3792</v>
      </c>
      <c r="AK1756" s="425" t="s">
        <v>1125</v>
      </c>
      <c r="AL1756" s="405">
        <v>86004</v>
      </c>
      <c r="AM1756" s="405" t="s">
        <v>52</v>
      </c>
      <c r="AN1756" s="405"/>
      <c r="AO1756" s="405"/>
      <c r="AP1756" s="417"/>
      <c r="AQ1756" s="417" t="s">
        <v>37</v>
      </c>
      <c r="AR1756" s="417"/>
      <c r="AS1756" s="426"/>
      <c r="AT1756" s="426"/>
      <c r="AU1756" s="409">
        <v>0.80577777777000004</v>
      </c>
    </row>
    <row r="1757" spans="1:55" s="402" customFormat="1">
      <c r="A1757" s="403"/>
      <c r="B1757" s="446">
        <v>44637</v>
      </c>
      <c r="C1757" s="446">
        <v>44637</v>
      </c>
      <c r="D1757" s="416" t="s">
        <v>2480</v>
      </c>
      <c r="E1757" s="405" t="s">
        <v>1239</v>
      </c>
      <c r="F1757" s="405"/>
      <c r="G1757" s="405">
        <v>2022</v>
      </c>
      <c r="H1757" s="405">
        <v>8</v>
      </c>
      <c r="I1757" s="405" t="s">
        <v>1498</v>
      </c>
      <c r="J1757" s="406"/>
      <c r="K1757" s="414" t="s">
        <v>2675</v>
      </c>
      <c r="L1757" s="405" t="s">
        <v>2514</v>
      </c>
      <c r="M1757" s="418">
        <v>44635</v>
      </c>
      <c r="N1757" s="418">
        <v>44713</v>
      </c>
      <c r="O1757" s="418"/>
      <c r="P1757" s="406"/>
      <c r="Q1757" s="406"/>
      <c r="R1757" s="406"/>
      <c r="S1757" s="405" t="s">
        <v>1443</v>
      </c>
      <c r="T1757" s="405">
        <v>72</v>
      </c>
      <c r="U1757" s="405"/>
      <c r="V1757" s="405" t="s">
        <v>2516</v>
      </c>
      <c r="W1757" s="405">
        <v>480</v>
      </c>
      <c r="X1757" s="407">
        <v>696</v>
      </c>
      <c r="Y1757" s="408">
        <f t="shared" si="370"/>
        <v>334080</v>
      </c>
      <c r="Z1757" s="409">
        <v>0.495</v>
      </c>
      <c r="AA1757" s="410">
        <f t="shared" si="377"/>
        <v>165369.60000000001</v>
      </c>
      <c r="AB1757" s="411"/>
      <c r="AC1757" s="412">
        <v>0</v>
      </c>
      <c r="AD1757" s="421"/>
      <c r="AE1757" s="413"/>
      <c r="AF1757" s="424">
        <v>158688</v>
      </c>
      <c r="AG1757" s="405" t="s">
        <v>1069</v>
      </c>
      <c r="AH1757" s="405"/>
      <c r="AI1757" s="414">
        <v>60</v>
      </c>
      <c r="AJ1757" s="405" t="s">
        <v>2517</v>
      </c>
      <c r="AK1757" s="425" t="s">
        <v>1599</v>
      </c>
      <c r="AL1757" s="405">
        <v>97005</v>
      </c>
      <c r="AM1757" s="405" t="s">
        <v>52</v>
      </c>
      <c r="AN1757" s="405"/>
      <c r="AO1757" s="405"/>
      <c r="AP1757" s="417"/>
      <c r="AQ1757" s="417" t="s">
        <v>37</v>
      </c>
      <c r="AR1757" s="417"/>
      <c r="AS1757" s="426"/>
      <c r="AT1757" s="426"/>
      <c r="AU1757" s="409"/>
    </row>
    <row r="1758" spans="1:55" s="402" customFormat="1">
      <c r="A1758" s="403"/>
      <c r="B1758" s="446">
        <v>44637</v>
      </c>
      <c r="C1758" s="446">
        <v>44637</v>
      </c>
      <c r="D1758" s="416" t="s">
        <v>2480</v>
      </c>
      <c r="E1758" s="405" t="s">
        <v>1239</v>
      </c>
      <c r="F1758" s="405"/>
      <c r="G1758" s="405">
        <v>2022</v>
      </c>
      <c r="H1758" s="405">
        <v>8</v>
      </c>
      <c r="I1758" s="405" t="s">
        <v>1498</v>
      </c>
      <c r="J1758" s="406"/>
      <c r="K1758" s="414" t="s">
        <v>2676</v>
      </c>
      <c r="L1758" s="405" t="s">
        <v>2514</v>
      </c>
      <c r="M1758" s="418">
        <v>44635</v>
      </c>
      <c r="N1758" s="418">
        <v>44713</v>
      </c>
      <c r="O1758" s="418"/>
      <c r="P1758" s="406"/>
      <c r="Q1758" s="406"/>
      <c r="R1758" s="406"/>
      <c r="S1758" s="405" t="s">
        <v>1443</v>
      </c>
      <c r="T1758" s="405">
        <v>72</v>
      </c>
      <c r="U1758" s="405"/>
      <c r="V1758" s="405" t="s">
        <v>2516</v>
      </c>
      <c r="W1758" s="405">
        <v>480</v>
      </c>
      <c r="X1758" s="407">
        <v>696</v>
      </c>
      <c r="Y1758" s="408">
        <f t="shared" si="370"/>
        <v>334080</v>
      </c>
      <c r="Z1758" s="409">
        <v>0.495</v>
      </c>
      <c r="AA1758" s="410">
        <f t="shared" si="377"/>
        <v>165369.60000000001</v>
      </c>
      <c r="AB1758" s="411"/>
      <c r="AC1758" s="412">
        <v>0</v>
      </c>
      <c r="AD1758" s="421"/>
      <c r="AE1758" s="413"/>
      <c r="AF1758" s="424">
        <v>158688</v>
      </c>
      <c r="AG1758" s="405" t="s">
        <v>1069</v>
      </c>
      <c r="AH1758" s="405"/>
      <c r="AI1758" s="414">
        <v>60</v>
      </c>
      <c r="AJ1758" s="405" t="s">
        <v>2515</v>
      </c>
      <c r="AK1758" s="425" t="s">
        <v>50</v>
      </c>
      <c r="AL1758" s="405">
        <v>95363</v>
      </c>
      <c r="AM1758" s="405" t="s">
        <v>52</v>
      </c>
      <c r="AN1758" s="405"/>
      <c r="AO1758" s="405"/>
      <c r="AP1758" s="417"/>
      <c r="AQ1758" s="417" t="s">
        <v>37</v>
      </c>
      <c r="AR1758" s="417"/>
      <c r="AS1758" s="426"/>
      <c r="AT1758" s="426"/>
      <c r="AU1758" s="409"/>
    </row>
    <row r="1759" spans="1:55" s="402" customFormat="1">
      <c r="A1759" s="403"/>
      <c r="B1759" s="446">
        <v>44658</v>
      </c>
      <c r="C1759" s="446">
        <v>44658</v>
      </c>
      <c r="D1759" s="416" t="s">
        <v>2480</v>
      </c>
      <c r="E1759" s="405" t="s">
        <v>1239</v>
      </c>
      <c r="F1759" s="405"/>
      <c r="G1759" s="405">
        <v>2022</v>
      </c>
      <c r="H1759" s="405">
        <v>8</v>
      </c>
      <c r="I1759" s="405" t="s">
        <v>1498</v>
      </c>
      <c r="J1759" s="406"/>
      <c r="K1759" s="414" t="s">
        <v>2680</v>
      </c>
      <c r="L1759" s="405" t="s">
        <v>2514</v>
      </c>
      <c r="M1759" s="418">
        <v>44658</v>
      </c>
      <c r="N1759" s="418">
        <v>44774</v>
      </c>
      <c r="O1759" s="418"/>
      <c r="P1759" s="406"/>
      <c r="Q1759" s="406"/>
      <c r="R1759" s="406"/>
      <c r="S1759" s="405" t="s">
        <v>1443</v>
      </c>
      <c r="T1759" s="405">
        <v>72</v>
      </c>
      <c r="U1759" s="405"/>
      <c r="V1759" s="405" t="s">
        <v>2516</v>
      </c>
      <c r="W1759" s="405">
        <v>480</v>
      </c>
      <c r="X1759" s="407">
        <v>696</v>
      </c>
      <c r="Y1759" s="408">
        <f t="shared" si="370"/>
        <v>334080</v>
      </c>
      <c r="Z1759" s="409">
        <v>0.495</v>
      </c>
      <c r="AA1759" s="410">
        <f t="shared" si="377"/>
        <v>165369.60000000001</v>
      </c>
      <c r="AB1759" s="411"/>
      <c r="AC1759" s="412">
        <v>0</v>
      </c>
      <c r="AD1759" s="421"/>
      <c r="AE1759" s="413"/>
      <c r="AF1759" s="424">
        <v>158688</v>
      </c>
      <c r="AG1759" s="405" t="s">
        <v>1069</v>
      </c>
      <c r="AH1759" s="405"/>
      <c r="AI1759" s="414">
        <v>60</v>
      </c>
      <c r="AJ1759" s="405" t="s">
        <v>2517</v>
      </c>
      <c r="AK1759" s="425" t="s">
        <v>50</v>
      </c>
      <c r="AL1759" s="405">
        <v>97005</v>
      </c>
      <c r="AM1759" s="405" t="s">
        <v>52</v>
      </c>
      <c r="AN1759" s="405"/>
      <c r="AO1759" s="405"/>
      <c r="AP1759" s="417"/>
      <c r="AQ1759" s="417" t="s">
        <v>37</v>
      </c>
      <c r="AR1759" s="417"/>
      <c r="AS1759" s="426"/>
      <c r="AT1759" s="426"/>
      <c r="AU1759" s="409"/>
      <c r="AV1759" s="402">
        <f>U1759</f>
        <v>0</v>
      </c>
      <c r="AW1759" s="402" cm="1">
        <f t="array" ref="AW1759">SUM(MID(0&amp;AV1759,LARGE(INDEX(ISNUMBER(--MID(AV1759,ROW($1:$8),1))*ROW($1:$8),),ROW($1:$8))+1,1)*10^ROW($1:$8)/10)</f>
        <v>0</v>
      </c>
      <c r="AX1759" s="402" t="e">
        <f>VLOOKUP($AW1759,'Item Master Data'!$A:$F,3,FALSE)</f>
        <v>#N/A</v>
      </c>
      <c r="AY1759" s="402" t="e">
        <f>VLOOKUP($AW1759,'Item Master Data'!$A:$F,6,FALSE)</f>
        <v>#N/A</v>
      </c>
      <c r="AZ1759" s="402" t="e">
        <f>X1759/BA1759</f>
        <v>#N/A</v>
      </c>
      <c r="BA1759" s="402" t="e">
        <f>VLOOKUP(AW1759,'Item Master Data'!$A:$G,7,FALSE)</f>
        <v>#N/A</v>
      </c>
      <c r="BC1759" s="402" t="e">
        <f>W1759-AY1759</f>
        <v>#N/A</v>
      </c>
    </row>
    <row r="1760" spans="1:55" s="402" customFormat="1">
      <c r="A1760" s="403"/>
      <c r="B1760" s="446">
        <v>44635</v>
      </c>
      <c r="C1760" s="446">
        <v>44634</v>
      </c>
      <c r="D1760" s="416" t="s">
        <v>2480</v>
      </c>
      <c r="E1760" s="405" t="s">
        <v>2065</v>
      </c>
      <c r="F1760" s="405"/>
      <c r="G1760" s="405">
        <v>2022</v>
      </c>
      <c r="H1760" s="405">
        <v>9</v>
      </c>
      <c r="I1760" s="405" t="s">
        <v>1498</v>
      </c>
      <c r="J1760" s="406"/>
      <c r="K1760" s="414" t="s">
        <v>2772</v>
      </c>
      <c r="L1760" s="405" t="s">
        <v>2481</v>
      </c>
      <c r="M1760" s="418">
        <v>44568</v>
      </c>
      <c r="N1760" s="418">
        <v>44810</v>
      </c>
      <c r="O1760" s="418"/>
      <c r="P1760" s="406"/>
      <c r="Q1760" s="406"/>
      <c r="R1760" s="406"/>
      <c r="S1760" s="405" t="s">
        <v>1940</v>
      </c>
      <c r="T1760" s="405">
        <v>60</v>
      </c>
      <c r="U1760" s="405"/>
      <c r="V1760" s="405" t="s">
        <v>973</v>
      </c>
      <c r="W1760" s="405">
        <v>400</v>
      </c>
      <c r="X1760" s="407">
        <v>320</v>
      </c>
      <c r="Y1760" s="408">
        <f t="shared" si="370"/>
        <v>128000</v>
      </c>
      <c r="Z1760" s="409">
        <v>0.55000000000000004</v>
      </c>
      <c r="AA1760" s="410">
        <f t="shared" si="377"/>
        <v>70400</v>
      </c>
      <c r="AB1760" s="411"/>
      <c r="AC1760" s="412">
        <f t="shared" ref="AC1760:AC1772" si="378">AB1760*Y1760</f>
        <v>0</v>
      </c>
      <c r="AD1760" s="421"/>
      <c r="AE1760" s="413"/>
      <c r="AF1760" s="424">
        <f t="shared" ref="AF1760:AF1772" si="379">AE1760+AD1760+AA1760</f>
        <v>70400</v>
      </c>
      <c r="AG1760" s="405" t="s">
        <v>47</v>
      </c>
      <c r="AH1760" s="405"/>
      <c r="AI1760" s="414" t="s">
        <v>1937</v>
      </c>
      <c r="AJ1760" s="405" t="s">
        <v>2504</v>
      </c>
      <c r="AK1760" s="425" t="s">
        <v>2505</v>
      </c>
      <c r="AL1760" s="405">
        <v>84115</v>
      </c>
      <c r="AM1760" s="405" t="s">
        <v>52</v>
      </c>
      <c r="AN1760" s="405"/>
      <c r="AO1760" s="405"/>
      <c r="AP1760" s="417"/>
      <c r="AQ1760" s="417" t="s">
        <v>37</v>
      </c>
      <c r="AR1760" s="417"/>
      <c r="AS1760" s="426"/>
      <c r="AT1760" s="426"/>
      <c r="AU1760" s="409">
        <v>0.55000000000000004</v>
      </c>
      <c r="AV1760" s="402">
        <f>U1760</f>
        <v>0</v>
      </c>
      <c r="AW1760" s="402" cm="1">
        <f t="array" ref="AW1760">SUM(MID(0&amp;AV1760,LARGE(INDEX(ISNUMBER(--MID(AV1760,ROW($1:$8),1))*ROW($1:$8),),ROW($1:$8))+1,1)*10^ROW($1:$8)/10)</f>
        <v>0</v>
      </c>
      <c r="AX1760" s="402" t="e">
        <f>VLOOKUP($AW1760,'Item Master Data'!$A:$F,3,FALSE)</f>
        <v>#N/A</v>
      </c>
      <c r="AY1760" s="402" t="e">
        <f>VLOOKUP($AW1760,'Item Master Data'!$A:$F,6,FALSE)</f>
        <v>#N/A</v>
      </c>
      <c r="AZ1760" s="402" t="e">
        <f>X1760/BA1760</f>
        <v>#N/A</v>
      </c>
      <c r="BA1760" s="402" t="e">
        <f>VLOOKUP(AW1760,'Item Master Data'!$A:$G,7,FALSE)</f>
        <v>#N/A</v>
      </c>
      <c r="BC1760" s="402" t="e">
        <f>W1760-AY1760</f>
        <v>#N/A</v>
      </c>
    </row>
    <row r="1761" spans="1:55" s="402" customFormat="1">
      <c r="A1761" s="403"/>
      <c r="B1761" s="446">
        <v>44468</v>
      </c>
      <c r="C1761" s="446">
        <v>44468</v>
      </c>
      <c r="D1761" s="416" t="s">
        <v>2480</v>
      </c>
      <c r="E1761" s="405" t="s">
        <v>2499</v>
      </c>
      <c r="F1761" s="405"/>
      <c r="G1761" s="405">
        <v>2022</v>
      </c>
      <c r="H1761" s="405">
        <v>9</v>
      </c>
      <c r="I1761" s="405"/>
      <c r="J1761" s="406"/>
      <c r="K1761" s="414" t="s">
        <v>2705</v>
      </c>
      <c r="L1761" s="405" t="s">
        <v>2481</v>
      </c>
      <c r="M1761" s="418">
        <v>44466</v>
      </c>
      <c r="N1761" s="418">
        <v>44805</v>
      </c>
      <c r="O1761" s="418"/>
      <c r="P1761" s="406"/>
      <c r="Q1761" s="406"/>
      <c r="R1761" s="406"/>
      <c r="S1761" s="405" t="s">
        <v>1940</v>
      </c>
      <c r="T1761" s="405">
        <v>60</v>
      </c>
      <c r="U1761" s="405">
        <v>49201132</v>
      </c>
      <c r="V1761" s="405" t="s">
        <v>986</v>
      </c>
      <c r="W1761" s="405">
        <v>360</v>
      </c>
      <c r="X1761" s="407">
        <v>320</v>
      </c>
      <c r="Y1761" s="408">
        <f t="shared" si="370"/>
        <v>115200</v>
      </c>
      <c r="Z1761" s="409">
        <v>0.53</v>
      </c>
      <c r="AA1761" s="410">
        <f t="shared" si="377"/>
        <v>61056</v>
      </c>
      <c r="AB1761" s="411"/>
      <c r="AC1761" s="412">
        <f t="shared" si="378"/>
        <v>0</v>
      </c>
      <c r="AD1761" s="421"/>
      <c r="AE1761" s="413"/>
      <c r="AF1761" s="424">
        <f t="shared" si="379"/>
        <v>61056</v>
      </c>
      <c r="AG1761" s="405" t="s">
        <v>47</v>
      </c>
      <c r="AH1761" s="405"/>
      <c r="AI1761" s="414">
        <v>30</v>
      </c>
      <c r="AJ1761" s="405" t="s">
        <v>2642</v>
      </c>
      <c r="AK1761" s="425" t="s">
        <v>1391</v>
      </c>
      <c r="AL1761" s="405">
        <v>54406</v>
      </c>
      <c r="AM1761" s="405" t="s">
        <v>52</v>
      </c>
      <c r="AN1761" s="405"/>
      <c r="AO1761" s="405"/>
      <c r="AP1761" s="417"/>
      <c r="AQ1761" s="417" t="s">
        <v>37</v>
      </c>
      <c r="AR1761" s="417"/>
      <c r="AS1761" s="426"/>
      <c r="AT1761" s="426"/>
      <c r="AU1761" s="409"/>
      <c r="AV1761" s="402">
        <f>U1761</f>
        <v>49201132</v>
      </c>
      <c r="AW1761" s="402" cm="1">
        <f t="array" ref="AW1761">SUM(MID(0&amp;AV1761,LARGE(INDEX(ISNUMBER(--MID(AV1761,ROW($1:$8),1))*ROW($1:$8),),ROW($1:$8))+1,1)*10^ROW($1:$8)/10)</f>
        <v>49201132</v>
      </c>
      <c r="AX1761" s="402" t="str">
        <f>VLOOKUP($AW1761,'Item Master Data'!$A:$F,3,FALSE)</f>
        <v>Q.PEAK DUO BLK G10+</v>
      </c>
      <c r="AY1761" s="402">
        <f>VLOOKUP($AW1761,'Item Master Data'!$A:$F,6,FALSE)</f>
        <v>360</v>
      </c>
      <c r="AZ1761" s="402">
        <f>X1761/BA1761</f>
        <v>10</v>
      </c>
      <c r="BA1761" s="402">
        <f>VLOOKUP(AW1761,'Item Master Data'!$A:$G,7,FALSE)</f>
        <v>32</v>
      </c>
      <c r="BC1761" s="402">
        <f>W1761-AY1761</f>
        <v>0</v>
      </c>
    </row>
    <row r="1762" spans="1:55" s="402" customFormat="1">
      <c r="A1762" s="403"/>
      <c r="B1762" s="446">
        <v>44670</v>
      </c>
      <c r="C1762" s="446">
        <v>44616</v>
      </c>
      <c r="D1762" s="416" t="s">
        <v>2480</v>
      </c>
      <c r="E1762" s="405" t="s">
        <v>2767</v>
      </c>
      <c r="F1762" s="405"/>
      <c r="G1762" s="405">
        <v>2022</v>
      </c>
      <c r="H1762" s="405">
        <v>9</v>
      </c>
      <c r="I1762" s="405" t="s">
        <v>1498</v>
      </c>
      <c r="J1762" s="406"/>
      <c r="K1762" s="414" t="s">
        <v>2773</v>
      </c>
      <c r="L1762" s="405" t="s">
        <v>2481</v>
      </c>
      <c r="M1762" s="418">
        <v>44615</v>
      </c>
      <c r="N1762" s="418">
        <v>44816</v>
      </c>
      <c r="O1762" s="418"/>
      <c r="P1762" s="406"/>
      <c r="Q1762" s="406"/>
      <c r="R1762" s="406"/>
      <c r="S1762" s="405" t="s">
        <v>1940</v>
      </c>
      <c r="T1762" s="405">
        <v>60</v>
      </c>
      <c r="U1762" s="405"/>
      <c r="V1762" s="405" t="s">
        <v>973</v>
      </c>
      <c r="W1762" s="405">
        <v>400</v>
      </c>
      <c r="X1762" s="407">
        <v>320</v>
      </c>
      <c r="Y1762" s="408">
        <f t="shared" si="370"/>
        <v>128000</v>
      </c>
      <c r="Z1762" s="409">
        <v>0.55000000000000004</v>
      </c>
      <c r="AA1762" s="410">
        <f t="shared" si="377"/>
        <v>70400</v>
      </c>
      <c r="AB1762" s="411"/>
      <c r="AC1762" s="412">
        <f t="shared" si="378"/>
        <v>0</v>
      </c>
      <c r="AD1762" s="421"/>
      <c r="AE1762" s="413"/>
      <c r="AF1762" s="424">
        <f t="shared" si="379"/>
        <v>70400</v>
      </c>
      <c r="AG1762" s="405" t="s">
        <v>47</v>
      </c>
      <c r="AH1762" s="405"/>
      <c r="AI1762" s="414" t="s">
        <v>1937</v>
      </c>
      <c r="AJ1762" s="405" t="s">
        <v>1941</v>
      </c>
      <c r="AK1762" s="425" t="s">
        <v>1942</v>
      </c>
      <c r="AL1762" s="405">
        <v>87107</v>
      </c>
      <c r="AM1762" s="405" t="s">
        <v>52</v>
      </c>
      <c r="AN1762" s="405"/>
      <c r="AO1762" s="405"/>
      <c r="AP1762" s="417"/>
      <c r="AQ1762" s="417" t="s">
        <v>37</v>
      </c>
      <c r="AR1762" s="417"/>
      <c r="AS1762" s="426"/>
      <c r="AT1762" s="426"/>
      <c r="AU1762" s="409">
        <v>0.55000000000000004</v>
      </c>
      <c r="AV1762" s="402">
        <f>U1762</f>
        <v>0</v>
      </c>
      <c r="AW1762" s="402" cm="1">
        <f t="array" ref="AW1762">SUM(MID(0&amp;AV1762,LARGE(INDEX(ISNUMBER(--MID(AV1762,ROW($1:$8),1))*ROW($1:$8),),ROW($1:$8))+1,1)*10^ROW($1:$8)/10)</f>
        <v>0</v>
      </c>
      <c r="AX1762" s="402" t="e">
        <f>VLOOKUP($AW1762,'Item Master Data'!$A:$F,3,FALSE)</f>
        <v>#N/A</v>
      </c>
      <c r="AY1762" s="402" t="e">
        <f>VLOOKUP($AW1762,'Item Master Data'!$A:$F,6,FALSE)</f>
        <v>#N/A</v>
      </c>
      <c r="AZ1762" s="402" t="e">
        <f>X1762/BA1762</f>
        <v>#N/A</v>
      </c>
      <c r="BA1762" s="402" t="e">
        <f>VLOOKUP(AW1762,'Item Master Data'!$A:$G,7,FALSE)</f>
        <v>#N/A</v>
      </c>
      <c r="BC1762" s="402" t="e">
        <f>W1762-AY1762</f>
        <v>#N/A</v>
      </c>
    </row>
    <row r="1763" spans="1:55" s="402" customFormat="1">
      <c r="A1763" s="403"/>
      <c r="B1763" s="446">
        <v>44629</v>
      </c>
      <c r="C1763" s="446">
        <v>44629</v>
      </c>
      <c r="D1763" s="416" t="s">
        <v>2480</v>
      </c>
      <c r="E1763" s="405" t="s">
        <v>2775</v>
      </c>
      <c r="F1763" s="405"/>
      <c r="G1763" s="405">
        <v>2022</v>
      </c>
      <c r="H1763" s="405">
        <v>9</v>
      </c>
      <c r="I1763" s="405" t="s">
        <v>1498</v>
      </c>
      <c r="J1763" s="406"/>
      <c r="K1763" s="414" t="s">
        <v>2776</v>
      </c>
      <c r="L1763" s="405" t="s">
        <v>2481</v>
      </c>
      <c r="M1763" s="418">
        <v>44623</v>
      </c>
      <c r="N1763" s="418">
        <v>44835</v>
      </c>
      <c r="O1763" s="418"/>
      <c r="P1763" s="406"/>
      <c r="Q1763" s="406"/>
      <c r="R1763" s="406"/>
      <c r="S1763" s="405" t="s">
        <v>1940</v>
      </c>
      <c r="T1763" s="405">
        <v>60</v>
      </c>
      <c r="U1763" s="405"/>
      <c r="V1763" s="405" t="s">
        <v>973</v>
      </c>
      <c r="W1763" s="405">
        <v>400</v>
      </c>
      <c r="X1763" s="407">
        <v>6912</v>
      </c>
      <c r="Y1763" s="408">
        <f t="shared" si="370"/>
        <v>2764800</v>
      </c>
      <c r="Z1763" s="409">
        <v>0.57999999999999996</v>
      </c>
      <c r="AA1763" s="410">
        <f t="shared" si="377"/>
        <v>1603584</v>
      </c>
      <c r="AB1763" s="411"/>
      <c r="AC1763" s="412">
        <f t="shared" si="378"/>
        <v>0</v>
      </c>
      <c r="AD1763" s="421"/>
      <c r="AE1763" s="413"/>
      <c r="AF1763" s="424">
        <f t="shared" si="379"/>
        <v>1603584</v>
      </c>
      <c r="AG1763" s="405" t="s">
        <v>47</v>
      </c>
      <c r="AH1763" s="405"/>
      <c r="AI1763" s="414" t="s">
        <v>1937</v>
      </c>
      <c r="AJ1763" s="405"/>
      <c r="AK1763" s="425"/>
      <c r="AL1763" s="405"/>
      <c r="AM1763" s="405" t="s">
        <v>52</v>
      </c>
      <c r="AN1763" s="405"/>
      <c r="AO1763" s="405"/>
      <c r="AP1763" s="417"/>
      <c r="AQ1763" s="417" t="s">
        <v>37</v>
      </c>
      <c r="AR1763" s="417"/>
      <c r="AS1763" s="426"/>
      <c r="AT1763" s="426"/>
      <c r="AU1763" s="409">
        <v>0.55000000000000004</v>
      </c>
    </row>
    <row r="1764" spans="1:55" s="402" customFormat="1">
      <c r="A1764" s="403"/>
      <c r="B1764" s="446">
        <v>44617</v>
      </c>
      <c r="C1764" s="446">
        <v>44617</v>
      </c>
      <c r="D1764" s="416" t="s">
        <v>2480</v>
      </c>
      <c r="E1764" s="405" t="s">
        <v>1239</v>
      </c>
      <c r="F1764" s="405"/>
      <c r="G1764" s="405">
        <v>2022</v>
      </c>
      <c r="H1764" s="405">
        <v>9</v>
      </c>
      <c r="I1764" s="405" t="s">
        <v>1498</v>
      </c>
      <c r="J1764" s="406"/>
      <c r="K1764" s="414" t="s">
        <v>2706</v>
      </c>
      <c r="L1764" s="405" t="s">
        <v>2481</v>
      </c>
      <c r="M1764" s="418">
        <v>44617</v>
      </c>
      <c r="N1764" s="418">
        <v>44818</v>
      </c>
      <c r="O1764" s="418"/>
      <c r="P1764" s="406"/>
      <c r="Q1764" s="406"/>
      <c r="R1764" s="406"/>
      <c r="S1764" s="405" t="s">
        <v>1940</v>
      </c>
      <c r="T1764" s="405">
        <v>60</v>
      </c>
      <c r="U1764" s="405"/>
      <c r="V1764" s="405" t="s">
        <v>973</v>
      </c>
      <c r="W1764" s="405">
        <v>400</v>
      </c>
      <c r="X1764" s="407">
        <v>320</v>
      </c>
      <c r="Y1764" s="408">
        <f t="shared" si="370"/>
        <v>128000</v>
      </c>
      <c r="Z1764" s="409">
        <v>0.65</v>
      </c>
      <c r="AA1764" s="410">
        <f t="shared" si="377"/>
        <v>83200</v>
      </c>
      <c r="AB1764" s="411"/>
      <c r="AC1764" s="412">
        <f t="shared" si="378"/>
        <v>0</v>
      </c>
      <c r="AD1764" s="421"/>
      <c r="AE1764" s="413"/>
      <c r="AF1764" s="424">
        <f t="shared" si="379"/>
        <v>83200</v>
      </c>
      <c r="AG1764" s="405" t="s">
        <v>47</v>
      </c>
      <c r="AH1764" s="405"/>
      <c r="AI1764" s="414" t="s">
        <v>1937</v>
      </c>
      <c r="AJ1764" s="405" t="s">
        <v>2664</v>
      </c>
      <c r="AK1764" s="425" t="s">
        <v>1930</v>
      </c>
      <c r="AL1764" s="405">
        <v>81623</v>
      </c>
      <c r="AM1764" s="405" t="s">
        <v>52</v>
      </c>
      <c r="AN1764" s="405"/>
      <c r="AO1764" s="405"/>
      <c r="AP1764" s="417"/>
      <c r="AQ1764" s="417" t="s">
        <v>37</v>
      </c>
      <c r="AR1764" s="417"/>
      <c r="AS1764" s="426"/>
      <c r="AT1764" s="426"/>
      <c r="AU1764" s="409">
        <v>0.55000000000000004</v>
      </c>
      <c r="AV1764" s="402">
        <f t="shared" ref="AV1764:AV1785" si="380">U1764</f>
        <v>0</v>
      </c>
      <c r="AW1764" s="402" cm="1">
        <f t="array" ref="AW1764">SUM(MID(0&amp;AV1764,LARGE(INDEX(ISNUMBER(--MID(AV1764,ROW($1:$8),1))*ROW($1:$8),),ROW($1:$8))+1,1)*10^ROW($1:$8)/10)</f>
        <v>0</v>
      </c>
      <c r="AX1764" s="402" t="e">
        <f>VLOOKUP($AW1764,'Item Master Data'!$A:$F,3,FALSE)</f>
        <v>#N/A</v>
      </c>
      <c r="AY1764" s="402" t="e">
        <f>VLOOKUP($AW1764,'Item Master Data'!$A:$F,6,FALSE)</f>
        <v>#N/A</v>
      </c>
      <c r="AZ1764" s="402" t="e">
        <f t="shared" ref="AZ1764:AZ1785" si="381">X1764/BA1764</f>
        <v>#N/A</v>
      </c>
      <c r="BA1764" s="402" t="e">
        <f>VLOOKUP(AW1764,'Item Master Data'!$A:$G,7,FALSE)</f>
        <v>#N/A</v>
      </c>
      <c r="BC1764" s="402" t="e">
        <f t="shared" ref="BC1764:BC1785" si="382">W1764-AY1764</f>
        <v>#N/A</v>
      </c>
    </row>
    <row r="1765" spans="1:55" s="402" customFormat="1">
      <c r="A1765" s="403"/>
      <c r="B1765" s="446">
        <v>44608</v>
      </c>
      <c r="C1765" s="446">
        <v>44636</v>
      </c>
      <c r="D1765" s="416" t="s">
        <v>2480</v>
      </c>
      <c r="E1765" s="405" t="s">
        <v>2367</v>
      </c>
      <c r="F1765" s="405"/>
      <c r="G1765" s="405">
        <v>2022</v>
      </c>
      <c r="H1765" s="405">
        <v>9</v>
      </c>
      <c r="I1765" s="405" t="s">
        <v>1498</v>
      </c>
      <c r="J1765" s="406"/>
      <c r="K1765" s="414" t="s">
        <v>2774</v>
      </c>
      <c r="L1765" s="405" t="s">
        <v>2765</v>
      </c>
      <c r="M1765" s="418">
        <v>44608</v>
      </c>
      <c r="N1765" s="418">
        <v>44608</v>
      </c>
      <c r="O1765" s="418">
        <v>44805</v>
      </c>
      <c r="P1765" s="406"/>
      <c r="Q1765" s="406"/>
      <c r="R1765" s="406"/>
      <c r="S1765" s="405" t="s">
        <v>1940</v>
      </c>
      <c r="T1765" s="405">
        <v>60</v>
      </c>
      <c r="U1765" s="405"/>
      <c r="V1765" s="405" t="s">
        <v>973</v>
      </c>
      <c r="W1765" s="405">
        <v>400</v>
      </c>
      <c r="X1765" s="407">
        <v>768</v>
      </c>
      <c r="Y1765" s="408">
        <f t="shared" si="370"/>
        <v>307200</v>
      </c>
      <c r="Z1765" s="409">
        <v>0.55000000000000004</v>
      </c>
      <c r="AA1765" s="410">
        <f t="shared" si="377"/>
        <v>168960</v>
      </c>
      <c r="AB1765" s="411"/>
      <c r="AC1765" s="412">
        <f t="shared" si="378"/>
        <v>0</v>
      </c>
      <c r="AD1765" s="421"/>
      <c r="AE1765" s="413"/>
      <c r="AF1765" s="424">
        <f t="shared" si="379"/>
        <v>168960</v>
      </c>
      <c r="AG1765" s="405" t="s">
        <v>1069</v>
      </c>
      <c r="AH1765" s="405"/>
      <c r="AI1765" s="414" t="s">
        <v>1962</v>
      </c>
      <c r="AJ1765" s="405" t="s">
        <v>2494</v>
      </c>
      <c r="AK1765" s="425" t="s">
        <v>1930</v>
      </c>
      <c r="AL1765" s="405">
        <v>80915</v>
      </c>
      <c r="AM1765" s="405" t="s">
        <v>52</v>
      </c>
      <c r="AN1765" s="405"/>
      <c r="AO1765" s="405"/>
      <c r="AP1765" s="417"/>
      <c r="AQ1765" s="417" t="s">
        <v>37</v>
      </c>
      <c r="AR1765" s="417"/>
      <c r="AS1765" s="426"/>
      <c r="AT1765" s="426"/>
      <c r="AU1765" s="409">
        <v>0.5</v>
      </c>
      <c r="AV1765" s="402">
        <f t="shared" si="380"/>
        <v>0</v>
      </c>
      <c r="AW1765" s="402" cm="1">
        <f t="array" ref="AW1765">SUM(MID(0&amp;AV1765,LARGE(INDEX(ISNUMBER(--MID(AV1765,ROW($1:$8),1))*ROW($1:$8),),ROW($1:$8))+1,1)*10^ROW($1:$8)/10)</f>
        <v>0</v>
      </c>
      <c r="AX1765" s="402" t="e">
        <f>VLOOKUP($AW1765,'Item Master Data'!$A:$F,3,FALSE)</f>
        <v>#N/A</v>
      </c>
      <c r="AY1765" s="402" t="e">
        <f>VLOOKUP($AW1765,'Item Master Data'!$A:$F,6,FALSE)</f>
        <v>#N/A</v>
      </c>
      <c r="AZ1765" s="402" t="e">
        <f t="shared" si="381"/>
        <v>#N/A</v>
      </c>
      <c r="BA1765" s="402" t="e">
        <f>VLOOKUP(AW1765,'Item Master Data'!$A:$G,7,FALSE)</f>
        <v>#N/A</v>
      </c>
      <c r="BC1765" s="402" t="e">
        <f t="shared" si="382"/>
        <v>#N/A</v>
      </c>
    </row>
    <row r="1766" spans="1:55" s="402" customFormat="1">
      <c r="A1766" s="403"/>
      <c r="B1766" s="446">
        <v>44690</v>
      </c>
      <c r="C1766" s="446"/>
      <c r="D1766" s="416" t="s">
        <v>2480</v>
      </c>
      <c r="E1766" s="405"/>
      <c r="F1766" s="405"/>
      <c r="G1766" s="405">
        <v>2022</v>
      </c>
      <c r="H1766" s="405">
        <v>9</v>
      </c>
      <c r="I1766" s="405"/>
      <c r="J1766" s="406"/>
      <c r="K1766" s="414" t="s">
        <v>4782</v>
      </c>
      <c r="L1766" s="405" t="s">
        <v>1928</v>
      </c>
      <c r="M1766" s="418">
        <v>44538</v>
      </c>
      <c r="N1766" s="418">
        <v>44805</v>
      </c>
      <c r="O1766" s="418"/>
      <c r="P1766" s="406"/>
      <c r="Q1766" s="406"/>
      <c r="R1766" s="406"/>
      <c r="S1766" s="405" t="s">
        <v>1940</v>
      </c>
      <c r="T1766" s="405">
        <v>60</v>
      </c>
      <c r="U1766" s="405">
        <v>49401140</v>
      </c>
      <c r="V1766" s="405" t="s">
        <v>973</v>
      </c>
      <c r="W1766" s="405">
        <v>400</v>
      </c>
      <c r="X1766" s="407">
        <v>3840</v>
      </c>
      <c r="Y1766" s="408">
        <f t="shared" si="370"/>
        <v>1536000</v>
      </c>
      <c r="Z1766" s="409">
        <v>0.55000000000000004</v>
      </c>
      <c r="AA1766" s="410">
        <f t="shared" si="377"/>
        <v>844800.00000000012</v>
      </c>
      <c r="AB1766" s="411"/>
      <c r="AC1766" s="412">
        <f t="shared" si="378"/>
        <v>0</v>
      </c>
      <c r="AD1766" s="421"/>
      <c r="AE1766" s="413"/>
      <c r="AF1766" s="424">
        <f t="shared" si="379"/>
        <v>844800.00000000012</v>
      </c>
      <c r="AG1766" s="405" t="s">
        <v>1069</v>
      </c>
      <c r="AH1766" s="405"/>
      <c r="AI1766" s="414" t="s">
        <v>1962</v>
      </c>
      <c r="AJ1766" s="405" t="s">
        <v>1946</v>
      </c>
      <c r="AK1766" s="425" t="s">
        <v>1930</v>
      </c>
      <c r="AL1766" s="405">
        <v>80223</v>
      </c>
      <c r="AM1766" s="405" t="s">
        <v>52</v>
      </c>
      <c r="AN1766" s="405" t="s">
        <v>1071</v>
      </c>
      <c r="AO1766" s="405"/>
      <c r="AP1766" s="417"/>
      <c r="AQ1766" s="417" t="s">
        <v>37</v>
      </c>
      <c r="AR1766" s="417"/>
      <c r="AS1766" s="426"/>
      <c r="AT1766" s="426"/>
      <c r="AU1766" s="409"/>
      <c r="AV1766" s="402">
        <f t="shared" si="380"/>
        <v>49401140</v>
      </c>
      <c r="AW1766" s="402" cm="1">
        <f t="array" ref="AW1766">SUM(MID(0&amp;AV1766,LARGE(INDEX(ISNUMBER(--MID(AV1766,ROW($1:$8),1))*ROW($1:$8),),ROW($1:$8))+1,1)*10^ROW($1:$8)/10)</f>
        <v>49401140</v>
      </c>
      <c r="AX1766" s="402" t="str">
        <f>VLOOKUP($AW1766,'Item Master Data'!$A:$F,3,FALSE)</f>
        <v>Q.PEAK DUO BLK ML G10.a+</v>
      </c>
      <c r="AY1766" s="402">
        <f>VLOOKUP($AW1766,'Item Master Data'!$A:$F,6,FALSE)</f>
        <v>400</v>
      </c>
      <c r="AZ1766" s="402">
        <f t="shared" si="381"/>
        <v>120</v>
      </c>
      <c r="BA1766" s="402">
        <f>VLOOKUP(AW1766,'Item Master Data'!$A:$G,7,FALSE)</f>
        <v>32</v>
      </c>
      <c r="BC1766" s="402">
        <f t="shared" si="382"/>
        <v>0</v>
      </c>
    </row>
    <row r="1767" spans="1:55" s="402" customFormat="1">
      <c r="A1767" s="403"/>
      <c r="B1767" s="446">
        <v>44631</v>
      </c>
      <c r="C1767" s="446">
        <v>44631</v>
      </c>
      <c r="D1767" s="416" t="s">
        <v>2480</v>
      </c>
      <c r="E1767" s="405" t="s">
        <v>2484</v>
      </c>
      <c r="F1767" s="405"/>
      <c r="G1767" s="405">
        <v>2022</v>
      </c>
      <c r="H1767" s="405">
        <v>9</v>
      </c>
      <c r="I1767" s="405"/>
      <c r="J1767" s="406"/>
      <c r="K1767" s="414" t="s">
        <v>2678</v>
      </c>
      <c r="L1767" s="405" t="s">
        <v>2489</v>
      </c>
      <c r="M1767" s="418">
        <v>44504</v>
      </c>
      <c r="N1767" s="418">
        <v>44806</v>
      </c>
      <c r="O1767" s="418" t="s">
        <v>1236</v>
      </c>
      <c r="P1767" s="406"/>
      <c r="Q1767" s="406"/>
      <c r="R1767" s="406"/>
      <c r="S1767" s="405" t="s">
        <v>1940</v>
      </c>
      <c r="T1767" s="405">
        <v>60</v>
      </c>
      <c r="U1767" s="405">
        <v>49401140</v>
      </c>
      <c r="V1767" s="405" t="s">
        <v>973</v>
      </c>
      <c r="W1767" s="405">
        <v>400</v>
      </c>
      <c r="X1767" s="407">
        <v>768</v>
      </c>
      <c r="Y1767" s="408">
        <f t="shared" si="370"/>
        <v>307200</v>
      </c>
      <c r="Z1767" s="409">
        <v>0.55000000000000004</v>
      </c>
      <c r="AA1767" s="410">
        <f t="shared" si="377"/>
        <v>168960</v>
      </c>
      <c r="AB1767" s="411"/>
      <c r="AC1767" s="412">
        <f t="shared" si="378"/>
        <v>0</v>
      </c>
      <c r="AD1767" s="421"/>
      <c r="AE1767" s="413"/>
      <c r="AF1767" s="424">
        <f t="shared" si="379"/>
        <v>168960</v>
      </c>
      <c r="AG1767" s="405" t="s">
        <v>1069</v>
      </c>
      <c r="AH1767" s="405"/>
      <c r="AI1767" s="414" t="s">
        <v>1962</v>
      </c>
      <c r="AJ1767" s="405" t="s">
        <v>2490</v>
      </c>
      <c r="AK1767" s="425" t="s">
        <v>1136</v>
      </c>
      <c r="AL1767" s="405">
        <v>79936</v>
      </c>
      <c r="AM1767" s="405" t="s">
        <v>52</v>
      </c>
      <c r="AN1767" s="405"/>
      <c r="AO1767" s="405"/>
      <c r="AP1767" s="417"/>
      <c r="AQ1767" s="417" t="s">
        <v>37</v>
      </c>
      <c r="AR1767" s="417" t="s">
        <v>2491</v>
      </c>
      <c r="AS1767" s="426"/>
      <c r="AT1767" s="426"/>
      <c r="AU1767" s="409">
        <v>0.49</v>
      </c>
      <c r="AV1767" s="402">
        <f t="shared" si="380"/>
        <v>49401140</v>
      </c>
      <c r="AW1767" s="402" cm="1">
        <f t="array" ref="AW1767">SUM(MID(0&amp;AV1767,LARGE(INDEX(ISNUMBER(--MID(AV1767,ROW($1:$8),1))*ROW($1:$8),),ROW($1:$8))+1,1)*10^ROW($1:$8)/10)</f>
        <v>49401140</v>
      </c>
      <c r="AX1767" s="402" t="str">
        <f>VLOOKUP($AW1767,'Item Master Data'!$A:$F,3,FALSE)</f>
        <v>Q.PEAK DUO BLK ML G10.a+</v>
      </c>
      <c r="AY1767" s="402">
        <f>VLOOKUP($AW1767,'Item Master Data'!$A:$F,6,FALSE)</f>
        <v>400</v>
      </c>
      <c r="AZ1767" s="402">
        <f t="shared" si="381"/>
        <v>24</v>
      </c>
      <c r="BA1767" s="402">
        <f>VLOOKUP(AW1767,'Item Master Data'!$A:$G,7,FALSE)</f>
        <v>32</v>
      </c>
      <c r="BC1767" s="402">
        <f t="shared" si="382"/>
        <v>0</v>
      </c>
    </row>
    <row r="1768" spans="1:55" s="402" customFormat="1">
      <c r="A1768" s="403"/>
      <c r="B1768" s="446">
        <v>44644</v>
      </c>
      <c r="C1768" s="446">
        <v>44644</v>
      </c>
      <c r="D1768" s="416" t="s">
        <v>2480</v>
      </c>
      <c r="E1768" s="405" t="s">
        <v>2544</v>
      </c>
      <c r="F1768" s="405"/>
      <c r="G1768" s="405">
        <v>2022</v>
      </c>
      <c r="H1768" s="405">
        <v>9</v>
      </c>
      <c r="I1768" s="405" t="s">
        <v>1498</v>
      </c>
      <c r="J1768" s="406"/>
      <c r="K1768" s="414" t="s">
        <v>2679</v>
      </c>
      <c r="L1768" s="405" t="s">
        <v>2489</v>
      </c>
      <c r="M1768" s="418">
        <v>44644</v>
      </c>
      <c r="N1768" s="418">
        <v>44805</v>
      </c>
      <c r="O1768" s="418"/>
      <c r="P1768" s="406"/>
      <c r="Q1768" s="406"/>
      <c r="R1768" s="406"/>
      <c r="S1768" s="405" t="s">
        <v>1940</v>
      </c>
      <c r="T1768" s="405">
        <v>60</v>
      </c>
      <c r="U1768" s="405"/>
      <c r="V1768" s="405" t="s">
        <v>973</v>
      </c>
      <c r="W1768" s="405">
        <v>400</v>
      </c>
      <c r="X1768" s="407">
        <v>3072</v>
      </c>
      <c r="Y1768" s="408">
        <f t="shared" si="370"/>
        <v>1228800</v>
      </c>
      <c r="Z1768" s="409">
        <v>0.55000000000000004</v>
      </c>
      <c r="AA1768" s="410">
        <f t="shared" si="377"/>
        <v>675840</v>
      </c>
      <c r="AB1768" s="411"/>
      <c r="AC1768" s="412">
        <f t="shared" si="378"/>
        <v>0</v>
      </c>
      <c r="AD1768" s="421"/>
      <c r="AE1768" s="413"/>
      <c r="AF1768" s="424">
        <f t="shared" si="379"/>
        <v>675840</v>
      </c>
      <c r="AG1768" s="405" t="s">
        <v>1069</v>
      </c>
      <c r="AH1768" s="405">
        <v>60</v>
      </c>
      <c r="AI1768" s="414"/>
      <c r="AJ1768" s="405" t="s">
        <v>2651</v>
      </c>
      <c r="AK1768" s="425" t="s">
        <v>1136</v>
      </c>
      <c r="AL1768" s="405">
        <v>79936</v>
      </c>
      <c r="AM1768" s="405" t="s">
        <v>52</v>
      </c>
      <c r="AN1768" s="405"/>
      <c r="AO1768" s="405"/>
      <c r="AP1768" s="417"/>
      <c r="AQ1768" s="417" t="s">
        <v>37</v>
      </c>
      <c r="AR1768" s="417"/>
      <c r="AS1768" s="426"/>
      <c r="AT1768" s="426"/>
      <c r="AU1768" s="409">
        <v>0.5</v>
      </c>
      <c r="AV1768" s="402">
        <f t="shared" si="380"/>
        <v>0</v>
      </c>
      <c r="AW1768" s="402" cm="1">
        <f t="array" ref="AW1768">SUM(MID(0&amp;AV1768,LARGE(INDEX(ISNUMBER(--MID(AV1768,ROW($1:$8),1))*ROW($1:$8),),ROW($1:$8))+1,1)*10^ROW($1:$8)/10)</f>
        <v>0</v>
      </c>
      <c r="AX1768" s="402" t="e">
        <f>VLOOKUP($AW1768,'Item Master Data'!$A:$F,3,FALSE)</f>
        <v>#N/A</v>
      </c>
      <c r="AY1768" s="402" t="e">
        <f>VLOOKUP($AW1768,'Item Master Data'!$A:$F,6,FALSE)</f>
        <v>#N/A</v>
      </c>
      <c r="AZ1768" s="402" t="e">
        <f t="shared" si="381"/>
        <v>#N/A</v>
      </c>
      <c r="BA1768" s="402" t="e">
        <f>VLOOKUP(AW1768,'Item Master Data'!$A:$G,7,FALSE)</f>
        <v>#N/A</v>
      </c>
      <c r="BC1768" s="402" t="e">
        <f t="shared" si="382"/>
        <v>#N/A</v>
      </c>
    </row>
    <row r="1769" spans="1:55" s="402" customFormat="1">
      <c r="A1769" s="403"/>
      <c r="B1769" s="446"/>
      <c r="C1769" s="446"/>
      <c r="D1769" s="416" t="s">
        <v>2480</v>
      </c>
      <c r="E1769" s="405"/>
      <c r="F1769" s="405"/>
      <c r="G1769" s="405">
        <v>2022</v>
      </c>
      <c r="H1769" s="405">
        <v>9</v>
      </c>
      <c r="I1769" s="405"/>
      <c r="J1769" s="406"/>
      <c r="K1769" s="414" t="s">
        <v>2736</v>
      </c>
      <c r="L1769" s="405" t="s">
        <v>2509</v>
      </c>
      <c r="M1769" s="418">
        <v>44516</v>
      </c>
      <c r="N1769" s="418">
        <v>44742</v>
      </c>
      <c r="O1769" s="418"/>
      <c r="P1769" s="406"/>
      <c r="Q1769" s="406"/>
      <c r="R1769" s="406"/>
      <c r="S1769" s="405" t="s">
        <v>1443</v>
      </c>
      <c r="T1769" s="405">
        <v>60</v>
      </c>
      <c r="U1769" s="405">
        <v>49401140</v>
      </c>
      <c r="V1769" s="405" t="s">
        <v>973</v>
      </c>
      <c r="W1769" s="405">
        <v>400</v>
      </c>
      <c r="X1769" s="407">
        <v>544</v>
      </c>
      <c r="Y1769" s="408">
        <f t="shared" si="370"/>
        <v>217600</v>
      </c>
      <c r="Z1769" s="409">
        <f>210/400</f>
        <v>0.52500000000000002</v>
      </c>
      <c r="AA1769" s="410">
        <f t="shared" si="377"/>
        <v>114240</v>
      </c>
      <c r="AB1769" s="411"/>
      <c r="AC1769" s="412">
        <f t="shared" si="378"/>
        <v>0</v>
      </c>
      <c r="AD1769" s="421"/>
      <c r="AE1769" s="413"/>
      <c r="AF1769" s="424">
        <f t="shared" si="379"/>
        <v>114240</v>
      </c>
      <c r="AG1769" s="405" t="s">
        <v>1069</v>
      </c>
      <c r="AH1769" s="405"/>
      <c r="AI1769" s="414">
        <v>60</v>
      </c>
      <c r="AJ1769" s="405" t="s">
        <v>2553</v>
      </c>
      <c r="AK1769" s="425" t="s">
        <v>2554</v>
      </c>
      <c r="AL1769" s="405">
        <v>82007</v>
      </c>
      <c r="AM1769" s="405" t="s">
        <v>52</v>
      </c>
      <c r="AN1769" s="405" t="s">
        <v>1071</v>
      </c>
      <c r="AO1769" s="405"/>
      <c r="AP1769" s="417"/>
      <c r="AQ1769" s="417" t="s">
        <v>37</v>
      </c>
      <c r="AR1769" s="417"/>
      <c r="AS1769" s="426"/>
      <c r="AT1769" s="426"/>
      <c r="AU1769" s="409"/>
      <c r="AV1769" s="402">
        <f t="shared" si="380"/>
        <v>49401140</v>
      </c>
      <c r="AW1769" s="402" cm="1">
        <f t="array" ref="AW1769">SUM(MID(0&amp;AV1769,LARGE(INDEX(ISNUMBER(--MID(AV1769,ROW($1:$8),1))*ROW($1:$8),),ROW($1:$8))+1,1)*10^ROW($1:$8)/10)</f>
        <v>49401140</v>
      </c>
      <c r="AX1769" s="402" t="str">
        <f>VLOOKUP($AW1769,'Item Master Data'!$A:$F,3,FALSE)</f>
        <v>Q.PEAK DUO BLK ML G10.a+</v>
      </c>
      <c r="AY1769" s="402">
        <f>VLOOKUP($AW1769,'Item Master Data'!$A:$F,6,FALSE)</f>
        <v>400</v>
      </c>
      <c r="AZ1769" s="402">
        <f t="shared" si="381"/>
        <v>17</v>
      </c>
      <c r="BA1769" s="402">
        <f>VLOOKUP(AW1769,'Item Master Data'!$A:$G,7,FALSE)</f>
        <v>32</v>
      </c>
      <c r="BC1769" s="402">
        <f t="shared" si="382"/>
        <v>0</v>
      </c>
    </row>
    <row r="1770" spans="1:55" s="402" customFormat="1">
      <c r="A1770" s="403"/>
      <c r="B1770" s="446"/>
      <c r="C1770" s="446"/>
      <c r="D1770" s="416" t="s">
        <v>2480</v>
      </c>
      <c r="E1770" s="405"/>
      <c r="F1770" s="405"/>
      <c r="G1770" s="405">
        <v>2022</v>
      </c>
      <c r="H1770" s="405">
        <v>9</v>
      </c>
      <c r="I1770" s="405"/>
      <c r="J1770" s="406"/>
      <c r="K1770" s="414" t="s">
        <v>2552</v>
      </c>
      <c r="L1770" s="405" t="s">
        <v>2509</v>
      </c>
      <c r="M1770" s="418">
        <v>44516</v>
      </c>
      <c r="N1770" s="418">
        <v>44834</v>
      </c>
      <c r="O1770" s="418"/>
      <c r="P1770" s="406"/>
      <c r="Q1770" s="406"/>
      <c r="R1770" s="406"/>
      <c r="S1770" s="405" t="s">
        <v>1443</v>
      </c>
      <c r="T1770" s="405">
        <v>60</v>
      </c>
      <c r="U1770" s="405">
        <v>49401140</v>
      </c>
      <c r="V1770" s="405" t="s">
        <v>973</v>
      </c>
      <c r="W1770" s="405">
        <v>400</v>
      </c>
      <c r="X1770" s="407">
        <v>544</v>
      </c>
      <c r="Y1770" s="408">
        <f t="shared" si="370"/>
        <v>217600</v>
      </c>
      <c r="Z1770" s="409">
        <f>210/400</f>
        <v>0.52500000000000002</v>
      </c>
      <c r="AA1770" s="410">
        <f t="shared" si="377"/>
        <v>114240</v>
      </c>
      <c r="AB1770" s="411"/>
      <c r="AC1770" s="412">
        <f t="shared" si="378"/>
        <v>0</v>
      </c>
      <c r="AD1770" s="421"/>
      <c r="AE1770" s="413"/>
      <c r="AF1770" s="424">
        <f t="shared" si="379"/>
        <v>114240</v>
      </c>
      <c r="AG1770" s="405" t="s">
        <v>1069</v>
      </c>
      <c r="AH1770" s="405"/>
      <c r="AI1770" s="414">
        <v>60</v>
      </c>
      <c r="AJ1770" s="405" t="s">
        <v>2553</v>
      </c>
      <c r="AK1770" s="425" t="s">
        <v>2554</v>
      </c>
      <c r="AL1770" s="405">
        <v>82007</v>
      </c>
      <c r="AM1770" s="405" t="s">
        <v>52</v>
      </c>
      <c r="AN1770" s="405" t="s">
        <v>1071</v>
      </c>
      <c r="AO1770" s="405"/>
      <c r="AP1770" s="417"/>
      <c r="AQ1770" s="417" t="s">
        <v>37</v>
      </c>
      <c r="AR1770" s="417"/>
      <c r="AS1770" s="426"/>
      <c r="AT1770" s="426"/>
      <c r="AU1770" s="409"/>
      <c r="AV1770" s="402">
        <f t="shared" si="380"/>
        <v>49401140</v>
      </c>
      <c r="AW1770" s="402" cm="1">
        <f t="array" ref="AW1770">SUM(MID(0&amp;AV1770,LARGE(INDEX(ISNUMBER(--MID(AV1770,ROW($1:$8),1))*ROW($1:$8),),ROW($1:$8))+1,1)*10^ROW($1:$8)/10)</f>
        <v>49401140</v>
      </c>
      <c r="AX1770" s="402" t="str">
        <f>VLOOKUP($AW1770,'Item Master Data'!$A:$F,3,FALSE)</f>
        <v>Q.PEAK DUO BLK ML G10.a+</v>
      </c>
      <c r="AY1770" s="402">
        <f>VLOOKUP($AW1770,'Item Master Data'!$A:$F,6,FALSE)</f>
        <v>400</v>
      </c>
      <c r="AZ1770" s="402">
        <f t="shared" si="381"/>
        <v>17</v>
      </c>
      <c r="BA1770" s="402">
        <f>VLOOKUP(AW1770,'Item Master Data'!$A:$G,7,FALSE)</f>
        <v>32</v>
      </c>
      <c r="BC1770" s="402">
        <f t="shared" si="382"/>
        <v>0</v>
      </c>
    </row>
    <row r="1771" spans="1:55" s="402" customFormat="1">
      <c r="A1771" s="403"/>
      <c r="B1771" s="446"/>
      <c r="C1771" s="446"/>
      <c r="D1771" s="416" t="s">
        <v>2480</v>
      </c>
      <c r="E1771" s="405"/>
      <c r="F1771" s="405"/>
      <c r="G1771" s="405">
        <v>2022</v>
      </c>
      <c r="H1771" s="405">
        <v>9</v>
      </c>
      <c r="I1771" s="405"/>
      <c r="J1771" s="406"/>
      <c r="K1771" s="414" t="s">
        <v>2603</v>
      </c>
      <c r="L1771" s="405" t="s">
        <v>2509</v>
      </c>
      <c r="M1771" s="418">
        <v>44516</v>
      </c>
      <c r="N1771" s="418">
        <v>44834</v>
      </c>
      <c r="O1771" s="418"/>
      <c r="P1771" s="406"/>
      <c r="Q1771" s="406"/>
      <c r="R1771" s="406"/>
      <c r="S1771" s="405" t="s">
        <v>1443</v>
      </c>
      <c r="T1771" s="405">
        <v>60</v>
      </c>
      <c r="U1771" s="405">
        <v>49401140</v>
      </c>
      <c r="V1771" s="405" t="s">
        <v>973</v>
      </c>
      <c r="W1771" s="405">
        <v>400</v>
      </c>
      <c r="X1771" s="407">
        <v>512</v>
      </c>
      <c r="Y1771" s="408">
        <f t="shared" si="370"/>
        <v>204800</v>
      </c>
      <c r="Z1771" s="409">
        <f>210/400</f>
        <v>0.52500000000000002</v>
      </c>
      <c r="AA1771" s="410">
        <f t="shared" si="377"/>
        <v>107520</v>
      </c>
      <c r="AB1771" s="411"/>
      <c r="AC1771" s="412">
        <f t="shared" si="378"/>
        <v>0</v>
      </c>
      <c r="AD1771" s="421"/>
      <c r="AE1771" s="413"/>
      <c r="AF1771" s="424">
        <f t="shared" si="379"/>
        <v>107520</v>
      </c>
      <c r="AG1771" s="405" t="s">
        <v>1069</v>
      </c>
      <c r="AH1771" s="405"/>
      <c r="AI1771" s="414">
        <v>60</v>
      </c>
      <c r="AJ1771" s="405" t="s">
        <v>2539</v>
      </c>
      <c r="AK1771" s="425" t="s">
        <v>1930</v>
      </c>
      <c r="AL1771" s="405">
        <v>81001</v>
      </c>
      <c r="AM1771" s="405" t="s">
        <v>52</v>
      </c>
      <c r="AN1771" s="405" t="s">
        <v>1071</v>
      </c>
      <c r="AO1771" s="405"/>
      <c r="AP1771" s="417"/>
      <c r="AQ1771" s="417" t="s">
        <v>37</v>
      </c>
      <c r="AR1771" s="417"/>
      <c r="AS1771" s="426"/>
      <c r="AT1771" s="426"/>
      <c r="AU1771" s="409"/>
      <c r="AV1771" s="402">
        <f t="shared" si="380"/>
        <v>49401140</v>
      </c>
      <c r="AW1771" s="402" cm="1">
        <f t="array" ref="AW1771">SUM(MID(0&amp;AV1771,LARGE(INDEX(ISNUMBER(--MID(AV1771,ROW($1:$8),1))*ROW($1:$8),),ROW($1:$8))+1,1)*10^ROW($1:$8)/10)</f>
        <v>49401140</v>
      </c>
      <c r="AX1771" s="402" t="str">
        <f>VLOOKUP($AW1771,'Item Master Data'!$A:$F,3,FALSE)</f>
        <v>Q.PEAK DUO BLK ML G10.a+</v>
      </c>
      <c r="AY1771" s="402">
        <f>VLOOKUP($AW1771,'Item Master Data'!$A:$F,6,FALSE)</f>
        <v>400</v>
      </c>
      <c r="AZ1771" s="402">
        <f t="shared" si="381"/>
        <v>16</v>
      </c>
      <c r="BA1771" s="402">
        <f>VLOOKUP(AW1771,'Item Master Data'!$A:$G,7,FALSE)</f>
        <v>32</v>
      </c>
      <c r="BC1771" s="402">
        <f t="shared" si="382"/>
        <v>0</v>
      </c>
    </row>
    <row r="1772" spans="1:55" s="402" customFormat="1">
      <c r="A1772" s="403"/>
      <c r="B1772" s="446"/>
      <c r="C1772" s="446"/>
      <c r="D1772" s="416" t="s">
        <v>2480</v>
      </c>
      <c r="E1772" s="405"/>
      <c r="F1772" s="405"/>
      <c r="G1772" s="405">
        <v>2022</v>
      </c>
      <c r="H1772" s="405">
        <v>9</v>
      </c>
      <c r="I1772" s="405"/>
      <c r="J1772" s="406"/>
      <c r="K1772" s="414" t="s">
        <v>2604</v>
      </c>
      <c r="L1772" s="405" t="s">
        <v>2509</v>
      </c>
      <c r="M1772" s="418">
        <v>44516</v>
      </c>
      <c r="N1772" s="418">
        <v>44834</v>
      </c>
      <c r="O1772" s="418"/>
      <c r="P1772" s="406"/>
      <c r="Q1772" s="406"/>
      <c r="R1772" s="406"/>
      <c r="S1772" s="405" t="s">
        <v>1443</v>
      </c>
      <c r="T1772" s="405">
        <v>60</v>
      </c>
      <c r="U1772" s="405">
        <v>49401140</v>
      </c>
      <c r="V1772" s="405" t="s">
        <v>973</v>
      </c>
      <c r="W1772" s="405">
        <v>400</v>
      </c>
      <c r="X1772" s="407">
        <v>768</v>
      </c>
      <c r="Y1772" s="408">
        <f t="shared" si="370"/>
        <v>307200</v>
      </c>
      <c r="Z1772" s="409">
        <f>210/400</f>
        <v>0.52500000000000002</v>
      </c>
      <c r="AA1772" s="410">
        <f t="shared" si="377"/>
        <v>161280</v>
      </c>
      <c r="AB1772" s="411"/>
      <c r="AC1772" s="412">
        <f t="shared" si="378"/>
        <v>0</v>
      </c>
      <c r="AD1772" s="421"/>
      <c r="AE1772" s="413"/>
      <c r="AF1772" s="424">
        <f t="shared" si="379"/>
        <v>161280</v>
      </c>
      <c r="AG1772" s="405" t="s">
        <v>1069</v>
      </c>
      <c r="AH1772" s="405"/>
      <c r="AI1772" s="414">
        <v>60</v>
      </c>
      <c r="AJ1772" s="405" t="s">
        <v>2488</v>
      </c>
      <c r="AK1772" s="425" t="s">
        <v>1930</v>
      </c>
      <c r="AL1772" s="405">
        <v>81505</v>
      </c>
      <c r="AM1772" s="405" t="s">
        <v>52</v>
      </c>
      <c r="AN1772" s="405" t="s">
        <v>1071</v>
      </c>
      <c r="AO1772" s="405"/>
      <c r="AP1772" s="417"/>
      <c r="AQ1772" s="417" t="s">
        <v>37</v>
      </c>
      <c r="AR1772" s="417"/>
      <c r="AS1772" s="426"/>
      <c r="AT1772" s="426"/>
      <c r="AU1772" s="409"/>
      <c r="AV1772" s="402">
        <f t="shared" si="380"/>
        <v>49401140</v>
      </c>
      <c r="AW1772" s="402" cm="1">
        <f t="array" ref="AW1772">SUM(MID(0&amp;AV1772,LARGE(INDEX(ISNUMBER(--MID(AV1772,ROW($1:$8),1))*ROW($1:$8),),ROW($1:$8))+1,1)*10^ROW($1:$8)/10)</f>
        <v>49401140</v>
      </c>
      <c r="AX1772" s="402" t="str">
        <f>VLOOKUP($AW1772,'Item Master Data'!$A:$F,3,FALSE)</f>
        <v>Q.PEAK DUO BLK ML G10.a+</v>
      </c>
      <c r="AY1772" s="402">
        <f>VLOOKUP($AW1772,'Item Master Data'!$A:$F,6,FALSE)</f>
        <v>400</v>
      </c>
      <c r="AZ1772" s="402">
        <f t="shared" si="381"/>
        <v>24</v>
      </c>
      <c r="BA1772" s="402">
        <f>VLOOKUP(AW1772,'Item Master Data'!$A:$G,7,FALSE)</f>
        <v>32</v>
      </c>
      <c r="BC1772" s="402">
        <f t="shared" si="382"/>
        <v>0</v>
      </c>
    </row>
    <row r="1773" spans="1:55" s="402" customFormat="1">
      <c r="A1773" s="403"/>
      <c r="B1773" s="446">
        <v>44658</v>
      </c>
      <c r="C1773" s="446">
        <v>44658</v>
      </c>
      <c r="D1773" s="416" t="s">
        <v>2480</v>
      </c>
      <c r="E1773" s="405" t="s">
        <v>4299</v>
      </c>
      <c r="F1773" s="405"/>
      <c r="G1773" s="405">
        <v>2022</v>
      </c>
      <c r="H1773" s="405">
        <v>9</v>
      </c>
      <c r="I1773" s="405" t="s">
        <v>1498</v>
      </c>
      <c r="J1773" s="406"/>
      <c r="K1773" s="414" t="s">
        <v>2722</v>
      </c>
      <c r="L1773" s="405" t="s">
        <v>2549</v>
      </c>
      <c r="M1773" s="418">
        <v>44577</v>
      </c>
      <c r="N1773" s="418">
        <v>44806</v>
      </c>
      <c r="O1773" s="418"/>
      <c r="P1773" s="406"/>
      <c r="Q1773" s="406"/>
      <c r="R1773" s="406"/>
      <c r="S1773" s="405" t="s">
        <v>1940</v>
      </c>
      <c r="T1773" s="405">
        <v>72</v>
      </c>
      <c r="U1773" s="405"/>
      <c r="V1773" s="405" t="s">
        <v>1050</v>
      </c>
      <c r="W1773" s="405">
        <v>480</v>
      </c>
      <c r="X1773" s="407">
        <v>435</v>
      </c>
      <c r="Y1773" s="408">
        <f t="shared" si="370"/>
        <v>208800</v>
      </c>
      <c r="Z1773" s="409">
        <v>0.47499999999999998</v>
      </c>
      <c r="AA1773" s="410">
        <f t="shared" si="377"/>
        <v>99180</v>
      </c>
      <c r="AB1773" s="411"/>
      <c r="AC1773" s="412">
        <v>0</v>
      </c>
      <c r="AD1773" s="421"/>
      <c r="AE1773" s="413"/>
      <c r="AF1773" s="424">
        <v>99180</v>
      </c>
      <c r="AG1773" s="405" t="s">
        <v>1069</v>
      </c>
      <c r="AH1773" s="405"/>
      <c r="AI1773" s="414">
        <v>60</v>
      </c>
      <c r="AJ1773" s="405" t="s">
        <v>1454</v>
      </c>
      <c r="AK1773" s="425" t="s">
        <v>1136</v>
      </c>
      <c r="AL1773" s="405" t="s">
        <v>2608</v>
      </c>
      <c r="AM1773" s="405" t="s">
        <v>52</v>
      </c>
      <c r="AN1773" s="405"/>
      <c r="AO1773" s="405"/>
      <c r="AP1773" s="417"/>
      <c r="AQ1773" s="417" t="s">
        <v>37</v>
      </c>
      <c r="AR1773" s="417"/>
      <c r="AS1773" s="426"/>
      <c r="AT1773" s="426"/>
      <c r="AU1773" s="409"/>
      <c r="AV1773" s="402">
        <f t="shared" si="380"/>
        <v>0</v>
      </c>
      <c r="AW1773" s="402" cm="1">
        <f t="array" ref="AW1773">SUM(MID(0&amp;AV1773,LARGE(INDEX(ISNUMBER(--MID(AV1773,ROW($1:$8),1))*ROW($1:$8),),ROW($1:$8))+1,1)*10^ROW($1:$8)/10)</f>
        <v>0</v>
      </c>
      <c r="AX1773" s="402" t="e">
        <f>VLOOKUP($AW1773,'Item Master Data'!$A:$F,3,FALSE)</f>
        <v>#N/A</v>
      </c>
      <c r="AY1773" s="402" t="e">
        <f>VLOOKUP($AW1773,'Item Master Data'!$A:$F,6,FALSE)</f>
        <v>#N/A</v>
      </c>
      <c r="AZ1773" s="402" t="e">
        <f t="shared" si="381"/>
        <v>#N/A</v>
      </c>
      <c r="BA1773" s="402" t="e">
        <f>VLOOKUP(AW1773,'Item Master Data'!$A:$G,7,FALSE)</f>
        <v>#N/A</v>
      </c>
      <c r="BC1773" s="402" t="e">
        <f t="shared" si="382"/>
        <v>#N/A</v>
      </c>
    </row>
    <row r="1774" spans="1:55" s="402" customFormat="1">
      <c r="A1774" s="403"/>
      <c r="B1774" s="446">
        <v>44658</v>
      </c>
      <c r="C1774" s="446">
        <v>44658</v>
      </c>
      <c r="D1774" s="416" t="s">
        <v>2480</v>
      </c>
      <c r="E1774" s="405" t="s">
        <v>1239</v>
      </c>
      <c r="F1774" s="405"/>
      <c r="G1774" s="405">
        <v>2022</v>
      </c>
      <c r="H1774" s="405">
        <v>9</v>
      </c>
      <c r="I1774" s="405" t="s">
        <v>1498</v>
      </c>
      <c r="J1774" s="406"/>
      <c r="K1774" s="414" t="s">
        <v>2719</v>
      </c>
      <c r="L1774" s="405" t="s">
        <v>2514</v>
      </c>
      <c r="M1774" s="418">
        <v>44658</v>
      </c>
      <c r="N1774" s="418">
        <v>44805</v>
      </c>
      <c r="O1774" s="418"/>
      <c r="P1774" s="406"/>
      <c r="Q1774" s="406"/>
      <c r="R1774" s="406"/>
      <c r="S1774" s="405" t="s">
        <v>1443</v>
      </c>
      <c r="T1774" s="405">
        <v>72</v>
      </c>
      <c r="U1774" s="405"/>
      <c r="V1774" s="405" t="s">
        <v>2516</v>
      </c>
      <c r="W1774" s="405">
        <v>480</v>
      </c>
      <c r="X1774" s="407">
        <v>696</v>
      </c>
      <c r="Y1774" s="408">
        <f t="shared" si="370"/>
        <v>334080</v>
      </c>
      <c r="Z1774" s="409">
        <v>0.495</v>
      </c>
      <c r="AA1774" s="410">
        <f t="shared" si="377"/>
        <v>165369.60000000001</v>
      </c>
      <c r="AB1774" s="411"/>
      <c r="AC1774" s="412">
        <v>0</v>
      </c>
      <c r="AD1774" s="421"/>
      <c r="AE1774" s="413"/>
      <c r="AF1774" s="424">
        <v>158688</v>
      </c>
      <c r="AG1774" s="405" t="s">
        <v>1069</v>
      </c>
      <c r="AH1774" s="405"/>
      <c r="AI1774" s="414">
        <v>60</v>
      </c>
      <c r="AJ1774" s="405" t="s">
        <v>2517</v>
      </c>
      <c r="AK1774" s="425" t="s">
        <v>50</v>
      </c>
      <c r="AL1774" s="405">
        <v>97005</v>
      </c>
      <c r="AM1774" s="405" t="s">
        <v>52</v>
      </c>
      <c r="AN1774" s="405"/>
      <c r="AO1774" s="405"/>
      <c r="AP1774" s="417"/>
      <c r="AQ1774" s="417" t="s">
        <v>37</v>
      </c>
      <c r="AR1774" s="417"/>
      <c r="AS1774" s="426"/>
      <c r="AT1774" s="426"/>
      <c r="AU1774" s="409"/>
      <c r="AV1774" s="402">
        <f t="shared" si="380"/>
        <v>0</v>
      </c>
      <c r="AW1774" s="402" cm="1">
        <f t="array" ref="AW1774">SUM(MID(0&amp;AV1774,LARGE(INDEX(ISNUMBER(--MID(AV1774,ROW($1:$8),1))*ROW($1:$8),),ROW($1:$8))+1,1)*10^ROW($1:$8)/10)</f>
        <v>0</v>
      </c>
      <c r="AX1774" s="402" t="e">
        <f>VLOOKUP($AW1774,'Item Master Data'!$A:$F,3,FALSE)</f>
        <v>#N/A</v>
      </c>
      <c r="AY1774" s="402" t="e">
        <f>VLOOKUP($AW1774,'Item Master Data'!$A:$F,6,FALSE)</f>
        <v>#N/A</v>
      </c>
      <c r="AZ1774" s="402" t="e">
        <f t="shared" si="381"/>
        <v>#N/A</v>
      </c>
      <c r="BA1774" s="402" t="e">
        <f>VLOOKUP(AW1774,'Item Master Data'!$A:$G,7,FALSE)</f>
        <v>#N/A</v>
      </c>
      <c r="BC1774" s="402" t="e">
        <f t="shared" si="382"/>
        <v>#N/A</v>
      </c>
    </row>
    <row r="1775" spans="1:55" s="402" customFormat="1">
      <c r="A1775" s="403"/>
      <c r="B1775" s="446">
        <v>44635</v>
      </c>
      <c r="C1775" s="446">
        <v>44634</v>
      </c>
      <c r="D1775" s="416" t="s">
        <v>2480</v>
      </c>
      <c r="E1775" s="405" t="s">
        <v>2065</v>
      </c>
      <c r="F1775" s="405"/>
      <c r="G1775" s="405">
        <v>2022</v>
      </c>
      <c r="H1775" s="405">
        <v>10</v>
      </c>
      <c r="I1775" s="405" t="s">
        <v>1498</v>
      </c>
      <c r="J1775" s="406"/>
      <c r="K1775" s="414" t="s">
        <v>2777</v>
      </c>
      <c r="L1775" s="405" t="s">
        <v>2481</v>
      </c>
      <c r="M1775" s="418">
        <v>44568</v>
      </c>
      <c r="N1775" s="418">
        <v>44839</v>
      </c>
      <c r="O1775" s="418"/>
      <c r="P1775" s="406"/>
      <c r="Q1775" s="406"/>
      <c r="R1775" s="406"/>
      <c r="S1775" s="405" t="s">
        <v>1940</v>
      </c>
      <c r="T1775" s="405">
        <v>60</v>
      </c>
      <c r="U1775" s="405"/>
      <c r="V1775" s="405" t="s">
        <v>973</v>
      </c>
      <c r="W1775" s="405">
        <v>400</v>
      </c>
      <c r="X1775" s="407">
        <v>320</v>
      </c>
      <c r="Y1775" s="408">
        <f t="shared" si="370"/>
        <v>128000</v>
      </c>
      <c r="Z1775" s="409">
        <v>0.55000000000000004</v>
      </c>
      <c r="AA1775" s="410">
        <f t="shared" si="377"/>
        <v>70400</v>
      </c>
      <c r="AB1775" s="411"/>
      <c r="AC1775" s="412">
        <f t="shared" ref="AC1775:AC1783" si="383">AB1775*Y1775</f>
        <v>0</v>
      </c>
      <c r="AD1775" s="421"/>
      <c r="AE1775" s="413"/>
      <c r="AF1775" s="424">
        <f t="shared" ref="AF1775:AF1783" si="384">AE1775+AD1775+AA1775</f>
        <v>70400</v>
      </c>
      <c r="AG1775" s="405" t="s">
        <v>47</v>
      </c>
      <c r="AH1775" s="405"/>
      <c r="AI1775" s="414" t="s">
        <v>1937</v>
      </c>
      <c r="AJ1775" s="405" t="s">
        <v>2504</v>
      </c>
      <c r="AK1775" s="425" t="s">
        <v>2505</v>
      </c>
      <c r="AL1775" s="405">
        <v>84115</v>
      </c>
      <c r="AM1775" s="405" t="s">
        <v>52</v>
      </c>
      <c r="AN1775" s="405"/>
      <c r="AO1775" s="405"/>
      <c r="AP1775" s="417"/>
      <c r="AQ1775" s="417" t="s">
        <v>37</v>
      </c>
      <c r="AR1775" s="417"/>
      <c r="AS1775" s="426"/>
      <c r="AT1775" s="426"/>
      <c r="AU1775" s="409">
        <v>0.55000000000000004</v>
      </c>
      <c r="AV1775" s="402">
        <f t="shared" si="380"/>
        <v>0</v>
      </c>
      <c r="AW1775" s="402" cm="1">
        <f t="array" ref="AW1775">SUM(MID(0&amp;AV1775,LARGE(INDEX(ISNUMBER(--MID(AV1775,ROW($1:$8),1))*ROW($1:$8),),ROW($1:$8))+1,1)*10^ROW($1:$8)/10)</f>
        <v>0</v>
      </c>
      <c r="AX1775" s="402" t="e">
        <f>VLOOKUP($AW1775,'Item Master Data'!$A:$F,3,FALSE)</f>
        <v>#N/A</v>
      </c>
      <c r="AY1775" s="402" t="e">
        <f>VLOOKUP($AW1775,'Item Master Data'!$A:$F,6,FALSE)</f>
        <v>#N/A</v>
      </c>
      <c r="AZ1775" s="402" t="e">
        <f t="shared" si="381"/>
        <v>#N/A</v>
      </c>
      <c r="BA1775" s="402" t="e">
        <f>VLOOKUP(AW1775,'Item Master Data'!$A:$G,7,FALSE)</f>
        <v>#N/A</v>
      </c>
      <c r="BC1775" s="402" t="e">
        <f t="shared" si="382"/>
        <v>#N/A</v>
      </c>
    </row>
    <row r="1776" spans="1:55" s="402" customFormat="1">
      <c r="A1776" s="403"/>
      <c r="B1776" s="446">
        <v>44670</v>
      </c>
      <c r="C1776" s="446">
        <v>44616</v>
      </c>
      <c r="D1776" s="416" t="s">
        <v>2480</v>
      </c>
      <c r="E1776" s="405" t="s">
        <v>2767</v>
      </c>
      <c r="F1776" s="405"/>
      <c r="G1776" s="405">
        <v>2022</v>
      </c>
      <c r="H1776" s="405">
        <v>10</v>
      </c>
      <c r="I1776" s="405" t="s">
        <v>1498</v>
      </c>
      <c r="J1776" s="406"/>
      <c r="K1776" s="414" t="s">
        <v>2778</v>
      </c>
      <c r="L1776" s="405" t="s">
        <v>2481</v>
      </c>
      <c r="M1776" s="418">
        <v>44615</v>
      </c>
      <c r="N1776" s="418">
        <v>44840</v>
      </c>
      <c r="O1776" s="418"/>
      <c r="P1776" s="406"/>
      <c r="Q1776" s="406"/>
      <c r="R1776" s="406"/>
      <c r="S1776" s="405" t="s">
        <v>1940</v>
      </c>
      <c r="T1776" s="405">
        <v>60</v>
      </c>
      <c r="U1776" s="405"/>
      <c r="V1776" s="405" t="s">
        <v>973</v>
      </c>
      <c r="W1776" s="405">
        <v>400</v>
      </c>
      <c r="X1776" s="407">
        <v>320</v>
      </c>
      <c r="Y1776" s="408">
        <f t="shared" si="370"/>
        <v>128000</v>
      </c>
      <c r="Z1776" s="409">
        <v>0.55000000000000004</v>
      </c>
      <c r="AA1776" s="410">
        <f t="shared" si="377"/>
        <v>70400</v>
      </c>
      <c r="AB1776" s="411"/>
      <c r="AC1776" s="412">
        <f t="shared" si="383"/>
        <v>0</v>
      </c>
      <c r="AD1776" s="421"/>
      <c r="AE1776" s="413"/>
      <c r="AF1776" s="424">
        <f t="shared" si="384"/>
        <v>70400</v>
      </c>
      <c r="AG1776" s="405" t="s">
        <v>47</v>
      </c>
      <c r="AH1776" s="405"/>
      <c r="AI1776" s="414" t="s">
        <v>1937</v>
      </c>
      <c r="AJ1776" s="405" t="s">
        <v>1941</v>
      </c>
      <c r="AK1776" s="425" t="s">
        <v>1942</v>
      </c>
      <c r="AL1776" s="405">
        <v>87107</v>
      </c>
      <c r="AM1776" s="405" t="s">
        <v>52</v>
      </c>
      <c r="AN1776" s="405"/>
      <c r="AO1776" s="405"/>
      <c r="AP1776" s="417"/>
      <c r="AQ1776" s="417" t="s">
        <v>37</v>
      </c>
      <c r="AR1776" s="417"/>
      <c r="AS1776" s="426"/>
      <c r="AT1776" s="426"/>
      <c r="AU1776" s="409">
        <v>0.55000000000000004</v>
      </c>
      <c r="AV1776" s="402">
        <f t="shared" si="380"/>
        <v>0</v>
      </c>
      <c r="AW1776" s="402" cm="1">
        <f t="array" ref="AW1776">SUM(MID(0&amp;AV1776,LARGE(INDEX(ISNUMBER(--MID(AV1776,ROW($1:$8),1))*ROW($1:$8),),ROW($1:$8))+1,1)*10^ROW($1:$8)/10)</f>
        <v>0</v>
      </c>
      <c r="AX1776" s="402" t="e">
        <f>VLOOKUP($AW1776,'Item Master Data'!$A:$F,3,FALSE)</f>
        <v>#N/A</v>
      </c>
      <c r="AY1776" s="402" t="e">
        <f>VLOOKUP($AW1776,'Item Master Data'!$A:$F,6,FALSE)</f>
        <v>#N/A</v>
      </c>
      <c r="AZ1776" s="402" t="e">
        <f t="shared" si="381"/>
        <v>#N/A</v>
      </c>
      <c r="BA1776" s="402" t="e">
        <f>VLOOKUP(AW1776,'Item Master Data'!$A:$G,7,FALSE)</f>
        <v>#N/A</v>
      </c>
      <c r="BC1776" s="402" t="e">
        <f t="shared" si="382"/>
        <v>#N/A</v>
      </c>
    </row>
    <row r="1777" spans="1:55" s="402" customFormat="1">
      <c r="A1777" s="403"/>
      <c r="B1777" s="446">
        <v>44629</v>
      </c>
      <c r="C1777" s="446">
        <v>44629</v>
      </c>
      <c r="D1777" s="416" t="s">
        <v>2480</v>
      </c>
      <c r="E1777" s="405" t="s">
        <v>2775</v>
      </c>
      <c r="F1777" s="405"/>
      <c r="G1777" s="405">
        <v>2022</v>
      </c>
      <c r="H1777" s="405">
        <v>10</v>
      </c>
      <c r="I1777" s="405" t="s">
        <v>1498</v>
      </c>
      <c r="J1777" s="406"/>
      <c r="K1777" s="414" t="s">
        <v>2780</v>
      </c>
      <c r="L1777" s="405" t="s">
        <v>2481</v>
      </c>
      <c r="M1777" s="418">
        <v>44623</v>
      </c>
      <c r="N1777" s="418">
        <v>44835</v>
      </c>
      <c r="O1777" s="418"/>
      <c r="P1777" s="406"/>
      <c r="Q1777" s="406"/>
      <c r="R1777" s="406"/>
      <c r="S1777" s="405" t="s">
        <v>1940</v>
      </c>
      <c r="T1777" s="405">
        <v>60</v>
      </c>
      <c r="U1777" s="405"/>
      <c r="V1777" s="405" t="s">
        <v>973</v>
      </c>
      <c r="W1777" s="405">
        <v>400</v>
      </c>
      <c r="X1777" s="407">
        <v>6912</v>
      </c>
      <c r="Y1777" s="408">
        <f t="shared" si="370"/>
        <v>2764800</v>
      </c>
      <c r="Z1777" s="409">
        <v>0.57999999999999996</v>
      </c>
      <c r="AA1777" s="410">
        <f t="shared" si="377"/>
        <v>1603584</v>
      </c>
      <c r="AB1777" s="411"/>
      <c r="AC1777" s="412">
        <f t="shared" si="383"/>
        <v>0</v>
      </c>
      <c r="AD1777" s="421"/>
      <c r="AE1777" s="413"/>
      <c r="AF1777" s="424">
        <f t="shared" si="384"/>
        <v>1603584</v>
      </c>
      <c r="AG1777" s="405" t="s">
        <v>47</v>
      </c>
      <c r="AH1777" s="405"/>
      <c r="AI1777" s="414" t="s">
        <v>1937</v>
      </c>
      <c r="AJ1777" s="405"/>
      <c r="AK1777" s="425"/>
      <c r="AL1777" s="405"/>
      <c r="AM1777" s="405" t="s">
        <v>52</v>
      </c>
      <c r="AN1777" s="405"/>
      <c r="AO1777" s="405"/>
      <c r="AP1777" s="417"/>
      <c r="AQ1777" s="417" t="s">
        <v>37</v>
      </c>
      <c r="AR1777" s="417"/>
      <c r="AS1777" s="426"/>
      <c r="AT1777" s="426"/>
      <c r="AU1777" s="409">
        <v>0.55000000000000004</v>
      </c>
      <c r="AV1777" s="402">
        <f t="shared" si="380"/>
        <v>0</v>
      </c>
      <c r="AW1777" s="402" cm="1">
        <f t="array" ref="AW1777">SUM(MID(0&amp;AV1777,LARGE(INDEX(ISNUMBER(--MID(AV1777,ROW($1:$8),1))*ROW($1:$8),),ROW($1:$8))+1,1)*10^ROW($1:$8)/10)</f>
        <v>0</v>
      </c>
      <c r="AX1777" s="402" t="e">
        <f>VLOOKUP($AW1777,'Item Master Data'!$A:$F,3,FALSE)</f>
        <v>#N/A</v>
      </c>
      <c r="AY1777" s="402" t="e">
        <f>VLOOKUP($AW1777,'Item Master Data'!$A:$F,6,FALSE)</f>
        <v>#N/A</v>
      </c>
      <c r="AZ1777" s="402" t="e">
        <f t="shared" si="381"/>
        <v>#N/A</v>
      </c>
      <c r="BA1777" s="402" t="e">
        <f>VLOOKUP(AW1777,'Item Master Data'!$A:$G,7,FALSE)</f>
        <v>#N/A</v>
      </c>
      <c r="BC1777" s="402" t="e">
        <f t="shared" si="382"/>
        <v>#N/A</v>
      </c>
    </row>
    <row r="1778" spans="1:55" s="402" customFormat="1">
      <c r="A1778" s="403"/>
      <c r="B1778" s="446">
        <v>44656</v>
      </c>
      <c r="C1778" s="446">
        <v>44656</v>
      </c>
      <c r="D1778" s="416" t="s">
        <v>2480</v>
      </c>
      <c r="E1778" s="405" t="s">
        <v>2761</v>
      </c>
      <c r="F1778" s="405"/>
      <c r="G1778" s="405">
        <v>2022</v>
      </c>
      <c r="H1778" s="405">
        <v>10</v>
      </c>
      <c r="I1778" s="405"/>
      <c r="J1778" s="406"/>
      <c r="K1778" s="414" t="s">
        <v>2779</v>
      </c>
      <c r="L1778" s="405" t="s">
        <v>2481</v>
      </c>
      <c r="M1778" s="418">
        <v>44655</v>
      </c>
      <c r="N1778" s="418">
        <v>44851</v>
      </c>
      <c r="O1778" s="418"/>
      <c r="P1778" s="406"/>
      <c r="Q1778" s="406"/>
      <c r="R1778" s="406"/>
      <c r="S1778" s="405" t="s">
        <v>1940</v>
      </c>
      <c r="T1778" s="405">
        <v>60</v>
      </c>
      <c r="U1778" s="405"/>
      <c r="V1778" s="405" t="s">
        <v>986</v>
      </c>
      <c r="W1778" s="405">
        <v>365</v>
      </c>
      <c r="X1778" s="407">
        <v>320</v>
      </c>
      <c r="Y1778" s="408">
        <f t="shared" si="370"/>
        <v>116800</v>
      </c>
      <c r="Z1778" s="409">
        <v>0.56000000000000005</v>
      </c>
      <c r="AA1778" s="410">
        <f t="shared" si="377"/>
        <v>65408.000000000007</v>
      </c>
      <c r="AB1778" s="411"/>
      <c r="AC1778" s="412">
        <f t="shared" si="383"/>
        <v>0</v>
      </c>
      <c r="AD1778" s="421"/>
      <c r="AE1778" s="413"/>
      <c r="AF1778" s="424">
        <f t="shared" si="384"/>
        <v>65408.000000000007</v>
      </c>
      <c r="AG1778" s="405" t="s">
        <v>47</v>
      </c>
      <c r="AH1778" s="405"/>
      <c r="AI1778" s="414" t="s">
        <v>1937</v>
      </c>
      <c r="AJ1778" s="405" t="s">
        <v>2763</v>
      </c>
      <c r="AK1778" s="425" t="s">
        <v>1092</v>
      </c>
      <c r="AL1778" s="405">
        <v>1085</v>
      </c>
      <c r="AM1778" s="405" t="s">
        <v>52</v>
      </c>
      <c r="AN1778" s="405"/>
      <c r="AO1778" s="405"/>
      <c r="AP1778" s="417"/>
      <c r="AQ1778" s="417" t="s">
        <v>37</v>
      </c>
      <c r="AR1778" s="417"/>
      <c r="AS1778" s="426"/>
      <c r="AT1778" s="426"/>
      <c r="AU1778" s="409">
        <v>0.55000000000000004</v>
      </c>
      <c r="AV1778" s="402">
        <f t="shared" si="380"/>
        <v>0</v>
      </c>
      <c r="AW1778" s="402" cm="1">
        <f t="array" ref="AW1778">SUM(MID(0&amp;AV1778,LARGE(INDEX(ISNUMBER(--MID(AV1778,ROW($1:$8),1))*ROW($1:$8),),ROW($1:$8))+1,1)*10^ROW($1:$8)/10)</f>
        <v>0</v>
      </c>
      <c r="AX1778" s="402" t="e">
        <f>VLOOKUP($AW1778,'Item Master Data'!$A:$F,3,FALSE)</f>
        <v>#N/A</v>
      </c>
      <c r="AY1778" s="402" t="e">
        <f>VLOOKUP($AW1778,'Item Master Data'!$A:$F,6,FALSE)</f>
        <v>#N/A</v>
      </c>
      <c r="AZ1778" s="402" t="e">
        <f t="shared" si="381"/>
        <v>#N/A</v>
      </c>
      <c r="BA1778" s="402" t="e">
        <f>VLOOKUP(AW1778,'Item Master Data'!$A:$G,7,FALSE)</f>
        <v>#N/A</v>
      </c>
      <c r="BC1778" s="402" t="e">
        <f t="shared" si="382"/>
        <v>#N/A</v>
      </c>
    </row>
    <row r="1779" spans="1:55" s="402" customFormat="1">
      <c r="A1779" s="403"/>
      <c r="B1779" s="445">
        <v>44671</v>
      </c>
      <c r="C1779" s="445">
        <v>44675</v>
      </c>
      <c r="D1779" s="416" t="s">
        <v>2480</v>
      </c>
      <c r="E1779" s="405" t="s">
        <v>4207</v>
      </c>
      <c r="F1779" s="405"/>
      <c r="G1779" s="405">
        <v>2022</v>
      </c>
      <c r="H1779" s="405">
        <v>10</v>
      </c>
      <c r="I1779" s="405" t="s">
        <v>1498</v>
      </c>
      <c r="J1779" s="406"/>
      <c r="K1779" s="414" t="s">
        <v>4208</v>
      </c>
      <c r="L1779" s="405" t="s">
        <v>2485</v>
      </c>
      <c r="M1779" s="418">
        <v>44671</v>
      </c>
      <c r="N1779" s="418">
        <v>44837</v>
      </c>
      <c r="O1779" s="418"/>
      <c r="P1779" s="406"/>
      <c r="Q1779" s="406"/>
      <c r="R1779" s="406"/>
      <c r="S1779" s="405" t="s">
        <v>1940</v>
      </c>
      <c r="T1779" s="405">
        <v>60</v>
      </c>
      <c r="U1779" s="405"/>
      <c r="V1779" s="405" t="s">
        <v>973</v>
      </c>
      <c r="W1779" s="405">
        <v>400</v>
      </c>
      <c r="X1779" s="407">
        <v>7680</v>
      </c>
      <c r="Y1779" s="422">
        <f t="shared" si="370"/>
        <v>3072000</v>
      </c>
      <c r="Z1779" s="409">
        <v>0.64</v>
      </c>
      <c r="AA1779" s="423">
        <f t="shared" si="377"/>
        <v>1966080</v>
      </c>
      <c r="AB1779" s="411"/>
      <c r="AC1779" s="412">
        <f t="shared" si="383"/>
        <v>0</v>
      </c>
      <c r="AD1779" s="421"/>
      <c r="AE1779" s="413"/>
      <c r="AF1779" s="424">
        <f t="shared" si="384"/>
        <v>1966080</v>
      </c>
      <c r="AG1779" s="405" t="s">
        <v>1069</v>
      </c>
      <c r="AH1779" s="405">
        <v>60</v>
      </c>
      <c r="AI1779" s="414"/>
      <c r="AJ1779" s="405" t="s">
        <v>2486</v>
      </c>
      <c r="AK1779" s="425" t="s">
        <v>1136</v>
      </c>
      <c r="AL1779" s="405">
        <v>76011</v>
      </c>
      <c r="AM1779" s="405" t="s">
        <v>52</v>
      </c>
      <c r="AN1779" s="405"/>
      <c r="AO1779" s="405"/>
      <c r="AP1779" s="417"/>
      <c r="AQ1779" s="417" t="s">
        <v>37</v>
      </c>
      <c r="AR1779" s="417"/>
      <c r="AS1779" s="426"/>
      <c r="AT1779" s="426"/>
      <c r="AU1779" s="409">
        <v>0.5</v>
      </c>
      <c r="AV1779" s="402">
        <f t="shared" si="380"/>
        <v>0</v>
      </c>
      <c r="AW1779" s="402" cm="1">
        <f t="array" ref="AW1779">SUM(MID(0&amp;AV1779,LARGE(INDEX(ISNUMBER(--MID(AV1779,ROW($1:$8),1))*ROW($1:$8),),ROW($1:$8))+1,1)*10^ROW($1:$8)/10)</f>
        <v>0</v>
      </c>
      <c r="AX1779" s="402" t="e">
        <f>VLOOKUP($AW1779,'Item Master Data'!$A:$F,3,FALSE)</f>
        <v>#N/A</v>
      </c>
      <c r="AY1779" s="402" t="e">
        <f>VLOOKUP($AW1779,'Item Master Data'!$A:$F,6,FALSE)</f>
        <v>#N/A</v>
      </c>
      <c r="AZ1779" s="402" t="e">
        <f t="shared" si="381"/>
        <v>#N/A</v>
      </c>
      <c r="BA1779" s="402" t="e">
        <f>VLOOKUP(AW1779,'Item Master Data'!$A:$G,7,FALSE)</f>
        <v>#N/A</v>
      </c>
      <c r="BC1779" s="402" t="e">
        <f t="shared" si="382"/>
        <v>#N/A</v>
      </c>
    </row>
    <row r="1780" spans="1:55" s="402" customFormat="1">
      <c r="A1780" s="403"/>
      <c r="B1780" s="446"/>
      <c r="C1780" s="446"/>
      <c r="D1780" s="416" t="s">
        <v>2480</v>
      </c>
      <c r="E1780" s="405" t="s">
        <v>2367</v>
      </c>
      <c r="F1780" s="405"/>
      <c r="G1780" s="405">
        <v>2022</v>
      </c>
      <c r="H1780" s="405">
        <v>10</v>
      </c>
      <c r="I1780" s="405"/>
      <c r="J1780" s="406"/>
      <c r="K1780" s="414" t="s">
        <v>2684</v>
      </c>
      <c r="L1780" s="405" t="s">
        <v>1928</v>
      </c>
      <c r="M1780" s="418">
        <v>44538</v>
      </c>
      <c r="N1780" s="418">
        <v>44835</v>
      </c>
      <c r="O1780" s="418"/>
      <c r="P1780" s="406"/>
      <c r="Q1780" s="406"/>
      <c r="R1780" s="406"/>
      <c r="S1780" s="405" t="s">
        <v>1940</v>
      </c>
      <c r="T1780" s="405">
        <v>60</v>
      </c>
      <c r="U1780" s="405"/>
      <c r="V1780" s="405" t="s">
        <v>985</v>
      </c>
      <c r="W1780" s="405">
        <v>400</v>
      </c>
      <c r="X1780" s="407">
        <v>3840</v>
      </c>
      <c r="Y1780" s="408">
        <f t="shared" si="370"/>
        <v>1536000</v>
      </c>
      <c r="Z1780" s="409">
        <v>0.52</v>
      </c>
      <c r="AA1780" s="410">
        <f t="shared" si="377"/>
        <v>798720</v>
      </c>
      <c r="AB1780" s="411"/>
      <c r="AC1780" s="412">
        <f t="shared" si="383"/>
        <v>0</v>
      </c>
      <c r="AD1780" s="421"/>
      <c r="AE1780" s="413"/>
      <c r="AF1780" s="424">
        <f t="shared" si="384"/>
        <v>798720</v>
      </c>
      <c r="AG1780" s="405" t="s">
        <v>1069</v>
      </c>
      <c r="AH1780" s="405"/>
      <c r="AI1780" s="414" t="s">
        <v>1962</v>
      </c>
      <c r="AJ1780" s="405" t="s">
        <v>1946</v>
      </c>
      <c r="AK1780" s="425" t="s">
        <v>1930</v>
      </c>
      <c r="AL1780" s="405">
        <v>80223</v>
      </c>
      <c r="AM1780" s="405" t="s">
        <v>52</v>
      </c>
      <c r="AN1780" s="405"/>
      <c r="AO1780" s="405"/>
      <c r="AP1780" s="417"/>
      <c r="AQ1780" s="417" t="s">
        <v>37</v>
      </c>
      <c r="AR1780" s="417"/>
      <c r="AS1780" s="426"/>
      <c r="AT1780" s="426"/>
      <c r="AU1780" s="409"/>
      <c r="AV1780" s="402">
        <f t="shared" si="380"/>
        <v>0</v>
      </c>
      <c r="AW1780" s="402" cm="1">
        <f t="array" ref="AW1780">SUM(MID(0&amp;AV1780,LARGE(INDEX(ISNUMBER(--MID(AV1780,ROW($1:$8),1))*ROW($1:$8),),ROW($1:$8))+1,1)*10^ROW($1:$8)/10)</f>
        <v>0</v>
      </c>
      <c r="AX1780" s="402" t="e">
        <f>VLOOKUP($AW1780,'Item Master Data'!$A:$F,3,FALSE)</f>
        <v>#N/A</v>
      </c>
      <c r="AY1780" s="402" t="e">
        <f>VLOOKUP($AW1780,'Item Master Data'!$A:$F,6,FALSE)</f>
        <v>#N/A</v>
      </c>
      <c r="AZ1780" s="402" t="e">
        <f t="shared" si="381"/>
        <v>#N/A</v>
      </c>
      <c r="BA1780" s="402" t="e">
        <f>VLOOKUP(AW1780,'Item Master Data'!$A:$G,7,FALSE)</f>
        <v>#N/A</v>
      </c>
      <c r="BC1780" s="402" t="e">
        <f t="shared" si="382"/>
        <v>#N/A</v>
      </c>
    </row>
    <row r="1781" spans="1:55" s="402" customFormat="1">
      <c r="A1781" s="403"/>
      <c r="B1781" s="446">
        <v>44631</v>
      </c>
      <c r="C1781" s="446">
        <v>44631</v>
      </c>
      <c r="D1781" s="416" t="s">
        <v>2480</v>
      </c>
      <c r="E1781" s="405" t="s">
        <v>2484</v>
      </c>
      <c r="F1781" s="405"/>
      <c r="G1781" s="405">
        <v>2022</v>
      </c>
      <c r="H1781" s="405">
        <v>10</v>
      </c>
      <c r="I1781" s="405"/>
      <c r="J1781" s="406"/>
      <c r="K1781" s="414" t="s">
        <v>4544</v>
      </c>
      <c r="L1781" s="405" t="s">
        <v>2489</v>
      </c>
      <c r="M1781" s="418">
        <v>44504</v>
      </c>
      <c r="N1781" s="418">
        <v>44836</v>
      </c>
      <c r="O1781" s="418" t="s">
        <v>1236</v>
      </c>
      <c r="P1781" s="406"/>
      <c r="Q1781" s="406"/>
      <c r="R1781" s="406"/>
      <c r="S1781" s="405" t="s">
        <v>1940</v>
      </c>
      <c r="T1781" s="405">
        <v>60</v>
      </c>
      <c r="U1781" s="405">
        <v>49401140</v>
      </c>
      <c r="V1781" s="405" t="s">
        <v>973</v>
      </c>
      <c r="W1781" s="405">
        <v>400</v>
      </c>
      <c r="X1781" s="407">
        <v>768</v>
      </c>
      <c r="Y1781" s="408">
        <f t="shared" si="370"/>
        <v>307200</v>
      </c>
      <c r="Z1781" s="409">
        <v>0.55000000000000004</v>
      </c>
      <c r="AA1781" s="410">
        <f t="shared" si="377"/>
        <v>168960</v>
      </c>
      <c r="AB1781" s="411"/>
      <c r="AC1781" s="412">
        <f t="shared" si="383"/>
        <v>0</v>
      </c>
      <c r="AD1781" s="421"/>
      <c r="AE1781" s="413"/>
      <c r="AF1781" s="424">
        <f t="shared" si="384"/>
        <v>168960</v>
      </c>
      <c r="AG1781" s="405" t="s">
        <v>1069</v>
      </c>
      <c r="AH1781" s="405"/>
      <c r="AI1781" s="414" t="s">
        <v>1962</v>
      </c>
      <c r="AJ1781" s="405" t="s">
        <v>2490</v>
      </c>
      <c r="AK1781" s="425" t="s">
        <v>1136</v>
      </c>
      <c r="AL1781" s="405">
        <v>79936</v>
      </c>
      <c r="AM1781" s="405" t="s">
        <v>52</v>
      </c>
      <c r="AN1781" s="405"/>
      <c r="AO1781" s="405"/>
      <c r="AP1781" s="417"/>
      <c r="AQ1781" s="417" t="s">
        <v>37</v>
      </c>
      <c r="AR1781" s="417" t="s">
        <v>2491</v>
      </c>
      <c r="AS1781" s="426"/>
      <c r="AT1781" s="426"/>
      <c r="AU1781" s="409">
        <v>0.49</v>
      </c>
      <c r="AV1781" s="402">
        <f t="shared" si="380"/>
        <v>49401140</v>
      </c>
      <c r="AW1781" s="402" cm="1">
        <f t="array" ref="AW1781">SUM(MID(0&amp;AV1781,LARGE(INDEX(ISNUMBER(--MID(AV1781,ROW($1:$8),1))*ROW($1:$8),),ROW($1:$8))+1,1)*10^ROW($1:$8)/10)</f>
        <v>49401140</v>
      </c>
      <c r="AX1781" s="402" t="str">
        <f>VLOOKUP($AW1781,'Item Master Data'!$A:$F,3,FALSE)</f>
        <v>Q.PEAK DUO BLK ML G10.a+</v>
      </c>
      <c r="AY1781" s="402">
        <f>VLOOKUP($AW1781,'Item Master Data'!$A:$F,6,FALSE)</f>
        <v>400</v>
      </c>
      <c r="AZ1781" s="402">
        <f t="shared" si="381"/>
        <v>24</v>
      </c>
      <c r="BA1781" s="402">
        <f>VLOOKUP(AW1781,'Item Master Data'!$A:$G,7,FALSE)</f>
        <v>32</v>
      </c>
      <c r="BC1781" s="402">
        <f t="shared" si="382"/>
        <v>0</v>
      </c>
    </row>
    <row r="1782" spans="1:55" s="402" customFormat="1">
      <c r="A1782" s="403"/>
      <c r="B1782" s="446">
        <v>44651</v>
      </c>
      <c r="C1782" s="446">
        <v>44651</v>
      </c>
      <c r="D1782" s="416" t="s">
        <v>2480</v>
      </c>
      <c r="E1782" s="405" t="s">
        <v>2367</v>
      </c>
      <c r="F1782" s="405"/>
      <c r="G1782" s="405">
        <v>2022</v>
      </c>
      <c r="H1782" s="405">
        <v>10</v>
      </c>
      <c r="I1782" s="405" t="s">
        <v>1498</v>
      </c>
      <c r="J1782" s="406"/>
      <c r="K1782" s="414" t="s">
        <v>2796</v>
      </c>
      <c r="L1782" s="405" t="s">
        <v>2489</v>
      </c>
      <c r="M1782" s="418">
        <v>44650</v>
      </c>
      <c r="N1782" s="418">
        <v>44835</v>
      </c>
      <c r="O1782" s="418"/>
      <c r="P1782" s="406"/>
      <c r="Q1782" s="406"/>
      <c r="R1782" s="406"/>
      <c r="S1782" s="405" t="s">
        <v>1940</v>
      </c>
      <c r="T1782" s="405">
        <v>60</v>
      </c>
      <c r="U1782" s="405"/>
      <c r="V1782" s="405" t="s">
        <v>973</v>
      </c>
      <c r="W1782" s="405">
        <v>400</v>
      </c>
      <c r="X1782" s="407">
        <v>832</v>
      </c>
      <c r="Y1782" s="408">
        <f t="shared" si="370"/>
        <v>332800</v>
      </c>
      <c r="Z1782" s="409">
        <v>0.55000000000000004</v>
      </c>
      <c r="AA1782" s="410">
        <f t="shared" si="377"/>
        <v>183040.00000000003</v>
      </c>
      <c r="AB1782" s="411"/>
      <c r="AC1782" s="412">
        <f t="shared" si="383"/>
        <v>0</v>
      </c>
      <c r="AD1782" s="421"/>
      <c r="AE1782" s="413"/>
      <c r="AF1782" s="424">
        <f t="shared" si="384"/>
        <v>183040.00000000003</v>
      </c>
      <c r="AG1782" s="405" t="s">
        <v>1069</v>
      </c>
      <c r="AH1782" s="405">
        <v>60</v>
      </c>
      <c r="AI1782" s="414"/>
      <c r="AJ1782" s="405" t="s">
        <v>2490</v>
      </c>
      <c r="AK1782" s="425" t="s">
        <v>1136</v>
      </c>
      <c r="AL1782" s="405">
        <v>79936</v>
      </c>
      <c r="AM1782" s="405" t="s">
        <v>52</v>
      </c>
      <c r="AN1782" s="405"/>
      <c r="AO1782" s="405"/>
      <c r="AP1782" s="417"/>
      <c r="AQ1782" s="417" t="s">
        <v>37</v>
      </c>
      <c r="AR1782" s="417"/>
      <c r="AS1782" s="426"/>
      <c r="AT1782" s="426"/>
      <c r="AU1782" s="409">
        <v>0.5</v>
      </c>
      <c r="AV1782" s="402">
        <f t="shared" si="380"/>
        <v>0</v>
      </c>
      <c r="AW1782" s="402" cm="1">
        <f t="array" ref="AW1782">SUM(MID(0&amp;AV1782,LARGE(INDEX(ISNUMBER(--MID(AV1782,ROW($1:$8),1))*ROW($1:$8),),ROW($1:$8))+1,1)*10^ROW($1:$8)/10)</f>
        <v>0</v>
      </c>
      <c r="AX1782" s="402" t="e">
        <f>VLOOKUP($AW1782,'Item Master Data'!$A:$F,3,FALSE)</f>
        <v>#N/A</v>
      </c>
      <c r="AY1782" s="402" t="e">
        <f>VLOOKUP($AW1782,'Item Master Data'!$A:$F,6,FALSE)</f>
        <v>#N/A</v>
      </c>
      <c r="AZ1782" s="402" t="e">
        <f t="shared" si="381"/>
        <v>#N/A</v>
      </c>
      <c r="BA1782" s="402" t="e">
        <f>VLOOKUP(AW1782,'Item Master Data'!$A:$G,7,FALSE)</f>
        <v>#N/A</v>
      </c>
      <c r="BC1782" s="402" t="e">
        <f t="shared" si="382"/>
        <v>#N/A</v>
      </c>
    </row>
    <row r="1783" spans="1:55" s="402" customFormat="1">
      <c r="A1783" s="403"/>
      <c r="B1783" s="445">
        <v>44672</v>
      </c>
      <c r="C1783" s="445">
        <v>44675</v>
      </c>
      <c r="D1783" s="416" t="s">
        <v>2480</v>
      </c>
      <c r="E1783" s="405"/>
      <c r="F1783" s="405"/>
      <c r="G1783" s="405">
        <v>2022</v>
      </c>
      <c r="H1783" s="405">
        <v>10</v>
      </c>
      <c r="I1783" s="405" t="s">
        <v>1498</v>
      </c>
      <c r="J1783" s="406"/>
      <c r="K1783" s="414" t="s">
        <v>4233</v>
      </c>
      <c r="L1783" s="405" t="s">
        <v>2527</v>
      </c>
      <c r="M1783" s="418">
        <v>44672</v>
      </c>
      <c r="N1783" s="418">
        <v>44835</v>
      </c>
      <c r="O1783" s="418"/>
      <c r="P1783" s="406"/>
      <c r="Q1783" s="406"/>
      <c r="R1783" s="406"/>
      <c r="S1783" s="405" t="s">
        <v>1940</v>
      </c>
      <c r="T1783" s="405">
        <v>60</v>
      </c>
      <c r="U1783" s="405"/>
      <c r="V1783" s="405" t="s">
        <v>973</v>
      </c>
      <c r="W1783" s="405">
        <v>400</v>
      </c>
      <c r="X1783" s="407">
        <v>1664</v>
      </c>
      <c r="Y1783" s="422">
        <f t="shared" si="370"/>
        <v>665600</v>
      </c>
      <c r="Z1783" s="409">
        <v>0.64</v>
      </c>
      <c r="AA1783" s="423">
        <f t="shared" si="377"/>
        <v>425984</v>
      </c>
      <c r="AB1783" s="411"/>
      <c r="AC1783" s="412">
        <f t="shared" si="383"/>
        <v>0</v>
      </c>
      <c r="AD1783" s="421"/>
      <c r="AE1783" s="413"/>
      <c r="AF1783" s="424">
        <f t="shared" si="384"/>
        <v>425984</v>
      </c>
      <c r="AG1783" s="405" t="s">
        <v>1069</v>
      </c>
      <c r="AH1783" s="405"/>
      <c r="AI1783" s="414" t="s">
        <v>1962</v>
      </c>
      <c r="AJ1783" s="405" t="s">
        <v>1941</v>
      </c>
      <c r="AK1783" s="425" t="s">
        <v>1942</v>
      </c>
      <c r="AL1783" s="405">
        <v>87107</v>
      </c>
      <c r="AM1783" s="405" t="s">
        <v>52</v>
      </c>
      <c r="AN1783" s="405"/>
      <c r="AO1783" s="405"/>
      <c r="AP1783" s="417"/>
      <c r="AQ1783" s="417" t="s">
        <v>37</v>
      </c>
      <c r="AR1783" s="417"/>
      <c r="AS1783" s="426"/>
      <c r="AT1783" s="426"/>
      <c r="AU1783" s="409">
        <v>0.45500000000000002</v>
      </c>
      <c r="AV1783" s="402">
        <f t="shared" si="380"/>
        <v>0</v>
      </c>
      <c r="AW1783" s="402" cm="1">
        <f t="array" ref="AW1783">SUM(MID(0&amp;AV1783,LARGE(INDEX(ISNUMBER(--MID(AV1783,ROW($1:$8),1))*ROW($1:$8),),ROW($1:$8))+1,1)*10^ROW($1:$8)/10)</f>
        <v>0</v>
      </c>
      <c r="AX1783" s="402" t="e">
        <f>VLOOKUP($AW1783,'Item Master Data'!$A:$F,3,FALSE)</f>
        <v>#N/A</v>
      </c>
      <c r="AY1783" s="402" t="e">
        <f>VLOOKUP($AW1783,'Item Master Data'!$A:$F,6,FALSE)</f>
        <v>#N/A</v>
      </c>
      <c r="AZ1783" s="402" t="e">
        <f t="shared" si="381"/>
        <v>#N/A</v>
      </c>
      <c r="BA1783" s="402" t="e">
        <f>VLOOKUP(AW1783,'Item Master Data'!$A:$G,7,FALSE)</f>
        <v>#N/A</v>
      </c>
      <c r="BC1783" s="402" t="e">
        <f t="shared" si="382"/>
        <v>#N/A</v>
      </c>
    </row>
    <row r="1784" spans="1:55" s="402" customFormat="1">
      <c r="A1784" s="403"/>
      <c r="B1784" s="446">
        <v>44658</v>
      </c>
      <c r="C1784" s="446">
        <v>44658</v>
      </c>
      <c r="D1784" s="416" t="s">
        <v>2480</v>
      </c>
      <c r="E1784" s="405" t="s">
        <v>1239</v>
      </c>
      <c r="F1784" s="405"/>
      <c r="G1784" s="405">
        <v>2022</v>
      </c>
      <c r="H1784" s="405">
        <v>10</v>
      </c>
      <c r="I1784" s="405" t="s">
        <v>1498</v>
      </c>
      <c r="J1784" s="406"/>
      <c r="K1784" s="414" t="s">
        <v>2733</v>
      </c>
      <c r="L1784" s="405" t="s">
        <v>2514</v>
      </c>
      <c r="M1784" s="418">
        <v>44658</v>
      </c>
      <c r="N1784" s="418">
        <v>44835</v>
      </c>
      <c r="O1784" s="418"/>
      <c r="P1784" s="406"/>
      <c r="Q1784" s="406"/>
      <c r="R1784" s="406"/>
      <c r="S1784" s="405" t="s">
        <v>1443</v>
      </c>
      <c r="T1784" s="405">
        <v>72</v>
      </c>
      <c r="U1784" s="405"/>
      <c r="V1784" s="405" t="s">
        <v>2516</v>
      </c>
      <c r="W1784" s="405">
        <v>480</v>
      </c>
      <c r="X1784" s="407">
        <v>696</v>
      </c>
      <c r="Y1784" s="408">
        <f t="shared" si="370"/>
        <v>334080</v>
      </c>
      <c r="Z1784" s="409">
        <v>0.495</v>
      </c>
      <c r="AA1784" s="410">
        <f t="shared" si="377"/>
        <v>165369.60000000001</v>
      </c>
      <c r="AB1784" s="411"/>
      <c r="AC1784" s="412">
        <v>0</v>
      </c>
      <c r="AD1784" s="421"/>
      <c r="AE1784" s="413"/>
      <c r="AF1784" s="424">
        <v>158688</v>
      </c>
      <c r="AG1784" s="405" t="s">
        <v>1069</v>
      </c>
      <c r="AH1784" s="405"/>
      <c r="AI1784" s="414">
        <v>60</v>
      </c>
      <c r="AJ1784" s="405" t="s">
        <v>2517</v>
      </c>
      <c r="AK1784" s="425" t="s">
        <v>50</v>
      </c>
      <c r="AL1784" s="405">
        <v>97005</v>
      </c>
      <c r="AM1784" s="405" t="s">
        <v>52</v>
      </c>
      <c r="AN1784" s="405"/>
      <c r="AO1784" s="405"/>
      <c r="AP1784" s="417"/>
      <c r="AQ1784" s="417" t="s">
        <v>37</v>
      </c>
      <c r="AR1784" s="417"/>
      <c r="AS1784" s="426"/>
      <c r="AT1784" s="426"/>
      <c r="AU1784" s="409"/>
      <c r="AV1784" s="402">
        <f t="shared" si="380"/>
        <v>0</v>
      </c>
      <c r="AW1784" s="402" cm="1">
        <f t="array" ref="AW1784">SUM(MID(0&amp;AV1784,LARGE(INDEX(ISNUMBER(--MID(AV1784,ROW($1:$8),1))*ROW($1:$8),),ROW($1:$8))+1,1)*10^ROW($1:$8)/10)</f>
        <v>0</v>
      </c>
      <c r="AX1784" s="402" t="e">
        <f>VLOOKUP($AW1784,'Item Master Data'!$A:$F,3,FALSE)</f>
        <v>#N/A</v>
      </c>
      <c r="AY1784" s="402" t="e">
        <f>VLOOKUP($AW1784,'Item Master Data'!$A:$F,6,FALSE)</f>
        <v>#N/A</v>
      </c>
      <c r="AZ1784" s="402" t="e">
        <f t="shared" si="381"/>
        <v>#N/A</v>
      </c>
      <c r="BA1784" s="402" t="e">
        <f>VLOOKUP(AW1784,'Item Master Data'!$A:$G,7,FALSE)</f>
        <v>#N/A</v>
      </c>
      <c r="BC1784" s="402" t="e">
        <f t="shared" si="382"/>
        <v>#N/A</v>
      </c>
    </row>
    <row r="1785" spans="1:55" s="402" customFormat="1">
      <c r="A1785" s="403"/>
      <c r="B1785" s="397"/>
      <c r="C1785" s="397">
        <v>44694</v>
      </c>
      <c r="D1785" s="416" t="s">
        <v>2480</v>
      </c>
      <c r="E1785" s="405"/>
      <c r="F1785" s="405"/>
      <c r="G1785" s="405">
        <v>2022</v>
      </c>
      <c r="H1785" s="405">
        <v>5</v>
      </c>
      <c r="I1785" s="405" t="s">
        <v>1498</v>
      </c>
      <c r="J1785" s="406"/>
      <c r="K1785" s="414" t="s">
        <v>4476</v>
      </c>
      <c r="L1785" s="405" t="s">
        <v>2518</v>
      </c>
      <c r="M1785" s="418">
        <v>44671</v>
      </c>
      <c r="N1785" s="418">
        <v>44697</v>
      </c>
      <c r="O1785" s="418"/>
      <c r="P1785" s="418" t="s">
        <v>4539</v>
      </c>
      <c r="Q1785" s="406"/>
      <c r="R1785" s="406"/>
      <c r="S1785" s="405" t="s">
        <v>1940</v>
      </c>
      <c r="T1785" s="405">
        <v>60</v>
      </c>
      <c r="U1785" s="527" t="s">
        <v>1237</v>
      </c>
      <c r="V1785" s="405" t="s">
        <v>973</v>
      </c>
      <c r="W1785" s="405">
        <v>400</v>
      </c>
      <c r="X1785" s="407">
        <v>2496</v>
      </c>
      <c r="Y1785" s="422">
        <v>998400</v>
      </c>
      <c r="Z1785" s="409">
        <v>0.6</v>
      </c>
      <c r="AA1785" s="423">
        <v>599040</v>
      </c>
      <c r="AB1785" s="411"/>
      <c r="AC1785" s="412">
        <v>0</v>
      </c>
      <c r="AD1785" s="421"/>
      <c r="AE1785" s="413">
        <v>22838.400000000001</v>
      </c>
      <c r="AF1785" s="424">
        <v>621878.4</v>
      </c>
      <c r="AG1785" s="405" t="s">
        <v>47</v>
      </c>
      <c r="AH1785" s="405"/>
      <c r="AI1785" s="414">
        <v>60</v>
      </c>
      <c r="AJ1785" s="405" t="s">
        <v>1584</v>
      </c>
      <c r="AK1785" s="425" t="s">
        <v>50</v>
      </c>
      <c r="AL1785" s="405">
        <v>95826</v>
      </c>
      <c r="AM1785" s="405" t="s">
        <v>52</v>
      </c>
      <c r="AN1785" s="405" t="s">
        <v>50</v>
      </c>
      <c r="AO1785" s="405"/>
      <c r="AP1785" s="417"/>
      <c r="AQ1785" s="417" t="s">
        <v>37</v>
      </c>
      <c r="AR1785" s="417"/>
      <c r="AS1785" s="426"/>
      <c r="AT1785" s="426"/>
      <c r="AU1785" s="409">
        <v>0.48000000000000004</v>
      </c>
      <c r="AV1785" s="402" t="str">
        <f t="shared" si="380"/>
        <v>30390456H</v>
      </c>
      <c r="AW1785" s="402" cm="1">
        <f t="array" ref="AW1785">SUM(MID(0&amp;AV1785,LARGE(INDEX(ISNUMBER(--MID(AV1785,ROW($1:$8),1))*ROW($1:$8),),ROW($1:$8))+1,1)*10^ROW($1:$8)/10)</f>
        <v>30390456</v>
      </c>
      <c r="AX1785" s="402" t="str">
        <f>VLOOKUP($AW1785,'Item Master Data'!$A:$F,3,FALSE)</f>
        <v>Q.PEAK DUO BLK ML G10+</v>
      </c>
      <c r="AY1785" s="402">
        <f>VLOOKUP($AW1785,'Item Master Data'!$A:$F,6,FALSE)</f>
        <v>400</v>
      </c>
      <c r="AZ1785" s="402">
        <f t="shared" si="381"/>
        <v>78</v>
      </c>
      <c r="BA1785" s="402">
        <f>VLOOKUP(AW1785,'Item Master Data'!$A:$G,7,FALSE)</f>
        <v>32</v>
      </c>
      <c r="BC1785" s="402">
        <f t="shared" si="382"/>
        <v>0</v>
      </c>
    </row>
    <row r="1786" spans="1:55" s="402" customFormat="1">
      <c r="A1786" s="403"/>
      <c r="B1786" s="397"/>
      <c r="C1786" s="397">
        <v>44694</v>
      </c>
      <c r="D1786" s="416" t="s">
        <v>2480</v>
      </c>
      <c r="E1786" s="405"/>
      <c r="F1786" s="405"/>
      <c r="G1786" s="405">
        <v>2022</v>
      </c>
      <c r="H1786" s="405">
        <v>6</v>
      </c>
      <c r="I1786" s="405" t="s">
        <v>1498</v>
      </c>
      <c r="J1786" s="406"/>
      <c r="K1786" s="414" t="s">
        <v>4477</v>
      </c>
      <c r="L1786" s="405" t="s">
        <v>2518</v>
      </c>
      <c r="M1786" s="418">
        <v>44671</v>
      </c>
      <c r="N1786" s="418">
        <v>44734</v>
      </c>
      <c r="O1786" s="418"/>
      <c r="P1786" s="406"/>
      <c r="Q1786" s="406"/>
      <c r="R1786" s="406"/>
      <c r="S1786" s="405" t="s">
        <v>1940</v>
      </c>
      <c r="T1786" s="405">
        <v>60</v>
      </c>
      <c r="U1786" s="405"/>
      <c r="V1786" s="405" t="s">
        <v>973</v>
      </c>
      <c r="W1786" s="405">
        <v>400</v>
      </c>
      <c r="X1786" s="407">
        <v>2496</v>
      </c>
      <c r="Y1786" s="422">
        <v>998400</v>
      </c>
      <c r="Z1786" s="409">
        <v>0.6</v>
      </c>
      <c r="AA1786" s="423">
        <v>599040</v>
      </c>
      <c r="AB1786" s="411"/>
      <c r="AC1786" s="412">
        <v>0</v>
      </c>
      <c r="AD1786" s="421"/>
      <c r="AE1786" s="413">
        <v>22838.400000000001</v>
      </c>
      <c r="AF1786" s="424">
        <v>621878.4</v>
      </c>
      <c r="AG1786" s="405" t="s">
        <v>47</v>
      </c>
      <c r="AH1786" s="405"/>
      <c r="AI1786" s="414">
        <v>60</v>
      </c>
      <c r="AJ1786" s="405" t="s">
        <v>1584</v>
      </c>
      <c r="AK1786" s="425" t="s">
        <v>50</v>
      </c>
      <c r="AL1786" s="405">
        <v>95826</v>
      </c>
      <c r="AM1786" s="405" t="s">
        <v>52</v>
      </c>
      <c r="AN1786" s="405"/>
      <c r="AO1786" s="405"/>
      <c r="AP1786" s="417"/>
      <c r="AQ1786" s="417" t="s">
        <v>37</v>
      </c>
      <c r="AR1786" s="417"/>
      <c r="AS1786" s="426"/>
      <c r="AT1786" s="426"/>
      <c r="AU1786" s="409">
        <v>0.48000000000000004</v>
      </c>
    </row>
    <row r="1787" spans="1:55" s="402" customFormat="1">
      <c r="A1787" s="403"/>
      <c r="B1787" s="397"/>
      <c r="C1787" s="397">
        <v>44694</v>
      </c>
      <c r="D1787" s="416" t="s">
        <v>2480</v>
      </c>
      <c r="E1787" s="405"/>
      <c r="F1787" s="405"/>
      <c r="G1787" s="405">
        <v>2022</v>
      </c>
      <c r="H1787" s="405">
        <v>7</v>
      </c>
      <c r="I1787" s="405" t="s">
        <v>1498</v>
      </c>
      <c r="J1787" s="406"/>
      <c r="K1787" s="414" t="s">
        <v>4478</v>
      </c>
      <c r="L1787" s="405" t="s">
        <v>2518</v>
      </c>
      <c r="M1787" s="418">
        <v>44671</v>
      </c>
      <c r="N1787" s="418">
        <v>44762</v>
      </c>
      <c r="O1787" s="418"/>
      <c r="P1787" s="406"/>
      <c r="Q1787" s="406"/>
      <c r="R1787" s="406"/>
      <c r="S1787" s="405" t="s">
        <v>1940</v>
      </c>
      <c r="T1787" s="405">
        <v>60</v>
      </c>
      <c r="U1787" s="405"/>
      <c r="V1787" s="405" t="s">
        <v>973</v>
      </c>
      <c r="W1787" s="405">
        <v>400</v>
      </c>
      <c r="X1787" s="407">
        <v>2496</v>
      </c>
      <c r="Y1787" s="422">
        <v>998400</v>
      </c>
      <c r="Z1787" s="409">
        <v>0.6</v>
      </c>
      <c r="AA1787" s="423">
        <v>599040</v>
      </c>
      <c r="AB1787" s="411"/>
      <c r="AC1787" s="412">
        <v>0</v>
      </c>
      <c r="AD1787" s="421"/>
      <c r="AE1787" s="413">
        <v>22838.400000000001</v>
      </c>
      <c r="AF1787" s="424">
        <v>621878.4</v>
      </c>
      <c r="AG1787" s="405" t="s">
        <v>47</v>
      </c>
      <c r="AH1787" s="405"/>
      <c r="AI1787" s="414">
        <v>60</v>
      </c>
      <c r="AJ1787" s="405" t="s">
        <v>1584</v>
      </c>
      <c r="AK1787" s="425" t="s">
        <v>50</v>
      </c>
      <c r="AL1787" s="405">
        <v>95826</v>
      </c>
      <c r="AM1787" s="405" t="s">
        <v>52</v>
      </c>
      <c r="AN1787" s="405"/>
      <c r="AO1787" s="405"/>
      <c r="AP1787" s="417"/>
      <c r="AQ1787" s="417" t="s">
        <v>37</v>
      </c>
      <c r="AR1787" s="417"/>
      <c r="AS1787" s="426"/>
      <c r="AT1787" s="426"/>
      <c r="AU1787" s="409">
        <v>0.48000000000000004</v>
      </c>
      <c r="AV1787" s="402">
        <f t="shared" ref="AV1787:AV1794" si="385">U1787</f>
        <v>0</v>
      </c>
      <c r="AW1787" s="402" cm="1">
        <f t="array" ref="AW1787">SUM(MID(0&amp;AV1787,LARGE(INDEX(ISNUMBER(--MID(AV1787,ROW($1:$8),1))*ROW($1:$8),),ROW($1:$8))+1,1)*10^ROW($1:$8)/10)</f>
        <v>0</v>
      </c>
      <c r="AX1787" s="402" t="e">
        <f>VLOOKUP($AW1787,'Item Master Data'!$A:$F,3,FALSE)</f>
        <v>#N/A</v>
      </c>
      <c r="AY1787" s="402" t="e">
        <f>VLOOKUP($AW1787,'Item Master Data'!$A:$F,6,FALSE)</f>
        <v>#N/A</v>
      </c>
      <c r="AZ1787" s="402" t="e">
        <f t="shared" ref="AZ1787:AZ1794" si="386">X1787/BA1787</f>
        <v>#N/A</v>
      </c>
      <c r="BA1787" s="402" t="e">
        <f>VLOOKUP(AW1787,'Item Master Data'!$A:$G,7,FALSE)</f>
        <v>#N/A</v>
      </c>
      <c r="BC1787" s="402" t="e">
        <f t="shared" ref="BC1787:BC1794" si="387">W1787-AY1787</f>
        <v>#N/A</v>
      </c>
    </row>
    <row r="1788" spans="1:55" s="402" customFormat="1">
      <c r="A1788" s="403"/>
      <c r="B1788" s="397"/>
      <c r="C1788" s="397">
        <v>44694</v>
      </c>
      <c r="D1788" s="416" t="s">
        <v>2480</v>
      </c>
      <c r="E1788" s="405"/>
      <c r="F1788" s="405"/>
      <c r="G1788" s="405">
        <v>2022</v>
      </c>
      <c r="H1788" s="405">
        <v>8</v>
      </c>
      <c r="I1788" s="405" t="s">
        <v>1498</v>
      </c>
      <c r="J1788" s="406"/>
      <c r="K1788" s="414" t="s">
        <v>4479</v>
      </c>
      <c r="L1788" s="405" t="s">
        <v>2518</v>
      </c>
      <c r="M1788" s="418">
        <v>44671</v>
      </c>
      <c r="N1788" s="418">
        <v>44797</v>
      </c>
      <c r="O1788" s="418"/>
      <c r="P1788" s="406"/>
      <c r="Q1788" s="406"/>
      <c r="R1788" s="406"/>
      <c r="S1788" s="405" t="s">
        <v>1940</v>
      </c>
      <c r="T1788" s="405">
        <v>60</v>
      </c>
      <c r="U1788" s="405"/>
      <c r="V1788" s="405" t="s">
        <v>973</v>
      </c>
      <c r="W1788" s="405">
        <v>400</v>
      </c>
      <c r="X1788" s="407">
        <v>2496</v>
      </c>
      <c r="Y1788" s="422">
        <v>998400</v>
      </c>
      <c r="Z1788" s="409">
        <v>0.6</v>
      </c>
      <c r="AA1788" s="423">
        <v>599040</v>
      </c>
      <c r="AB1788" s="411"/>
      <c r="AC1788" s="412">
        <v>0</v>
      </c>
      <c r="AD1788" s="421"/>
      <c r="AE1788" s="413">
        <v>22838.400000000001</v>
      </c>
      <c r="AF1788" s="424">
        <v>621878.4</v>
      </c>
      <c r="AG1788" s="405" t="s">
        <v>47</v>
      </c>
      <c r="AH1788" s="405"/>
      <c r="AI1788" s="414">
        <v>60</v>
      </c>
      <c r="AJ1788" s="405" t="s">
        <v>1584</v>
      </c>
      <c r="AK1788" s="425" t="s">
        <v>50</v>
      </c>
      <c r="AL1788" s="405">
        <v>95826</v>
      </c>
      <c r="AM1788" s="405" t="s">
        <v>52</v>
      </c>
      <c r="AN1788" s="405"/>
      <c r="AO1788" s="405"/>
      <c r="AP1788" s="417"/>
      <c r="AQ1788" s="417" t="s">
        <v>37</v>
      </c>
      <c r="AR1788" s="417"/>
      <c r="AS1788" s="426"/>
      <c r="AT1788" s="426"/>
      <c r="AU1788" s="409">
        <v>0.48000000000000004</v>
      </c>
      <c r="AV1788" s="402">
        <f t="shared" si="385"/>
        <v>0</v>
      </c>
      <c r="AW1788" s="402" cm="1">
        <f t="array" ref="AW1788">SUM(MID(0&amp;AV1788,LARGE(INDEX(ISNUMBER(--MID(AV1788,ROW($1:$8),1))*ROW($1:$8),),ROW($1:$8))+1,1)*10^ROW($1:$8)/10)</f>
        <v>0</v>
      </c>
      <c r="AX1788" s="402" t="e">
        <f>VLOOKUP($AW1788,'Item Master Data'!$A:$F,3,FALSE)</f>
        <v>#N/A</v>
      </c>
      <c r="AY1788" s="402" t="e">
        <f>VLOOKUP($AW1788,'Item Master Data'!$A:$F,6,FALSE)</f>
        <v>#N/A</v>
      </c>
      <c r="AZ1788" s="402" t="e">
        <f t="shared" si="386"/>
        <v>#N/A</v>
      </c>
      <c r="BA1788" s="402" t="e">
        <f>VLOOKUP(AW1788,'Item Master Data'!$A:$G,7,FALSE)</f>
        <v>#N/A</v>
      </c>
      <c r="BC1788" s="402" t="e">
        <f t="shared" si="387"/>
        <v>#N/A</v>
      </c>
    </row>
    <row r="1789" spans="1:55" s="402" customFormat="1">
      <c r="A1789" s="403"/>
      <c r="B1789" s="397"/>
      <c r="C1789" s="397">
        <v>44694</v>
      </c>
      <c r="D1789" s="416" t="s">
        <v>2480</v>
      </c>
      <c r="E1789" s="405"/>
      <c r="F1789" s="405"/>
      <c r="G1789" s="405">
        <v>2022</v>
      </c>
      <c r="H1789" s="405">
        <v>9</v>
      </c>
      <c r="I1789" s="405" t="s">
        <v>1498</v>
      </c>
      <c r="J1789" s="406"/>
      <c r="K1789" s="414" t="s">
        <v>4480</v>
      </c>
      <c r="L1789" s="405" t="s">
        <v>2518</v>
      </c>
      <c r="M1789" s="418">
        <v>44671</v>
      </c>
      <c r="N1789" s="418">
        <v>44825</v>
      </c>
      <c r="O1789" s="418"/>
      <c r="P1789" s="406"/>
      <c r="Q1789" s="406"/>
      <c r="R1789" s="406"/>
      <c r="S1789" s="405" t="s">
        <v>1940</v>
      </c>
      <c r="T1789" s="405">
        <v>60</v>
      </c>
      <c r="U1789" s="405"/>
      <c r="V1789" s="405" t="s">
        <v>973</v>
      </c>
      <c r="W1789" s="405">
        <v>400</v>
      </c>
      <c r="X1789" s="407">
        <v>2496</v>
      </c>
      <c r="Y1789" s="422">
        <v>998400</v>
      </c>
      <c r="Z1789" s="409">
        <v>0.6</v>
      </c>
      <c r="AA1789" s="423">
        <v>599040</v>
      </c>
      <c r="AB1789" s="411"/>
      <c r="AC1789" s="412">
        <v>0</v>
      </c>
      <c r="AD1789" s="421"/>
      <c r="AE1789" s="413">
        <v>22838.400000000001</v>
      </c>
      <c r="AF1789" s="424">
        <v>621878.4</v>
      </c>
      <c r="AG1789" s="405" t="s">
        <v>47</v>
      </c>
      <c r="AH1789" s="405"/>
      <c r="AI1789" s="414">
        <v>60</v>
      </c>
      <c r="AJ1789" s="405" t="s">
        <v>1584</v>
      </c>
      <c r="AK1789" s="425" t="s">
        <v>50</v>
      </c>
      <c r="AL1789" s="405">
        <v>95826</v>
      </c>
      <c r="AM1789" s="405" t="s">
        <v>52</v>
      </c>
      <c r="AN1789" s="405"/>
      <c r="AO1789" s="405"/>
      <c r="AP1789" s="417"/>
      <c r="AQ1789" s="417" t="s">
        <v>37</v>
      </c>
      <c r="AR1789" s="417"/>
      <c r="AS1789" s="426"/>
      <c r="AT1789" s="426"/>
      <c r="AU1789" s="409">
        <v>0.48000000000000004</v>
      </c>
      <c r="AV1789" s="402">
        <f t="shared" si="385"/>
        <v>0</v>
      </c>
      <c r="AW1789" s="402" cm="1">
        <f t="array" ref="AW1789">SUM(MID(0&amp;AV1789,LARGE(INDEX(ISNUMBER(--MID(AV1789,ROW($1:$8),1))*ROW($1:$8),),ROW($1:$8))+1,1)*10^ROW($1:$8)/10)</f>
        <v>0</v>
      </c>
      <c r="AX1789" s="402" t="e">
        <f>VLOOKUP($AW1789,'Item Master Data'!$A:$F,3,FALSE)</f>
        <v>#N/A</v>
      </c>
      <c r="AY1789" s="402" t="e">
        <f>VLOOKUP($AW1789,'Item Master Data'!$A:$F,6,FALSE)</f>
        <v>#N/A</v>
      </c>
      <c r="AZ1789" s="402" t="e">
        <f t="shared" si="386"/>
        <v>#N/A</v>
      </c>
      <c r="BA1789" s="402" t="e">
        <f>VLOOKUP(AW1789,'Item Master Data'!$A:$G,7,FALSE)</f>
        <v>#N/A</v>
      </c>
      <c r="BC1789" s="402" t="e">
        <f t="shared" si="387"/>
        <v>#N/A</v>
      </c>
    </row>
    <row r="1790" spans="1:55" s="402" customFormat="1">
      <c r="A1790" s="403"/>
      <c r="B1790" s="397"/>
      <c r="C1790" s="397">
        <v>44694</v>
      </c>
      <c r="D1790" s="416" t="s">
        <v>2480</v>
      </c>
      <c r="E1790" s="405"/>
      <c r="F1790" s="405"/>
      <c r="G1790" s="405">
        <v>2022</v>
      </c>
      <c r="H1790" s="405">
        <v>10</v>
      </c>
      <c r="I1790" s="405" t="s">
        <v>1498</v>
      </c>
      <c r="J1790" s="406"/>
      <c r="K1790" s="414" t="s">
        <v>5004</v>
      </c>
      <c r="L1790" s="405" t="s">
        <v>2518</v>
      </c>
      <c r="M1790" s="418">
        <v>44671</v>
      </c>
      <c r="N1790" s="418">
        <v>44853</v>
      </c>
      <c r="O1790" s="418"/>
      <c r="P1790" s="406"/>
      <c r="Q1790" s="406"/>
      <c r="R1790" s="406"/>
      <c r="S1790" s="405" t="s">
        <v>1940</v>
      </c>
      <c r="T1790" s="405">
        <v>60</v>
      </c>
      <c r="U1790" s="405"/>
      <c r="V1790" s="405" t="s">
        <v>973</v>
      </c>
      <c r="W1790" s="405">
        <v>400</v>
      </c>
      <c r="X1790" s="407">
        <v>2496</v>
      </c>
      <c r="Y1790" s="422">
        <v>998400</v>
      </c>
      <c r="Z1790" s="409">
        <v>0.6</v>
      </c>
      <c r="AA1790" s="423">
        <v>599040</v>
      </c>
      <c r="AB1790" s="411"/>
      <c r="AC1790" s="412">
        <v>0</v>
      </c>
      <c r="AD1790" s="421"/>
      <c r="AE1790" s="413">
        <v>45676.800000000003</v>
      </c>
      <c r="AF1790" s="424">
        <v>644716.80000000005</v>
      </c>
      <c r="AG1790" s="405" t="s">
        <v>47</v>
      </c>
      <c r="AH1790" s="405"/>
      <c r="AI1790" s="414">
        <v>60</v>
      </c>
      <c r="AJ1790" s="405" t="s">
        <v>1584</v>
      </c>
      <c r="AK1790" s="425" t="s">
        <v>50</v>
      </c>
      <c r="AL1790" s="405">
        <v>95826</v>
      </c>
      <c r="AM1790" s="405" t="s">
        <v>52</v>
      </c>
      <c r="AN1790" s="405"/>
      <c r="AO1790" s="405"/>
      <c r="AP1790" s="417"/>
      <c r="AQ1790" s="417" t="s">
        <v>37</v>
      </c>
      <c r="AR1790" s="417"/>
      <c r="AS1790" s="426"/>
      <c r="AT1790" s="426"/>
      <c r="AU1790" s="409">
        <v>0.48000000000000004</v>
      </c>
      <c r="AV1790" s="402">
        <f t="shared" si="385"/>
        <v>0</v>
      </c>
      <c r="AW1790" s="402" cm="1">
        <f t="array" ref="AW1790">SUM(MID(0&amp;AV1790,LARGE(INDEX(ISNUMBER(--MID(AV1790,ROW($1:$8),1))*ROW($1:$8),),ROW($1:$8))+1,1)*10^ROW($1:$8)/10)</f>
        <v>0</v>
      </c>
      <c r="AX1790" s="402" t="e">
        <f>VLOOKUP($AW1790,'Item Master Data'!$A:$F,3,FALSE)</f>
        <v>#N/A</v>
      </c>
      <c r="AY1790" s="402" t="e">
        <f>VLOOKUP($AW1790,'Item Master Data'!$A:$F,6,FALSE)</f>
        <v>#N/A</v>
      </c>
      <c r="AZ1790" s="402" t="e">
        <f t="shared" si="386"/>
        <v>#N/A</v>
      </c>
      <c r="BA1790" s="402" t="e">
        <f>VLOOKUP(AW1790,'Item Master Data'!$A:$G,7,FALSE)</f>
        <v>#N/A</v>
      </c>
      <c r="BC1790" s="402" t="e">
        <f t="shared" si="387"/>
        <v>#N/A</v>
      </c>
    </row>
    <row r="1791" spans="1:55" s="402" customFormat="1">
      <c r="A1791" s="403"/>
      <c r="B1791" s="397"/>
      <c r="C1791" s="397">
        <v>44694</v>
      </c>
      <c r="D1791" s="416" t="s">
        <v>2480</v>
      </c>
      <c r="E1791" s="405"/>
      <c r="F1791" s="405"/>
      <c r="G1791" s="405">
        <v>2022</v>
      </c>
      <c r="H1791" s="405">
        <v>11</v>
      </c>
      <c r="I1791" s="405" t="s">
        <v>1498</v>
      </c>
      <c r="J1791" s="406"/>
      <c r="K1791" s="414" t="s">
        <v>5005</v>
      </c>
      <c r="L1791" s="405" t="s">
        <v>2518</v>
      </c>
      <c r="M1791" s="418">
        <v>44671</v>
      </c>
      <c r="N1791" s="418">
        <v>44881</v>
      </c>
      <c r="O1791" s="418"/>
      <c r="P1791" s="406"/>
      <c r="Q1791" s="406"/>
      <c r="R1791" s="406"/>
      <c r="S1791" s="405" t="s">
        <v>1940</v>
      </c>
      <c r="T1791" s="405">
        <v>60</v>
      </c>
      <c r="U1791" s="405"/>
      <c r="V1791" s="405" t="s">
        <v>973</v>
      </c>
      <c r="W1791" s="405">
        <v>400</v>
      </c>
      <c r="X1791" s="407">
        <v>2496</v>
      </c>
      <c r="Y1791" s="422">
        <v>998400</v>
      </c>
      <c r="Z1791" s="409">
        <v>0.6</v>
      </c>
      <c r="AA1791" s="423">
        <v>599040</v>
      </c>
      <c r="AB1791" s="411"/>
      <c r="AC1791" s="412">
        <v>0</v>
      </c>
      <c r="AD1791" s="421"/>
      <c r="AE1791" s="413">
        <v>45676.800000000003</v>
      </c>
      <c r="AF1791" s="424">
        <v>644716.80000000005</v>
      </c>
      <c r="AG1791" s="405" t="s">
        <v>47</v>
      </c>
      <c r="AH1791" s="405"/>
      <c r="AI1791" s="414">
        <v>60</v>
      </c>
      <c r="AJ1791" s="405" t="s">
        <v>1584</v>
      </c>
      <c r="AK1791" s="425" t="s">
        <v>50</v>
      </c>
      <c r="AL1791" s="405">
        <v>95826</v>
      </c>
      <c r="AM1791" s="405" t="s">
        <v>52</v>
      </c>
      <c r="AN1791" s="405"/>
      <c r="AO1791" s="405"/>
      <c r="AP1791" s="417"/>
      <c r="AQ1791" s="417" t="s">
        <v>37</v>
      </c>
      <c r="AR1791" s="417"/>
      <c r="AS1791" s="426"/>
      <c r="AT1791" s="426"/>
      <c r="AU1791" s="409">
        <v>0.48000000000000004</v>
      </c>
      <c r="AV1791" s="402">
        <f t="shared" si="385"/>
        <v>0</v>
      </c>
      <c r="AW1791" s="402" cm="1">
        <f t="array" ref="AW1791">SUM(MID(0&amp;AV1791,LARGE(INDEX(ISNUMBER(--MID(AV1791,ROW($1:$8),1))*ROW($1:$8),),ROW($1:$8))+1,1)*10^ROW($1:$8)/10)</f>
        <v>0</v>
      </c>
      <c r="AX1791" s="402" t="e">
        <f>VLOOKUP($AW1791,'Item Master Data'!$A:$F,3,FALSE)</f>
        <v>#N/A</v>
      </c>
      <c r="AY1791" s="402" t="e">
        <f>VLOOKUP($AW1791,'Item Master Data'!$A:$F,6,FALSE)</f>
        <v>#N/A</v>
      </c>
      <c r="AZ1791" s="402" t="e">
        <f t="shared" si="386"/>
        <v>#N/A</v>
      </c>
      <c r="BA1791" s="402" t="e">
        <f>VLOOKUP(AW1791,'Item Master Data'!$A:$G,7,FALSE)</f>
        <v>#N/A</v>
      </c>
      <c r="BC1791" s="402" t="e">
        <f t="shared" si="387"/>
        <v>#N/A</v>
      </c>
    </row>
    <row r="1792" spans="1:55" s="402" customFormat="1">
      <c r="A1792" s="403"/>
      <c r="B1792" s="397"/>
      <c r="C1792" s="397">
        <v>44694</v>
      </c>
      <c r="D1792" s="416" t="s">
        <v>2480</v>
      </c>
      <c r="E1792" s="405"/>
      <c r="F1792" s="405"/>
      <c r="G1792" s="405">
        <v>2022</v>
      </c>
      <c r="H1792" s="405">
        <v>12</v>
      </c>
      <c r="I1792" s="405" t="s">
        <v>1498</v>
      </c>
      <c r="J1792" s="406"/>
      <c r="K1792" s="414" t="s">
        <v>5006</v>
      </c>
      <c r="L1792" s="405" t="s">
        <v>2518</v>
      </c>
      <c r="M1792" s="418">
        <v>44671</v>
      </c>
      <c r="N1792" s="418">
        <v>44909</v>
      </c>
      <c r="O1792" s="418"/>
      <c r="P1792" s="406"/>
      <c r="Q1792" s="406"/>
      <c r="R1792" s="406"/>
      <c r="S1792" s="405" t="s">
        <v>1940</v>
      </c>
      <c r="T1792" s="405">
        <v>60</v>
      </c>
      <c r="U1792" s="405"/>
      <c r="V1792" s="405" t="s">
        <v>973</v>
      </c>
      <c r="W1792" s="405">
        <v>400</v>
      </c>
      <c r="X1792" s="407">
        <v>2496</v>
      </c>
      <c r="Y1792" s="422">
        <v>998400</v>
      </c>
      <c r="Z1792" s="409">
        <v>0.6</v>
      </c>
      <c r="AA1792" s="423">
        <v>599040</v>
      </c>
      <c r="AB1792" s="411"/>
      <c r="AC1792" s="412">
        <v>0</v>
      </c>
      <c r="AD1792" s="421"/>
      <c r="AE1792" s="413">
        <v>45676.800000000003</v>
      </c>
      <c r="AF1792" s="424">
        <v>644716.80000000005</v>
      </c>
      <c r="AG1792" s="405" t="s">
        <v>47</v>
      </c>
      <c r="AH1792" s="405"/>
      <c r="AI1792" s="414">
        <v>60</v>
      </c>
      <c r="AJ1792" s="405" t="s">
        <v>1584</v>
      </c>
      <c r="AK1792" s="425" t="s">
        <v>50</v>
      </c>
      <c r="AL1792" s="405">
        <v>95826</v>
      </c>
      <c r="AM1792" s="405" t="s">
        <v>52</v>
      </c>
      <c r="AN1792" s="405"/>
      <c r="AO1792" s="405"/>
      <c r="AP1792" s="417"/>
      <c r="AQ1792" s="417" t="s">
        <v>37</v>
      </c>
      <c r="AR1792" s="417"/>
      <c r="AS1792" s="426"/>
      <c r="AT1792" s="426"/>
      <c r="AU1792" s="409">
        <v>0.48000000000000004</v>
      </c>
      <c r="AV1792" s="402">
        <f t="shared" si="385"/>
        <v>0</v>
      </c>
      <c r="AW1792" s="402" cm="1">
        <f t="array" ref="AW1792">SUM(MID(0&amp;AV1792,LARGE(INDEX(ISNUMBER(--MID(AV1792,ROW($1:$8),1))*ROW($1:$8),),ROW($1:$8))+1,1)*10^ROW($1:$8)/10)</f>
        <v>0</v>
      </c>
      <c r="AX1792" s="402" t="e">
        <f>VLOOKUP($AW1792,'Item Master Data'!$A:$F,3,FALSE)</f>
        <v>#N/A</v>
      </c>
      <c r="AY1792" s="402" t="e">
        <f>VLOOKUP($AW1792,'Item Master Data'!$A:$F,6,FALSE)</f>
        <v>#N/A</v>
      </c>
      <c r="AZ1792" s="402" t="e">
        <f t="shared" si="386"/>
        <v>#N/A</v>
      </c>
      <c r="BA1792" s="402" t="e">
        <f>VLOOKUP(AW1792,'Item Master Data'!$A:$G,7,FALSE)</f>
        <v>#N/A</v>
      </c>
      <c r="BC1792" s="402" t="e">
        <f t="shared" si="387"/>
        <v>#N/A</v>
      </c>
    </row>
    <row r="1793" spans="1:55" s="402" customFormat="1">
      <c r="A1793" s="403"/>
      <c r="B1793" s="446">
        <v>44635</v>
      </c>
      <c r="C1793" s="446">
        <v>44634</v>
      </c>
      <c r="D1793" s="416" t="s">
        <v>2480</v>
      </c>
      <c r="E1793" s="405" t="s">
        <v>2065</v>
      </c>
      <c r="F1793" s="405"/>
      <c r="G1793" s="405">
        <v>2022</v>
      </c>
      <c r="H1793" s="405">
        <v>11</v>
      </c>
      <c r="I1793" s="405" t="s">
        <v>1498</v>
      </c>
      <c r="J1793" s="406"/>
      <c r="K1793" s="414" t="s">
        <v>2781</v>
      </c>
      <c r="L1793" s="405" t="s">
        <v>2481</v>
      </c>
      <c r="M1793" s="418">
        <v>44568</v>
      </c>
      <c r="N1793" s="418">
        <v>44866</v>
      </c>
      <c r="O1793" s="418"/>
      <c r="P1793" s="406"/>
      <c r="Q1793" s="406"/>
      <c r="R1793" s="406"/>
      <c r="S1793" s="405" t="s">
        <v>1940</v>
      </c>
      <c r="T1793" s="405">
        <v>60</v>
      </c>
      <c r="U1793" s="405"/>
      <c r="V1793" s="405" t="s">
        <v>973</v>
      </c>
      <c r="W1793" s="405">
        <v>400</v>
      </c>
      <c r="X1793" s="407">
        <v>320</v>
      </c>
      <c r="Y1793" s="408">
        <f t="shared" si="370"/>
        <v>128000</v>
      </c>
      <c r="Z1793" s="409">
        <v>0.55000000000000004</v>
      </c>
      <c r="AA1793" s="410">
        <f t="shared" si="377"/>
        <v>70400</v>
      </c>
      <c r="AB1793" s="411"/>
      <c r="AC1793" s="412">
        <f t="shared" ref="AC1793:AC1855" si="388">AB1793*Y1793</f>
        <v>0</v>
      </c>
      <c r="AD1793" s="421"/>
      <c r="AE1793" s="413"/>
      <c r="AF1793" s="424">
        <f t="shared" ref="AF1793:AF1840" si="389">AE1793+AD1793+AA1793</f>
        <v>70400</v>
      </c>
      <c r="AG1793" s="405" t="s">
        <v>47</v>
      </c>
      <c r="AH1793" s="405"/>
      <c r="AI1793" s="414" t="s">
        <v>1937</v>
      </c>
      <c r="AJ1793" s="405" t="s">
        <v>2504</v>
      </c>
      <c r="AK1793" s="425" t="s">
        <v>2505</v>
      </c>
      <c r="AL1793" s="405">
        <v>84115</v>
      </c>
      <c r="AM1793" s="405" t="s">
        <v>52</v>
      </c>
      <c r="AN1793" s="405"/>
      <c r="AO1793" s="405"/>
      <c r="AP1793" s="417"/>
      <c r="AQ1793" s="417" t="s">
        <v>37</v>
      </c>
      <c r="AR1793" s="417"/>
      <c r="AS1793" s="426"/>
      <c r="AT1793" s="426"/>
      <c r="AU1793" s="409">
        <v>0.55000000000000004</v>
      </c>
      <c r="AV1793" s="402">
        <f t="shared" si="385"/>
        <v>0</v>
      </c>
      <c r="AW1793" s="402" cm="1">
        <f t="array" ref="AW1793">SUM(MID(0&amp;AV1793,LARGE(INDEX(ISNUMBER(--MID(AV1793,ROW($1:$8),1))*ROW($1:$8),),ROW($1:$8))+1,1)*10^ROW($1:$8)/10)</f>
        <v>0</v>
      </c>
      <c r="AX1793" s="402" t="e">
        <f>VLOOKUP($AW1793,'Item Master Data'!$A:$F,3,FALSE)</f>
        <v>#N/A</v>
      </c>
      <c r="AY1793" s="402" t="e">
        <f>VLOOKUP($AW1793,'Item Master Data'!$A:$F,6,FALSE)</f>
        <v>#N/A</v>
      </c>
      <c r="AZ1793" s="402" t="e">
        <f t="shared" si="386"/>
        <v>#N/A</v>
      </c>
      <c r="BA1793" s="402" t="e">
        <f>VLOOKUP(AW1793,'Item Master Data'!$A:$G,7,FALSE)</f>
        <v>#N/A</v>
      </c>
      <c r="BC1793" s="402" t="e">
        <f t="shared" si="387"/>
        <v>#N/A</v>
      </c>
    </row>
    <row r="1794" spans="1:55" s="402" customFormat="1">
      <c r="A1794" s="403"/>
      <c r="B1794" s="446">
        <v>44670</v>
      </c>
      <c r="C1794" s="446">
        <v>44616</v>
      </c>
      <c r="D1794" s="416" t="s">
        <v>2480</v>
      </c>
      <c r="E1794" s="405" t="s">
        <v>2767</v>
      </c>
      <c r="F1794" s="405"/>
      <c r="G1794" s="405">
        <v>2022</v>
      </c>
      <c r="H1794" s="405">
        <v>11</v>
      </c>
      <c r="I1794" s="405" t="s">
        <v>1498</v>
      </c>
      <c r="J1794" s="406"/>
      <c r="K1794" s="414" t="s">
        <v>2783</v>
      </c>
      <c r="L1794" s="405" t="s">
        <v>2481</v>
      </c>
      <c r="M1794" s="418">
        <v>44615</v>
      </c>
      <c r="N1794" s="418">
        <v>44868</v>
      </c>
      <c r="O1794" s="418"/>
      <c r="P1794" s="406"/>
      <c r="Q1794" s="406"/>
      <c r="R1794" s="406"/>
      <c r="S1794" s="405" t="s">
        <v>1940</v>
      </c>
      <c r="T1794" s="405">
        <v>60</v>
      </c>
      <c r="U1794" s="405"/>
      <c r="V1794" s="405" t="s">
        <v>973</v>
      </c>
      <c r="W1794" s="405">
        <v>400</v>
      </c>
      <c r="X1794" s="407">
        <v>320</v>
      </c>
      <c r="Y1794" s="408">
        <f t="shared" si="370"/>
        <v>128000</v>
      </c>
      <c r="Z1794" s="409">
        <v>0.55000000000000004</v>
      </c>
      <c r="AA1794" s="410">
        <f t="shared" si="377"/>
        <v>70400</v>
      </c>
      <c r="AB1794" s="411"/>
      <c r="AC1794" s="412">
        <f t="shared" si="388"/>
        <v>0</v>
      </c>
      <c r="AD1794" s="421"/>
      <c r="AE1794" s="413"/>
      <c r="AF1794" s="424">
        <f t="shared" si="389"/>
        <v>70400</v>
      </c>
      <c r="AG1794" s="405" t="s">
        <v>47</v>
      </c>
      <c r="AH1794" s="405"/>
      <c r="AI1794" s="414" t="s">
        <v>1937</v>
      </c>
      <c r="AJ1794" s="405" t="s">
        <v>1941</v>
      </c>
      <c r="AK1794" s="425" t="s">
        <v>1942</v>
      </c>
      <c r="AL1794" s="405">
        <v>87107</v>
      </c>
      <c r="AM1794" s="405" t="s">
        <v>52</v>
      </c>
      <c r="AN1794" s="405"/>
      <c r="AO1794" s="405"/>
      <c r="AP1794" s="417"/>
      <c r="AQ1794" s="417" t="s">
        <v>37</v>
      </c>
      <c r="AR1794" s="417"/>
      <c r="AS1794" s="426"/>
      <c r="AT1794" s="426"/>
      <c r="AU1794" s="409">
        <v>0.55000000000000004</v>
      </c>
      <c r="AV1794" s="402">
        <f t="shared" si="385"/>
        <v>0</v>
      </c>
      <c r="AW1794" s="402" cm="1">
        <f t="array" ref="AW1794">SUM(MID(0&amp;AV1794,LARGE(INDEX(ISNUMBER(--MID(AV1794,ROW($1:$8),1))*ROW($1:$8),),ROW($1:$8))+1,1)*10^ROW($1:$8)/10)</f>
        <v>0</v>
      </c>
      <c r="AX1794" s="402" t="e">
        <f>VLOOKUP($AW1794,'Item Master Data'!$A:$F,3,FALSE)</f>
        <v>#N/A</v>
      </c>
      <c r="AY1794" s="402" t="e">
        <f>VLOOKUP($AW1794,'Item Master Data'!$A:$F,6,FALSE)</f>
        <v>#N/A</v>
      </c>
      <c r="AZ1794" s="402" t="e">
        <f t="shared" si="386"/>
        <v>#N/A</v>
      </c>
      <c r="BA1794" s="402" t="e">
        <f>VLOOKUP(AW1794,'Item Master Data'!$A:$G,7,FALSE)</f>
        <v>#N/A</v>
      </c>
      <c r="BC1794" s="402" t="e">
        <f t="shared" si="387"/>
        <v>#N/A</v>
      </c>
    </row>
    <row r="1795" spans="1:55" s="402" customFormat="1">
      <c r="A1795" s="403"/>
      <c r="B1795" s="446">
        <v>44608</v>
      </c>
      <c r="C1795" s="446">
        <v>44636</v>
      </c>
      <c r="D1795" s="416" t="s">
        <v>2480</v>
      </c>
      <c r="E1795" s="405" t="s">
        <v>2367</v>
      </c>
      <c r="F1795" s="405"/>
      <c r="G1795" s="405">
        <v>2022</v>
      </c>
      <c r="H1795" s="405">
        <v>11</v>
      </c>
      <c r="I1795" s="405" t="s">
        <v>1498</v>
      </c>
      <c r="J1795" s="406"/>
      <c r="K1795" s="414" t="s">
        <v>2782</v>
      </c>
      <c r="L1795" s="405" t="s">
        <v>2765</v>
      </c>
      <c r="M1795" s="418">
        <v>44608</v>
      </c>
      <c r="N1795" s="418">
        <v>44608</v>
      </c>
      <c r="O1795" s="418">
        <v>44866</v>
      </c>
      <c r="P1795" s="406"/>
      <c r="Q1795" s="406"/>
      <c r="R1795" s="406"/>
      <c r="S1795" s="405" t="s">
        <v>1940</v>
      </c>
      <c r="T1795" s="405">
        <v>60</v>
      </c>
      <c r="U1795" s="405"/>
      <c r="V1795" s="405" t="s">
        <v>973</v>
      </c>
      <c r="W1795" s="405">
        <v>400</v>
      </c>
      <c r="X1795" s="407">
        <v>768</v>
      </c>
      <c r="Y1795" s="408">
        <f t="shared" si="370"/>
        <v>307200</v>
      </c>
      <c r="Z1795" s="409">
        <v>0.55000000000000004</v>
      </c>
      <c r="AA1795" s="410">
        <f t="shared" si="377"/>
        <v>168960</v>
      </c>
      <c r="AB1795" s="411"/>
      <c r="AC1795" s="412">
        <f t="shared" si="388"/>
        <v>0</v>
      </c>
      <c r="AD1795" s="421"/>
      <c r="AE1795" s="413"/>
      <c r="AF1795" s="424">
        <f t="shared" si="389"/>
        <v>168960</v>
      </c>
      <c r="AG1795" s="405" t="s">
        <v>1069</v>
      </c>
      <c r="AH1795" s="405"/>
      <c r="AI1795" s="414" t="s">
        <v>1962</v>
      </c>
      <c r="AJ1795" s="405" t="s">
        <v>2494</v>
      </c>
      <c r="AK1795" s="425" t="s">
        <v>1930</v>
      </c>
      <c r="AL1795" s="405">
        <v>80915</v>
      </c>
      <c r="AM1795" s="405" t="s">
        <v>52</v>
      </c>
      <c r="AN1795" s="405"/>
      <c r="AO1795" s="405"/>
      <c r="AP1795" s="417"/>
      <c r="AQ1795" s="417" t="s">
        <v>37</v>
      </c>
      <c r="AR1795" s="417"/>
      <c r="AS1795" s="426"/>
      <c r="AT1795" s="426"/>
      <c r="AU1795" s="409">
        <v>0.5</v>
      </c>
    </row>
    <row r="1796" spans="1:55">
      <c r="A1796" s="403"/>
      <c r="B1796" s="445">
        <v>44671</v>
      </c>
      <c r="C1796" s="445">
        <v>44675</v>
      </c>
      <c r="D1796" s="416" t="s">
        <v>2480</v>
      </c>
      <c r="E1796" s="405" t="s">
        <v>4207</v>
      </c>
      <c r="F1796" s="405"/>
      <c r="G1796" s="405">
        <v>2022</v>
      </c>
      <c r="H1796" s="405">
        <v>11</v>
      </c>
      <c r="I1796" s="405" t="s">
        <v>1498</v>
      </c>
      <c r="J1796" s="406"/>
      <c r="K1796" s="414" t="s">
        <v>4209</v>
      </c>
      <c r="L1796" s="405" t="s">
        <v>2485</v>
      </c>
      <c r="M1796" s="418">
        <v>44593</v>
      </c>
      <c r="N1796" s="418">
        <v>44866</v>
      </c>
      <c r="O1796" s="418"/>
      <c r="P1796" s="406"/>
      <c r="Q1796" s="406"/>
      <c r="R1796" s="406"/>
      <c r="S1796" s="405" t="s">
        <v>1940</v>
      </c>
      <c r="T1796" s="405">
        <v>60</v>
      </c>
      <c r="U1796" s="405"/>
      <c r="V1796" s="405" t="s">
        <v>973</v>
      </c>
      <c r="W1796" s="405">
        <v>400</v>
      </c>
      <c r="X1796" s="407">
        <v>7680</v>
      </c>
      <c r="Y1796" s="422">
        <f t="shared" si="370"/>
        <v>3072000</v>
      </c>
      <c r="Z1796" s="409">
        <v>0.64</v>
      </c>
      <c r="AA1796" s="423">
        <f t="shared" si="377"/>
        <v>1966080</v>
      </c>
      <c r="AB1796" s="411"/>
      <c r="AC1796" s="412">
        <f t="shared" si="388"/>
        <v>0</v>
      </c>
      <c r="AD1796" s="421"/>
      <c r="AE1796" s="413"/>
      <c r="AF1796" s="424">
        <f t="shared" si="389"/>
        <v>1966080</v>
      </c>
      <c r="AG1796" s="405" t="s">
        <v>1069</v>
      </c>
      <c r="AH1796" s="405">
        <v>60</v>
      </c>
      <c r="AI1796" s="414"/>
      <c r="AJ1796" s="405" t="s">
        <v>2486</v>
      </c>
      <c r="AK1796" s="425" t="s">
        <v>1136</v>
      </c>
      <c r="AL1796" s="405">
        <v>76011</v>
      </c>
      <c r="AM1796" s="405" t="s">
        <v>52</v>
      </c>
      <c r="AN1796" s="405"/>
      <c r="AO1796" s="405"/>
      <c r="AP1796" s="417"/>
      <c r="AQ1796" s="417" t="s">
        <v>37</v>
      </c>
      <c r="AR1796" s="417"/>
      <c r="AS1796" s="426"/>
      <c r="AT1796" s="426"/>
      <c r="AU1796" s="409">
        <v>0.5</v>
      </c>
    </row>
    <row r="1797" spans="1:55">
      <c r="A1797" s="403"/>
      <c r="B1797" s="446"/>
      <c r="C1797" s="446"/>
      <c r="D1797" s="416" t="s">
        <v>2480</v>
      </c>
      <c r="E1797" s="405" t="s">
        <v>2367</v>
      </c>
      <c r="F1797" s="405"/>
      <c r="G1797" s="405">
        <v>2022</v>
      </c>
      <c r="H1797" s="405">
        <v>11</v>
      </c>
      <c r="I1797" s="405"/>
      <c r="J1797" s="406"/>
      <c r="K1797" s="414" t="s">
        <v>2685</v>
      </c>
      <c r="L1797" s="405" t="s">
        <v>1928</v>
      </c>
      <c r="M1797" s="418">
        <v>44538</v>
      </c>
      <c r="N1797" s="418">
        <v>44866</v>
      </c>
      <c r="O1797" s="418"/>
      <c r="P1797" s="406"/>
      <c r="Q1797" s="406"/>
      <c r="R1797" s="406"/>
      <c r="S1797" s="405" t="s">
        <v>1940</v>
      </c>
      <c r="T1797" s="405">
        <v>60</v>
      </c>
      <c r="U1797" s="405"/>
      <c r="V1797" s="405" t="s">
        <v>985</v>
      </c>
      <c r="W1797" s="405">
        <v>400</v>
      </c>
      <c r="X1797" s="407">
        <v>3840</v>
      </c>
      <c r="Y1797" s="408">
        <f t="shared" si="370"/>
        <v>1536000</v>
      </c>
      <c r="Z1797" s="409">
        <v>0.52</v>
      </c>
      <c r="AA1797" s="410">
        <f t="shared" si="377"/>
        <v>798720</v>
      </c>
      <c r="AB1797" s="411"/>
      <c r="AC1797" s="412">
        <f t="shared" si="388"/>
        <v>0</v>
      </c>
      <c r="AD1797" s="421"/>
      <c r="AE1797" s="413"/>
      <c r="AF1797" s="424">
        <f t="shared" si="389"/>
        <v>798720</v>
      </c>
      <c r="AG1797" s="405" t="s">
        <v>1069</v>
      </c>
      <c r="AH1797" s="405"/>
      <c r="AI1797" s="414" t="s">
        <v>1962</v>
      </c>
      <c r="AJ1797" s="405" t="s">
        <v>1946</v>
      </c>
      <c r="AK1797" s="425" t="s">
        <v>1930</v>
      </c>
      <c r="AL1797" s="405">
        <v>80223</v>
      </c>
      <c r="AM1797" s="405" t="s">
        <v>52</v>
      </c>
      <c r="AN1797" s="405"/>
      <c r="AO1797" s="405"/>
      <c r="AP1797" s="417"/>
      <c r="AQ1797" s="417" t="s">
        <v>37</v>
      </c>
      <c r="AR1797" s="417"/>
      <c r="AS1797" s="426"/>
      <c r="AT1797" s="426"/>
      <c r="AU1797" s="409"/>
    </row>
    <row r="1798" spans="1:55">
      <c r="A1798" s="403"/>
      <c r="B1798" s="446">
        <v>44651</v>
      </c>
      <c r="C1798" s="446">
        <v>44651</v>
      </c>
      <c r="D1798" s="416" t="s">
        <v>2480</v>
      </c>
      <c r="E1798" s="405" t="s">
        <v>2367</v>
      </c>
      <c r="F1798" s="405"/>
      <c r="G1798" s="405">
        <v>2022</v>
      </c>
      <c r="H1798" s="405">
        <v>11</v>
      </c>
      <c r="I1798" s="405" t="s">
        <v>1498</v>
      </c>
      <c r="J1798" s="406"/>
      <c r="K1798" s="414" t="s">
        <v>2797</v>
      </c>
      <c r="L1798" s="405" t="s">
        <v>2489</v>
      </c>
      <c r="M1798" s="418">
        <v>44650</v>
      </c>
      <c r="N1798" s="418">
        <v>44866</v>
      </c>
      <c r="O1798" s="418"/>
      <c r="P1798" s="406"/>
      <c r="Q1798" s="406"/>
      <c r="R1798" s="406"/>
      <c r="S1798" s="405" t="s">
        <v>1940</v>
      </c>
      <c r="T1798" s="405">
        <v>60</v>
      </c>
      <c r="U1798" s="405"/>
      <c r="V1798" s="405" t="s">
        <v>973</v>
      </c>
      <c r="W1798" s="405">
        <v>400</v>
      </c>
      <c r="X1798" s="407">
        <v>832</v>
      </c>
      <c r="Y1798" s="408">
        <f t="shared" si="370"/>
        <v>332800</v>
      </c>
      <c r="Z1798" s="409">
        <v>0.55000000000000004</v>
      </c>
      <c r="AA1798" s="410">
        <f t="shared" si="377"/>
        <v>183040.00000000003</v>
      </c>
      <c r="AB1798" s="411"/>
      <c r="AC1798" s="412">
        <f t="shared" si="388"/>
        <v>0</v>
      </c>
      <c r="AD1798" s="421"/>
      <c r="AE1798" s="413"/>
      <c r="AF1798" s="424">
        <f t="shared" si="389"/>
        <v>183040.00000000003</v>
      </c>
      <c r="AG1798" s="405" t="s">
        <v>1069</v>
      </c>
      <c r="AH1798" s="405">
        <v>60</v>
      </c>
      <c r="AI1798" s="414"/>
      <c r="AJ1798" s="405" t="s">
        <v>2490</v>
      </c>
      <c r="AK1798" s="425" t="s">
        <v>1136</v>
      </c>
      <c r="AL1798" s="405">
        <v>79936</v>
      </c>
      <c r="AM1798" s="405" t="s">
        <v>52</v>
      </c>
      <c r="AN1798" s="405"/>
      <c r="AO1798" s="405"/>
      <c r="AP1798" s="417"/>
      <c r="AQ1798" s="417" t="s">
        <v>37</v>
      </c>
      <c r="AR1798" s="417"/>
      <c r="AS1798" s="426"/>
      <c r="AT1798" s="426"/>
      <c r="AU1798" s="409">
        <v>0.5</v>
      </c>
    </row>
    <row r="1799" spans="1:55">
      <c r="A1799" s="403"/>
      <c r="B1799" s="446">
        <v>44635</v>
      </c>
      <c r="C1799" s="446">
        <v>44634</v>
      </c>
      <c r="D1799" s="416" t="s">
        <v>2480</v>
      </c>
      <c r="E1799" s="405" t="s">
        <v>2065</v>
      </c>
      <c r="F1799" s="405"/>
      <c r="G1799" s="405">
        <v>2022</v>
      </c>
      <c r="H1799" s="405">
        <v>12</v>
      </c>
      <c r="I1799" s="405" t="s">
        <v>1498</v>
      </c>
      <c r="J1799" s="406"/>
      <c r="K1799" s="414" t="s">
        <v>2784</v>
      </c>
      <c r="L1799" s="405" t="s">
        <v>2481</v>
      </c>
      <c r="M1799" s="418">
        <v>44568</v>
      </c>
      <c r="N1799" s="418">
        <v>44900</v>
      </c>
      <c r="O1799" s="418"/>
      <c r="P1799" s="406"/>
      <c r="Q1799" s="406"/>
      <c r="R1799" s="406"/>
      <c r="S1799" s="405" t="s">
        <v>1940</v>
      </c>
      <c r="T1799" s="405">
        <v>60</v>
      </c>
      <c r="U1799" s="405"/>
      <c r="V1799" s="405" t="s">
        <v>973</v>
      </c>
      <c r="W1799" s="405">
        <v>400</v>
      </c>
      <c r="X1799" s="407">
        <v>320</v>
      </c>
      <c r="Y1799" s="408">
        <f t="shared" si="370"/>
        <v>128000</v>
      </c>
      <c r="Z1799" s="409">
        <v>0.55000000000000004</v>
      </c>
      <c r="AA1799" s="410">
        <f t="shared" si="377"/>
        <v>70400</v>
      </c>
      <c r="AB1799" s="411"/>
      <c r="AC1799" s="412">
        <f t="shared" si="388"/>
        <v>0</v>
      </c>
      <c r="AD1799" s="421"/>
      <c r="AE1799" s="413"/>
      <c r="AF1799" s="424">
        <f t="shared" si="389"/>
        <v>70400</v>
      </c>
      <c r="AG1799" s="405" t="s">
        <v>47</v>
      </c>
      <c r="AH1799" s="405"/>
      <c r="AI1799" s="414" t="s">
        <v>1937</v>
      </c>
      <c r="AJ1799" s="405" t="s">
        <v>2504</v>
      </c>
      <c r="AK1799" s="425" t="s">
        <v>2505</v>
      </c>
      <c r="AL1799" s="405">
        <v>84115</v>
      </c>
      <c r="AM1799" s="405" t="s">
        <v>52</v>
      </c>
      <c r="AN1799" s="405"/>
      <c r="AO1799" s="405"/>
      <c r="AP1799" s="417"/>
      <c r="AQ1799" s="417" t="s">
        <v>37</v>
      </c>
      <c r="AR1799" s="417"/>
      <c r="AS1799" s="426"/>
      <c r="AT1799" s="426"/>
      <c r="AU1799" s="409">
        <v>0.55000000000000004</v>
      </c>
    </row>
    <row r="1800" spans="1:55">
      <c r="A1800" s="403"/>
      <c r="B1800" s="446">
        <v>44670</v>
      </c>
      <c r="C1800" s="446">
        <v>44616</v>
      </c>
      <c r="D1800" s="416" t="s">
        <v>2480</v>
      </c>
      <c r="E1800" s="405" t="s">
        <v>2767</v>
      </c>
      <c r="F1800" s="405"/>
      <c r="G1800" s="405">
        <v>2022</v>
      </c>
      <c r="H1800" s="405">
        <v>12</v>
      </c>
      <c r="I1800" s="405" t="s">
        <v>1498</v>
      </c>
      <c r="J1800" s="406"/>
      <c r="K1800" s="414" t="s">
        <v>2785</v>
      </c>
      <c r="L1800" s="405" t="s">
        <v>2481</v>
      </c>
      <c r="M1800" s="418">
        <v>44615</v>
      </c>
      <c r="N1800" s="418">
        <v>44896</v>
      </c>
      <c r="O1800" s="418"/>
      <c r="P1800" s="406"/>
      <c r="Q1800" s="406"/>
      <c r="R1800" s="406"/>
      <c r="S1800" s="405" t="s">
        <v>1940</v>
      </c>
      <c r="T1800" s="405">
        <v>60</v>
      </c>
      <c r="U1800" s="405"/>
      <c r="V1800" s="405" t="s">
        <v>973</v>
      </c>
      <c r="W1800" s="405">
        <v>400</v>
      </c>
      <c r="X1800" s="407">
        <v>320</v>
      </c>
      <c r="Y1800" s="408">
        <f t="shared" si="370"/>
        <v>128000</v>
      </c>
      <c r="Z1800" s="409">
        <v>0.55000000000000004</v>
      </c>
      <c r="AA1800" s="410">
        <f t="shared" si="377"/>
        <v>70400</v>
      </c>
      <c r="AB1800" s="411"/>
      <c r="AC1800" s="412">
        <f t="shared" si="388"/>
        <v>0</v>
      </c>
      <c r="AD1800" s="421"/>
      <c r="AE1800" s="413"/>
      <c r="AF1800" s="424">
        <f t="shared" si="389"/>
        <v>70400</v>
      </c>
      <c r="AG1800" s="405" t="s">
        <v>47</v>
      </c>
      <c r="AH1800" s="405"/>
      <c r="AI1800" s="414" t="s">
        <v>1937</v>
      </c>
      <c r="AJ1800" s="405" t="s">
        <v>1941</v>
      </c>
      <c r="AK1800" s="425" t="s">
        <v>1942</v>
      </c>
      <c r="AL1800" s="405">
        <v>87107</v>
      </c>
      <c r="AM1800" s="405" t="s">
        <v>52</v>
      </c>
      <c r="AN1800" s="405"/>
      <c r="AO1800" s="405"/>
      <c r="AP1800" s="417"/>
      <c r="AQ1800" s="417" t="s">
        <v>37</v>
      </c>
      <c r="AR1800" s="417"/>
      <c r="AS1800" s="426"/>
      <c r="AT1800" s="426"/>
      <c r="AU1800" s="409">
        <v>0.55000000000000004</v>
      </c>
    </row>
    <row r="1801" spans="1:55">
      <c r="A1801" s="403"/>
      <c r="B1801" s="446">
        <v>44670</v>
      </c>
      <c r="C1801" s="446">
        <v>44616</v>
      </c>
      <c r="D1801" s="416" t="s">
        <v>2480</v>
      </c>
      <c r="E1801" s="405" t="s">
        <v>2767</v>
      </c>
      <c r="F1801" s="405"/>
      <c r="G1801" s="405">
        <v>2022</v>
      </c>
      <c r="H1801" s="405">
        <v>12</v>
      </c>
      <c r="I1801" s="405" t="s">
        <v>1498</v>
      </c>
      <c r="J1801" s="406"/>
      <c r="K1801" s="414" t="s">
        <v>2786</v>
      </c>
      <c r="L1801" s="405" t="s">
        <v>2481</v>
      </c>
      <c r="M1801" s="418">
        <v>44615</v>
      </c>
      <c r="N1801" s="418">
        <v>44917</v>
      </c>
      <c r="O1801" s="418"/>
      <c r="P1801" s="406"/>
      <c r="Q1801" s="406"/>
      <c r="R1801" s="406"/>
      <c r="S1801" s="405" t="s">
        <v>1940</v>
      </c>
      <c r="T1801" s="405">
        <v>60</v>
      </c>
      <c r="U1801" s="405"/>
      <c r="V1801" s="405" t="s">
        <v>973</v>
      </c>
      <c r="W1801" s="405">
        <v>400</v>
      </c>
      <c r="X1801" s="407">
        <v>320</v>
      </c>
      <c r="Y1801" s="408">
        <f t="shared" si="370"/>
        <v>128000</v>
      </c>
      <c r="Z1801" s="409">
        <v>0.55000000000000004</v>
      </c>
      <c r="AA1801" s="410">
        <f t="shared" si="377"/>
        <v>70400</v>
      </c>
      <c r="AB1801" s="411"/>
      <c r="AC1801" s="412">
        <f t="shared" si="388"/>
        <v>0</v>
      </c>
      <c r="AD1801" s="421"/>
      <c r="AE1801" s="413"/>
      <c r="AF1801" s="424">
        <f t="shared" si="389"/>
        <v>70400</v>
      </c>
      <c r="AG1801" s="405" t="s">
        <v>47</v>
      </c>
      <c r="AH1801" s="405"/>
      <c r="AI1801" s="414" t="s">
        <v>1937</v>
      </c>
      <c r="AJ1801" s="405" t="s">
        <v>1941</v>
      </c>
      <c r="AK1801" s="425" t="s">
        <v>1942</v>
      </c>
      <c r="AL1801" s="405">
        <v>87107</v>
      </c>
      <c r="AM1801" s="405" t="s">
        <v>52</v>
      </c>
      <c r="AN1801" s="405"/>
      <c r="AO1801" s="405"/>
      <c r="AP1801" s="417"/>
      <c r="AQ1801" s="417" t="s">
        <v>37</v>
      </c>
      <c r="AR1801" s="417"/>
      <c r="AS1801" s="426"/>
      <c r="AT1801" s="426"/>
      <c r="AU1801" s="409">
        <v>0.55000000000000004</v>
      </c>
    </row>
    <row r="1802" spans="1:55">
      <c r="A1802" s="403"/>
      <c r="B1802" s="446">
        <v>44656</v>
      </c>
      <c r="C1802" s="446">
        <v>44656</v>
      </c>
      <c r="D1802" s="416" t="s">
        <v>2480</v>
      </c>
      <c r="E1802" s="405" t="s">
        <v>2761</v>
      </c>
      <c r="F1802" s="405"/>
      <c r="G1802" s="405">
        <v>2022</v>
      </c>
      <c r="H1802" s="405">
        <v>12</v>
      </c>
      <c r="I1802" s="405"/>
      <c r="J1802" s="406"/>
      <c r="K1802" s="414" t="s">
        <v>2787</v>
      </c>
      <c r="L1802" s="405" t="s">
        <v>2481</v>
      </c>
      <c r="M1802" s="418">
        <v>44655</v>
      </c>
      <c r="N1802" s="418">
        <v>44907</v>
      </c>
      <c r="O1802" s="418"/>
      <c r="P1802" s="406"/>
      <c r="Q1802" s="406"/>
      <c r="R1802" s="406"/>
      <c r="S1802" s="405" t="s">
        <v>1940</v>
      </c>
      <c r="T1802" s="405">
        <v>60</v>
      </c>
      <c r="U1802" s="405"/>
      <c r="V1802" s="405" t="s">
        <v>986</v>
      </c>
      <c r="W1802" s="405">
        <v>365</v>
      </c>
      <c r="X1802" s="407">
        <v>320</v>
      </c>
      <c r="Y1802" s="408">
        <f t="shared" ref="Y1802:Y1855" si="390">X1802*W1802</f>
        <v>116800</v>
      </c>
      <c r="Z1802" s="409">
        <v>0.56000000000000005</v>
      </c>
      <c r="AA1802" s="410">
        <f t="shared" si="377"/>
        <v>65408.000000000007</v>
      </c>
      <c r="AB1802" s="411"/>
      <c r="AC1802" s="412">
        <f t="shared" si="388"/>
        <v>0</v>
      </c>
      <c r="AD1802" s="421"/>
      <c r="AE1802" s="413"/>
      <c r="AF1802" s="424">
        <f t="shared" si="389"/>
        <v>65408.000000000007</v>
      </c>
      <c r="AG1802" s="405" t="s">
        <v>47</v>
      </c>
      <c r="AH1802" s="405"/>
      <c r="AI1802" s="414" t="s">
        <v>1937</v>
      </c>
      <c r="AJ1802" s="405" t="s">
        <v>2763</v>
      </c>
      <c r="AK1802" s="425" t="s">
        <v>1092</v>
      </c>
      <c r="AL1802" s="405">
        <v>1085</v>
      </c>
      <c r="AM1802" s="405" t="s">
        <v>52</v>
      </c>
      <c r="AN1802" s="405"/>
      <c r="AO1802" s="405"/>
      <c r="AP1802" s="417"/>
      <c r="AQ1802" s="417" t="s">
        <v>37</v>
      </c>
      <c r="AR1802" s="417"/>
      <c r="AS1802" s="426"/>
      <c r="AT1802" s="426"/>
      <c r="AU1802" s="409">
        <v>0.55000000000000004</v>
      </c>
    </row>
    <row r="1803" spans="1:55">
      <c r="A1803" s="403"/>
      <c r="B1803" s="446">
        <v>44608</v>
      </c>
      <c r="C1803" s="446">
        <v>44636</v>
      </c>
      <c r="D1803" s="416" t="s">
        <v>2480</v>
      </c>
      <c r="E1803" s="405" t="s">
        <v>2367</v>
      </c>
      <c r="F1803" s="405"/>
      <c r="G1803" s="405">
        <v>2022</v>
      </c>
      <c r="H1803" s="405">
        <v>12</v>
      </c>
      <c r="I1803" s="405" t="s">
        <v>1498</v>
      </c>
      <c r="J1803" s="406"/>
      <c r="K1803" s="414" t="s">
        <v>2788</v>
      </c>
      <c r="L1803" s="405" t="s">
        <v>2765</v>
      </c>
      <c r="M1803" s="418">
        <v>44608</v>
      </c>
      <c r="N1803" s="418">
        <v>44608</v>
      </c>
      <c r="O1803" s="418">
        <v>44896</v>
      </c>
      <c r="P1803" s="406"/>
      <c r="Q1803" s="406"/>
      <c r="R1803" s="406"/>
      <c r="S1803" s="405" t="s">
        <v>1940</v>
      </c>
      <c r="T1803" s="405">
        <v>60</v>
      </c>
      <c r="U1803" s="405"/>
      <c r="V1803" s="405" t="s">
        <v>973</v>
      </c>
      <c r="W1803" s="405">
        <v>400</v>
      </c>
      <c r="X1803" s="407">
        <v>768</v>
      </c>
      <c r="Y1803" s="408">
        <f t="shared" si="390"/>
        <v>307200</v>
      </c>
      <c r="Z1803" s="409">
        <v>0.55000000000000004</v>
      </c>
      <c r="AA1803" s="410">
        <f t="shared" si="377"/>
        <v>168960</v>
      </c>
      <c r="AB1803" s="411"/>
      <c r="AC1803" s="412">
        <f t="shared" si="388"/>
        <v>0</v>
      </c>
      <c r="AD1803" s="421"/>
      <c r="AE1803" s="413"/>
      <c r="AF1803" s="424">
        <f t="shared" si="389"/>
        <v>168960</v>
      </c>
      <c r="AG1803" s="405" t="s">
        <v>1069</v>
      </c>
      <c r="AH1803" s="405"/>
      <c r="AI1803" s="414" t="s">
        <v>1962</v>
      </c>
      <c r="AJ1803" s="405" t="s">
        <v>2494</v>
      </c>
      <c r="AK1803" s="425" t="s">
        <v>1930</v>
      </c>
      <c r="AL1803" s="405">
        <v>80915</v>
      </c>
      <c r="AM1803" s="405" t="s">
        <v>52</v>
      </c>
      <c r="AN1803" s="405"/>
      <c r="AO1803" s="405"/>
      <c r="AP1803" s="417"/>
      <c r="AQ1803" s="417" t="s">
        <v>37</v>
      </c>
      <c r="AR1803" s="417"/>
      <c r="AS1803" s="426"/>
      <c r="AT1803" s="426"/>
      <c r="AU1803" s="409">
        <v>0.5</v>
      </c>
    </row>
    <row r="1804" spans="1:55">
      <c r="A1804" s="403"/>
      <c r="B1804" s="445">
        <v>44671</v>
      </c>
      <c r="C1804" s="445">
        <v>44675</v>
      </c>
      <c r="D1804" s="416" t="s">
        <v>2480</v>
      </c>
      <c r="E1804" s="405" t="s">
        <v>4207</v>
      </c>
      <c r="F1804" s="405"/>
      <c r="G1804" s="405">
        <v>2022</v>
      </c>
      <c r="H1804" s="405">
        <v>12</v>
      </c>
      <c r="I1804" s="405" t="s">
        <v>1498</v>
      </c>
      <c r="J1804" s="406"/>
      <c r="K1804" s="414" t="s">
        <v>4210</v>
      </c>
      <c r="L1804" s="405" t="s">
        <v>2485</v>
      </c>
      <c r="M1804" s="418">
        <v>44593</v>
      </c>
      <c r="N1804" s="418">
        <v>44896</v>
      </c>
      <c r="O1804" s="418"/>
      <c r="P1804" s="406"/>
      <c r="Q1804" s="406"/>
      <c r="R1804" s="406"/>
      <c r="S1804" s="405" t="s">
        <v>1940</v>
      </c>
      <c r="T1804" s="405">
        <v>60</v>
      </c>
      <c r="U1804" s="405"/>
      <c r="V1804" s="405" t="s">
        <v>973</v>
      </c>
      <c r="W1804" s="405">
        <v>400</v>
      </c>
      <c r="X1804" s="407">
        <v>7680</v>
      </c>
      <c r="Y1804" s="422">
        <f t="shared" si="390"/>
        <v>3072000</v>
      </c>
      <c r="Z1804" s="409">
        <v>0.64</v>
      </c>
      <c r="AA1804" s="423">
        <f t="shared" si="377"/>
        <v>1966080</v>
      </c>
      <c r="AB1804" s="411"/>
      <c r="AC1804" s="412">
        <f t="shared" si="388"/>
        <v>0</v>
      </c>
      <c r="AD1804" s="421"/>
      <c r="AE1804" s="413"/>
      <c r="AF1804" s="424">
        <f t="shared" si="389"/>
        <v>1966080</v>
      </c>
      <c r="AG1804" s="405" t="s">
        <v>1069</v>
      </c>
      <c r="AH1804" s="405">
        <v>60</v>
      </c>
      <c r="AI1804" s="414"/>
      <c r="AJ1804" s="405" t="s">
        <v>2486</v>
      </c>
      <c r="AK1804" s="425" t="s">
        <v>1136</v>
      </c>
      <c r="AL1804" s="405">
        <v>76011</v>
      </c>
      <c r="AM1804" s="405" t="s">
        <v>52</v>
      </c>
      <c r="AN1804" s="405"/>
      <c r="AO1804" s="405"/>
      <c r="AP1804" s="417"/>
      <c r="AQ1804" s="417" t="s">
        <v>37</v>
      </c>
      <c r="AR1804" s="417"/>
      <c r="AS1804" s="426"/>
      <c r="AT1804" s="426"/>
      <c r="AU1804" s="409">
        <v>0.5</v>
      </c>
    </row>
    <row r="1805" spans="1:55">
      <c r="A1805" s="403"/>
      <c r="B1805" s="446"/>
      <c r="C1805" s="446"/>
      <c r="D1805" s="416" t="s">
        <v>2480</v>
      </c>
      <c r="E1805" s="405" t="s">
        <v>2367</v>
      </c>
      <c r="F1805" s="405"/>
      <c r="G1805" s="405">
        <v>2022</v>
      </c>
      <c r="H1805" s="405">
        <v>12</v>
      </c>
      <c r="I1805" s="405"/>
      <c r="J1805" s="406"/>
      <c r="K1805" s="414" t="s">
        <v>2686</v>
      </c>
      <c r="L1805" s="405" t="s">
        <v>1928</v>
      </c>
      <c r="M1805" s="418">
        <v>44538</v>
      </c>
      <c r="N1805" s="418">
        <v>44896</v>
      </c>
      <c r="O1805" s="418"/>
      <c r="P1805" s="406"/>
      <c r="Q1805" s="406"/>
      <c r="R1805" s="406"/>
      <c r="S1805" s="405" t="s">
        <v>1940</v>
      </c>
      <c r="T1805" s="405">
        <v>60</v>
      </c>
      <c r="U1805" s="405"/>
      <c r="V1805" s="405" t="s">
        <v>985</v>
      </c>
      <c r="W1805" s="405">
        <v>400</v>
      </c>
      <c r="X1805" s="407">
        <v>3840</v>
      </c>
      <c r="Y1805" s="408">
        <f t="shared" si="390"/>
        <v>1536000</v>
      </c>
      <c r="Z1805" s="409">
        <v>0.52</v>
      </c>
      <c r="AA1805" s="410">
        <f t="shared" si="377"/>
        <v>798720</v>
      </c>
      <c r="AB1805" s="411"/>
      <c r="AC1805" s="412">
        <f t="shared" si="388"/>
        <v>0</v>
      </c>
      <c r="AD1805" s="421"/>
      <c r="AE1805" s="413"/>
      <c r="AF1805" s="424">
        <f t="shared" si="389"/>
        <v>798720</v>
      </c>
      <c r="AG1805" s="405" t="s">
        <v>1069</v>
      </c>
      <c r="AH1805" s="405"/>
      <c r="AI1805" s="414" t="s">
        <v>1962</v>
      </c>
      <c r="AJ1805" s="405" t="s">
        <v>1946</v>
      </c>
      <c r="AK1805" s="425" t="s">
        <v>1930</v>
      </c>
      <c r="AL1805" s="405">
        <v>80223</v>
      </c>
      <c r="AM1805" s="405" t="s">
        <v>52</v>
      </c>
      <c r="AN1805" s="405"/>
      <c r="AO1805" s="405"/>
      <c r="AP1805" s="417"/>
      <c r="AQ1805" s="417" t="s">
        <v>37</v>
      </c>
      <c r="AR1805" s="417"/>
      <c r="AS1805" s="426"/>
      <c r="AT1805" s="426"/>
      <c r="AU1805" s="409"/>
    </row>
    <row r="1806" spans="1:55">
      <c r="A1806" s="403"/>
      <c r="B1806" s="446">
        <v>44651</v>
      </c>
      <c r="C1806" s="446">
        <v>44651</v>
      </c>
      <c r="D1806" s="416" t="s">
        <v>2480</v>
      </c>
      <c r="E1806" s="405" t="s">
        <v>2367</v>
      </c>
      <c r="F1806" s="405"/>
      <c r="G1806" s="405">
        <v>2022</v>
      </c>
      <c r="H1806" s="405">
        <v>12</v>
      </c>
      <c r="I1806" s="405" t="s">
        <v>1498</v>
      </c>
      <c r="J1806" s="406"/>
      <c r="K1806" s="414" t="s">
        <v>2798</v>
      </c>
      <c r="L1806" s="405" t="s">
        <v>2489</v>
      </c>
      <c r="M1806" s="418">
        <v>44650</v>
      </c>
      <c r="N1806" s="418">
        <v>44896</v>
      </c>
      <c r="O1806" s="418"/>
      <c r="P1806" s="406"/>
      <c r="Q1806" s="406"/>
      <c r="R1806" s="406"/>
      <c r="S1806" s="405" t="s">
        <v>1940</v>
      </c>
      <c r="T1806" s="405">
        <v>60</v>
      </c>
      <c r="U1806" s="405"/>
      <c r="V1806" s="405" t="s">
        <v>973</v>
      </c>
      <c r="W1806" s="405">
        <v>400</v>
      </c>
      <c r="X1806" s="407">
        <v>832</v>
      </c>
      <c r="Y1806" s="408">
        <f t="shared" si="390"/>
        <v>332800</v>
      </c>
      <c r="Z1806" s="409">
        <v>0.55000000000000004</v>
      </c>
      <c r="AA1806" s="410">
        <f t="shared" si="377"/>
        <v>183040.00000000003</v>
      </c>
      <c r="AB1806" s="411"/>
      <c r="AC1806" s="412">
        <f t="shared" si="388"/>
        <v>0</v>
      </c>
      <c r="AD1806" s="421"/>
      <c r="AE1806" s="413"/>
      <c r="AF1806" s="424">
        <f t="shared" si="389"/>
        <v>183040.00000000003</v>
      </c>
      <c r="AG1806" s="405" t="s">
        <v>1069</v>
      </c>
      <c r="AH1806" s="405">
        <v>60</v>
      </c>
      <c r="AI1806" s="414"/>
      <c r="AJ1806" s="405" t="s">
        <v>2490</v>
      </c>
      <c r="AK1806" s="425" t="s">
        <v>1136</v>
      </c>
      <c r="AL1806" s="405">
        <v>79936</v>
      </c>
      <c r="AM1806" s="405" t="s">
        <v>52</v>
      </c>
      <c r="AN1806" s="405"/>
      <c r="AO1806" s="405"/>
      <c r="AP1806" s="417"/>
      <c r="AQ1806" s="417" t="s">
        <v>37</v>
      </c>
      <c r="AR1806" s="417"/>
      <c r="AS1806" s="426"/>
      <c r="AT1806" s="426"/>
      <c r="AU1806" s="409">
        <v>0.5</v>
      </c>
    </row>
    <row r="1807" spans="1:55">
      <c r="A1807" s="403"/>
      <c r="B1807" s="446">
        <v>44629</v>
      </c>
      <c r="C1807" s="446">
        <v>44629</v>
      </c>
      <c r="D1807" s="416" t="s">
        <v>2480</v>
      </c>
      <c r="E1807" s="405" t="s">
        <v>1239</v>
      </c>
      <c r="F1807" s="405"/>
      <c r="G1807" s="405">
        <v>2022</v>
      </c>
      <c r="H1807" s="405"/>
      <c r="I1807" s="405">
        <v>2005163</v>
      </c>
      <c r="J1807" s="406"/>
      <c r="K1807" s="414" t="s">
        <v>2519</v>
      </c>
      <c r="L1807" s="405" t="s">
        <v>2481</v>
      </c>
      <c r="M1807" s="418">
        <v>44610</v>
      </c>
      <c r="N1807" s="418">
        <v>44652</v>
      </c>
      <c r="O1807" s="418">
        <v>44652</v>
      </c>
      <c r="P1807" s="406"/>
      <c r="Q1807" s="406"/>
      <c r="R1807" s="406"/>
      <c r="S1807" s="405" t="s">
        <v>1940</v>
      </c>
      <c r="T1807" s="405">
        <v>72</v>
      </c>
      <c r="U1807" s="405"/>
      <c r="V1807" s="405" t="s">
        <v>995</v>
      </c>
      <c r="W1807" s="405">
        <v>480</v>
      </c>
      <c r="X1807" s="407">
        <f>89581-7714-16008</f>
        <v>65859</v>
      </c>
      <c r="Y1807" s="408">
        <f t="shared" si="390"/>
        <v>31612320</v>
      </c>
      <c r="Z1807" s="409">
        <v>0.48</v>
      </c>
      <c r="AA1807" s="410">
        <f t="shared" si="377"/>
        <v>15173913.6</v>
      </c>
      <c r="AB1807" s="411"/>
      <c r="AC1807" s="412">
        <f t="shared" si="388"/>
        <v>0</v>
      </c>
      <c r="AD1807" s="421"/>
      <c r="AE1807" s="413"/>
      <c r="AF1807" s="424">
        <f t="shared" si="389"/>
        <v>15173913.6</v>
      </c>
      <c r="AG1807" s="405" t="s">
        <v>47</v>
      </c>
      <c r="AH1807" s="405"/>
      <c r="AI1807" s="414" t="s">
        <v>2520</v>
      </c>
      <c r="AJ1807" s="405"/>
      <c r="AK1807" s="425"/>
      <c r="AL1807" s="405"/>
      <c r="AM1807" s="405" t="s">
        <v>52</v>
      </c>
      <c r="AN1807" s="405"/>
      <c r="AO1807" s="405"/>
      <c r="AP1807" s="417"/>
      <c r="AQ1807" s="417" t="s">
        <v>37</v>
      </c>
      <c r="AR1807" s="417"/>
      <c r="AS1807" s="426"/>
      <c r="AT1807" s="426"/>
      <c r="AU1807" s="409"/>
    </row>
    <row r="1808" spans="1:55">
      <c r="A1808" s="403"/>
      <c r="B1808" s="446">
        <v>44629</v>
      </c>
      <c r="C1808" s="446">
        <v>44629</v>
      </c>
      <c r="D1808" s="416" t="s">
        <v>2480</v>
      </c>
      <c r="E1808" s="405" t="s">
        <v>1239</v>
      </c>
      <c r="F1808" s="405"/>
      <c r="G1808" s="405">
        <v>2022</v>
      </c>
      <c r="H1808" s="405"/>
      <c r="I1808" s="405">
        <v>2005163</v>
      </c>
      <c r="J1808" s="406"/>
      <c r="K1808" s="414" t="s">
        <v>2519</v>
      </c>
      <c r="L1808" s="405" t="s">
        <v>2481</v>
      </c>
      <c r="M1808" s="418">
        <v>44610</v>
      </c>
      <c r="N1808" s="418">
        <v>44652</v>
      </c>
      <c r="O1808" s="418">
        <v>44652</v>
      </c>
      <c r="P1808" s="406"/>
      <c r="Q1808" s="406"/>
      <c r="R1808" s="406"/>
      <c r="S1808" s="405" t="s">
        <v>1940</v>
      </c>
      <c r="T1808" s="405">
        <v>72</v>
      </c>
      <c r="U1808" s="405"/>
      <c r="V1808" s="405" t="s">
        <v>995</v>
      </c>
      <c r="W1808" s="405">
        <v>485</v>
      </c>
      <c r="X1808" s="407">
        <f>14442-2262</f>
        <v>12180</v>
      </c>
      <c r="Y1808" s="408">
        <f t="shared" si="390"/>
        <v>5907300</v>
      </c>
      <c r="Z1808" s="409">
        <v>0.48</v>
      </c>
      <c r="AA1808" s="410">
        <f t="shared" si="377"/>
        <v>2835504</v>
      </c>
      <c r="AB1808" s="411"/>
      <c r="AC1808" s="412">
        <f t="shared" si="388"/>
        <v>0</v>
      </c>
      <c r="AD1808" s="421"/>
      <c r="AE1808" s="413"/>
      <c r="AF1808" s="424">
        <f t="shared" si="389"/>
        <v>2835504</v>
      </c>
      <c r="AG1808" s="405" t="s">
        <v>47</v>
      </c>
      <c r="AH1808" s="405"/>
      <c r="AI1808" s="414" t="s">
        <v>2520</v>
      </c>
      <c r="AJ1808" s="405"/>
      <c r="AK1808" s="425"/>
      <c r="AL1808" s="405"/>
      <c r="AM1808" s="405" t="s">
        <v>52</v>
      </c>
      <c r="AN1808" s="405"/>
      <c r="AO1808" s="405"/>
      <c r="AP1808" s="417"/>
      <c r="AQ1808" s="417" t="s">
        <v>37</v>
      </c>
      <c r="AR1808" s="417"/>
      <c r="AS1808" s="426"/>
      <c r="AT1808" s="426"/>
      <c r="AU1808" s="409"/>
    </row>
    <row r="1809" spans="1:47">
      <c r="A1809" s="403"/>
      <c r="B1809" s="446">
        <v>44629</v>
      </c>
      <c r="C1809" s="446">
        <v>44629</v>
      </c>
      <c r="D1809" s="416" t="s">
        <v>2480</v>
      </c>
      <c r="E1809" s="405" t="s">
        <v>1239</v>
      </c>
      <c r="F1809" s="405"/>
      <c r="G1809" s="405">
        <v>2022</v>
      </c>
      <c r="H1809" s="405"/>
      <c r="I1809" s="405">
        <v>2005163</v>
      </c>
      <c r="J1809" s="406"/>
      <c r="K1809" s="414" t="s">
        <v>2519</v>
      </c>
      <c r="L1809" s="405" t="s">
        <v>2481</v>
      </c>
      <c r="M1809" s="418">
        <v>44610</v>
      </c>
      <c r="N1809" s="418">
        <v>44652</v>
      </c>
      <c r="O1809" s="418">
        <v>44652</v>
      </c>
      <c r="P1809" s="406"/>
      <c r="Q1809" s="406"/>
      <c r="R1809" s="406"/>
      <c r="S1809" s="405" t="s">
        <v>1940</v>
      </c>
      <c r="T1809" s="405">
        <v>72</v>
      </c>
      <c r="U1809" s="405"/>
      <c r="V1809" s="405" t="s">
        <v>1895</v>
      </c>
      <c r="W1809" s="405">
        <v>575</v>
      </c>
      <c r="X1809" s="407">
        <f>40020-4524</f>
        <v>35496</v>
      </c>
      <c r="Y1809" s="408">
        <f t="shared" si="390"/>
        <v>20410200</v>
      </c>
      <c r="Z1809" s="409">
        <v>0.5</v>
      </c>
      <c r="AA1809" s="410">
        <f t="shared" si="377"/>
        <v>10205100</v>
      </c>
      <c r="AB1809" s="411"/>
      <c r="AC1809" s="412">
        <f t="shared" si="388"/>
        <v>0</v>
      </c>
      <c r="AD1809" s="421"/>
      <c r="AE1809" s="413"/>
      <c r="AF1809" s="424">
        <f t="shared" si="389"/>
        <v>10205100</v>
      </c>
      <c r="AG1809" s="405" t="s">
        <v>47</v>
      </c>
      <c r="AH1809" s="405"/>
      <c r="AI1809" s="414" t="s">
        <v>2520</v>
      </c>
      <c r="AJ1809" s="405"/>
      <c r="AK1809" s="425"/>
      <c r="AL1809" s="405"/>
      <c r="AM1809" s="405" t="s">
        <v>52</v>
      </c>
      <c r="AN1809" s="405"/>
      <c r="AO1809" s="405"/>
      <c r="AP1809" s="417"/>
      <c r="AQ1809" s="417" t="s">
        <v>37</v>
      </c>
      <c r="AR1809" s="417"/>
      <c r="AS1809" s="426"/>
      <c r="AT1809" s="426"/>
      <c r="AU1809" s="409"/>
    </row>
    <row r="1810" spans="1:47">
      <c r="A1810" s="403"/>
      <c r="B1810" s="446">
        <v>44629</v>
      </c>
      <c r="C1810" s="446">
        <v>44629</v>
      </c>
      <c r="D1810" s="416" t="s">
        <v>2480</v>
      </c>
      <c r="E1810" s="405" t="s">
        <v>1239</v>
      </c>
      <c r="F1810" s="405"/>
      <c r="G1810" s="405">
        <v>2022</v>
      </c>
      <c r="H1810" s="405"/>
      <c r="I1810" s="405">
        <v>2005163</v>
      </c>
      <c r="J1810" s="406"/>
      <c r="K1810" s="414" t="s">
        <v>2519</v>
      </c>
      <c r="L1810" s="405" t="s">
        <v>2481</v>
      </c>
      <c r="M1810" s="418">
        <v>44610</v>
      </c>
      <c r="N1810" s="418">
        <v>44652</v>
      </c>
      <c r="O1810" s="418">
        <v>44652</v>
      </c>
      <c r="P1810" s="406"/>
      <c r="Q1810" s="406"/>
      <c r="R1810" s="406"/>
      <c r="S1810" s="405" t="s">
        <v>1940</v>
      </c>
      <c r="T1810" s="405">
        <v>72</v>
      </c>
      <c r="U1810" s="405"/>
      <c r="V1810" s="405" t="s">
        <v>1895</v>
      </c>
      <c r="W1810" s="405">
        <v>580</v>
      </c>
      <c r="X1810" s="407">
        <f>137953-2117</f>
        <v>135836</v>
      </c>
      <c r="Y1810" s="408">
        <f t="shared" si="390"/>
        <v>78784880</v>
      </c>
      <c r="Z1810" s="409">
        <v>0.45</v>
      </c>
      <c r="AA1810" s="410">
        <f t="shared" si="377"/>
        <v>35453196</v>
      </c>
      <c r="AB1810" s="411"/>
      <c r="AC1810" s="412">
        <f t="shared" si="388"/>
        <v>0</v>
      </c>
      <c r="AD1810" s="421"/>
      <c r="AE1810" s="413"/>
      <c r="AF1810" s="424">
        <f t="shared" si="389"/>
        <v>35453196</v>
      </c>
      <c r="AG1810" s="405" t="s">
        <v>47</v>
      </c>
      <c r="AH1810" s="405"/>
      <c r="AI1810" s="414" t="s">
        <v>2520</v>
      </c>
      <c r="AJ1810" s="405"/>
      <c r="AK1810" s="425"/>
      <c r="AL1810" s="405"/>
      <c r="AM1810" s="405" t="s">
        <v>52</v>
      </c>
      <c r="AN1810" s="405"/>
      <c r="AO1810" s="405"/>
      <c r="AP1810" s="417"/>
      <c r="AQ1810" s="417" t="s">
        <v>37</v>
      </c>
      <c r="AR1810" s="417"/>
      <c r="AS1810" s="426"/>
      <c r="AT1810" s="426"/>
      <c r="AU1810" s="409"/>
    </row>
    <row r="1811" spans="1:47">
      <c r="A1811" s="403"/>
      <c r="B1811" s="446">
        <v>44629</v>
      </c>
      <c r="C1811" s="446">
        <v>44629</v>
      </c>
      <c r="D1811" s="416" t="s">
        <v>2480</v>
      </c>
      <c r="E1811" s="405" t="s">
        <v>1239</v>
      </c>
      <c r="F1811" s="405"/>
      <c r="G1811" s="405">
        <v>2022</v>
      </c>
      <c r="H1811" s="405"/>
      <c r="I1811" s="405">
        <v>2005163</v>
      </c>
      <c r="J1811" s="406"/>
      <c r="K1811" s="414" t="s">
        <v>2519</v>
      </c>
      <c r="L1811" s="405" t="s">
        <v>2481</v>
      </c>
      <c r="M1811" s="418">
        <v>44610</v>
      </c>
      <c r="N1811" s="418">
        <v>44652</v>
      </c>
      <c r="O1811" s="418">
        <v>44652</v>
      </c>
      <c r="P1811" s="406"/>
      <c r="Q1811" s="406"/>
      <c r="R1811" s="406"/>
      <c r="S1811" s="405" t="s">
        <v>1940</v>
      </c>
      <c r="T1811" s="405">
        <v>72</v>
      </c>
      <c r="U1811" s="405"/>
      <c r="V1811" s="405" t="s">
        <v>1895</v>
      </c>
      <c r="W1811" s="405">
        <v>580</v>
      </c>
      <c r="X1811" s="407">
        <v>36221</v>
      </c>
      <c r="Y1811" s="408">
        <f t="shared" si="390"/>
        <v>21008180</v>
      </c>
      <c r="Z1811" s="409">
        <v>0.53500000000000003</v>
      </c>
      <c r="AA1811" s="410">
        <f t="shared" si="377"/>
        <v>11239376.300000001</v>
      </c>
      <c r="AB1811" s="411"/>
      <c r="AC1811" s="412">
        <f t="shared" si="388"/>
        <v>0</v>
      </c>
      <c r="AD1811" s="421"/>
      <c r="AE1811" s="413"/>
      <c r="AF1811" s="424">
        <f t="shared" si="389"/>
        <v>11239376.300000001</v>
      </c>
      <c r="AG1811" s="405" t="s">
        <v>47</v>
      </c>
      <c r="AH1811" s="405"/>
      <c r="AI1811" s="414" t="s">
        <v>2520</v>
      </c>
      <c r="AJ1811" s="405"/>
      <c r="AK1811" s="425"/>
      <c r="AL1811" s="405"/>
      <c r="AM1811" s="405" t="s">
        <v>52</v>
      </c>
      <c r="AN1811" s="405"/>
      <c r="AO1811" s="405"/>
      <c r="AP1811" s="417"/>
      <c r="AQ1811" s="417" t="s">
        <v>37</v>
      </c>
      <c r="AR1811" s="417"/>
      <c r="AS1811" s="426"/>
      <c r="AT1811" s="426"/>
      <c r="AU1811" s="409"/>
    </row>
    <row r="1812" spans="1:47">
      <c r="A1812" s="403"/>
      <c r="B1812" s="446">
        <v>44629</v>
      </c>
      <c r="C1812" s="446">
        <v>44629</v>
      </c>
      <c r="D1812" s="416" t="s">
        <v>2480</v>
      </c>
      <c r="E1812" s="405" t="s">
        <v>1239</v>
      </c>
      <c r="F1812" s="405"/>
      <c r="G1812" s="405">
        <v>2022</v>
      </c>
      <c r="H1812" s="405"/>
      <c r="I1812" s="405">
        <v>2005163</v>
      </c>
      <c r="J1812" s="406"/>
      <c r="K1812" s="414" t="s">
        <v>2519</v>
      </c>
      <c r="L1812" s="405" t="s">
        <v>2481</v>
      </c>
      <c r="M1812" s="418">
        <v>44610</v>
      </c>
      <c r="N1812" s="418">
        <v>44652</v>
      </c>
      <c r="O1812" s="418">
        <v>44652</v>
      </c>
      <c r="P1812" s="406"/>
      <c r="Q1812" s="406"/>
      <c r="R1812" s="406"/>
      <c r="S1812" s="405" t="s">
        <v>1940</v>
      </c>
      <c r="T1812" s="405">
        <v>72</v>
      </c>
      <c r="U1812" s="405"/>
      <c r="V1812" s="405" t="s">
        <v>1895</v>
      </c>
      <c r="W1812" s="405">
        <v>580</v>
      </c>
      <c r="X1812" s="407">
        <v>86217</v>
      </c>
      <c r="Y1812" s="408">
        <f t="shared" si="390"/>
        <v>50005860</v>
      </c>
      <c r="Z1812" s="409">
        <v>0.54</v>
      </c>
      <c r="AA1812" s="410">
        <f t="shared" si="377"/>
        <v>27003164.400000002</v>
      </c>
      <c r="AB1812" s="411"/>
      <c r="AC1812" s="412">
        <f t="shared" si="388"/>
        <v>0</v>
      </c>
      <c r="AD1812" s="421"/>
      <c r="AE1812" s="413"/>
      <c r="AF1812" s="424">
        <f t="shared" si="389"/>
        <v>27003164.400000002</v>
      </c>
      <c r="AG1812" s="405" t="s">
        <v>47</v>
      </c>
      <c r="AH1812" s="405"/>
      <c r="AI1812" s="414" t="s">
        <v>2520</v>
      </c>
      <c r="AJ1812" s="405"/>
      <c r="AK1812" s="425"/>
      <c r="AL1812" s="405"/>
      <c r="AM1812" s="405" t="s">
        <v>52</v>
      </c>
      <c r="AN1812" s="405"/>
      <c r="AO1812" s="405"/>
      <c r="AP1812" s="417"/>
      <c r="AQ1812" s="417" t="s">
        <v>37</v>
      </c>
      <c r="AR1812" s="417"/>
      <c r="AS1812" s="426"/>
      <c r="AT1812" s="426"/>
      <c r="AU1812" s="409"/>
    </row>
    <row r="1813" spans="1:47">
      <c r="A1813" s="403"/>
      <c r="B1813" s="446">
        <v>44616</v>
      </c>
      <c r="C1813" s="446"/>
      <c r="D1813" s="416" t="s">
        <v>2480</v>
      </c>
      <c r="E1813" s="405" t="s">
        <v>2612</v>
      </c>
      <c r="F1813" s="405"/>
      <c r="G1813" s="405">
        <v>2022</v>
      </c>
      <c r="H1813" s="405"/>
      <c r="I1813" s="405" t="s">
        <v>1498</v>
      </c>
      <c r="J1813" s="406"/>
      <c r="K1813" s="414" t="s">
        <v>2643</v>
      </c>
      <c r="L1813" s="405" t="s">
        <v>2481</v>
      </c>
      <c r="M1813" s="418">
        <v>44615</v>
      </c>
      <c r="N1813" s="418">
        <v>44747</v>
      </c>
      <c r="O1813" s="418"/>
      <c r="P1813" s="406" t="s">
        <v>2614</v>
      </c>
      <c r="Q1813" s="406"/>
      <c r="R1813" s="406"/>
      <c r="S1813" s="405" t="s">
        <v>1940</v>
      </c>
      <c r="T1813" s="405">
        <v>72</v>
      </c>
      <c r="U1813" s="405" t="s">
        <v>1615</v>
      </c>
      <c r="V1813" s="405" t="s">
        <v>1002</v>
      </c>
      <c r="W1813" s="405">
        <v>475</v>
      </c>
      <c r="X1813" s="407">
        <v>580</v>
      </c>
      <c r="Y1813" s="408">
        <f t="shared" si="390"/>
        <v>275500</v>
      </c>
      <c r="Z1813" s="409">
        <v>0.495</v>
      </c>
      <c r="AA1813" s="410">
        <f t="shared" si="377"/>
        <v>136372.5</v>
      </c>
      <c r="AB1813" s="411"/>
      <c r="AC1813" s="412">
        <f t="shared" si="388"/>
        <v>0</v>
      </c>
      <c r="AD1813" s="421"/>
      <c r="AE1813" s="413"/>
      <c r="AF1813" s="424">
        <f t="shared" si="389"/>
        <v>136372.5</v>
      </c>
      <c r="AG1813" s="405" t="s">
        <v>47</v>
      </c>
      <c r="AH1813" s="405"/>
      <c r="AI1813" s="414" t="s">
        <v>2507</v>
      </c>
      <c r="AJ1813" s="405" t="s">
        <v>2563</v>
      </c>
      <c r="AK1813" s="425" t="s">
        <v>1312</v>
      </c>
      <c r="AL1813" s="405">
        <v>5676</v>
      </c>
      <c r="AM1813" s="405" t="s">
        <v>52</v>
      </c>
      <c r="AN1813" s="405" t="s">
        <v>50</v>
      </c>
      <c r="AO1813" s="405"/>
      <c r="AP1813" s="417"/>
      <c r="AQ1813" s="417" t="s">
        <v>37</v>
      </c>
      <c r="AR1813" s="417"/>
      <c r="AS1813" s="426"/>
      <c r="AT1813" s="426"/>
      <c r="AU1813" s="409"/>
    </row>
    <row r="1814" spans="1:47">
      <c r="A1814" s="403"/>
      <c r="B1814" s="446">
        <v>44650</v>
      </c>
      <c r="C1814" s="446" t="s">
        <v>4300</v>
      </c>
      <c r="D1814" s="416" t="s">
        <v>2480</v>
      </c>
      <c r="E1814" s="405" t="s">
        <v>2789</v>
      </c>
      <c r="F1814" s="405"/>
      <c r="G1814" s="405">
        <v>2022</v>
      </c>
      <c r="H1814" s="405"/>
      <c r="I1814" s="405" t="s">
        <v>1498</v>
      </c>
      <c r="J1814" s="406"/>
      <c r="K1814" s="414" t="s">
        <v>2790</v>
      </c>
      <c r="L1814" s="405" t="s">
        <v>2481</v>
      </c>
      <c r="M1814" s="418">
        <v>44649</v>
      </c>
      <c r="N1814" s="418">
        <v>44743</v>
      </c>
      <c r="O1814" s="418"/>
      <c r="P1814" s="406" t="s">
        <v>2614</v>
      </c>
      <c r="Q1814" s="406"/>
      <c r="R1814" s="406"/>
      <c r="S1814" s="405" t="s">
        <v>1940</v>
      </c>
      <c r="T1814" s="405">
        <v>72</v>
      </c>
      <c r="U1814" s="405"/>
      <c r="V1814" s="405" t="s">
        <v>1068</v>
      </c>
      <c r="W1814" s="405">
        <v>475</v>
      </c>
      <c r="X1814" s="407">
        <v>580</v>
      </c>
      <c r="Y1814" s="408">
        <f t="shared" si="390"/>
        <v>275500</v>
      </c>
      <c r="Z1814" s="409">
        <v>0.51</v>
      </c>
      <c r="AA1814" s="410">
        <f t="shared" si="377"/>
        <v>140505</v>
      </c>
      <c r="AB1814" s="411"/>
      <c r="AC1814" s="412">
        <f t="shared" si="388"/>
        <v>0</v>
      </c>
      <c r="AD1814" s="421"/>
      <c r="AE1814" s="413"/>
      <c r="AF1814" s="424">
        <f t="shared" si="389"/>
        <v>140505</v>
      </c>
      <c r="AG1814" s="405" t="s">
        <v>47</v>
      </c>
      <c r="AH1814" s="405">
        <v>100</v>
      </c>
      <c r="AI1814" s="414"/>
      <c r="AJ1814" s="405" t="s">
        <v>2563</v>
      </c>
      <c r="AK1814" s="425" t="s">
        <v>1312</v>
      </c>
      <c r="AL1814" s="405">
        <v>5676</v>
      </c>
      <c r="AM1814" s="405" t="s">
        <v>52</v>
      </c>
      <c r="AN1814" s="405"/>
      <c r="AO1814" s="405"/>
      <c r="AP1814" s="417"/>
      <c r="AQ1814" s="417" t="s">
        <v>37</v>
      </c>
      <c r="AR1814" s="417"/>
      <c r="AS1814" s="426"/>
      <c r="AT1814" s="426"/>
      <c r="AU1814" s="409">
        <v>0.55000000000000004</v>
      </c>
    </row>
    <row r="1815" spans="1:47">
      <c r="A1815" s="403"/>
      <c r="B1815" s="446">
        <v>44650</v>
      </c>
      <c r="C1815" s="446" t="s">
        <v>4300</v>
      </c>
      <c r="D1815" s="416" t="s">
        <v>2480</v>
      </c>
      <c r="E1815" s="405" t="s">
        <v>2789</v>
      </c>
      <c r="F1815" s="405"/>
      <c r="G1815" s="405">
        <v>2022</v>
      </c>
      <c r="H1815" s="405"/>
      <c r="I1815" s="405" t="s">
        <v>1498</v>
      </c>
      <c r="J1815" s="406"/>
      <c r="K1815" s="414" t="s">
        <v>2791</v>
      </c>
      <c r="L1815" s="405" t="s">
        <v>2481</v>
      </c>
      <c r="M1815" s="418">
        <v>44649</v>
      </c>
      <c r="N1815" s="418">
        <v>44774</v>
      </c>
      <c r="O1815" s="418"/>
      <c r="P1815" s="406" t="s">
        <v>2614</v>
      </c>
      <c r="Q1815" s="406"/>
      <c r="R1815" s="406"/>
      <c r="S1815" s="405" t="s">
        <v>1940</v>
      </c>
      <c r="T1815" s="405">
        <v>72</v>
      </c>
      <c r="U1815" s="405"/>
      <c r="V1815" s="405" t="s">
        <v>1068</v>
      </c>
      <c r="W1815" s="405">
        <v>475</v>
      </c>
      <c r="X1815" s="407">
        <v>580</v>
      </c>
      <c r="Y1815" s="408">
        <f t="shared" si="390"/>
        <v>275500</v>
      </c>
      <c r="Z1815" s="409">
        <v>0.51</v>
      </c>
      <c r="AA1815" s="410">
        <f t="shared" si="377"/>
        <v>140505</v>
      </c>
      <c r="AB1815" s="411"/>
      <c r="AC1815" s="412">
        <f t="shared" si="388"/>
        <v>0</v>
      </c>
      <c r="AD1815" s="421"/>
      <c r="AE1815" s="413"/>
      <c r="AF1815" s="424">
        <f t="shared" si="389"/>
        <v>140505</v>
      </c>
      <c r="AG1815" s="405" t="s">
        <v>47</v>
      </c>
      <c r="AH1815" s="405">
        <v>100</v>
      </c>
      <c r="AI1815" s="414"/>
      <c r="AJ1815" s="405" t="s">
        <v>2563</v>
      </c>
      <c r="AK1815" s="425" t="s">
        <v>1312</v>
      </c>
      <c r="AL1815" s="405">
        <v>5676</v>
      </c>
      <c r="AM1815" s="405" t="s">
        <v>52</v>
      </c>
      <c r="AN1815" s="405"/>
      <c r="AO1815" s="405"/>
      <c r="AP1815" s="417"/>
      <c r="AQ1815" s="417" t="s">
        <v>37</v>
      </c>
      <c r="AR1815" s="417"/>
      <c r="AS1815" s="426"/>
      <c r="AT1815" s="426"/>
      <c r="AU1815" s="409">
        <v>0.55000000000000004</v>
      </c>
    </row>
    <row r="1816" spans="1:47">
      <c r="A1816" s="403"/>
      <c r="B1816" s="446">
        <v>44650</v>
      </c>
      <c r="C1816" s="446" t="s">
        <v>4300</v>
      </c>
      <c r="D1816" s="416" t="s">
        <v>2480</v>
      </c>
      <c r="E1816" s="405" t="s">
        <v>2789</v>
      </c>
      <c r="F1816" s="405"/>
      <c r="G1816" s="405">
        <v>2022</v>
      </c>
      <c r="H1816" s="405"/>
      <c r="I1816" s="405" t="s">
        <v>1498</v>
      </c>
      <c r="J1816" s="406"/>
      <c r="K1816" s="414" t="s">
        <v>2792</v>
      </c>
      <c r="L1816" s="405" t="s">
        <v>2481</v>
      </c>
      <c r="M1816" s="418">
        <v>44649</v>
      </c>
      <c r="N1816" s="418">
        <v>44683</v>
      </c>
      <c r="O1816" s="418"/>
      <c r="P1816" s="406" t="s">
        <v>2614</v>
      </c>
      <c r="Q1816" s="406"/>
      <c r="R1816" s="406"/>
      <c r="S1816" s="405" t="s">
        <v>1940</v>
      </c>
      <c r="T1816" s="405">
        <v>72</v>
      </c>
      <c r="U1816" s="405"/>
      <c r="V1816" s="405" t="s">
        <v>1068</v>
      </c>
      <c r="W1816" s="405">
        <v>475</v>
      </c>
      <c r="X1816" s="407">
        <v>290</v>
      </c>
      <c r="Y1816" s="408">
        <f t="shared" si="390"/>
        <v>137750</v>
      </c>
      <c r="Z1816" s="409">
        <v>0.51</v>
      </c>
      <c r="AA1816" s="410">
        <f t="shared" si="377"/>
        <v>70252.5</v>
      </c>
      <c r="AB1816" s="411"/>
      <c r="AC1816" s="412">
        <f t="shared" si="388"/>
        <v>0</v>
      </c>
      <c r="AD1816" s="421"/>
      <c r="AE1816" s="413"/>
      <c r="AF1816" s="424">
        <f t="shared" si="389"/>
        <v>70252.5</v>
      </c>
      <c r="AG1816" s="405" t="s">
        <v>47</v>
      </c>
      <c r="AH1816" s="405">
        <v>100</v>
      </c>
      <c r="AI1816" s="414"/>
      <c r="AJ1816" s="405" t="s">
        <v>2793</v>
      </c>
      <c r="AK1816" s="425" t="s">
        <v>1130</v>
      </c>
      <c r="AL1816" s="405">
        <v>12401</v>
      </c>
      <c r="AM1816" s="405" t="s">
        <v>52</v>
      </c>
      <c r="AN1816" s="405"/>
      <c r="AO1816" s="405"/>
      <c r="AP1816" s="417"/>
      <c r="AQ1816" s="417" t="s">
        <v>37</v>
      </c>
      <c r="AR1816" s="417"/>
      <c r="AS1816" s="426"/>
      <c r="AT1816" s="426"/>
      <c r="AU1816" s="409">
        <v>0.55000000000000004</v>
      </c>
    </row>
    <row r="1817" spans="1:47">
      <c r="A1817" s="403"/>
      <c r="B1817" s="446">
        <v>44659</v>
      </c>
      <c r="C1817" s="446" t="s">
        <v>4301</v>
      </c>
      <c r="D1817" s="416" t="s">
        <v>2480</v>
      </c>
      <c r="E1817" s="405" t="s">
        <v>2794</v>
      </c>
      <c r="F1817" s="405"/>
      <c r="G1817" s="405">
        <v>2022</v>
      </c>
      <c r="H1817" s="405"/>
      <c r="I1817" s="405" t="s">
        <v>1498</v>
      </c>
      <c r="J1817" s="406"/>
      <c r="K1817" s="414" t="s">
        <v>2795</v>
      </c>
      <c r="L1817" s="405" t="s">
        <v>2481</v>
      </c>
      <c r="M1817" s="418">
        <v>44657</v>
      </c>
      <c r="N1817" s="418">
        <v>44728</v>
      </c>
      <c r="O1817" s="418"/>
      <c r="P1817" s="406"/>
      <c r="Q1817" s="406"/>
      <c r="R1817" s="406"/>
      <c r="S1817" s="405" t="s">
        <v>1940</v>
      </c>
      <c r="T1817" s="405">
        <v>72</v>
      </c>
      <c r="U1817" s="405"/>
      <c r="V1817" s="405" t="s">
        <v>1068</v>
      </c>
      <c r="W1817" s="405">
        <v>480</v>
      </c>
      <c r="X1817" s="407">
        <v>319</v>
      </c>
      <c r="Y1817" s="408">
        <f t="shared" si="390"/>
        <v>153120</v>
      </c>
      <c r="Z1817" s="409">
        <v>0.48</v>
      </c>
      <c r="AA1817" s="410">
        <f t="shared" si="377"/>
        <v>73497.599999999991</v>
      </c>
      <c r="AB1817" s="411"/>
      <c r="AC1817" s="412">
        <f t="shared" si="388"/>
        <v>0</v>
      </c>
      <c r="AD1817" s="421"/>
      <c r="AE1817" s="413"/>
      <c r="AF1817" s="424">
        <f t="shared" si="389"/>
        <v>73497.599999999991</v>
      </c>
      <c r="AG1817" s="405" t="s">
        <v>47</v>
      </c>
      <c r="AH1817" s="405"/>
      <c r="AI1817" s="414" t="s">
        <v>1937</v>
      </c>
      <c r="AJ1817" s="405" t="s">
        <v>2664</v>
      </c>
      <c r="AK1817" s="425" t="s">
        <v>1930</v>
      </c>
      <c r="AL1817" s="405">
        <v>81623</v>
      </c>
      <c r="AM1817" s="405" t="s">
        <v>52</v>
      </c>
      <c r="AN1817" s="405"/>
      <c r="AO1817" s="405"/>
      <c r="AP1817" s="417"/>
      <c r="AQ1817" s="417" t="s">
        <v>37</v>
      </c>
      <c r="AR1817" s="417"/>
      <c r="AS1817" s="426"/>
      <c r="AT1817" s="426"/>
      <c r="AU1817" s="409">
        <v>0.55000000000000004</v>
      </c>
    </row>
    <row r="1818" spans="1:47">
      <c r="A1818" s="403"/>
      <c r="B1818" s="403"/>
      <c r="C1818" s="445">
        <v>44685</v>
      </c>
      <c r="D1818" s="416" t="s">
        <v>2480</v>
      </c>
      <c r="E1818" s="405" t="s">
        <v>4783</v>
      </c>
      <c r="F1818" s="405"/>
      <c r="G1818" s="405">
        <v>2022</v>
      </c>
      <c r="H1818" s="405"/>
      <c r="I1818" s="405" t="s">
        <v>1498</v>
      </c>
      <c r="J1818" s="406"/>
      <c r="K1818" s="414" t="s">
        <v>4609</v>
      </c>
      <c r="L1818" s="405" t="s">
        <v>2485</v>
      </c>
      <c r="M1818" s="418">
        <v>44679</v>
      </c>
      <c r="N1818" s="418">
        <v>44713</v>
      </c>
      <c r="O1818" s="418"/>
      <c r="P1818" s="406"/>
      <c r="Q1818" s="406"/>
      <c r="R1818" s="406"/>
      <c r="S1818" s="405" t="s">
        <v>1940</v>
      </c>
      <c r="T1818" s="405">
        <v>60</v>
      </c>
      <c r="U1818" s="405"/>
      <c r="V1818" s="405" t="s">
        <v>967</v>
      </c>
      <c r="W1818" s="405">
        <v>410</v>
      </c>
      <c r="X1818" s="407">
        <v>1536</v>
      </c>
      <c r="Y1818" s="422">
        <f t="shared" si="390"/>
        <v>629760</v>
      </c>
      <c r="Z1818" s="409">
        <v>0.64</v>
      </c>
      <c r="AA1818" s="423">
        <f t="shared" ref="AA1818:AA1855" si="391">Z1818*Y1818</f>
        <v>403046.40000000002</v>
      </c>
      <c r="AB1818" s="411"/>
      <c r="AC1818" s="412">
        <f t="shared" si="388"/>
        <v>0</v>
      </c>
      <c r="AD1818" s="421"/>
      <c r="AE1818" s="413"/>
      <c r="AF1818" s="424">
        <f t="shared" si="389"/>
        <v>403046.40000000002</v>
      </c>
      <c r="AG1818" s="405" t="s">
        <v>1069</v>
      </c>
      <c r="AH1818" s="405">
        <v>60</v>
      </c>
      <c r="AI1818" s="414"/>
      <c r="AJ1818" s="405" t="s">
        <v>2486</v>
      </c>
      <c r="AK1818" s="425" t="s">
        <v>1136</v>
      </c>
      <c r="AL1818" s="405">
        <v>76011</v>
      </c>
      <c r="AM1818" s="405" t="s">
        <v>52</v>
      </c>
      <c r="AN1818" s="405"/>
      <c r="AO1818" s="405"/>
      <c r="AP1818" s="417"/>
      <c r="AQ1818" s="417" t="s">
        <v>37</v>
      </c>
      <c r="AR1818" s="417" t="s">
        <v>2800</v>
      </c>
      <c r="AS1818" s="426"/>
      <c r="AT1818" s="426"/>
      <c r="AU1818" s="409">
        <v>0.5</v>
      </c>
    </row>
    <row r="1819" spans="1:47">
      <c r="A1819" s="403"/>
      <c r="B1819" s="445">
        <v>44685</v>
      </c>
      <c r="C1819" s="445">
        <v>44685</v>
      </c>
      <c r="D1819" s="416" t="s">
        <v>2480</v>
      </c>
      <c r="E1819" s="405" t="s">
        <v>2367</v>
      </c>
      <c r="F1819" s="405"/>
      <c r="G1819" s="405">
        <v>2022</v>
      </c>
      <c r="H1819" s="405"/>
      <c r="I1819" s="405" t="s">
        <v>1498</v>
      </c>
      <c r="J1819" s="406"/>
      <c r="K1819" s="414" t="s">
        <v>4609</v>
      </c>
      <c r="L1819" s="405" t="s">
        <v>2485</v>
      </c>
      <c r="M1819" s="418">
        <v>44679</v>
      </c>
      <c r="N1819" s="418">
        <v>44713</v>
      </c>
      <c r="O1819" s="418"/>
      <c r="P1819" s="406"/>
      <c r="Q1819" s="406"/>
      <c r="R1819" s="406"/>
      <c r="S1819" s="405" t="s">
        <v>1940</v>
      </c>
      <c r="T1819" s="405">
        <v>60</v>
      </c>
      <c r="U1819" s="405"/>
      <c r="V1819" s="405" t="s">
        <v>967</v>
      </c>
      <c r="W1819" s="405">
        <v>410</v>
      </c>
      <c r="X1819" s="407">
        <v>1536</v>
      </c>
      <c r="Y1819" s="408">
        <f t="shared" si="390"/>
        <v>629760</v>
      </c>
      <c r="Z1819" s="409">
        <v>0.64</v>
      </c>
      <c r="AA1819" s="410">
        <f t="shared" si="391"/>
        <v>403046.40000000002</v>
      </c>
      <c r="AB1819" s="411"/>
      <c r="AC1819" s="412">
        <f t="shared" si="388"/>
        <v>0</v>
      </c>
      <c r="AD1819" s="421"/>
      <c r="AE1819" s="413"/>
      <c r="AF1819" s="424">
        <f t="shared" si="389"/>
        <v>403046.40000000002</v>
      </c>
      <c r="AG1819" s="405" t="s">
        <v>1069</v>
      </c>
      <c r="AH1819" s="405">
        <v>60</v>
      </c>
      <c r="AI1819" s="414"/>
      <c r="AJ1819" s="405" t="s">
        <v>2486</v>
      </c>
      <c r="AK1819" s="425" t="s">
        <v>1136</v>
      </c>
      <c r="AL1819" s="405">
        <v>76011</v>
      </c>
      <c r="AM1819" s="405" t="s">
        <v>52</v>
      </c>
      <c r="AN1819" s="405"/>
      <c r="AO1819" s="405"/>
      <c r="AP1819" s="417"/>
      <c r="AQ1819" s="417" t="s">
        <v>37</v>
      </c>
      <c r="AR1819" s="417" t="s">
        <v>2800</v>
      </c>
      <c r="AS1819" s="426"/>
      <c r="AT1819" s="426"/>
      <c r="AU1819" s="409">
        <v>0.5</v>
      </c>
    </row>
    <row r="1820" spans="1:47">
      <c r="A1820" s="403"/>
      <c r="B1820" s="403"/>
      <c r="C1820" s="445">
        <v>44685</v>
      </c>
      <c r="D1820" s="416" t="s">
        <v>2480</v>
      </c>
      <c r="E1820" s="405" t="s">
        <v>4783</v>
      </c>
      <c r="F1820" s="405"/>
      <c r="G1820" s="405">
        <v>2022</v>
      </c>
      <c r="H1820" s="405"/>
      <c r="I1820" s="405" t="s">
        <v>1498</v>
      </c>
      <c r="J1820" s="406"/>
      <c r="K1820" s="414" t="s">
        <v>4610</v>
      </c>
      <c r="L1820" s="405" t="s">
        <v>2485</v>
      </c>
      <c r="M1820" s="418">
        <v>44679</v>
      </c>
      <c r="N1820" s="418">
        <v>44743</v>
      </c>
      <c r="O1820" s="418"/>
      <c r="P1820" s="406"/>
      <c r="Q1820" s="406"/>
      <c r="R1820" s="406"/>
      <c r="S1820" s="405" t="s">
        <v>1940</v>
      </c>
      <c r="T1820" s="405">
        <v>60</v>
      </c>
      <c r="U1820" s="405"/>
      <c r="V1820" s="405" t="s">
        <v>967</v>
      </c>
      <c r="W1820" s="405">
        <v>410</v>
      </c>
      <c r="X1820" s="407">
        <v>1536</v>
      </c>
      <c r="Y1820" s="422">
        <f t="shared" si="390"/>
        <v>629760</v>
      </c>
      <c r="Z1820" s="409">
        <v>0.64</v>
      </c>
      <c r="AA1820" s="423">
        <f t="shared" si="391"/>
        <v>403046.40000000002</v>
      </c>
      <c r="AB1820" s="411"/>
      <c r="AC1820" s="412">
        <f t="shared" si="388"/>
        <v>0</v>
      </c>
      <c r="AD1820" s="421"/>
      <c r="AE1820" s="413"/>
      <c r="AF1820" s="424">
        <f t="shared" si="389"/>
        <v>403046.40000000002</v>
      </c>
      <c r="AG1820" s="405" t="s">
        <v>1069</v>
      </c>
      <c r="AH1820" s="405">
        <v>60</v>
      </c>
      <c r="AI1820" s="414"/>
      <c r="AJ1820" s="405" t="s">
        <v>2486</v>
      </c>
      <c r="AK1820" s="425" t="s">
        <v>1136</v>
      </c>
      <c r="AL1820" s="405">
        <v>76011</v>
      </c>
      <c r="AM1820" s="405" t="s">
        <v>52</v>
      </c>
      <c r="AN1820" s="405"/>
      <c r="AO1820" s="405"/>
      <c r="AP1820" s="417"/>
      <c r="AQ1820" s="417" t="s">
        <v>37</v>
      </c>
      <c r="AR1820" s="417" t="s">
        <v>2800</v>
      </c>
      <c r="AS1820" s="426"/>
      <c r="AT1820" s="426"/>
      <c r="AU1820" s="409">
        <v>0.5</v>
      </c>
    </row>
    <row r="1821" spans="1:47">
      <c r="A1821" s="403"/>
      <c r="B1821" s="445">
        <v>44685</v>
      </c>
      <c r="C1821" s="445">
        <v>44685</v>
      </c>
      <c r="D1821" s="416" t="s">
        <v>2480</v>
      </c>
      <c r="E1821" s="405" t="s">
        <v>2367</v>
      </c>
      <c r="F1821" s="405"/>
      <c r="G1821" s="405">
        <v>2022</v>
      </c>
      <c r="H1821" s="405"/>
      <c r="I1821" s="405" t="s">
        <v>1498</v>
      </c>
      <c r="J1821" s="406"/>
      <c r="K1821" s="414" t="s">
        <v>4610</v>
      </c>
      <c r="L1821" s="405" t="s">
        <v>2485</v>
      </c>
      <c r="M1821" s="418">
        <v>44679</v>
      </c>
      <c r="N1821" s="418">
        <v>44743</v>
      </c>
      <c r="O1821" s="418"/>
      <c r="P1821" s="406"/>
      <c r="Q1821" s="406"/>
      <c r="R1821" s="406"/>
      <c r="S1821" s="405" t="s">
        <v>1940</v>
      </c>
      <c r="T1821" s="405">
        <v>60</v>
      </c>
      <c r="U1821" s="405"/>
      <c r="V1821" s="405" t="s">
        <v>967</v>
      </c>
      <c r="W1821" s="405">
        <v>410</v>
      </c>
      <c r="X1821" s="407">
        <v>1536</v>
      </c>
      <c r="Y1821" s="408">
        <f t="shared" si="390"/>
        <v>629760</v>
      </c>
      <c r="Z1821" s="409">
        <v>0.64</v>
      </c>
      <c r="AA1821" s="410">
        <f t="shared" si="391"/>
        <v>403046.40000000002</v>
      </c>
      <c r="AB1821" s="411"/>
      <c r="AC1821" s="412">
        <f t="shared" si="388"/>
        <v>0</v>
      </c>
      <c r="AD1821" s="421"/>
      <c r="AE1821" s="413"/>
      <c r="AF1821" s="424">
        <f t="shared" si="389"/>
        <v>403046.40000000002</v>
      </c>
      <c r="AG1821" s="405" t="s">
        <v>1069</v>
      </c>
      <c r="AH1821" s="405">
        <v>60</v>
      </c>
      <c r="AI1821" s="414"/>
      <c r="AJ1821" s="405" t="s">
        <v>2486</v>
      </c>
      <c r="AK1821" s="425" t="s">
        <v>1136</v>
      </c>
      <c r="AL1821" s="405">
        <v>76011</v>
      </c>
      <c r="AM1821" s="405" t="s">
        <v>52</v>
      </c>
      <c r="AN1821" s="405"/>
      <c r="AO1821" s="405"/>
      <c r="AP1821" s="417"/>
      <c r="AQ1821" s="417" t="s">
        <v>37</v>
      </c>
      <c r="AR1821" s="417" t="s">
        <v>2800</v>
      </c>
      <c r="AS1821" s="426"/>
      <c r="AT1821" s="426"/>
      <c r="AU1821" s="409">
        <v>0.5</v>
      </c>
    </row>
    <row r="1822" spans="1:47">
      <c r="A1822" s="403"/>
      <c r="B1822" s="403"/>
      <c r="C1822" s="445">
        <v>44685</v>
      </c>
      <c r="D1822" s="416" t="s">
        <v>2480</v>
      </c>
      <c r="E1822" s="405" t="s">
        <v>4783</v>
      </c>
      <c r="F1822" s="405"/>
      <c r="G1822" s="405">
        <v>2022</v>
      </c>
      <c r="H1822" s="405"/>
      <c r="I1822" s="405" t="s">
        <v>1498</v>
      </c>
      <c r="J1822" s="406"/>
      <c r="K1822" s="414" t="s">
        <v>4611</v>
      </c>
      <c r="L1822" s="405" t="s">
        <v>2485</v>
      </c>
      <c r="M1822" s="418">
        <v>44679</v>
      </c>
      <c r="N1822" s="418">
        <v>44774</v>
      </c>
      <c r="O1822" s="418"/>
      <c r="P1822" s="406"/>
      <c r="Q1822" s="406"/>
      <c r="R1822" s="406"/>
      <c r="S1822" s="405" t="s">
        <v>1940</v>
      </c>
      <c r="T1822" s="405">
        <v>60</v>
      </c>
      <c r="U1822" s="405"/>
      <c r="V1822" s="405" t="s">
        <v>967</v>
      </c>
      <c r="W1822" s="405">
        <v>410</v>
      </c>
      <c r="X1822" s="407">
        <v>1536</v>
      </c>
      <c r="Y1822" s="422">
        <f t="shared" si="390"/>
        <v>629760</v>
      </c>
      <c r="Z1822" s="409">
        <v>0.64</v>
      </c>
      <c r="AA1822" s="423">
        <f t="shared" si="391"/>
        <v>403046.40000000002</v>
      </c>
      <c r="AB1822" s="411"/>
      <c r="AC1822" s="412">
        <f t="shared" si="388"/>
        <v>0</v>
      </c>
      <c r="AD1822" s="421"/>
      <c r="AE1822" s="413"/>
      <c r="AF1822" s="424">
        <f t="shared" si="389"/>
        <v>403046.40000000002</v>
      </c>
      <c r="AG1822" s="405" t="s">
        <v>1069</v>
      </c>
      <c r="AH1822" s="405">
        <v>60</v>
      </c>
      <c r="AI1822" s="414"/>
      <c r="AJ1822" s="405" t="s">
        <v>2486</v>
      </c>
      <c r="AK1822" s="425" t="s">
        <v>1136</v>
      </c>
      <c r="AL1822" s="405">
        <v>76011</v>
      </c>
      <c r="AM1822" s="405" t="s">
        <v>52</v>
      </c>
      <c r="AN1822" s="405"/>
      <c r="AO1822" s="405"/>
      <c r="AP1822" s="417"/>
      <c r="AQ1822" s="417" t="s">
        <v>37</v>
      </c>
      <c r="AR1822" s="417" t="s">
        <v>2800</v>
      </c>
      <c r="AS1822" s="426"/>
      <c r="AT1822" s="426"/>
      <c r="AU1822" s="409">
        <v>0.5</v>
      </c>
    </row>
    <row r="1823" spans="1:47">
      <c r="A1823" s="403"/>
      <c r="B1823" s="445">
        <v>44685</v>
      </c>
      <c r="C1823" s="445">
        <v>44685</v>
      </c>
      <c r="D1823" s="416" t="s">
        <v>2480</v>
      </c>
      <c r="E1823" s="405" t="s">
        <v>2367</v>
      </c>
      <c r="F1823" s="405"/>
      <c r="G1823" s="405">
        <v>2022</v>
      </c>
      <c r="H1823" s="405"/>
      <c r="I1823" s="405" t="s">
        <v>1498</v>
      </c>
      <c r="J1823" s="406"/>
      <c r="K1823" s="414" t="s">
        <v>4611</v>
      </c>
      <c r="L1823" s="405" t="s">
        <v>2485</v>
      </c>
      <c r="M1823" s="418">
        <v>44679</v>
      </c>
      <c r="N1823" s="418">
        <v>44774</v>
      </c>
      <c r="O1823" s="418"/>
      <c r="P1823" s="406"/>
      <c r="Q1823" s="406"/>
      <c r="R1823" s="406"/>
      <c r="S1823" s="405" t="s">
        <v>1940</v>
      </c>
      <c r="T1823" s="405">
        <v>60</v>
      </c>
      <c r="U1823" s="405"/>
      <c r="V1823" s="405" t="s">
        <v>967</v>
      </c>
      <c r="W1823" s="405">
        <v>410</v>
      </c>
      <c r="X1823" s="407">
        <v>1536</v>
      </c>
      <c r="Y1823" s="408">
        <f t="shared" si="390"/>
        <v>629760</v>
      </c>
      <c r="Z1823" s="409">
        <v>0.64</v>
      </c>
      <c r="AA1823" s="410">
        <f t="shared" si="391"/>
        <v>403046.40000000002</v>
      </c>
      <c r="AB1823" s="411"/>
      <c r="AC1823" s="412">
        <f t="shared" si="388"/>
        <v>0</v>
      </c>
      <c r="AD1823" s="421"/>
      <c r="AE1823" s="413"/>
      <c r="AF1823" s="424">
        <f t="shared" si="389"/>
        <v>403046.40000000002</v>
      </c>
      <c r="AG1823" s="405" t="s">
        <v>1069</v>
      </c>
      <c r="AH1823" s="405">
        <v>60</v>
      </c>
      <c r="AI1823" s="414"/>
      <c r="AJ1823" s="405" t="s">
        <v>2486</v>
      </c>
      <c r="AK1823" s="425" t="s">
        <v>1136</v>
      </c>
      <c r="AL1823" s="405">
        <v>76011</v>
      </c>
      <c r="AM1823" s="405" t="s">
        <v>52</v>
      </c>
      <c r="AN1823" s="405"/>
      <c r="AO1823" s="405"/>
      <c r="AP1823" s="417"/>
      <c r="AQ1823" s="417" t="s">
        <v>37</v>
      </c>
      <c r="AR1823" s="417" t="s">
        <v>2800</v>
      </c>
      <c r="AS1823" s="426"/>
      <c r="AT1823" s="426"/>
      <c r="AU1823" s="409">
        <v>0.5</v>
      </c>
    </row>
    <row r="1824" spans="1:47">
      <c r="A1824" s="403"/>
      <c r="B1824" s="403"/>
      <c r="C1824" s="445">
        <v>44685</v>
      </c>
      <c r="D1824" s="416" t="s">
        <v>2480</v>
      </c>
      <c r="E1824" s="405" t="s">
        <v>4783</v>
      </c>
      <c r="F1824" s="405"/>
      <c r="G1824" s="405">
        <v>2022</v>
      </c>
      <c r="H1824" s="405"/>
      <c r="I1824" s="405" t="s">
        <v>1498</v>
      </c>
      <c r="J1824" s="406"/>
      <c r="K1824" s="414" t="s">
        <v>4612</v>
      </c>
      <c r="L1824" s="405" t="s">
        <v>2485</v>
      </c>
      <c r="M1824" s="418">
        <v>44679</v>
      </c>
      <c r="N1824" s="418">
        <v>44805</v>
      </c>
      <c r="O1824" s="418"/>
      <c r="P1824" s="406"/>
      <c r="Q1824" s="406"/>
      <c r="R1824" s="406"/>
      <c r="S1824" s="405" t="s">
        <v>1940</v>
      </c>
      <c r="T1824" s="405">
        <v>60</v>
      </c>
      <c r="U1824" s="405"/>
      <c r="V1824" s="405" t="s">
        <v>967</v>
      </c>
      <c r="W1824" s="405">
        <v>410</v>
      </c>
      <c r="X1824" s="407">
        <v>768</v>
      </c>
      <c r="Y1824" s="422">
        <f t="shared" si="390"/>
        <v>314880</v>
      </c>
      <c r="Z1824" s="409">
        <v>0.64</v>
      </c>
      <c r="AA1824" s="423">
        <f t="shared" si="391"/>
        <v>201523.20000000001</v>
      </c>
      <c r="AB1824" s="411"/>
      <c r="AC1824" s="412">
        <f t="shared" si="388"/>
        <v>0</v>
      </c>
      <c r="AD1824" s="421"/>
      <c r="AE1824" s="413"/>
      <c r="AF1824" s="424">
        <f t="shared" si="389"/>
        <v>201523.20000000001</v>
      </c>
      <c r="AG1824" s="405" t="s">
        <v>1069</v>
      </c>
      <c r="AH1824" s="405">
        <v>60</v>
      </c>
      <c r="AI1824" s="414"/>
      <c r="AJ1824" s="405" t="s">
        <v>2486</v>
      </c>
      <c r="AK1824" s="425" t="s">
        <v>1136</v>
      </c>
      <c r="AL1824" s="405">
        <v>76011</v>
      </c>
      <c r="AM1824" s="405" t="s">
        <v>52</v>
      </c>
      <c r="AN1824" s="405"/>
      <c r="AO1824" s="405"/>
      <c r="AP1824" s="417"/>
      <c r="AQ1824" s="417" t="s">
        <v>37</v>
      </c>
      <c r="AR1824" s="417" t="s">
        <v>2800</v>
      </c>
      <c r="AS1824" s="426"/>
      <c r="AT1824" s="426"/>
      <c r="AU1824" s="409">
        <v>0.5</v>
      </c>
    </row>
    <row r="1825" spans="1:47">
      <c r="A1825" s="403"/>
      <c r="B1825" s="445">
        <v>44685</v>
      </c>
      <c r="C1825" s="445">
        <v>44685</v>
      </c>
      <c r="D1825" s="416" t="s">
        <v>2480</v>
      </c>
      <c r="E1825" s="405" t="s">
        <v>2367</v>
      </c>
      <c r="F1825" s="405"/>
      <c r="G1825" s="405">
        <v>2022</v>
      </c>
      <c r="H1825" s="405"/>
      <c r="I1825" s="405" t="s">
        <v>1498</v>
      </c>
      <c r="J1825" s="406"/>
      <c r="K1825" s="414" t="s">
        <v>4612</v>
      </c>
      <c r="L1825" s="405" t="s">
        <v>2485</v>
      </c>
      <c r="M1825" s="418">
        <v>44679</v>
      </c>
      <c r="N1825" s="418">
        <v>44805</v>
      </c>
      <c r="O1825" s="418"/>
      <c r="P1825" s="406"/>
      <c r="Q1825" s="406"/>
      <c r="R1825" s="406"/>
      <c r="S1825" s="405" t="s">
        <v>1940</v>
      </c>
      <c r="T1825" s="405">
        <v>60</v>
      </c>
      <c r="U1825" s="405"/>
      <c r="V1825" s="405" t="s">
        <v>967</v>
      </c>
      <c r="W1825" s="405">
        <v>410</v>
      </c>
      <c r="X1825" s="407">
        <v>768</v>
      </c>
      <c r="Y1825" s="408">
        <f t="shared" si="390"/>
        <v>314880</v>
      </c>
      <c r="Z1825" s="409">
        <v>0.64</v>
      </c>
      <c r="AA1825" s="410">
        <f t="shared" si="391"/>
        <v>201523.20000000001</v>
      </c>
      <c r="AB1825" s="411"/>
      <c r="AC1825" s="412">
        <f t="shared" si="388"/>
        <v>0</v>
      </c>
      <c r="AD1825" s="421"/>
      <c r="AE1825" s="413"/>
      <c r="AF1825" s="424">
        <f t="shared" si="389"/>
        <v>201523.20000000001</v>
      </c>
      <c r="AG1825" s="405" t="s">
        <v>1069</v>
      </c>
      <c r="AH1825" s="405">
        <v>60</v>
      </c>
      <c r="AI1825" s="414"/>
      <c r="AJ1825" s="405" t="s">
        <v>2486</v>
      </c>
      <c r="AK1825" s="425" t="s">
        <v>1136</v>
      </c>
      <c r="AL1825" s="405">
        <v>76011</v>
      </c>
      <c r="AM1825" s="405" t="s">
        <v>52</v>
      </c>
      <c r="AN1825" s="405"/>
      <c r="AO1825" s="405"/>
      <c r="AP1825" s="417"/>
      <c r="AQ1825" s="417" t="s">
        <v>37</v>
      </c>
      <c r="AR1825" s="417" t="s">
        <v>2800</v>
      </c>
      <c r="AS1825" s="426"/>
      <c r="AT1825" s="426"/>
      <c r="AU1825" s="409">
        <v>0.5</v>
      </c>
    </row>
    <row r="1826" spans="1:47">
      <c r="A1826" s="403"/>
      <c r="B1826" s="403"/>
      <c r="C1826" s="445">
        <v>44685</v>
      </c>
      <c r="D1826" s="416" t="s">
        <v>2480</v>
      </c>
      <c r="E1826" s="405" t="s">
        <v>4783</v>
      </c>
      <c r="F1826" s="405"/>
      <c r="G1826" s="405">
        <v>2022</v>
      </c>
      <c r="H1826" s="405"/>
      <c r="I1826" s="405" t="s">
        <v>1498</v>
      </c>
      <c r="J1826" s="406"/>
      <c r="K1826" s="414" t="s">
        <v>4613</v>
      </c>
      <c r="L1826" s="405" t="s">
        <v>2485</v>
      </c>
      <c r="M1826" s="418">
        <v>44679</v>
      </c>
      <c r="N1826" s="418">
        <v>44835</v>
      </c>
      <c r="O1826" s="418"/>
      <c r="P1826" s="406"/>
      <c r="Q1826" s="406"/>
      <c r="R1826" s="406"/>
      <c r="S1826" s="405" t="s">
        <v>1940</v>
      </c>
      <c r="T1826" s="405">
        <v>60</v>
      </c>
      <c r="U1826" s="405"/>
      <c r="V1826" s="405" t="s">
        <v>967</v>
      </c>
      <c r="W1826" s="405">
        <v>410</v>
      </c>
      <c r="X1826" s="407">
        <v>768</v>
      </c>
      <c r="Y1826" s="422">
        <f t="shared" si="390"/>
        <v>314880</v>
      </c>
      <c r="Z1826" s="409">
        <v>0.64</v>
      </c>
      <c r="AA1826" s="423">
        <f t="shared" si="391"/>
        <v>201523.20000000001</v>
      </c>
      <c r="AB1826" s="411"/>
      <c r="AC1826" s="412">
        <f t="shared" si="388"/>
        <v>0</v>
      </c>
      <c r="AD1826" s="421"/>
      <c r="AE1826" s="413"/>
      <c r="AF1826" s="424">
        <f t="shared" si="389"/>
        <v>201523.20000000001</v>
      </c>
      <c r="AG1826" s="405" t="s">
        <v>1069</v>
      </c>
      <c r="AH1826" s="405">
        <v>60</v>
      </c>
      <c r="AI1826" s="414"/>
      <c r="AJ1826" s="405" t="s">
        <v>2486</v>
      </c>
      <c r="AK1826" s="425" t="s">
        <v>1136</v>
      </c>
      <c r="AL1826" s="405">
        <v>76011</v>
      </c>
      <c r="AM1826" s="405" t="s">
        <v>52</v>
      </c>
      <c r="AN1826" s="405"/>
      <c r="AO1826" s="405"/>
      <c r="AP1826" s="417"/>
      <c r="AQ1826" s="417" t="s">
        <v>37</v>
      </c>
      <c r="AR1826" s="417" t="s">
        <v>2800</v>
      </c>
      <c r="AS1826" s="426"/>
      <c r="AT1826" s="426"/>
      <c r="AU1826" s="409">
        <v>0.5</v>
      </c>
    </row>
    <row r="1827" spans="1:47">
      <c r="A1827" s="403"/>
      <c r="B1827" s="445">
        <v>44685</v>
      </c>
      <c r="C1827" s="445">
        <v>44685</v>
      </c>
      <c r="D1827" s="416" t="s">
        <v>2480</v>
      </c>
      <c r="E1827" s="405" t="s">
        <v>2367</v>
      </c>
      <c r="F1827" s="405"/>
      <c r="G1827" s="405">
        <v>2022</v>
      </c>
      <c r="H1827" s="405"/>
      <c r="I1827" s="405" t="s">
        <v>1498</v>
      </c>
      <c r="J1827" s="406"/>
      <c r="K1827" s="414" t="s">
        <v>4613</v>
      </c>
      <c r="L1827" s="405" t="s">
        <v>2485</v>
      </c>
      <c r="M1827" s="418">
        <v>44679</v>
      </c>
      <c r="N1827" s="418">
        <v>44835</v>
      </c>
      <c r="O1827" s="418"/>
      <c r="P1827" s="406"/>
      <c r="Q1827" s="406"/>
      <c r="R1827" s="406"/>
      <c r="S1827" s="405" t="s">
        <v>1940</v>
      </c>
      <c r="T1827" s="405">
        <v>60</v>
      </c>
      <c r="U1827" s="405"/>
      <c r="V1827" s="405" t="s">
        <v>967</v>
      </c>
      <c r="W1827" s="405">
        <v>410</v>
      </c>
      <c r="X1827" s="407">
        <v>768</v>
      </c>
      <c r="Y1827" s="408">
        <f t="shared" si="390"/>
        <v>314880</v>
      </c>
      <c r="Z1827" s="409">
        <v>0.64</v>
      </c>
      <c r="AA1827" s="410">
        <f t="shared" si="391"/>
        <v>201523.20000000001</v>
      </c>
      <c r="AB1827" s="411"/>
      <c r="AC1827" s="412">
        <f t="shared" si="388"/>
        <v>0</v>
      </c>
      <c r="AD1827" s="421"/>
      <c r="AE1827" s="413"/>
      <c r="AF1827" s="424">
        <f t="shared" si="389"/>
        <v>201523.20000000001</v>
      </c>
      <c r="AG1827" s="405" t="s">
        <v>1069</v>
      </c>
      <c r="AH1827" s="405">
        <v>60</v>
      </c>
      <c r="AI1827" s="414"/>
      <c r="AJ1827" s="405" t="s">
        <v>2486</v>
      </c>
      <c r="AK1827" s="425" t="s">
        <v>1136</v>
      </c>
      <c r="AL1827" s="405">
        <v>76011</v>
      </c>
      <c r="AM1827" s="405" t="s">
        <v>52</v>
      </c>
      <c r="AN1827" s="405"/>
      <c r="AO1827" s="405"/>
      <c r="AP1827" s="417"/>
      <c r="AQ1827" s="417" t="s">
        <v>37</v>
      </c>
      <c r="AR1827" s="417" t="s">
        <v>2800</v>
      </c>
      <c r="AS1827" s="426"/>
      <c r="AT1827" s="426"/>
      <c r="AU1827" s="409">
        <v>0.5</v>
      </c>
    </row>
    <row r="1828" spans="1:47">
      <c r="A1828" s="403"/>
      <c r="B1828" s="403"/>
      <c r="C1828" s="445">
        <v>44685</v>
      </c>
      <c r="D1828" s="416" t="s">
        <v>2480</v>
      </c>
      <c r="E1828" s="405" t="s">
        <v>4783</v>
      </c>
      <c r="F1828" s="405"/>
      <c r="G1828" s="405">
        <v>2022</v>
      </c>
      <c r="H1828" s="405"/>
      <c r="I1828" s="405" t="s">
        <v>1498</v>
      </c>
      <c r="J1828" s="406"/>
      <c r="K1828" s="414" t="s">
        <v>4614</v>
      </c>
      <c r="L1828" s="405" t="s">
        <v>2485</v>
      </c>
      <c r="M1828" s="418">
        <v>44679</v>
      </c>
      <c r="N1828" s="418">
        <v>44866</v>
      </c>
      <c r="O1828" s="418"/>
      <c r="P1828" s="406"/>
      <c r="Q1828" s="406"/>
      <c r="R1828" s="406"/>
      <c r="S1828" s="405" t="s">
        <v>1940</v>
      </c>
      <c r="T1828" s="405">
        <v>60</v>
      </c>
      <c r="U1828" s="405"/>
      <c r="V1828" s="405" t="s">
        <v>967</v>
      </c>
      <c r="W1828" s="405">
        <v>410</v>
      </c>
      <c r="X1828" s="407">
        <v>768</v>
      </c>
      <c r="Y1828" s="422">
        <f t="shared" si="390"/>
        <v>314880</v>
      </c>
      <c r="Z1828" s="409">
        <v>0.64</v>
      </c>
      <c r="AA1828" s="423">
        <f t="shared" si="391"/>
        <v>201523.20000000001</v>
      </c>
      <c r="AB1828" s="411"/>
      <c r="AC1828" s="412">
        <f t="shared" si="388"/>
        <v>0</v>
      </c>
      <c r="AD1828" s="421"/>
      <c r="AE1828" s="413"/>
      <c r="AF1828" s="424">
        <f t="shared" si="389"/>
        <v>201523.20000000001</v>
      </c>
      <c r="AG1828" s="405" t="s">
        <v>1069</v>
      </c>
      <c r="AH1828" s="405">
        <v>60</v>
      </c>
      <c r="AI1828" s="414"/>
      <c r="AJ1828" s="405" t="s">
        <v>2486</v>
      </c>
      <c r="AK1828" s="425" t="s">
        <v>1136</v>
      </c>
      <c r="AL1828" s="405">
        <v>76011</v>
      </c>
      <c r="AM1828" s="405" t="s">
        <v>52</v>
      </c>
      <c r="AN1828" s="405"/>
      <c r="AO1828" s="405"/>
      <c r="AP1828" s="417"/>
      <c r="AQ1828" s="417" t="s">
        <v>37</v>
      </c>
      <c r="AR1828" s="417" t="s">
        <v>2800</v>
      </c>
      <c r="AS1828" s="426"/>
      <c r="AT1828" s="426"/>
      <c r="AU1828" s="409">
        <v>0.5</v>
      </c>
    </row>
    <row r="1829" spans="1:47">
      <c r="A1829" s="403"/>
      <c r="B1829" s="445">
        <v>44685</v>
      </c>
      <c r="C1829" s="445">
        <v>44685</v>
      </c>
      <c r="D1829" s="416" t="s">
        <v>2480</v>
      </c>
      <c r="E1829" s="405" t="s">
        <v>2367</v>
      </c>
      <c r="F1829" s="405"/>
      <c r="G1829" s="405">
        <v>2022</v>
      </c>
      <c r="H1829" s="405"/>
      <c r="I1829" s="405" t="s">
        <v>1498</v>
      </c>
      <c r="J1829" s="406"/>
      <c r="K1829" s="414" t="s">
        <v>4614</v>
      </c>
      <c r="L1829" s="405" t="s">
        <v>2485</v>
      </c>
      <c r="M1829" s="418">
        <v>44679</v>
      </c>
      <c r="N1829" s="418">
        <v>44866</v>
      </c>
      <c r="O1829" s="418"/>
      <c r="P1829" s="406"/>
      <c r="Q1829" s="406"/>
      <c r="R1829" s="406"/>
      <c r="S1829" s="405" t="s">
        <v>1940</v>
      </c>
      <c r="T1829" s="405">
        <v>60</v>
      </c>
      <c r="U1829" s="405"/>
      <c r="V1829" s="405" t="s">
        <v>967</v>
      </c>
      <c r="W1829" s="405">
        <v>410</v>
      </c>
      <c r="X1829" s="407">
        <v>768</v>
      </c>
      <c r="Y1829" s="408">
        <f t="shared" si="390"/>
        <v>314880</v>
      </c>
      <c r="Z1829" s="409">
        <v>0.64</v>
      </c>
      <c r="AA1829" s="410">
        <f t="shared" si="391"/>
        <v>201523.20000000001</v>
      </c>
      <c r="AB1829" s="411"/>
      <c r="AC1829" s="412">
        <f t="shared" si="388"/>
        <v>0</v>
      </c>
      <c r="AD1829" s="421"/>
      <c r="AE1829" s="413"/>
      <c r="AF1829" s="424">
        <f t="shared" si="389"/>
        <v>201523.20000000001</v>
      </c>
      <c r="AG1829" s="405" t="s">
        <v>1069</v>
      </c>
      <c r="AH1829" s="405">
        <v>60</v>
      </c>
      <c r="AI1829" s="414"/>
      <c r="AJ1829" s="405" t="s">
        <v>2486</v>
      </c>
      <c r="AK1829" s="425" t="s">
        <v>1136</v>
      </c>
      <c r="AL1829" s="405">
        <v>76011</v>
      </c>
      <c r="AM1829" s="405" t="s">
        <v>52</v>
      </c>
      <c r="AN1829" s="405"/>
      <c r="AO1829" s="405"/>
      <c r="AP1829" s="417"/>
      <c r="AQ1829" s="417" t="s">
        <v>37</v>
      </c>
      <c r="AR1829" s="417" t="s">
        <v>2800</v>
      </c>
      <c r="AS1829" s="426"/>
      <c r="AT1829" s="426"/>
      <c r="AU1829" s="409">
        <v>0.5</v>
      </c>
    </row>
    <row r="1830" spans="1:47">
      <c r="A1830" s="403"/>
      <c r="B1830" s="403"/>
      <c r="C1830" s="445">
        <v>44685</v>
      </c>
      <c r="D1830" s="416" t="s">
        <v>2480</v>
      </c>
      <c r="E1830" s="405" t="s">
        <v>4783</v>
      </c>
      <c r="F1830" s="405"/>
      <c r="G1830" s="405">
        <v>2022</v>
      </c>
      <c r="H1830" s="405"/>
      <c r="I1830" s="405" t="s">
        <v>1498</v>
      </c>
      <c r="J1830" s="406"/>
      <c r="K1830" s="414" t="s">
        <v>4615</v>
      </c>
      <c r="L1830" s="405" t="s">
        <v>2485</v>
      </c>
      <c r="M1830" s="418">
        <v>44679</v>
      </c>
      <c r="N1830" s="418">
        <v>44896</v>
      </c>
      <c r="O1830" s="418"/>
      <c r="P1830" s="406"/>
      <c r="Q1830" s="406"/>
      <c r="R1830" s="406"/>
      <c r="S1830" s="405" t="s">
        <v>1940</v>
      </c>
      <c r="T1830" s="405">
        <v>60</v>
      </c>
      <c r="U1830" s="405"/>
      <c r="V1830" s="405" t="s">
        <v>967</v>
      </c>
      <c r="W1830" s="405">
        <v>410</v>
      </c>
      <c r="X1830" s="407">
        <v>768</v>
      </c>
      <c r="Y1830" s="408">
        <f t="shared" si="390"/>
        <v>314880</v>
      </c>
      <c r="Z1830" s="409">
        <v>0.64</v>
      </c>
      <c r="AA1830" s="410">
        <f t="shared" si="391"/>
        <v>201523.20000000001</v>
      </c>
      <c r="AB1830" s="411"/>
      <c r="AC1830" s="412">
        <f t="shared" si="388"/>
        <v>0</v>
      </c>
      <c r="AD1830" s="421"/>
      <c r="AE1830" s="413"/>
      <c r="AF1830" s="424">
        <f t="shared" si="389"/>
        <v>201523.20000000001</v>
      </c>
      <c r="AG1830" s="405" t="s">
        <v>1069</v>
      </c>
      <c r="AH1830" s="405">
        <v>60</v>
      </c>
      <c r="AI1830" s="414"/>
      <c r="AJ1830" s="405" t="s">
        <v>2486</v>
      </c>
      <c r="AK1830" s="425" t="s">
        <v>1136</v>
      </c>
      <c r="AL1830" s="405">
        <v>76011</v>
      </c>
      <c r="AM1830" s="405" t="s">
        <v>52</v>
      </c>
      <c r="AN1830" s="405"/>
      <c r="AO1830" s="405"/>
      <c r="AP1830" s="417"/>
      <c r="AQ1830" s="417" t="s">
        <v>37</v>
      </c>
      <c r="AR1830" s="417" t="s">
        <v>2800</v>
      </c>
      <c r="AS1830" s="426"/>
      <c r="AT1830" s="426"/>
      <c r="AU1830" s="409">
        <v>0.5</v>
      </c>
    </row>
    <row r="1831" spans="1:47">
      <c r="A1831" s="403"/>
      <c r="B1831" s="445">
        <v>44685</v>
      </c>
      <c r="C1831" s="445">
        <v>44685</v>
      </c>
      <c r="D1831" s="416" t="s">
        <v>2480</v>
      </c>
      <c r="E1831" s="405" t="s">
        <v>2367</v>
      </c>
      <c r="F1831" s="405"/>
      <c r="G1831" s="405">
        <v>2022</v>
      </c>
      <c r="H1831" s="405"/>
      <c r="I1831" s="405" t="s">
        <v>1498</v>
      </c>
      <c r="J1831" s="406"/>
      <c r="K1831" s="414" t="s">
        <v>4615</v>
      </c>
      <c r="L1831" s="405" t="s">
        <v>2485</v>
      </c>
      <c r="M1831" s="418">
        <v>44679</v>
      </c>
      <c r="N1831" s="418">
        <v>44896</v>
      </c>
      <c r="O1831" s="418"/>
      <c r="P1831" s="406"/>
      <c r="Q1831" s="406"/>
      <c r="R1831" s="406"/>
      <c r="S1831" s="405" t="s">
        <v>1940</v>
      </c>
      <c r="T1831" s="405">
        <v>60</v>
      </c>
      <c r="U1831" s="405"/>
      <c r="V1831" s="405" t="s">
        <v>967</v>
      </c>
      <c r="W1831" s="405">
        <v>410</v>
      </c>
      <c r="X1831" s="407">
        <v>768</v>
      </c>
      <c r="Y1831" s="408">
        <f t="shared" si="390"/>
        <v>314880</v>
      </c>
      <c r="Z1831" s="409">
        <v>0.64</v>
      </c>
      <c r="AA1831" s="410">
        <f t="shared" si="391"/>
        <v>201523.20000000001</v>
      </c>
      <c r="AB1831" s="411"/>
      <c r="AC1831" s="412">
        <f t="shared" si="388"/>
        <v>0</v>
      </c>
      <c r="AD1831" s="421"/>
      <c r="AE1831" s="413"/>
      <c r="AF1831" s="424">
        <f t="shared" si="389"/>
        <v>201523.20000000001</v>
      </c>
      <c r="AG1831" s="405" t="s">
        <v>1069</v>
      </c>
      <c r="AH1831" s="405">
        <v>60</v>
      </c>
      <c r="AI1831" s="414"/>
      <c r="AJ1831" s="405" t="s">
        <v>2486</v>
      </c>
      <c r="AK1831" s="425" t="s">
        <v>1136</v>
      </c>
      <c r="AL1831" s="405">
        <v>76011</v>
      </c>
      <c r="AM1831" s="405" t="s">
        <v>52</v>
      </c>
      <c r="AN1831" s="405"/>
      <c r="AO1831" s="405"/>
      <c r="AP1831" s="417"/>
      <c r="AQ1831" s="417" t="s">
        <v>37</v>
      </c>
      <c r="AR1831" s="417" t="s">
        <v>2800</v>
      </c>
      <c r="AS1831" s="426"/>
      <c r="AT1831" s="426"/>
      <c r="AU1831" s="409">
        <v>0.5</v>
      </c>
    </row>
    <row r="1832" spans="1:47">
      <c r="A1832" s="403"/>
      <c r="B1832" s="445">
        <v>44685</v>
      </c>
      <c r="C1832" s="445">
        <v>44685</v>
      </c>
      <c r="D1832" s="416" t="s">
        <v>2480</v>
      </c>
      <c r="E1832" s="405" t="s">
        <v>2367</v>
      </c>
      <c r="F1832" s="405"/>
      <c r="G1832" s="405">
        <v>2022</v>
      </c>
      <c r="H1832" s="405"/>
      <c r="I1832" s="405" t="s">
        <v>1498</v>
      </c>
      <c r="J1832" s="406"/>
      <c r="K1832" s="414" t="s">
        <v>4615</v>
      </c>
      <c r="L1832" s="405" t="s">
        <v>2485</v>
      </c>
      <c r="M1832" s="418">
        <v>44679</v>
      </c>
      <c r="N1832" s="418">
        <v>44896</v>
      </c>
      <c r="O1832" s="418"/>
      <c r="P1832" s="406"/>
      <c r="Q1832" s="406"/>
      <c r="R1832" s="406"/>
      <c r="S1832" s="405" t="s">
        <v>1940</v>
      </c>
      <c r="T1832" s="405">
        <v>60</v>
      </c>
      <c r="U1832" s="405"/>
      <c r="V1832" s="405" t="s">
        <v>967</v>
      </c>
      <c r="W1832" s="405">
        <v>410</v>
      </c>
      <c r="X1832" s="407">
        <v>768</v>
      </c>
      <c r="Y1832" s="408">
        <f t="shared" si="390"/>
        <v>314880</v>
      </c>
      <c r="Z1832" s="409">
        <v>0.64</v>
      </c>
      <c r="AA1832" s="410">
        <f t="shared" si="391"/>
        <v>201523.20000000001</v>
      </c>
      <c r="AB1832" s="411"/>
      <c r="AC1832" s="412">
        <f t="shared" si="388"/>
        <v>0</v>
      </c>
      <c r="AD1832" s="421"/>
      <c r="AE1832" s="413"/>
      <c r="AF1832" s="424">
        <f t="shared" si="389"/>
        <v>201523.20000000001</v>
      </c>
      <c r="AG1832" s="405" t="s">
        <v>1069</v>
      </c>
      <c r="AH1832" s="405">
        <v>60</v>
      </c>
      <c r="AI1832" s="414"/>
      <c r="AJ1832" s="405" t="s">
        <v>2486</v>
      </c>
      <c r="AK1832" s="425" t="s">
        <v>1136</v>
      </c>
      <c r="AL1832" s="405">
        <v>76011</v>
      </c>
      <c r="AM1832" s="405" t="s">
        <v>52</v>
      </c>
      <c r="AN1832" s="405"/>
      <c r="AO1832" s="405"/>
      <c r="AP1832" s="417"/>
      <c r="AQ1832" s="417" t="s">
        <v>37</v>
      </c>
      <c r="AR1832" s="417" t="s">
        <v>2800</v>
      </c>
      <c r="AS1832" s="426"/>
      <c r="AT1832" s="426"/>
      <c r="AU1832" s="400">
        <v>0.5</v>
      </c>
    </row>
    <row r="1833" spans="1:47">
      <c r="A1833" s="403"/>
      <c r="B1833" s="445">
        <v>44685</v>
      </c>
      <c r="C1833" s="445">
        <v>44685</v>
      </c>
      <c r="D1833" s="416" t="s">
        <v>2480</v>
      </c>
      <c r="E1833" s="405" t="s">
        <v>2367</v>
      </c>
      <c r="F1833" s="405"/>
      <c r="G1833" s="405">
        <v>2022</v>
      </c>
      <c r="H1833" s="405"/>
      <c r="I1833" s="405" t="s">
        <v>1498</v>
      </c>
      <c r="J1833" s="406"/>
      <c r="K1833" s="414" t="s">
        <v>4615</v>
      </c>
      <c r="L1833" s="405" t="s">
        <v>2485</v>
      </c>
      <c r="M1833" s="418">
        <v>44679</v>
      </c>
      <c r="N1833" s="418">
        <v>44896</v>
      </c>
      <c r="O1833" s="418"/>
      <c r="P1833" s="406"/>
      <c r="Q1833" s="406"/>
      <c r="R1833" s="406"/>
      <c r="S1833" s="405" t="s">
        <v>1940</v>
      </c>
      <c r="T1833" s="405">
        <v>60</v>
      </c>
      <c r="U1833" s="405"/>
      <c r="V1833" s="405" t="s">
        <v>967</v>
      </c>
      <c r="W1833" s="405">
        <v>410</v>
      </c>
      <c r="X1833" s="407">
        <v>768</v>
      </c>
      <c r="Y1833" s="408">
        <f t="shared" si="390"/>
        <v>314880</v>
      </c>
      <c r="Z1833" s="409">
        <v>0.64</v>
      </c>
      <c r="AA1833" s="410">
        <f t="shared" si="391"/>
        <v>201523.20000000001</v>
      </c>
      <c r="AB1833" s="411"/>
      <c r="AC1833" s="412">
        <f t="shared" si="388"/>
        <v>0</v>
      </c>
      <c r="AD1833" s="421"/>
      <c r="AE1833" s="413"/>
      <c r="AF1833" s="424">
        <f t="shared" si="389"/>
        <v>201523.20000000001</v>
      </c>
      <c r="AG1833" s="405" t="s">
        <v>1069</v>
      </c>
      <c r="AH1833" s="405">
        <v>60</v>
      </c>
      <c r="AI1833" s="414"/>
      <c r="AJ1833" s="405" t="s">
        <v>2486</v>
      </c>
      <c r="AK1833" s="425" t="s">
        <v>1136</v>
      </c>
      <c r="AL1833" s="405">
        <v>76011</v>
      </c>
      <c r="AM1833" s="405" t="s">
        <v>52</v>
      </c>
      <c r="AN1833" s="405"/>
      <c r="AO1833" s="405"/>
      <c r="AP1833" s="417"/>
      <c r="AQ1833" s="417" t="s">
        <v>37</v>
      </c>
      <c r="AR1833" s="417" t="s">
        <v>2800</v>
      </c>
      <c r="AS1833" s="426"/>
      <c r="AT1833" s="426"/>
      <c r="AU1833" s="400">
        <v>0.5</v>
      </c>
    </row>
    <row r="1834" spans="1:47">
      <c r="A1834" s="403"/>
      <c r="B1834" s="445">
        <v>44685</v>
      </c>
      <c r="C1834" s="445">
        <v>44685</v>
      </c>
      <c r="D1834" s="416" t="s">
        <v>2480</v>
      </c>
      <c r="E1834" s="405" t="s">
        <v>2367</v>
      </c>
      <c r="F1834" s="405"/>
      <c r="G1834" s="405">
        <v>2022</v>
      </c>
      <c r="H1834" s="405"/>
      <c r="I1834" s="405" t="s">
        <v>1498</v>
      </c>
      <c r="J1834" s="406"/>
      <c r="K1834" s="414" t="s">
        <v>4615</v>
      </c>
      <c r="L1834" s="405" t="s">
        <v>2485</v>
      </c>
      <c r="M1834" s="418">
        <v>44679</v>
      </c>
      <c r="N1834" s="418">
        <v>44896</v>
      </c>
      <c r="O1834" s="418"/>
      <c r="P1834" s="406"/>
      <c r="Q1834" s="406"/>
      <c r="R1834" s="406"/>
      <c r="S1834" s="405" t="s">
        <v>1940</v>
      </c>
      <c r="T1834" s="405">
        <v>60</v>
      </c>
      <c r="U1834" s="405"/>
      <c r="V1834" s="405" t="s">
        <v>967</v>
      </c>
      <c r="W1834" s="405">
        <v>410</v>
      </c>
      <c r="X1834" s="407">
        <v>768</v>
      </c>
      <c r="Y1834" s="408">
        <f t="shared" si="390"/>
        <v>314880</v>
      </c>
      <c r="Z1834" s="409">
        <v>0.64</v>
      </c>
      <c r="AA1834" s="410">
        <f t="shared" si="391"/>
        <v>201523.20000000001</v>
      </c>
      <c r="AB1834" s="411"/>
      <c r="AC1834" s="412">
        <f t="shared" si="388"/>
        <v>0</v>
      </c>
      <c r="AD1834" s="421"/>
      <c r="AE1834" s="413"/>
      <c r="AF1834" s="424">
        <f t="shared" si="389"/>
        <v>201523.20000000001</v>
      </c>
      <c r="AG1834" s="405" t="s">
        <v>1069</v>
      </c>
      <c r="AH1834" s="405">
        <v>60</v>
      </c>
      <c r="AI1834" s="414"/>
      <c r="AJ1834" s="405" t="s">
        <v>2486</v>
      </c>
      <c r="AK1834" s="425" t="s">
        <v>1136</v>
      </c>
      <c r="AL1834" s="405">
        <v>76011</v>
      </c>
      <c r="AM1834" s="405" t="s">
        <v>52</v>
      </c>
      <c r="AN1834" s="405"/>
      <c r="AO1834" s="405"/>
      <c r="AP1834" s="417"/>
      <c r="AQ1834" s="417" t="s">
        <v>37</v>
      </c>
      <c r="AR1834" s="417" t="s">
        <v>2800</v>
      </c>
      <c r="AS1834" s="426"/>
      <c r="AT1834" s="426"/>
      <c r="AU1834" s="400">
        <v>0.5</v>
      </c>
    </row>
    <row r="1835" spans="1:47">
      <c r="A1835" s="403"/>
      <c r="B1835" s="445">
        <v>44685</v>
      </c>
      <c r="C1835" s="445">
        <v>44685</v>
      </c>
      <c r="D1835" s="416" t="s">
        <v>2480</v>
      </c>
      <c r="E1835" s="405" t="s">
        <v>2367</v>
      </c>
      <c r="F1835" s="405"/>
      <c r="G1835" s="405">
        <v>2022</v>
      </c>
      <c r="H1835" s="405"/>
      <c r="I1835" s="405" t="s">
        <v>1498</v>
      </c>
      <c r="J1835" s="406"/>
      <c r="K1835" s="414" t="s">
        <v>4615</v>
      </c>
      <c r="L1835" s="405" t="s">
        <v>2485</v>
      </c>
      <c r="M1835" s="418">
        <v>44679</v>
      </c>
      <c r="N1835" s="418">
        <v>44896</v>
      </c>
      <c r="O1835" s="418"/>
      <c r="P1835" s="406"/>
      <c r="Q1835" s="406"/>
      <c r="R1835" s="406"/>
      <c r="S1835" s="405" t="s">
        <v>1940</v>
      </c>
      <c r="T1835" s="405">
        <v>60</v>
      </c>
      <c r="U1835" s="405"/>
      <c r="V1835" s="405" t="s">
        <v>967</v>
      </c>
      <c r="W1835" s="405">
        <v>410</v>
      </c>
      <c r="X1835" s="407">
        <v>768</v>
      </c>
      <c r="Y1835" s="408">
        <f t="shared" si="390"/>
        <v>314880</v>
      </c>
      <c r="Z1835" s="409">
        <v>0.64</v>
      </c>
      <c r="AA1835" s="410">
        <f t="shared" si="391"/>
        <v>201523.20000000001</v>
      </c>
      <c r="AB1835" s="411"/>
      <c r="AC1835" s="412">
        <f t="shared" si="388"/>
        <v>0</v>
      </c>
      <c r="AD1835" s="421"/>
      <c r="AE1835" s="413"/>
      <c r="AF1835" s="424">
        <f t="shared" si="389"/>
        <v>201523.20000000001</v>
      </c>
      <c r="AG1835" s="405" t="s">
        <v>1069</v>
      </c>
      <c r="AH1835" s="405">
        <v>60</v>
      </c>
      <c r="AI1835" s="414"/>
      <c r="AJ1835" s="405" t="s">
        <v>2486</v>
      </c>
      <c r="AK1835" s="425" t="s">
        <v>1136</v>
      </c>
      <c r="AL1835" s="405">
        <v>76011</v>
      </c>
      <c r="AM1835" s="405" t="s">
        <v>52</v>
      </c>
      <c r="AN1835" s="405"/>
      <c r="AO1835" s="405"/>
      <c r="AP1835" s="417"/>
      <c r="AQ1835" s="417" t="s">
        <v>37</v>
      </c>
      <c r="AR1835" s="417" t="s">
        <v>2800</v>
      </c>
      <c r="AS1835" s="426"/>
      <c r="AT1835" s="426"/>
      <c r="AU1835" s="400">
        <v>0.5</v>
      </c>
    </row>
    <row r="1836" spans="1:47">
      <c r="A1836" s="403"/>
      <c r="B1836" s="445">
        <v>44664</v>
      </c>
      <c r="C1836" s="445">
        <v>44664</v>
      </c>
      <c r="D1836" s="416" t="s">
        <v>2480</v>
      </c>
      <c r="E1836" s="405" t="s">
        <v>2544</v>
      </c>
      <c r="F1836" s="405"/>
      <c r="G1836" s="405">
        <v>2022</v>
      </c>
      <c r="H1836" s="405"/>
      <c r="I1836" s="405" t="s">
        <v>1498</v>
      </c>
      <c r="J1836" s="406"/>
      <c r="K1836" s="414" t="s">
        <v>2579</v>
      </c>
      <c r="L1836" s="405" t="s">
        <v>2532</v>
      </c>
      <c r="M1836" s="418">
        <v>44657</v>
      </c>
      <c r="N1836" s="418">
        <v>44652</v>
      </c>
      <c r="O1836" s="418"/>
      <c r="P1836" s="406"/>
      <c r="Q1836" s="406"/>
      <c r="R1836" s="406"/>
      <c r="S1836" s="405" t="s">
        <v>1940</v>
      </c>
      <c r="T1836" s="405">
        <v>60</v>
      </c>
      <c r="U1836" s="405"/>
      <c r="V1836" s="405" t="s">
        <v>973</v>
      </c>
      <c r="W1836" s="405">
        <v>400</v>
      </c>
      <c r="X1836" s="407">
        <v>5376</v>
      </c>
      <c r="Y1836" s="422">
        <f t="shared" si="390"/>
        <v>2150400</v>
      </c>
      <c r="Z1836" s="409">
        <v>0.55000000000000004</v>
      </c>
      <c r="AA1836" s="423">
        <f t="shared" si="391"/>
        <v>1182720</v>
      </c>
      <c r="AB1836" s="411"/>
      <c r="AC1836" s="412">
        <f t="shared" si="388"/>
        <v>0</v>
      </c>
      <c r="AD1836" s="421"/>
      <c r="AE1836" s="413"/>
      <c r="AF1836" s="424">
        <f t="shared" si="389"/>
        <v>1182720</v>
      </c>
      <c r="AG1836" s="405" t="s">
        <v>1069</v>
      </c>
      <c r="AH1836" s="405"/>
      <c r="AI1836" s="414" t="s">
        <v>1962</v>
      </c>
      <c r="AJ1836" s="405" t="s">
        <v>2533</v>
      </c>
      <c r="AK1836" s="425" t="s">
        <v>1136</v>
      </c>
      <c r="AL1836" s="405">
        <v>79423</v>
      </c>
      <c r="AM1836" s="405" t="s">
        <v>52</v>
      </c>
      <c r="AN1836" s="405"/>
      <c r="AO1836" s="405"/>
      <c r="AP1836" s="417"/>
      <c r="AQ1836" s="417" t="s">
        <v>37</v>
      </c>
      <c r="AR1836" s="417"/>
      <c r="AS1836" s="426"/>
      <c r="AT1836" s="426"/>
      <c r="AU1836" s="400">
        <v>0.45500000000000002</v>
      </c>
    </row>
    <row r="1837" spans="1:47">
      <c r="A1837" s="403"/>
      <c r="B1837" s="445">
        <v>44664</v>
      </c>
      <c r="C1837" s="445">
        <v>44664</v>
      </c>
      <c r="D1837" s="416" t="s">
        <v>2480</v>
      </c>
      <c r="E1837" s="405" t="s">
        <v>2544</v>
      </c>
      <c r="F1837" s="405"/>
      <c r="G1837" s="405">
        <v>2022</v>
      </c>
      <c r="H1837" s="405"/>
      <c r="I1837" s="405" t="s">
        <v>1498</v>
      </c>
      <c r="J1837" s="406"/>
      <c r="K1837" s="414" t="s">
        <v>2580</v>
      </c>
      <c r="L1837" s="405" t="s">
        <v>2532</v>
      </c>
      <c r="M1837" s="418">
        <v>44657</v>
      </c>
      <c r="N1837" s="418">
        <v>44682</v>
      </c>
      <c r="O1837" s="418"/>
      <c r="P1837" s="406"/>
      <c r="Q1837" s="406"/>
      <c r="R1837" s="406"/>
      <c r="S1837" s="405" t="s">
        <v>1940</v>
      </c>
      <c r="T1837" s="405">
        <v>60</v>
      </c>
      <c r="U1837" s="405"/>
      <c r="V1837" s="405" t="s">
        <v>973</v>
      </c>
      <c r="W1837" s="405">
        <v>400</v>
      </c>
      <c r="X1837" s="407">
        <v>5376</v>
      </c>
      <c r="Y1837" s="422">
        <f t="shared" si="390"/>
        <v>2150400</v>
      </c>
      <c r="Z1837" s="409">
        <v>0.55000000000000004</v>
      </c>
      <c r="AA1837" s="423">
        <f t="shared" si="391"/>
        <v>1182720</v>
      </c>
      <c r="AB1837" s="411"/>
      <c r="AC1837" s="412">
        <f t="shared" si="388"/>
        <v>0</v>
      </c>
      <c r="AD1837" s="421"/>
      <c r="AE1837" s="413"/>
      <c r="AF1837" s="424">
        <f t="shared" si="389"/>
        <v>1182720</v>
      </c>
      <c r="AG1837" s="405" t="s">
        <v>1069</v>
      </c>
      <c r="AH1837" s="405"/>
      <c r="AI1837" s="414" t="s">
        <v>1962</v>
      </c>
      <c r="AJ1837" s="405" t="s">
        <v>2533</v>
      </c>
      <c r="AK1837" s="425" t="s">
        <v>1136</v>
      </c>
      <c r="AL1837" s="405">
        <v>79423</v>
      </c>
      <c r="AM1837" s="405" t="s">
        <v>52</v>
      </c>
      <c r="AN1837" s="405"/>
      <c r="AO1837" s="405"/>
      <c r="AP1837" s="417"/>
      <c r="AQ1837" s="417" t="s">
        <v>37</v>
      </c>
      <c r="AR1837" s="417"/>
      <c r="AS1837" s="426"/>
      <c r="AT1837" s="426"/>
      <c r="AU1837" s="400">
        <v>0.45500000000000002</v>
      </c>
    </row>
    <row r="1838" spans="1:47">
      <c r="A1838" s="403"/>
      <c r="B1838" s="446">
        <v>44651</v>
      </c>
      <c r="C1838" s="446">
        <v>44651</v>
      </c>
      <c r="D1838" s="416" t="s">
        <v>2480</v>
      </c>
      <c r="E1838" s="405" t="s">
        <v>2367</v>
      </c>
      <c r="F1838" s="405"/>
      <c r="G1838" s="405">
        <v>2022</v>
      </c>
      <c r="H1838" s="405"/>
      <c r="I1838" s="405" t="s">
        <v>1498</v>
      </c>
      <c r="J1838" s="406"/>
      <c r="K1838" s="414" t="s">
        <v>2801</v>
      </c>
      <c r="L1838" s="405" t="s">
        <v>2527</v>
      </c>
      <c r="M1838" s="418">
        <v>44650</v>
      </c>
      <c r="N1838" s="418">
        <v>44835</v>
      </c>
      <c r="O1838" s="418"/>
      <c r="P1838" s="406"/>
      <c r="Q1838" s="406"/>
      <c r="R1838" s="406"/>
      <c r="S1838" s="405" t="s">
        <v>1940</v>
      </c>
      <c r="T1838" s="405">
        <v>60</v>
      </c>
      <c r="U1838" s="405"/>
      <c r="V1838" s="405" t="s">
        <v>973</v>
      </c>
      <c r="W1838" s="405">
        <v>400</v>
      </c>
      <c r="X1838" s="407">
        <v>832</v>
      </c>
      <c r="Y1838" s="408">
        <f t="shared" si="390"/>
        <v>332800</v>
      </c>
      <c r="Z1838" s="409">
        <v>0.55000000000000004</v>
      </c>
      <c r="AA1838" s="410">
        <f t="shared" si="391"/>
        <v>183040.00000000003</v>
      </c>
      <c r="AB1838" s="411"/>
      <c r="AC1838" s="412">
        <f t="shared" si="388"/>
        <v>0</v>
      </c>
      <c r="AD1838" s="421"/>
      <c r="AE1838" s="413"/>
      <c r="AF1838" s="424">
        <f t="shared" si="389"/>
        <v>183040.00000000003</v>
      </c>
      <c r="AG1838" s="405" t="s">
        <v>1069</v>
      </c>
      <c r="AH1838" s="405"/>
      <c r="AI1838" s="414" t="s">
        <v>1962</v>
      </c>
      <c r="AJ1838" s="405" t="s">
        <v>1941</v>
      </c>
      <c r="AK1838" s="425" t="s">
        <v>1942</v>
      </c>
      <c r="AL1838" s="405">
        <v>87107</v>
      </c>
      <c r="AM1838" s="405" t="s">
        <v>52</v>
      </c>
      <c r="AN1838" s="405"/>
      <c r="AO1838" s="405"/>
      <c r="AP1838" s="417"/>
      <c r="AQ1838" s="417" t="s">
        <v>37</v>
      </c>
      <c r="AR1838" s="417"/>
      <c r="AS1838" s="426"/>
      <c r="AT1838" s="426"/>
      <c r="AU1838" s="400">
        <v>0.45500000000000002</v>
      </c>
    </row>
    <row r="1839" spans="1:47">
      <c r="A1839" s="403"/>
      <c r="B1839" s="446">
        <v>44651</v>
      </c>
      <c r="C1839" s="446">
        <v>44651</v>
      </c>
      <c r="D1839" s="416" t="s">
        <v>2480</v>
      </c>
      <c r="E1839" s="405" t="s">
        <v>2367</v>
      </c>
      <c r="F1839" s="405"/>
      <c r="G1839" s="405">
        <v>2022</v>
      </c>
      <c r="H1839" s="405"/>
      <c r="I1839" s="405" t="s">
        <v>1498</v>
      </c>
      <c r="J1839" s="406"/>
      <c r="K1839" s="414" t="s">
        <v>2802</v>
      </c>
      <c r="L1839" s="405" t="s">
        <v>2527</v>
      </c>
      <c r="M1839" s="418">
        <v>44650</v>
      </c>
      <c r="N1839" s="418">
        <v>44866</v>
      </c>
      <c r="O1839" s="418"/>
      <c r="P1839" s="406"/>
      <c r="Q1839" s="406"/>
      <c r="R1839" s="406"/>
      <c r="S1839" s="405" t="s">
        <v>1940</v>
      </c>
      <c r="T1839" s="405">
        <v>60</v>
      </c>
      <c r="U1839" s="405"/>
      <c r="V1839" s="405" t="s">
        <v>973</v>
      </c>
      <c r="W1839" s="405">
        <v>400</v>
      </c>
      <c r="X1839" s="407">
        <v>832</v>
      </c>
      <c r="Y1839" s="408">
        <f t="shared" si="390"/>
        <v>332800</v>
      </c>
      <c r="Z1839" s="409">
        <v>0.55000000000000004</v>
      </c>
      <c r="AA1839" s="410">
        <f t="shared" si="391"/>
        <v>183040.00000000003</v>
      </c>
      <c r="AB1839" s="411"/>
      <c r="AC1839" s="412">
        <f t="shared" si="388"/>
        <v>0</v>
      </c>
      <c r="AD1839" s="421"/>
      <c r="AE1839" s="413"/>
      <c r="AF1839" s="424">
        <f t="shared" si="389"/>
        <v>183040.00000000003</v>
      </c>
      <c r="AG1839" s="405" t="s">
        <v>1069</v>
      </c>
      <c r="AH1839" s="405"/>
      <c r="AI1839" s="414" t="s">
        <v>1962</v>
      </c>
      <c r="AJ1839" s="405" t="s">
        <v>1941</v>
      </c>
      <c r="AK1839" s="425" t="s">
        <v>1942</v>
      </c>
      <c r="AL1839" s="405">
        <v>87107</v>
      </c>
      <c r="AM1839" s="405" t="s">
        <v>52</v>
      </c>
      <c r="AN1839" s="405"/>
      <c r="AO1839" s="405"/>
      <c r="AP1839" s="417"/>
      <c r="AQ1839" s="417" t="s">
        <v>37</v>
      </c>
      <c r="AR1839" s="417"/>
      <c r="AS1839" s="426"/>
      <c r="AT1839" s="426"/>
      <c r="AU1839" s="400">
        <v>0.45500000000000002</v>
      </c>
    </row>
    <row r="1840" spans="1:47">
      <c r="A1840" s="403"/>
      <c r="B1840" s="446">
        <v>44651</v>
      </c>
      <c r="C1840" s="446">
        <v>44651</v>
      </c>
      <c r="D1840" s="416" t="s">
        <v>2480</v>
      </c>
      <c r="E1840" s="405" t="s">
        <v>2367</v>
      </c>
      <c r="F1840" s="405"/>
      <c r="G1840" s="405">
        <v>2022</v>
      </c>
      <c r="H1840" s="405"/>
      <c r="I1840" s="405" t="s">
        <v>1498</v>
      </c>
      <c r="J1840" s="406"/>
      <c r="K1840" s="414" t="s">
        <v>2803</v>
      </c>
      <c r="L1840" s="405" t="s">
        <v>2527</v>
      </c>
      <c r="M1840" s="418">
        <v>44650</v>
      </c>
      <c r="N1840" s="418">
        <v>44896</v>
      </c>
      <c r="O1840" s="418"/>
      <c r="P1840" s="406"/>
      <c r="Q1840" s="406"/>
      <c r="R1840" s="406"/>
      <c r="S1840" s="405" t="s">
        <v>1940</v>
      </c>
      <c r="T1840" s="405">
        <v>60</v>
      </c>
      <c r="U1840" s="405"/>
      <c r="V1840" s="405" t="s">
        <v>973</v>
      </c>
      <c r="W1840" s="405">
        <v>400</v>
      </c>
      <c r="X1840" s="407">
        <v>832</v>
      </c>
      <c r="Y1840" s="408">
        <f t="shared" si="390"/>
        <v>332800</v>
      </c>
      <c r="Z1840" s="409">
        <v>0.55000000000000004</v>
      </c>
      <c r="AA1840" s="410">
        <f t="shared" si="391"/>
        <v>183040.00000000003</v>
      </c>
      <c r="AB1840" s="411"/>
      <c r="AC1840" s="412">
        <f t="shared" si="388"/>
        <v>0</v>
      </c>
      <c r="AD1840" s="421"/>
      <c r="AE1840" s="413"/>
      <c r="AF1840" s="424">
        <f t="shared" si="389"/>
        <v>183040.00000000003</v>
      </c>
      <c r="AG1840" s="405" t="s">
        <v>1069</v>
      </c>
      <c r="AH1840" s="405"/>
      <c r="AI1840" s="414" t="s">
        <v>1962</v>
      </c>
      <c r="AJ1840" s="405" t="s">
        <v>1941</v>
      </c>
      <c r="AK1840" s="425" t="s">
        <v>1942</v>
      </c>
      <c r="AL1840" s="405">
        <v>87107</v>
      </c>
      <c r="AM1840" s="405" t="s">
        <v>52</v>
      </c>
      <c r="AN1840" s="405"/>
      <c r="AO1840" s="405"/>
      <c r="AP1840" s="417"/>
      <c r="AQ1840" s="417" t="s">
        <v>37</v>
      </c>
      <c r="AR1840" s="417"/>
      <c r="AS1840" s="426"/>
      <c r="AT1840" s="426"/>
      <c r="AU1840" s="400">
        <v>0.45500000000000002</v>
      </c>
    </row>
    <row r="1841" spans="1:47">
      <c r="A1841" s="403"/>
      <c r="B1841" s="445">
        <v>44616</v>
      </c>
      <c r="C1841" s="445">
        <v>44616</v>
      </c>
      <c r="D1841" s="416" t="s">
        <v>2480</v>
      </c>
      <c r="E1841" s="405" t="s">
        <v>2576</v>
      </c>
      <c r="F1841" s="405"/>
      <c r="G1841" s="405">
        <v>2022</v>
      </c>
      <c r="H1841" s="405">
        <v>6</v>
      </c>
      <c r="I1841" s="416"/>
      <c r="J1841" s="406"/>
      <c r="K1841" s="414" t="s">
        <v>2577</v>
      </c>
      <c r="L1841" s="405" t="s">
        <v>1939</v>
      </c>
      <c r="M1841" s="418">
        <v>44615</v>
      </c>
      <c r="N1841" s="418">
        <v>44615</v>
      </c>
      <c r="O1841" s="418"/>
      <c r="P1841" s="406"/>
      <c r="Q1841" s="406"/>
      <c r="R1841" s="406"/>
      <c r="S1841" s="405" t="s">
        <v>1940</v>
      </c>
      <c r="T1841" s="405">
        <v>60</v>
      </c>
      <c r="U1841" s="405">
        <v>49405140</v>
      </c>
      <c r="V1841" s="405" t="s">
        <v>973</v>
      </c>
      <c r="W1841" s="405">
        <v>400</v>
      </c>
      <c r="X1841" s="407">
        <f>62500-4992-3328-1664-1664-2560-1280-2560-1664-1280-1280-3328-2560-1664-1664-1664-1664-9984-1664-2816-4992-3328-1664-1664-1664-1664-1664-1664-1280-1664+2496+1248+384+320+224</f>
        <v>-3356</v>
      </c>
      <c r="Y1841" s="408">
        <f t="shared" si="390"/>
        <v>-1342400</v>
      </c>
      <c r="Z1841" s="409">
        <f>188/400</f>
        <v>0.47</v>
      </c>
      <c r="AA1841" s="410">
        <f t="shared" si="391"/>
        <v>-630928</v>
      </c>
      <c r="AB1841" s="411"/>
      <c r="AC1841" s="412">
        <f t="shared" si="388"/>
        <v>0</v>
      </c>
      <c r="AD1841" s="421"/>
      <c r="AE1841" s="413"/>
      <c r="AF1841" s="424">
        <f>AA1841+AE1841</f>
        <v>-630928</v>
      </c>
      <c r="AG1841" s="405" t="s">
        <v>47</v>
      </c>
      <c r="AH1841" s="405"/>
      <c r="AI1841" s="414" t="s">
        <v>1937</v>
      </c>
      <c r="AJ1841" s="405" t="s">
        <v>1124</v>
      </c>
      <c r="AK1841" s="425" t="s">
        <v>1125</v>
      </c>
      <c r="AL1841" s="405">
        <v>85210</v>
      </c>
      <c r="AM1841" s="405" t="s">
        <v>52</v>
      </c>
      <c r="AN1841" s="405" t="s">
        <v>1071</v>
      </c>
      <c r="AO1841" s="405"/>
      <c r="AP1841" s="417"/>
      <c r="AQ1841" s="417" t="s">
        <v>37</v>
      </c>
      <c r="AR1841" s="417"/>
      <c r="AS1841" s="426"/>
      <c r="AT1841" s="426"/>
      <c r="AU1841" s="400"/>
    </row>
    <row r="1842" spans="1:47">
      <c r="A1842" s="403"/>
      <c r="B1842" s="445">
        <v>44671</v>
      </c>
      <c r="C1842" s="445">
        <v>44671</v>
      </c>
      <c r="D1842" s="416" t="s">
        <v>2480</v>
      </c>
      <c r="E1842" s="405" t="s">
        <v>2367</v>
      </c>
      <c r="F1842" s="405"/>
      <c r="G1842" s="405">
        <v>2022</v>
      </c>
      <c r="H1842" s="405"/>
      <c r="I1842" s="405" t="s">
        <v>1498</v>
      </c>
      <c r="J1842" s="456"/>
      <c r="K1842" s="414" t="s">
        <v>4195</v>
      </c>
      <c r="L1842" s="405" t="s">
        <v>2549</v>
      </c>
      <c r="M1842" s="418">
        <v>44669</v>
      </c>
      <c r="N1842" s="418">
        <v>44746</v>
      </c>
      <c r="O1842" s="418"/>
      <c r="P1842" s="406"/>
      <c r="Q1842" s="406"/>
      <c r="R1842" s="406"/>
      <c r="S1842" s="405" t="s">
        <v>1443</v>
      </c>
      <c r="T1842" s="405">
        <v>72</v>
      </c>
      <c r="U1842" s="405" t="s">
        <v>2550</v>
      </c>
      <c r="V1842" s="405" t="s">
        <v>1068</v>
      </c>
      <c r="W1842" s="405">
        <v>480</v>
      </c>
      <c r="X1842" s="407">
        <v>3480</v>
      </c>
      <c r="Y1842" s="422">
        <f t="shared" si="390"/>
        <v>1670400</v>
      </c>
      <c r="Z1842" s="409">
        <v>0.56000000000000005</v>
      </c>
      <c r="AA1842" s="423">
        <f t="shared" si="391"/>
        <v>935424.00000000012</v>
      </c>
      <c r="AB1842" s="411"/>
      <c r="AC1842" s="412">
        <f t="shared" si="388"/>
        <v>0</v>
      </c>
      <c r="AD1842" s="421"/>
      <c r="AE1842" s="413"/>
      <c r="AF1842" s="424">
        <f t="shared" ref="AF1842:AF1855" si="392">AE1842+AD1842+AA1842</f>
        <v>935424.00000000012</v>
      </c>
      <c r="AG1842" s="405" t="s">
        <v>1069</v>
      </c>
      <c r="AH1842" s="405"/>
      <c r="AI1842" s="414">
        <v>60</v>
      </c>
      <c r="AJ1842" s="405" t="s">
        <v>1448</v>
      </c>
      <c r="AK1842" s="425" t="s">
        <v>50</v>
      </c>
      <c r="AL1842" s="405">
        <v>94544</v>
      </c>
      <c r="AM1842" s="405" t="s">
        <v>52</v>
      </c>
      <c r="AN1842" s="405"/>
      <c r="AO1842" s="405"/>
      <c r="AP1842" s="417"/>
      <c r="AQ1842" s="417" t="s">
        <v>37</v>
      </c>
      <c r="AR1842" s="417"/>
      <c r="AS1842" s="426"/>
      <c r="AT1842" s="426"/>
      <c r="AU1842" s="400">
        <v>0.80577777777000004</v>
      </c>
    </row>
    <row r="1843" spans="1:47">
      <c r="A1843" s="403"/>
      <c r="B1843" s="445">
        <v>44671</v>
      </c>
      <c r="C1843" s="445">
        <v>44671</v>
      </c>
      <c r="D1843" s="416" t="s">
        <v>2480</v>
      </c>
      <c r="E1843" s="405" t="s">
        <v>2367</v>
      </c>
      <c r="F1843" s="405"/>
      <c r="G1843" s="405">
        <v>2022</v>
      </c>
      <c r="H1843" s="405"/>
      <c r="I1843" s="405" t="s">
        <v>1498</v>
      </c>
      <c r="J1843" s="456"/>
      <c r="K1843" s="414" t="s">
        <v>4196</v>
      </c>
      <c r="L1843" s="405" t="s">
        <v>2549</v>
      </c>
      <c r="M1843" s="418">
        <v>44669</v>
      </c>
      <c r="N1843" s="418">
        <v>44774</v>
      </c>
      <c r="O1843" s="418"/>
      <c r="P1843" s="406"/>
      <c r="Q1843" s="406"/>
      <c r="R1843" s="406"/>
      <c r="S1843" s="405" t="s">
        <v>1443</v>
      </c>
      <c r="T1843" s="405">
        <v>72</v>
      </c>
      <c r="U1843" s="405" t="s">
        <v>2550</v>
      </c>
      <c r="V1843" s="405" t="s">
        <v>1068</v>
      </c>
      <c r="W1843" s="405">
        <v>480</v>
      </c>
      <c r="X1843" s="407">
        <v>1740</v>
      </c>
      <c r="Y1843" s="422">
        <f t="shared" si="390"/>
        <v>835200</v>
      </c>
      <c r="Z1843" s="409">
        <v>0.56000000000000005</v>
      </c>
      <c r="AA1843" s="423">
        <f t="shared" si="391"/>
        <v>467712.00000000006</v>
      </c>
      <c r="AB1843" s="411"/>
      <c r="AC1843" s="412">
        <f t="shared" si="388"/>
        <v>0</v>
      </c>
      <c r="AD1843" s="421"/>
      <c r="AE1843" s="413"/>
      <c r="AF1843" s="424">
        <f t="shared" si="392"/>
        <v>467712.00000000006</v>
      </c>
      <c r="AG1843" s="405" t="s">
        <v>1069</v>
      </c>
      <c r="AH1843" s="405"/>
      <c r="AI1843" s="414">
        <v>60</v>
      </c>
      <c r="AJ1843" s="405" t="s">
        <v>1448</v>
      </c>
      <c r="AK1843" s="425" t="s">
        <v>50</v>
      </c>
      <c r="AL1843" s="405">
        <v>94544</v>
      </c>
      <c r="AM1843" s="405" t="s">
        <v>52</v>
      </c>
      <c r="AN1843" s="405"/>
      <c r="AO1843" s="405"/>
      <c r="AP1843" s="417"/>
      <c r="AQ1843" s="417" t="s">
        <v>37</v>
      </c>
      <c r="AR1843" s="417"/>
      <c r="AS1843" s="426"/>
      <c r="AT1843" s="426"/>
      <c r="AU1843" s="400">
        <v>0.80577777777000004</v>
      </c>
    </row>
    <row r="1844" spans="1:47">
      <c r="A1844" s="403"/>
      <c r="B1844" s="445">
        <v>44671</v>
      </c>
      <c r="C1844" s="445">
        <v>44671</v>
      </c>
      <c r="D1844" s="416" t="s">
        <v>2480</v>
      </c>
      <c r="E1844" s="405" t="s">
        <v>2367</v>
      </c>
      <c r="F1844" s="405"/>
      <c r="G1844" s="405">
        <v>2022</v>
      </c>
      <c r="H1844" s="405"/>
      <c r="I1844" s="405" t="s">
        <v>1498</v>
      </c>
      <c r="J1844" s="456"/>
      <c r="K1844" s="414" t="s">
        <v>4197</v>
      </c>
      <c r="L1844" s="405" t="s">
        <v>2549</v>
      </c>
      <c r="M1844" s="418">
        <v>44669</v>
      </c>
      <c r="N1844" s="418">
        <v>44809</v>
      </c>
      <c r="O1844" s="418"/>
      <c r="P1844" s="406"/>
      <c r="Q1844" s="406"/>
      <c r="R1844" s="406"/>
      <c r="S1844" s="405" t="s">
        <v>1443</v>
      </c>
      <c r="T1844" s="405">
        <v>72</v>
      </c>
      <c r="U1844" s="405" t="s">
        <v>2550</v>
      </c>
      <c r="V1844" s="405" t="s">
        <v>1068</v>
      </c>
      <c r="W1844" s="405">
        <v>480</v>
      </c>
      <c r="X1844" s="407">
        <v>1160</v>
      </c>
      <c r="Y1844" s="422">
        <f t="shared" si="390"/>
        <v>556800</v>
      </c>
      <c r="Z1844" s="409">
        <v>0.56000000000000005</v>
      </c>
      <c r="AA1844" s="423">
        <f t="shared" si="391"/>
        <v>311808.00000000006</v>
      </c>
      <c r="AB1844" s="411"/>
      <c r="AC1844" s="412">
        <f t="shared" si="388"/>
        <v>0</v>
      </c>
      <c r="AD1844" s="421"/>
      <c r="AE1844" s="413"/>
      <c r="AF1844" s="424">
        <f t="shared" si="392"/>
        <v>311808.00000000006</v>
      </c>
      <c r="AG1844" s="405" t="s">
        <v>1069</v>
      </c>
      <c r="AH1844" s="405"/>
      <c r="AI1844" s="414">
        <v>60</v>
      </c>
      <c r="AJ1844" s="405" t="s">
        <v>1448</v>
      </c>
      <c r="AK1844" s="425" t="s">
        <v>50</v>
      </c>
      <c r="AL1844" s="405">
        <v>94544</v>
      </c>
      <c r="AM1844" s="405" t="s">
        <v>52</v>
      </c>
      <c r="AN1844" s="405"/>
      <c r="AO1844" s="405"/>
      <c r="AP1844" s="417"/>
      <c r="AQ1844" s="417" t="s">
        <v>37</v>
      </c>
      <c r="AR1844" s="417"/>
      <c r="AS1844" s="426"/>
      <c r="AT1844" s="426"/>
      <c r="AU1844" s="400">
        <v>0.80577777777000004</v>
      </c>
    </row>
    <row r="1845" spans="1:47">
      <c r="A1845" s="403"/>
      <c r="B1845" s="445">
        <v>44671</v>
      </c>
      <c r="C1845" s="445">
        <v>44671</v>
      </c>
      <c r="D1845" s="416" t="s">
        <v>2480</v>
      </c>
      <c r="E1845" s="405" t="s">
        <v>2367</v>
      </c>
      <c r="F1845" s="405"/>
      <c r="G1845" s="405">
        <v>2022</v>
      </c>
      <c r="H1845" s="405"/>
      <c r="I1845" s="405" t="s">
        <v>1498</v>
      </c>
      <c r="J1845" s="456"/>
      <c r="K1845" s="414" t="s">
        <v>4198</v>
      </c>
      <c r="L1845" s="405" t="s">
        <v>2549</v>
      </c>
      <c r="M1845" s="418">
        <v>44669</v>
      </c>
      <c r="N1845" s="418">
        <v>44837</v>
      </c>
      <c r="O1845" s="418"/>
      <c r="P1845" s="406"/>
      <c r="Q1845" s="406"/>
      <c r="R1845" s="406"/>
      <c r="S1845" s="405" t="s">
        <v>1443</v>
      </c>
      <c r="T1845" s="405">
        <v>72</v>
      </c>
      <c r="U1845" s="405" t="s">
        <v>2550</v>
      </c>
      <c r="V1845" s="405" t="s">
        <v>1068</v>
      </c>
      <c r="W1845" s="405">
        <v>480</v>
      </c>
      <c r="X1845" s="407">
        <v>1160</v>
      </c>
      <c r="Y1845" s="422">
        <f t="shared" si="390"/>
        <v>556800</v>
      </c>
      <c r="Z1845" s="409">
        <v>0.56000000000000005</v>
      </c>
      <c r="AA1845" s="423">
        <f t="shared" si="391"/>
        <v>311808.00000000006</v>
      </c>
      <c r="AB1845" s="411"/>
      <c r="AC1845" s="412">
        <f t="shared" si="388"/>
        <v>0</v>
      </c>
      <c r="AD1845" s="421"/>
      <c r="AE1845" s="413"/>
      <c r="AF1845" s="424">
        <f t="shared" si="392"/>
        <v>311808.00000000006</v>
      </c>
      <c r="AG1845" s="405" t="s">
        <v>1069</v>
      </c>
      <c r="AH1845" s="405"/>
      <c r="AI1845" s="414">
        <v>60</v>
      </c>
      <c r="AJ1845" s="405" t="s">
        <v>1448</v>
      </c>
      <c r="AK1845" s="425" t="s">
        <v>50</v>
      </c>
      <c r="AL1845" s="405">
        <v>94544</v>
      </c>
      <c r="AM1845" s="405" t="s">
        <v>52</v>
      </c>
      <c r="AN1845" s="405"/>
      <c r="AO1845" s="405"/>
      <c r="AP1845" s="417"/>
      <c r="AQ1845" s="417" t="s">
        <v>37</v>
      </c>
      <c r="AR1845" s="417"/>
      <c r="AS1845" s="426"/>
      <c r="AT1845" s="426"/>
      <c r="AU1845" s="400">
        <v>0.80577777777000004</v>
      </c>
    </row>
    <row r="1846" spans="1:47">
      <c r="A1846" s="403"/>
      <c r="B1846" s="445">
        <v>44671</v>
      </c>
      <c r="C1846" s="445">
        <v>44671</v>
      </c>
      <c r="D1846" s="416" t="s">
        <v>2480</v>
      </c>
      <c r="E1846" s="405" t="s">
        <v>2367</v>
      </c>
      <c r="F1846" s="405"/>
      <c r="G1846" s="405">
        <v>2022</v>
      </c>
      <c r="H1846" s="405"/>
      <c r="I1846" s="405" t="s">
        <v>1498</v>
      </c>
      <c r="J1846" s="456"/>
      <c r="K1846" s="414" t="s">
        <v>4199</v>
      </c>
      <c r="L1846" s="405" t="s">
        <v>2549</v>
      </c>
      <c r="M1846" s="418">
        <v>44669</v>
      </c>
      <c r="N1846" s="418">
        <v>44872</v>
      </c>
      <c r="O1846" s="418"/>
      <c r="P1846" s="406"/>
      <c r="Q1846" s="406"/>
      <c r="R1846" s="406"/>
      <c r="S1846" s="405" t="s">
        <v>1443</v>
      </c>
      <c r="T1846" s="405">
        <v>72</v>
      </c>
      <c r="U1846" s="405" t="s">
        <v>2550</v>
      </c>
      <c r="V1846" s="405" t="s">
        <v>1068</v>
      </c>
      <c r="W1846" s="405">
        <v>480</v>
      </c>
      <c r="X1846" s="407">
        <v>1160</v>
      </c>
      <c r="Y1846" s="422">
        <f t="shared" si="390"/>
        <v>556800</v>
      </c>
      <c r="Z1846" s="409">
        <v>0.56000000000000005</v>
      </c>
      <c r="AA1846" s="423">
        <f t="shared" si="391"/>
        <v>311808.00000000006</v>
      </c>
      <c r="AB1846" s="411"/>
      <c r="AC1846" s="412">
        <f t="shared" si="388"/>
        <v>0</v>
      </c>
      <c r="AD1846" s="421"/>
      <c r="AE1846" s="413"/>
      <c r="AF1846" s="424">
        <f t="shared" si="392"/>
        <v>311808.00000000006</v>
      </c>
      <c r="AG1846" s="405" t="s">
        <v>1069</v>
      </c>
      <c r="AH1846" s="405"/>
      <c r="AI1846" s="414">
        <v>60</v>
      </c>
      <c r="AJ1846" s="405" t="s">
        <v>1448</v>
      </c>
      <c r="AK1846" s="425" t="s">
        <v>50</v>
      </c>
      <c r="AL1846" s="405">
        <v>94544</v>
      </c>
      <c r="AM1846" s="405" t="s">
        <v>52</v>
      </c>
      <c r="AN1846" s="405"/>
      <c r="AO1846" s="405"/>
      <c r="AP1846" s="417"/>
      <c r="AQ1846" s="417" t="s">
        <v>37</v>
      </c>
      <c r="AR1846" s="417"/>
      <c r="AS1846" s="426"/>
      <c r="AT1846" s="426"/>
      <c r="AU1846" s="400">
        <v>0.80577777777000004</v>
      </c>
    </row>
    <row r="1847" spans="1:47">
      <c r="A1847" s="403"/>
      <c r="B1847" s="445">
        <v>44671</v>
      </c>
      <c r="C1847" s="445">
        <v>44671</v>
      </c>
      <c r="D1847" s="416" t="s">
        <v>2480</v>
      </c>
      <c r="E1847" s="405" t="s">
        <v>2367</v>
      </c>
      <c r="F1847" s="405"/>
      <c r="G1847" s="405">
        <v>2022</v>
      </c>
      <c r="H1847" s="405"/>
      <c r="I1847" s="405" t="s">
        <v>1498</v>
      </c>
      <c r="J1847" s="456"/>
      <c r="K1847" s="414" t="s">
        <v>4200</v>
      </c>
      <c r="L1847" s="405" t="s">
        <v>2549</v>
      </c>
      <c r="M1847" s="418">
        <v>44669</v>
      </c>
      <c r="N1847" s="418">
        <v>44900</v>
      </c>
      <c r="O1847" s="418"/>
      <c r="P1847" s="406"/>
      <c r="Q1847" s="406"/>
      <c r="R1847" s="406"/>
      <c r="S1847" s="405" t="s">
        <v>1443</v>
      </c>
      <c r="T1847" s="405">
        <v>72</v>
      </c>
      <c r="U1847" s="405" t="s">
        <v>2550</v>
      </c>
      <c r="V1847" s="405" t="s">
        <v>1068</v>
      </c>
      <c r="W1847" s="405">
        <v>480</v>
      </c>
      <c r="X1847" s="407">
        <v>580</v>
      </c>
      <c r="Y1847" s="422">
        <f t="shared" si="390"/>
        <v>278400</v>
      </c>
      <c r="Z1847" s="409">
        <v>0.56000000000000005</v>
      </c>
      <c r="AA1847" s="423">
        <f t="shared" si="391"/>
        <v>155904.00000000003</v>
      </c>
      <c r="AB1847" s="411"/>
      <c r="AC1847" s="412">
        <f t="shared" si="388"/>
        <v>0</v>
      </c>
      <c r="AD1847" s="421"/>
      <c r="AE1847" s="413"/>
      <c r="AF1847" s="424">
        <f t="shared" si="392"/>
        <v>155904.00000000003</v>
      </c>
      <c r="AG1847" s="405" t="s">
        <v>1069</v>
      </c>
      <c r="AH1847" s="405"/>
      <c r="AI1847" s="414">
        <v>60</v>
      </c>
      <c r="AJ1847" s="405" t="s">
        <v>1448</v>
      </c>
      <c r="AK1847" s="425" t="s">
        <v>50</v>
      </c>
      <c r="AL1847" s="405">
        <v>94544</v>
      </c>
      <c r="AM1847" s="405" t="s">
        <v>52</v>
      </c>
      <c r="AN1847" s="405"/>
      <c r="AO1847" s="405"/>
      <c r="AP1847" s="417"/>
      <c r="AQ1847" s="417" t="s">
        <v>37</v>
      </c>
      <c r="AR1847" s="417"/>
      <c r="AS1847" s="426"/>
      <c r="AT1847" s="426"/>
      <c r="AU1847" s="400">
        <v>0.80577777777000004</v>
      </c>
    </row>
    <row r="1848" spans="1:47">
      <c r="A1848" s="403"/>
      <c r="B1848" s="445">
        <v>44671</v>
      </c>
      <c r="C1848" s="445">
        <v>44671</v>
      </c>
      <c r="D1848" s="416" t="s">
        <v>2480</v>
      </c>
      <c r="E1848" s="405" t="s">
        <v>2367</v>
      </c>
      <c r="F1848" s="405"/>
      <c r="G1848" s="405">
        <v>2022</v>
      </c>
      <c r="H1848" s="405"/>
      <c r="I1848" s="405" t="s">
        <v>1498</v>
      </c>
      <c r="J1848" s="456"/>
      <c r="K1848" s="414" t="s">
        <v>4201</v>
      </c>
      <c r="L1848" s="405" t="s">
        <v>2549</v>
      </c>
      <c r="M1848" s="418">
        <v>44669</v>
      </c>
      <c r="N1848" s="418">
        <v>44746</v>
      </c>
      <c r="O1848" s="418"/>
      <c r="P1848" s="406"/>
      <c r="Q1848" s="406"/>
      <c r="R1848" s="406"/>
      <c r="S1848" s="405" t="s">
        <v>1443</v>
      </c>
      <c r="T1848" s="405">
        <v>72</v>
      </c>
      <c r="U1848" s="405" t="s">
        <v>2550</v>
      </c>
      <c r="V1848" s="405" t="s">
        <v>1068</v>
      </c>
      <c r="W1848" s="405">
        <v>480</v>
      </c>
      <c r="X1848" s="407">
        <v>2320</v>
      </c>
      <c r="Y1848" s="422">
        <f t="shared" si="390"/>
        <v>1113600</v>
      </c>
      <c r="Z1848" s="409">
        <v>0.56000000000000005</v>
      </c>
      <c r="AA1848" s="423">
        <f t="shared" si="391"/>
        <v>623616.00000000012</v>
      </c>
      <c r="AB1848" s="411"/>
      <c r="AC1848" s="412">
        <f t="shared" si="388"/>
        <v>0</v>
      </c>
      <c r="AD1848" s="421"/>
      <c r="AE1848" s="413"/>
      <c r="AF1848" s="424">
        <f t="shared" si="392"/>
        <v>623616.00000000012</v>
      </c>
      <c r="AG1848" s="405" t="s">
        <v>1069</v>
      </c>
      <c r="AH1848" s="405"/>
      <c r="AI1848" s="414">
        <v>60</v>
      </c>
      <c r="AJ1848" s="405" t="s">
        <v>2510</v>
      </c>
      <c r="AK1848" s="425" t="s">
        <v>50</v>
      </c>
      <c r="AL1848" s="405">
        <v>92841</v>
      </c>
      <c r="AM1848" s="405" t="s">
        <v>52</v>
      </c>
      <c r="AN1848" s="405"/>
      <c r="AO1848" s="405"/>
      <c r="AP1848" s="417"/>
      <c r="AQ1848" s="417" t="s">
        <v>37</v>
      </c>
      <c r="AR1848" s="417"/>
      <c r="AS1848" s="426"/>
      <c r="AT1848" s="426"/>
      <c r="AU1848" s="400">
        <v>0.80577777777000004</v>
      </c>
    </row>
    <row r="1849" spans="1:47">
      <c r="A1849" s="403"/>
      <c r="B1849" s="445">
        <v>44671</v>
      </c>
      <c r="C1849" s="445">
        <v>44671</v>
      </c>
      <c r="D1849" s="416" t="s">
        <v>2480</v>
      </c>
      <c r="E1849" s="405" t="s">
        <v>2367</v>
      </c>
      <c r="F1849" s="405"/>
      <c r="G1849" s="405">
        <v>2022</v>
      </c>
      <c r="H1849" s="405"/>
      <c r="I1849" s="405" t="s">
        <v>1498</v>
      </c>
      <c r="J1849" s="456"/>
      <c r="K1849" s="414" t="s">
        <v>4202</v>
      </c>
      <c r="L1849" s="405" t="s">
        <v>2549</v>
      </c>
      <c r="M1849" s="418">
        <v>44669</v>
      </c>
      <c r="N1849" s="418">
        <v>44774</v>
      </c>
      <c r="O1849" s="418"/>
      <c r="P1849" s="406"/>
      <c r="Q1849" s="406"/>
      <c r="R1849" s="406"/>
      <c r="S1849" s="405" t="s">
        <v>1443</v>
      </c>
      <c r="T1849" s="405">
        <v>72</v>
      </c>
      <c r="U1849" s="405" t="s">
        <v>2550</v>
      </c>
      <c r="V1849" s="405" t="s">
        <v>1068</v>
      </c>
      <c r="W1849" s="405">
        <v>480</v>
      </c>
      <c r="X1849" s="407">
        <v>2320</v>
      </c>
      <c r="Y1849" s="422">
        <f t="shared" si="390"/>
        <v>1113600</v>
      </c>
      <c r="Z1849" s="409">
        <v>0.56000000000000005</v>
      </c>
      <c r="AA1849" s="423">
        <f t="shared" si="391"/>
        <v>623616.00000000012</v>
      </c>
      <c r="AB1849" s="411"/>
      <c r="AC1849" s="412">
        <f t="shared" si="388"/>
        <v>0</v>
      </c>
      <c r="AD1849" s="421"/>
      <c r="AE1849" s="413"/>
      <c r="AF1849" s="424">
        <f t="shared" si="392"/>
        <v>623616.00000000012</v>
      </c>
      <c r="AG1849" s="405" t="s">
        <v>1069</v>
      </c>
      <c r="AH1849" s="405"/>
      <c r="AI1849" s="414">
        <v>60</v>
      </c>
      <c r="AJ1849" s="405" t="s">
        <v>2510</v>
      </c>
      <c r="AK1849" s="425" t="s">
        <v>50</v>
      </c>
      <c r="AL1849" s="405">
        <v>92841</v>
      </c>
      <c r="AM1849" s="405" t="s">
        <v>52</v>
      </c>
      <c r="AN1849" s="405"/>
      <c r="AO1849" s="405"/>
      <c r="AP1849" s="417"/>
      <c r="AQ1849" s="417" t="s">
        <v>37</v>
      </c>
      <c r="AR1849" s="417"/>
      <c r="AS1849" s="426"/>
      <c r="AT1849" s="426"/>
      <c r="AU1849" s="400">
        <v>0.80577777777000004</v>
      </c>
    </row>
    <row r="1850" spans="1:47">
      <c r="A1850" s="403"/>
      <c r="B1850" s="445">
        <v>44671</v>
      </c>
      <c r="C1850" s="445">
        <v>44671</v>
      </c>
      <c r="D1850" s="416" t="s">
        <v>2480</v>
      </c>
      <c r="E1850" s="405" t="s">
        <v>2367</v>
      </c>
      <c r="F1850" s="405"/>
      <c r="G1850" s="405">
        <v>2022</v>
      </c>
      <c r="H1850" s="405"/>
      <c r="I1850" s="405" t="s">
        <v>1498</v>
      </c>
      <c r="J1850" s="456"/>
      <c r="K1850" s="414" t="s">
        <v>4203</v>
      </c>
      <c r="L1850" s="405" t="s">
        <v>2549</v>
      </c>
      <c r="M1850" s="418">
        <v>44669</v>
      </c>
      <c r="N1850" s="418">
        <v>44809</v>
      </c>
      <c r="O1850" s="418"/>
      <c r="P1850" s="406"/>
      <c r="Q1850" s="406"/>
      <c r="R1850" s="406"/>
      <c r="S1850" s="405" t="s">
        <v>1443</v>
      </c>
      <c r="T1850" s="405">
        <v>72</v>
      </c>
      <c r="U1850" s="405" t="s">
        <v>2550</v>
      </c>
      <c r="V1850" s="405" t="s">
        <v>1068</v>
      </c>
      <c r="W1850" s="405">
        <v>480</v>
      </c>
      <c r="X1850" s="407">
        <v>1740</v>
      </c>
      <c r="Y1850" s="422">
        <f t="shared" si="390"/>
        <v>835200</v>
      </c>
      <c r="Z1850" s="409">
        <v>0.56000000000000005</v>
      </c>
      <c r="AA1850" s="423">
        <f t="shared" si="391"/>
        <v>467712.00000000006</v>
      </c>
      <c r="AB1850" s="411"/>
      <c r="AC1850" s="412">
        <f t="shared" si="388"/>
        <v>0</v>
      </c>
      <c r="AD1850" s="421"/>
      <c r="AE1850" s="413"/>
      <c r="AF1850" s="424">
        <f t="shared" si="392"/>
        <v>467712.00000000006</v>
      </c>
      <c r="AG1850" s="405" t="s">
        <v>1069</v>
      </c>
      <c r="AH1850" s="405"/>
      <c r="AI1850" s="414">
        <v>60</v>
      </c>
      <c r="AJ1850" s="405" t="s">
        <v>2510</v>
      </c>
      <c r="AK1850" s="425" t="s">
        <v>50</v>
      </c>
      <c r="AL1850" s="405">
        <v>92841</v>
      </c>
      <c r="AM1850" s="405" t="s">
        <v>52</v>
      </c>
      <c r="AN1850" s="405"/>
      <c r="AO1850" s="405"/>
      <c r="AP1850" s="417"/>
      <c r="AQ1850" s="417" t="s">
        <v>37</v>
      </c>
      <c r="AR1850" s="417"/>
      <c r="AS1850" s="426"/>
      <c r="AT1850" s="426"/>
      <c r="AU1850" s="409">
        <v>0.80577777777000004</v>
      </c>
    </row>
    <row r="1851" spans="1:47">
      <c r="A1851" s="403"/>
      <c r="B1851" s="445">
        <v>44671</v>
      </c>
      <c r="C1851" s="445">
        <v>44671</v>
      </c>
      <c r="D1851" s="416" t="s">
        <v>2480</v>
      </c>
      <c r="E1851" s="405" t="s">
        <v>2367</v>
      </c>
      <c r="F1851" s="405"/>
      <c r="G1851" s="405">
        <v>2022</v>
      </c>
      <c r="H1851" s="405"/>
      <c r="I1851" s="405" t="s">
        <v>1498</v>
      </c>
      <c r="J1851" s="456"/>
      <c r="K1851" s="414" t="s">
        <v>4204</v>
      </c>
      <c r="L1851" s="405" t="s">
        <v>2549</v>
      </c>
      <c r="M1851" s="418">
        <v>44669</v>
      </c>
      <c r="N1851" s="418">
        <v>44837</v>
      </c>
      <c r="O1851" s="418"/>
      <c r="P1851" s="406"/>
      <c r="Q1851" s="406"/>
      <c r="R1851" s="406"/>
      <c r="S1851" s="405" t="s">
        <v>1443</v>
      </c>
      <c r="T1851" s="405">
        <v>72</v>
      </c>
      <c r="U1851" s="405" t="s">
        <v>2550</v>
      </c>
      <c r="V1851" s="405" t="s">
        <v>1100</v>
      </c>
      <c r="W1851" s="405">
        <v>480</v>
      </c>
      <c r="X1851" s="407">
        <v>2900</v>
      </c>
      <c r="Y1851" s="422">
        <f t="shared" si="390"/>
        <v>1392000</v>
      </c>
      <c r="Z1851" s="409">
        <v>0.55500000000000005</v>
      </c>
      <c r="AA1851" s="423">
        <f t="shared" si="391"/>
        <v>772560.00000000012</v>
      </c>
      <c r="AB1851" s="411"/>
      <c r="AC1851" s="412">
        <f t="shared" si="388"/>
        <v>0</v>
      </c>
      <c r="AD1851" s="421"/>
      <c r="AE1851" s="413"/>
      <c r="AF1851" s="424">
        <f t="shared" si="392"/>
        <v>772560.00000000012</v>
      </c>
      <c r="AG1851" s="405" t="s">
        <v>1069</v>
      </c>
      <c r="AH1851" s="405"/>
      <c r="AI1851" s="414">
        <v>60</v>
      </c>
      <c r="AJ1851" s="405" t="s">
        <v>2510</v>
      </c>
      <c r="AK1851" s="425" t="s">
        <v>50</v>
      </c>
      <c r="AL1851" s="405">
        <v>92841</v>
      </c>
      <c r="AM1851" s="405" t="s">
        <v>52</v>
      </c>
      <c r="AN1851" s="405"/>
      <c r="AO1851" s="405"/>
      <c r="AP1851" s="417"/>
      <c r="AQ1851" s="417" t="s">
        <v>37</v>
      </c>
      <c r="AR1851" s="417"/>
      <c r="AS1851" s="426"/>
      <c r="AT1851" s="426"/>
      <c r="AU1851" s="409">
        <v>0.80577777777000004</v>
      </c>
    </row>
    <row r="1852" spans="1:47">
      <c r="A1852" s="403"/>
      <c r="B1852" s="445">
        <v>44671</v>
      </c>
      <c r="C1852" s="445">
        <v>44671</v>
      </c>
      <c r="D1852" s="416" t="s">
        <v>2480</v>
      </c>
      <c r="E1852" s="405" t="s">
        <v>2367</v>
      </c>
      <c r="F1852" s="405"/>
      <c r="G1852" s="405">
        <v>2022</v>
      </c>
      <c r="H1852" s="405"/>
      <c r="I1852" s="405" t="s">
        <v>1498</v>
      </c>
      <c r="J1852" s="456"/>
      <c r="K1852" s="414" t="s">
        <v>4205</v>
      </c>
      <c r="L1852" s="405" t="s">
        <v>2549</v>
      </c>
      <c r="M1852" s="418">
        <v>44669</v>
      </c>
      <c r="N1852" s="418">
        <v>44872</v>
      </c>
      <c r="O1852" s="418"/>
      <c r="P1852" s="406"/>
      <c r="Q1852" s="406"/>
      <c r="R1852" s="406"/>
      <c r="S1852" s="405" t="s">
        <v>1443</v>
      </c>
      <c r="T1852" s="405">
        <v>72</v>
      </c>
      <c r="U1852" s="405" t="s">
        <v>2550</v>
      </c>
      <c r="V1852" s="405" t="s">
        <v>1100</v>
      </c>
      <c r="W1852" s="405">
        <v>480</v>
      </c>
      <c r="X1852" s="407">
        <v>2320</v>
      </c>
      <c r="Y1852" s="422">
        <f t="shared" si="390"/>
        <v>1113600</v>
      </c>
      <c r="Z1852" s="409">
        <v>0.55500000000000005</v>
      </c>
      <c r="AA1852" s="423">
        <f t="shared" si="391"/>
        <v>618048</v>
      </c>
      <c r="AB1852" s="411"/>
      <c r="AC1852" s="412">
        <f t="shared" si="388"/>
        <v>0</v>
      </c>
      <c r="AD1852" s="421"/>
      <c r="AE1852" s="413"/>
      <c r="AF1852" s="424">
        <f t="shared" si="392"/>
        <v>618048</v>
      </c>
      <c r="AG1852" s="405" t="s">
        <v>1069</v>
      </c>
      <c r="AH1852" s="405"/>
      <c r="AI1852" s="414">
        <v>60</v>
      </c>
      <c r="AJ1852" s="405" t="s">
        <v>2510</v>
      </c>
      <c r="AK1852" s="425" t="s">
        <v>50</v>
      </c>
      <c r="AL1852" s="405">
        <v>92841</v>
      </c>
      <c r="AM1852" s="405" t="s">
        <v>52</v>
      </c>
      <c r="AN1852" s="405"/>
      <c r="AO1852" s="405"/>
      <c r="AP1852" s="417"/>
      <c r="AQ1852" s="417" t="s">
        <v>37</v>
      </c>
      <c r="AR1852" s="417"/>
      <c r="AS1852" s="426"/>
      <c r="AT1852" s="426"/>
      <c r="AU1852" s="409">
        <v>0.80577777777000004</v>
      </c>
    </row>
    <row r="1853" spans="1:47">
      <c r="A1853" s="403"/>
      <c r="B1853" s="445">
        <v>44671</v>
      </c>
      <c r="C1853" s="445">
        <v>44671</v>
      </c>
      <c r="D1853" s="416" t="s">
        <v>2480</v>
      </c>
      <c r="E1853" s="405" t="s">
        <v>2367</v>
      </c>
      <c r="F1853" s="405"/>
      <c r="G1853" s="405">
        <v>2022</v>
      </c>
      <c r="H1853" s="405"/>
      <c r="I1853" s="405" t="s">
        <v>1498</v>
      </c>
      <c r="J1853" s="456"/>
      <c r="K1853" s="414" t="s">
        <v>4206</v>
      </c>
      <c r="L1853" s="405" t="s">
        <v>2549</v>
      </c>
      <c r="M1853" s="418">
        <v>44669</v>
      </c>
      <c r="N1853" s="418">
        <v>44900</v>
      </c>
      <c r="O1853" s="418"/>
      <c r="P1853" s="406"/>
      <c r="Q1853" s="406"/>
      <c r="R1853" s="406"/>
      <c r="S1853" s="405" t="s">
        <v>1443</v>
      </c>
      <c r="T1853" s="405">
        <v>72</v>
      </c>
      <c r="U1853" s="405" t="s">
        <v>2550</v>
      </c>
      <c r="V1853" s="405" t="s">
        <v>1100</v>
      </c>
      <c r="W1853" s="405">
        <v>480</v>
      </c>
      <c r="X1853" s="407">
        <v>2320</v>
      </c>
      <c r="Y1853" s="422">
        <f t="shared" si="390"/>
        <v>1113600</v>
      </c>
      <c r="Z1853" s="409">
        <v>0.55500000000000005</v>
      </c>
      <c r="AA1853" s="423">
        <f t="shared" si="391"/>
        <v>618048</v>
      </c>
      <c r="AB1853" s="411"/>
      <c r="AC1853" s="412">
        <f t="shared" si="388"/>
        <v>0</v>
      </c>
      <c r="AD1853" s="421"/>
      <c r="AE1853" s="413"/>
      <c r="AF1853" s="424">
        <f t="shared" si="392"/>
        <v>618048</v>
      </c>
      <c r="AG1853" s="405" t="s">
        <v>1069</v>
      </c>
      <c r="AH1853" s="405"/>
      <c r="AI1853" s="414">
        <v>60</v>
      </c>
      <c r="AJ1853" s="405" t="s">
        <v>2510</v>
      </c>
      <c r="AK1853" s="425" t="s">
        <v>50</v>
      </c>
      <c r="AL1853" s="405">
        <v>92841</v>
      </c>
      <c r="AM1853" s="405" t="s">
        <v>52</v>
      </c>
      <c r="AN1853" s="405"/>
      <c r="AO1853" s="405"/>
      <c r="AP1853" s="417"/>
      <c r="AQ1853" s="417" t="s">
        <v>37</v>
      </c>
      <c r="AR1853" s="417"/>
      <c r="AS1853" s="426"/>
      <c r="AT1853" s="426"/>
      <c r="AU1853" s="409">
        <v>0.80577777777000004</v>
      </c>
    </row>
    <row r="1854" spans="1:47">
      <c r="A1854" s="403"/>
      <c r="B1854" s="445">
        <v>44670</v>
      </c>
      <c r="C1854" s="445">
        <v>44670</v>
      </c>
      <c r="D1854" s="416" t="s">
        <v>2480</v>
      </c>
      <c r="E1854" s="405" t="s">
        <v>2367</v>
      </c>
      <c r="F1854" s="405"/>
      <c r="G1854" s="405">
        <v>2022</v>
      </c>
      <c r="H1854" s="405"/>
      <c r="I1854" s="405" t="s">
        <v>1498</v>
      </c>
      <c r="J1854" s="456"/>
      <c r="K1854" s="414" t="s">
        <v>4089</v>
      </c>
      <c r="L1854" s="405" t="s">
        <v>2549</v>
      </c>
      <c r="M1854" s="418">
        <v>44669</v>
      </c>
      <c r="N1854" s="418">
        <v>44865</v>
      </c>
      <c r="O1854" s="418"/>
      <c r="P1854" s="406"/>
      <c r="Q1854" s="406"/>
      <c r="R1854" s="406"/>
      <c r="S1854" s="405" t="s">
        <v>1940</v>
      </c>
      <c r="T1854" s="405">
        <v>72</v>
      </c>
      <c r="U1854" s="405"/>
      <c r="V1854" s="405" t="s">
        <v>1108</v>
      </c>
      <c r="W1854" s="405">
        <v>575</v>
      </c>
      <c r="X1854" s="407">
        <v>1624</v>
      </c>
      <c r="Y1854" s="422">
        <f t="shared" si="390"/>
        <v>933800</v>
      </c>
      <c r="Z1854" s="409">
        <v>0.57499999999999996</v>
      </c>
      <c r="AA1854" s="423">
        <f t="shared" si="391"/>
        <v>536935</v>
      </c>
      <c r="AB1854" s="411"/>
      <c r="AC1854" s="412">
        <f t="shared" si="388"/>
        <v>0</v>
      </c>
      <c r="AD1854" s="421"/>
      <c r="AE1854" s="413"/>
      <c r="AF1854" s="424">
        <f t="shared" si="392"/>
        <v>536935</v>
      </c>
      <c r="AG1854" s="405" t="s">
        <v>1069</v>
      </c>
      <c r="AH1854" s="405"/>
      <c r="AI1854" s="414">
        <v>60</v>
      </c>
      <c r="AJ1854" s="405" t="s">
        <v>1454</v>
      </c>
      <c r="AK1854" s="425" t="s">
        <v>1136</v>
      </c>
      <c r="AL1854" s="405">
        <v>78744</v>
      </c>
      <c r="AM1854" s="405" t="s">
        <v>52</v>
      </c>
      <c r="AN1854" s="405"/>
      <c r="AO1854" s="405"/>
      <c r="AP1854" s="417"/>
      <c r="AQ1854" s="417" t="s">
        <v>37</v>
      </c>
      <c r="AR1854" s="417"/>
      <c r="AS1854" s="426"/>
      <c r="AT1854" s="426"/>
      <c r="AU1854" s="409">
        <v>0.80577777777000004</v>
      </c>
    </row>
    <row r="1855" spans="1:47">
      <c r="A1855" s="403"/>
      <c r="B1855" s="446">
        <v>44673</v>
      </c>
      <c r="C1855" s="446"/>
      <c r="D1855" s="416" t="s">
        <v>2480</v>
      </c>
      <c r="E1855" s="405" t="s">
        <v>4302</v>
      </c>
      <c r="F1855" s="405"/>
      <c r="G1855" s="405">
        <v>2022</v>
      </c>
      <c r="H1855" s="405"/>
      <c r="I1855" s="405" t="s">
        <v>1498</v>
      </c>
      <c r="J1855" s="406"/>
      <c r="K1855" s="414" t="s">
        <v>4303</v>
      </c>
      <c r="L1855" s="405" t="s">
        <v>2549</v>
      </c>
      <c r="M1855" s="418">
        <v>44673</v>
      </c>
      <c r="N1855" s="418">
        <v>44673</v>
      </c>
      <c r="O1855" s="418"/>
      <c r="P1855" s="406"/>
      <c r="Q1855" s="406"/>
      <c r="R1855" s="406"/>
      <c r="S1855" s="405" t="s">
        <v>1940</v>
      </c>
      <c r="T1855" s="405">
        <v>72</v>
      </c>
      <c r="U1855" s="405" t="s">
        <v>4304</v>
      </c>
      <c r="V1855" s="405" t="s">
        <v>1068</v>
      </c>
      <c r="W1855" s="405">
        <v>480</v>
      </c>
      <c r="X1855" s="407">
        <v>754</v>
      </c>
      <c r="Y1855" s="408">
        <f t="shared" si="390"/>
        <v>361920</v>
      </c>
      <c r="Z1855" s="409">
        <v>0.6</v>
      </c>
      <c r="AA1855" s="410">
        <f t="shared" si="391"/>
        <v>217152</v>
      </c>
      <c r="AB1855" s="411"/>
      <c r="AC1855" s="412">
        <f t="shared" si="388"/>
        <v>0</v>
      </c>
      <c r="AD1855" s="421"/>
      <c r="AE1855" s="413"/>
      <c r="AF1855" s="424">
        <f t="shared" si="392"/>
        <v>217152</v>
      </c>
      <c r="AG1855" s="405" t="s">
        <v>1069</v>
      </c>
      <c r="AH1855" s="405"/>
      <c r="AI1855" s="414" t="s">
        <v>1962</v>
      </c>
      <c r="AJ1855" s="405" t="s">
        <v>1941</v>
      </c>
      <c r="AK1855" s="425" t="s">
        <v>1942</v>
      </c>
      <c r="AL1855" s="405">
        <v>87113</v>
      </c>
      <c r="AM1855" s="405" t="s">
        <v>52</v>
      </c>
      <c r="AN1855" s="405"/>
      <c r="AO1855" s="405"/>
      <c r="AP1855" s="417"/>
      <c r="AQ1855" s="417" t="s">
        <v>37</v>
      </c>
      <c r="AR1855" s="417"/>
      <c r="AS1855" s="426"/>
      <c r="AT1855" s="426"/>
      <c r="AU1855" s="409">
        <v>0.55000000000000004</v>
      </c>
    </row>
  </sheetData>
  <autoFilter ref="A2:BC1795" xr:uid="{8E5948EA-0848-4CD4-8B6A-41ADD12B7A30}"/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81711-2F86-46D8-932B-A56869475259}">
  <dimension ref="A1:AVK1482"/>
  <sheetViews>
    <sheetView tabSelected="1" zoomScaleNormal="100" workbookViewId="0">
      <pane ySplit="2" topLeftCell="A3" activePane="bottomLeft" state="frozen"/>
      <selection pane="bottomLeft" activeCell="L17" sqref="L17"/>
    </sheetView>
  </sheetViews>
  <sheetFormatPr defaultRowHeight="15"/>
  <cols>
    <col min="1" max="1" width="5.5703125" style="288" customWidth="1"/>
    <col min="2" max="3" width="9.42578125" style="288" customWidth="1"/>
    <col min="4" max="4" width="3.28515625" style="262" customWidth="1"/>
    <col min="5" max="5" width="20.28515625" style="262" customWidth="1"/>
    <col min="6" max="6" width="3.5703125" style="262" customWidth="1"/>
    <col min="7" max="7" width="5" style="262" bestFit="1" customWidth="1"/>
    <col min="8" max="8" width="6.140625" style="262" customWidth="1"/>
    <col min="9" max="9" width="6.85546875" style="262" customWidth="1"/>
    <col min="10" max="10" width="11.140625" style="262" bestFit="1" customWidth="1"/>
    <col min="11" max="11" width="16.42578125" style="262" customWidth="1"/>
    <col min="12" max="12" width="20.85546875" style="262" customWidth="1"/>
    <col min="13" max="13" width="9.85546875" style="262" customWidth="1"/>
    <col min="14" max="14" width="9.5703125" style="262" customWidth="1"/>
    <col min="15" max="15" width="9.140625" style="262" customWidth="1"/>
    <col min="16" max="18" width="9.28515625" style="262" customWidth="1"/>
    <col min="19" max="19" width="6.140625" style="262" customWidth="1"/>
    <col min="20" max="20" width="3.28515625" style="262" customWidth="1"/>
    <col min="21" max="21" width="8.42578125" style="262" customWidth="1"/>
    <col min="22" max="22" width="20.42578125" style="262" customWidth="1"/>
    <col min="23" max="23" width="3.85546875" style="262" customWidth="1"/>
    <col min="24" max="24" width="8" style="276" customWidth="1"/>
    <col min="25" max="25" width="10.7109375" style="276" customWidth="1"/>
    <col min="26" max="26" width="7.28515625" style="262" customWidth="1"/>
    <col min="27" max="27" width="15.140625" style="262" customWidth="1"/>
    <col min="28" max="28" width="6" style="262" bestFit="1" customWidth="1"/>
    <col min="29" max="30" width="6.28515625" style="262" customWidth="1"/>
    <col min="31" max="31" width="13.42578125" style="262" customWidth="1"/>
    <col min="32" max="32" width="15.42578125" style="262" customWidth="1"/>
    <col min="33" max="33" width="3.85546875" style="262" customWidth="1"/>
    <col min="34" max="34" width="3.5703125" style="262" bestFit="1" customWidth="1"/>
    <col min="35" max="35" width="2.7109375" style="262" bestFit="1" customWidth="1"/>
    <col min="36" max="36" width="9.28515625" style="262" customWidth="1"/>
    <col min="37" max="37" width="4" style="262" bestFit="1" customWidth="1"/>
    <col min="38" max="38" width="6.140625" style="262" bestFit="1" customWidth="1"/>
    <col min="39" max="39" width="4" style="262" bestFit="1" customWidth="1"/>
    <col min="40" max="40" width="6" style="262" customWidth="1"/>
    <col min="41" max="41" width="5" style="262" customWidth="1"/>
    <col min="42" max="42" width="5.5703125" style="262" customWidth="1"/>
    <col min="43" max="43" width="6" style="262" bestFit="1" customWidth="1"/>
    <col min="44" max="44" width="25.5703125" style="262" bestFit="1" customWidth="1"/>
    <col min="45" max="45" width="23" style="262" bestFit="1" customWidth="1"/>
    <col min="46" max="46" width="23.42578125" style="262" bestFit="1" customWidth="1"/>
    <col min="47" max="47" width="3.140625" style="262" bestFit="1" customWidth="1"/>
    <col min="48" max="48" width="5.5703125" style="262" bestFit="1" customWidth="1"/>
    <col min="49" max="50" width="9.140625" style="262"/>
    <col min="51" max="51" width="5.5703125" style="262" bestFit="1" customWidth="1"/>
    <col min="52" max="52" width="11.28515625" style="262" bestFit="1" customWidth="1"/>
    <col min="53" max="53" width="32.7109375" style="262" bestFit="1" customWidth="1"/>
    <col min="54" max="16384" width="9.140625" style="262"/>
  </cols>
  <sheetData>
    <row r="1" spans="1:47" ht="15" customHeight="1">
      <c r="I1" s="274"/>
      <c r="J1" s="275"/>
      <c r="K1" s="274"/>
      <c r="Q1" s="275"/>
      <c r="R1" s="275"/>
      <c r="V1" s="257"/>
      <c r="X1" s="277">
        <f>SUBTOTAL(9,X2:X514)</f>
        <v>1135582</v>
      </c>
      <c r="Y1" s="454">
        <f>SUBTOTAL(9,Y2:Y514)</f>
        <v>437628035</v>
      </c>
      <c r="Z1" s="289">
        <f>AA1/Y1</f>
        <v>0.56966854979937465</v>
      </c>
      <c r="AA1" s="358">
        <f>SUBTOTAL(9,AA2:AA514)</f>
        <v>249302928.04999995</v>
      </c>
      <c r="AE1" s="358">
        <f>SUBTOTAL(9,AE2:AE514)</f>
        <v>0</v>
      </c>
      <c r="AF1" s="358">
        <f>SUBTOTAL(9,AF2:AF514)</f>
        <v>249302928.04999995</v>
      </c>
      <c r="AG1" s="290"/>
      <c r="AH1" s="290"/>
      <c r="AL1" s="274"/>
    </row>
    <row r="2" spans="1:47" ht="15.75" customHeight="1">
      <c r="A2" s="263" t="s">
        <v>1051</v>
      </c>
      <c r="B2" s="263" t="s">
        <v>1052</v>
      </c>
      <c r="C2" s="263" t="s">
        <v>1053</v>
      </c>
      <c r="D2" s="263" t="s">
        <v>1</v>
      </c>
      <c r="E2" s="263" t="s">
        <v>2</v>
      </c>
      <c r="F2" s="263" t="s">
        <v>3</v>
      </c>
      <c r="G2" s="264" t="s">
        <v>4</v>
      </c>
      <c r="H2" s="264" t="s">
        <v>5</v>
      </c>
      <c r="I2" s="291" t="s">
        <v>6</v>
      </c>
      <c r="J2" s="265" t="s">
        <v>7</v>
      </c>
      <c r="K2" s="263" t="s">
        <v>8</v>
      </c>
      <c r="L2" s="263" t="s">
        <v>9</v>
      </c>
      <c r="M2" s="265" t="s">
        <v>10</v>
      </c>
      <c r="N2" s="265" t="s">
        <v>11</v>
      </c>
      <c r="O2" s="264" t="s">
        <v>12</v>
      </c>
      <c r="P2" s="265" t="s">
        <v>13</v>
      </c>
      <c r="Q2" s="265" t="s">
        <v>14</v>
      </c>
      <c r="R2" s="265" t="s">
        <v>15</v>
      </c>
      <c r="S2" s="263" t="s">
        <v>16</v>
      </c>
      <c r="T2" s="263" t="s">
        <v>17</v>
      </c>
      <c r="U2" s="263" t="s">
        <v>272</v>
      </c>
      <c r="V2" s="263" t="s">
        <v>20</v>
      </c>
      <c r="W2" s="263" t="s">
        <v>1054</v>
      </c>
      <c r="X2" s="266" t="s">
        <v>1055</v>
      </c>
      <c r="Y2" s="267" t="s">
        <v>1056</v>
      </c>
      <c r="Z2" s="268" t="s">
        <v>1057</v>
      </c>
      <c r="AA2" s="269" t="s">
        <v>26</v>
      </c>
      <c r="AB2" s="268" t="s">
        <v>1058</v>
      </c>
      <c r="AC2" s="268" t="s">
        <v>1059</v>
      </c>
      <c r="AD2" s="270" t="s">
        <v>1060</v>
      </c>
      <c r="AE2" s="269" t="s">
        <v>1061</v>
      </c>
      <c r="AF2" s="270" t="s">
        <v>29</v>
      </c>
      <c r="AG2" s="270" t="s">
        <v>30</v>
      </c>
      <c r="AH2" s="292" t="s">
        <v>31</v>
      </c>
      <c r="AI2" s="271" t="s">
        <v>32</v>
      </c>
      <c r="AJ2" s="269" t="s">
        <v>33</v>
      </c>
      <c r="AK2" s="269" t="s">
        <v>34</v>
      </c>
      <c r="AL2" s="273" t="s">
        <v>35</v>
      </c>
      <c r="AM2" s="269" t="s">
        <v>36</v>
      </c>
      <c r="AN2" s="263" t="s">
        <v>37</v>
      </c>
      <c r="AO2" s="263" t="s">
        <v>1502</v>
      </c>
      <c r="AP2" s="272" t="s">
        <v>1062</v>
      </c>
      <c r="AQ2" s="272" t="s">
        <v>1063</v>
      </c>
      <c r="AR2" s="272" t="s">
        <v>1064</v>
      </c>
      <c r="AS2" s="272" t="s">
        <v>1</v>
      </c>
      <c r="AT2" s="272" t="s">
        <v>1065</v>
      </c>
    </row>
    <row r="3" spans="1:47" s="402" customFormat="1">
      <c r="A3" s="426"/>
      <c r="B3" s="426"/>
      <c r="C3" s="426"/>
      <c r="D3" s="432" t="s">
        <v>1066</v>
      </c>
      <c r="E3" s="379" t="s">
        <v>1093</v>
      </c>
      <c r="F3" s="432"/>
      <c r="G3" s="441"/>
      <c r="H3" s="432"/>
      <c r="I3" s="432" t="s">
        <v>3856</v>
      </c>
      <c r="J3" s="433"/>
      <c r="K3" s="432" t="s">
        <v>3857</v>
      </c>
      <c r="L3" s="432" t="s">
        <v>1266</v>
      </c>
      <c r="M3" s="433">
        <v>44568</v>
      </c>
      <c r="N3" s="433">
        <v>44753</v>
      </c>
      <c r="O3" s="433"/>
      <c r="P3" s="433"/>
      <c r="Q3" s="433"/>
      <c r="R3" s="433"/>
      <c r="S3" s="441" t="s">
        <v>1107</v>
      </c>
      <c r="T3" s="432">
        <v>60</v>
      </c>
      <c r="U3" s="432"/>
      <c r="V3" s="432" t="s">
        <v>973</v>
      </c>
      <c r="W3" s="432">
        <v>400</v>
      </c>
      <c r="X3" s="443">
        <v>6656</v>
      </c>
      <c r="Y3" s="408">
        <f t="shared" ref="Y3:Y10" si="0">W3*X3</f>
        <v>2662400</v>
      </c>
      <c r="Z3" s="409">
        <v>0.52</v>
      </c>
      <c r="AA3" s="410">
        <f t="shared" ref="AA3:AA10" si="1">Y3*Z3</f>
        <v>1384448</v>
      </c>
      <c r="AB3" s="411"/>
      <c r="AC3" s="412">
        <v>0</v>
      </c>
      <c r="AD3" s="421"/>
      <c r="AE3" s="413"/>
      <c r="AF3" s="424">
        <f t="shared" ref="AF3:AF66" si="2">AE3+AD3+AA3</f>
        <v>1384448</v>
      </c>
      <c r="AG3" s="405" t="s">
        <v>1069</v>
      </c>
      <c r="AH3" s="405"/>
      <c r="AI3" s="405">
        <v>60</v>
      </c>
      <c r="AJ3" s="405" t="s">
        <v>1267</v>
      </c>
      <c r="AK3" s="405" t="s">
        <v>1117</v>
      </c>
      <c r="AL3" s="425" t="s">
        <v>1268</v>
      </c>
      <c r="AM3" s="405" t="s">
        <v>52</v>
      </c>
      <c r="AN3" s="405" t="s">
        <v>1071</v>
      </c>
      <c r="AO3" s="405"/>
      <c r="AP3" s="413"/>
      <c r="AQ3" s="413" t="s">
        <v>37</v>
      </c>
      <c r="AR3" s="405" t="s">
        <v>1188</v>
      </c>
      <c r="AS3" s="368" t="s">
        <v>1073</v>
      </c>
      <c r="AT3" s="386"/>
      <c r="AU3" s="386"/>
    </row>
    <row r="4" spans="1:47" s="402" customFormat="1">
      <c r="A4" s="426"/>
      <c r="B4" s="426"/>
      <c r="C4" s="426"/>
      <c r="D4" s="432" t="s">
        <v>1066</v>
      </c>
      <c r="E4" s="379" t="s">
        <v>1093</v>
      </c>
      <c r="F4" s="432"/>
      <c r="G4" s="441"/>
      <c r="H4" s="432"/>
      <c r="I4" s="432" t="s">
        <v>3856</v>
      </c>
      <c r="J4" s="433"/>
      <c r="K4" s="432" t="s">
        <v>3858</v>
      </c>
      <c r="L4" s="432" t="s">
        <v>1266</v>
      </c>
      <c r="M4" s="433">
        <v>44568</v>
      </c>
      <c r="N4" s="433">
        <v>44784</v>
      </c>
      <c r="O4" s="433"/>
      <c r="P4" s="433"/>
      <c r="Q4" s="433"/>
      <c r="R4" s="433"/>
      <c r="S4" s="441" t="s">
        <v>1107</v>
      </c>
      <c r="T4" s="432">
        <v>60</v>
      </c>
      <c r="U4" s="432"/>
      <c r="V4" s="432" t="s">
        <v>973</v>
      </c>
      <c r="W4" s="432">
        <v>400</v>
      </c>
      <c r="X4" s="443">
        <v>6656</v>
      </c>
      <c r="Y4" s="408">
        <f t="shared" si="0"/>
        <v>2662400</v>
      </c>
      <c r="Z4" s="409">
        <v>0.52</v>
      </c>
      <c r="AA4" s="410">
        <f t="shared" si="1"/>
        <v>1384448</v>
      </c>
      <c r="AB4" s="411"/>
      <c r="AC4" s="412">
        <v>0</v>
      </c>
      <c r="AD4" s="421"/>
      <c r="AE4" s="413"/>
      <c r="AF4" s="424">
        <f t="shared" si="2"/>
        <v>1384448</v>
      </c>
      <c r="AG4" s="405" t="s">
        <v>1069</v>
      </c>
      <c r="AH4" s="405"/>
      <c r="AI4" s="405">
        <v>60</v>
      </c>
      <c r="AJ4" s="405" t="s">
        <v>1267</v>
      </c>
      <c r="AK4" s="405" t="s">
        <v>1117</v>
      </c>
      <c r="AL4" s="425" t="s">
        <v>1268</v>
      </c>
      <c r="AM4" s="405" t="s">
        <v>52</v>
      </c>
      <c r="AN4" s="405" t="s">
        <v>1071</v>
      </c>
      <c r="AO4" s="405"/>
      <c r="AP4" s="413"/>
      <c r="AQ4" s="413" t="s">
        <v>37</v>
      </c>
      <c r="AR4" s="405" t="s">
        <v>1188</v>
      </c>
      <c r="AS4" s="368" t="s">
        <v>1073</v>
      </c>
      <c r="AT4" s="386"/>
      <c r="AU4" s="386"/>
    </row>
    <row r="5" spans="1:47" s="402" customFormat="1">
      <c r="A5" s="426"/>
      <c r="B5" s="426"/>
      <c r="C5" s="426"/>
      <c r="D5" s="432" t="s">
        <v>1066</v>
      </c>
      <c r="E5" s="379" t="s">
        <v>1093</v>
      </c>
      <c r="F5" s="432"/>
      <c r="G5" s="441"/>
      <c r="H5" s="432"/>
      <c r="I5" s="432" t="s">
        <v>3856</v>
      </c>
      <c r="J5" s="433"/>
      <c r="K5" s="432" t="s">
        <v>3859</v>
      </c>
      <c r="L5" s="432" t="s">
        <v>1266</v>
      </c>
      <c r="M5" s="433">
        <v>44568</v>
      </c>
      <c r="N5" s="433">
        <v>44815</v>
      </c>
      <c r="O5" s="433"/>
      <c r="P5" s="433"/>
      <c r="Q5" s="433"/>
      <c r="R5" s="433"/>
      <c r="S5" s="441" t="s">
        <v>1107</v>
      </c>
      <c r="T5" s="432">
        <v>60</v>
      </c>
      <c r="U5" s="432"/>
      <c r="V5" s="432" t="s">
        <v>973</v>
      </c>
      <c r="W5" s="432">
        <v>400</v>
      </c>
      <c r="X5" s="443">
        <v>6656</v>
      </c>
      <c r="Y5" s="408">
        <f t="shared" si="0"/>
        <v>2662400</v>
      </c>
      <c r="Z5" s="409">
        <v>0.52</v>
      </c>
      <c r="AA5" s="410">
        <f t="shared" si="1"/>
        <v>1384448</v>
      </c>
      <c r="AB5" s="411"/>
      <c r="AC5" s="412">
        <v>0</v>
      </c>
      <c r="AD5" s="421"/>
      <c r="AE5" s="413"/>
      <c r="AF5" s="424">
        <f t="shared" si="2"/>
        <v>1384448</v>
      </c>
      <c r="AG5" s="405" t="s">
        <v>1069</v>
      </c>
      <c r="AH5" s="405"/>
      <c r="AI5" s="405">
        <v>60</v>
      </c>
      <c r="AJ5" s="405" t="s">
        <v>1267</v>
      </c>
      <c r="AK5" s="405" t="s">
        <v>1117</v>
      </c>
      <c r="AL5" s="425" t="s">
        <v>1268</v>
      </c>
      <c r="AM5" s="405" t="s">
        <v>52</v>
      </c>
      <c r="AN5" s="405" t="s">
        <v>1071</v>
      </c>
      <c r="AO5" s="405"/>
      <c r="AP5" s="413"/>
      <c r="AQ5" s="413" t="s">
        <v>37</v>
      </c>
      <c r="AR5" s="405" t="s">
        <v>1188</v>
      </c>
      <c r="AS5" s="368" t="s">
        <v>1073</v>
      </c>
      <c r="AT5" s="386"/>
      <c r="AU5" s="386"/>
    </row>
    <row r="6" spans="1:47" s="402" customFormat="1">
      <c r="A6" s="426"/>
      <c r="B6" s="426"/>
      <c r="C6" s="426"/>
      <c r="D6" s="432" t="s">
        <v>1066</v>
      </c>
      <c r="E6" s="379" t="s">
        <v>1093</v>
      </c>
      <c r="F6" s="432"/>
      <c r="G6" s="441"/>
      <c r="H6" s="432"/>
      <c r="I6" s="432" t="s">
        <v>3856</v>
      </c>
      <c r="J6" s="433"/>
      <c r="K6" s="432" t="s">
        <v>3860</v>
      </c>
      <c r="L6" s="432" t="s">
        <v>1266</v>
      </c>
      <c r="M6" s="433">
        <v>44648</v>
      </c>
      <c r="N6" s="433">
        <v>44743</v>
      </c>
      <c r="O6" s="433"/>
      <c r="P6" s="433"/>
      <c r="Q6" s="433"/>
      <c r="R6" s="433"/>
      <c r="S6" s="441" t="s">
        <v>1107</v>
      </c>
      <c r="T6" s="432">
        <v>60</v>
      </c>
      <c r="U6" s="432"/>
      <c r="V6" s="432" t="s">
        <v>973</v>
      </c>
      <c r="W6" s="432">
        <v>400</v>
      </c>
      <c r="X6" s="443">
        <v>1664</v>
      </c>
      <c r="Y6" s="408">
        <f t="shared" si="0"/>
        <v>665600</v>
      </c>
      <c r="Z6" s="409">
        <v>0.52</v>
      </c>
      <c r="AA6" s="410">
        <f t="shared" si="1"/>
        <v>346112</v>
      </c>
      <c r="AB6" s="411"/>
      <c r="AC6" s="412">
        <v>0</v>
      </c>
      <c r="AD6" s="421"/>
      <c r="AE6" s="413"/>
      <c r="AF6" s="424">
        <f t="shared" si="2"/>
        <v>346112</v>
      </c>
      <c r="AG6" s="405" t="s">
        <v>1069</v>
      </c>
      <c r="AH6" s="405"/>
      <c r="AI6" s="405">
        <v>60</v>
      </c>
      <c r="AJ6" s="405" t="s">
        <v>1267</v>
      </c>
      <c r="AK6" s="405" t="s">
        <v>1117</v>
      </c>
      <c r="AL6" s="425" t="s">
        <v>1268</v>
      </c>
      <c r="AM6" s="405" t="s">
        <v>52</v>
      </c>
      <c r="AN6" s="405" t="s">
        <v>1071</v>
      </c>
      <c r="AO6" s="405"/>
      <c r="AP6" s="413"/>
      <c r="AQ6" s="413" t="s">
        <v>37</v>
      </c>
      <c r="AR6" s="405" t="s">
        <v>1188</v>
      </c>
      <c r="AS6" s="368" t="s">
        <v>1073</v>
      </c>
      <c r="AT6" s="386"/>
      <c r="AU6" s="386"/>
    </row>
    <row r="7" spans="1:47" s="402" customFormat="1">
      <c r="A7" s="426"/>
      <c r="B7" s="426"/>
      <c r="C7" s="426"/>
      <c r="D7" s="432" t="s">
        <v>1066</v>
      </c>
      <c r="E7" s="379" t="s">
        <v>1093</v>
      </c>
      <c r="F7" s="432"/>
      <c r="G7" s="441"/>
      <c r="H7" s="432"/>
      <c r="I7" s="432" t="s">
        <v>3856</v>
      </c>
      <c r="J7" s="433"/>
      <c r="K7" s="432" t="s">
        <v>3861</v>
      </c>
      <c r="L7" s="432" t="s">
        <v>1266</v>
      </c>
      <c r="M7" s="433">
        <v>44648</v>
      </c>
      <c r="N7" s="433">
        <v>44774</v>
      </c>
      <c r="O7" s="433"/>
      <c r="P7" s="433"/>
      <c r="Q7" s="433"/>
      <c r="R7" s="433"/>
      <c r="S7" s="441" t="s">
        <v>1107</v>
      </c>
      <c r="T7" s="432">
        <v>60</v>
      </c>
      <c r="U7" s="432"/>
      <c r="V7" s="432" t="s">
        <v>973</v>
      </c>
      <c r="W7" s="432">
        <v>400</v>
      </c>
      <c r="X7" s="443">
        <v>1664</v>
      </c>
      <c r="Y7" s="408">
        <f t="shared" si="0"/>
        <v>665600</v>
      </c>
      <c r="Z7" s="409">
        <v>0.52</v>
      </c>
      <c r="AA7" s="410">
        <f t="shared" si="1"/>
        <v>346112</v>
      </c>
      <c r="AB7" s="411"/>
      <c r="AC7" s="412">
        <v>0</v>
      </c>
      <c r="AD7" s="421"/>
      <c r="AE7" s="413"/>
      <c r="AF7" s="424">
        <f t="shared" si="2"/>
        <v>346112</v>
      </c>
      <c r="AG7" s="405" t="s">
        <v>1069</v>
      </c>
      <c r="AH7" s="405"/>
      <c r="AI7" s="405">
        <v>60</v>
      </c>
      <c r="AJ7" s="405" t="s">
        <v>1267</v>
      </c>
      <c r="AK7" s="405" t="s">
        <v>1117</v>
      </c>
      <c r="AL7" s="425" t="s">
        <v>1268</v>
      </c>
      <c r="AM7" s="405" t="s">
        <v>52</v>
      </c>
      <c r="AN7" s="405" t="s">
        <v>1071</v>
      </c>
      <c r="AO7" s="405"/>
      <c r="AP7" s="413"/>
      <c r="AQ7" s="413" t="s">
        <v>37</v>
      </c>
      <c r="AR7" s="405" t="s">
        <v>1188</v>
      </c>
      <c r="AS7" s="368" t="s">
        <v>1073</v>
      </c>
      <c r="AT7" s="386"/>
      <c r="AU7" s="386"/>
    </row>
    <row r="8" spans="1:47" s="402" customFormat="1">
      <c r="A8" s="426"/>
      <c r="B8" s="426"/>
      <c r="C8" s="426"/>
      <c r="D8" s="432" t="s">
        <v>1066</v>
      </c>
      <c r="E8" s="379" t="s">
        <v>1093</v>
      </c>
      <c r="F8" s="432"/>
      <c r="G8" s="441"/>
      <c r="H8" s="432"/>
      <c r="I8" s="432" t="s">
        <v>3856</v>
      </c>
      <c r="J8" s="433"/>
      <c r="K8" s="432" t="s">
        <v>3862</v>
      </c>
      <c r="L8" s="432" t="s">
        <v>1266</v>
      </c>
      <c r="M8" s="433">
        <v>44648</v>
      </c>
      <c r="N8" s="433">
        <v>44805</v>
      </c>
      <c r="O8" s="433"/>
      <c r="P8" s="433"/>
      <c r="Q8" s="433"/>
      <c r="R8" s="433"/>
      <c r="S8" s="441" t="s">
        <v>1107</v>
      </c>
      <c r="T8" s="432">
        <v>60</v>
      </c>
      <c r="U8" s="432"/>
      <c r="V8" s="432" t="s">
        <v>973</v>
      </c>
      <c r="W8" s="432">
        <v>400</v>
      </c>
      <c r="X8" s="443">
        <v>1664</v>
      </c>
      <c r="Y8" s="408">
        <f t="shared" si="0"/>
        <v>665600</v>
      </c>
      <c r="Z8" s="409">
        <v>0.52</v>
      </c>
      <c r="AA8" s="410">
        <f t="shared" si="1"/>
        <v>346112</v>
      </c>
      <c r="AB8" s="411"/>
      <c r="AC8" s="412">
        <v>0</v>
      </c>
      <c r="AD8" s="421"/>
      <c r="AE8" s="413"/>
      <c r="AF8" s="424">
        <f t="shared" si="2"/>
        <v>346112</v>
      </c>
      <c r="AG8" s="405" t="s">
        <v>1069</v>
      </c>
      <c r="AH8" s="405"/>
      <c r="AI8" s="405">
        <v>60</v>
      </c>
      <c r="AJ8" s="405" t="s">
        <v>1267</v>
      </c>
      <c r="AK8" s="405" t="s">
        <v>1117</v>
      </c>
      <c r="AL8" s="425" t="s">
        <v>1268</v>
      </c>
      <c r="AM8" s="405" t="s">
        <v>52</v>
      </c>
      <c r="AN8" s="405" t="s">
        <v>1071</v>
      </c>
      <c r="AO8" s="405"/>
      <c r="AP8" s="413"/>
      <c r="AQ8" s="413" t="s">
        <v>37</v>
      </c>
      <c r="AR8" s="405" t="s">
        <v>1188</v>
      </c>
      <c r="AS8" s="368" t="s">
        <v>1073</v>
      </c>
      <c r="AT8" s="386"/>
      <c r="AU8" s="386"/>
    </row>
    <row r="9" spans="1:47" s="402" customFormat="1">
      <c r="A9" s="426"/>
      <c r="B9" s="426"/>
      <c r="C9" s="426"/>
      <c r="D9" s="432" t="s">
        <v>1066</v>
      </c>
      <c r="E9" s="379" t="s">
        <v>1093</v>
      </c>
      <c r="F9" s="432"/>
      <c r="G9" s="441"/>
      <c r="H9" s="432"/>
      <c r="I9" s="432" t="s">
        <v>3856</v>
      </c>
      <c r="J9" s="433"/>
      <c r="K9" s="432" t="s">
        <v>3863</v>
      </c>
      <c r="L9" s="432" t="s">
        <v>1266</v>
      </c>
      <c r="M9" s="433">
        <v>44648</v>
      </c>
      <c r="N9" s="433">
        <v>44835</v>
      </c>
      <c r="O9" s="433"/>
      <c r="P9" s="433"/>
      <c r="Q9" s="433"/>
      <c r="R9" s="433"/>
      <c r="S9" s="441" t="s">
        <v>1107</v>
      </c>
      <c r="T9" s="432">
        <v>60</v>
      </c>
      <c r="U9" s="432"/>
      <c r="V9" s="432" t="s">
        <v>973</v>
      </c>
      <c r="W9" s="432">
        <v>400</v>
      </c>
      <c r="X9" s="443">
        <v>1664</v>
      </c>
      <c r="Y9" s="408">
        <f t="shared" si="0"/>
        <v>665600</v>
      </c>
      <c r="Z9" s="409">
        <v>0.52</v>
      </c>
      <c r="AA9" s="410">
        <f t="shared" si="1"/>
        <v>346112</v>
      </c>
      <c r="AB9" s="411"/>
      <c r="AC9" s="412">
        <v>0</v>
      </c>
      <c r="AD9" s="421"/>
      <c r="AE9" s="413"/>
      <c r="AF9" s="424">
        <f t="shared" si="2"/>
        <v>346112</v>
      </c>
      <c r="AG9" s="405" t="s">
        <v>1069</v>
      </c>
      <c r="AH9" s="405"/>
      <c r="AI9" s="405">
        <v>60</v>
      </c>
      <c r="AJ9" s="405" t="s">
        <v>1267</v>
      </c>
      <c r="AK9" s="405" t="s">
        <v>1117</v>
      </c>
      <c r="AL9" s="425" t="s">
        <v>1268</v>
      </c>
      <c r="AM9" s="405" t="s">
        <v>52</v>
      </c>
      <c r="AN9" s="405" t="s">
        <v>1071</v>
      </c>
      <c r="AO9" s="405"/>
      <c r="AP9" s="413"/>
      <c r="AQ9" s="413" t="s">
        <v>37</v>
      </c>
      <c r="AR9" s="405" t="s">
        <v>1188</v>
      </c>
      <c r="AS9" s="368" t="s">
        <v>1073</v>
      </c>
      <c r="AT9" s="386"/>
      <c r="AU9" s="386"/>
    </row>
    <row r="10" spans="1:47" s="402" customFormat="1">
      <c r="A10" s="426"/>
      <c r="B10" s="426"/>
      <c r="C10" s="426"/>
      <c r="D10" s="432" t="s">
        <v>1066</v>
      </c>
      <c r="E10" s="379" t="s">
        <v>1093</v>
      </c>
      <c r="F10" s="432"/>
      <c r="G10" s="441"/>
      <c r="H10" s="432"/>
      <c r="I10" s="432" t="s">
        <v>3856</v>
      </c>
      <c r="J10" s="433"/>
      <c r="K10" s="432" t="s">
        <v>3864</v>
      </c>
      <c r="L10" s="432" t="s">
        <v>1266</v>
      </c>
      <c r="M10" s="433">
        <v>44648</v>
      </c>
      <c r="N10" s="433">
        <v>44866</v>
      </c>
      <c r="O10" s="433"/>
      <c r="P10" s="433"/>
      <c r="Q10" s="433"/>
      <c r="R10" s="433"/>
      <c r="S10" s="441" t="s">
        <v>1107</v>
      </c>
      <c r="T10" s="432">
        <v>60</v>
      </c>
      <c r="U10" s="432"/>
      <c r="V10" s="432" t="s">
        <v>973</v>
      </c>
      <c r="W10" s="432">
        <v>400</v>
      </c>
      <c r="X10" s="443">
        <v>1664</v>
      </c>
      <c r="Y10" s="408">
        <f t="shared" si="0"/>
        <v>665600</v>
      </c>
      <c r="Z10" s="409">
        <v>0.52</v>
      </c>
      <c r="AA10" s="410">
        <f t="shared" si="1"/>
        <v>346112</v>
      </c>
      <c r="AB10" s="411"/>
      <c r="AC10" s="412">
        <v>0</v>
      </c>
      <c r="AD10" s="421"/>
      <c r="AE10" s="413"/>
      <c r="AF10" s="424">
        <f t="shared" si="2"/>
        <v>346112</v>
      </c>
      <c r="AG10" s="405" t="s">
        <v>1069</v>
      </c>
      <c r="AH10" s="405"/>
      <c r="AI10" s="405">
        <v>60</v>
      </c>
      <c r="AJ10" s="405" t="s">
        <v>1267</v>
      </c>
      <c r="AK10" s="405" t="s">
        <v>1117</v>
      </c>
      <c r="AL10" s="425" t="s">
        <v>1268</v>
      </c>
      <c r="AM10" s="405" t="s">
        <v>52</v>
      </c>
      <c r="AN10" s="405" t="s">
        <v>1071</v>
      </c>
      <c r="AO10" s="405"/>
      <c r="AP10" s="413"/>
      <c r="AQ10" s="413" t="s">
        <v>37</v>
      </c>
      <c r="AR10" s="405" t="s">
        <v>1188</v>
      </c>
      <c r="AS10" s="368" t="s">
        <v>1073</v>
      </c>
      <c r="AT10" s="386"/>
      <c r="AU10" s="386"/>
    </row>
    <row r="11" spans="1:47" s="402" customFormat="1">
      <c r="A11" s="426"/>
      <c r="B11" s="426"/>
      <c r="C11" s="426"/>
      <c r="D11" s="432" t="s">
        <v>1066</v>
      </c>
      <c r="E11" s="379" t="s">
        <v>1093</v>
      </c>
      <c r="F11" s="432"/>
      <c r="G11" s="441"/>
      <c r="H11" s="432"/>
      <c r="I11" s="432" t="s">
        <v>3856</v>
      </c>
      <c r="J11" s="433"/>
      <c r="K11" s="432" t="s">
        <v>3865</v>
      </c>
      <c r="L11" s="432" t="s">
        <v>1189</v>
      </c>
      <c r="M11" s="433">
        <v>44551</v>
      </c>
      <c r="N11" s="433">
        <v>44607</v>
      </c>
      <c r="O11" s="433"/>
      <c r="P11" s="433"/>
      <c r="Q11" s="433"/>
      <c r="R11" s="433"/>
      <c r="S11" s="441" t="s">
        <v>1107</v>
      </c>
      <c r="T11" s="432">
        <v>60</v>
      </c>
      <c r="U11" s="432"/>
      <c r="V11" s="432" t="s">
        <v>973</v>
      </c>
      <c r="W11" s="432">
        <v>400</v>
      </c>
      <c r="X11" s="443">
        <v>768</v>
      </c>
      <c r="Y11" s="408">
        <f t="shared" ref="Y11:Y32" si="3">X11*W11</f>
        <v>307200</v>
      </c>
      <c r="Z11" s="409">
        <v>0.52</v>
      </c>
      <c r="AA11" s="410">
        <f t="shared" ref="AA11:AA74" si="4">Z11*Y11</f>
        <v>159744</v>
      </c>
      <c r="AB11" s="411"/>
      <c r="AC11" s="412">
        <f t="shared" ref="AC11:AC74" si="5">AB11*Y11</f>
        <v>0</v>
      </c>
      <c r="AD11" s="421"/>
      <c r="AE11" s="413"/>
      <c r="AF11" s="424">
        <f t="shared" si="2"/>
        <v>159744</v>
      </c>
      <c r="AG11" s="405" t="s">
        <v>1069</v>
      </c>
      <c r="AH11" s="405">
        <v>0</v>
      </c>
      <c r="AI11" s="405">
        <v>60</v>
      </c>
      <c r="AJ11" s="405" t="s">
        <v>1190</v>
      </c>
      <c r="AK11" s="405" t="s">
        <v>1191</v>
      </c>
      <c r="AL11" s="425">
        <v>43125</v>
      </c>
      <c r="AM11" s="405" t="s">
        <v>52</v>
      </c>
      <c r="AN11" s="405" t="s">
        <v>1071</v>
      </c>
      <c r="AO11" s="405"/>
      <c r="AP11" s="413"/>
      <c r="AQ11" s="413" t="s">
        <v>1083</v>
      </c>
      <c r="AR11" s="405" t="s">
        <v>1188</v>
      </c>
      <c r="AS11" s="368" t="s">
        <v>1072</v>
      </c>
      <c r="AT11" s="386" t="s">
        <v>1084</v>
      </c>
      <c r="AU11" s="386" t="s">
        <v>1073</v>
      </c>
    </row>
    <row r="12" spans="1:47" s="402" customFormat="1">
      <c r="A12" s="426"/>
      <c r="B12" s="426"/>
      <c r="C12" s="426"/>
      <c r="D12" s="432" t="s">
        <v>1066</v>
      </c>
      <c r="E12" s="379" t="s">
        <v>1307</v>
      </c>
      <c r="F12" s="432"/>
      <c r="G12" s="441"/>
      <c r="H12" s="432"/>
      <c r="I12" s="432" t="s">
        <v>1498</v>
      </c>
      <c r="J12" s="433"/>
      <c r="K12" s="432" t="s">
        <v>3866</v>
      </c>
      <c r="L12" s="432" t="s">
        <v>1232</v>
      </c>
      <c r="M12" s="433">
        <v>44543</v>
      </c>
      <c r="N12" s="433">
        <v>44652</v>
      </c>
      <c r="O12" s="433"/>
      <c r="P12" s="433"/>
      <c r="Q12" s="433"/>
      <c r="R12" s="433"/>
      <c r="S12" s="441" t="s">
        <v>1107</v>
      </c>
      <c r="T12" s="432">
        <v>60</v>
      </c>
      <c r="U12" s="432"/>
      <c r="V12" s="432" t="s">
        <v>973</v>
      </c>
      <c r="W12" s="432">
        <v>400</v>
      </c>
      <c r="X12" s="443">
        <v>4608</v>
      </c>
      <c r="Y12" s="408">
        <f t="shared" si="3"/>
        <v>1843200</v>
      </c>
      <c r="Z12" s="409">
        <v>0.45500000000000002</v>
      </c>
      <c r="AA12" s="410">
        <f t="shared" si="4"/>
        <v>838656</v>
      </c>
      <c r="AB12" s="411"/>
      <c r="AC12" s="412">
        <f t="shared" si="5"/>
        <v>0</v>
      </c>
      <c r="AD12" s="421"/>
      <c r="AE12" s="413"/>
      <c r="AF12" s="424">
        <f t="shared" si="2"/>
        <v>838656</v>
      </c>
      <c r="AG12" s="405" t="s">
        <v>1069</v>
      </c>
      <c r="AH12" s="405"/>
      <c r="AI12" s="405">
        <v>60</v>
      </c>
      <c r="AJ12" s="405" t="s">
        <v>1233</v>
      </c>
      <c r="AK12" s="405" t="s">
        <v>1234</v>
      </c>
      <c r="AL12" s="425" t="s">
        <v>1235</v>
      </c>
      <c r="AM12" s="405" t="s">
        <v>52</v>
      </c>
      <c r="AN12" s="405" t="s">
        <v>1071</v>
      </c>
      <c r="AO12" s="405"/>
      <c r="AP12" s="413"/>
      <c r="AQ12" s="413"/>
      <c r="AR12" s="405" t="s">
        <v>1188</v>
      </c>
      <c r="AS12" s="368"/>
      <c r="AT12" s="386"/>
      <c r="AU12" s="386"/>
    </row>
    <row r="13" spans="1:47" s="402" customFormat="1">
      <c r="A13" s="426"/>
      <c r="B13" s="426"/>
      <c r="C13" s="426"/>
      <c r="D13" s="432" t="s">
        <v>1066</v>
      </c>
      <c r="E13" s="379" t="s">
        <v>1307</v>
      </c>
      <c r="F13" s="432"/>
      <c r="G13" s="441"/>
      <c r="H13" s="432"/>
      <c r="I13" s="432" t="s">
        <v>1498</v>
      </c>
      <c r="J13" s="433"/>
      <c r="K13" s="432" t="s">
        <v>3867</v>
      </c>
      <c r="L13" s="432" t="s">
        <v>1232</v>
      </c>
      <c r="M13" s="433">
        <v>44543</v>
      </c>
      <c r="N13" s="433">
        <v>44682</v>
      </c>
      <c r="O13" s="433"/>
      <c r="P13" s="433"/>
      <c r="Q13" s="433"/>
      <c r="R13" s="433"/>
      <c r="S13" s="441" t="s">
        <v>1107</v>
      </c>
      <c r="T13" s="432">
        <v>60</v>
      </c>
      <c r="U13" s="432"/>
      <c r="V13" s="432" t="s">
        <v>973</v>
      </c>
      <c r="W13" s="432">
        <v>400</v>
      </c>
      <c r="X13" s="443">
        <v>2304</v>
      </c>
      <c r="Y13" s="408">
        <f t="shared" si="3"/>
        <v>921600</v>
      </c>
      <c r="Z13" s="409">
        <v>0.45500000000000002</v>
      </c>
      <c r="AA13" s="410">
        <f t="shared" si="4"/>
        <v>419328</v>
      </c>
      <c r="AB13" s="411"/>
      <c r="AC13" s="412">
        <f t="shared" si="5"/>
        <v>0</v>
      </c>
      <c r="AD13" s="421"/>
      <c r="AE13" s="413"/>
      <c r="AF13" s="424">
        <f t="shared" si="2"/>
        <v>419328</v>
      </c>
      <c r="AG13" s="405" t="s">
        <v>1069</v>
      </c>
      <c r="AH13" s="405"/>
      <c r="AI13" s="405">
        <v>60</v>
      </c>
      <c r="AJ13" s="405" t="s">
        <v>1233</v>
      </c>
      <c r="AK13" s="405" t="s">
        <v>1234</v>
      </c>
      <c r="AL13" s="425" t="s">
        <v>1235</v>
      </c>
      <c r="AM13" s="405" t="s">
        <v>52</v>
      </c>
      <c r="AN13" s="405" t="s">
        <v>1071</v>
      </c>
      <c r="AO13" s="405"/>
      <c r="AP13" s="413"/>
      <c r="AQ13" s="413"/>
      <c r="AR13" s="405" t="s">
        <v>1188</v>
      </c>
      <c r="AS13" s="368"/>
      <c r="AT13" s="386"/>
      <c r="AU13" s="386"/>
    </row>
    <row r="14" spans="1:47" s="402" customFormat="1">
      <c r="A14" s="426"/>
      <c r="B14" s="426"/>
      <c r="C14" s="426"/>
      <c r="D14" s="432" t="s">
        <v>1066</v>
      </c>
      <c r="E14" s="379" t="s">
        <v>1307</v>
      </c>
      <c r="F14" s="432"/>
      <c r="G14" s="441"/>
      <c r="H14" s="432"/>
      <c r="I14" s="432" t="s">
        <v>1498</v>
      </c>
      <c r="J14" s="433"/>
      <c r="K14" s="432" t="s">
        <v>3868</v>
      </c>
      <c r="L14" s="432" t="s">
        <v>1232</v>
      </c>
      <c r="M14" s="433">
        <v>44543</v>
      </c>
      <c r="N14" s="433">
        <v>44713</v>
      </c>
      <c r="O14" s="433"/>
      <c r="P14" s="433"/>
      <c r="Q14" s="433"/>
      <c r="R14" s="433"/>
      <c r="S14" s="441" t="s">
        <v>1107</v>
      </c>
      <c r="T14" s="432">
        <v>60</v>
      </c>
      <c r="U14" s="432"/>
      <c r="V14" s="432" t="s">
        <v>973</v>
      </c>
      <c r="W14" s="432">
        <v>400</v>
      </c>
      <c r="X14" s="443">
        <v>3008</v>
      </c>
      <c r="Y14" s="408">
        <f t="shared" si="3"/>
        <v>1203200</v>
      </c>
      <c r="Z14" s="409">
        <v>0.45500000000000002</v>
      </c>
      <c r="AA14" s="410">
        <f t="shared" si="4"/>
        <v>547456</v>
      </c>
      <c r="AB14" s="411"/>
      <c r="AC14" s="412">
        <f t="shared" si="5"/>
        <v>0</v>
      </c>
      <c r="AD14" s="421"/>
      <c r="AE14" s="413"/>
      <c r="AF14" s="424">
        <f t="shared" si="2"/>
        <v>547456</v>
      </c>
      <c r="AG14" s="405" t="s">
        <v>1069</v>
      </c>
      <c r="AH14" s="405"/>
      <c r="AI14" s="405">
        <v>60</v>
      </c>
      <c r="AJ14" s="405" t="s">
        <v>1233</v>
      </c>
      <c r="AK14" s="405" t="s">
        <v>1234</v>
      </c>
      <c r="AL14" s="425" t="s">
        <v>1235</v>
      </c>
      <c r="AM14" s="405" t="s">
        <v>52</v>
      </c>
      <c r="AN14" s="405" t="s">
        <v>1071</v>
      </c>
      <c r="AO14" s="405"/>
      <c r="AP14" s="413"/>
      <c r="AQ14" s="413"/>
      <c r="AR14" s="405" t="s">
        <v>1188</v>
      </c>
      <c r="AS14" s="368"/>
      <c r="AT14" s="386"/>
      <c r="AU14" s="386"/>
    </row>
    <row r="15" spans="1:47" s="402" customFormat="1">
      <c r="A15" s="426"/>
      <c r="B15" s="426"/>
      <c r="C15" s="426"/>
      <c r="D15" s="432" t="s">
        <v>1066</v>
      </c>
      <c r="E15" s="379" t="s">
        <v>1093</v>
      </c>
      <c r="F15" s="432"/>
      <c r="G15" s="441">
        <v>2022</v>
      </c>
      <c r="H15" s="432">
        <v>6</v>
      </c>
      <c r="I15" s="432"/>
      <c r="J15" s="433"/>
      <c r="K15" s="432" t="s">
        <v>3869</v>
      </c>
      <c r="L15" s="432" t="s">
        <v>1187</v>
      </c>
      <c r="M15" s="433">
        <v>44550</v>
      </c>
      <c r="N15" s="433">
        <v>44652</v>
      </c>
      <c r="O15" s="433"/>
      <c r="P15" s="433" t="s">
        <v>1216</v>
      </c>
      <c r="Q15" s="433"/>
      <c r="R15" s="433"/>
      <c r="S15" s="441" t="s">
        <v>1107</v>
      </c>
      <c r="T15" s="432">
        <v>60</v>
      </c>
      <c r="U15" s="432"/>
      <c r="V15" s="432" t="s">
        <v>973</v>
      </c>
      <c r="W15" s="432">
        <v>400</v>
      </c>
      <c r="X15" s="443">
        <v>1536</v>
      </c>
      <c r="Y15" s="408">
        <f t="shared" si="3"/>
        <v>614400</v>
      </c>
      <c r="Z15" s="409">
        <v>0.52</v>
      </c>
      <c r="AA15" s="410">
        <f t="shared" si="4"/>
        <v>319488</v>
      </c>
      <c r="AB15" s="411"/>
      <c r="AC15" s="412">
        <f t="shared" si="5"/>
        <v>0</v>
      </c>
      <c r="AD15" s="421"/>
      <c r="AE15" s="413"/>
      <c r="AF15" s="424">
        <f t="shared" si="2"/>
        <v>319488</v>
      </c>
      <c r="AG15" s="405" t="s">
        <v>1069</v>
      </c>
      <c r="AH15" s="405"/>
      <c r="AI15" s="405">
        <v>60</v>
      </c>
      <c r="AJ15" s="405" t="s">
        <v>1182</v>
      </c>
      <c r="AK15" s="405" t="s">
        <v>1183</v>
      </c>
      <c r="AL15" s="425">
        <v>52404</v>
      </c>
      <c r="AM15" s="405" t="s">
        <v>52</v>
      </c>
      <c r="AN15" s="405" t="s">
        <v>1071</v>
      </c>
      <c r="AO15" s="405"/>
      <c r="AP15" s="413"/>
      <c r="AQ15" s="413"/>
      <c r="AR15" s="405" t="s">
        <v>1188</v>
      </c>
      <c r="AS15" s="368"/>
      <c r="AT15" s="386"/>
      <c r="AU15" s="386"/>
    </row>
    <row r="16" spans="1:47" s="402" customFormat="1">
      <c r="A16" s="426"/>
      <c r="B16" s="426"/>
      <c r="C16" s="426"/>
      <c r="D16" s="432" t="s">
        <v>1066</v>
      </c>
      <c r="E16" s="379" t="s">
        <v>1093</v>
      </c>
      <c r="F16" s="432"/>
      <c r="G16" s="441">
        <v>2022</v>
      </c>
      <c r="H16" s="432">
        <v>7</v>
      </c>
      <c r="I16" s="432" t="s">
        <v>1498</v>
      </c>
      <c r="J16" s="433"/>
      <c r="K16" s="432" t="s">
        <v>3869</v>
      </c>
      <c r="L16" s="432" t="s">
        <v>1187</v>
      </c>
      <c r="M16" s="433">
        <v>44550</v>
      </c>
      <c r="N16" s="433">
        <v>44652</v>
      </c>
      <c r="O16" s="433"/>
      <c r="P16" s="433"/>
      <c r="Q16" s="433"/>
      <c r="R16" s="433"/>
      <c r="S16" s="441" t="s">
        <v>1107</v>
      </c>
      <c r="T16" s="432">
        <v>60</v>
      </c>
      <c r="U16" s="432"/>
      <c r="V16" s="432" t="s">
        <v>973</v>
      </c>
      <c r="W16" s="432">
        <v>400</v>
      </c>
      <c r="X16" s="443">
        <f>4608-1536-1536</f>
        <v>1536</v>
      </c>
      <c r="Y16" s="408">
        <f t="shared" si="3"/>
        <v>614400</v>
      </c>
      <c r="Z16" s="409">
        <v>0.52</v>
      </c>
      <c r="AA16" s="410">
        <f t="shared" si="4"/>
        <v>319488</v>
      </c>
      <c r="AB16" s="411"/>
      <c r="AC16" s="412">
        <f t="shared" si="5"/>
        <v>0</v>
      </c>
      <c r="AD16" s="421"/>
      <c r="AE16" s="413"/>
      <c r="AF16" s="424">
        <f t="shared" si="2"/>
        <v>319488</v>
      </c>
      <c r="AG16" s="405" t="s">
        <v>1069</v>
      </c>
      <c r="AH16" s="405"/>
      <c r="AI16" s="405">
        <v>60</v>
      </c>
      <c r="AJ16" s="405" t="s">
        <v>1182</v>
      </c>
      <c r="AK16" s="405" t="s">
        <v>1183</v>
      </c>
      <c r="AL16" s="425">
        <v>52404</v>
      </c>
      <c r="AM16" s="405" t="s">
        <v>52</v>
      </c>
      <c r="AN16" s="405" t="s">
        <v>1071</v>
      </c>
      <c r="AO16" s="405"/>
      <c r="AP16" s="413"/>
      <c r="AQ16" s="413"/>
      <c r="AR16" s="405" t="s">
        <v>1188</v>
      </c>
      <c r="AS16" s="368"/>
      <c r="AT16" s="386"/>
      <c r="AU16" s="386"/>
    </row>
    <row r="17" spans="1:47" s="402" customFormat="1">
      <c r="A17" s="426"/>
      <c r="B17" s="426"/>
      <c r="C17" s="426"/>
      <c r="D17" s="432" t="s">
        <v>1066</v>
      </c>
      <c r="E17" s="379" t="s">
        <v>3870</v>
      </c>
      <c r="F17" s="432"/>
      <c r="G17" s="441"/>
      <c r="H17" s="432"/>
      <c r="I17" s="432" t="s">
        <v>1498</v>
      </c>
      <c r="J17" s="433"/>
      <c r="K17" s="432" t="s">
        <v>3871</v>
      </c>
      <c r="L17" s="432" t="s">
        <v>1232</v>
      </c>
      <c r="M17" s="433" t="s">
        <v>3872</v>
      </c>
      <c r="N17" s="433">
        <v>44562</v>
      </c>
      <c r="O17" s="433"/>
      <c r="P17" s="433"/>
      <c r="Q17" s="433"/>
      <c r="R17" s="433"/>
      <c r="S17" s="441" t="s">
        <v>1107</v>
      </c>
      <c r="T17" s="432">
        <v>60</v>
      </c>
      <c r="U17" s="432"/>
      <c r="V17" s="432" t="s">
        <v>973</v>
      </c>
      <c r="W17" s="432">
        <v>400</v>
      </c>
      <c r="X17" s="443">
        <v>2304</v>
      </c>
      <c r="Y17" s="408">
        <f t="shared" si="3"/>
        <v>921600</v>
      </c>
      <c r="Z17" s="409">
        <v>0.52</v>
      </c>
      <c r="AA17" s="410">
        <f t="shared" si="4"/>
        <v>479232</v>
      </c>
      <c r="AB17" s="411"/>
      <c r="AC17" s="412">
        <f t="shared" si="5"/>
        <v>0</v>
      </c>
      <c r="AD17" s="421"/>
      <c r="AE17" s="413"/>
      <c r="AF17" s="424">
        <f t="shared" si="2"/>
        <v>479232</v>
      </c>
      <c r="AG17" s="405" t="s">
        <v>1069</v>
      </c>
      <c r="AH17" s="405"/>
      <c r="AI17" s="405">
        <v>60</v>
      </c>
      <c r="AJ17" s="405" t="s">
        <v>1233</v>
      </c>
      <c r="AK17" s="405" t="s">
        <v>1234</v>
      </c>
      <c r="AL17" s="425" t="s">
        <v>1235</v>
      </c>
      <c r="AM17" s="405" t="s">
        <v>52</v>
      </c>
      <c r="AN17" s="405" t="s">
        <v>1071</v>
      </c>
      <c r="AO17" s="405"/>
      <c r="AP17" s="413"/>
      <c r="AQ17" s="413"/>
      <c r="AR17" s="405" t="s">
        <v>1499</v>
      </c>
      <c r="AS17" s="368"/>
      <c r="AT17" s="386"/>
      <c r="AU17" s="386"/>
    </row>
    <row r="18" spans="1:47" s="402" customFormat="1">
      <c r="A18" s="426"/>
      <c r="B18" s="426"/>
      <c r="C18" s="426"/>
      <c r="D18" s="427" t="s">
        <v>1066</v>
      </c>
      <c r="E18" s="374" t="s">
        <v>3870</v>
      </c>
      <c r="F18" s="432"/>
      <c r="G18" s="432"/>
      <c r="H18" s="432"/>
      <c r="I18" s="432" t="s">
        <v>1498</v>
      </c>
      <c r="J18" s="433"/>
      <c r="K18" s="432" t="s">
        <v>3871</v>
      </c>
      <c r="L18" s="432" t="s">
        <v>1232</v>
      </c>
      <c r="M18" s="433" t="s">
        <v>3872</v>
      </c>
      <c r="N18" s="433">
        <v>44593</v>
      </c>
      <c r="O18" s="433"/>
      <c r="P18" s="433"/>
      <c r="Q18" s="433"/>
      <c r="R18" s="433"/>
      <c r="S18" s="432" t="s">
        <v>1107</v>
      </c>
      <c r="T18" s="432">
        <v>60</v>
      </c>
      <c r="U18" s="432"/>
      <c r="V18" s="432" t="s">
        <v>973</v>
      </c>
      <c r="W18" s="432">
        <v>400</v>
      </c>
      <c r="X18" s="370">
        <v>2304</v>
      </c>
      <c r="Y18" s="408">
        <f t="shared" si="3"/>
        <v>921600</v>
      </c>
      <c r="Z18" s="409">
        <v>0.52</v>
      </c>
      <c r="AA18" s="410">
        <f t="shared" si="4"/>
        <v>479232</v>
      </c>
      <c r="AB18" s="362"/>
      <c r="AC18" s="412">
        <f t="shared" si="5"/>
        <v>0</v>
      </c>
      <c r="AD18" s="405"/>
      <c r="AE18" s="413"/>
      <c r="AF18" s="424">
        <f t="shared" si="2"/>
        <v>479232</v>
      </c>
      <c r="AG18" s="405" t="s">
        <v>1069</v>
      </c>
      <c r="AH18" s="395"/>
      <c r="AI18" s="405">
        <v>60</v>
      </c>
      <c r="AJ18" s="405" t="s">
        <v>1233</v>
      </c>
      <c r="AK18" s="405" t="s">
        <v>1234</v>
      </c>
      <c r="AL18" s="425" t="s">
        <v>1235</v>
      </c>
      <c r="AM18" s="405" t="s">
        <v>52</v>
      </c>
      <c r="AN18" s="405" t="s">
        <v>1071</v>
      </c>
      <c r="AO18" s="405"/>
      <c r="AP18" s="405"/>
      <c r="AQ18" s="405"/>
      <c r="AR18" s="405" t="s">
        <v>1499</v>
      </c>
      <c r="AS18" s="369"/>
      <c r="AT18" s="363"/>
      <c r="AU18" s="363"/>
    </row>
    <row r="19" spans="1:47" s="402" customFormat="1">
      <c r="A19" s="426"/>
      <c r="B19" s="426"/>
      <c r="C19" s="426"/>
      <c r="D19" s="427" t="s">
        <v>1066</v>
      </c>
      <c r="E19" s="374" t="s">
        <v>3870</v>
      </c>
      <c r="F19" s="432"/>
      <c r="G19" s="432"/>
      <c r="H19" s="432"/>
      <c r="I19" s="432" t="s">
        <v>1498</v>
      </c>
      <c r="J19" s="433"/>
      <c r="K19" s="432" t="s">
        <v>3871</v>
      </c>
      <c r="L19" s="432" t="s">
        <v>1232</v>
      </c>
      <c r="M19" s="433" t="s">
        <v>3872</v>
      </c>
      <c r="N19" s="433">
        <v>44621</v>
      </c>
      <c r="O19" s="433"/>
      <c r="P19" s="433"/>
      <c r="Q19" s="433"/>
      <c r="R19" s="433"/>
      <c r="S19" s="432" t="s">
        <v>1107</v>
      </c>
      <c r="T19" s="432">
        <v>60</v>
      </c>
      <c r="U19" s="432"/>
      <c r="V19" s="432" t="s">
        <v>973</v>
      </c>
      <c r="W19" s="432">
        <v>400</v>
      </c>
      <c r="X19" s="370">
        <v>2304</v>
      </c>
      <c r="Y19" s="408">
        <f t="shared" si="3"/>
        <v>921600</v>
      </c>
      <c r="Z19" s="409">
        <v>0.52</v>
      </c>
      <c r="AA19" s="410">
        <f t="shared" si="4"/>
        <v>479232</v>
      </c>
      <c r="AB19" s="362"/>
      <c r="AC19" s="412">
        <f t="shared" si="5"/>
        <v>0</v>
      </c>
      <c r="AD19" s="405"/>
      <c r="AE19" s="413"/>
      <c r="AF19" s="424">
        <f t="shared" si="2"/>
        <v>479232</v>
      </c>
      <c r="AG19" s="405" t="s">
        <v>1069</v>
      </c>
      <c r="AH19" s="395"/>
      <c r="AI19" s="405">
        <v>60</v>
      </c>
      <c r="AJ19" s="405" t="s">
        <v>1233</v>
      </c>
      <c r="AK19" s="405" t="s">
        <v>1234</v>
      </c>
      <c r="AL19" s="425" t="s">
        <v>1235</v>
      </c>
      <c r="AM19" s="405" t="s">
        <v>52</v>
      </c>
      <c r="AN19" s="405" t="s">
        <v>1071</v>
      </c>
      <c r="AO19" s="405"/>
      <c r="AP19" s="405"/>
      <c r="AQ19" s="405"/>
      <c r="AR19" s="405" t="s">
        <v>1499</v>
      </c>
      <c r="AS19" s="369"/>
      <c r="AT19" s="363"/>
      <c r="AU19" s="363"/>
    </row>
    <row r="20" spans="1:47" s="402" customFormat="1">
      <c r="A20" s="426"/>
      <c r="B20" s="426"/>
      <c r="C20" s="426"/>
      <c r="D20" s="427" t="s">
        <v>1066</v>
      </c>
      <c r="E20" s="374" t="s">
        <v>1093</v>
      </c>
      <c r="F20" s="432"/>
      <c r="G20" s="432"/>
      <c r="H20" s="432"/>
      <c r="I20" s="432" t="s">
        <v>1498</v>
      </c>
      <c r="J20" s="433"/>
      <c r="K20" s="432" t="s">
        <v>3873</v>
      </c>
      <c r="L20" s="432" t="s">
        <v>1232</v>
      </c>
      <c r="M20" s="433">
        <v>44659</v>
      </c>
      <c r="N20" s="433">
        <v>44743</v>
      </c>
      <c r="O20" s="433"/>
      <c r="P20" s="433"/>
      <c r="Q20" s="433"/>
      <c r="R20" s="433"/>
      <c r="S20" s="432" t="s">
        <v>1107</v>
      </c>
      <c r="T20" s="432">
        <v>60</v>
      </c>
      <c r="U20" s="432"/>
      <c r="V20" s="432" t="s">
        <v>986</v>
      </c>
      <c r="W20" s="432">
        <v>365</v>
      </c>
      <c r="X20" s="370">
        <v>4160</v>
      </c>
      <c r="Y20" s="408">
        <f t="shared" si="3"/>
        <v>1518400</v>
      </c>
      <c r="Z20" s="409">
        <v>0.53</v>
      </c>
      <c r="AA20" s="410">
        <f t="shared" si="4"/>
        <v>804752</v>
      </c>
      <c r="AB20" s="362"/>
      <c r="AC20" s="412">
        <f t="shared" si="5"/>
        <v>0</v>
      </c>
      <c r="AD20" s="405"/>
      <c r="AE20" s="413"/>
      <c r="AF20" s="424">
        <f t="shared" si="2"/>
        <v>804752</v>
      </c>
      <c r="AG20" s="405" t="s">
        <v>1069</v>
      </c>
      <c r="AH20" s="395"/>
      <c r="AI20" s="405">
        <v>60</v>
      </c>
      <c r="AJ20" s="405" t="s">
        <v>1233</v>
      </c>
      <c r="AK20" s="405" t="s">
        <v>1234</v>
      </c>
      <c r="AL20" s="425" t="s">
        <v>1235</v>
      </c>
      <c r="AM20" s="405" t="s">
        <v>52</v>
      </c>
      <c r="AN20" s="405" t="s">
        <v>1071</v>
      </c>
      <c r="AO20" s="405"/>
      <c r="AP20" s="405"/>
      <c r="AQ20" s="405"/>
      <c r="AR20" s="405" t="s">
        <v>1499</v>
      </c>
      <c r="AS20" s="369"/>
      <c r="AT20" s="363"/>
      <c r="AU20" s="363"/>
    </row>
    <row r="21" spans="1:47" s="402" customFormat="1">
      <c r="A21" s="426"/>
      <c r="B21" s="426"/>
      <c r="C21" s="426"/>
      <c r="D21" s="427" t="s">
        <v>1066</v>
      </c>
      <c r="E21" s="374" t="s">
        <v>1093</v>
      </c>
      <c r="F21" s="432"/>
      <c r="G21" s="432"/>
      <c r="H21" s="432"/>
      <c r="I21" s="432" t="s">
        <v>1498</v>
      </c>
      <c r="J21" s="433"/>
      <c r="K21" s="432" t="s">
        <v>3874</v>
      </c>
      <c r="L21" s="432" t="s">
        <v>1232</v>
      </c>
      <c r="M21" s="433">
        <v>44659</v>
      </c>
      <c r="N21" s="433">
        <v>44774</v>
      </c>
      <c r="O21" s="433"/>
      <c r="P21" s="433"/>
      <c r="Q21" s="433"/>
      <c r="R21" s="433"/>
      <c r="S21" s="432" t="s">
        <v>1107</v>
      </c>
      <c r="T21" s="432">
        <v>60</v>
      </c>
      <c r="U21" s="432"/>
      <c r="V21" s="432" t="s">
        <v>986</v>
      </c>
      <c r="W21" s="432">
        <v>365</v>
      </c>
      <c r="X21" s="370">
        <v>4160</v>
      </c>
      <c r="Y21" s="408">
        <f t="shared" si="3"/>
        <v>1518400</v>
      </c>
      <c r="Z21" s="409">
        <v>0.53</v>
      </c>
      <c r="AA21" s="410">
        <f t="shared" si="4"/>
        <v>804752</v>
      </c>
      <c r="AB21" s="362"/>
      <c r="AC21" s="412">
        <f t="shared" si="5"/>
        <v>0</v>
      </c>
      <c r="AD21" s="405"/>
      <c r="AE21" s="413"/>
      <c r="AF21" s="424">
        <f t="shared" si="2"/>
        <v>804752</v>
      </c>
      <c r="AG21" s="405" t="s">
        <v>1069</v>
      </c>
      <c r="AH21" s="395"/>
      <c r="AI21" s="405">
        <v>60</v>
      </c>
      <c r="AJ21" s="405" t="s">
        <v>1233</v>
      </c>
      <c r="AK21" s="405" t="s">
        <v>1234</v>
      </c>
      <c r="AL21" s="425" t="s">
        <v>1235</v>
      </c>
      <c r="AM21" s="405" t="s">
        <v>52</v>
      </c>
      <c r="AN21" s="405" t="s">
        <v>1071</v>
      </c>
      <c r="AO21" s="405"/>
      <c r="AP21" s="405"/>
      <c r="AQ21" s="405"/>
      <c r="AR21" s="405" t="s">
        <v>1499</v>
      </c>
      <c r="AS21" s="369"/>
      <c r="AT21" s="363"/>
      <c r="AU21" s="363"/>
    </row>
    <row r="22" spans="1:47" s="402" customFormat="1">
      <c r="A22" s="426"/>
      <c r="B22" s="426"/>
      <c r="C22" s="426"/>
      <c r="D22" s="427" t="s">
        <v>1066</v>
      </c>
      <c r="E22" s="374" t="s">
        <v>1093</v>
      </c>
      <c r="F22" s="432"/>
      <c r="G22" s="432"/>
      <c r="H22" s="432"/>
      <c r="I22" s="432" t="s">
        <v>1498</v>
      </c>
      <c r="J22" s="433"/>
      <c r="K22" s="432" t="s">
        <v>3875</v>
      </c>
      <c r="L22" s="432" t="s">
        <v>1232</v>
      </c>
      <c r="M22" s="433">
        <v>44659</v>
      </c>
      <c r="N22" s="433">
        <v>44805</v>
      </c>
      <c r="O22" s="433"/>
      <c r="P22" s="433"/>
      <c r="Q22" s="433"/>
      <c r="R22" s="433"/>
      <c r="S22" s="432" t="s">
        <v>1107</v>
      </c>
      <c r="T22" s="432">
        <v>60</v>
      </c>
      <c r="U22" s="432"/>
      <c r="V22" s="432" t="s">
        <v>986</v>
      </c>
      <c r="W22" s="432">
        <v>365</v>
      </c>
      <c r="X22" s="370">
        <v>4160</v>
      </c>
      <c r="Y22" s="408">
        <f t="shared" si="3"/>
        <v>1518400</v>
      </c>
      <c r="Z22" s="409">
        <v>0.53</v>
      </c>
      <c r="AA22" s="410">
        <f t="shared" si="4"/>
        <v>804752</v>
      </c>
      <c r="AB22" s="362"/>
      <c r="AC22" s="412">
        <f t="shared" si="5"/>
        <v>0</v>
      </c>
      <c r="AD22" s="405"/>
      <c r="AE22" s="413"/>
      <c r="AF22" s="424">
        <f t="shared" si="2"/>
        <v>804752</v>
      </c>
      <c r="AG22" s="405" t="s">
        <v>1069</v>
      </c>
      <c r="AH22" s="395"/>
      <c r="AI22" s="405">
        <v>60</v>
      </c>
      <c r="AJ22" s="405" t="s">
        <v>1233</v>
      </c>
      <c r="AK22" s="405" t="s">
        <v>1234</v>
      </c>
      <c r="AL22" s="425" t="s">
        <v>1235</v>
      </c>
      <c r="AM22" s="405" t="s">
        <v>52</v>
      </c>
      <c r="AN22" s="405" t="s">
        <v>1071</v>
      </c>
      <c r="AO22" s="405"/>
      <c r="AP22" s="405"/>
      <c r="AQ22" s="405"/>
      <c r="AR22" s="405" t="s">
        <v>1499</v>
      </c>
      <c r="AS22" s="369"/>
      <c r="AT22" s="363"/>
      <c r="AU22" s="363"/>
    </row>
    <row r="23" spans="1:47" s="402" customFormat="1">
      <c r="A23" s="426"/>
      <c r="B23" s="426"/>
      <c r="C23" s="426"/>
      <c r="D23" s="427" t="s">
        <v>1066</v>
      </c>
      <c r="E23" s="374" t="s">
        <v>1093</v>
      </c>
      <c r="F23" s="432"/>
      <c r="G23" s="432"/>
      <c r="H23" s="432"/>
      <c r="I23" s="432" t="s">
        <v>1498</v>
      </c>
      <c r="J23" s="433"/>
      <c r="K23" s="432" t="s">
        <v>3876</v>
      </c>
      <c r="L23" s="432" t="s">
        <v>1232</v>
      </c>
      <c r="M23" s="433">
        <v>44659</v>
      </c>
      <c r="N23" s="433">
        <v>44835</v>
      </c>
      <c r="O23" s="433"/>
      <c r="P23" s="433"/>
      <c r="Q23" s="433"/>
      <c r="R23" s="433"/>
      <c r="S23" s="432" t="s">
        <v>1107</v>
      </c>
      <c r="T23" s="432">
        <v>60</v>
      </c>
      <c r="U23" s="432"/>
      <c r="V23" s="432" t="s">
        <v>986</v>
      </c>
      <c r="W23" s="432">
        <v>365</v>
      </c>
      <c r="X23" s="370">
        <v>4160</v>
      </c>
      <c r="Y23" s="408">
        <f t="shared" si="3"/>
        <v>1518400</v>
      </c>
      <c r="Z23" s="409">
        <v>0.53</v>
      </c>
      <c r="AA23" s="410">
        <f t="shared" si="4"/>
        <v>804752</v>
      </c>
      <c r="AB23" s="362"/>
      <c r="AC23" s="412">
        <f t="shared" si="5"/>
        <v>0</v>
      </c>
      <c r="AD23" s="405"/>
      <c r="AE23" s="413"/>
      <c r="AF23" s="424">
        <f t="shared" si="2"/>
        <v>804752</v>
      </c>
      <c r="AG23" s="405" t="s">
        <v>1069</v>
      </c>
      <c r="AH23" s="395"/>
      <c r="AI23" s="405">
        <v>60</v>
      </c>
      <c r="AJ23" s="405" t="s">
        <v>1233</v>
      </c>
      <c r="AK23" s="405" t="s">
        <v>1234</v>
      </c>
      <c r="AL23" s="425" t="s">
        <v>1235</v>
      </c>
      <c r="AM23" s="405" t="s">
        <v>52</v>
      </c>
      <c r="AN23" s="405" t="s">
        <v>1071</v>
      </c>
      <c r="AO23" s="405"/>
      <c r="AP23" s="405"/>
      <c r="AQ23" s="405"/>
      <c r="AR23" s="405" t="s">
        <v>1499</v>
      </c>
      <c r="AS23" s="369"/>
      <c r="AT23" s="363"/>
      <c r="AU23" s="363"/>
    </row>
    <row r="24" spans="1:47" s="402" customFormat="1">
      <c r="A24" s="426"/>
      <c r="B24" s="426"/>
      <c r="C24" s="426"/>
      <c r="D24" s="427" t="s">
        <v>1066</v>
      </c>
      <c r="E24" s="374" t="s">
        <v>1093</v>
      </c>
      <c r="F24" s="432"/>
      <c r="G24" s="432"/>
      <c r="H24" s="432"/>
      <c r="I24" s="432" t="s">
        <v>1498</v>
      </c>
      <c r="J24" s="433"/>
      <c r="K24" s="432" t="s">
        <v>3877</v>
      </c>
      <c r="L24" s="432" t="s">
        <v>1232</v>
      </c>
      <c r="M24" s="433">
        <v>44659</v>
      </c>
      <c r="N24" s="433">
        <v>44866</v>
      </c>
      <c r="O24" s="433"/>
      <c r="P24" s="433"/>
      <c r="Q24" s="433"/>
      <c r="R24" s="433"/>
      <c r="S24" s="432" t="s">
        <v>1107</v>
      </c>
      <c r="T24" s="432">
        <v>60</v>
      </c>
      <c r="U24" s="432"/>
      <c r="V24" s="432" t="s">
        <v>986</v>
      </c>
      <c r="W24" s="432">
        <v>365</v>
      </c>
      <c r="X24" s="370">
        <v>4160</v>
      </c>
      <c r="Y24" s="408">
        <f t="shared" si="3"/>
        <v>1518400</v>
      </c>
      <c r="Z24" s="409">
        <v>0.53</v>
      </c>
      <c r="AA24" s="410">
        <f t="shared" si="4"/>
        <v>804752</v>
      </c>
      <c r="AB24" s="362"/>
      <c r="AC24" s="412">
        <f t="shared" si="5"/>
        <v>0</v>
      </c>
      <c r="AD24" s="405"/>
      <c r="AE24" s="413"/>
      <c r="AF24" s="424">
        <f t="shared" si="2"/>
        <v>804752</v>
      </c>
      <c r="AG24" s="405" t="s">
        <v>1069</v>
      </c>
      <c r="AH24" s="395"/>
      <c r="AI24" s="405">
        <v>60</v>
      </c>
      <c r="AJ24" s="405" t="s">
        <v>1233</v>
      </c>
      <c r="AK24" s="405" t="s">
        <v>1234</v>
      </c>
      <c r="AL24" s="425" t="s">
        <v>1235</v>
      </c>
      <c r="AM24" s="405" t="s">
        <v>52</v>
      </c>
      <c r="AN24" s="405" t="s">
        <v>1071</v>
      </c>
      <c r="AO24" s="405"/>
      <c r="AP24" s="405"/>
      <c r="AQ24" s="405"/>
      <c r="AR24" s="405" t="s">
        <v>1499</v>
      </c>
      <c r="AS24" s="369"/>
      <c r="AT24" s="363"/>
      <c r="AU24" s="363"/>
    </row>
    <row r="25" spans="1:47" s="402" customFormat="1">
      <c r="A25" s="426"/>
      <c r="B25" s="426"/>
      <c r="C25" s="426"/>
      <c r="D25" s="427" t="s">
        <v>1066</v>
      </c>
      <c r="E25" s="374" t="s">
        <v>1093</v>
      </c>
      <c r="F25" s="432"/>
      <c r="G25" s="432"/>
      <c r="H25" s="432"/>
      <c r="I25" s="432" t="s">
        <v>1498</v>
      </c>
      <c r="J25" s="433"/>
      <c r="K25" s="432" t="s">
        <v>3878</v>
      </c>
      <c r="L25" s="432" t="s">
        <v>1232</v>
      </c>
      <c r="M25" s="433">
        <v>44659</v>
      </c>
      <c r="N25" s="433">
        <v>44896</v>
      </c>
      <c r="O25" s="433"/>
      <c r="P25" s="433"/>
      <c r="Q25" s="433"/>
      <c r="R25" s="433"/>
      <c r="S25" s="432" t="s">
        <v>1107</v>
      </c>
      <c r="T25" s="432">
        <v>60</v>
      </c>
      <c r="U25" s="432"/>
      <c r="V25" s="432" t="s">
        <v>986</v>
      </c>
      <c r="W25" s="432">
        <v>365</v>
      </c>
      <c r="X25" s="370">
        <v>4160</v>
      </c>
      <c r="Y25" s="408">
        <f t="shared" si="3"/>
        <v>1518400</v>
      </c>
      <c r="Z25" s="409">
        <v>0.53</v>
      </c>
      <c r="AA25" s="410">
        <f t="shared" si="4"/>
        <v>804752</v>
      </c>
      <c r="AB25" s="362"/>
      <c r="AC25" s="412">
        <f t="shared" si="5"/>
        <v>0</v>
      </c>
      <c r="AD25" s="405"/>
      <c r="AE25" s="413"/>
      <c r="AF25" s="424">
        <f t="shared" si="2"/>
        <v>804752</v>
      </c>
      <c r="AG25" s="405" t="s">
        <v>1069</v>
      </c>
      <c r="AH25" s="395"/>
      <c r="AI25" s="405">
        <v>60</v>
      </c>
      <c r="AJ25" s="405" t="s">
        <v>1233</v>
      </c>
      <c r="AK25" s="405" t="s">
        <v>1234</v>
      </c>
      <c r="AL25" s="425" t="s">
        <v>1235</v>
      </c>
      <c r="AM25" s="405" t="s">
        <v>52</v>
      </c>
      <c r="AN25" s="405" t="s">
        <v>1071</v>
      </c>
      <c r="AO25" s="405"/>
      <c r="AP25" s="405"/>
      <c r="AQ25" s="405"/>
      <c r="AR25" s="405" t="s">
        <v>1499</v>
      </c>
      <c r="AS25" s="369"/>
      <c r="AT25" s="363"/>
      <c r="AU25" s="363"/>
    </row>
    <row r="26" spans="1:47" s="402" customFormat="1">
      <c r="A26" s="426"/>
      <c r="B26" s="426"/>
      <c r="C26" s="426"/>
      <c r="D26" s="427" t="s">
        <v>1066</v>
      </c>
      <c r="E26" s="374" t="s">
        <v>1093</v>
      </c>
      <c r="F26" s="432"/>
      <c r="G26" s="432"/>
      <c r="H26" s="432"/>
      <c r="I26" s="432" t="s">
        <v>1498</v>
      </c>
      <c r="J26" s="433"/>
      <c r="K26" s="432" t="s">
        <v>3873</v>
      </c>
      <c r="L26" s="432" t="s">
        <v>1232</v>
      </c>
      <c r="M26" s="433">
        <v>44659</v>
      </c>
      <c r="N26" s="433">
        <v>44743</v>
      </c>
      <c r="O26" s="433"/>
      <c r="P26" s="433"/>
      <c r="Q26" s="433"/>
      <c r="R26" s="433"/>
      <c r="S26" s="432" t="s">
        <v>1107</v>
      </c>
      <c r="T26" s="432">
        <v>60</v>
      </c>
      <c r="U26" s="432"/>
      <c r="V26" s="432" t="s">
        <v>973</v>
      </c>
      <c r="W26" s="432">
        <v>400</v>
      </c>
      <c r="X26" s="370">
        <v>3840</v>
      </c>
      <c r="Y26" s="408">
        <f t="shared" si="3"/>
        <v>1536000</v>
      </c>
      <c r="Z26" s="409">
        <v>0.55000000000000004</v>
      </c>
      <c r="AA26" s="410">
        <f t="shared" si="4"/>
        <v>844800.00000000012</v>
      </c>
      <c r="AB26" s="362"/>
      <c r="AC26" s="412">
        <f t="shared" si="5"/>
        <v>0</v>
      </c>
      <c r="AD26" s="405"/>
      <c r="AE26" s="413"/>
      <c r="AF26" s="424">
        <f t="shared" si="2"/>
        <v>844800.00000000012</v>
      </c>
      <c r="AG26" s="405" t="s">
        <v>1069</v>
      </c>
      <c r="AH26" s="395"/>
      <c r="AI26" s="405">
        <v>60</v>
      </c>
      <c r="AJ26" s="405" t="s">
        <v>1233</v>
      </c>
      <c r="AK26" s="405" t="s">
        <v>1234</v>
      </c>
      <c r="AL26" s="425" t="s">
        <v>1235</v>
      </c>
      <c r="AM26" s="405" t="s">
        <v>52</v>
      </c>
      <c r="AN26" s="405" t="s">
        <v>1071</v>
      </c>
      <c r="AO26" s="405"/>
      <c r="AP26" s="405"/>
      <c r="AQ26" s="405"/>
      <c r="AR26" s="405" t="s">
        <v>1499</v>
      </c>
      <c r="AS26" s="369"/>
      <c r="AT26" s="363"/>
      <c r="AU26" s="363"/>
    </row>
    <row r="27" spans="1:47" s="402" customFormat="1">
      <c r="A27" s="426"/>
      <c r="B27" s="426"/>
      <c r="C27" s="426"/>
      <c r="D27" s="427" t="s">
        <v>1066</v>
      </c>
      <c r="E27" s="374" t="s">
        <v>1093</v>
      </c>
      <c r="F27" s="432"/>
      <c r="G27" s="432"/>
      <c r="H27" s="432"/>
      <c r="I27" s="432" t="s">
        <v>1498</v>
      </c>
      <c r="J27" s="433"/>
      <c r="K27" s="432" t="s">
        <v>3874</v>
      </c>
      <c r="L27" s="432" t="s">
        <v>1232</v>
      </c>
      <c r="M27" s="433">
        <v>44659</v>
      </c>
      <c r="N27" s="433">
        <v>44774</v>
      </c>
      <c r="O27" s="433"/>
      <c r="P27" s="433"/>
      <c r="Q27" s="433"/>
      <c r="R27" s="433"/>
      <c r="S27" s="432" t="s">
        <v>1107</v>
      </c>
      <c r="T27" s="432">
        <v>60</v>
      </c>
      <c r="U27" s="432"/>
      <c r="V27" s="432" t="s">
        <v>973</v>
      </c>
      <c r="W27" s="432">
        <v>400</v>
      </c>
      <c r="X27" s="370">
        <v>3840</v>
      </c>
      <c r="Y27" s="408">
        <f t="shared" si="3"/>
        <v>1536000</v>
      </c>
      <c r="Z27" s="409">
        <v>0.55000000000000004</v>
      </c>
      <c r="AA27" s="410">
        <f t="shared" si="4"/>
        <v>844800.00000000012</v>
      </c>
      <c r="AB27" s="362"/>
      <c r="AC27" s="412">
        <f t="shared" si="5"/>
        <v>0</v>
      </c>
      <c r="AD27" s="405"/>
      <c r="AE27" s="413"/>
      <c r="AF27" s="424">
        <f t="shared" si="2"/>
        <v>844800.00000000012</v>
      </c>
      <c r="AG27" s="405" t="s">
        <v>1069</v>
      </c>
      <c r="AH27" s="395"/>
      <c r="AI27" s="405">
        <v>60</v>
      </c>
      <c r="AJ27" s="405" t="s">
        <v>1233</v>
      </c>
      <c r="AK27" s="405" t="s">
        <v>1234</v>
      </c>
      <c r="AL27" s="425" t="s">
        <v>1235</v>
      </c>
      <c r="AM27" s="405" t="s">
        <v>52</v>
      </c>
      <c r="AN27" s="405" t="s">
        <v>1071</v>
      </c>
      <c r="AO27" s="405"/>
      <c r="AP27" s="405"/>
      <c r="AQ27" s="405"/>
      <c r="AR27" s="405" t="s">
        <v>1499</v>
      </c>
      <c r="AS27" s="369"/>
      <c r="AT27" s="363"/>
      <c r="AU27" s="363"/>
    </row>
    <row r="28" spans="1:47" s="402" customFormat="1">
      <c r="A28" s="426"/>
      <c r="B28" s="426"/>
      <c r="C28" s="426"/>
      <c r="D28" s="427" t="s">
        <v>1066</v>
      </c>
      <c r="E28" s="374" t="s">
        <v>1093</v>
      </c>
      <c r="F28" s="432"/>
      <c r="G28" s="432"/>
      <c r="H28" s="432"/>
      <c r="I28" s="432" t="s">
        <v>1498</v>
      </c>
      <c r="J28" s="433"/>
      <c r="K28" s="432" t="s">
        <v>3875</v>
      </c>
      <c r="L28" s="432" t="s">
        <v>1232</v>
      </c>
      <c r="M28" s="433">
        <v>44659</v>
      </c>
      <c r="N28" s="433">
        <v>44805</v>
      </c>
      <c r="O28" s="433"/>
      <c r="P28" s="433"/>
      <c r="Q28" s="433"/>
      <c r="R28" s="433"/>
      <c r="S28" s="432" t="s">
        <v>1107</v>
      </c>
      <c r="T28" s="432">
        <v>60</v>
      </c>
      <c r="U28" s="432"/>
      <c r="V28" s="432" t="s">
        <v>973</v>
      </c>
      <c r="W28" s="432">
        <v>400</v>
      </c>
      <c r="X28" s="370">
        <v>3840</v>
      </c>
      <c r="Y28" s="408">
        <f t="shared" si="3"/>
        <v>1536000</v>
      </c>
      <c r="Z28" s="409">
        <v>0.55000000000000004</v>
      </c>
      <c r="AA28" s="410">
        <f t="shared" si="4"/>
        <v>844800.00000000012</v>
      </c>
      <c r="AB28" s="362"/>
      <c r="AC28" s="412">
        <f t="shared" si="5"/>
        <v>0</v>
      </c>
      <c r="AD28" s="405"/>
      <c r="AE28" s="413"/>
      <c r="AF28" s="424">
        <f t="shared" si="2"/>
        <v>844800.00000000012</v>
      </c>
      <c r="AG28" s="405" t="s">
        <v>1069</v>
      </c>
      <c r="AH28" s="395"/>
      <c r="AI28" s="405">
        <v>60</v>
      </c>
      <c r="AJ28" s="405" t="s">
        <v>1233</v>
      </c>
      <c r="AK28" s="405" t="s">
        <v>1234</v>
      </c>
      <c r="AL28" s="425" t="s">
        <v>1235</v>
      </c>
      <c r="AM28" s="405" t="s">
        <v>52</v>
      </c>
      <c r="AN28" s="405" t="s">
        <v>1071</v>
      </c>
      <c r="AO28" s="405"/>
      <c r="AP28" s="405"/>
      <c r="AQ28" s="405"/>
      <c r="AR28" s="405" t="s">
        <v>1499</v>
      </c>
      <c r="AS28" s="369"/>
      <c r="AT28" s="363"/>
      <c r="AU28" s="363"/>
    </row>
    <row r="29" spans="1:47" s="402" customFormat="1">
      <c r="A29" s="426"/>
      <c r="B29" s="426"/>
      <c r="C29" s="426"/>
      <c r="D29" s="427" t="s">
        <v>1066</v>
      </c>
      <c r="E29" s="374" t="s">
        <v>1093</v>
      </c>
      <c r="F29" s="432"/>
      <c r="G29" s="432"/>
      <c r="H29" s="432"/>
      <c r="I29" s="432" t="s">
        <v>1498</v>
      </c>
      <c r="J29" s="433"/>
      <c r="K29" s="432" t="s">
        <v>3876</v>
      </c>
      <c r="L29" s="432" t="s">
        <v>1232</v>
      </c>
      <c r="M29" s="433">
        <v>44659</v>
      </c>
      <c r="N29" s="433">
        <v>44835</v>
      </c>
      <c r="O29" s="433"/>
      <c r="P29" s="433"/>
      <c r="Q29" s="433"/>
      <c r="R29" s="433"/>
      <c r="S29" s="432" t="s">
        <v>1107</v>
      </c>
      <c r="T29" s="432">
        <v>60</v>
      </c>
      <c r="U29" s="432"/>
      <c r="V29" s="432" t="s">
        <v>973</v>
      </c>
      <c r="W29" s="432">
        <v>400</v>
      </c>
      <c r="X29" s="370">
        <v>3840</v>
      </c>
      <c r="Y29" s="408">
        <f t="shared" si="3"/>
        <v>1536000</v>
      </c>
      <c r="Z29" s="409">
        <v>0.55000000000000004</v>
      </c>
      <c r="AA29" s="410">
        <f t="shared" si="4"/>
        <v>844800.00000000012</v>
      </c>
      <c r="AB29" s="362"/>
      <c r="AC29" s="412">
        <f t="shared" si="5"/>
        <v>0</v>
      </c>
      <c r="AD29" s="405"/>
      <c r="AE29" s="413"/>
      <c r="AF29" s="424">
        <f t="shared" si="2"/>
        <v>844800.00000000012</v>
      </c>
      <c r="AG29" s="405" t="s">
        <v>1069</v>
      </c>
      <c r="AH29" s="395"/>
      <c r="AI29" s="405">
        <v>60</v>
      </c>
      <c r="AJ29" s="405" t="s">
        <v>1233</v>
      </c>
      <c r="AK29" s="405" t="s">
        <v>1234</v>
      </c>
      <c r="AL29" s="425" t="s">
        <v>1235</v>
      </c>
      <c r="AM29" s="405" t="s">
        <v>52</v>
      </c>
      <c r="AN29" s="405" t="s">
        <v>1071</v>
      </c>
      <c r="AO29" s="405"/>
      <c r="AP29" s="405"/>
      <c r="AQ29" s="405"/>
      <c r="AR29" s="405" t="s">
        <v>1499</v>
      </c>
      <c r="AS29" s="369"/>
      <c r="AT29" s="363"/>
      <c r="AU29" s="363"/>
    </row>
    <row r="30" spans="1:47" s="402" customFormat="1">
      <c r="A30" s="426"/>
      <c r="B30" s="426"/>
      <c r="C30" s="426"/>
      <c r="D30" s="427" t="s">
        <v>1066</v>
      </c>
      <c r="E30" s="374" t="s">
        <v>1093</v>
      </c>
      <c r="F30" s="432"/>
      <c r="G30" s="432"/>
      <c r="H30" s="432"/>
      <c r="I30" s="432" t="s">
        <v>1498</v>
      </c>
      <c r="J30" s="433"/>
      <c r="K30" s="432" t="s">
        <v>3877</v>
      </c>
      <c r="L30" s="432" t="s">
        <v>1232</v>
      </c>
      <c r="M30" s="433">
        <v>44659</v>
      </c>
      <c r="N30" s="433">
        <v>44866</v>
      </c>
      <c r="O30" s="433"/>
      <c r="P30" s="433"/>
      <c r="Q30" s="433"/>
      <c r="R30" s="433"/>
      <c r="S30" s="432" t="s">
        <v>1107</v>
      </c>
      <c r="T30" s="432">
        <v>60</v>
      </c>
      <c r="U30" s="432"/>
      <c r="V30" s="432" t="s">
        <v>973</v>
      </c>
      <c r="W30" s="432">
        <v>400</v>
      </c>
      <c r="X30" s="370">
        <v>3840</v>
      </c>
      <c r="Y30" s="408">
        <f t="shared" si="3"/>
        <v>1536000</v>
      </c>
      <c r="Z30" s="409">
        <v>0.55000000000000004</v>
      </c>
      <c r="AA30" s="410">
        <f t="shared" si="4"/>
        <v>844800.00000000012</v>
      </c>
      <c r="AB30" s="362"/>
      <c r="AC30" s="412">
        <f t="shared" si="5"/>
        <v>0</v>
      </c>
      <c r="AD30" s="405"/>
      <c r="AE30" s="413"/>
      <c r="AF30" s="424">
        <f t="shared" si="2"/>
        <v>844800.00000000012</v>
      </c>
      <c r="AG30" s="405" t="s">
        <v>1069</v>
      </c>
      <c r="AH30" s="395"/>
      <c r="AI30" s="405">
        <v>60</v>
      </c>
      <c r="AJ30" s="405" t="s">
        <v>1233</v>
      </c>
      <c r="AK30" s="405" t="s">
        <v>1234</v>
      </c>
      <c r="AL30" s="425" t="s">
        <v>1235</v>
      </c>
      <c r="AM30" s="405" t="s">
        <v>52</v>
      </c>
      <c r="AN30" s="405" t="s">
        <v>1071</v>
      </c>
      <c r="AO30" s="405"/>
      <c r="AP30" s="405"/>
      <c r="AQ30" s="405"/>
      <c r="AR30" s="405" t="s">
        <v>1499</v>
      </c>
      <c r="AS30" s="369"/>
      <c r="AT30" s="363"/>
      <c r="AU30" s="363"/>
    </row>
    <row r="31" spans="1:47" s="402" customFormat="1">
      <c r="A31" s="426"/>
      <c r="B31" s="426"/>
      <c r="C31" s="426"/>
      <c r="D31" s="427" t="s">
        <v>1066</v>
      </c>
      <c r="E31" s="374" t="s">
        <v>1093</v>
      </c>
      <c r="F31" s="432"/>
      <c r="G31" s="432"/>
      <c r="H31" s="432"/>
      <c r="I31" s="432" t="s">
        <v>1498</v>
      </c>
      <c r="J31" s="433"/>
      <c r="K31" s="432" t="s">
        <v>3878</v>
      </c>
      <c r="L31" s="432" t="s">
        <v>1232</v>
      </c>
      <c r="M31" s="433">
        <v>44659</v>
      </c>
      <c r="N31" s="433">
        <v>44896</v>
      </c>
      <c r="O31" s="433"/>
      <c r="P31" s="433"/>
      <c r="Q31" s="433"/>
      <c r="R31" s="433"/>
      <c r="S31" s="432" t="s">
        <v>1107</v>
      </c>
      <c r="T31" s="432">
        <v>60</v>
      </c>
      <c r="U31" s="432"/>
      <c r="V31" s="432" t="s">
        <v>973</v>
      </c>
      <c r="W31" s="432">
        <v>400</v>
      </c>
      <c r="X31" s="370">
        <v>3840</v>
      </c>
      <c r="Y31" s="408">
        <f t="shared" si="3"/>
        <v>1536000</v>
      </c>
      <c r="Z31" s="409">
        <v>0.55000000000000004</v>
      </c>
      <c r="AA31" s="410">
        <f t="shared" si="4"/>
        <v>844800.00000000012</v>
      </c>
      <c r="AB31" s="362"/>
      <c r="AC31" s="412">
        <f t="shared" si="5"/>
        <v>0</v>
      </c>
      <c r="AD31" s="405"/>
      <c r="AE31" s="413"/>
      <c r="AF31" s="424">
        <f t="shared" si="2"/>
        <v>844800.00000000012</v>
      </c>
      <c r="AG31" s="405" t="s">
        <v>1069</v>
      </c>
      <c r="AH31" s="395"/>
      <c r="AI31" s="405">
        <v>60</v>
      </c>
      <c r="AJ31" s="405" t="s">
        <v>1233</v>
      </c>
      <c r="AK31" s="405" t="s">
        <v>1234</v>
      </c>
      <c r="AL31" s="425" t="s">
        <v>1235</v>
      </c>
      <c r="AM31" s="405" t="s">
        <v>52</v>
      </c>
      <c r="AN31" s="405" t="s">
        <v>1071</v>
      </c>
      <c r="AO31" s="405"/>
      <c r="AP31" s="405"/>
      <c r="AQ31" s="405"/>
      <c r="AR31" s="405" t="s">
        <v>1499</v>
      </c>
      <c r="AS31" s="369"/>
      <c r="AT31" s="363"/>
      <c r="AU31" s="363"/>
    </row>
    <row r="32" spans="1:47" s="402" customFormat="1">
      <c r="A32" s="426"/>
      <c r="B32" s="426" t="s">
        <v>1186</v>
      </c>
      <c r="C32" s="426" t="s">
        <v>1186</v>
      </c>
      <c r="D32" s="374" t="s">
        <v>1066</v>
      </c>
      <c r="E32" s="432" t="s">
        <v>1093</v>
      </c>
      <c r="F32" s="432"/>
      <c r="G32" s="432"/>
      <c r="H32" s="432"/>
      <c r="I32" s="432" t="s">
        <v>1498</v>
      </c>
      <c r="J32" s="433"/>
      <c r="K32" s="432" t="s">
        <v>3881</v>
      </c>
      <c r="L32" s="433" t="s">
        <v>1189</v>
      </c>
      <c r="M32" s="433">
        <v>44573</v>
      </c>
      <c r="N32" s="433">
        <v>44753</v>
      </c>
      <c r="O32" s="433"/>
      <c r="P32" s="433"/>
      <c r="Q32" s="433"/>
      <c r="R32" s="433"/>
      <c r="S32" s="432" t="s">
        <v>1107</v>
      </c>
      <c r="T32" s="432">
        <v>60</v>
      </c>
      <c r="U32" s="432"/>
      <c r="V32" s="432" t="s">
        <v>973</v>
      </c>
      <c r="W32" s="436">
        <v>400</v>
      </c>
      <c r="X32" s="372">
        <v>768</v>
      </c>
      <c r="Y32" s="408">
        <f t="shared" si="3"/>
        <v>307200</v>
      </c>
      <c r="Z32" s="409">
        <v>0.64</v>
      </c>
      <c r="AA32" s="410">
        <f t="shared" si="4"/>
        <v>196608</v>
      </c>
      <c r="AB32" s="411"/>
      <c r="AC32" s="412">
        <f t="shared" si="5"/>
        <v>0</v>
      </c>
      <c r="AD32" s="421"/>
      <c r="AE32" s="413"/>
      <c r="AF32" s="424">
        <f t="shared" si="2"/>
        <v>196608</v>
      </c>
      <c r="AG32" s="405" t="s">
        <v>1069</v>
      </c>
      <c r="AH32" s="405">
        <v>0</v>
      </c>
      <c r="AI32" s="405">
        <v>60</v>
      </c>
      <c r="AJ32" s="405" t="s">
        <v>1190</v>
      </c>
      <c r="AK32" s="405" t="s">
        <v>1191</v>
      </c>
      <c r="AL32" s="425">
        <v>43125</v>
      </c>
      <c r="AM32" s="405" t="s">
        <v>52</v>
      </c>
      <c r="AN32" s="405" t="s">
        <v>1071</v>
      </c>
      <c r="AO32" s="405"/>
      <c r="AP32" s="413"/>
      <c r="AQ32" s="413" t="s">
        <v>1083</v>
      </c>
      <c r="AR32" s="405" t="s">
        <v>1188</v>
      </c>
      <c r="AS32" s="368" t="s">
        <v>1072</v>
      </c>
      <c r="AT32" s="386" t="s">
        <v>1084</v>
      </c>
      <c r="AU32" s="386" t="s">
        <v>1073</v>
      </c>
    </row>
    <row r="33" spans="1:47" s="402" customFormat="1">
      <c r="A33" s="377"/>
      <c r="B33" s="376">
        <v>44634</v>
      </c>
      <c r="C33" s="376" t="s">
        <v>1186</v>
      </c>
      <c r="D33" s="432" t="s">
        <v>1066</v>
      </c>
      <c r="E33" s="374" t="s">
        <v>3882</v>
      </c>
      <c r="F33" s="432"/>
      <c r="G33" s="432"/>
      <c r="H33" s="432"/>
      <c r="I33" s="443" t="s">
        <v>1498</v>
      </c>
      <c r="J33" s="433"/>
      <c r="K33" s="432" t="s">
        <v>3883</v>
      </c>
      <c r="L33" s="433" t="s">
        <v>1205</v>
      </c>
      <c r="M33" s="433">
        <v>44630</v>
      </c>
      <c r="N33" s="433">
        <v>44753</v>
      </c>
      <c r="O33" s="433"/>
      <c r="P33" s="433"/>
      <c r="Q33" s="433"/>
      <c r="R33" s="433"/>
      <c r="S33" s="432" t="s">
        <v>1107</v>
      </c>
      <c r="T33" s="432">
        <v>60</v>
      </c>
      <c r="U33" s="432">
        <v>49403140</v>
      </c>
      <c r="V33" s="432" t="s">
        <v>973</v>
      </c>
      <c r="W33" s="436">
        <v>400</v>
      </c>
      <c r="X33" s="372">
        <v>1536</v>
      </c>
      <c r="Y33" s="422">
        <f t="shared" ref="Y33:Y48" si="6">W33*X33</f>
        <v>614400</v>
      </c>
      <c r="Z33" s="409">
        <v>0.55000000000000004</v>
      </c>
      <c r="AA33" s="410">
        <f t="shared" si="4"/>
        <v>337920</v>
      </c>
      <c r="AB33" s="362"/>
      <c r="AC33" s="412">
        <f t="shared" si="5"/>
        <v>0</v>
      </c>
      <c r="AD33" s="405"/>
      <c r="AE33" s="413"/>
      <c r="AF33" s="424">
        <f t="shared" si="2"/>
        <v>337920</v>
      </c>
      <c r="AG33" s="405" t="s">
        <v>1069</v>
      </c>
      <c r="AH33" s="395">
        <v>0</v>
      </c>
      <c r="AI33" s="405">
        <v>60</v>
      </c>
      <c r="AJ33" s="405" t="s">
        <v>1206</v>
      </c>
      <c r="AK33" s="405" t="s">
        <v>1207</v>
      </c>
      <c r="AL33" s="425" t="s">
        <v>1208</v>
      </c>
      <c r="AM33" s="405" t="s">
        <v>52</v>
      </c>
      <c r="AN33" s="405" t="s">
        <v>1071</v>
      </c>
      <c r="AO33" s="405"/>
      <c r="AP33" s="405"/>
      <c r="AQ33" s="405" t="s">
        <v>1083</v>
      </c>
      <c r="AR33" s="405"/>
      <c r="AS33" s="369" t="s">
        <v>1142</v>
      </c>
      <c r="AT33" s="363" t="s">
        <v>1073</v>
      </c>
      <c r="AU33" s="363" t="s">
        <v>1073</v>
      </c>
    </row>
    <row r="34" spans="1:47" s="402" customFormat="1">
      <c r="A34" s="377"/>
      <c r="B34" s="376">
        <v>44634</v>
      </c>
      <c r="C34" s="376" t="s">
        <v>1186</v>
      </c>
      <c r="D34" s="432" t="s">
        <v>1066</v>
      </c>
      <c r="E34" s="374" t="s">
        <v>3882</v>
      </c>
      <c r="F34" s="432"/>
      <c r="G34" s="432"/>
      <c r="H34" s="432"/>
      <c r="I34" s="443" t="s">
        <v>1498</v>
      </c>
      <c r="J34" s="433"/>
      <c r="K34" s="432" t="s">
        <v>3884</v>
      </c>
      <c r="L34" s="433" t="s">
        <v>1205</v>
      </c>
      <c r="M34" s="433">
        <v>44630</v>
      </c>
      <c r="N34" s="433">
        <v>44784</v>
      </c>
      <c r="O34" s="433"/>
      <c r="P34" s="433"/>
      <c r="Q34" s="433"/>
      <c r="R34" s="433"/>
      <c r="S34" s="432" t="s">
        <v>1107</v>
      </c>
      <c r="T34" s="432">
        <v>60</v>
      </c>
      <c r="U34" s="432">
        <v>49403140</v>
      </c>
      <c r="V34" s="432" t="s">
        <v>973</v>
      </c>
      <c r="W34" s="436">
        <v>400</v>
      </c>
      <c r="X34" s="372">
        <v>1536</v>
      </c>
      <c r="Y34" s="422">
        <f t="shared" si="6"/>
        <v>614400</v>
      </c>
      <c r="Z34" s="409">
        <v>0.55000000000000004</v>
      </c>
      <c r="AA34" s="410">
        <f t="shared" si="4"/>
        <v>337920</v>
      </c>
      <c r="AB34" s="362"/>
      <c r="AC34" s="412">
        <f t="shared" si="5"/>
        <v>0</v>
      </c>
      <c r="AD34" s="405"/>
      <c r="AE34" s="413"/>
      <c r="AF34" s="424">
        <f t="shared" si="2"/>
        <v>337920</v>
      </c>
      <c r="AG34" s="405" t="s">
        <v>1069</v>
      </c>
      <c r="AH34" s="395">
        <v>0</v>
      </c>
      <c r="AI34" s="405">
        <v>60</v>
      </c>
      <c r="AJ34" s="405" t="s">
        <v>1206</v>
      </c>
      <c r="AK34" s="405" t="s">
        <v>1207</v>
      </c>
      <c r="AL34" s="425" t="s">
        <v>1208</v>
      </c>
      <c r="AM34" s="405" t="s">
        <v>52</v>
      </c>
      <c r="AN34" s="405" t="s">
        <v>1071</v>
      </c>
      <c r="AO34" s="405"/>
      <c r="AP34" s="405"/>
      <c r="AQ34" s="405" t="s">
        <v>1083</v>
      </c>
      <c r="AR34" s="405"/>
      <c r="AS34" s="369" t="s">
        <v>1142</v>
      </c>
      <c r="AT34" s="363" t="s">
        <v>1073</v>
      </c>
      <c r="AU34" s="363" t="s">
        <v>1073</v>
      </c>
    </row>
    <row r="35" spans="1:47" s="402" customFormat="1">
      <c r="A35" s="377"/>
      <c r="B35" s="376">
        <v>44634</v>
      </c>
      <c r="C35" s="376" t="s">
        <v>1186</v>
      </c>
      <c r="D35" s="432" t="s">
        <v>1066</v>
      </c>
      <c r="E35" s="374" t="s">
        <v>3882</v>
      </c>
      <c r="F35" s="432"/>
      <c r="G35" s="432"/>
      <c r="H35" s="432"/>
      <c r="I35" s="443" t="s">
        <v>1498</v>
      </c>
      <c r="J35" s="433"/>
      <c r="K35" s="432" t="s">
        <v>3885</v>
      </c>
      <c r="L35" s="433" t="s">
        <v>1205</v>
      </c>
      <c r="M35" s="433">
        <v>44630</v>
      </c>
      <c r="N35" s="433">
        <v>44815</v>
      </c>
      <c r="O35" s="433"/>
      <c r="P35" s="433"/>
      <c r="Q35" s="433"/>
      <c r="R35" s="433"/>
      <c r="S35" s="432" t="s">
        <v>1107</v>
      </c>
      <c r="T35" s="432">
        <v>60</v>
      </c>
      <c r="U35" s="432">
        <v>49403140</v>
      </c>
      <c r="V35" s="432" t="s">
        <v>973</v>
      </c>
      <c r="W35" s="436">
        <v>400</v>
      </c>
      <c r="X35" s="372">
        <v>1536</v>
      </c>
      <c r="Y35" s="422">
        <f t="shared" si="6"/>
        <v>614400</v>
      </c>
      <c r="Z35" s="409">
        <v>0.55000000000000004</v>
      </c>
      <c r="AA35" s="410">
        <f t="shared" si="4"/>
        <v>337920</v>
      </c>
      <c r="AB35" s="362"/>
      <c r="AC35" s="412">
        <f t="shared" si="5"/>
        <v>0</v>
      </c>
      <c r="AD35" s="405"/>
      <c r="AE35" s="413"/>
      <c r="AF35" s="424">
        <f t="shared" si="2"/>
        <v>337920</v>
      </c>
      <c r="AG35" s="405" t="s">
        <v>1069</v>
      </c>
      <c r="AH35" s="395">
        <v>0</v>
      </c>
      <c r="AI35" s="405">
        <v>60</v>
      </c>
      <c r="AJ35" s="405" t="s">
        <v>1206</v>
      </c>
      <c r="AK35" s="405" t="s">
        <v>1207</v>
      </c>
      <c r="AL35" s="425" t="s">
        <v>1208</v>
      </c>
      <c r="AM35" s="405" t="s">
        <v>52</v>
      </c>
      <c r="AN35" s="405" t="s">
        <v>1071</v>
      </c>
      <c r="AO35" s="405"/>
      <c r="AP35" s="405"/>
      <c r="AQ35" s="405" t="s">
        <v>1083</v>
      </c>
      <c r="AR35" s="405"/>
      <c r="AS35" s="369" t="s">
        <v>1142</v>
      </c>
      <c r="AT35" s="363" t="s">
        <v>1073</v>
      </c>
      <c r="AU35" s="363" t="s">
        <v>1073</v>
      </c>
    </row>
    <row r="36" spans="1:47" s="402" customFormat="1">
      <c r="A36" s="377"/>
      <c r="B36" s="376">
        <v>44634</v>
      </c>
      <c r="C36" s="376" t="s">
        <v>1186</v>
      </c>
      <c r="D36" s="432" t="s">
        <v>1066</v>
      </c>
      <c r="E36" s="374" t="s">
        <v>3882</v>
      </c>
      <c r="F36" s="432"/>
      <c r="G36" s="432"/>
      <c r="H36" s="432"/>
      <c r="I36" s="443" t="s">
        <v>1498</v>
      </c>
      <c r="J36" s="433"/>
      <c r="K36" s="432" t="s">
        <v>3886</v>
      </c>
      <c r="L36" s="433" t="s">
        <v>1205</v>
      </c>
      <c r="M36" s="433">
        <v>44630</v>
      </c>
      <c r="N36" s="433">
        <v>44845</v>
      </c>
      <c r="O36" s="433"/>
      <c r="P36" s="433"/>
      <c r="Q36" s="433"/>
      <c r="R36" s="433"/>
      <c r="S36" s="432" t="s">
        <v>1107</v>
      </c>
      <c r="T36" s="432">
        <v>60</v>
      </c>
      <c r="U36" s="432">
        <v>49403140</v>
      </c>
      <c r="V36" s="432" t="s">
        <v>973</v>
      </c>
      <c r="W36" s="436">
        <v>400</v>
      </c>
      <c r="X36" s="372">
        <v>1536</v>
      </c>
      <c r="Y36" s="422">
        <f t="shared" si="6"/>
        <v>614400</v>
      </c>
      <c r="Z36" s="409">
        <v>0.55000000000000004</v>
      </c>
      <c r="AA36" s="410">
        <f t="shared" si="4"/>
        <v>337920</v>
      </c>
      <c r="AB36" s="362"/>
      <c r="AC36" s="412">
        <f t="shared" si="5"/>
        <v>0</v>
      </c>
      <c r="AD36" s="405"/>
      <c r="AE36" s="413"/>
      <c r="AF36" s="424">
        <f t="shared" si="2"/>
        <v>337920</v>
      </c>
      <c r="AG36" s="405" t="s">
        <v>1069</v>
      </c>
      <c r="AH36" s="395">
        <v>0</v>
      </c>
      <c r="AI36" s="405">
        <v>60</v>
      </c>
      <c r="AJ36" s="405" t="s">
        <v>1206</v>
      </c>
      <c r="AK36" s="405" t="s">
        <v>1207</v>
      </c>
      <c r="AL36" s="425" t="s">
        <v>1208</v>
      </c>
      <c r="AM36" s="405" t="s">
        <v>52</v>
      </c>
      <c r="AN36" s="405" t="s">
        <v>1071</v>
      </c>
      <c r="AO36" s="405"/>
      <c r="AP36" s="405"/>
      <c r="AQ36" s="405" t="s">
        <v>1083</v>
      </c>
      <c r="AR36" s="405"/>
      <c r="AS36" s="369" t="s">
        <v>1142</v>
      </c>
      <c r="AT36" s="363" t="s">
        <v>1073</v>
      </c>
      <c r="AU36" s="363" t="s">
        <v>1073</v>
      </c>
    </row>
    <row r="37" spans="1:47" s="402" customFormat="1">
      <c r="A37" s="377"/>
      <c r="B37" s="376">
        <v>44634</v>
      </c>
      <c r="C37" s="376" t="s">
        <v>1186</v>
      </c>
      <c r="D37" s="432" t="s">
        <v>1066</v>
      </c>
      <c r="E37" s="374" t="s">
        <v>3882</v>
      </c>
      <c r="F37" s="432"/>
      <c r="G37" s="432"/>
      <c r="H37" s="432"/>
      <c r="I37" s="443" t="s">
        <v>1498</v>
      </c>
      <c r="J37" s="433"/>
      <c r="K37" s="432" t="s">
        <v>3887</v>
      </c>
      <c r="L37" s="433" t="s">
        <v>1205</v>
      </c>
      <c r="M37" s="433">
        <v>44630</v>
      </c>
      <c r="N37" s="433">
        <v>44876</v>
      </c>
      <c r="O37" s="433"/>
      <c r="P37" s="433"/>
      <c r="Q37" s="433"/>
      <c r="R37" s="433"/>
      <c r="S37" s="432" t="s">
        <v>1107</v>
      </c>
      <c r="T37" s="432">
        <v>60</v>
      </c>
      <c r="U37" s="432">
        <v>49403140</v>
      </c>
      <c r="V37" s="432" t="s">
        <v>973</v>
      </c>
      <c r="W37" s="436">
        <v>400</v>
      </c>
      <c r="X37" s="372">
        <v>1536</v>
      </c>
      <c r="Y37" s="422">
        <f t="shared" si="6"/>
        <v>614400</v>
      </c>
      <c r="Z37" s="409">
        <v>0.55000000000000004</v>
      </c>
      <c r="AA37" s="410">
        <f t="shared" si="4"/>
        <v>337920</v>
      </c>
      <c r="AB37" s="362"/>
      <c r="AC37" s="412">
        <f t="shared" si="5"/>
        <v>0</v>
      </c>
      <c r="AD37" s="405"/>
      <c r="AE37" s="413"/>
      <c r="AF37" s="424">
        <f t="shared" si="2"/>
        <v>337920</v>
      </c>
      <c r="AG37" s="405" t="s">
        <v>1069</v>
      </c>
      <c r="AH37" s="395">
        <v>0</v>
      </c>
      <c r="AI37" s="405">
        <v>60</v>
      </c>
      <c r="AJ37" s="405" t="s">
        <v>1206</v>
      </c>
      <c r="AK37" s="405" t="s">
        <v>1207</v>
      </c>
      <c r="AL37" s="425" t="s">
        <v>1208</v>
      </c>
      <c r="AM37" s="405" t="s">
        <v>52</v>
      </c>
      <c r="AN37" s="405" t="s">
        <v>1071</v>
      </c>
      <c r="AO37" s="405"/>
      <c r="AP37" s="405"/>
      <c r="AQ37" s="405" t="s">
        <v>1083</v>
      </c>
      <c r="AR37" s="405"/>
      <c r="AS37" s="369" t="s">
        <v>1142</v>
      </c>
      <c r="AT37" s="363" t="s">
        <v>1073</v>
      </c>
      <c r="AU37" s="363" t="s">
        <v>1073</v>
      </c>
    </row>
    <row r="38" spans="1:47" s="402" customFormat="1">
      <c r="A38" s="377"/>
      <c r="B38" s="376">
        <v>44634</v>
      </c>
      <c r="C38" s="376" t="s">
        <v>1186</v>
      </c>
      <c r="D38" s="432" t="s">
        <v>1066</v>
      </c>
      <c r="E38" s="374" t="s">
        <v>3882</v>
      </c>
      <c r="F38" s="432"/>
      <c r="G38" s="432"/>
      <c r="H38" s="432"/>
      <c r="I38" s="443" t="s">
        <v>1498</v>
      </c>
      <c r="J38" s="433"/>
      <c r="K38" s="432" t="s">
        <v>4415</v>
      </c>
      <c r="L38" s="433" t="s">
        <v>1205</v>
      </c>
      <c r="M38" s="433">
        <v>44678</v>
      </c>
      <c r="N38" s="433">
        <v>44713</v>
      </c>
      <c r="O38" s="433"/>
      <c r="P38" s="433"/>
      <c r="Q38" s="433"/>
      <c r="R38" s="433"/>
      <c r="S38" s="432" t="s">
        <v>1107</v>
      </c>
      <c r="T38" s="432">
        <v>60</v>
      </c>
      <c r="U38" s="432"/>
      <c r="V38" s="432" t="s">
        <v>973</v>
      </c>
      <c r="W38" s="436">
        <v>410</v>
      </c>
      <c r="X38" s="372">
        <v>1536</v>
      </c>
      <c r="Y38" s="422">
        <f t="shared" si="6"/>
        <v>629760</v>
      </c>
      <c r="Z38" s="409">
        <v>0.64</v>
      </c>
      <c r="AA38" s="410">
        <f t="shared" si="4"/>
        <v>403046.40000000002</v>
      </c>
      <c r="AB38" s="362"/>
      <c r="AC38" s="412">
        <f t="shared" si="5"/>
        <v>0</v>
      </c>
      <c r="AD38" s="405"/>
      <c r="AE38" s="413"/>
      <c r="AF38" s="424">
        <f t="shared" si="2"/>
        <v>403046.40000000002</v>
      </c>
      <c r="AG38" s="405" t="s">
        <v>1069</v>
      </c>
      <c r="AH38" s="395">
        <v>0</v>
      </c>
      <c r="AI38" s="405">
        <v>60</v>
      </c>
      <c r="AJ38" s="405" t="s">
        <v>1206</v>
      </c>
      <c r="AK38" s="405" t="s">
        <v>1207</v>
      </c>
      <c r="AL38" s="425" t="s">
        <v>1208</v>
      </c>
      <c r="AM38" s="405" t="s">
        <v>52</v>
      </c>
      <c r="AN38" s="405" t="s">
        <v>1071</v>
      </c>
      <c r="AO38" s="405"/>
      <c r="AP38" s="405"/>
      <c r="AQ38" s="405" t="s">
        <v>1083</v>
      </c>
      <c r="AR38" s="405"/>
      <c r="AS38" s="369" t="s">
        <v>1142</v>
      </c>
      <c r="AT38" s="363" t="s">
        <v>1073</v>
      </c>
      <c r="AU38" s="363" t="s">
        <v>1073</v>
      </c>
    </row>
    <row r="39" spans="1:47" s="402" customFormat="1">
      <c r="A39" s="377"/>
      <c r="B39" s="376">
        <v>44634</v>
      </c>
      <c r="C39" s="376" t="s">
        <v>1186</v>
      </c>
      <c r="D39" s="432" t="s">
        <v>1066</v>
      </c>
      <c r="E39" s="374" t="s">
        <v>3882</v>
      </c>
      <c r="F39" s="432"/>
      <c r="G39" s="432"/>
      <c r="H39" s="432"/>
      <c r="I39" s="443" t="s">
        <v>1498</v>
      </c>
      <c r="J39" s="433"/>
      <c r="K39" s="432" t="s">
        <v>4416</v>
      </c>
      <c r="L39" s="433" t="s">
        <v>1205</v>
      </c>
      <c r="M39" s="433">
        <v>44678</v>
      </c>
      <c r="N39" s="433">
        <v>44743</v>
      </c>
      <c r="O39" s="433"/>
      <c r="P39" s="433"/>
      <c r="Q39" s="433"/>
      <c r="R39" s="433"/>
      <c r="S39" s="432" t="s">
        <v>1107</v>
      </c>
      <c r="T39" s="432">
        <v>60</v>
      </c>
      <c r="U39" s="432"/>
      <c r="V39" s="432" t="s">
        <v>973</v>
      </c>
      <c r="W39" s="436">
        <v>410</v>
      </c>
      <c r="X39" s="372">
        <v>2304</v>
      </c>
      <c r="Y39" s="422">
        <f t="shared" si="6"/>
        <v>944640</v>
      </c>
      <c r="Z39" s="409">
        <v>0.64</v>
      </c>
      <c r="AA39" s="410">
        <f t="shared" si="4"/>
        <v>604569.59999999998</v>
      </c>
      <c r="AB39" s="362"/>
      <c r="AC39" s="412">
        <f t="shared" si="5"/>
        <v>0</v>
      </c>
      <c r="AD39" s="405"/>
      <c r="AE39" s="413"/>
      <c r="AF39" s="424">
        <f t="shared" si="2"/>
        <v>604569.59999999998</v>
      </c>
      <c r="AG39" s="405" t="s">
        <v>1069</v>
      </c>
      <c r="AH39" s="395">
        <v>0</v>
      </c>
      <c r="AI39" s="405">
        <v>60</v>
      </c>
      <c r="AJ39" s="405" t="s">
        <v>1206</v>
      </c>
      <c r="AK39" s="405" t="s">
        <v>1207</v>
      </c>
      <c r="AL39" s="425" t="s">
        <v>1208</v>
      </c>
      <c r="AM39" s="405" t="s">
        <v>52</v>
      </c>
      <c r="AN39" s="405" t="s">
        <v>1071</v>
      </c>
      <c r="AO39" s="405"/>
      <c r="AP39" s="405"/>
      <c r="AQ39" s="405" t="s">
        <v>1083</v>
      </c>
      <c r="AR39" s="405"/>
      <c r="AS39" s="369" t="s">
        <v>1142</v>
      </c>
      <c r="AT39" s="363" t="s">
        <v>1073</v>
      </c>
      <c r="AU39" s="363" t="s">
        <v>1073</v>
      </c>
    </row>
    <row r="40" spans="1:47" s="402" customFormat="1">
      <c r="A40" s="377"/>
      <c r="B40" s="376">
        <v>44634</v>
      </c>
      <c r="C40" s="376" t="s">
        <v>1186</v>
      </c>
      <c r="D40" s="432" t="s">
        <v>1066</v>
      </c>
      <c r="E40" s="374" t="s">
        <v>3882</v>
      </c>
      <c r="F40" s="432"/>
      <c r="G40" s="432"/>
      <c r="H40" s="432"/>
      <c r="I40" s="443" t="s">
        <v>1498</v>
      </c>
      <c r="J40" s="433"/>
      <c r="K40" s="432" t="s">
        <v>4417</v>
      </c>
      <c r="L40" s="433" t="s">
        <v>1205</v>
      </c>
      <c r="M40" s="433">
        <v>44678</v>
      </c>
      <c r="N40" s="433">
        <v>44774</v>
      </c>
      <c r="O40" s="433"/>
      <c r="P40" s="433"/>
      <c r="Q40" s="433"/>
      <c r="R40" s="433"/>
      <c r="S40" s="432" t="s">
        <v>1107</v>
      </c>
      <c r="T40" s="432">
        <v>60</v>
      </c>
      <c r="U40" s="432"/>
      <c r="V40" s="432" t="s">
        <v>973</v>
      </c>
      <c r="W40" s="436">
        <v>410</v>
      </c>
      <c r="X40" s="372">
        <v>1536</v>
      </c>
      <c r="Y40" s="422">
        <f t="shared" si="6"/>
        <v>629760</v>
      </c>
      <c r="Z40" s="409">
        <v>0.64</v>
      </c>
      <c r="AA40" s="410">
        <f t="shared" si="4"/>
        <v>403046.40000000002</v>
      </c>
      <c r="AB40" s="362"/>
      <c r="AC40" s="412">
        <f t="shared" si="5"/>
        <v>0</v>
      </c>
      <c r="AD40" s="405"/>
      <c r="AE40" s="413"/>
      <c r="AF40" s="424">
        <f t="shared" si="2"/>
        <v>403046.40000000002</v>
      </c>
      <c r="AG40" s="405" t="s">
        <v>1069</v>
      </c>
      <c r="AH40" s="395">
        <v>0</v>
      </c>
      <c r="AI40" s="405">
        <v>60</v>
      </c>
      <c r="AJ40" s="405" t="s">
        <v>1206</v>
      </c>
      <c r="AK40" s="405" t="s">
        <v>1207</v>
      </c>
      <c r="AL40" s="425" t="s">
        <v>1208</v>
      </c>
      <c r="AM40" s="405" t="s">
        <v>52</v>
      </c>
      <c r="AN40" s="405" t="s">
        <v>1071</v>
      </c>
      <c r="AO40" s="405"/>
      <c r="AP40" s="405"/>
      <c r="AQ40" s="405" t="s">
        <v>1083</v>
      </c>
      <c r="AR40" s="405"/>
      <c r="AS40" s="369" t="s">
        <v>1142</v>
      </c>
      <c r="AT40" s="363" t="s">
        <v>1073</v>
      </c>
      <c r="AU40" s="363" t="s">
        <v>1073</v>
      </c>
    </row>
    <row r="41" spans="1:47" s="402" customFormat="1">
      <c r="A41" s="377"/>
      <c r="B41" s="376">
        <v>44634</v>
      </c>
      <c r="C41" s="376" t="s">
        <v>1186</v>
      </c>
      <c r="D41" s="432" t="s">
        <v>1066</v>
      </c>
      <c r="E41" s="374" t="s">
        <v>3882</v>
      </c>
      <c r="F41" s="432"/>
      <c r="G41" s="432"/>
      <c r="H41" s="432"/>
      <c r="I41" s="443" t="s">
        <v>1498</v>
      </c>
      <c r="J41" s="433"/>
      <c r="K41" s="432" t="s">
        <v>4418</v>
      </c>
      <c r="L41" s="433" t="s">
        <v>1205</v>
      </c>
      <c r="M41" s="433">
        <v>44678</v>
      </c>
      <c r="N41" s="433">
        <v>44805</v>
      </c>
      <c r="O41" s="433"/>
      <c r="P41" s="433"/>
      <c r="Q41" s="433"/>
      <c r="R41" s="433"/>
      <c r="S41" s="432" t="s">
        <v>1107</v>
      </c>
      <c r="T41" s="432">
        <v>60</v>
      </c>
      <c r="U41" s="432"/>
      <c r="V41" s="432" t="s">
        <v>973</v>
      </c>
      <c r="W41" s="436">
        <v>410</v>
      </c>
      <c r="X41" s="372">
        <v>1536</v>
      </c>
      <c r="Y41" s="422">
        <f t="shared" si="6"/>
        <v>629760</v>
      </c>
      <c r="Z41" s="409">
        <v>0.64</v>
      </c>
      <c r="AA41" s="410">
        <f t="shared" si="4"/>
        <v>403046.40000000002</v>
      </c>
      <c r="AB41" s="362"/>
      <c r="AC41" s="412">
        <f t="shared" si="5"/>
        <v>0</v>
      </c>
      <c r="AD41" s="405"/>
      <c r="AE41" s="413"/>
      <c r="AF41" s="424">
        <f t="shared" si="2"/>
        <v>403046.40000000002</v>
      </c>
      <c r="AG41" s="405" t="s">
        <v>1069</v>
      </c>
      <c r="AH41" s="395">
        <v>0</v>
      </c>
      <c r="AI41" s="405">
        <v>60</v>
      </c>
      <c r="AJ41" s="405" t="s">
        <v>1206</v>
      </c>
      <c r="AK41" s="405" t="s">
        <v>1207</v>
      </c>
      <c r="AL41" s="425" t="s">
        <v>1208</v>
      </c>
      <c r="AM41" s="405" t="s">
        <v>52</v>
      </c>
      <c r="AN41" s="405" t="s">
        <v>1071</v>
      </c>
      <c r="AO41" s="405"/>
      <c r="AP41" s="405"/>
      <c r="AQ41" s="405" t="s">
        <v>1083</v>
      </c>
      <c r="AR41" s="405"/>
      <c r="AS41" s="369" t="s">
        <v>1142</v>
      </c>
      <c r="AT41" s="363" t="s">
        <v>1073</v>
      </c>
      <c r="AU41" s="363" t="s">
        <v>1073</v>
      </c>
    </row>
    <row r="42" spans="1:47" s="402" customFormat="1">
      <c r="A42" s="377"/>
      <c r="B42" s="376">
        <v>44634</v>
      </c>
      <c r="C42" s="376" t="s">
        <v>1186</v>
      </c>
      <c r="D42" s="432" t="s">
        <v>1066</v>
      </c>
      <c r="E42" s="374" t="s">
        <v>3882</v>
      </c>
      <c r="F42" s="432"/>
      <c r="G42" s="432"/>
      <c r="H42" s="432"/>
      <c r="I42" s="443" t="s">
        <v>1498</v>
      </c>
      <c r="J42" s="433"/>
      <c r="K42" s="432" t="s">
        <v>4419</v>
      </c>
      <c r="L42" s="433" t="s">
        <v>1205</v>
      </c>
      <c r="M42" s="433">
        <v>44678</v>
      </c>
      <c r="N42" s="433">
        <v>44835</v>
      </c>
      <c r="O42" s="433"/>
      <c r="P42" s="433"/>
      <c r="Q42" s="433"/>
      <c r="R42" s="433"/>
      <c r="S42" s="432" t="s">
        <v>1107</v>
      </c>
      <c r="T42" s="432">
        <v>60</v>
      </c>
      <c r="U42" s="432"/>
      <c r="V42" s="432" t="s">
        <v>973</v>
      </c>
      <c r="W42" s="436">
        <v>410</v>
      </c>
      <c r="X42" s="372">
        <v>1536</v>
      </c>
      <c r="Y42" s="422">
        <f t="shared" si="6"/>
        <v>629760</v>
      </c>
      <c r="Z42" s="409">
        <v>0.64</v>
      </c>
      <c r="AA42" s="410">
        <f t="shared" si="4"/>
        <v>403046.40000000002</v>
      </c>
      <c r="AB42" s="362"/>
      <c r="AC42" s="412">
        <f t="shared" si="5"/>
        <v>0</v>
      </c>
      <c r="AD42" s="405"/>
      <c r="AE42" s="413"/>
      <c r="AF42" s="424">
        <f t="shared" si="2"/>
        <v>403046.40000000002</v>
      </c>
      <c r="AG42" s="405" t="s">
        <v>1069</v>
      </c>
      <c r="AH42" s="395">
        <v>0</v>
      </c>
      <c r="AI42" s="405">
        <v>60</v>
      </c>
      <c r="AJ42" s="405" t="s">
        <v>1206</v>
      </c>
      <c r="AK42" s="405" t="s">
        <v>1207</v>
      </c>
      <c r="AL42" s="425" t="s">
        <v>1208</v>
      </c>
      <c r="AM42" s="405" t="s">
        <v>52</v>
      </c>
      <c r="AN42" s="405" t="s">
        <v>1071</v>
      </c>
      <c r="AO42" s="405"/>
      <c r="AP42" s="405"/>
      <c r="AQ42" s="405" t="s">
        <v>1083</v>
      </c>
      <c r="AR42" s="405"/>
      <c r="AS42" s="369" t="s">
        <v>1142</v>
      </c>
      <c r="AT42" s="363" t="s">
        <v>1073</v>
      </c>
      <c r="AU42" s="363" t="s">
        <v>1073</v>
      </c>
    </row>
    <row r="43" spans="1:47" s="402" customFormat="1">
      <c r="A43" s="377"/>
      <c r="B43" s="376">
        <v>44634</v>
      </c>
      <c r="C43" s="376" t="s">
        <v>1186</v>
      </c>
      <c r="D43" s="432" t="s">
        <v>1066</v>
      </c>
      <c r="E43" s="374" t="s">
        <v>3882</v>
      </c>
      <c r="F43" s="432"/>
      <c r="G43" s="432"/>
      <c r="H43" s="432"/>
      <c r="I43" s="443" t="s">
        <v>1498</v>
      </c>
      <c r="J43" s="433"/>
      <c r="K43" s="432" t="s">
        <v>4420</v>
      </c>
      <c r="L43" s="433" t="s">
        <v>1205</v>
      </c>
      <c r="M43" s="433">
        <v>44678</v>
      </c>
      <c r="N43" s="433">
        <v>44866</v>
      </c>
      <c r="O43" s="433"/>
      <c r="P43" s="433"/>
      <c r="Q43" s="433"/>
      <c r="R43" s="433"/>
      <c r="S43" s="432" t="s">
        <v>1107</v>
      </c>
      <c r="T43" s="432">
        <v>60</v>
      </c>
      <c r="U43" s="432"/>
      <c r="V43" s="432" t="s">
        <v>973</v>
      </c>
      <c r="W43" s="436">
        <v>410</v>
      </c>
      <c r="X43" s="372">
        <v>1536</v>
      </c>
      <c r="Y43" s="422">
        <f t="shared" si="6"/>
        <v>629760</v>
      </c>
      <c r="Z43" s="409">
        <v>0.64</v>
      </c>
      <c r="AA43" s="410">
        <f t="shared" si="4"/>
        <v>403046.40000000002</v>
      </c>
      <c r="AB43" s="362"/>
      <c r="AC43" s="412">
        <f t="shared" si="5"/>
        <v>0</v>
      </c>
      <c r="AD43" s="405"/>
      <c r="AE43" s="413"/>
      <c r="AF43" s="424">
        <f t="shared" si="2"/>
        <v>403046.40000000002</v>
      </c>
      <c r="AG43" s="405" t="s">
        <v>1069</v>
      </c>
      <c r="AH43" s="395">
        <v>0</v>
      </c>
      <c r="AI43" s="405">
        <v>60</v>
      </c>
      <c r="AJ43" s="405" t="s">
        <v>1206</v>
      </c>
      <c r="AK43" s="405" t="s">
        <v>1207</v>
      </c>
      <c r="AL43" s="425" t="s">
        <v>1208</v>
      </c>
      <c r="AM43" s="405" t="s">
        <v>52</v>
      </c>
      <c r="AN43" s="405" t="s">
        <v>1071</v>
      </c>
      <c r="AO43" s="405"/>
      <c r="AP43" s="405"/>
      <c r="AQ43" s="405" t="s">
        <v>1083</v>
      </c>
      <c r="AR43" s="405"/>
      <c r="AS43" s="369" t="s">
        <v>1142</v>
      </c>
      <c r="AT43" s="363" t="s">
        <v>1073</v>
      </c>
      <c r="AU43" s="363" t="s">
        <v>1073</v>
      </c>
    </row>
    <row r="44" spans="1:47" s="402" customFormat="1">
      <c r="A44" s="377"/>
      <c r="B44" s="376">
        <v>44634</v>
      </c>
      <c r="C44" s="376" t="s">
        <v>1186</v>
      </c>
      <c r="D44" s="432" t="s">
        <v>1066</v>
      </c>
      <c r="E44" s="374" t="s">
        <v>3882</v>
      </c>
      <c r="F44" s="432"/>
      <c r="G44" s="432"/>
      <c r="H44" s="432"/>
      <c r="I44" s="443" t="s">
        <v>1498</v>
      </c>
      <c r="J44" s="433"/>
      <c r="K44" s="432" t="s">
        <v>4421</v>
      </c>
      <c r="L44" s="433" t="s">
        <v>1205</v>
      </c>
      <c r="M44" s="433">
        <v>44678</v>
      </c>
      <c r="N44" s="433">
        <v>44896</v>
      </c>
      <c r="O44" s="433"/>
      <c r="P44" s="433"/>
      <c r="Q44" s="433"/>
      <c r="R44" s="433"/>
      <c r="S44" s="432" t="s">
        <v>1107</v>
      </c>
      <c r="T44" s="432">
        <v>60</v>
      </c>
      <c r="U44" s="432"/>
      <c r="V44" s="432" t="s">
        <v>973</v>
      </c>
      <c r="W44" s="436">
        <v>410</v>
      </c>
      <c r="X44" s="372">
        <v>1536</v>
      </c>
      <c r="Y44" s="422">
        <f t="shared" si="6"/>
        <v>629760</v>
      </c>
      <c r="Z44" s="409">
        <v>0.64</v>
      </c>
      <c r="AA44" s="410">
        <f t="shared" si="4"/>
        <v>403046.40000000002</v>
      </c>
      <c r="AB44" s="362"/>
      <c r="AC44" s="412">
        <f t="shared" si="5"/>
        <v>0</v>
      </c>
      <c r="AD44" s="405"/>
      <c r="AE44" s="413"/>
      <c r="AF44" s="424">
        <f t="shared" si="2"/>
        <v>403046.40000000002</v>
      </c>
      <c r="AG44" s="405" t="s">
        <v>1069</v>
      </c>
      <c r="AH44" s="395">
        <v>0</v>
      </c>
      <c r="AI44" s="405">
        <v>60</v>
      </c>
      <c r="AJ44" s="405" t="s">
        <v>1206</v>
      </c>
      <c r="AK44" s="405" t="s">
        <v>1207</v>
      </c>
      <c r="AL44" s="425" t="s">
        <v>1208</v>
      </c>
      <c r="AM44" s="405" t="s">
        <v>52</v>
      </c>
      <c r="AN44" s="405" t="s">
        <v>1071</v>
      </c>
      <c r="AO44" s="405"/>
      <c r="AP44" s="405"/>
      <c r="AQ44" s="405" t="s">
        <v>1083</v>
      </c>
      <c r="AR44" s="405"/>
      <c r="AS44" s="369" t="s">
        <v>1142</v>
      </c>
      <c r="AT44" s="363" t="s">
        <v>1073</v>
      </c>
      <c r="AU44" s="363" t="s">
        <v>1073</v>
      </c>
    </row>
    <row r="45" spans="1:47" s="402" customFormat="1">
      <c r="A45" s="377"/>
      <c r="B45" s="376">
        <v>44634</v>
      </c>
      <c r="C45" s="376" t="s">
        <v>1186</v>
      </c>
      <c r="D45" s="432" t="s">
        <v>1066</v>
      </c>
      <c r="E45" s="374" t="s">
        <v>3882</v>
      </c>
      <c r="F45" s="432"/>
      <c r="G45" s="432"/>
      <c r="H45" s="432"/>
      <c r="I45" s="443" t="s">
        <v>1498</v>
      </c>
      <c r="J45" s="433"/>
      <c r="K45" s="432" t="s">
        <v>4514</v>
      </c>
      <c r="L45" s="433" t="s">
        <v>1205</v>
      </c>
      <c r="M45" s="433">
        <v>44680</v>
      </c>
      <c r="N45" s="433">
        <v>44805</v>
      </c>
      <c r="O45" s="433"/>
      <c r="P45" s="433"/>
      <c r="Q45" s="433"/>
      <c r="R45" s="433"/>
      <c r="S45" s="432" t="s">
        <v>1107</v>
      </c>
      <c r="T45" s="432">
        <v>60</v>
      </c>
      <c r="U45" s="432"/>
      <c r="V45" s="432" t="s">
        <v>973</v>
      </c>
      <c r="W45" s="436">
        <v>400</v>
      </c>
      <c r="X45" s="372">
        <v>1536</v>
      </c>
      <c r="Y45" s="422">
        <f t="shared" si="6"/>
        <v>614400</v>
      </c>
      <c r="Z45" s="409">
        <v>0.64</v>
      </c>
      <c r="AA45" s="410">
        <f t="shared" si="4"/>
        <v>393216</v>
      </c>
      <c r="AB45" s="362"/>
      <c r="AC45" s="412">
        <f t="shared" si="5"/>
        <v>0</v>
      </c>
      <c r="AD45" s="405"/>
      <c r="AE45" s="413"/>
      <c r="AF45" s="424">
        <f t="shared" si="2"/>
        <v>393216</v>
      </c>
      <c r="AG45" s="405" t="s">
        <v>1069</v>
      </c>
      <c r="AH45" s="395">
        <v>0</v>
      </c>
      <c r="AI45" s="405">
        <v>60</v>
      </c>
      <c r="AJ45" s="405" t="s">
        <v>1206</v>
      </c>
      <c r="AK45" s="405" t="s">
        <v>1207</v>
      </c>
      <c r="AL45" s="425" t="s">
        <v>1208</v>
      </c>
      <c r="AM45" s="405" t="s">
        <v>52</v>
      </c>
      <c r="AN45" s="405" t="s">
        <v>1071</v>
      </c>
      <c r="AO45" s="405"/>
      <c r="AP45" s="405"/>
      <c r="AQ45" s="405" t="s">
        <v>1083</v>
      </c>
      <c r="AR45" s="405"/>
      <c r="AS45" s="369" t="s">
        <v>1142</v>
      </c>
      <c r="AT45" s="363" t="s">
        <v>1073</v>
      </c>
      <c r="AU45" s="363" t="s">
        <v>1073</v>
      </c>
    </row>
    <row r="46" spans="1:47" s="402" customFormat="1">
      <c r="A46" s="377"/>
      <c r="B46" s="376">
        <v>44634</v>
      </c>
      <c r="C46" s="376" t="s">
        <v>1186</v>
      </c>
      <c r="D46" s="432" t="s">
        <v>1066</v>
      </c>
      <c r="E46" s="374" t="s">
        <v>3882</v>
      </c>
      <c r="F46" s="432"/>
      <c r="G46" s="432"/>
      <c r="H46" s="432"/>
      <c r="I46" s="443" t="s">
        <v>1498</v>
      </c>
      <c r="J46" s="433"/>
      <c r="K46" s="432" t="s">
        <v>4515</v>
      </c>
      <c r="L46" s="433" t="s">
        <v>1205</v>
      </c>
      <c r="M46" s="433">
        <v>44680</v>
      </c>
      <c r="N46" s="433">
        <v>44835</v>
      </c>
      <c r="O46" s="433"/>
      <c r="P46" s="433"/>
      <c r="Q46" s="433"/>
      <c r="R46" s="433"/>
      <c r="S46" s="432" t="s">
        <v>1107</v>
      </c>
      <c r="T46" s="432">
        <v>60</v>
      </c>
      <c r="U46" s="432"/>
      <c r="V46" s="432" t="s">
        <v>973</v>
      </c>
      <c r="W46" s="436">
        <v>400</v>
      </c>
      <c r="X46" s="372">
        <v>2304</v>
      </c>
      <c r="Y46" s="422">
        <f t="shared" si="6"/>
        <v>921600</v>
      </c>
      <c r="Z46" s="409">
        <v>0.64</v>
      </c>
      <c r="AA46" s="410">
        <f t="shared" si="4"/>
        <v>589824</v>
      </c>
      <c r="AB46" s="362"/>
      <c r="AC46" s="412">
        <f t="shared" si="5"/>
        <v>0</v>
      </c>
      <c r="AD46" s="405"/>
      <c r="AE46" s="413"/>
      <c r="AF46" s="424">
        <f t="shared" si="2"/>
        <v>589824</v>
      </c>
      <c r="AG46" s="405" t="s">
        <v>1069</v>
      </c>
      <c r="AH46" s="395">
        <v>0</v>
      </c>
      <c r="AI46" s="405">
        <v>60</v>
      </c>
      <c r="AJ46" s="405" t="s">
        <v>1206</v>
      </c>
      <c r="AK46" s="405" t="s">
        <v>1207</v>
      </c>
      <c r="AL46" s="425" t="s">
        <v>1208</v>
      </c>
      <c r="AM46" s="405" t="s">
        <v>52</v>
      </c>
      <c r="AN46" s="405" t="s">
        <v>1071</v>
      </c>
      <c r="AO46" s="405"/>
      <c r="AP46" s="405"/>
      <c r="AQ46" s="405" t="s">
        <v>1083</v>
      </c>
      <c r="AR46" s="405"/>
      <c r="AS46" s="369" t="s">
        <v>1142</v>
      </c>
      <c r="AT46" s="363" t="s">
        <v>1073</v>
      </c>
      <c r="AU46" s="363" t="s">
        <v>1073</v>
      </c>
    </row>
    <row r="47" spans="1:47" s="402" customFormat="1">
      <c r="A47" s="377"/>
      <c r="B47" s="376">
        <v>44634</v>
      </c>
      <c r="C47" s="376" t="s">
        <v>1186</v>
      </c>
      <c r="D47" s="432" t="s">
        <v>1066</v>
      </c>
      <c r="E47" s="374" t="s">
        <v>3882</v>
      </c>
      <c r="F47" s="432"/>
      <c r="G47" s="432"/>
      <c r="H47" s="432"/>
      <c r="I47" s="443" t="s">
        <v>1498</v>
      </c>
      <c r="J47" s="433"/>
      <c r="K47" s="432" t="s">
        <v>4516</v>
      </c>
      <c r="L47" s="433" t="s">
        <v>1205</v>
      </c>
      <c r="M47" s="433">
        <v>44680</v>
      </c>
      <c r="N47" s="433">
        <v>44866</v>
      </c>
      <c r="O47" s="433"/>
      <c r="P47" s="433"/>
      <c r="Q47" s="433"/>
      <c r="R47" s="433"/>
      <c r="S47" s="432" t="s">
        <v>1107</v>
      </c>
      <c r="T47" s="432">
        <v>60</v>
      </c>
      <c r="U47" s="432"/>
      <c r="V47" s="432" t="s">
        <v>973</v>
      </c>
      <c r="W47" s="436">
        <v>400</v>
      </c>
      <c r="X47" s="372">
        <v>2304</v>
      </c>
      <c r="Y47" s="422">
        <f t="shared" si="6"/>
        <v>921600</v>
      </c>
      <c r="Z47" s="409">
        <v>0.64</v>
      </c>
      <c r="AA47" s="410">
        <f t="shared" si="4"/>
        <v>589824</v>
      </c>
      <c r="AB47" s="362"/>
      <c r="AC47" s="412">
        <f t="shared" si="5"/>
        <v>0</v>
      </c>
      <c r="AD47" s="405"/>
      <c r="AE47" s="413"/>
      <c r="AF47" s="424">
        <f t="shared" si="2"/>
        <v>589824</v>
      </c>
      <c r="AG47" s="405" t="s">
        <v>1069</v>
      </c>
      <c r="AH47" s="395">
        <v>0</v>
      </c>
      <c r="AI47" s="405">
        <v>60</v>
      </c>
      <c r="AJ47" s="405" t="s">
        <v>1206</v>
      </c>
      <c r="AK47" s="405" t="s">
        <v>1207</v>
      </c>
      <c r="AL47" s="425" t="s">
        <v>1208</v>
      </c>
      <c r="AM47" s="405" t="s">
        <v>52</v>
      </c>
      <c r="AN47" s="405" t="s">
        <v>1071</v>
      </c>
      <c r="AO47" s="405"/>
      <c r="AP47" s="405"/>
      <c r="AQ47" s="405" t="s">
        <v>1083</v>
      </c>
      <c r="AR47" s="405"/>
      <c r="AS47" s="369" t="s">
        <v>1142</v>
      </c>
      <c r="AT47" s="363" t="s">
        <v>1073</v>
      </c>
      <c r="AU47" s="363" t="s">
        <v>1073</v>
      </c>
    </row>
    <row r="48" spans="1:47" s="402" customFormat="1">
      <c r="A48" s="377"/>
      <c r="B48" s="376">
        <v>44634</v>
      </c>
      <c r="C48" s="376" t="s">
        <v>1186</v>
      </c>
      <c r="D48" s="432" t="s">
        <v>1066</v>
      </c>
      <c r="E48" s="374" t="s">
        <v>3882</v>
      </c>
      <c r="F48" s="432"/>
      <c r="G48" s="432"/>
      <c r="H48" s="432"/>
      <c r="I48" s="443" t="s">
        <v>1498</v>
      </c>
      <c r="J48" s="433"/>
      <c r="K48" s="432" t="s">
        <v>4517</v>
      </c>
      <c r="L48" s="433" t="s">
        <v>1205</v>
      </c>
      <c r="M48" s="433">
        <v>44680</v>
      </c>
      <c r="N48" s="433">
        <v>44896</v>
      </c>
      <c r="O48" s="433"/>
      <c r="P48" s="433"/>
      <c r="Q48" s="433"/>
      <c r="R48" s="433"/>
      <c r="S48" s="432" t="s">
        <v>1107</v>
      </c>
      <c r="T48" s="432">
        <v>60</v>
      </c>
      <c r="U48" s="432"/>
      <c r="V48" s="432" t="s">
        <v>973</v>
      </c>
      <c r="W48" s="436">
        <v>400</v>
      </c>
      <c r="X48" s="372">
        <v>1536</v>
      </c>
      <c r="Y48" s="422">
        <f t="shared" si="6"/>
        <v>614400</v>
      </c>
      <c r="Z48" s="409">
        <v>0.64</v>
      </c>
      <c r="AA48" s="410">
        <f t="shared" si="4"/>
        <v>393216</v>
      </c>
      <c r="AB48" s="362"/>
      <c r="AC48" s="412">
        <f t="shared" si="5"/>
        <v>0</v>
      </c>
      <c r="AD48" s="405"/>
      <c r="AE48" s="413"/>
      <c r="AF48" s="424">
        <f t="shared" si="2"/>
        <v>393216</v>
      </c>
      <c r="AG48" s="405" t="s">
        <v>1069</v>
      </c>
      <c r="AH48" s="395">
        <v>0</v>
      </c>
      <c r="AI48" s="405">
        <v>60</v>
      </c>
      <c r="AJ48" s="405" t="s">
        <v>1206</v>
      </c>
      <c r="AK48" s="405" t="s">
        <v>1207</v>
      </c>
      <c r="AL48" s="425" t="s">
        <v>1208</v>
      </c>
      <c r="AM48" s="405" t="s">
        <v>52</v>
      </c>
      <c r="AN48" s="405" t="s">
        <v>1071</v>
      </c>
      <c r="AO48" s="405"/>
      <c r="AP48" s="405"/>
      <c r="AQ48" s="405" t="s">
        <v>1083</v>
      </c>
      <c r="AR48" s="405"/>
      <c r="AS48" s="369" t="s">
        <v>1142</v>
      </c>
      <c r="AT48" s="363" t="s">
        <v>1073</v>
      </c>
      <c r="AU48" s="363" t="s">
        <v>1073</v>
      </c>
    </row>
    <row r="49" spans="1:47" s="402" customFormat="1">
      <c r="A49" s="426"/>
      <c r="B49" s="426" t="s">
        <v>1186</v>
      </c>
      <c r="C49" s="426" t="s">
        <v>1186</v>
      </c>
      <c r="D49" s="374" t="s">
        <v>1066</v>
      </c>
      <c r="E49" s="432" t="s">
        <v>1093</v>
      </c>
      <c r="F49" s="432"/>
      <c r="G49" s="432"/>
      <c r="H49" s="432"/>
      <c r="I49" s="432" t="s">
        <v>1498</v>
      </c>
      <c r="J49" s="433"/>
      <c r="K49" s="432" t="s">
        <v>3888</v>
      </c>
      <c r="L49" s="433" t="s">
        <v>1189</v>
      </c>
      <c r="M49" s="433">
        <v>44573</v>
      </c>
      <c r="N49" s="433">
        <v>44784</v>
      </c>
      <c r="O49" s="433"/>
      <c r="P49" s="433"/>
      <c r="Q49" s="433"/>
      <c r="R49" s="433"/>
      <c r="S49" s="432" t="s">
        <v>1107</v>
      </c>
      <c r="T49" s="432">
        <v>60</v>
      </c>
      <c r="U49" s="432"/>
      <c r="V49" s="432" t="s">
        <v>973</v>
      </c>
      <c r="W49" s="436">
        <v>400</v>
      </c>
      <c r="X49" s="372">
        <v>768</v>
      </c>
      <c r="Y49" s="408">
        <f t="shared" ref="Y49:Y109" si="7">X49*W49</f>
        <v>307200</v>
      </c>
      <c r="Z49" s="409">
        <v>0.64</v>
      </c>
      <c r="AA49" s="410">
        <f t="shared" si="4"/>
        <v>196608</v>
      </c>
      <c r="AB49" s="411"/>
      <c r="AC49" s="412">
        <f t="shared" si="5"/>
        <v>0</v>
      </c>
      <c r="AD49" s="421"/>
      <c r="AE49" s="413"/>
      <c r="AF49" s="424">
        <f t="shared" si="2"/>
        <v>196608</v>
      </c>
      <c r="AG49" s="405" t="s">
        <v>1069</v>
      </c>
      <c r="AH49" s="405">
        <v>0</v>
      </c>
      <c r="AI49" s="405">
        <v>60</v>
      </c>
      <c r="AJ49" s="405" t="s">
        <v>1190</v>
      </c>
      <c r="AK49" s="405" t="s">
        <v>1191</v>
      </c>
      <c r="AL49" s="425">
        <v>43125</v>
      </c>
      <c r="AM49" s="405" t="s">
        <v>52</v>
      </c>
      <c r="AN49" s="405" t="s">
        <v>1071</v>
      </c>
      <c r="AO49" s="405"/>
      <c r="AP49" s="413"/>
      <c r="AQ49" s="413" t="s">
        <v>1083</v>
      </c>
      <c r="AR49" s="405" t="s">
        <v>1188</v>
      </c>
      <c r="AS49" s="368" t="s">
        <v>1072</v>
      </c>
      <c r="AT49" s="386" t="s">
        <v>1084</v>
      </c>
      <c r="AU49" s="386" t="s">
        <v>1073</v>
      </c>
    </row>
    <row r="50" spans="1:47" s="402" customFormat="1">
      <c r="A50" s="426"/>
      <c r="B50" s="426" t="s">
        <v>1186</v>
      </c>
      <c r="C50" s="426" t="s">
        <v>1186</v>
      </c>
      <c r="D50" s="374" t="s">
        <v>1066</v>
      </c>
      <c r="E50" s="432" t="s">
        <v>1093</v>
      </c>
      <c r="F50" s="432"/>
      <c r="G50" s="432"/>
      <c r="H50" s="432"/>
      <c r="I50" s="432" t="s">
        <v>1498</v>
      </c>
      <c r="J50" s="433"/>
      <c r="K50" s="432" t="s">
        <v>3889</v>
      </c>
      <c r="L50" s="433" t="s">
        <v>1189</v>
      </c>
      <c r="M50" s="433">
        <v>44635</v>
      </c>
      <c r="N50" s="433">
        <v>44718</v>
      </c>
      <c r="O50" s="433"/>
      <c r="P50" s="433"/>
      <c r="Q50" s="433"/>
      <c r="R50" s="433"/>
      <c r="S50" s="432" t="s">
        <v>1107</v>
      </c>
      <c r="T50" s="432">
        <v>60</v>
      </c>
      <c r="U50" s="432"/>
      <c r="V50" s="432" t="s">
        <v>973</v>
      </c>
      <c r="W50" s="436">
        <v>400</v>
      </c>
      <c r="X50" s="372">
        <v>1536</v>
      </c>
      <c r="Y50" s="408">
        <f t="shared" si="7"/>
        <v>614400</v>
      </c>
      <c r="Z50" s="409">
        <v>0.55000000000000004</v>
      </c>
      <c r="AA50" s="410">
        <f t="shared" si="4"/>
        <v>337920</v>
      </c>
      <c r="AB50" s="411"/>
      <c r="AC50" s="412">
        <f t="shared" si="5"/>
        <v>0</v>
      </c>
      <c r="AD50" s="421"/>
      <c r="AE50" s="413"/>
      <c r="AF50" s="424">
        <f t="shared" si="2"/>
        <v>337920</v>
      </c>
      <c r="AG50" s="405" t="s">
        <v>1069</v>
      </c>
      <c r="AH50" s="405">
        <v>0</v>
      </c>
      <c r="AI50" s="405">
        <v>60</v>
      </c>
      <c r="AJ50" s="405" t="s">
        <v>1190</v>
      </c>
      <c r="AK50" s="405" t="s">
        <v>1191</v>
      </c>
      <c r="AL50" s="425">
        <v>43125</v>
      </c>
      <c r="AM50" s="405" t="s">
        <v>52</v>
      </c>
      <c r="AN50" s="405" t="s">
        <v>1071</v>
      </c>
      <c r="AO50" s="405"/>
      <c r="AP50" s="413"/>
      <c r="AQ50" s="413"/>
      <c r="AR50" s="405"/>
      <c r="AS50" s="368"/>
      <c r="AT50" s="386"/>
      <c r="AU50" s="386"/>
    </row>
    <row r="51" spans="1:47" s="402" customFormat="1">
      <c r="A51" s="426"/>
      <c r="B51" s="426" t="s">
        <v>1186</v>
      </c>
      <c r="C51" s="426" t="s">
        <v>1186</v>
      </c>
      <c r="D51" s="374" t="s">
        <v>1066</v>
      </c>
      <c r="E51" s="432" t="s">
        <v>1093</v>
      </c>
      <c r="F51" s="432"/>
      <c r="G51" s="432"/>
      <c r="H51" s="432"/>
      <c r="I51" s="432" t="s">
        <v>1498</v>
      </c>
      <c r="J51" s="433"/>
      <c r="K51" s="432" t="s">
        <v>3890</v>
      </c>
      <c r="L51" s="433" t="s">
        <v>1189</v>
      </c>
      <c r="M51" s="433">
        <v>44635</v>
      </c>
      <c r="N51" s="433">
        <v>44743</v>
      </c>
      <c r="O51" s="433"/>
      <c r="P51" s="433"/>
      <c r="Q51" s="433"/>
      <c r="R51" s="433"/>
      <c r="S51" s="432" t="s">
        <v>1107</v>
      </c>
      <c r="T51" s="432">
        <v>60</v>
      </c>
      <c r="U51" s="432"/>
      <c r="V51" s="432" t="s">
        <v>973</v>
      </c>
      <c r="W51" s="436">
        <v>400</v>
      </c>
      <c r="X51" s="372">
        <v>1536</v>
      </c>
      <c r="Y51" s="408">
        <f t="shared" si="7"/>
        <v>614400</v>
      </c>
      <c r="Z51" s="409">
        <v>0.55000000000000004</v>
      </c>
      <c r="AA51" s="410">
        <f t="shared" si="4"/>
        <v>337920</v>
      </c>
      <c r="AB51" s="411"/>
      <c r="AC51" s="412">
        <f t="shared" si="5"/>
        <v>0</v>
      </c>
      <c r="AD51" s="421"/>
      <c r="AE51" s="413"/>
      <c r="AF51" s="424">
        <f t="shared" si="2"/>
        <v>337920</v>
      </c>
      <c r="AG51" s="405" t="s">
        <v>1069</v>
      </c>
      <c r="AH51" s="405">
        <v>0</v>
      </c>
      <c r="AI51" s="405">
        <v>60</v>
      </c>
      <c r="AJ51" s="405" t="s">
        <v>1190</v>
      </c>
      <c r="AK51" s="405" t="s">
        <v>1191</v>
      </c>
      <c r="AL51" s="425">
        <v>43125</v>
      </c>
      <c r="AM51" s="405" t="s">
        <v>52</v>
      </c>
      <c r="AN51" s="405" t="s">
        <v>1071</v>
      </c>
      <c r="AO51" s="405"/>
      <c r="AP51" s="413"/>
      <c r="AQ51" s="413"/>
      <c r="AR51" s="405"/>
      <c r="AS51" s="368"/>
      <c r="AT51" s="386"/>
      <c r="AU51" s="386"/>
    </row>
    <row r="52" spans="1:47" s="402" customFormat="1">
      <c r="A52" s="426"/>
      <c r="B52" s="426" t="s">
        <v>1186</v>
      </c>
      <c r="C52" s="426" t="s">
        <v>1186</v>
      </c>
      <c r="D52" s="374" t="s">
        <v>1066</v>
      </c>
      <c r="E52" s="432" t="s">
        <v>1093</v>
      </c>
      <c r="F52" s="432"/>
      <c r="G52" s="432"/>
      <c r="H52" s="432"/>
      <c r="I52" s="432" t="s">
        <v>1498</v>
      </c>
      <c r="J52" s="433"/>
      <c r="K52" s="432" t="s">
        <v>3891</v>
      </c>
      <c r="L52" s="433" t="s">
        <v>1189</v>
      </c>
      <c r="M52" s="433">
        <v>44635</v>
      </c>
      <c r="N52" s="433">
        <v>44774</v>
      </c>
      <c r="O52" s="433"/>
      <c r="P52" s="433"/>
      <c r="Q52" s="433"/>
      <c r="R52" s="433"/>
      <c r="S52" s="432" t="s">
        <v>1107</v>
      </c>
      <c r="T52" s="432">
        <v>60</v>
      </c>
      <c r="U52" s="432"/>
      <c r="V52" s="432" t="s">
        <v>973</v>
      </c>
      <c r="W52" s="436">
        <v>400</v>
      </c>
      <c r="X52" s="372">
        <v>1536</v>
      </c>
      <c r="Y52" s="408">
        <f t="shared" si="7"/>
        <v>614400</v>
      </c>
      <c r="Z52" s="409">
        <v>0.55000000000000004</v>
      </c>
      <c r="AA52" s="410">
        <f t="shared" si="4"/>
        <v>337920</v>
      </c>
      <c r="AB52" s="411"/>
      <c r="AC52" s="412">
        <f t="shared" si="5"/>
        <v>0</v>
      </c>
      <c r="AD52" s="421"/>
      <c r="AE52" s="413"/>
      <c r="AF52" s="424">
        <f t="shared" si="2"/>
        <v>337920</v>
      </c>
      <c r="AG52" s="405" t="s">
        <v>1069</v>
      </c>
      <c r="AH52" s="405">
        <v>0</v>
      </c>
      <c r="AI52" s="405">
        <v>60</v>
      </c>
      <c r="AJ52" s="405" t="s">
        <v>1190</v>
      </c>
      <c r="AK52" s="405" t="s">
        <v>1191</v>
      </c>
      <c r="AL52" s="425">
        <v>43125</v>
      </c>
      <c r="AM52" s="405" t="s">
        <v>52</v>
      </c>
      <c r="AN52" s="405" t="s">
        <v>1071</v>
      </c>
      <c r="AO52" s="405"/>
      <c r="AP52" s="413"/>
      <c r="AQ52" s="413"/>
      <c r="AR52" s="405"/>
      <c r="AS52" s="368"/>
      <c r="AT52" s="386"/>
      <c r="AU52" s="386"/>
    </row>
    <row r="53" spans="1:47" s="402" customFormat="1">
      <c r="A53" s="426"/>
      <c r="B53" s="426" t="s">
        <v>1186</v>
      </c>
      <c r="C53" s="426" t="s">
        <v>1186</v>
      </c>
      <c r="D53" s="374" t="s">
        <v>1066</v>
      </c>
      <c r="E53" s="432" t="s">
        <v>1093</v>
      </c>
      <c r="F53" s="432"/>
      <c r="G53" s="432"/>
      <c r="H53" s="432"/>
      <c r="I53" s="432" t="s">
        <v>1498</v>
      </c>
      <c r="J53" s="433"/>
      <c r="K53" s="432" t="s">
        <v>3892</v>
      </c>
      <c r="L53" s="433" t="s">
        <v>1189</v>
      </c>
      <c r="M53" s="433">
        <v>44635</v>
      </c>
      <c r="N53" s="433">
        <v>44805</v>
      </c>
      <c r="O53" s="433"/>
      <c r="P53" s="433"/>
      <c r="Q53" s="433"/>
      <c r="R53" s="433"/>
      <c r="S53" s="432" t="s">
        <v>1107</v>
      </c>
      <c r="T53" s="432">
        <v>60</v>
      </c>
      <c r="U53" s="432"/>
      <c r="V53" s="432" t="s">
        <v>973</v>
      </c>
      <c r="W53" s="436">
        <v>400</v>
      </c>
      <c r="X53" s="372">
        <v>1536</v>
      </c>
      <c r="Y53" s="408">
        <f t="shared" si="7"/>
        <v>614400</v>
      </c>
      <c r="Z53" s="409">
        <v>0.55000000000000004</v>
      </c>
      <c r="AA53" s="410">
        <f t="shared" si="4"/>
        <v>337920</v>
      </c>
      <c r="AB53" s="411"/>
      <c r="AC53" s="412">
        <f t="shared" si="5"/>
        <v>0</v>
      </c>
      <c r="AD53" s="421"/>
      <c r="AE53" s="413"/>
      <c r="AF53" s="424">
        <f t="shared" si="2"/>
        <v>337920</v>
      </c>
      <c r="AG53" s="405" t="s">
        <v>1069</v>
      </c>
      <c r="AH53" s="405">
        <v>0</v>
      </c>
      <c r="AI53" s="405">
        <v>60</v>
      </c>
      <c r="AJ53" s="405" t="s">
        <v>1190</v>
      </c>
      <c r="AK53" s="405" t="s">
        <v>1191</v>
      </c>
      <c r="AL53" s="425">
        <v>43125</v>
      </c>
      <c r="AM53" s="405" t="s">
        <v>52</v>
      </c>
      <c r="AN53" s="405" t="s">
        <v>1071</v>
      </c>
      <c r="AO53" s="405"/>
      <c r="AP53" s="413"/>
      <c r="AQ53" s="413"/>
      <c r="AR53" s="405"/>
      <c r="AS53" s="368"/>
      <c r="AT53" s="386"/>
      <c r="AU53" s="386"/>
    </row>
    <row r="54" spans="1:47" s="402" customFormat="1">
      <c r="A54" s="426"/>
      <c r="B54" s="426" t="s">
        <v>1186</v>
      </c>
      <c r="C54" s="426" t="s">
        <v>1186</v>
      </c>
      <c r="D54" s="374" t="s">
        <v>1066</v>
      </c>
      <c r="E54" s="432" t="s">
        <v>1093</v>
      </c>
      <c r="F54" s="432"/>
      <c r="G54" s="432"/>
      <c r="H54" s="432"/>
      <c r="I54" s="432" t="s">
        <v>1498</v>
      </c>
      <c r="J54" s="433"/>
      <c r="K54" s="432" t="s">
        <v>3893</v>
      </c>
      <c r="L54" s="433" t="s">
        <v>1189</v>
      </c>
      <c r="M54" s="433">
        <v>44635</v>
      </c>
      <c r="N54" s="433">
        <v>44835</v>
      </c>
      <c r="O54" s="433"/>
      <c r="P54" s="433"/>
      <c r="Q54" s="433"/>
      <c r="R54" s="433"/>
      <c r="S54" s="432" t="s">
        <v>1107</v>
      </c>
      <c r="T54" s="432">
        <v>60</v>
      </c>
      <c r="U54" s="432"/>
      <c r="V54" s="432" t="s">
        <v>973</v>
      </c>
      <c r="W54" s="436">
        <v>400</v>
      </c>
      <c r="X54" s="372">
        <v>1536</v>
      </c>
      <c r="Y54" s="408">
        <f t="shared" si="7"/>
        <v>614400</v>
      </c>
      <c r="Z54" s="409">
        <v>0.55000000000000004</v>
      </c>
      <c r="AA54" s="410">
        <f t="shared" si="4"/>
        <v>337920</v>
      </c>
      <c r="AB54" s="411"/>
      <c r="AC54" s="412">
        <f t="shared" si="5"/>
        <v>0</v>
      </c>
      <c r="AD54" s="421"/>
      <c r="AE54" s="413"/>
      <c r="AF54" s="424">
        <f t="shared" si="2"/>
        <v>337920</v>
      </c>
      <c r="AG54" s="405" t="s">
        <v>1069</v>
      </c>
      <c r="AH54" s="405">
        <v>0</v>
      </c>
      <c r="AI54" s="405">
        <v>60</v>
      </c>
      <c r="AJ54" s="405" t="s">
        <v>1190</v>
      </c>
      <c r="AK54" s="405" t="s">
        <v>1191</v>
      </c>
      <c r="AL54" s="425">
        <v>43125</v>
      </c>
      <c r="AM54" s="405" t="s">
        <v>52</v>
      </c>
      <c r="AN54" s="405" t="s">
        <v>1071</v>
      </c>
      <c r="AO54" s="405"/>
      <c r="AP54" s="413"/>
      <c r="AQ54" s="413"/>
      <c r="AR54" s="405"/>
      <c r="AS54" s="368"/>
      <c r="AT54" s="386"/>
      <c r="AU54" s="386"/>
    </row>
    <row r="55" spans="1:47" s="402" customFormat="1">
      <c r="A55" s="426"/>
      <c r="B55" s="426" t="s">
        <v>1186</v>
      </c>
      <c r="C55" s="426" t="s">
        <v>1186</v>
      </c>
      <c r="D55" s="374" t="s">
        <v>1066</v>
      </c>
      <c r="E55" s="432" t="s">
        <v>1093</v>
      </c>
      <c r="F55" s="432"/>
      <c r="G55" s="432"/>
      <c r="H55" s="432"/>
      <c r="I55" s="432" t="s">
        <v>1498</v>
      </c>
      <c r="J55" s="433"/>
      <c r="K55" s="432" t="s">
        <v>3894</v>
      </c>
      <c r="L55" s="433" t="s">
        <v>1189</v>
      </c>
      <c r="M55" s="433">
        <v>44635</v>
      </c>
      <c r="N55" s="433">
        <v>44866</v>
      </c>
      <c r="O55" s="433"/>
      <c r="P55" s="433"/>
      <c r="Q55" s="433"/>
      <c r="R55" s="433"/>
      <c r="S55" s="432" t="s">
        <v>1107</v>
      </c>
      <c r="T55" s="432">
        <v>60</v>
      </c>
      <c r="U55" s="432"/>
      <c r="V55" s="432" t="s">
        <v>973</v>
      </c>
      <c r="W55" s="436">
        <v>400</v>
      </c>
      <c r="X55" s="372">
        <v>1536</v>
      </c>
      <c r="Y55" s="408">
        <f t="shared" si="7"/>
        <v>614400</v>
      </c>
      <c r="Z55" s="409">
        <v>0.55000000000000004</v>
      </c>
      <c r="AA55" s="410">
        <f t="shared" si="4"/>
        <v>337920</v>
      </c>
      <c r="AB55" s="411"/>
      <c r="AC55" s="412">
        <f t="shared" si="5"/>
        <v>0</v>
      </c>
      <c r="AD55" s="421"/>
      <c r="AE55" s="413"/>
      <c r="AF55" s="424">
        <f t="shared" si="2"/>
        <v>337920</v>
      </c>
      <c r="AG55" s="405" t="s">
        <v>1069</v>
      </c>
      <c r="AH55" s="405">
        <v>0</v>
      </c>
      <c r="AI55" s="405">
        <v>60</v>
      </c>
      <c r="AJ55" s="405" t="s">
        <v>1190</v>
      </c>
      <c r="AK55" s="405" t="s">
        <v>1191</v>
      </c>
      <c r="AL55" s="425">
        <v>43125</v>
      </c>
      <c r="AM55" s="405" t="s">
        <v>52</v>
      </c>
      <c r="AN55" s="405" t="s">
        <v>1071</v>
      </c>
      <c r="AO55" s="405"/>
      <c r="AP55" s="413"/>
      <c r="AQ55" s="413"/>
      <c r="AR55" s="405"/>
      <c r="AS55" s="368"/>
      <c r="AT55" s="386"/>
      <c r="AU55" s="386"/>
    </row>
    <row r="56" spans="1:47" s="402" customFormat="1">
      <c r="A56" s="426"/>
      <c r="B56" s="426" t="s">
        <v>1186</v>
      </c>
      <c r="C56" s="426" t="s">
        <v>1186</v>
      </c>
      <c r="D56" s="374" t="s">
        <v>1066</v>
      </c>
      <c r="E56" s="432" t="s">
        <v>1093</v>
      </c>
      <c r="F56" s="432"/>
      <c r="G56" s="432"/>
      <c r="H56" s="432"/>
      <c r="I56" s="432" t="s">
        <v>1498</v>
      </c>
      <c r="J56" s="433"/>
      <c r="K56" s="432" t="s">
        <v>3895</v>
      </c>
      <c r="L56" s="433" t="s">
        <v>1189</v>
      </c>
      <c r="M56" s="433">
        <v>44635</v>
      </c>
      <c r="N56" s="433">
        <v>44896</v>
      </c>
      <c r="O56" s="433"/>
      <c r="P56" s="433"/>
      <c r="Q56" s="433"/>
      <c r="R56" s="433"/>
      <c r="S56" s="432" t="s">
        <v>1107</v>
      </c>
      <c r="T56" s="432">
        <v>60</v>
      </c>
      <c r="U56" s="432"/>
      <c r="V56" s="432" t="s">
        <v>973</v>
      </c>
      <c r="W56" s="436">
        <v>400</v>
      </c>
      <c r="X56" s="372">
        <v>1536</v>
      </c>
      <c r="Y56" s="408">
        <f t="shared" si="7"/>
        <v>614400</v>
      </c>
      <c r="Z56" s="409">
        <v>0.55000000000000004</v>
      </c>
      <c r="AA56" s="410">
        <f t="shared" si="4"/>
        <v>337920</v>
      </c>
      <c r="AB56" s="411"/>
      <c r="AC56" s="412">
        <f t="shared" si="5"/>
        <v>0</v>
      </c>
      <c r="AD56" s="421"/>
      <c r="AE56" s="413"/>
      <c r="AF56" s="424">
        <f t="shared" si="2"/>
        <v>337920</v>
      </c>
      <c r="AG56" s="405" t="s">
        <v>1069</v>
      </c>
      <c r="AH56" s="405">
        <v>0</v>
      </c>
      <c r="AI56" s="405">
        <v>60</v>
      </c>
      <c r="AJ56" s="405" t="s">
        <v>1190</v>
      </c>
      <c r="AK56" s="405" t="s">
        <v>1191</v>
      </c>
      <c r="AL56" s="425">
        <v>43125</v>
      </c>
      <c r="AM56" s="405" t="s">
        <v>52</v>
      </c>
      <c r="AN56" s="405" t="s">
        <v>1071</v>
      </c>
      <c r="AO56" s="405"/>
      <c r="AP56" s="413"/>
      <c r="AQ56" s="413"/>
      <c r="AR56" s="405"/>
      <c r="AS56" s="368"/>
      <c r="AT56" s="386"/>
      <c r="AU56" s="386"/>
    </row>
    <row r="57" spans="1:47" s="402" customFormat="1">
      <c r="A57" s="426"/>
      <c r="B57" s="426" t="s">
        <v>1186</v>
      </c>
      <c r="C57" s="426" t="s">
        <v>1186</v>
      </c>
      <c r="D57" s="374" t="s">
        <v>1066</v>
      </c>
      <c r="E57" s="432" t="s">
        <v>1093</v>
      </c>
      <c r="F57" s="432"/>
      <c r="G57" s="432"/>
      <c r="H57" s="432"/>
      <c r="I57" s="432" t="s">
        <v>1498</v>
      </c>
      <c r="J57" s="433"/>
      <c r="K57" s="432" t="s">
        <v>4422</v>
      </c>
      <c r="L57" s="433" t="s">
        <v>1189</v>
      </c>
      <c r="M57" s="433">
        <v>44678</v>
      </c>
      <c r="N57" s="433">
        <v>44713</v>
      </c>
      <c r="O57" s="433"/>
      <c r="P57" s="433"/>
      <c r="Q57" s="433"/>
      <c r="R57" s="433"/>
      <c r="S57" s="432" t="s">
        <v>1107</v>
      </c>
      <c r="T57" s="432">
        <v>60</v>
      </c>
      <c r="U57" s="432"/>
      <c r="V57" s="432" t="s">
        <v>973</v>
      </c>
      <c r="W57" s="436">
        <v>410</v>
      </c>
      <c r="X57" s="372">
        <v>2304</v>
      </c>
      <c r="Y57" s="408">
        <f t="shared" si="7"/>
        <v>944640</v>
      </c>
      <c r="Z57" s="409">
        <v>0.64</v>
      </c>
      <c r="AA57" s="410">
        <f t="shared" si="4"/>
        <v>604569.59999999998</v>
      </c>
      <c r="AB57" s="411"/>
      <c r="AC57" s="412">
        <f t="shared" si="5"/>
        <v>0</v>
      </c>
      <c r="AD57" s="421"/>
      <c r="AE57" s="413"/>
      <c r="AF57" s="424">
        <f t="shared" si="2"/>
        <v>604569.59999999998</v>
      </c>
      <c r="AG57" s="405" t="s">
        <v>1069</v>
      </c>
      <c r="AH57" s="405">
        <v>0</v>
      </c>
      <c r="AI57" s="405">
        <v>60</v>
      </c>
      <c r="AJ57" s="405" t="s">
        <v>1190</v>
      </c>
      <c r="AK57" s="405" t="s">
        <v>1191</v>
      </c>
      <c r="AL57" s="425">
        <v>43125</v>
      </c>
      <c r="AM57" s="405" t="s">
        <v>52</v>
      </c>
      <c r="AN57" s="405" t="s">
        <v>1071</v>
      </c>
      <c r="AO57" s="405"/>
      <c r="AP57" s="413"/>
      <c r="AQ57" s="413"/>
      <c r="AR57" s="405"/>
      <c r="AS57" s="368"/>
      <c r="AT57" s="386"/>
      <c r="AU57" s="386"/>
    </row>
    <row r="58" spans="1:47" s="402" customFormat="1">
      <c r="A58" s="426"/>
      <c r="B58" s="426" t="s">
        <v>1186</v>
      </c>
      <c r="C58" s="426" t="s">
        <v>1186</v>
      </c>
      <c r="D58" s="374" t="s">
        <v>1066</v>
      </c>
      <c r="E58" s="432" t="s">
        <v>1093</v>
      </c>
      <c r="F58" s="432"/>
      <c r="G58" s="432"/>
      <c r="H58" s="432"/>
      <c r="I58" s="432" t="s">
        <v>1498</v>
      </c>
      <c r="J58" s="433"/>
      <c r="K58" s="432" t="s">
        <v>4423</v>
      </c>
      <c r="L58" s="433" t="s">
        <v>1189</v>
      </c>
      <c r="M58" s="433">
        <v>44678</v>
      </c>
      <c r="N58" s="433">
        <v>44743</v>
      </c>
      <c r="O58" s="433"/>
      <c r="P58" s="433"/>
      <c r="Q58" s="433"/>
      <c r="R58" s="433"/>
      <c r="S58" s="432" t="s">
        <v>1107</v>
      </c>
      <c r="T58" s="432">
        <v>60</v>
      </c>
      <c r="U58" s="432"/>
      <c r="V58" s="432" t="s">
        <v>973</v>
      </c>
      <c r="W58" s="436">
        <v>410</v>
      </c>
      <c r="X58" s="372">
        <v>2304</v>
      </c>
      <c r="Y58" s="408">
        <f t="shared" si="7"/>
        <v>944640</v>
      </c>
      <c r="Z58" s="409">
        <v>0.64</v>
      </c>
      <c r="AA58" s="410">
        <f t="shared" si="4"/>
        <v>604569.59999999998</v>
      </c>
      <c r="AB58" s="411"/>
      <c r="AC58" s="412">
        <f t="shared" si="5"/>
        <v>0</v>
      </c>
      <c r="AD58" s="421"/>
      <c r="AE58" s="413"/>
      <c r="AF58" s="424">
        <f t="shared" si="2"/>
        <v>604569.59999999998</v>
      </c>
      <c r="AG58" s="405" t="s">
        <v>1069</v>
      </c>
      <c r="AH58" s="405">
        <v>0</v>
      </c>
      <c r="AI58" s="405">
        <v>60</v>
      </c>
      <c r="AJ58" s="405" t="s">
        <v>1190</v>
      </c>
      <c r="AK58" s="405" t="s">
        <v>1191</v>
      </c>
      <c r="AL58" s="425">
        <v>43125</v>
      </c>
      <c r="AM58" s="405" t="s">
        <v>52</v>
      </c>
      <c r="AN58" s="405" t="s">
        <v>1071</v>
      </c>
      <c r="AO58" s="405"/>
      <c r="AP58" s="413"/>
      <c r="AQ58" s="413"/>
      <c r="AR58" s="405"/>
      <c r="AS58" s="368"/>
      <c r="AT58" s="386"/>
      <c r="AU58" s="386"/>
    </row>
    <row r="59" spans="1:47" s="402" customFormat="1">
      <c r="A59" s="426"/>
      <c r="B59" s="426" t="s">
        <v>1186</v>
      </c>
      <c r="C59" s="426" t="s">
        <v>1186</v>
      </c>
      <c r="D59" s="374" t="s">
        <v>1066</v>
      </c>
      <c r="E59" s="432" t="s">
        <v>1093</v>
      </c>
      <c r="F59" s="432"/>
      <c r="G59" s="432"/>
      <c r="H59" s="432"/>
      <c r="I59" s="432" t="s">
        <v>1498</v>
      </c>
      <c r="J59" s="433"/>
      <c r="K59" s="432" t="s">
        <v>4424</v>
      </c>
      <c r="L59" s="433" t="s">
        <v>1189</v>
      </c>
      <c r="M59" s="433">
        <v>44678</v>
      </c>
      <c r="N59" s="433">
        <v>44774</v>
      </c>
      <c r="O59" s="433"/>
      <c r="P59" s="433"/>
      <c r="Q59" s="433"/>
      <c r="R59" s="433"/>
      <c r="S59" s="432" t="s">
        <v>1107</v>
      </c>
      <c r="T59" s="432">
        <v>60</v>
      </c>
      <c r="U59" s="432"/>
      <c r="V59" s="432" t="s">
        <v>973</v>
      </c>
      <c r="W59" s="436">
        <v>410</v>
      </c>
      <c r="X59" s="372">
        <v>2304</v>
      </c>
      <c r="Y59" s="408">
        <f t="shared" si="7"/>
        <v>944640</v>
      </c>
      <c r="Z59" s="409">
        <v>0.64</v>
      </c>
      <c r="AA59" s="410">
        <f t="shared" si="4"/>
        <v>604569.59999999998</v>
      </c>
      <c r="AB59" s="411"/>
      <c r="AC59" s="412">
        <f t="shared" si="5"/>
        <v>0</v>
      </c>
      <c r="AD59" s="421"/>
      <c r="AE59" s="413"/>
      <c r="AF59" s="424">
        <f t="shared" si="2"/>
        <v>604569.59999999998</v>
      </c>
      <c r="AG59" s="405" t="s">
        <v>1069</v>
      </c>
      <c r="AH59" s="405">
        <v>0</v>
      </c>
      <c r="AI59" s="405">
        <v>60</v>
      </c>
      <c r="AJ59" s="405" t="s">
        <v>1190</v>
      </c>
      <c r="AK59" s="405" t="s">
        <v>1191</v>
      </c>
      <c r="AL59" s="425">
        <v>43125</v>
      </c>
      <c r="AM59" s="405" t="s">
        <v>52</v>
      </c>
      <c r="AN59" s="405" t="s">
        <v>1071</v>
      </c>
      <c r="AO59" s="405"/>
      <c r="AP59" s="413"/>
      <c r="AQ59" s="413"/>
      <c r="AR59" s="405"/>
      <c r="AS59" s="368"/>
      <c r="AT59" s="386"/>
      <c r="AU59" s="386"/>
    </row>
    <row r="60" spans="1:47" s="402" customFormat="1">
      <c r="A60" s="426"/>
      <c r="B60" s="426" t="s">
        <v>1186</v>
      </c>
      <c r="C60" s="426" t="s">
        <v>1186</v>
      </c>
      <c r="D60" s="374" t="s">
        <v>1066</v>
      </c>
      <c r="E60" s="432" t="s">
        <v>1093</v>
      </c>
      <c r="F60" s="432"/>
      <c r="G60" s="432"/>
      <c r="H60" s="432"/>
      <c r="I60" s="432" t="s">
        <v>1498</v>
      </c>
      <c r="J60" s="433"/>
      <c r="K60" s="432" t="s">
        <v>4425</v>
      </c>
      <c r="L60" s="433" t="s">
        <v>1189</v>
      </c>
      <c r="M60" s="433">
        <v>44678</v>
      </c>
      <c r="N60" s="433">
        <v>44805</v>
      </c>
      <c r="O60" s="433"/>
      <c r="P60" s="433"/>
      <c r="Q60" s="433"/>
      <c r="R60" s="433"/>
      <c r="S60" s="432" t="s">
        <v>1107</v>
      </c>
      <c r="T60" s="432">
        <v>60</v>
      </c>
      <c r="U60" s="432"/>
      <c r="V60" s="432" t="s">
        <v>973</v>
      </c>
      <c r="W60" s="436">
        <v>410</v>
      </c>
      <c r="X60" s="372">
        <v>2304</v>
      </c>
      <c r="Y60" s="408">
        <f t="shared" si="7"/>
        <v>944640</v>
      </c>
      <c r="Z60" s="409">
        <v>0.64</v>
      </c>
      <c r="AA60" s="410">
        <f t="shared" si="4"/>
        <v>604569.59999999998</v>
      </c>
      <c r="AB60" s="411"/>
      <c r="AC60" s="412">
        <f t="shared" si="5"/>
        <v>0</v>
      </c>
      <c r="AD60" s="421"/>
      <c r="AE60" s="413"/>
      <c r="AF60" s="424">
        <f t="shared" si="2"/>
        <v>604569.59999999998</v>
      </c>
      <c r="AG60" s="405" t="s">
        <v>1069</v>
      </c>
      <c r="AH60" s="405">
        <v>0</v>
      </c>
      <c r="AI60" s="405">
        <v>60</v>
      </c>
      <c r="AJ60" s="405" t="s">
        <v>1190</v>
      </c>
      <c r="AK60" s="405" t="s">
        <v>1191</v>
      </c>
      <c r="AL60" s="425">
        <v>43125</v>
      </c>
      <c r="AM60" s="405" t="s">
        <v>52</v>
      </c>
      <c r="AN60" s="405" t="s">
        <v>1071</v>
      </c>
      <c r="AO60" s="405"/>
      <c r="AP60" s="413"/>
      <c r="AQ60" s="413"/>
      <c r="AR60" s="405"/>
      <c r="AS60" s="368"/>
      <c r="AT60" s="386"/>
      <c r="AU60" s="386"/>
    </row>
    <row r="61" spans="1:47" s="402" customFormat="1">
      <c r="A61" s="426"/>
      <c r="B61" s="426" t="s">
        <v>1186</v>
      </c>
      <c r="C61" s="426" t="s">
        <v>1186</v>
      </c>
      <c r="D61" s="374" t="s">
        <v>1066</v>
      </c>
      <c r="E61" s="432" t="s">
        <v>1093</v>
      </c>
      <c r="F61" s="432"/>
      <c r="G61" s="432"/>
      <c r="H61" s="432"/>
      <c r="I61" s="432" t="s">
        <v>1498</v>
      </c>
      <c r="J61" s="433"/>
      <c r="K61" s="432" t="s">
        <v>4426</v>
      </c>
      <c r="L61" s="433" t="s">
        <v>1189</v>
      </c>
      <c r="M61" s="433">
        <v>44678</v>
      </c>
      <c r="N61" s="433">
        <v>44835</v>
      </c>
      <c r="O61" s="433"/>
      <c r="P61" s="433"/>
      <c r="Q61" s="433"/>
      <c r="R61" s="433"/>
      <c r="S61" s="432" t="s">
        <v>1107</v>
      </c>
      <c r="T61" s="432">
        <v>60</v>
      </c>
      <c r="U61" s="432"/>
      <c r="V61" s="432" t="s">
        <v>973</v>
      </c>
      <c r="W61" s="436">
        <v>410</v>
      </c>
      <c r="X61" s="372">
        <v>2304</v>
      </c>
      <c r="Y61" s="408">
        <f t="shared" si="7"/>
        <v>944640</v>
      </c>
      <c r="Z61" s="409">
        <v>0.64</v>
      </c>
      <c r="AA61" s="410">
        <f t="shared" si="4"/>
        <v>604569.59999999998</v>
      </c>
      <c r="AB61" s="411"/>
      <c r="AC61" s="412">
        <f t="shared" si="5"/>
        <v>0</v>
      </c>
      <c r="AD61" s="421"/>
      <c r="AE61" s="413"/>
      <c r="AF61" s="424">
        <f t="shared" si="2"/>
        <v>604569.59999999998</v>
      </c>
      <c r="AG61" s="405" t="s">
        <v>1069</v>
      </c>
      <c r="AH61" s="405">
        <v>0</v>
      </c>
      <c r="AI61" s="405">
        <v>60</v>
      </c>
      <c r="AJ61" s="405" t="s">
        <v>1190</v>
      </c>
      <c r="AK61" s="405" t="s">
        <v>1191</v>
      </c>
      <c r="AL61" s="425">
        <v>43125</v>
      </c>
      <c r="AM61" s="405" t="s">
        <v>52</v>
      </c>
      <c r="AN61" s="405" t="s">
        <v>1071</v>
      </c>
      <c r="AO61" s="405"/>
      <c r="AP61" s="413"/>
      <c r="AQ61" s="413"/>
      <c r="AR61" s="405"/>
      <c r="AS61" s="368"/>
      <c r="AT61" s="386"/>
      <c r="AU61" s="386"/>
    </row>
    <row r="62" spans="1:47" s="402" customFormat="1">
      <c r="A62" s="426"/>
      <c r="B62" s="426" t="s">
        <v>1186</v>
      </c>
      <c r="C62" s="426" t="s">
        <v>1186</v>
      </c>
      <c r="D62" s="374" t="s">
        <v>1066</v>
      </c>
      <c r="E62" s="432" t="s">
        <v>1093</v>
      </c>
      <c r="F62" s="432"/>
      <c r="G62" s="432"/>
      <c r="H62" s="432"/>
      <c r="I62" s="432" t="s">
        <v>1498</v>
      </c>
      <c r="J62" s="433"/>
      <c r="K62" s="432" t="s">
        <v>4427</v>
      </c>
      <c r="L62" s="433" t="s">
        <v>1189</v>
      </c>
      <c r="M62" s="433">
        <v>44678</v>
      </c>
      <c r="N62" s="433">
        <v>44866</v>
      </c>
      <c r="O62" s="433"/>
      <c r="P62" s="433"/>
      <c r="Q62" s="433"/>
      <c r="R62" s="433"/>
      <c r="S62" s="432" t="s">
        <v>1107</v>
      </c>
      <c r="T62" s="432">
        <v>60</v>
      </c>
      <c r="U62" s="432"/>
      <c r="V62" s="432" t="s">
        <v>973</v>
      </c>
      <c r="W62" s="436">
        <v>410</v>
      </c>
      <c r="X62" s="372">
        <v>1536</v>
      </c>
      <c r="Y62" s="408">
        <f t="shared" si="7"/>
        <v>629760</v>
      </c>
      <c r="Z62" s="409">
        <v>0.64</v>
      </c>
      <c r="AA62" s="410">
        <f t="shared" si="4"/>
        <v>403046.40000000002</v>
      </c>
      <c r="AB62" s="411"/>
      <c r="AC62" s="412">
        <f t="shared" si="5"/>
        <v>0</v>
      </c>
      <c r="AD62" s="421"/>
      <c r="AE62" s="413"/>
      <c r="AF62" s="424">
        <f t="shared" si="2"/>
        <v>403046.40000000002</v>
      </c>
      <c r="AG62" s="405" t="s">
        <v>1069</v>
      </c>
      <c r="AH62" s="405">
        <v>0</v>
      </c>
      <c r="AI62" s="405">
        <v>60</v>
      </c>
      <c r="AJ62" s="405" t="s">
        <v>1190</v>
      </c>
      <c r="AK62" s="405" t="s">
        <v>1191</v>
      </c>
      <c r="AL62" s="425">
        <v>43125</v>
      </c>
      <c r="AM62" s="405" t="s">
        <v>52</v>
      </c>
      <c r="AN62" s="405" t="s">
        <v>1071</v>
      </c>
      <c r="AO62" s="405"/>
      <c r="AP62" s="413"/>
      <c r="AQ62" s="413"/>
      <c r="AR62" s="405"/>
      <c r="AS62" s="368"/>
      <c r="AT62" s="386"/>
      <c r="AU62" s="386"/>
    </row>
    <row r="63" spans="1:47" s="402" customFormat="1">
      <c r="A63" s="426"/>
      <c r="B63" s="426" t="s">
        <v>1186</v>
      </c>
      <c r="C63" s="426" t="s">
        <v>1186</v>
      </c>
      <c r="D63" s="374" t="s">
        <v>1066</v>
      </c>
      <c r="E63" s="432" t="s">
        <v>1093</v>
      </c>
      <c r="F63" s="432"/>
      <c r="G63" s="432"/>
      <c r="H63" s="432"/>
      <c r="I63" s="432" t="s">
        <v>1498</v>
      </c>
      <c r="J63" s="433"/>
      <c r="K63" s="432" t="s">
        <v>4428</v>
      </c>
      <c r="L63" s="433" t="s">
        <v>1189</v>
      </c>
      <c r="M63" s="433">
        <v>44678</v>
      </c>
      <c r="N63" s="433">
        <v>44896</v>
      </c>
      <c r="O63" s="433"/>
      <c r="P63" s="433"/>
      <c r="Q63" s="433"/>
      <c r="R63" s="433"/>
      <c r="S63" s="432" t="s">
        <v>1107</v>
      </c>
      <c r="T63" s="432">
        <v>60</v>
      </c>
      <c r="U63" s="432"/>
      <c r="V63" s="432" t="s">
        <v>973</v>
      </c>
      <c r="W63" s="436">
        <v>410</v>
      </c>
      <c r="X63" s="372">
        <v>1536</v>
      </c>
      <c r="Y63" s="408">
        <f t="shared" si="7"/>
        <v>629760</v>
      </c>
      <c r="Z63" s="409">
        <v>0.64</v>
      </c>
      <c r="AA63" s="410">
        <f t="shared" si="4"/>
        <v>403046.40000000002</v>
      </c>
      <c r="AB63" s="411"/>
      <c r="AC63" s="412">
        <f t="shared" si="5"/>
        <v>0</v>
      </c>
      <c r="AD63" s="421"/>
      <c r="AE63" s="413"/>
      <c r="AF63" s="424">
        <f t="shared" si="2"/>
        <v>403046.40000000002</v>
      </c>
      <c r="AG63" s="405" t="s">
        <v>1069</v>
      </c>
      <c r="AH63" s="405">
        <v>0</v>
      </c>
      <c r="AI63" s="405">
        <v>60</v>
      </c>
      <c r="AJ63" s="405" t="s">
        <v>1190</v>
      </c>
      <c r="AK63" s="405" t="s">
        <v>1191</v>
      </c>
      <c r="AL63" s="425">
        <v>43125</v>
      </c>
      <c r="AM63" s="405" t="s">
        <v>52</v>
      </c>
      <c r="AN63" s="405" t="s">
        <v>1071</v>
      </c>
      <c r="AO63" s="405"/>
      <c r="AP63" s="413"/>
      <c r="AQ63" s="413"/>
      <c r="AR63" s="405"/>
      <c r="AS63" s="368"/>
      <c r="AT63" s="386"/>
      <c r="AU63" s="386"/>
    </row>
    <row r="64" spans="1:47" s="402" customFormat="1">
      <c r="A64" s="426"/>
      <c r="B64" s="426" t="s">
        <v>1186</v>
      </c>
      <c r="C64" s="426" t="s">
        <v>1186</v>
      </c>
      <c r="D64" s="374" t="s">
        <v>1066</v>
      </c>
      <c r="E64" s="432" t="s">
        <v>1093</v>
      </c>
      <c r="F64" s="432"/>
      <c r="G64" s="432"/>
      <c r="H64" s="432"/>
      <c r="I64" s="432" t="s">
        <v>1498</v>
      </c>
      <c r="J64" s="433"/>
      <c r="K64" s="432" t="s">
        <v>4948</v>
      </c>
      <c r="L64" s="433" t="s">
        <v>1189</v>
      </c>
      <c r="M64" s="433">
        <v>44694</v>
      </c>
      <c r="N64" s="433">
        <v>44743</v>
      </c>
      <c r="O64" s="433"/>
      <c r="P64" s="433"/>
      <c r="Q64" s="433"/>
      <c r="R64" s="433"/>
      <c r="S64" s="432" t="s">
        <v>1107</v>
      </c>
      <c r="T64" s="432">
        <v>60</v>
      </c>
      <c r="U64" s="432"/>
      <c r="V64" s="432" t="s">
        <v>986</v>
      </c>
      <c r="W64" s="436">
        <v>365</v>
      </c>
      <c r="X64" s="372">
        <v>832</v>
      </c>
      <c r="Y64" s="408">
        <f t="shared" si="7"/>
        <v>303680</v>
      </c>
      <c r="Z64" s="409">
        <v>0.62</v>
      </c>
      <c r="AA64" s="410">
        <f t="shared" si="4"/>
        <v>188281.60000000001</v>
      </c>
      <c r="AB64" s="411"/>
      <c r="AC64" s="412">
        <f t="shared" si="5"/>
        <v>0</v>
      </c>
      <c r="AD64" s="421"/>
      <c r="AE64" s="413"/>
      <c r="AF64" s="424">
        <f t="shared" si="2"/>
        <v>188281.60000000001</v>
      </c>
      <c r="AG64" s="405" t="s">
        <v>1069</v>
      </c>
      <c r="AH64" s="405">
        <v>0</v>
      </c>
      <c r="AI64" s="405">
        <v>60</v>
      </c>
      <c r="AJ64" s="405" t="s">
        <v>1190</v>
      </c>
      <c r="AK64" s="405" t="s">
        <v>1191</v>
      </c>
      <c r="AL64" s="425">
        <v>43125</v>
      </c>
      <c r="AM64" s="405" t="s">
        <v>52</v>
      </c>
      <c r="AN64" s="405" t="s">
        <v>1071</v>
      </c>
      <c r="AO64" s="405"/>
      <c r="AP64" s="413"/>
      <c r="AQ64" s="413"/>
      <c r="AR64" s="405"/>
      <c r="AS64" s="368"/>
      <c r="AT64" s="386"/>
      <c r="AU64" s="386"/>
    </row>
    <row r="65" spans="1:47" s="402" customFormat="1">
      <c r="A65" s="426"/>
      <c r="B65" s="426" t="s">
        <v>1186</v>
      </c>
      <c r="C65" s="426" t="s">
        <v>1186</v>
      </c>
      <c r="D65" s="374" t="s">
        <v>1066</v>
      </c>
      <c r="E65" s="432" t="s">
        <v>1093</v>
      </c>
      <c r="F65" s="432"/>
      <c r="G65" s="432"/>
      <c r="H65" s="432"/>
      <c r="I65" s="432" t="s">
        <v>1498</v>
      </c>
      <c r="J65" s="433"/>
      <c r="K65" s="432" t="s">
        <v>4949</v>
      </c>
      <c r="L65" s="433" t="s">
        <v>1189</v>
      </c>
      <c r="M65" s="433">
        <v>44694</v>
      </c>
      <c r="N65" s="433">
        <v>44774</v>
      </c>
      <c r="O65" s="433"/>
      <c r="P65" s="433"/>
      <c r="Q65" s="433"/>
      <c r="R65" s="433"/>
      <c r="S65" s="432" t="s">
        <v>1107</v>
      </c>
      <c r="T65" s="432">
        <v>60</v>
      </c>
      <c r="U65" s="432"/>
      <c r="V65" s="432" t="s">
        <v>986</v>
      </c>
      <c r="W65" s="436">
        <v>365</v>
      </c>
      <c r="X65" s="372">
        <v>832</v>
      </c>
      <c r="Y65" s="408">
        <f t="shared" si="7"/>
        <v>303680</v>
      </c>
      <c r="Z65" s="409">
        <v>0.62</v>
      </c>
      <c r="AA65" s="410">
        <f t="shared" si="4"/>
        <v>188281.60000000001</v>
      </c>
      <c r="AB65" s="411"/>
      <c r="AC65" s="412">
        <f t="shared" si="5"/>
        <v>0</v>
      </c>
      <c r="AD65" s="421"/>
      <c r="AE65" s="413"/>
      <c r="AF65" s="424">
        <f t="shared" si="2"/>
        <v>188281.60000000001</v>
      </c>
      <c r="AG65" s="405" t="s">
        <v>1069</v>
      </c>
      <c r="AH65" s="405">
        <v>0</v>
      </c>
      <c r="AI65" s="405">
        <v>60</v>
      </c>
      <c r="AJ65" s="405" t="s">
        <v>1190</v>
      </c>
      <c r="AK65" s="405" t="s">
        <v>1191</v>
      </c>
      <c r="AL65" s="425">
        <v>43125</v>
      </c>
      <c r="AM65" s="405" t="s">
        <v>52</v>
      </c>
      <c r="AN65" s="405" t="s">
        <v>1071</v>
      </c>
      <c r="AO65" s="405"/>
      <c r="AP65" s="413"/>
      <c r="AQ65" s="413"/>
      <c r="AR65" s="405"/>
      <c r="AS65" s="368"/>
      <c r="AT65" s="386"/>
      <c r="AU65" s="386"/>
    </row>
    <row r="66" spans="1:47" s="402" customFormat="1">
      <c r="A66" s="426"/>
      <c r="B66" s="426" t="s">
        <v>1186</v>
      </c>
      <c r="C66" s="426" t="s">
        <v>1186</v>
      </c>
      <c r="D66" s="374" t="s">
        <v>1066</v>
      </c>
      <c r="E66" s="432" t="s">
        <v>1093</v>
      </c>
      <c r="F66" s="432"/>
      <c r="G66" s="432"/>
      <c r="H66" s="432"/>
      <c r="I66" s="432" t="s">
        <v>1498</v>
      </c>
      <c r="J66" s="433"/>
      <c r="K66" s="432" t="s">
        <v>4950</v>
      </c>
      <c r="L66" s="433" t="s">
        <v>1189</v>
      </c>
      <c r="M66" s="433">
        <v>44694</v>
      </c>
      <c r="N66" s="433">
        <v>44805</v>
      </c>
      <c r="O66" s="433"/>
      <c r="P66" s="433"/>
      <c r="Q66" s="433"/>
      <c r="R66" s="433"/>
      <c r="S66" s="432" t="s">
        <v>1107</v>
      </c>
      <c r="T66" s="432">
        <v>60</v>
      </c>
      <c r="U66" s="432"/>
      <c r="V66" s="432" t="s">
        <v>986</v>
      </c>
      <c r="W66" s="436">
        <v>365</v>
      </c>
      <c r="X66" s="372">
        <v>832</v>
      </c>
      <c r="Y66" s="408">
        <f t="shared" si="7"/>
        <v>303680</v>
      </c>
      <c r="Z66" s="409">
        <v>0.62</v>
      </c>
      <c r="AA66" s="410">
        <f t="shared" si="4"/>
        <v>188281.60000000001</v>
      </c>
      <c r="AB66" s="411"/>
      <c r="AC66" s="412">
        <f t="shared" si="5"/>
        <v>0</v>
      </c>
      <c r="AD66" s="421"/>
      <c r="AE66" s="413"/>
      <c r="AF66" s="424">
        <f t="shared" si="2"/>
        <v>188281.60000000001</v>
      </c>
      <c r="AG66" s="405" t="s">
        <v>1069</v>
      </c>
      <c r="AH66" s="405">
        <v>0</v>
      </c>
      <c r="AI66" s="405">
        <v>60</v>
      </c>
      <c r="AJ66" s="405" t="s">
        <v>1190</v>
      </c>
      <c r="AK66" s="405" t="s">
        <v>1191</v>
      </c>
      <c r="AL66" s="425">
        <v>43125</v>
      </c>
      <c r="AM66" s="405" t="s">
        <v>52</v>
      </c>
      <c r="AN66" s="405" t="s">
        <v>1071</v>
      </c>
      <c r="AO66" s="405"/>
      <c r="AP66" s="413"/>
      <c r="AQ66" s="413"/>
      <c r="AR66" s="405"/>
      <c r="AS66" s="368"/>
      <c r="AT66" s="386"/>
      <c r="AU66" s="386"/>
    </row>
    <row r="67" spans="1:47" s="402" customFormat="1">
      <c r="A67" s="426"/>
      <c r="B67" s="426" t="s">
        <v>1186</v>
      </c>
      <c r="C67" s="426" t="s">
        <v>1186</v>
      </c>
      <c r="D67" s="374" t="s">
        <v>1066</v>
      </c>
      <c r="E67" s="432" t="s">
        <v>1093</v>
      </c>
      <c r="F67" s="432"/>
      <c r="G67" s="432"/>
      <c r="H67" s="432"/>
      <c r="I67" s="432" t="s">
        <v>1498</v>
      </c>
      <c r="J67" s="433"/>
      <c r="K67" s="432" t="s">
        <v>4951</v>
      </c>
      <c r="L67" s="433" t="s">
        <v>1189</v>
      </c>
      <c r="M67" s="433">
        <v>44694</v>
      </c>
      <c r="N67" s="433">
        <v>44835</v>
      </c>
      <c r="O67" s="433"/>
      <c r="P67" s="433"/>
      <c r="Q67" s="433"/>
      <c r="R67" s="433"/>
      <c r="S67" s="432" t="s">
        <v>1107</v>
      </c>
      <c r="T67" s="432">
        <v>60</v>
      </c>
      <c r="U67" s="432"/>
      <c r="V67" s="432" t="s">
        <v>986</v>
      </c>
      <c r="W67" s="436">
        <v>365</v>
      </c>
      <c r="X67" s="372">
        <v>832</v>
      </c>
      <c r="Y67" s="408">
        <f t="shared" si="7"/>
        <v>303680</v>
      </c>
      <c r="Z67" s="409">
        <v>0.62</v>
      </c>
      <c r="AA67" s="410">
        <f t="shared" si="4"/>
        <v>188281.60000000001</v>
      </c>
      <c r="AB67" s="411"/>
      <c r="AC67" s="412">
        <f t="shared" si="5"/>
        <v>0</v>
      </c>
      <c r="AD67" s="421"/>
      <c r="AE67" s="413"/>
      <c r="AF67" s="424">
        <f t="shared" ref="AF67:AF121" si="8">AE67+AD67+AA67</f>
        <v>188281.60000000001</v>
      </c>
      <c r="AG67" s="405" t="s">
        <v>1069</v>
      </c>
      <c r="AH67" s="405">
        <v>0</v>
      </c>
      <c r="AI67" s="405">
        <v>60</v>
      </c>
      <c r="AJ67" s="405" t="s">
        <v>1190</v>
      </c>
      <c r="AK67" s="405" t="s">
        <v>1191</v>
      </c>
      <c r="AL67" s="425">
        <v>43125</v>
      </c>
      <c r="AM67" s="405" t="s">
        <v>52</v>
      </c>
      <c r="AN67" s="405" t="s">
        <v>1071</v>
      </c>
      <c r="AO67" s="405"/>
      <c r="AP67" s="413"/>
      <c r="AQ67" s="413"/>
      <c r="AR67" s="405"/>
      <c r="AS67" s="368"/>
      <c r="AT67" s="386"/>
      <c r="AU67" s="386"/>
    </row>
    <row r="68" spans="1:47" s="402" customFormat="1">
      <c r="A68" s="426"/>
      <c r="B68" s="426" t="s">
        <v>1186</v>
      </c>
      <c r="C68" s="426" t="s">
        <v>1186</v>
      </c>
      <c r="D68" s="374" t="s">
        <v>1066</v>
      </c>
      <c r="E68" s="432" t="s">
        <v>1093</v>
      </c>
      <c r="F68" s="432"/>
      <c r="G68" s="432"/>
      <c r="H68" s="432"/>
      <c r="I68" s="432" t="s">
        <v>1498</v>
      </c>
      <c r="J68" s="433"/>
      <c r="K68" s="432" t="s">
        <v>4952</v>
      </c>
      <c r="L68" s="433" t="s">
        <v>1189</v>
      </c>
      <c r="M68" s="433">
        <v>44694</v>
      </c>
      <c r="N68" s="433">
        <v>44866</v>
      </c>
      <c r="O68" s="433"/>
      <c r="P68" s="433"/>
      <c r="Q68" s="433"/>
      <c r="R68" s="433"/>
      <c r="S68" s="432" t="s">
        <v>1107</v>
      </c>
      <c r="T68" s="432">
        <v>60</v>
      </c>
      <c r="U68" s="432"/>
      <c r="V68" s="432" t="s">
        <v>986</v>
      </c>
      <c r="W68" s="436">
        <v>365</v>
      </c>
      <c r="X68" s="372">
        <v>1664</v>
      </c>
      <c r="Y68" s="408">
        <f t="shared" si="7"/>
        <v>607360</v>
      </c>
      <c r="Z68" s="409">
        <v>0.62</v>
      </c>
      <c r="AA68" s="410">
        <f t="shared" si="4"/>
        <v>376563.20000000001</v>
      </c>
      <c r="AB68" s="411"/>
      <c r="AC68" s="412">
        <f t="shared" si="5"/>
        <v>0</v>
      </c>
      <c r="AD68" s="421"/>
      <c r="AE68" s="413"/>
      <c r="AF68" s="424">
        <f t="shared" si="8"/>
        <v>376563.20000000001</v>
      </c>
      <c r="AG68" s="405" t="s">
        <v>1069</v>
      </c>
      <c r="AH68" s="405">
        <v>0</v>
      </c>
      <c r="AI68" s="405">
        <v>60</v>
      </c>
      <c r="AJ68" s="405" t="s">
        <v>1190</v>
      </c>
      <c r="AK68" s="405" t="s">
        <v>1191</v>
      </c>
      <c r="AL68" s="425">
        <v>43125</v>
      </c>
      <c r="AM68" s="405" t="s">
        <v>52</v>
      </c>
      <c r="AN68" s="405" t="s">
        <v>1071</v>
      </c>
      <c r="AO68" s="405"/>
      <c r="AP68" s="413"/>
      <c r="AQ68" s="413"/>
      <c r="AR68" s="405"/>
      <c r="AS68" s="368"/>
      <c r="AT68" s="386"/>
      <c r="AU68" s="386"/>
    </row>
    <row r="69" spans="1:47" s="402" customFormat="1">
      <c r="A69" s="426"/>
      <c r="B69" s="376">
        <v>44631</v>
      </c>
      <c r="C69" s="426" t="s">
        <v>1186</v>
      </c>
      <c r="D69" s="374" t="s">
        <v>1066</v>
      </c>
      <c r="E69" s="432" t="s">
        <v>1093</v>
      </c>
      <c r="F69" s="432"/>
      <c r="G69" s="432"/>
      <c r="H69" s="432"/>
      <c r="I69" s="432" t="s">
        <v>1498</v>
      </c>
      <c r="J69" s="433"/>
      <c r="K69" s="432" t="s">
        <v>3896</v>
      </c>
      <c r="L69" s="433" t="s">
        <v>1472</v>
      </c>
      <c r="M69" s="433">
        <v>44628</v>
      </c>
      <c r="N69" s="433">
        <v>44748</v>
      </c>
      <c r="O69" s="433"/>
      <c r="P69" s="433"/>
      <c r="Q69" s="433"/>
      <c r="R69" s="433"/>
      <c r="S69" s="432" t="s">
        <v>1067</v>
      </c>
      <c r="T69" s="432">
        <v>60</v>
      </c>
      <c r="U69" s="432"/>
      <c r="V69" s="432" t="s">
        <v>986</v>
      </c>
      <c r="W69" s="436">
        <v>360</v>
      </c>
      <c r="X69" s="372">
        <v>768</v>
      </c>
      <c r="Y69" s="408">
        <f t="shared" si="7"/>
        <v>276480</v>
      </c>
      <c r="Z69" s="409">
        <v>0.63</v>
      </c>
      <c r="AA69" s="410">
        <f t="shared" si="4"/>
        <v>174182.39999999999</v>
      </c>
      <c r="AB69" s="411"/>
      <c r="AC69" s="412">
        <f t="shared" si="5"/>
        <v>0</v>
      </c>
      <c r="AD69" s="421"/>
      <c r="AE69" s="413"/>
      <c r="AF69" s="424">
        <f t="shared" si="8"/>
        <v>174182.39999999999</v>
      </c>
      <c r="AG69" s="405" t="s">
        <v>1069</v>
      </c>
      <c r="AH69" s="405">
        <v>10</v>
      </c>
      <c r="AI69" s="405">
        <v>30</v>
      </c>
      <c r="AJ69" s="405" t="s">
        <v>1473</v>
      </c>
      <c r="AK69" s="405" t="s">
        <v>1092</v>
      </c>
      <c r="AL69" s="425">
        <v>2072</v>
      </c>
      <c r="AM69" s="405" t="s">
        <v>52</v>
      </c>
      <c r="AN69" s="405"/>
      <c r="AO69" s="405"/>
      <c r="AP69" s="413"/>
      <c r="AQ69" s="413" t="s">
        <v>1083</v>
      </c>
      <c r="AR69" s="405" t="s">
        <v>1188</v>
      </c>
      <c r="AS69" s="368" t="s">
        <v>1072</v>
      </c>
      <c r="AT69" s="386" t="s">
        <v>1084</v>
      </c>
      <c r="AU69" s="386" t="s">
        <v>1073</v>
      </c>
    </row>
    <row r="70" spans="1:47" s="402" customFormat="1">
      <c r="A70" s="426"/>
      <c r="B70" s="376">
        <v>44631</v>
      </c>
      <c r="C70" s="426" t="s">
        <v>1186</v>
      </c>
      <c r="D70" s="374" t="s">
        <v>1066</v>
      </c>
      <c r="E70" s="432" t="s">
        <v>1093</v>
      </c>
      <c r="F70" s="432"/>
      <c r="G70" s="432"/>
      <c r="H70" s="432"/>
      <c r="I70" s="432" t="s">
        <v>1498</v>
      </c>
      <c r="J70" s="433"/>
      <c r="K70" s="432" t="s">
        <v>3897</v>
      </c>
      <c r="L70" s="433" t="s">
        <v>1472</v>
      </c>
      <c r="M70" s="433">
        <v>44628</v>
      </c>
      <c r="N70" s="433">
        <v>44763</v>
      </c>
      <c r="O70" s="433"/>
      <c r="P70" s="433"/>
      <c r="Q70" s="433"/>
      <c r="R70" s="433"/>
      <c r="S70" s="432" t="s">
        <v>1067</v>
      </c>
      <c r="T70" s="432">
        <v>60</v>
      </c>
      <c r="U70" s="432"/>
      <c r="V70" s="432" t="s">
        <v>986</v>
      </c>
      <c r="W70" s="436">
        <v>360</v>
      </c>
      <c r="X70" s="372">
        <v>768</v>
      </c>
      <c r="Y70" s="408">
        <f t="shared" si="7"/>
        <v>276480</v>
      </c>
      <c r="Z70" s="409">
        <v>0.55000000000000004</v>
      </c>
      <c r="AA70" s="410">
        <f t="shared" si="4"/>
        <v>152064</v>
      </c>
      <c r="AB70" s="411"/>
      <c r="AC70" s="412">
        <f t="shared" si="5"/>
        <v>0</v>
      </c>
      <c r="AD70" s="421"/>
      <c r="AE70" s="413"/>
      <c r="AF70" s="424">
        <f t="shared" si="8"/>
        <v>152064</v>
      </c>
      <c r="AG70" s="405" t="s">
        <v>1069</v>
      </c>
      <c r="AH70" s="405">
        <v>10</v>
      </c>
      <c r="AI70" s="405">
        <v>30</v>
      </c>
      <c r="AJ70" s="405" t="s">
        <v>1500</v>
      </c>
      <c r="AK70" s="405" t="s">
        <v>1082</v>
      </c>
      <c r="AL70" s="425">
        <v>8512</v>
      </c>
      <c r="AM70" s="405" t="s">
        <v>52</v>
      </c>
      <c r="AN70" s="405"/>
      <c r="AO70" s="405"/>
      <c r="AP70" s="413"/>
      <c r="AQ70" s="413" t="s">
        <v>1083</v>
      </c>
      <c r="AR70" s="405" t="s">
        <v>1188</v>
      </c>
      <c r="AS70" s="368" t="s">
        <v>1072</v>
      </c>
      <c r="AT70" s="386" t="s">
        <v>1084</v>
      </c>
      <c r="AU70" s="386" t="s">
        <v>1073</v>
      </c>
    </row>
    <row r="71" spans="1:47" s="402" customFormat="1">
      <c r="A71" s="426"/>
      <c r="B71" s="376">
        <v>44631</v>
      </c>
      <c r="C71" s="426" t="s">
        <v>1186</v>
      </c>
      <c r="D71" s="374" t="s">
        <v>1066</v>
      </c>
      <c r="E71" s="432" t="s">
        <v>1093</v>
      </c>
      <c r="F71" s="432"/>
      <c r="G71" s="432"/>
      <c r="H71" s="432"/>
      <c r="I71" s="432" t="s">
        <v>1498</v>
      </c>
      <c r="J71" s="433"/>
      <c r="K71" s="432" t="s">
        <v>3898</v>
      </c>
      <c r="L71" s="433" t="s">
        <v>1472</v>
      </c>
      <c r="M71" s="433">
        <v>44628</v>
      </c>
      <c r="N71" s="433">
        <v>44782</v>
      </c>
      <c r="O71" s="433"/>
      <c r="P71" s="433"/>
      <c r="Q71" s="433"/>
      <c r="R71" s="433"/>
      <c r="S71" s="432" t="s">
        <v>1067</v>
      </c>
      <c r="T71" s="432">
        <v>60</v>
      </c>
      <c r="U71" s="432"/>
      <c r="V71" s="432" t="s">
        <v>986</v>
      </c>
      <c r="W71" s="436">
        <v>360</v>
      </c>
      <c r="X71" s="372">
        <v>768</v>
      </c>
      <c r="Y71" s="408">
        <f t="shared" si="7"/>
        <v>276480</v>
      </c>
      <c r="Z71" s="409">
        <v>0.55000000000000004</v>
      </c>
      <c r="AA71" s="410">
        <f t="shared" si="4"/>
        <v>152064</v>
      </c>
      <c r="AB71" s="411"/>
      <c r="AC71" s="412">
        <f t="shared" si="5"/>
        <v>0</v>
      </c>
      <c r="AD71" s="421"/>
      <c r="AE71" s="413"/>
      <c r="AF71" s="424">
        <f t="shared" si="8"/>
        <v>152064</v>
      </c>
      <c r="AG71" s="405" t="s">
        <v>1069</v>
      </c>
      <c r="AH71" s="405">
        <v>10</v>
      </c>
      <c r="AI71" s="405">
        <v>30</v>
      </c>
      <c r="AJ71" s="405" t="s">
        <v>1473</v>
      </c>
      <c r="AK71" s="405" t="s">
        <v>1092</v>
      </c>
      <c r="AL71" s="425">
        <v>2072</v>
      </c>
      <c r="AM71" s="405" t="s">
        <v>52</v>
      </c>
      <c r="AN71" s="405"/>
      <c r="AO71" s="405"/>
      <c r="AP71" s="413"/>
      <c r="AQ71" s="413" t="s">
        <v>1083</v>
      </c>
      <c r="AR71" s="405" t="s">
        <v>1188</v>
      </c>
      <c r="AS71" s="368" t="s">
        <v>1072</v>
      </c>
      <c r="AT71" s="386" t="s">
        <v>1084</v>
      </c>
      <c r="AU71" s="386" t="s">
        <v>1073</v>
      </c>
    </row>
    <row r="72" spans="1:47" s="402" customFormat="1">
      <c r="A72" s="426"/>
      <c r="B72" s="376">
        <v>44631</v>
      </c>
      <c r="C72" s="426" t="s">
        <v>1186</v>
      </c>
      <c r="D72" s="374" t="s">
        <v>1066</v>
      </c>
      <c r="E72" s="432" t="s">
        <v>1093</v>
      </c>
      <c r="F72" s="432"/>
      <c r="G72" s="432"/>
      <c r="H72" s="432"/>
      <c r="I72" s="432" t="s">
        <v>1498</v>
      </c>
      <c r="J72" s="433"/>
      <c r="K72" s="432" t="s">
        <v>3899</v>
      </c>
      <c r="L72" s="433" t="s">
        <v>1472</v>
      </c>
      <c r="M72" s="433">
        <v>44628</v>
      </c>
      <c r="N72" s="433">
        <v>44784</v>
      </c>
      <c r="O72" s="433"/>
      <c r="P72" s="433"/>
      <c r="Q72" s="433"/>
      <c r="R72" s="433"/>
      <c r="S72" s="432" t="s">
        <v>1067</v>
      </c>
      <c r="T72" s="432">
        <v>60</v>
      </c>
      <c r="U72" s="432"/>
      <c r="V72" s="432" t="s">
        <v>986</v>
      </c>
      <c r="W72" s="436">
        <v>360</v>
      </c>
      <c r="X72" s="372">
        <v>768</v>
      </c>
      <c r="Y72" s="408">
        <f t="shared" si="7"/>
        <v>276480</v>
      </c>
      <c r="Z72" s="409">
        <v>0.55000000000000004</v>
      </c>
      <c r="AA72" s="410">
        <f t="shared" si="4"/>
        <v>152064</v>
      </c>
      <c r="AB72" s="411"/>
      <c r="AC72" s="412">
        <f t="shared" si="5"/>
        <v>0</v>
      </c>
      <c r="AD72" s="421"/>
      <c r="AE72" s="413"/>
      <c r="AF72" s="424">
        <f t="shared" si="8"/>
        <v>152064</v>
      </c>
      <c r="AG72" s="405" t="s">
        <v>1069</v>
      </c>
      <c r="AH72" s="405">
        <v>10</v>
      </c>
      <c r="AI72" s="405">
        <v>30</v>
      </c>
      <c r="AJ72" s="405" t="s">
        <v>1500</v>
      </c>
      <c r="AK72" s="405" t="s">
        <v>1082</v>
      </c>
      <c r="AL72" s="425">
        <v>8512</v>
      </c>
      <c r="AM72" s="405" t="s">
        <v>52</v>
      </c>
      <c r="AN72" s="405"/>
      <c r="AO72" s="405"/>
      <c r="AP72" s="413"/>
      <c r="AQ72" s="413" t="s">
        <v>1083</v>
      </c>
      <c r="AR72" s="405" t="s">
        <v>1188</v>
      </c>
      <c r="AS72" s="368" t="s">
        <v>1072</v>
      </c>
      <c r="AT72" s="386" t="s">
        <v>1084</v>
      </c>
      <c r="AU72" s="386" t="s">
        <v>1073</v>
      </c>
    </row>
    <row r="73" spans="1:47" s="402" customFormat="1">
      <c r="A73" s="426"/>
      <c r="B73" s="376">
        <v>44631</v>
      </c>
      <c r="C73" s="426" t="s">
        <v>1186</v>
      </c>
      <c r="D73" s="374" t="s">
        <v>1066</v>
      </c>
      <c r="E73" s="432" t="s">
        <v>1093</v>
      </c>
      <c r="F73" s="432"/>
      <c r="G73" s="432"/>
      <c r="H73" s="432"/>
      <c r="I73" s="432" t="s">
        <v>1498</v>
      </c>
      <c r="J73" s="433"/>
      <c r="K73" s="432" t="s">
        <v>3900</v>
      </c>
      <c r="L73" s="433" t="s">
        <v>1472</v>
      </c>
      <c r="M73" s="433">
        <v>44628</v>
      </c>
      <c r="N73" s="433">
        <v>44797</v>
      </c>
      <c r="O73" s="433"/>
      <c r="P73" s="433"/>
      <c r="Q73" s="433"/>
      <c r="R73" s="433"/>
      <c r="S73" s="432" t="s">
        <v>1067</v>
      </c>
      <c r="T73" s="432">
        <v>60</v>
      </c>
      <c r="U73" s="432"/>
      <c r="V73" s="432" t="s">
        <v>986</v>
      </c>
      <c r="W73" s="436">
        <v>360</v>
      </c>
      <c r="X73" s="372">
        <v>768</v>
      </c>
      <c r="Y73" s="408">
        <f t="shared" si="7"/>
        <v>276480</v>
      </c>
      <c r="Z73" s="409">
        <v>0.55000000000000004</v>
      </c>
      <c r="AA73" s="410">
        <f t="shared" si="4"/>
        <v>152064</v>
      </c>
      <c r="AB73" s="411"/>
      <c r="AC73" s="412">
        <f t="shared" si="5"/>
        <v>0</v>
      </c>
      <c r="AD73" s="421"/>
      <c r="AE73" s="413"/>
      <c r="AF73" s="424">
        <f t="shared" si="8"/>
        <v>152064</v>
      </c>
      <c r="AG73" s="405" t="s">
        <v>1069</v>
      </c>
      <c r="AH73" s="405">
        <v>10</v>
      </c>
      <c r="AI73" s="405">
        <v>30</v>
      </c>
      <c r="AJ73" s="405" t="s">
        <v>1473</v>
      </c>
      <c r="AK73" s="405" t="s">
        <v>1092</v>
      </c>
      <c r="AL73" s="425">
        <v>2072</v>
      </c>
      <c r="AM73" s="405" t="s">
        <v>52</v>
      </c>
      <c r="AN73" s="405"/>
      <c r="AO73" s="405"/>
      <c r="AP73" s="413"/>
      <c r="AQ73" s="413" t="s">
        <v>1083</v>
      </c>
      <c r="AR73" s="405" t="s">
        <v>1188</v>
      </c>
      <c r="AS73" s="368" t="s">
        <v>1072</v>
      </c>
      <c r="AT73" s="386" t="s">
        <v>1084</v>
      </c>
      <c r="AU73" s="386" t="s">
        <v>1073</v>
      </c>
    </row>
    <row r="74" spans="1:47" s="402" customFormat="1">
      <c r="A74" s="426"/>
      <c r="B74" s="376">
        <v>44631</v>
      </c>
      <c r="C74" s="426" t="s">
        <v>1186</v>
      </c>
      <c r="D74" s="374" t="s">
        <v>1066</v>
      </c>
      <c r="E74" s="432" t="s">
        <v>1093</v>
      </c>
      <c r="F74" s="432"/>
      <c r="G74" s="432"/>
      <c r="H74" s="432"/>
      <c r="I74" s="432" t="s">
        <v>1498</v>
      </c>
      <c r="J74" s="433"/>
      <c r="K74" s="432" t="s">
        <v>3901</v>
      </c>
      <c r="L74" s="433" t="s">
        <v>1472</v>
      </c>
      <c r="M74" s="433">
        <v>44628</v>
      </c>
      <c r="N74" s="433">
        <v>44811</v>
      </c>
      <c r="O74" s="433"/>
      <c r="P74" s="433"/>
      <c r="Q74" s="433"/>
      <c r="R74" s="433"/>
      <c r="S74" s="432" t="s">
        <v>1067</v>
      </c>
      <c r="T74" s="432">
        <v>60</v>
      </c>
      <c r="U74" s="432"/>
      <c r="V74" s="432" t="s">
        <v>986</v>
      </c>
      <c r="W74" s="436">
        <v>360</v>
      </c>
      <c r="X74" s="372">
        <v>768</v>
      </c>
      <c r="Y74" s="408">
        <f t="shared" si="7"/>
        <v>276480</v>
      </c>
      <c r="Z74" s="409">
        <v>0.55000000000000004</v>
      </c>
      <c r="AA74" s="410">
        <f t="shared" si="4"/>
        <v>152064</v>
      </c>
      <c r="AB74" s="411"/>
      <c r="AC74" s="412">
        <f t="shared" si="5"/>
        <v>0</v>
      </c>
      <c r="AD74" s="421"/>
      <c r="AE74" s="413"/>
      <c r="AF74" s="424">
        <f t="shared" si="8"/>
        <v>152064</v>
      </c>
      <c r="AG74" s="405" t="s">
        <v>1069</v>
      </c>
      <c r="AH74" s="405">
        <v>10</v>
      </c>
      <c r="AI74" s="405">
        <v>30</v>
      </c>
      <c r="AJ74" s="405" t="s">
        <v>1473</v>
      </c>
      <c r="AK74" s="405" t="s">
        <v>1092</v>
      </c>
      <c r="AL74" s="425">
        <v>2072</v>
      </c>
      <c r="AM74" s="405" t="s">
        <v>52</v>
      </c>
      <c r="AN74" s="405"/>
      <c r="AO74" s="405"/>
      <c r="AP74" s="413"/>
      <c r="AQ74" s="413" t="s">
        <v>1083</v>
      </c>
      <c r="AR74" s="405" t="s">
        <v>1188</v>
      </c>
      <c r="AS74" s="368" t="s">
        <v>1072</v>
      </c>
      <c r="AT74" s="386" t="s">
        <v>1084</v>
      </c>
      <c r="AU74" s="386" t="s">
        <v>1073</v>
      </c>
    </row>
    <row r="75" spans="1:47" s="402" customFormat="1">
      <c r="A75" s="426"/>
      <c r="B75" s="376">
        <v>44631</v>
      </c>
      <c r="C75" s="426" t="s">
        <v>1186</v>
      </c>
      <c r="D75" s="374" t="s">
        <v>1066</v>
      </c>
      <c r="E75" s="432" t="s">
        <v>1093</v>
      </c>
      <c r="F75" s="432"/>
      <c r="G75" s="432"/>
      <c r="H75" s="432"/>
      <c r="I75" s="432" t="s">
        <v>1498</v>
      </c>
      <c r="J75" s="433"/>
      <c r="K75" s="432" t="s">
        <v>3902</v>
      </c>
      <c r="L75" s="433" t="s">
        <v>1472</v>
      </c>
      <c r="M75" s="433">
        <v>44628</v>
      </c>
      <c r="N75" s="433">
        <v>44825</v>
      </c>
      <c r="O75" s="433"/>
      <c r="P75" s="433"/>
      <c r="Q75" s="433"/>
      <c r="R75" s="433"/>
      <c r="S75" s="432" t="s">
        <v>1067</v>
      </c>
      <c r="T75" s="432">
        <v>60</v>
      </c>
      <c r="U75" s="432"/>
      <c r="V75" s="432" t="s">
        <v>986</v>
      </c>
      <c r="W75" s="436">
        <v>360</v>
      </c>
      <c r="X75" s="372">
        <v>768</v>
      </c>
      <c r="Y75" s="408">
        <f t="shared" si="7"/>
        <v>276480</v>
      </c>
      <c r="Z75" s="409">
        <v>0.55000000000000004</v>
      </c>
      <c r="AA75" s="410">
        <f t="shared" ref="AA75:AA118" si="9">Z75*Y75</f>
        <v>152064</v>
      </c>
      <c r="AB75" s="411"/>
      <c r="AC75" s="412">
        <f t="shared" ref="AC75:AC118" si="10">AB75*Y75</f>
        <v>0</v>
      </c>
      <c r="AD75" s="421"/>
      <c r="AE75" s="413"/>
      <c r="AF75" s="424">
        <f t="shared" si="8"/>
        <v>152064</v>
      </c>
      <c r="AG75" s="405" t="s">
        <v>1069</v>
      </c>
      <c r="AH75" s="405">
        <v>10</v>
      </c>
      <c r="AI75" s="405">
        <v>30</v>
      </c>
      <c r="AJ75" s="405" t="s">
        <v>1473</v>
      </c>
      <c r="AK75" s="405" t="s">
        <v>1092</v>
      </c>
      <c r="AL75" s="425">
        <v>2072</v>
      </c>
      <c r="AM75" s="405" t="s">
        <v>52</v>
      </c>
      <c r="AN75" s="405"/>
      <c r="AO75" s="405"/>
      <c r="AP75" s="413"/>
      <c r="AQ75" s="413" t="s">
        <v>1083</v>
      </c>
      <c r="AR75" s="405" t="s">
        <v>1188</v>
      </c>
      <c r="AS75" s="368" t="s">
        <v>1072</v>
      </c>
      <c r="AT75" s="386" t="s">
        <v>1084</v>
      </c>
      <c r="AU75" s="386" t="s">
        <v>1073</v>
      </c>
    </row>
    <row r="76" spans="1:47" s="402" customFormat="1">
      <c r="A76" s="426"/>
      <c r="B76" s="376">
        <v>44631</v>
      </c>
      <c r="C76" s="426" t="s">
        <v>1186</v>
      </c>
      <c r="D76" s="374" t="s">
        <v>1066</v>
      </c>
      <c r="E76" s="432" t="s">
        <v>1093</v>
      </c>
      <c r="F76" s="432"/>
      <c r="G76" s="432"/>
      <c r="H76" s="432"/>
      <c r="I76" s="432" t="s">
        <v>1498</v>
      </c>
      <c r="J76" s="433"/>
      <c r="K76" s="432" t="s">
        <v>3903</v>
      </c>
      <c r="L76" s="433" t="s">
        <v>1472</v>
      </c>
      <c r="M76" s="433">
        <v>44628</v>
      </c>
      <c r="N76" s="433">
        <v>44806</v>
      </c>
      <c r="O76" s="433"/>
      <c r="P76" s="433"/>
      <c r="Q76" s="433"/>
      <c r="R76" s="433"/>
      <c r="S76" s="432" t="s">
        <v>1067</v>
      </c>
      <c r="T76" s="432">
        <v>60</v>
      </c>
      <c r="U76" s="432"/>
      <c r="V76" s="432" t="s">
        <v>986</v>
      </c>
      <c r="W76" s="436">
        <v>360</v>
      </c>
      <c r="X76" s="372">
        <v>768</v>
      </c>
      <c r="Y76" s="408">
        <f t="shared" si="7"/>
        <v>276480</v>
      </c>
      <c r="Z76" s="409">
        <v>0.55000000000000004</v>
      </c>
      <c r="AA76" s="410">
        <f t="shared" si="9"/>
        <v>152064</v>
      </c>
      <c r="AB76" s="411"/>
      <c r="AC76" s="412">
        <f t="shared" si="10"/>
        <v>0</v>
      </c>
      <c r="AD76" s="421"/>
      <c r="AE76" s="413"/>
      <c r="AF76" s="424">
        <f t="shared" si="8"/>
        <v>152064</v>
      </c>
      <c r="AG76" s="405" t="s">
        <v>1069</v>
      </c>
      <c r="AH76" s="405">
        <v>10</v>
      </c>
      <c r="AI76" s="405">
        <v>30</v>
      </c>
      <c r="AJ76" s="405" t="s">
        <v>1500</v>
      </c>
      <c r="AK76" s="405" t="s">
        <v>1082</v>
      </c>
      <c r="AL76" s="425">
        <v>8512</v>
      </c>
      <c r="AM76" s="405" t="s">
        <v>52</v>
      </c>
      <c r="AN76" s="405"/>
      <c r="AO76" s="405"/>
      <c r="AP76" s="413"/>
      <c r="AQ76" s="413" t="s">
        <v>1083</v>
      </c>
      <c r="AR76" s="405" t="s">
        <v>1188</v>
      </c>
      <c r="AS76" s="368" t="s">
        <v>1072</v>
      </c>
      <c r="AT76" s="386" t="s">
        <v>1084</v>
      </c>
      <c r="AU76" s="386" t="s">
        <v>1073</v>
      </c>
    </row>
    <row r="77" spans="1:47" s="402" customFormat="1">
      <c r="A77" s="426"/>
      <c r="B77" s="376">
        <v>44631</v>
      </c>
      <c r="C77" s="426" t="s">
        <v>1186</v>
      </c>
      <c r="D77" s="374" t="s">
        <v>1066</v>
      </c>
      <c r="E77" s="432" t="s">
        <v>1093</v>
      </c>
      <c r="F77" s="432"/>
      <c r="G77" s="432"/>
      <c r="H77" s="432"/>
      <c r="I77" s="432" t="s">
        <v>1498</v>
      </c>
      <c r="J77" s="433"/>
      <c r="K77" s="432" t="s">
        <v>3904</v>
      </c>
      <c r="L77" s="433" t="s">
        <v>1472</v>
      </c>
      <c r="M77" s="433">
        <v>44628</v>
      </c>
      <c r="N77" s="433">
        <v>44820</v>
      </c>
      <c r="O77" s="433"/>
      <c r="P77" s="433"/>
      <c r="Q77" s="433"/>
      <c r="R77" s="433"/>
      <c r="S77" s="432" t="s">
        <v>1067</v>
      </c>
      <c r="T77" s="432">
        <v>60</v>
      </c>
      <c r="U77" s="432"/>
      <c r="V77" s="432" t="s">
        <v>986</v>
      </c>
      <c r="W77" s="436">
        <v>360</v>
      </c>
      <c r="X77" s="372">
        <v>768</v>
      </c>
      <c r="Y77" s="408">
        <f t="shared" si="7"/>
        <v>276480</v>
      </c>
      <c r="Z77" s="409">
        <v>0.55000000000000004</v>
      </c>
      <c r="AA77" s="410">
        <f t="shared" si="9"/>
        <v>152064</v>
      </c>
      <c r="AB77" s="411"/>
      <c r="AC77" s="412">
        <f t="shared" si="10"/>
        <v>0</v>
      </c>
      <c r="AD77" s="421"/>
      <c r="AE77" s="413"/>
      <c r="AF77" s="424">
        <f t="shared" si="8"/>
        <v>152064</v>
      </c>
      <c r="AG77" s="405" t="s">
        <v>1069</v>
      </c>
      <c r="AH77" s="405">
        <v>10</v>
      </c>
      <c r="AI77" s="405">
        <v>30</v>
      </c>
      <c r="AJ77" s="405" t="s">
        <v>1500</v>
      </c>
      <c r="AK77" s="405" t="s">
        <v>1082</v>
      </c>
      <c r="AL77" s="425">
        <v>8512</v>
      </c>
      <c r="AM77" s="405" t="s">
        <v>52</v>
      </c>
      <c r="AN77" s="405"/>
      <c r="AO77" s="405"/>
      <c r="AP77" s="413"/>
      <c r="AQ77" s="413" t="s">
        <v>1083</v>
      </c>
      <c r="AR77" s="405" t="s">
        <v>1188</v>
      </c>
      <c r="AS77" s="368" t="s">
        <v>1072</v>
      </c>
      <c r="AT77" s="386" t="s">
        <v>1084</v>
      </c>
      <c r="AU77" s="386" t="s">
        <v>1073</v>
      </c>
    </row>
    <row r="78" spans="1:47" s="402" customFormat="1">
      <c r="A78" s="426"/>
      <c r="B78" s="376">
        <v>44631</v>
      </c>
      <c r="C78" s="426" t="s">
        <v>1186</v>
      </c>
      <c r="D78" s="374" t="s">
        <v>1066</v>
      </c>
      <c r="E78" s="432" t="s">
        <v>1093</v>
      </c>
      <c r="F78" s="432"/>
      <c r="G78" s="432"/>
      <c r="H78" s="432"/>
      <c r="I78" s="432" t="s">
        <v>1498</v>
      </c>
      <c r="J78" s="433"/>
      <c r="K78" s="432" t="s">
        <v>3905</v>
      </c>
      <c r="L78" s="433" t="s">
        <v>1472</v>
      </c>
      <c r="M78" s="433">
        <v>44628</v>
      </c>
      <c r="N78" s="433">
        <v>44841</v>
      </c>
      <c r="O78" s="433"/>
      <c r="P78" s="433"/>
      <c r="Q78" s="433"/>
      <c r="R78" s="433"/>
      <c r="S78" s="432" t="s">
        <v>1067</v>
      </c>
      <c r="T78" s="432">
        <v>60</v>
      </c>
      <c r="U78" s="432"/>
      <c r="V78" s="432" t="s">
        <v>986</v>
      </c>
      <c r="W78" s="436">
        <v>360</v>
      </c>
      <c r="X78" s="372">
        <v>768</v>
      </c>
      <c r="Y78" s="408">
        <f t="shared" si="7"/>
        <v>276480</v>
      </c>
      <c r="Z78" s="409">
        <v>0.55000000000000004</v>
      </c>
      <c r="AA78" s="410">
        <f t="shared" si="9"/>
        <v>152064</v>
      </c>
      <c r="AB78" s="411"/>
      <c r="AC78" s="412">
        <f t="shared" si="10"/>
        <v>0</v>
      </c>
      <c r="AD78" s="421"/>
      <c r="AE78" s="413"/>
      <c r="AF78" s="424">
        <f t="shared" si="8"/>
        <v>152064</v>
      </c>
      <c r="AG78" s="405" t="s">
        <v>1069</v>
      </c>
      <c r="AH78" s="405">
        <v>10</v>
      </c>
      <c r="AI78" s="405">
        <v>30</v>
      </c>
      <c r="AJ78" s="405" t="s">
        <v>1473</v>
      </c>
      <c r="AK78" s="405" t="s">
        <v>1092</v>
      </c>
      <c r="AL78" s="425">
        <v>2072</v>
      </c>
      <c r="AM78" s="405" t="s">
        <v>52</v>
      </c>
      <c r="AN78" s="405"/>
      <c r="AO78" s="405"/>
      <c r="AP78" s="413"/>
      <c r="AQ78" s="413" t="s">
        <v>1083</v>
      </c>
      <c r="AR78" s="405" t="s">
        <v>1188</v>
      </c>
      <c r="AS78" s="368" t="s">
        <v>1072</v>
      </c>
      <c r="AT78" s="386" t="s">
        <v>1084</v>
      </c>
      <c r="AU78" s="386" t="s">
        <v>1073</v>
      </c>
    </row>
    <row r="79" spans="1:47" s="402" customFormat="1">
      <c r="A79" s="426"/>
      <c r="B79" s="376">
        <v>44631</v>
      </c>
      <c r="C79" s="426" t="s">
        <v>1186</v>
      </c>
      <c r="D79" s="374" t="s">
        <v>1066</v>
      </c>
      <c r="E79" s="432" t="s">
        <v>1093</v>
      </c>
      <c r="F79" s="432"/>
      <c r="G79" s="432"/>
      <c r="H79" s="432"/>
      <c r="I79" s="432" t="s">
        <v>1498</v>
      </c>
      <c r="J79" s="433"/>
      <c r="K79" s="432" t="s">
        <v>3906</v>
      </c>
      <c r="L79" s="433" t="s">
        <v>1472</v>
      </c>
      <c r="M79" s="433">
        <v>44628</v>
      </c>
      <c r="N79" s="433">
        <v>44855</v>
      </c>
      <c r="O79" s="433"/>
      <c r="P79" s="433"/>
      <c r="Q79" s="433"/>
      <c r="R79" s="433"/>
      <c r="S79" s="432" t="s">
        <v>1067</v>
      </c>
      <c r="T79" s="432">
        <v>60</v>
      </c>
      <c r="U79" s="432"/>
      <c r="V79" s="432" t="s">
        <v>986</v>
      </c>
      <c r="W79" s="436">
        <v>360</v>
      </c>
      <c r="X79" s="372">
        <v>768</v>
      </c>
      <c r="Y79" s="408">
        <f t="shared" si="7"/>
        <v>276480</v>
      </c>
      <c r="Z79" s="409">
        <v>0.55000000000000004</v>
      </c>
      <c r="AA79" s="410">
        <f t="shared" si="9"/>
        <v>152064</v>
      </c>
      <c r="AB79" s="411"/>
      <c r="AC79" s="412">
        <f t="shared" si="10"/>
        <v>0</v>
      </c>
      <c r="AD79" s="421"/>
      <c r="AE79" s="413"/>
      <c r="AF79" s="424">
        <f t="shared" si="8"/>
        <v>152064</v>
      </c>
      <c r="AG79" s="405" t="s">
        <v>1069</v>
      </c>
      <c r="AH79" s="405">
        <v>10</v>
      </c>
      <c r="AI79" s="405">
        <v>30</v>
      </c>
      <c r="AJ79" s="405" t="s">
        <v>1473</v>
      </c>
      <c r="AK79" s="405" t="s">
        <v>1092</v>
      </c>
      <c r="AL79" s="425">
        <v>2072</v>
      </c>
      <c r="AM79" s="405" t="s">
        <v>52</v>
      </c>
      <c r="AN79" s="405"/>
      <c r="AO79" s="405"/>
      <c r="AP79" s="413"/>
      <c r="AQ79" s="413" t="s">
        <v>1083</v>
      </c>
      <c r="AR79" s="405" t="s">
        <v>1188</v>
      </c>
      <c r="AS79" s="368" t="s">
        <v>1072</v>
      </c>
      <c r="AT79" s="386" t="s">
        <v>1084</v>
      </c>
      <c r="AU79" s="386" t="s">
        <v>1073</v>
      </c>
    </row>
    <row r="80" spans="1:47" s="402" customFormat="1">
      <c r="A80" s="426"/>
      <c r="B80" s="376">
        <v>44631</v>
      </c>
      <c r="C80" s="426" t="s">
        <v>1186</v>
      </c>
      <c r="D80" s="374" t="s">
        <v>1066</v>
      </c>
      <c r="E80" s="432" t="s">
        <v>1093</v>
      </c>
      <c r="F80" s="432"/>
      <c r="G80" s="432"/>
      <c r="H80" s="432"/>
      <c r="I80" s="432" t="s">
        <v>1498</v>
      </c>
      <c r="J80" s="433"/>
      <c r="K80" s="432" t="s">
        <v>3907</v>
      </c>
      <c r="L80" s="433" t="s">
        <v>1472</v>
      </c>
      <c r="M80" s="433">
        <v>44628</v>
      </c>
      <c r="N80" s="433">
        <v>44847</v>
      </c>
      <c r="O80" s="433"/>
      <c r="P80" s="433"/>
      <c r="Q80" s="433"/>
      <c r="R80" s="433"/>
      <c r="S80" s="432" t="s">
        <v>1067</v>
      </c>
      <c r="T80" s="432">
        <v>60</v>
      </c>
      <c r="U80" s="432"/>
      <c r="V80" s="432" t="s">
        <v>986</v>
      </c>
      <c r="W80" s="436">
        <v>360</v>
      </c>
      <c r="X80" s="372">
        <v>768</v>
      </c>
      <c r="Y80" s="408">
        <f t="shared" si="7"/>
        <v>276480</v>
      </c>
      <c r="Z80" s="409">
        <v>0.55000000000000004</v>
      </c>
      <c r="AA80" s="410">
        <f t="shared" si="9"/>
        <v>152064</v>
      </c>
      <c r="AB80" s="411"/>
      <c r="AC80" s="412">
        <f t="shared" si="10"/>
        <v>0</v>
      </c>
      <c r="AD80" s="421"/>
      <c r="AE80" s="413"/>
      <c r="AF80" s="424">
        <f t="shared" si="8"/>
        <v>152064</v>
      </c>
      <c r="AG80" s="405" t="s">
        <v>1069</v>
      </c>
      <c r="AH80" s="405">
        <v>10</v>
      </c>
      <c r="AI80" s="405">
        <v>30</v>
      </c>
      <c r="AJ80" s="405" t="s">
        <v>1500</v>
      </c>
      <c r="AK80" s="405" t="s">
        <v>1082</v>
      </c>
      <c r="AL80" s="425">
        <v>8512</v>
      </c>
      <c r="AM80" s="405" t="s">
        <v>52</v>
      </c>
      <c r="AN80" s="405"/>
      <c r="AO80" s="405"/>
      <c r="AP80" s="413"/>
      <c r="AQ80" s="413" t="s">
        <v>1083</v>
      </c>
      <c r="AR80" s="405" t="s">
        <v>1188</v>
      </c>
      <c r="AS80" s="368" t="s">
        <v>1072</v>
      </c>
      <c r="AT80" s="386" t="s">
        <v>1084</v>
      </c>
      <c r="AU80" s="386" t="s">
        <v>1073</v>
      </c>
    </row>
    <row r="81" spans="1:47" s="402" customFormat="1">
      <c r="A81" s="426"/>
      <c r="B81" s="376">
        <v>44631</v>
      </c>
      <c r="C81" s="426" t="s">
        <v>1186</v>
      </c>
      <c r="D81" s="374" t="s">
        <v>1066</v>
      </c>
      <c r="E81" s="432" t="s">
        <v>1093</v>
      </c>
      <c r="F81" s="432"/>
      <c r="G81" s="432"/>
      <c r="H81" s="432"/>
      <c r="I81" s="432" t="s">
        <v>1498</v>
      </c>
      <c r="J81" s="433"/>
      <c r="K81" s="432" t="s">
        <v>3908</v>
      </c>
      <c r="L81" s="433" t="s">
        <v>1472</v>
      </c>
      <c r="M81" s="433">
        <v>44628</v>
      </c>
      <c r="N81" s="433">
        <v>44861</v>
      </c>
      <c r="O81" s="433"/>
      <c r="P81" s="433"/>
      <c r="Q81" s="433"/>
      <c r="R81" s="433"/>
      <c r="S81" s="432" t="s">
        <v>1067</v>
      </c>
      <c r="T81" s="432">
        <v>60</v>
      </c>
      <c r="U81" s="432"/>
      <c r="V81" s="432" t="s">
        <v>986</v>
      </c>
      <c r="W81" s="436">
        <v>360</v>
      </c>
      <c r="X81" s="372">
        <v>768</v>
      </c>
      <c r="Y81" s="408">
        <f t="shared" si="7"/>
        <v>276480</v>
      </c>
      <c r="Z81" s="409">
        <v>0.55000000000000004</v>
      </c>
      <c r="AA81" s="410">
        <f t="shared" si="9"/>
        <v>152064</v>
      </c>
      <c r="AB81" s="411"/>
      <c r="AC81" s="412">
        <f t="shared" si="10"/>
        <v>0</v>
      </c>
      <c r="AD81" s="421"/>
      <c r="AE81" s="413"/>
      <c r="AF81" s="424">
        <f t="shared" si="8"/>
        <v>152064</v>
      </c>
      <c r="AG81" s="405" t="s">
        <v>1069</v>
      </c>
      <c r="AH81" s="405">
        <v>10</v>
      </c>
      <c r="AI81" s="405">
        <v>30</v>
      </c>
      <c r="AJ81" s="405" t="s">
        <v>1500</v>
      </c>
      <c r="AK81" s="405" t="s">
        <v>1082</v>
      </c>
      <c r="AL81" s="425">
        <v>8512</v>
      </c>
      <c r="AM81" s="405" t="s">
        <v>52</v>
      </c>
      <c r="AN81" s="405"/>
      <c r="AO81" s="405"/>
      <c r="AP81" s="413"/>
      <c r="AQ81" s="413" t="s">
        <v>1083</v>
      </c>
      <c r="AR81" s="405" t="s">
        <v>1188</v>
      </c>
      <c r="AS81" s="368" t="s">
        <v>1072</v>
      </c>
      <c r="AT81" s="386" t="s">
        <v>1084</v>
      </c>
      <c r="AU81" s="386" t="s">
        <v>1073</v>
      </c>
    </row>
    <row r="82" spans="1:47" s="402" customFormat="1">
      <c r="A82" s="426"/>
      <c r="B82" s="376"/>
      <c r="C82" s="426"/>
      <c r="D82" s="374" t="s">
        <v>1066</v>
      </c>
      <c r="E82" s="432" t="s">
        <v>1158</v>
      </c>
      <c r="F82" s="432"/>
      <c r="G82" s="432"/>
      <c r="H82" s="432"/>
      <c r="I82" s="432" t="s">
        <v>1498</v>
      </c>
      <c r="J82" s="433"/>
      <c r="K82" s="432" t="s">
        <v>4117</v>
      </c>
      <c r="L82" s="433" t="s">
        <v>1472</v>
      </c>
      <c r="M82" s="433">
        <v>44671</v>
      </c>
      <c r="N82" s="433">
        <v>44867</v>
      </c>
      <c r="O82" s="433"/>
      <c r="P82" s="433"/>
      <c r="Q82" s="433"/>
      <c r="R82" s="433"/>
      <c r="S82" s="432" t="s">
        <v>1067</v>
      </c>
      <c r="T82" s="432">
        <v>60</v>
      </c>
      <c r="U82" s="432"/>
      <c r="V82" s="432" t="s">
        <v>986</v>
      </c>
      <c r="W82" s="436">
        <v>360</v>
      </c>
      <c r="X82" s="372">
        <v>768</v>
      </c>
      <c r="Y82" s="408">
        <f t="shared" si="7"/>
        <v>276480</v>
      </c>
      <c r="Z82" s="409">
        <v>0.63</v>
      </c>
      <c r="AA82" s="410">
        <f t="shared" si="9"/>
        <v>174182.39999999999</v>
      </c>
      <c r="AB82" s="411"/>
      <c r="AC82" s="412">
        <f t="shared" si="10"/>
        <v>0</v>
      </c>
      <c r="AD82" s="421"/>
      <c r="AE82" s="413"/>
      <c r="AF82" s="424">
        <f t="shared" si="8"/>
        <v>174182.39999999999</v>
      </c>
      <c r="AG82" s="405" t="s">
        <v>1069</v>
      </c>
      <c r="AH82" s="405">
        <v>10</v>
      </c>
      <c r="AI82" s="405">
        <v>30</v>
      </c>
      <c r="AJ82" s="405" t="s">
        <v>1473</v>
      </c>
      <c r="AK82" s="405" t="s">
        <v>1092</v>
      </c>
      <c r="AL82" s="425">
        <v>2072</v>
      </c>
      <c r="AM82" s="405" t="s">
        <v>52</v>
      </c>
      <c r="AN82" s="405"/>
      <c r="AO82" s="405"/>
      <c r="AP82" s="413"/>
      <c r="AQ82" s="413" t="s">
        <v>1083</v>
      </c>
      <c r="AR82" s="405" t="s">
        <v>1188</v>
      </c>
      <c r="AS82" s="368" t="s">
        <v>1072</v>
      </c>
      <c r="AT82" s="386" t="s">
        <v>1084</v>
      </c>
      <c r="AU82" s="386" t="s">
        <v>1073</v>
      </c>
    </row>
    <row r="83" spans="1:47" s="402" customFormat="1">
      <c r="A83" s="426"/>
      <c r="B83" s="376"/>
      <c r="C83" s="426"/>
      <c r="D83" s="374" t="s">
        <v>1066</v>
      </c>
      <c r="E83" s="432" t="s">
        <v>1158</v>
      </c>
      <c r="F83" s="432"/>
      <c r="G83" s="432"/>
      <c r="H83" s="432"/>
      <c r="I83" s="432" t="s">
        <v>1498</v>
      </c>
      <c r="J83" s="433"/>
      <c r="K83" s="432" t="s">
        <v>4118</v>
      </c>
      <c r="L83" s="433" t="s">
        <v>1472</v>
      </c>
      <c r="M83" s="433">
        <v>44671</v>
      </c>
      <c r="N83" s="433">
        <v>44876</v>
      </c>
      <c r="O83" s="433"/>
      <c r="P83" s="433"/>
      <c r="Q83" s="433"/>
      <c r="R83" s="433"/>
      <c r="S83" s="432" t="s">
        <v>1067</v>
      </c>
      <c r="T83" s="432">
        <v>60</v>
      </c>
      <c r="U83" s="432"/>
      <c r="V83" s="432" t="s">
        <v>986</v>
      </c>
      <c r="W83" s="436">
        <v>360</v>
      </c>
      <c r="X83" s="372">
        <v>768</v>
      </c>
      <c r="Y83" s="408">
        <f t="shared" si="7"/>
        <v>276480</v>
      </c>
      <c r="Z83" s="409">
        <v>0.63</v>
      </c>
      <c r="AA83" s="410">
        <f t="shared" si="9"/>
        <v>174182.39999999999</v>
      </c>
      <c r="AB83" s="411"/>
      <c r="AC83" s="412">
        <f t="shared" si="10"/>
        <v>0</v>
      </c>
      <c r="AD83" s="421"/>
      <c r="AE83" s="413"/>
      <c r="AF83" s="424">
        <f t="shared" si="8"/>
        <v>174182.39999999999</v>
      </c>
      <c r="AG83" s="405" t="s">
        <v>1069</v>
      </c>
      <c r="AH83" s="405">
        <v>10</v>
      </c>
      <c r="AI83" s="405">
        <v>30</v>
      </c>
      <c r="AJ83" s="405" t="s">
        <v>1473</v>
      </c>
      <c r="AK83" s="405" t="s">
        <v>1092</v>
      </c>
      <c r="AL83" s="425">
        <v>2072</v>
      </c>
      <c r="AM83" s="405" t="s">
        <v>52</v>
      </c>
      <c r="AN83" s="405"/>
      <c r="AO83" s="405"/>
      <c r="AP83" s="413"/>
      <c r="AQ83" s="413" t="s">
        <v>1083</v>
      </c>
      <c r="AR83" s="405" t="s">
        <v>1188</v>
      </c>
      <c r="AS83" s="368" t="s">
        <v>1072</v>
      </c>
      <c r="AT83" s="386" t="s">
        <v>1084</v>
      </c>
      <c r="AU83" s="386" t="s">
        <v>1073</v>
      </c>
    </row>
    <row r="84" spans="1:47" s="402" customFormat="1">
      <c r="A84" s="426"/>
      <c r="B84" s="376"/>
      <c r="C84" s="426"/>
      <c r="D84" s="374" t="s">
        <v>1066</v>
      </c>
      <c r="E84" s="432" t="s">
        <v>1158</v>
      </c>
      <c r="F84" s="432"/>
      <c r="G84" s="432"/>
      <c r="H84" s="432"/>
      <c r="I84" s="432" t="s">
        <v>1498</v>
      </c>
      <c r="J84" s="433"/>
      <c r="K84" s="432" t="s">
        <v>4119</v>
      </c>
      <c r="L84" s="433" t="s">
        <v>1472</v>
      </c>
      <c r="M84" s="433">
        <v>44671</v>
      </c>
      <c r="N84" s="433">
        <v>44887</v>
      </c>
      <c r="O84" s="433"/>
      <c r="P84" s="433"/>
      <c r="Q84" s="433"/>
      <c r="R84" s="433"/>
      <c r="S84" s="432" t="s">
        <v>1067</v>
      </c>
      <c r="T84" s="432">
        <v>60</v>
      </c>
      <c r="U84" s="432"/>
      <c r="V84" s="432" t="s">
        <v>986</v>
      </c>
      <c r="W84" s="436">
        <v>360</v>
      </c>
      <c r="X84" s="372">
        <v>768</v>
      </c>
      <c r="Y84" s="408">
        <f t="shared" si="7"/>
        <v>276480</v>
      </c>
      <c r="Z84" s="409">
        <v>0.63</v>
      </c>
      <c r="AA84" s="410">
        <f t="shared" si="9"/>
        <v>174182.39999999999</v>
      </c>
      <c r="AB84" s="411"/>
      <c r="AC84" s="412">
        <f t="shared" si="10"/>
        <v>0</v>
      </c>
      <c r="AD84" s="421"/>
      <c r="AE84" s="413"/>
      <c r="AF84" s="424">
        <f t="shared" si="8"/>
        <v>174182.39999999999</v>
      </c>
      <c r="AG84" s="405" t="s">
        <v>1069</v>
      </c>
      <c r="AH84" s="405">
        <v>10</v>
      </c>
      <c r="AI84" s="405">
        <v>30</v>
      </c>
      <c r="AJ84" s="405" t="s">
        <v>1473</v>
      </c>
      <c r="AK84" s="405" t="s">
        <v>1092</v>
      </c>
      <c r="AL84" s="425">
        <v>2072</v>
      </c>
      <c r="AM84" s="405" t="s">
        <v>52</v>
      </c>
      <c r="AN84" s="405"/>
      <c r="AO84" s="405"/>
      <c r="AP84" s="413"/>
      <c r="AQ84" s="413" t="s">
        <v>1083</v>
      </c>
      <c r="AR84" s="405" t="s">
        <v>1188</v>
      </c>
      <c r="AS84" s="368" t="s">
        <v>1072</v>
      </c>
      <c r="AT84" s="386" t="s">
        <v>1084</v>
      </c>
      <c r="AU84" s="386" t="s">
        <v>1073</v>
      </c>
    </row>
    <row r="85" spans="1:47" s="402" customFormat="1">
      <c r="A85" s="426"/>
      <c r="B85" s="376"/>
      <c r="C85" s="426"/>
      <c r="D85" s="374" t="s">
        <v>1066</v>
      </c>
      <c r="E85" s="432" t="s">
        <v>1158</v>
      </c>
      <c r="F85" s="432"/>
      <c r="G85" s="432"/>
      <c r="H85" s="432"/>
      <c r="I85" s="432" t="s">
        <v>1498</v>
      </c>
      <c r="J85" s="433"/>
      <c r="K85" s="432" t="s">
        <v>4120</v>
      </c>
      <c r="L85" s="433" t="s">
        <v>1472</v>
      </c>
      <c r="M85" s="433">
        <v>44671</v>
      </c>
      <c r="N85" s="433">
        <v>44896</v>
      </c>
      <c r="O85" s="433"/>
      <c r="P85" s="433"/>
      <c r="Q85" s="433"/>
      <c r="R85" s="433"/>
      <c r="S85" s="432" t="s">
        <v>1067</v>
      </c>
      <c r="T85" s="432">
        <v>60</v>
      </c>
      <c r="U85" s="432"/>
      <c r="V85" s="432" t="s">
        <v>986</v>
      </c>
      <c r="W85" s="436">
        <v>360</v>
      </c>
      <c r="X85" s="372">
        <v>768</v>
      </c>
      <c r="Y85" s="408">
        <f t="shared" si="7"/>
        <v>276480</v>
      </c>
      <c r="Z85" s="409">
        <v>0.63</v>
      </c>
      <c r="AA85" s="410">
        <f t="shared" si="9"/>
        <v>174182.39999999999</v>
      </c>
      <c r="AB85" s="411"/>
      <c r="AC85" s="412">
        <f t="shared" si="10"/>
        <v>0</v>
      </c>
      <c r="AD85" s="421"/>
      <c r="AE85" s="413"/>
      <c r="AF85" s="424">
        <f t="shared" si="8"/>
        <v>174182.39999999999</v>
      </c>
      <c r="AG85" s="405" t="s">
        <v>1069</v>
      </c>
      <c r="AH85" s="405">
        <v>10</v>
      </c>
      <c r="AI85" s="405">
        <v>30</v>
      </c>
      <c r="AJ85" s="405" t="s">
        <v>1473</v>
      </c>
      <c r="AK85" s="405" t="s">
        <v>1092</v>
      </c>
      <c r="AL85" s="425">
        <v>2072</v>
      </c>
      <c r="AM85" s="405" t="s">
        <v>52</v>
      </c>
      <c r="AN85" s="405"/>
      <c r="AO85" s="405"/>
      <c r="AP85" s="413"/>
      <c r="AQ85" s="413" t="s">
        <v>1083</v>
      </c>
      <c r="AR85" s="405" t="s">
        <v>1188</v>
      </c>
      <c r="AS85" s="368" t="s">
        <v>1072</v>
      </c>
      <c r="AT85" s="386" t="s">
        <v>1084</v>
      </c>
      <c r="AU85" s="386" t="s">
        <v>1073</v>
      </c>
    </row>
    <row r="86" spans="1:47" s="402" customFormat="1">
      <c r="A86" s="426"/>
      <c r="B86" s="376"/>
      <c r="C86" s="426"/>
      <c r="D86" s="374" t="s">
        <v>1066</v>
      </c>
      <c r="E86" s="432" t="s">
        <v>1158</v>
      </c>
      <c r="F86" s="432"/>
      <c r="G86" s="432"/>
      <c r="H86" s="432"/>
      <c r="I86" s="432" t="s">
        <v>1498</v>
      </c>
      <c r="J86" s="433"/>
      <c r="K86" s="432" t="s">
        <v>4121</v>
      </c>
      <c r="L86" s="433" t="s">
        <v>1472</v>
      </c>
      <c r="M86" s="433">
        <v>44671</v>
      </c>
      <c r="N86" s="433">
        <v>44909</v>
      </c>
      <c r="O86" s="433"/>
      <c r="P86" s="433"/>
      <c r="Q86" s="433"/>
      <c r="R86" s="433"/>
      <c r="S86" s="432" t="s">
        <v>1067</v>
      </c>
      <c r="T86" s="432">
        <v>60</v>
      </c>
      <c r="U86" s="432"/>
      <c r="V86" s="432" t="s">
        <v>986</v>
      </c>
      <c r="W86" s="436">
        <v>360</v>
      </c>
      <c r="X86" s="372">
        <v>768</v>
      </c>
      <c r="Y86" s="408">
        <f t="shared" si="7"/>
        <v>276480</v>
      </c>
      <c r="Z86" s="409">
        <v>0.63</v>
      </c>
      <c r="AA86" s="410">
        <f t="shared" si="9"/>
        <v>174182.39999999999</v>
      </c>
      <c r="AB86" s="411"/>
      <c r="AC86" s="412">
        <f t="shared" si="10"/>
        <v>0</v>
      </c>
      <c r="AD86" s="421"/>
      <c r="AE86" s="413"/>
      <c r="AF86" s="424">
        <f t="shared" si="8"/>
        <v>174182.39999999999</v>
      </c>
      <c r="AG86" s="405" t="s">
        <v>1069</v>
      </c>
      <c r="AH86" s="405">
        <v>10</v>
      </c>
      <c r="AI86" s="405">
        <v>30</v>
      </c>
      <c r="AJ86" s="405" t="s">
        <v>1473</v>
      </c>
      <c r="AK86" s="405" t="s">
        <v>1092</v>
      </c>
      <c r="AL86" s="425">
        <v>2072</v>
      </c>
      <c r="AM86" s="405" t="s">
        <v>52</v>
      </c>
      <c r="AN86" s="405"/>
      <c r="AO86" s="405"/>
      <c r="AP86" s="413"/>
      <c r="AQ86" s="413" t="s">
        <v>1083</v>
      </c>
      <c r="AR86" s="405" t="s">
        <v>1188</v>
      </c>
      <c r="AS86" s="368" t="s">
        <v>1072</v>
      </c>
      <c r="AT86" s="386" t="s">
        <v>1084</v>
      </c>
      <c r="AU86" s="386" t="s">
        <v>1073</v>
      </c>
    </row>
    <row r="87" spans="1:47" s="402" customFormat="1">
      <c r="A87" s="426"/>
      <c r="B87" s="376"/>
      <c r="C87" s="426"/>
      <c r="D87" s="374" t="s">
        <v>1066</v>
      </c>
      <c r="E87" s="432" t="s">
        <v>1158</v>
      </c>
      <c r="F87" s="432"/>
      <c r="G87" s="432"/>
      <c r="H87" s="432"/>
      <c r="I87" s="432" t="s">
        <v>1498</v>
      </c>
      <c r="J87" s="433"/>
      <c r="K87" s="432" t="s">
        <v>4122</v>
      </c>
      <c r="L87" s="433" t="s">
        <v>1472</v>
      </c>
      <c r="M87" s="433">
        <v>44671</v>
      </c>
      <c r="N87" s="433">
        <v>44922</v>
      </c>
      <c r="O87" s="433"/>
      <c r="P87" s="433"/>
      <c r="Q87" s="433"/>
      <c r="R87" s="433"/>
      <c r="S87" s="432" t="s">
        <v>1067</v>
      </c>
      <c r="T87" s="432">
        <v>60</v>
      </c>
      <c r="U87" s="432"/>
      <c r="V87" s="432" t="s">
        <v>986</v>
      </c>
      <c r="W87" s="436">
        <v>360</v>
      </c>
      <c r="X87" s="372">
        <v>768</v>
      </c>
      <c r="Y87" s="408">
        <f t="shared" si="7"/>
        <v>276480</v>
      </c>
      <c r="Z87" s="409">
        <v>0.63</v>
      </c>
      <c r="AA87" s="410">
        <f t="shared" si="9"/>
        <v>174182.39999999999</v>
      </c>
      <c r="AB87" s="411"/>
      <c r="AC87" s="412">
        <f t="shared" si="10"/>
        <v>0</v>
      </c>
      <c r="AD87" s="421"/>
      <c r="AE87" s="413"/>
      <c r="AF87" s="424">
        <f t="shared" si="8"/>
        <v>174182.39999999999</v>
      </c>
      <c r="AG87" s="405" t="s">
        <v>1069</v>
      </c>
      <c r="AH87" s="405">
        <v>10</v>
      </c>
      <c r="AI87" s="405">
        <v>30</v>
      </c>
      <c r="AJ87" s="405" t="s">
        <v>1473</v>
      </c>
      <c r="AK87" s="405" t="s">
        <v>1092</v>
      </c>
      <c r="AL87" s="425">
        <v>2072</v>
      </c>
      <c r="AM87" s="405" t="s">
        <v>52</v>
      </c>
      <c r="AN87" s="405"/>
      <c r="AO87" s="405"/>
      <c r="AP87" s="413"/>
      <c r="AQ87" s="413" t="s">
        <v>1083</v>
      </c>
      <c r="AR87" s="405" t="s">
        <v>1188</v>
      </c>
      <c r="AS87" s="368" t="s">
        <v>1072</v>
      </c>
      <c r="AT87" s="386" t="s">
        <v>1084</v>
      </c>
      <c r="AU87" s="386" t="s">
        <v>1073</v>
      </c>
    </row>
    <row r="88" spans="1:47" s="402" customFormat="1">
      <c r="A88" s="426"/>
      <c r="B88" s="376"/>
      <c r="C88" s="426"/>
      <c r="D88" s="374" t="s">
        <v>1066</v>
      </c>
      <c r="E88" s="432" t="s">
        <v>1158</v>
      </c>
      <c r="F88" s="432"/>
      <c r="G88" s="432"/>
      <c r="H88" s="432"/>
      <c r="I88" s="432" t="s">
        <v>1498</v>
      </c>
      <c r="J88" s="433"/>
      <c r="K88" s="432" t="s">
        <v>4123</v>
      </c>
      <c r="L88" s="433" t="s">
        <v>1472</v>
      </c>
      <c r="M88" s="433">
        <v>44671</v>
      </c>
      <c r="N88" s="433">
        <v>44762</v>
      </c>
      <c r="O88" s="433"/>
      <c r="P88" s="433"/>
      <c r="Q88" s="433"/>
      <c r="R88" s="433"/>
      <c r="S88" s="432" t="s">
        <v>1067</v>
      </c>
      <c r="T88" s="432">
        <v>60</v>
      </c>
      <c r="U88" s="432"/>
      <c r="V88" s="432" t="s">
        <v>986</v>
      </c>
      <c r="W88" s="436">
        <v>360</v>
      </c>
      <c r="X88" s="372">
        <v>768</v>
      </c>
      <c r="Y88" s="408">
        <f t="shared" si="7"/>
        <v>276480</v>
      </c>
      <c r="Z88" s="409">
        <v>0.63</v>
      </c>
      <c r="AA88" s="410">
        <f t="shared" si="9"/>
        <v>174182.39999999999</v>
      </c>
      <c r="AB88" s="411"/>
      <c r="AC88" s="412">
        <f t="shared" si="10"/>
        <v>0</v>
      </c>
      <c r="AD88" s="421"/>
      <c r="AE88" s="413"/>
      <c r="AF88" s="424">
        <f t="shared" si="8"/>
        <v>174182.39999999999</v>
      </c>
      <c r="AG88" s="405" t="s">
        <v>1069</v>
      </c>
      <c r="AH88" s="405">
        <v>10</v>
      </c>
      <c r="AI88" s="405">
        <v>30</v>
      </c>
      <c r="AJ88" s="405" t="s">
        <v>1473</v>
      </c>
      <c r="AK88" s="405" t="s">
        <v>1092</v>
      </c>
      <c r="AL88" s="425">
        <v>2072</v>
      </c>
      <c r="AM88" s="405" t="s">
        <v>52</v>
      </c>
      <c r="AN88" s="405"/>
      <c r="AO88" s="405"/>
      <c r="AP88" s="413"/>
      <c r="AQ88" s="413" t="s">
        <v>1083</v>
      </c>
      <c r="AR88" s="405" t="s">
        <v>1188</v>
      </c>
      <c r="AS88" s="368" t="s">
        <v>1072</v>
      </c>
      <c r="AT88" s="386" t="s">
        <v>1084</v>
      </c>
      <c r="AU88" s="386" t="s">
        <v>1073</v>
      </c>
    </row>
    <row r="89" spans="1:47" s="402" customFormat="1">
      <c r="A89" s="426"/>
      <c r="B89" s="376"/>
      <c r="C89" s="426"/>
      <c r="D89" s="374" t="s">
        <v>1066</v>
      </c>
      <c r="E89" s="432" t="s">
        <v>1158</v>
      </c>
      <c r="F89" s="432"/>
      <c r="G89" s="432"/>
      <c r="H89" s="432"/>
      <c r="I89" s="432" t="s">
        <v>1498</v>
      </c>
      <c r="J89" s="433"/>
      <c r="K89" s="432" t="s">
        <v>4124</v>
      </c>
      <c r="L89" s="433" t="s">
        <v>1472</v>
      </c>
      <c r="M89" s="433">
        <v>44671</v>
      </c>
      <c r="N89" s="433">
        <v>44790</v>
      </c>
      <c r="O89" s="433"/>
      <c r="P89" s="433"/>
      <c r="Q89" s="433"/>
      <c r="R89" s="433"/>
      <c r="S89" s="432" t="s">
        <v>1067</v>
      </c>
      <c r="T89" s="432">
        <v>60</v>
      </c>
      <c r="U89" s="432"/>
      <c r="V89" s="432" t="s">
        <v>986</v>
      </c>
      <c r="W89" s="436">
        <v>360</v>
      </c>
      <c r="X89" s="372">
        <v>768</v>
      </c>
      <c r="Y89" s="408">
        <f t="shared" si="7"/>
        <v>276480</v>
      </c>
      <c r="Z89" s="409">
        <v>0.63</v>
      </c>
      <c r="AA89" s="410">
        <f t="shared" si="9"/>
        <v>174182.39999999999</v>
      </c>
      <c r="AB89" s="411"/>
      <c r="AC89" s="412">
        <f t="shared" si="10"/>
        <v>0</v>
      </c>
      <c r="AD89" s="421"/>
      <c r="AE89" s="413"/>
      <c r="AF89" s="424">
        <f t="shared" si="8"/>
        <v>174182.39999999999</v>
      </c>
      <c r="AG89" s="405" t="s">
        <v>1069</v>
      </c>
      <c r="AH89" s="405">
        <v>10</v>
      </c>
      <c r="AI89" s="405">
        <v>30</v>
      </c>
      <c r="AJ89" s="405" t="s">
        <v>1473</v>
      </c>
      <c r="AK89" s="405" t="s">
        <v>1092</v>
      </c>
      <c r="AL89" s="425">
        <v>2072</v>
      </c>
      <c r="AM89" s="405" t="s">
        <v>52</v>
      </c>
      <c r="AN89" s="405"/>
      <c r="AO89" s="405"/>
      <c r="AP89" s="413"/>
      <c r="AQ89" s="413" t="s">
        <v>1083</v>
      </c>
      <c r="AR89" s="405" t="s">
        <v>1188</v>
      </c>
      <c r="AS89" s="368" t="s">
        <v>1072</v>
      </c>
      <c r="AT89" s="386" t="s">
        <v>1084</v>
      </c>
      <c r="AU89" s="386" t="s">
        <v>1073</v>
      </c>
    </row>
    <row r="90" spans="1:47" s="402" customFormat="1">
      <c r="A90" s="426"/>
      <c r="B90" s="376"/>
      <c r="C90" s="426"/>
      <c r="D90" s="374" t="s">
        <v>1066</v>
      </c>
      <c r="E90" s="432" t="s">
        <v>1158</v>
      </c>
      <c r="F90" s="432"/>
      <c r="G90" s="432"/>
      <c r="H90" s="432"/>
      <c r="I90" s="432" t="s">
        <v>1498</v>
      </c>
      <c r="J90" s="433"/>
      <c r="K90" s="432" t="s">
        <v>4125</v>
      </c>
      <c r="L90" s="433" t="s">
        <v>1472</v>
      </c>
      <c r="M90" s="433">
        <v>44671</v>
      </c>
      <c r="N90" s="433">
        <v>44833</v>
      </c>
      <c r="O90" s="433"/>
      <c r="P90" s="433"/>
      <c r="Q90" s="433"/>
      <c r="R90" s="433"/>
      <c r="S90" s="432" t="s">
        <v>1067</v>
      </c>
      <c r="T90" s="432">
        <v>60</v>
      </c>
      <c r="U90" s="432"/>
      <c r="V90" s="432" t="s">
        <v>986</v>
      </c>
      <c r="W90" s="436">
        <v>360</v>
      </c>
      <c r="X90" s="372">
        <v>768</v>
      </c>
      <c r="Y90" s="408">
        <f t="shared" si="7"/>
        <v>276480</v>
      </c>
      <c r="Z90" s="409">
        <v>0.63</v>
      </c>
      <c r="AA90" s="410">
        <f t="shared" si="9"/>
        <v>174182.39999999999</v>
      </c>
      <c r="AB90" s="411"/>
      <c r="AC90" s="412">
        <f t="shared" si="10"/>
        <v>0</v>
      </c>
      <c r="AD90" s="421"/>
      <c r="AE90" s="413"/>
      <c r="AF90" s="424">
        <f t="shared" si="8"/>
        <v>174182.39999999999</v>
      </c>
      <c r="AG90" s="405" t="s">
        <v>1069</v>
      </c>
      <c r="AH90" s="405">
        <v>10</v>
      </c>
      <c r="AI90" s="405">
        <v>30</v>
      </c>
      <c r="AJ90" s="405" t="s">
        <v>1473</v>
      </c>
      <c r="AK90" s="405" t="s">
        <v>1092</v>
      </c>
      <c r="AL90" s="425">
        <v>2072</v>
      </c>
      <c r="AM90" s="405" t="s">
        <v>52</v>
      </c>
      <c r="AN90" s="405"/>
      <c r="AO90" s="405"/>
      <c r="AP90" s="413"/>
      <c r="AQ90" s="413" t="s">
        <v>1083</v>
      </c>
      <c r="AR90" s="405" t="s">
        <v>1188</v>
      </c>
      <c r="AS90" s="368" t="s">
        <v>1072</v>
      </c>
      <c r="AT90" s="386" t="s">
        <v>1084</v>
      </c>
      <c r="AU90" s="386" t="s">
        <v>1073</v>
      </c>
    </row>
    <row r="91" spans="1:47" s="402" customFormat="1">
      <c r="A91" s="426"/>
      <c r="B91" s="376"/>
      <c r="C91" s="426"/>
      <c r="D91" s="374" t="s">
        <v>1066</v>
      </c>
      <c r="E91" s="432" t="s">
        <v>1158</v>
      </c>
      <c r="F91" s="432"/>
      <c r="G91" s="432"/>
      <c r="H91" s="432"/>
      <c r="I91" s="432" t="s">
        <v>1498</v>
      </c>
      <c r="J91" s="433"/>
      <c r="K91" s="432" t="s">
        <v>4126</v>
      </c>
      <c r="L91" s="433" t="s">
        <v>1472</v>
      </c>
      <c r="M91" s="433">
        <v>44671</v>
      </c>
      <c r="N91" s="433">
        <v>44830</v>
      </c>
      <c r="O91" s="433"/>
      <c r="P91" s="433"/>
      <c r="Q91" s="433"/>
      <c r="R91" s="433"/>
      <c r="S91" s="432" t="s">
        <v>1067</v>
      </c>
      <c r="T91" s="432">
        <v>60</v>
      </c>
      <c r="U91" s="432"/>
      <c r="V91" s="432" t="s">
        <v>986</v>
      </c>
      <c r="W91" s="436">
        <v>360</v>
      </c>
      <c r="X91" s="372">
        <v>768</v>
      </c>
      <c r="Y91" s="408">
        <f t="shared" si="7"/>
        <v>276480</v>
      </c>
      <c r="Z91" s="409">
        <v>0.63</v>
      </c>
      <c r="AA91" s="410">
        <f t="shared" si="9"/>
        <v>174182.39999999999</v>
      </c>
      <c r="AB91" s="411"/>
      <c r="AC91" s="412">
        <f t="shared" si="10"/>
        <v>0</v>
      </c>
      <c r="AD91" s="421"/>
      <c r="AE91" s="413"/>
      <c r="AF91" s="424">
        <f t="shared" si="8"/>
        <v>174182.39999999999</v>
      </c>
      <c r="AG91" s="405" t="s">
        <v>1069</v>
      </c>
      <c r="AH91" s="405">
        <v>10</v>
      </c>
      <c r="AI91" s="405">
        <v>30</v>
      </c>
      <c r="AJ91" s="405" t="s">
        <v>1500</v>
      </c>
      <c r="AK91" s="405" t="s">
        <v>1082</v>
      </c>
      <c r="AL91" s="425">
        <v>8512</v>
      </c>
      <c r="AM91" s="405" t="s">
        <v>52</v>
      </c>
      <c r="AN91" s="405"/>
      <c r="AO91" s="405"/>
      <c r="AP91" s="413"/>
      <c r="AQ91" s="413" t="s">
        <v>1083</v>
      </c>
      <c r="AR91" s="405" t="s">
        <v>1188</v>
      </c>
      <c r="AS91" s="368" t="s">
        <v>1072</v>
      </c>
      <c r="AT91" s="386" t="s">
        <v>1084</v>
      </c>
      <c r="AU91" s="386" t="s">
        <v>1073</v>
      </c>
    </row>
    <row r="92" spans="1:47" s="402" customFormat="1">
      <c r="A92" s="426"/>
      <c r="B92" s="376"/>
      <c r="C92" s="426"/>
      <c r="D92" s="374" t="s">
        <v>1066</v>
      </c>
      <c r="E92" s="432" t="s">
        <v>1158</v>
      </c>
      <c r="F92" s="432"/>
      <c r="G92" s="432"/>
      <c r="H92" s="432"/>
      <c r="I92" s="432" t="s">
        <v>1498</v>
      </c>
      <c r="J92" s="433"/>
      <c r="K92" s="432" t="s">
        <v>4127</v>
      </c>
      <c r="L92" s="433" t="s">
        <v>1472</v>
      </c>
      <c r="M92" s="433">
        <v>44671</v>
      </c>
      <c r="N92" s="433">
        <v>44839</v>
      </c>
      <c r="O92" s="433"/>
      <c r="P92" s="433"/>
      <c r="Q92" s="433"/>
      <c r="R92" s="433"/>
      <c r="S92" s="432" t="s">
        <v>1067</v>
      </c>
      <c r="T92" s="432">
        <v>60</v>
      </c>
      <c r="U92" s="432"/>
      <c r="V92" s="432" t="s">
        <v>986</v>
      </c>
      <c r="W92" s="436">
        <v>360</v>
      </c>
      <c r="X92" s="372">
        <v>768</v>
      </c>
      <c r="Y92" s="408">
        <f t="shared" si="7"/>
        <v>276480</v>
      </c>
      <c r="Z92" s="409">
        <v>0.63</v>
      </c>
      <c r="AA92" s="410">
        <f t="shared" si="9"/>
        <v>174182.39999999999</v>
      </c>
      <c r="AB92" s="411"/>
      <c r="AC92" s="412">
        <f t="shared" si="10"/>
        <v>0</v>
      </c>
      <c r="AD92" s="421"/>
      <c r="AE92" s="413"/>
      <c r="AF92" s="424">
        <f t="shared" si="8"/>
        <v>174182.39999999999</v>
      </c>
      <c r="AG92" s="405" t="s">
        <v>1069</v>
      </c>
      <c r="AH92" s="405">
        <v>10</v>
      </c>
      <c r="AI92" s="405">
        <v>30</v>
      </c>
      <c r="AJ92" s="405" t="s">
        <v>1500</v>
      </c>
      <c r="AK92" s="405" t="s">
        <v>1082</v>
      </c>
      <c r="AL92" s="425">
        <v>8512</v>
      </c>
      <c r="AM92" s="405" t="s">
        <v>52</v>
      </c>
      <c r="AN92" s="405"/>
      <c r="AO92" s="405"/>
      <c r="AP92" s="413"/>
      <c r="AQ92" s="413" t="s">
        <v>1083</v>
      </c>
      <c r="AR92" s="405" t="s">
        <v>1188</v>
      </c>
      <c r="AS92" s="368" t="s">
        <v>1072</v>
      </c>
      <c r="AT92" s="386" t="s">
        <v>1084</v>
      </c>
      <c r="AU92" s="386" t="s">
        <v>1073</v>
      </c>
    </row>
    <row r="93" spans="1:47" s="402" customFormat="1">
      <c r="A93" s="426"/>
      <c r="B93" s="376"/>
      <c r="C93" s="426"/>
      <c r="D93" s="374" t="s">
        <v>1066</v>
      </c>
      <c r="E93" s="432" t="s">
        <v>1158</v>
      </c>
      <c r="F93" s="432"/>
      <c r="G93" s="432"/>
      <c r="H93" s="432"/>
      <c r="I93" s="432" t="s">
        <v>1498</v>
      </c>
      <c r="J93" s="433"/>
      <c r="K93" s="432" t="s">
        <v>4128</v>
      </c>
      <c r="L93" s="433" t="s">
        <v>1472</v>
      </c>
      <c r="M93" s="433">
        <v>44671</v>
      </c>
      <c r="N93" s="433">
        <v>44881</v>
      </c>
      <c r="O93" s="433"/>
      <c r="P93" s="433"/>
      <c r="Q93" s="433"/>
      <c r="R93" s="433"/>
      <c r="S93" s="432" t="s">
        <v>1067</v>
      </c>
      <c r="T93" s="432">
        <v>60</v>
      </c>
      <c r="U93" s="432"/>
      <c r="V93" s="432" t="s">
        <v>986</v>
      </c>
      <c r="W93" s="436">
        <v>360</v>
      </c>
      <c r="X93" s="372">
        <v>2304</v>
      </c>
      <c r="Y93" s="408">
        <f t="shared" si="7"/>
        <v>829440</v>
      </c>
      <c r="Z93" s="409">
        <v>0.63</v>
      </c>
      <c r="AA93" s="410">
        <f t="shared" si="9"/>
        <v>522547.20000000001</v>
      </c>
      <c r="AB93" s="411"/>
      <c r="AC93" s="412">
        <f t="shared" si="10"/>
        <v>0</v>
      </c>
      <c r="AD93" s="421"/>
      <c r="AE93" s="413"/>
      <c r="AF93" s="424">
        <f t="shared" si="8"/>
        <v>522547.20000000001</v>
      </c>
      <c r="AG93" s="405" t="s">
        <v>1069</v>
      </c>
      <c r="AH93" s="405">
        <v>10</v>
      </c>
      <c r="AI93" s="405">
        <v>30</v>
      </c>
      <c r="AJ93" s="405" t="s">
        <v>1500</v>
      </c>
      <c r="AK93" s="405" t="s">
        <v>1082</v>
      </c>
      <c r="AL93" s="425">
        <v>8512</v>
      </c>
      <c r="AM93" s="405" t="s">
        <v>52</v>
      </c>
      <c r="AN93" s="405"/>
      <c r="AO93" s="405"/>
      <c r="AP93" s="413"/>
      <c r="AQ93" s="413" t="s">
        <v>1083</v>
      </c>
      <c r="AR93" s="405" t="s">
        <v>1188</v>
      </c>
      <c r="AS93" s="368" t="s">
        <v>1072</v>
      </c>
      <c r="AT93" s="386" t="s">
        <v>1084</v>
      </c>
      <c r="AU93" s="386" t="s">
        <v>1073</v>
      </c>
    </row>
    <row r="94" spans="1:47" s="402" customFormat="1">
      <c r="A94" s="426"/>
      <c r="B94" s="376"/>
      <c r="C94" s="426"/>
      <c r="D94" s="374" t="s">
        <v>1066</v>
      </c>
      <c r="E94" s="432" t="s">
        <v>1158</v>
      </c>
      <c r="F94" s="432"/>
      <c r="G94" s="432"/>
      <c r="H94" s="432"/>
      <c r="I94" s="432" t="s">
        <v>1498</v>
      </c>
      <c r="J94" s="433"/>
      <c r="K94" s="432" t="s">
        <v>4129</v>
      </c>
      <c r="L94" s="433" t="s">
        <v>1472</v>
      </c>
      <c r="M94" s="433">
        <v>44671</v>
      </c>
      <c r="N94" s="433">
        <v>44909</v>
      </c>
      <c r="O94" s="433"/>
      <c r="P94" s="433"/>
      <c r="Q94" s="433"/>
      <c r="R94" s="433"/>
      <c r="S94" s="432" t="s">
        <v>1067</v>
      </c>
      <c r="T94" s="432">
        <v>60</v>
      </c>
      <c r="U94" s="432"/>
      <c r="V94" s="432" t="s">
        <v>986</v>
      </c>
      <c r="W94" s="436">
        <v>360</v>
      </c>
      <c r="X94" s="372">
        <v>2304</v>
      </c>
      <c r="Y94" s="408">
        <f t="shared" si="7"/>
        <v>829440</v>
      </c>
      <c r="Z94" s="409">
        <v>0.63</v>
      </c>
      <c r="AA94" s="410">
        <f t="shared" si="9"/>
        <v>522547.20000000001</v>
      </c>
      <c r="AB94" s="411"/>
      <c r="AC94" s="412">
        <f t="shared" si="10"/>
        <v>0</v>
      </c>
      <c r="AD94" s="421"/>
      <c r="AE94" s="413"/>
      <c r="AF94" s="424">
        <f t="shared" si="8"/>
        <v>522547.20000000001</v>
      </c>
      <c r="AG94" s="405" t="s">
        <v>1069</v>
      </c>
      <c r="AH94" s="405">
        <v>10</v>
      </c>
      <c r="AI94" s="405">
        <v>30</v>
      </c>
      <c r="AJ94" s="405" t="s">
        <v>1500</v>
      </c>
      <c r="AK94" s="405" t="s">
        <v>1082</v>
      </c>
      <c r="AL94" s="425">
        <v>8512</v>
      </c>
      <c r="AM94" s="405" t="s">
        <v>52</v>
      </c>
      <c r="AN94" s="405"/>
      <c r="AO94" s="405"/>
      <c r="AP94" s="413"/>
      <c r="AQ94" s="413" t="s">
        <v>1083</v>
      </c>
      <c r="AR94" s="405" t="s">
        <v>1188</v>
      </c>
      <c r="AS94" s="368" t="s">
        <v>1072</v>
      </c>
      <c r="AT94" s="386" t="s">
        <v>1084</v>
      </c>
      <c r="AU94" s="386" t="s">
        <v>1073</v>
      </c>
    </row>
    <row r="95" spans="1:47" s="402" customFormat="1">
      <c r="A95" s="426"/>
      <c r="B95" s="376"/>
      <c r="C95" s="426"/>
      <c r="D95" s="374" t="s">
        <v>1066</v>
      </c>
      <c r="E95" s="432" t="s">
        <v>1158</v>
      </c>
      <c r="F95" s="432"/>
      <c r="G95" s="432"/>
      <c r="H95" s="432"/>
      <c r="I95" s="432" t="s">
        <v>1498</v>
      </c>
      <c r="J95" s="433"/>
      <c r="K95" s="432" t="s">
        <v>4130</v>
      </c>
      <c r="L95" s="433" t="s">
        <v>1472</v>
      </c>
      <c r="M95" s="433">
        <v>44671</v>
      </c>
      <c r="N95" s="433">
        <v>44750</v>
      </c>
      <c r="O95" s="433"/>
      <c r="P95" s="433"/>
      <c r="Q95" s="433"/>
      <c r="R95" s="433"/>
      <c r="S95" s="432" t="s">
        <v>1067</v>
      </c>
      <c r="T95" s="432">
        <v>60</v>
      </c>
      <c r="U95" s="432"/>
      <c r="V95" s="432" t="s">
        <v>986</v>
      </c>
      <c r="W95" s="436">
        <v>360</v>
      </c>
      <c r="X95" s="372">
        <v>768</v>
      </c>
      <c r="Y95" s="408">
        <f t="shared" si="7"/>
        <v>276480</v>
      </c>
      <c r="Z95" s="409">
        <v>0.63</v>
      </c>
      <c r="AA95" s="410">
        <f t="shared" si="9"/>
        <v>174182.39999999999</v>
      </c>
      <c r="AB95" s="411"/>
      <c r="AC95" s="412">
        <f t="shared" si="10"/>
        <v>0</v>
      </c>
      <c r="AD95" s="421"/>
      <c r="AE95" s="413"/>
      <c r="AF95" s="424">
        <f t="shared" si="8"/>
        <v>174182.39999999999</v>
      </c>
      <c r="AG95" s="405" t="s">
        <v>1069</v>
      </c>
      <c r="AH95" s="405">
        <v>10</v>
      </c>
      <c r="AI95" s="405">
        <v>30</v>
      </c>
      <c r="AJ95" s="405" t="s">
        <v>1500</v>
      </c>
      <c r="AK95" s="405" t="s">
        <v>1082</v>
      </c>
      <c r="AL95" s="425">
        <v>8512</v>
      </c>
      <c r="AM95" s="405" t="s">
        <v>52</v>
      </c>
      <c r="AN95" s="405"/>
      <c r="AO95" s="405"/>
      <c r="AP95" s="413"/>
      <c r="AQ95" s="413" t="s">
        <v>1083</v>
      </c>
      <c r="AR95" s="405" t="s">
        <v>1188</v>
      </c>
      <c r="AS95" s="368" t="s">
        <v>1072</v>
      </c>
      <c r="AT95" s="386" t="s">
        <v>1084</v>
      </c>
      <c r="AU95" s="386" t="s">
        <v>1073</v>
      </c>
    </row>
    <row r="96" spans="1:47" s="402" customFormat="1">
      <c r="A96" s="426"/>
      <c r="B96" s="376"/>
      <c r="C96" s="426"/>
      <c r="D96" s="374" t="s">
        <v>1066</v>
      </c>
      <c r="E96" s="432" t="s">
        <v>1158</v>
      </c>
      <c r="F96" s="432"/>
      <c r="G96" s="432"/>
      <c r="H96" s="432"/>
      <c r="I96" s="432" t="s">
        <v>1498</v>
      </c>
      <c r="J96" s="433"/>
      <c r="K96" s="432" t="s">
        <v>4131</v>
      </c>
      <c r="L96" s="433" t="s">
        <v>1472</v>
      </c>
      <c r="M96" s="433">
        <v>44671</v>
      </c>
      <c r="N96" s="433">
        <v>44796</v>
      </c>
      <c r="O96" s="433"/>
      <c r="P96" s="433"/>
      <c r="Q96" s="433"/>
      <c r="R96" s="433"/>
      <c r="S96" s="432" t="s">
        <v>1067</v>
      </c>
      <c r="T96" s="432">
        <v>60</v>
      </c>
      <c r="U96" s="432"/>
      <c r="V96" s="432" t="s">
        <v>986</v>
      </c>
      <c r="W96" s="436">
        <v>360</v>
      </c>
      <c r="X96" s="372">
        <v>768</v>
      </c>
      <c r="Y96" s="408">
        <f t="shared" si="7"/>
        <v>276480</v>
      </c>
      <c r="Z96" s="409">
        <v>0.63</v>
      </c>
      <c r="AA96" s="410">
        <f t="shared" si="9"/>
        <v>174182.39999999999</v>
      </c>
      <c r="AB96" s="411"/>
      <c r="AC96" s="412">
        <f t="shared" si="10"/>
        <v>0</v>
      </c>
      <c r="AD96" s="421"/>
      <c r="AE96" s="413"/>
      <c r="AF96" s="424">
        <f t="shared" si="8"/>
        <v>174182.39999999999</v>
      </c>
      <c r="AG96" s="405" t="s">
        <v>1069</v>
      </c>
      <c r="AH96" s="405">
        <v>10</v>
      </c>
      <c r="AI96" s="405">
        <v>30</v>
      </c>
      <c r="AJ96" s="405" t="s">
        <v>1500</v>
      </c>
      <c r="AK96" s="405" t="s">
        <v>1082</v>
      </c>
      <c r="AL96" s="425">
        <v>8512</v>
      </c>
      <c r="AM96" s="405" t="s">
        <v>52</v>
      </c>
      <c r="AN96" s="405"/>
      <c r="AO96" s="405"/>
      <c r="AP96" s="413"/>
      <c r="AQ96" s="413" t="s">
        <v>1083</v>
      </c>
      <c r="AR96" s="405" t="s">
        <v>1188</v>
      </c>
      <c r="AS96" s="368" t="s">
        <v>1072</v>
      </c>
      <c r="AT96" s="386" t="s">
        <v>1084</v>
      </c>
      <c r="AU96" s="386" t="s">
        <v>1073</v>
      </c>
    </row>
    <row r="97" spans="1:47" s="402" customFormat="1">
      <c r="A97" s="426"/>
      <c r="B97" s="376"/>
      <c r="C97" s="426"/>
      <c r="D97" s="374" t="s">
        <v>1066</v>
      </c>
      <c r="E97" s="432" t="s">
        <v>1158</v>
      </c>
      <c r="F97" s="432"/>
      <c r="G97" s="432"/>
      <c r="H97" s="432"/>
      <c r="I97" s="432" t="s">
        <v>1498</v>
      </c>
      <c r="J97" s="433"/>
      <c r="K97" s="432" t="s">
        <v>4132</v>
      </c>
      <c r="L97" s="433" t="s">
        <v>1472</v>
      </c>
      <c r="M97" s="433">
        <v>44671</v>
      </c>
      <c r="N97" s="433">
        <v>44793</v>
      </c>
      <c r="O97" s="433"/>
      <c r="P97" s="433"/>
      <c r="Q97" s="433"/>
      <c r="R97" s="433"/>
      <c r="S97" s="432" t="s">
        <v>1067</v>
      </c>
      <c r="T97" s="432">
        <v>60</v>
      </c>
      <c r="U97" s="432"/>
      <c r="V97" s="432" t="s">
        <v>973</v>
      </c>
      <c r="W97" s="436">
        <v>400</v>
      </c>
      <c r="X97" s="372">
        <v>4608</v>
      </c>
      <c r="Y97" s="408">
        <f t="shared" si="7"/>
        <v>1843200</v>
      </c>
      <c r="Z97" s="409">
        <v>0.65</v>
      </c>
      <c r="AA97" s="410">
        <f t="shared" si="9"/>
        <v>1198080</v>
      </c>
      <c r="AB97" s="411"/>
      <c r="AC97" s="412">
        <f t="shared" si="10"/>
        <v>0</v>
      </c>
      <c r="AD97" s="421"/>
      <c r="AE97" s="413"/>
      <c r="AF97" s="424">
        <f t="shared" si="8"/>
        <v>1198080</v>
      </c>
      <c r="AG97" s="405" t="s">
        <v>1069</v>
      </c>
      <c r="AH97" s="405">
        <v>10</v>
      </c>
      <c r="AI97" s="405">
        <v>30</v>
      </c>
      <c r="AJ97" s="405" t="s">
        <v>1473</v>
      </c>
      <c r="AK97" s="405" t="s">
        <v>1092</v>
      </c>
      <c r="AL97" s="425">
        <v>2072</v>
      </c>
      <c r="AM97" s="405" t="s">
        <v>52</v>
      </c>
      <c r="AN97" s="405"/>
      <c r="AO97" s="405"/>
      <c r="AP97" s="413"/>
      <c r="AQ97" s="413" t="s">
        <v>1083</v>
      </c>
      <c r="AR97" s="405" t="s">
        <v>1188</v>
      </c>
      <c r="AS97" s="368" t="s">
        <v>1072</v>
      </c>
      <c r="AT97" s="386" t="s">
        <v>1084</v>
      </c>
      <c r="AU97" s="386" t="s">
        <v>1073</v>
      </c>
    </row>
    <row r="98" spans="1:47" s="402" customFormat="1">
      <c r="A98" s="426"/>
      <c r="B98" s="376"/>
      <c r="C98" s="426"/>
      <c r="D98" s="374" t="s">
        <v>1066</v>
      </c>
      <c r="E98" s="432" t="s">
        <v>1158</v>
      </c>
      <c r="F98" s="432"/>
      <c r="G98" s="432"/>
      <c r="H98" s="432"/>
      <c r="I98" s="432" t="s">
        <v>1498</v>
      </c>
      <c r="J98" s="433"/>
      <c r="K98" s="432" t="s">
        <v>4133</v>
      </c>
      <c r="L98" s="433" t="s">
        <v>1472</v>
      </c>
      <c r="M98" s="433">
        <v>44671</v>
      </c>
      <c r="N98" s="433">
        <v>44810</v>
      </c>
      <c r="O98" s="433"/>
      <c r="P98" s="433"/>
      <c r="Q98" s="433"/>
      <c r="R98" s="433"/>
      <c r="S98" s="432" t="s">
        <v>1067</v>
      </c>
      <c r="T98" s="432">
        <v>60</v>
      </c>
      <c r="U98" s="432"/>
      <c r="V98" s="432" t="s">
        <v>973</v>
      </c>
      <c r="W98" s="436">
        <v>400</v>
      </c>
      <c r="X98" s="372">
        <v>4608</v>
      </c>
      <c r="Y98" s="408">
        <f t="shared" si="7"/>
        <v>1843200</v>
      </c>
      <c r="Z98" s="409">
        <v>0.65</v>
      </c>
      <c r="AA98" s="410">
        <f t="shared" si="9"/>
        <v>1198080</v>
      </c>
      <c r="AB98" s="411"/>
      <c r="AC98" s="412">
        <f t="shared" si="10"/>
        <v>0</v>
      </c>
      <c r="AD98" s="421"/>
      <c r="AE98" s="413"/>
      <c r="AF98" s="424">
        <f t="shared" si="8"/>
        <v>1198080</v>
      </c>
      <c r="AG98" s="405" t="s">
        <v>1069</v>
      </c>
      <c r="AH98" s="405">
        <v>10</v>
      </c>
      <c r="AI98" s="405">
        <v>30</v>
      </c>
      <c r="AJ98" s="405" t="s">
        <v>1473</v>
      </c>
      <c r="AK98" s="405" t="s">
        <v>1092</v>
      </c>
      <c r="AL98" s="425">
        <v>2072</v>
      </c>
      <c r="AM98" s="405" t="s">
        <v>52</v>
      </c>
      <c r="AN98" s="405"/>
      <c r="AO98" s="405"/>
      <c r="AP98" s="413"/>
      <c r="AQ98" s="413" t="s">
        <v>1083</v>
      </c>
      <c r="AR98" s="405" t="s">
        <v>1188</v>
      </c>
      <c r="AS98" s="368" t="s">
        <v>1072</v>
      </c>
      <c r="AT98" s="386" t="s">
        <v>1084</v>
      </c>
      <c r="AU98" s="386" t="s">
        <v>1073</v>
      </c>
    </row>
    <row r="99" spans="1:47" s="402" customFormat="1">
      <c r="A99" s="426"/>
      <c r="B99" s="376"/>
      <c r="C99" s="426"/>
      <c r="D99" s="374" t="s">
        <v>1066</v>
      </c>
      <c r="E99" s="432" t="s">
        <v>1158</v>
      </c>
      <c r="F99" s="432"/>
      <c r="G99" s="432"/>
      <c r="H99" s="432"/>
      <c r="I99" s="432" t="s">
        <v>1498</v>
      </c>
      <c r="J99" s="433"/>
      <c r="K99" s="432" t="s">
        <v>4134</v>
      </c>
      <c r="L99" s="433" t="s">
        <v>1472</v>
      </c>
      <c r="M99" s="433">
        <v>44671</v>
      </c>
      <c r="N99" s="433">
        <v>44760</v>
      </c>
      <c r="O99" s="433"/>
      <c r="P99" s="433"/>
      <c r="Q99" s="433"/>
      <c r="R99" s="433"/>
      <c r="S99" s="432" t="s">
        <v>1067</v>
      </c>
      <c r="T99" s="432">
        <v>60</v>
      </c>
      <c r="U99" s="432"/>
      <c r="V99" s="432" t="s">
        <v>973</v>
      </c>
      <c r="W99" s="436">
        <v>400</v>
      </c>
      <c r="X99" s="372">
        <v>4608</v>
      </c>
      <c r="Y99" s="408">
        <f t="shared" si="7"/>
        <v>1843200</v>
      </c>
      <c r="Z99" s="409">
        <v>0.65</v>
      </c>
      <c r="AA99" s="410">
        <f t="shared" si="9"/>
        <v>1198080</v>
      </c>
      <c r="AB99" s="411"/>
      <c r="AC99" s="412">
        <f t="shared" si="10"/>
        <v>0</v>
      </c>
      <c r="AD99" s="421"/>
      <c r="AE99" s="413"/>
      <c r="AF99" s="424">
        <f t="shared" si="8"/>
        <v>1198080</v>
      </c>
      <c r="AG99" s="405" t="s">
        <v>1069</v>
      </c>
      <c r="AH99" s="405">
        <v>10</v>
      </c>
      <c r="AI99" s="405">
        <v>30</v>
      </c>
      <c r="AJ99" s="405" t="s">
        <v>1473</v>
      </c>
      <c r="AK99" s="405" t="s">
        <v>1092</v>
      </c>
      <c r="AL99" s="425">
        <v>2072</v>
      </c>
      <c r="AM99" s="405" t="s">
        <v>52</v>
      </c>
      <c r="AN99" s="405"/>
      <c r="AO99" s="405"/>
      <c r="AP99" s="413"/>
      <c r="AQ99" s="413" t="s">
        <v>1083</v>
      </c>
      <c r="AR99" s="405" t="s">
        <v>1188</v>
      </c>
      <c r="AS99" s="368" t="s">
        <v>1072</v>
      </c>
      <c r="AT99" s="386" t="s">
        <v>1084</v>
      </c>
      <c r="AU99" s="386" t="s">
        <v>1073</v>
      </c>
    </row>
    <row r="100" spans="1:47" s="402" customFormat="1">
      <c r="A100" s="426"/>
      <c r="B100" s="376"/>
      <c r="C100" s="426"/>
      <c r="D100" s="374" t="s">
        <v>1066</v>
      </c>
      <c r="E100" s="432" t="s">
        <v>1158</v>
      </c>
      <c r="F100" s="432"/>
      <c r="G100" s="432"/>
      <c r="H100" s="432"/>
      <c r="I100" s="432" t="s">
        <v>1498</v>
      </c>
      <c r="J100" s="433"/>
      <c r="K100" s="432" t="s">
        <v>4135</v>
      </c>
      <c r="L100" s="433" t="s">
        <v>1472</v>
      </c>
      <c r="M100" s="433">
        <v>44671</v>
      </c>
      <c r="N100" s="433">
        <v>44790</v>
      </c>
      <c r="O100" s="433"/>
      <c r="P100" s="433"/>
      <c r="Q100" s="433"/>
      <c r="R100" s="433"/>
      <c r="S100" s="432" t="s">
        <v>1067</v>
      </c>
      <c r="T100" s="432">
        <v>60</v>
      </c>
      <c r="U100" s="432"/>
      <c r="V100" s="432" t="s">
        <v>973</v>
      </c>
      <c r="W100" s="436">
        <v>400</v>
      </c>
      <c r="X100" s="372">
        <v>4608</v>
      </c>
      <c r="Y100" s="408">
        <f t="shared" si="7"/>
        <v>1843200</v>
      </c>
      <c r="Z100" s="409">
        <v>0.65</v>
      </c>
      <c r="AA100" s="410">
        <f t="shared" si="9"/>
        <v>1198080</v>
      </c>
      <c r="AB100" s="411"/>
      <c r="AC100" s="412">
        <f t="shared" si="10"/>
        <v>0</v>
      </c>
      <c r="AD100" s="421"/>
      <c r="AE100" s="413"/>
      <c r="AF100" s="424">
        <f t="shared" si="8"/>
        <v>1198080</v>
      </c>
      <c r="AG100" s="405" t="s">
        <v>1069</v>
      </c>
      <c r="AH100" s="405">
        <v>10</v>
      </c>
      <c r="AI100" s="405">
        <v>30</v>
      </c>
      <c r="AJ100" s="405" t="s">
        <v>1500</v>
      </c>
      <c r="AK100" s="405" t="s">
        <v>1082</v>
      </c>
      <c r="AL100" s="425">
        <v>8512</v>
      </c>
      <c r="AM100" s="405" t="s">
        <v>52</v>
      </c>
      <c r="AN100" s="405"/>
      <c r="AO100" s="405"/>
      <c r="AP100" s="413"/>
      <c r="AQ100" s="413" t="s">
        <v>1083</v>
      </c>
      <c r="AR100" s="405" t="s">
        <v>1188</v>
      </c>
      <c r="AS100" s="368" t="s">
        <v>1072</v>
      </c>
      <c r="AT100" s="386" t="s">
        <v>1084</v>
      </c>
      <c r="AU100" s="386" t="s">
        <v>1073</v>
      </c>
    </row>
    <row r="101" spans="1:47" s="402" customFormat="1">
      <c r="A101" s="426"/>
      <c r="B101" s="376"/>
      <c r="C101" s="426"/>
      <c r="D101" s="374" t="s">
        <v>1066</v>
      </c>
      <c r="E101" s="432" t="s">
        <v>1158</v>
      </c>
      <c r="F101" s="432"/>
      <c r="G101" s="432"/>
      <c r="H101" s="432"/>
      <c r="I101" s="432" t="s">
        <v>1498</v>
      </c>
      <c r="J101" s="433"/>
      <c r="K101" s="432" t="s">
        <v>4136</v>
      </c>
      <c r="L101" s="433" t="s">
        <v>1472</v>
      </c>
      <c r="M101" s="433">
        <v>44671</v>
      </c>
      <c r="N101" s="433">
        <v>44825</v>
      </c>
      <c r="O101" s="433"/>
      <c r="P101" s="433"/>
      <c r="Q101" s="433"/>
      <c r="R101" s="433"/>
      <c r="S101" s="432" t="s">
        <v>1067</v>
      </c>
      <c r="T101" s="432">
        <v>60</v>
      </c>
      <c r="U101" s="432"/>
      <c r="V101" s="432" t="s">
        <v>973</v>
      </c>
      <c r="W101" s="436">
        <v>400</v>
      </c>
      <c r="X101" s="372">
        <v>4608</v>
      </c>
      <c r="Y101" s="408">
        <f t="shared" si="7"/>
        <v>1843200</v>
      </c>
      <c r="Z101" s="409">
        <v>0.65</v>
      </c>
      <c r="AA101" s="410">
        <f t="shared" si="9"/>
        <v>1198080</v>
      </c>
      <c r="AB101" s="411"/>
      <c r="AC101" s="412">
        <f t="shared" si="10"/>
        <v>0</v>
      </c>
      <c r="AD101" s="421"/>
      <c r="AE101" s="413"/>
      <c r="AF101" s="424">
        <f t="shared" si="8"/>
        <v>1198080</v>
      </c>
      <c r="AG101" s="405" t="s">
        <v>1069</v>
      </c>
      <c r="AH101" s="405">
        <v>10</v>
      </c>
      <c r="AI101" s="405">
        <v>30</v>
      </c>
      <c r="AJ101" s="405" t="s">
        <v>1500</v>
      </c>
      <c r="AK101" s="405" t="s">
        <v>1082</v>
      </c>
      <c r="AL101" s="425">
        <v>8512</v>
      </c>
      <c r="AM101" s="405" t="s">
        <v>52</v>
      </c>
      <c r="AN101" s="405"/>
      <c r="AO101" s="405"/>
      <c r="AP101" s="413"/>
      <c r="AQ101" s="413" t="s">
        <v>1083</v>
      </c>
      <c r="AR101" s="405" t="s">
        <v>1188</v>
      </c>
      <c r="AS101" s="368" t="s">
        <v>1072</v>
      </c>
      <c r="AT101" s="386" t="s">
        <v>1084</v>
      </c>
      <c r="AU101" s="386" t="s">
        <v>1073</v>
      </c>
    </row>
    <row r="102" spans="1:47" s="402" customFormat="1">
      <c r="A102" s="426"/>
      <c r="B102" s="376"/>
      <c r="C102" s="426"/>
      <c r="D102" s="374" t="s">
        <v>1066</v>
      </c>
      <c r="E102" s="432" t="s">
        <v>1158</v>
      </c>
      <c r="F102" s="432"/>
      <c r="G102" s="432"/>
      <c r="H102" s="432"/>
      <c r="I102" s="432" t="s">
        <v>1498</v>
      </c>
      <c r="J102" s="433"/>
      <c r="K102" s="432" t="s">
        <v>4137</v>
      </c>
      <c r="L102" s="433" t="s">
        <v>1472</v>
      </c>
      <c r="M102" s="433">
        <v>44671</v>
      </c>
      <c r="N102" s="433">
        <v>44757</v>
      </c>
      <c r="O102" s="433"/>
      <c r="P102" s="433"/>
      <c r="Q102" s="433"/>
      <c r="R102" s="433"/>
      <c r="S102" s="432" t="s">
        <v>1067</v>
      </c>
      <c r="T102" s="432">
        <v>60</v>
      </c>
      <c r="U102" s="432"/>
      <c r="V102" s="432" t="s">
        <v>973</v>
      </c>
      <c r="W102" s="436">
        <v>400</v>
      </c>
      <c r="X102" s="372">
        <v>4608</v>
      </c>
      <c r="Y102" s="408">
        <f t="shared" si="7"/>
        <v>1843200</v>
      </c>
      <c r="Z102" s="409">
        <v>0.65</v>
      </c>
      <c r="AA102" s="410">
        <f t="shared" si="9"/>
        <v>1198080</v>
      </c>
      <c r="AB102" s="411"/>
      <c r="AC102" s="412">
        <f t="shared" si="10"/>
        <v>0</v>
      </c>
      <c r="AD102" s="421"/>
      <c r="AE102" s="413"/>
      <c r="AF102" s="424">
        <f t="shared" si="8"/>
        <v>1198080</v>
      </c>
      <c r="AG102" s="405" t="s">
        <v>1069</v>
      </c>
      <c r="AH102" s="405">
        <v>10</v>
      </c>
      <c r="AI102" s="405">
        <v>30</v>
      </c>
      <c r="AJ102" s="405" t="s">
        <v>1473</v>
      </c>
      <c r="AK102" s="405" t="s">
        <v>1092</v>
      </c>
      <c r="AL102" s="425">
        <v>2072</v>
      </c>
      <c r="AM102" s="405" t="s">
        <v>52</v>
      </c>
      <c r="AN102" s="405"/>
      <c r="AO102" s="405"/>
      <c r="AP102" s="413"/>
      <c r="AQ102" s="413" t="s">
        <v>1083</v>
      </c>
      <c r="AR102" s="405" t="s">
        <v>1188</v>
      </c>
      <c r="AS102" s="368" t="s">
        <v>1072</v>
      </c>
      <c r="AT102" s="386" t="s">
        <v>1084</v>
      </c>
      <c r="AU102" s="386" t="s">
        <v>1073</v>
      </c>
    </row>
    <row r="103" spans="1:47" s="402" customFormat="1">
      <c r="A103" s="426"/>
      <c r="B103" s="376"/>
      <c r="C103" s="426" t="s">
        <v>1186</v>
      </c>
      <c r="D103" s="374" t="s">
        <v>1066</v>
      </c>
      <c r="E103" s="432" t="s">
        <v>1093</v>
      </c>
      <c r="F103" s="432"/>
      <c r="G103" s="432"/>
      <c r="H103" s="432"/>
      <c r="I103" s="432" t="s">
        <v>1498</v>
      </c>
      <c r="J103" s="433"/>
      <c r="K103" s="432" t="s">
        <v>3909</v>
      </c>
      <c r="L103" s="433" t="s">
        <v>1204</v>
      </c>
      <c r="M103" s="433">
        <v>44652</v>
      </c>
      <c r="N103" s="433">
        <v>44743</v>
      </c>
      <c r="O103" s="433"/>
      <c r="P103" s="433"/>
      <c r="Q103" s="433"/>
      <c r="R103" s="433"/>
      <c r="S103" s="432" t="s">
        <v>1107</v>
      </c>
      <c r="T103" s="432">
        <v>60</v>
      </c>
      <c r="U103" s="432"/>
      <c r="V103" s="432" t="s">
        <v>986</v>
      </c>
      <c r="W103" s="436">
        <v>365</v>
      </c>
      <c r="X103" s="372">
        <v>832</v>
      </c>
      <c r="Y103" s="408">
        <f t="shared" si="7"/>
        <v>303680</v>
      </c>
      <c r="Z103" s="409">
        <v>0.53</v>
      </c>
      <c r="AA103" s="410">
        <f t="shared" si="9"/>
        <v>160950.39999999999</v>
      </c>
      <c r="AB103" s="411"/>
      <c r="AC103" s="412">
        <f t="shared" si="10"/>
        <v>0</v>
      </c>
      <c r="AD103" s="421"/>
      <c r="AE103" s="413"/>
      <c r="AF103" s="424">
        <f t="shared" si="8"/>
        <v>160950.39999999999</v>
      </c>
      <c r="AG103" s="405" t="s">
        <v>1069</v>
      </c>
      <c r="AH103" s="405">
        <v>10</v>
      </c>
      <c r="AI103" s="405">
        <v>30</v>
      </c>
      <c r="AJ103" s="405" t="s">
        <v>3910</v>
      </c>
      <c r="AK103" s="405" t="s">
        <v>1178</v>
      </c>
      <c r="AL103" s="425">
        <v>48187</v>
      </c>
      <c r="AM103" s="405" t="s">
        <v>52</v>
      </c>
      <c r="AN103" s="405"/>
      <c r="AO103" s="405"/>
      <c r="AP103" s="413"/>
      <c r="AQ103" s="413" t="s">
        <v>1083</v>
      </c>
      <c r="AR103" s="405" t="s">
        <v>1188</v>
      </c>
      <c r="AS103" s="368" t="s">
        <v>1072</v>
      </c>
      <c r="AT103" s="386" t="s">
        <v>1084</v>
      </c>
      <c r="AU103" s="386" t="s">
        <v>1073</v>
      </c>
    </row>
    <row r="104" spans="1:47" s="402" customFormat="1">
      <c r="A104" s="426"/>
      <c r="B104" s="376"/>
      <c r="C104" s="426" t="s">
        <v>1186</v>
      </c>
      <c r="D104" s="374" t="s">
        <v>1066</v>
      </c>
      <c r="E104" s="432" t="s">
        <v>1093</v>
      </c>
      <c r="F104" s="432"/>
      <c r="G104" s="432"/>
      <c r="H104" s="432"/>
      <c r="I104" s="432" t="s">
        <v>1498</v>
      </c>
      <c r="J104" s="433"/>
      <c r="K104" s="432" t="s">
        <v>3911</v>
      </c>
      <c r="L104" s="433" t="s">
        <v>1204</v>
      </c>
      <c r="M104" s="433">
        <v>44652</v>
      </c>
      <c r="N104" s="433">
        <v>44774</v>
      </c>
      <c r="O104" s="433"/>
      <c r="P104" s="433"/>
      <c r="Q104" s="433"/>
      <c r="R104" s="433"/>
      <c r="S104" s="432" t="s">
        <v>1107</v>
      </c>
      <c r="T104" s="432">
        <v>60</v>
      </c>
      <c r="U104" s="432"/>
      <c r="V104" s="432" t="s">
        <v>986</v>
      </c>
      <c r="W104" s="436">
        <v>365</v>
      </c>
      <c r="X104" s="372">
        <v>832</v>
      </c>
      <c r="Y104" s="408">
        <f t="shared" si="7"/>
        <v>303680</v>
      </c>
      <c r="Z104" s="409">
        <v>0.53</v>
      </c>
      <c r="AA104" s="410">
        <f t="shared" si="9"/>
        <v>160950.39999999999</v>
      </c>
      <c r="AB104" s="411"/>
      <c r="AC104" s="412">
        <f t="shared" si="10"/>
        <v>0</v>
      </c>
      <c r="AD104" s="421"/>
      <c r="AE104" s="413"/>
      <c r="AF104" s="424">
        <f t="shared" si="8"/>
        <v>160950.39999999999</v>
      </c>
      <c r="AG104" s="405" t="s">
        <v>1069</v>
      </c>
      <c r="AH104" s="405">
        <v>10</v>
      </c>
      <c r="AI104" s="405">
        <v>30</v>
      </c>
      <c r="AJ104" s="405" t="s">
        <v>3910</v>
      </c>
      <c r="AK104" s="405" t="s">
        <v>1178</v>
      </c>
      <c r="AL104" s="425">
        <v>48187</v>
      </c>
      <c r="AM104" s="405" t="s">
        <v>52</v>
      </c>
      <c r="AN104" s="405"/>
      <c r="AO104" s="405"/>
      <c r="AP104" s="413"/>
      <c r="AQ104" s="413" t="s">
        <v>1083</v>
      </c>
      <c r="AR104" s="405" t="s">
        <v>1188</v>
      </c>
      <c r="AS104" s="368" t="s">
        <v>1072</v>
      </c>
      <c r="AT104" s="386" t="s">
        <v>1084</v>
      </c>
      <c r="AU104" s="386" t="s">
        <v>1073</v>
      </c>
    </row>
    <row r="105" spans="1:47" s="402" customFormat="1">
      <c r="A105" s="426"/>
      <c r="B105" s="376"/>
      <c r="C105" s="426" t="s">
        <v>1186</v>
      </c>
      <c r="D105" s="374" t="s">
        <v>1066</v>
      </c>
      <c r="E105" s="432" t="s">
        <v>1093</v>
      </c>
      <c r="F105" s="432"/>
      <c r="G105" s="432"/>
      <c r="H105" s="432"/>
      <c r="I105" s="432" t="s">
        <v>1498</v>
      </c>
      <c r="J105" s="433"/>
      <c r="K105" s="432" t="s">
        <v>3912</v>
      </c>
      <c r="L105" s="433" t="s">
        <v>1204</v>
      </c>
      <c r="M105" s="433">
        <v>44652</v>
      </c>
      <c r="N105" s="433">
        <v>44805</v>
      </c>
      <c r="O105" s="433"/>
      <c r="P105" s="433"/>
      <c r="Q105" s="433"/>
      <c r="R105" s="433"/>
      <c r="S105" s="432" t="s">
        <v>1107</v>
      </c>
      <c r="T105" s="432">
        <v>60</v>
      </c>
      <c r="U105" s="432"/>
      <c r="V105" s="432" t="s">
        <v>986</v>
      </c>
      <c r="W105" s="436">
        <v>365</v>
      </c>
      <c r="X105" s="372">
        <v>832</v>
      </c>
      <c r="Y105" s="408">
        <f t="shared" si="7"/>
        <v>303680</v>
      </c>
      <c r="Z105" s="409">
        <v>0.53</v>
      </c>
      <c r="AA105" s="410">
        <f t="shared" si="9"/>
        <v>160950.39999999999</v>
      </c>
      <c r="AB105" s="411"/>
      <c r="AC105" s="412">
        <f t="shared" si="10"/>
        <v>0</v>
      </c>
      <c r="AD105" s="421"/>
      <c r="AE105" s="413"/>
      <c r="AF105" s="424">
        <f t="shared" si="8"/>
        <v>160950.39999999999</v>
      </c>
      <c r="AG105" s="405" t="s">
        <v>1069</v>
      </c>
      <c r="AH105" s="405">
        <v>10</v>
      </c>
      <c r="AI105" s="405">
        <v>30</v>
      </c>
      <c r="AJ105" s="405" t="s">
        <v>3910</v>
      </c>
      <c r="AK105" s="405" t="s">
        <v>1178</v>
      </c>
      <c r="AL105" s="425">
        <v>48187</v>
      </c>
      <c r="AM105" s="405" t="s">
        <v>52</v>
      </c>
      <c r="AN105" s="405"/>
      <c r="AO105" s="405"/>
      <c r="AP105" s="413"/>
      <c r="AQ105" s="413" t="s">
        <v>1083</v>
      </c>
      <c r="AR105" s="405" t="s">
        <v>1188</v>
      </c>
      <c r="AS105" s="368" t="s">
        <v>1072</v>
      </c>
      <c r="AT105" s="386" t="s">
        <v>1084</v>
      </c>
      <c r="AU105" s="386" t="s">
        <v>1073</v>
      </c>
    </row>
    <row r="106" spans="1:47" s="402" customFormat="1">
      <c r="A106" s="426"/>
      <c r="B106" s="376"/>
      <c r="C106" s="426" t="s">
        <v>1186</v>
      </c>
      <c r="D106" s="374" t="s">
        <v>1066</v>
      </c>
      <c r="E106" s="432" t="s">
        <v>1093</v>
      </c>
      <c r="F106" s="432"/>
      <c r="G106" s="432"/>
      <c r="H106" s="432"/>
      <c r="I106" s="432" t="s">
        <v>1498</v>
      </c>
      <c r="J106" s="433"/>
      <c r="K106" s="432" t="s">
        <v>3913</v>
      </c>
      <c r="L106" s="433" t="s">
        <v>1204</v>
      </c>
      <c r="M106" s="433">
        <v>44652</v>
      </c>
      <c r="N106" s="433">
        <v>44835</v>
      </c>
      <c r="O106" s="433"/>
      <c r="P106" s="433"/>
      <c r="Q106" s="433"/>
      <c r="R106" s="433"/>
      <c r="S106" s="432" t="s">
        <v>1107</v>
      </c>
      <c r="T106" s="432">
        <v>60</v>
      </c>
      <c r="U106" s="432"/>
      <c r="V106" s="432" t="s">
        <v>986</v>
      </c>
      <c r="W106" s="436">
        <v>365</v>
      </c>
      <c r="X106" s="372">
        <v>832</v>
      </c>
      <c r="Y106" s="408">
        <f t="shared" si="7"/>
        <v>303680</v>
      </c>
      <c r="Z106" s="409">
        <v>0.53</v>
      </c>
      <c r="AA106" s="410">
        <f t="shared" si="9"/>
        <v>160950.39999999999</v>
      </c>
      <c r="AB106" s="411"/>
      <c r="AC106" s="412">
        <f t="shared" si="10"/>
        <v>0</v>
      </c>
      <c r="AD106" s="421"/>
      <c r="AE106" s="413"/>
      <c r="AF106" s="424">
        <f t="shared" si="8"/>
        <v>160950.39999999999</v>
      </c>
      <c r="AG106" s="405" t="s">
        <v>1069</v>
      </c>
      <c r="AH106" s="405">
        <v>10</v>
      </c>
      <c r="AI106" s="405">
        <v>30</v>
      </c>
      <c r="AJ106" s="405" t="s">
        <v>3910</v>
      </c>
      <c r="AK106" s="405" t="s">
        <v>1178</v>
      </c>
      <c r="AL106" s="425">
        <v>48187</v>
      </c>
      <c r="AM106" s="405" t="s">
        <v>52</v>
      </c>
      <c r="AN106" s="405"/>
      <c r="AO106" s="405"/>
      <c r="AP106" s="413"/>
      <c r="AQ106" s="413" t="s">
        <v>1083</v>
      </c>
      <c r="AR106" s="405" t="s">
        <v>1188</v>
      </c>
      <c r="AS106" s="368" t="s">
        <v>1072</v>
      </c>
      <c r="AT106" s="386" t="s">
        <v>1084</v>
      </c>
      <c r="AU106" s="386" t="s">
        <v>1073</v>
      </c>
    </row>
    <row r="107" spans="1:47" s="402" customFormat="1">
      <c r="A107" s="426"/>
      <c r="B107" s="376"/>
      <c r="C107" s="426" t="s">
        <v>1186</v>
      </c>
      <c r="D107" s="374" t="s">
        <v>1066</v>
      </c>
      <c r="E107" s="432" t="s">
        <v>1093</v>
      </c>
      <c r="F107" s="432"/>
      <c r="G107" s="432"/>
      <c r="H107" s="432"/>
      <c r="I107" s="432" t="s">
        <v>1498</v>
      </c>
      <c r="J107" s="433"/>
      <c r="K107" s="432" t="s">
        <v>3914</v>
      </c>
      <c r="L107" s="433" t="s">
        <v>1204</v>
      </c>
      <c r="M107" s="433">
        <v>44652</v>
      </c>
      <c r="N107" s="433">
        <v>44866</v>
      </c>
      <c r="O107" s="433"/>
      <c r="P107" s="433"/>
      <c r="Q107" s="433"/>
      <c r="R107" s="433"/>
      <c r="S107" s="432" t="s">
        <v>1107</v>
      </c>
      <c r="T107" s="432">
        <v>60</v>
      </c>
      <c r="U107" s="432"/>
      <c r="V107" s="432" t="s">
        <v>986</v>
      </c>
      <c r="W107" s="436">
        <v>365</v>
      </c>
      <c r="X107" s="372">
        <v>832</v>
      </c>
      <c r="Y107" s="408">
        <f t="shared" si="7"/>
        <v>303680</v>
      </c>
      <c r="Z107" s="409">
        <v>0.53</v>
      </c>
      <c r="AA107" s="410">
        <f t="shared" si="9"/>
        <v>160950.39999999999</v>
      </c>
      <c r="AB107" s="411"/>
      <c r="AC107" s="412">
        <f t="shared" si="10"/>
        <v>0</v>
      </c>
      <c r="AD107" s="421"/>
      <c r="AE107" s="413"/>
      <c r="AF107" s="424">
        <f t="shared" si="8"/>
        <v>160950.39999999999</v>
      </c>
      <c r="AG107" s="405" t="s">
        <v>1069</v>
      </c>
      <c r="AH107" s="405">
        <v>10</v>
      </c>
      <c r="AI107" s="405">
        <v>30</v>
      </c>
      <c r="AJ107" s="405" t="s">
        <v>3910</v>
      </c>
      <c r="AK107" s="405" t="s">
        <v>1178</v>
      </c>
      <c r="AL107" s="425">
        <v>48187</v>
      </c>
      <c r="AM107" s="405" t="s">
        <v>52</v>
      </c>
      <c r="AN107" s="405"/>
      <c r="AO107" s="405"/>
      <c r="AP107" s="413"/>
      <c r="AQ107" s="413" t="s">
        <v>1083</v>
      </c>
      <c r="AR107" s="405" t="s">
        <v>1188</v>
      </c>
      <c r="AS107" s="368" t="s">
        <v>1072</v>
      </c>
      <c r="AT107" s="386" t="s">
        <v>1084</v>
      </c>
      <c r="AU107" s="386" t="s">
        <v>1073</v>
      </c>
    </row>
    <row r="108" spans="1:47" s="402" customFormat="1">
      <c r="A108" s="426"/>
      <c r="B108" s="376"/>
      <c r="C108" s="426" t="s">
        <v>1186</v>
      </c>
      <c r="D108" s="374" t="s">
        <v>1066</v>
      </c>
      <c r="E108" s="432" t="s">
        <v>1093</v>
      </c>
      <c r="F108" s="432"/>
      <c r="G108" s="432"/>
      <c r="H108" s="432"/>
      <c r="I108" s="432" t="s">
        <v>1498</v>
      </c>
      <c r="J108" s="433"/>
      <c r="K108" s="432" t="s">
        <v>3915</v>
      </c>
      <c r="L108" s="433" t="s">
        <v>1204</v>
      </c>
      <c r="M108" s="433">
        <v>44652</v>
      </c>
      <c r="N108" s="433">
        <v>44896</v>
      </c>
      <c r="O108" s="433"/>
      <c r="P108" s="433"/>
      <c r="Q108" s="433"/>
      <c r="R108" s="433"/>
      <c r="S108" s="432" t="s">
        <v>1107</v>
      </c>
      <c r="T108" s="432">
        <v>60</v>
      </c>
      <c r="U108" s="432"/>
      <c r="V108" s="432" t="s">
        <v>986</v>
      </c>
      <c r="W108" s="436">
        <v>365</v>
      </c>
      <c r="X108" s="372">
        <v>832</v>
      </c>
      <c r="Y108" s="408">
        <f t="shared" si="7"/>
        <v>303680</v>
      </c>
      <c r="Z108" s="409">
        <v>0.53</v>
      </c>
      <c r="AA108" s="410">
        <f t="shared" si="9"/>
        <v>160950.39999999999</v>
      </c>
      <c r="AB108" s="411"/>
      <c r="AC108" s="412">
        <f t="shared" si="10"/>
        <v>0</v>
      </c>
      <c r="AD108" s="421"/>
      <c r="AE108" s="413"/>
      <c r="AF108" s="424">
        <f t="shared" si="8"/>
        <v>160950.39999999999</v>
      </c>
      <c r="AG108" s="405" t="s">
        <v>1069</v>
      </c>
      <c r="AH108" s="405">
        <v>10</v>
      </c>
      <c r="AI108" s="405">
        <v>30</v>
      </c>
      <c r="AJ108" s="405" t="s">
        <v>3910</v>
      </c>
      <c r="AK108" s="405" t="s">
        <v>1178</v>
      </c>
      <c r="AL108" s="425">
        <v>48187</v>
      </c>
      <c r="AM108" s="405" t="s">
        <v>52</v>
      </c>
      <c r="AN108" s="405"/>
      <c r="AO108" s="405"/>
      <c r="AP108" s="413"/>
      <c r="AQ108" s="413" t="s">
        <v>1083</v>
      </c>
      <c r="AR108" s="405" t="s">
        <v>1188</v>
      </c>
      <c r="AS108" s="368" t="s">
        <v>1072</v>
      </c>
      <c r="AT108" s="386" t="s">
        <v>1084</v>
      </c>
      <c r="AU108" s="386" t="s">
        <v>1073</v>
      </c>
    </row>
    <row r="109" spans="1:47" s="402" customFormat="1">
      <c r="A109" s="426"/>
      <c r="B109" s="376"/>
      <c r="C109" s="426" t="s">
        <v>1186</v>
      </c>
      <c r="D109" s="374" t="s">
        <v>1066</v>
      </c>
      <c r="E109" s="432" t="s">
        <v>1093</v>
      </c>
      <c r="F109" s="432"/>
      <c r="G109" s="432"/>
      <c r="H109" s="432"/>
      <c r="I109" s="432" t="s">
        <v>1498</v>
      </c>
      <c r="J109" s="433"/>
      <c r="K109" s="432" t="s">
        <v>3916</v>
      </c>
      <c r="L109" s="433" t="s">
        <v>1204</v>
      </c>
      <c r="M109" s="433">
        <v>44652</v>
      </c>
      <c r="N109" s="433">
        <v>44927</v>
      </c>
      <c r="O109" s="433"/>
      <c r="P109" s="433"/>
      <c r="Q109" s="433"/>
      <c r="R109" s="433"/>
      <c r="S109" s="432" t="s">
        <v>1107</v>
      </c>
      <c r="T109" s="432">
        <v>60</v>
      </c>
      <c r="U109" s="432"/>
      <c r="V109" s="432" t="s">
        <v>986</v>
      </c>
      <c r="W109" s="436">
        <v>365</v>
      </c>
      <c r="X109" s="372">
        <v>832</v>
      </c>
      <c r="Y109" s="408">
        <f t="shared" si="7"/>
        <v>303680</v>
      </c>
      <c r="Z109" s="409">
        <v>0.53</v>
      </c>
      <c r="AA109" s="410">
        <f t="shared" si="9"/>
        <v>160950.39999999999</v>
      </c>
      <c r="AB109" s="411"/>
      <c r="AC109" s="412">
        <f t="shared" si="10"/>
        <v>0</v>
      </c>
      <c r="AD109" s="421"/>
      <c r="AE109" s="413"/>
      <c r="AF109" s="424">
        <f t="shared" si="8"/>
        <v>160950.39999999999</v>
      </c>
      <c r="AG109" s="405" t="s">
        <v>1069</v>
      </c>
      <c r="AH109" s="405">
        <v>10</v>
      </c>
      <c r="AI109" s="405">
        <v>30</v>
      </c>
      <c r="AJ109" s="405" t="s">
        <v>3910</v>
      </c>
      <c r="AK109" s="405" t="s">
        <v>1178</v>
      </c>
      <c r="AL109" s="425">
        <v>48187</v>
      </c>
      <c r="AM109" s="405" t="s">
        <v>52</v>
      </c>
      <c r="AN109" s="405"/>
      <c r="AO109" s="405"/>
      <c r="AP109" s="413"/>
      <c r="AQ109" s="413" t="s">
        <v>1083</v>
      </c>
      <c r="AR109" s="405" t="s">
        <v>1188</v>
      </c>
      <c r="AS109" s="368" t="s">
        <v>1072</v>
      </c>
      <c r="AT109" s="386" t="s">
        <v>1084</v>
      </c>
      <c r="AU109" s="386" t="s">
        <v>1073</v>
      </c>
    </row>
    <row r="110" spans="1:47" s="402" customFormat="1">
      <c r="A110" s="426"/>
      <c r="B110" s="376"/>
      <c r="C110" s="426" t="s">
        <v>1186</v>
      </c>
      <c r="D110" s="374" t="s">
        <v>1066</v>
      </c>
      <c r="E110" s="432" t="s">
        <v>1093</v>
      </c>
      <c r="F110" s="432"/>
      <c r="G110" s="432"/>
      <c r="H110" s="432"/>
      <c r="I110" s="432" t="s">
        <v>1498</v>
      </c>
      <c r="J110" s="433"/>
      <c r="K110" s="432" t="s">
        <v>3909</v>
      </c>
      <c r="L110" s="433" t="s">
        <v>1204</v>
      </c>
      <c r="M110" s="433">
        <v>44652</v>
      </c>
      <c r="N110" s="433">
        <v>44743</v>
      </c>
      <c r="O110" s="433"/>
      <c r="P110" s="433"/>
      <c r="Q110" s="433"/>
      <c r="R110" s="433"/>
      <c r="S110" s="432" t="s">
        <v>1107</v>
      </c>
      <c r="T110" s="432">
        <v>60</v>
      </c>
      <c r="U110" s="432"/>
      <c r="V110" s="432" t="s">
        <v>973</v>
      </c>
      <c r="W110" s="436">
        <v>400</v>
      </c>
      <c r="X110" s="372">
        <v>768</v>
      </c>
      <c r="Y110" s="408">
        <f>X110*W110</f>
        <v>307200</v>
      </c>
      <c r="Z110" s="409">
        <v>0.55000000000000004</v>
      </c>
      <c r="AA110" s="410">
        <f>Z110*Y110</f>
        <v>168960</v>
      </c>
      <c r="AB110" s="411"/>
      <c r="AC110" s="412">
        <f>AB110*Y110</f>
        <v>0</v>
      </c>
      <c r="AD110" s="421"/>
      <c r="AE110" s="413"/>
      <c r="AF110" s="424">
        <f>AE110+AD110+AA110</f>
        <v>168960</v>
      </c>
      <c r="AG110" s="405" t="s">
        <v>1069</v>
      </c>
      <c r="AH110" s="405">
        <v>10</v>
      </c>
      <c r="AI110" s="405">
        <v>30</v>
      </c>
      <c r="AJ110" s="405" t="s">
        <v>3910</v>
      </c>
      <c r="AK110" s="405" t="s">
        <v>1178</v>
      </c>
      <c r="AL110" s="425">
        <v>48187</v>
      </c>
      <c r="AM110" s="405" t="s">
        <v>52</v>
      </c>
      <c r="AN110" s="405"/>
      <c r="AO110" s="405"/>
      <c r="AP110" s="413"/>
      <c r="AQ110" s="413" t="s">
        <v>1083</v>
      </c>
      <c r="AR110" s="405" t="s">
        <v>1188</v>
      </c>
      <c r="AS110" s="368" t="s">
        <v>1072</v>
      </c>
      <c r="AT110" s="386" t="s">
        <v>1084</v>
      </c>
      <c r="AU110" s="386" t="s">
        <v>1073</v>
      </c>
    </row>
    <row r="111" spans="1:47" s="402" customFormat="1">
      <c r="A111" s="426"/>
      <c r="B111" s="376"/>
      <c r="C111" s="426" t="s">
        <v>1186</v>
      </c>
      <c r="D111" s="374" t="s">
        <v>1066</v>
      </c>
      <c r="E111" s="432" t="s">
        <v>1093</v>
      </c>
      <c r="F111" s="432"/>
      <c r="G111" s="432"/>
      <c r="H111" s="432"/>
      <c r="I111" s="432" t="s">
        <v>1498</v>
      </c>
      <c r="J111" s="433"/>
      <c r="K111" s="432" t="s">
        <v>3911</v>
      </c>
      <c r="L111" s="433" t="s">
        <v>1204</v>
      </c>
      <c r="M111" s="433">
        <v>44652</v>
      </c>
      <c r="N111" s="433">
        <v>44774</v>
      </c>
      <c r="O111" s="433"/>
      <c r="P111" s="433"/>
      <c r="Q111" s="433"/>
      <c r="R111" s="433"/>
      <c r="S111" s="432" t="s">
        <v>1107</v>
      </c>
      <c r="T111" s="432">
        <v>60</v>
      </c>
      <c r="U111" s="432"/>
      <c r="V111" s="432" t="s">
        <v>973</v>
      </c>
      <c r="W111" s="436">
        <v>400</v>
      </c>
      <c r="X111" s="372">
        <v>768</v>
      </c>
      <c r="Y111" s="408">
        <f>X111*W111</f>
        <v>307200</v>
      </c>
      <c r="Z111" s="409">
        <v>0.55000000000000004</v>
      </c>
      <c r="AA111" s="410">
        <f>Z111*Y111</f>
        <v>168960</v>
      </c>
      <c r="AB111" s="411"/>
      <c r="AC111" s="412">
        <f>AB111*Y111</f>
        <v>0</v>
      </c>
      <c r="AD111" s="421"/>
      <c r="AE111" s="413"/>
      <c r="AF111" s="424">
        <f>AE111+AD111+AA111</f>
        <v>168960</v>
      </c>
      <c r="AG111" s="405" t="s">
        <v>1069</v>
      </c>
      <c r="AH111" s="405">
        <v>10</v>
      </c>
      <c r="AI111" s="405">
        <v>30</v>
      </c>
      <c r="AJ111" s="405" t="s">
        <v>3910</v>
      </c>
      <c r="AK111" s="405" t="s">
        <v>1178</v>
      </c>
      <c r="AL111" s="425">
        <v>48187</v>
      </c>
      <c r="AM111" s="405" t="s">
        <v>52</v>
      </c>
      <c r="AN111" s="405"/>
      <c r="AO111" s="405"/>
      <c r="AP111" s="413"/>
      <c r="AQ111" s="413" t="s">
        <v>1083</v>
      </c>
      <c r="AR111" s="405" t="s">
        <v>1188</v>
      </c>
      <c r="AS111" s="368" t="s">
        <v>1072</v>
      </c>
      <c r="AT111" s="386" t="s">
        <v>1084</v>
      </c>
      <c r="AU111" s="386" t="s">
        <v>1073</v>
      </c>
    </row>
    <row r="112" spans="1:47" s="402" customFormat="1">
      <c r="A112" s="426"/>
      <c r="B112" s="376"/>
      <c r="C112" s="426" t="s">
        <v>1186</v>
      </c>
      <c r="D112" s="374" t="s">
        <v>1066</v>
      </c>
      <c r="E112" s="432" t="s">
        <v>1093</v>
      </c>
      <c r="F112" s="432"/>
      <c r="G112" s="432"/>
      <c r="H112" s="432"/>
      <c r="I112" s="432" t="s">
        <v>1498</v>
      </c>
      <c r="J112" s="433"/>
      <c r="K112" s="432" t="s">
        <v>3912</v>
      </c>
      <c r="L112" s="433" t="s">
        <v>1204</v>
      </c>
      <c r="M112" s="433">
        <v>44652</v>
      </c>
      <c r="N112" s="433">
        <v>44805</v>
      </c>
      <c r="O112" s="433"/>
      <c r="P112" s="433"/>
      <c r="Q112" s="433"/>
      <c r="R112" s="433"/>
      <c r="S112" s="432" t="s">
        <v>1107</v>
      </c>
      <c r="T112" s="432">
        <v>60</v>
      </c>
      <c r="U112" s="432"/>
      <c r="V112" s="432" t="s">
        <v>973</v>
      </c>
      <c r="W112" s="436">
        <v>400</v>
      </c>
      <c r="X112" s="372">
        <v>768</v>
      </c>
      <c r="Y112" s="408">
        <f>X112*W112</f>
        <v>307200</v>
      </c>
      <c r="Z112" s="409">
        <v>0.55000000000000004</v>
      </c>
      <c r="AA112" s="410">
        <f>Z112*Y112</f>
        <v>168960</v>
      </c>
      <c r="AB112" s="411"/>
      <c r="AC112" s="412">
        <f>AB112*Y112</f>
        <v>0</v>
      </c>
      <c r="AD112" s="421"/>
      <c r="AE112" s="413"/>
      <c r="AF112" s="424">
        <f>AE112+AD112+AA112</f>
        <v>168960</v>
      </c>
      <c r="AG112" s="405" t="s">
        <v>1069</v>
      </c>
      <c r="AH112" s="405">
        <v>10</v>
      </c>
      <c r="AI112" s="405">
        <v>30</v>
      </c>
      <c r="AJ112" s="405" t="s">
        <v>3910</v>
      </c>
      <c r="AK112" s="405" t="s">
        <v>1178</v>
      </c>
      <c r="AL112" s="425">
        <v>48187</v>
      </c>
      <c r="AM112" s="405" t="s">
        <v>52</v>
      </c>
      <c r="AN112" s="405"/>
      <c r="AO112" s="405"/>
      <c r="AP112" s="413"/>
      <c r="AQ112" s="413" t="s">
        <v>1083</v>
      </c>
      <c r="AR112" s="405" t="s">
        <v>1188</v>
      </c>
      <c r="AS112" s="368" t="s">
        <v>1072</v>
      </c>
      <c r="AT112" s="386" t="s">
        <v>1084</v>
      </c>
      <c r="AU112" s="386" t="s">
        <v>1073</v>
      </c>
    </row>
    <row r="113" spans="1:47" s="402" customFormat="1">
      <c r="A113" s="426"/>
      <c r="B113" s="376"/>
      <c r="C113" s="426" t="s">
        <v>1186</v>
      </c>
      <c r="D113" s="374" t="s">
        <v>1066</v>
      </c>
      <c r="E113" s="432" t="s">
        <v>1093</v>
      </c>
      <c r="F113" s="432"/>
      <c r="G113" s="432"/>
      <c r="H113" s="432"/>
      <c r="I113" s="432" t="s">
        <v>1498</v>
      </c>
      <c r="J113" s="433"/>
      <c r="K113" s="432" t="s">
        <v>3913</v>
      </c>
      <c r="L113" s="433" t="s">
        <v>1204</v>
      </c>
      <c r="M113" s="433">
        <v>44652</v>
      </c>
      <c r="N113" s="433">
        <v>44835</v>
      </c>
      <c r="O113" s="433"/>
      <c r="P113" s="433"/>
      <c r="Q113" s="433"/>
      <c r="R113" s="433"/>
      <c r="S113" s="432" t="s">
        <v>1107</v>
      </c>
      <c r="T113" s="432">
        <v>60</v>
      </c>
      <c r="U113" s="432"/>
      <c r="V113" s="432" t="s">
        <v>973</v>
      </c>
      <c r="W113" s="436">
        <v>400</v>
      </c>
      <c r="X113" s="372">
        <v>768</v>
      </c>
      <c r="Y113" s="408">
        <f t="shared" ref="Y113:Y127" si="11">X113*W113</f>
        <v>307200</v>
      </c>
      <c r="Z113" s="409">
        <v>0.55000000000000004</v>
      </c>
      <c r="AA113" s="410">
        <f t="shared" ref="AA113:AA127" si="12">Z113*Y113</f>
        <v>168960</v>
      </c>
      <c r="AB113" s="411"/>
      <c r="AC113" s="412">
        <f t="shared" ref="AC113:AC127" si="13">AB113*Y113</f>
        <v>0</v>
      </c>
      <c r="AD113" s="421"/>
      <c r="AE113" s="413"/>
      <c r="AF113" s="424">
        <f t="shared" ref="AF113:AF127" si="14">AE113+AD113+AA113</f>
        <v>168960</v>
      </c>
      <c r="AG113" s="405" t="s">
        <v>1069</v>
      </c>
      <c r="AH113" s="405">
        <v>10</v>
      </c>
      <c r="AI113" s="405">
        <v>30</v>
      </c>
      <c r="AJ113" s="405" t="s">
        <v>3910</v>
      </c>
      <c r="AK113" s="405" t="s">
        <v>1178</v>
      </c>
      <c r="AL113" s="425">
        <v>48187</v>
      </c>
      <c r="AM113" s="405" t="s">
        <v>52</v>
      </c>
      <c r="AN113" s="405"/>
      <c r="AO113" s="405"/>
      <c r="AP113" s="413"/>
      <c r="AQ113" s="413" t="s">
        <v>1083</v>
      </c>
      <c r="AR113" s="405" t="s">
        <v>1188</v>
      </c>
      <c r="AS113" s="368" t="s">
        <v>1072</v>
      </c>
      <c r="AT113" s="386" t="s">
        <v>1084</v>
      </c>
      <c r="AU113" s="386" t="s">
        <v>1073</v>
      </c>
    </row>
    <row r="114" spans="1:47" s="402" customFormat="1">
      <c r="A114" s="426"/>
      <c r="B114" s="376"/>
      <c r="C114" s="426" t="s">
        <v>1186</v>
      </c>
      <c r="D114" s="374" t="s">
        <v>1066</v>
      </c>
      <c r="E114" s="432" t="s">
        <v>1093</v>
      </c>
      <c r="F114" s="432"/>
      <c r="G114" s="432"/>
      <c r="H114" s="432"/>
      <c r="I114" s="432" t="s">
        <v>1498</v>
      </c>
      <c r="J114" s="433"/>
      <c r="K114" s="432" t="s">
        <v>3914</v>
      </c>
      <c r="L114" s="433" t="s">
        <v>1204</v>
      </c>
      <c r="M114" s="433">
        <v>44652</v>
      </c>
      <c r="N114" s="433">
        <v>44866</v>
      </c>
      <c r="O114" s="433"/>
      <c r="P114" s="433"/>
      <c r="Q114" s="433"/>
      <c r="R114" s="433"/>
      <c r="S114" s="432" t="s">
        <v>1107</v>
      </c>
      <c r="T114" s="432">
        <v>60</v>
      </c>
      <c r="U114" s="432"/>
      <c r="V114" s="432" t="s">
        <v>973</v>
      </c>
      <c r="W114" s="436">
        <v>400</v>
      </c>
      <c r="X114" s="372">
        <v>768</v>
      </c>
      <c r="Y114" s="408">
        <f t="shared" si="11"/>
        <v>307200</v>
      </c>
      <c r="Z114" s="409">
        <v>0.55000000000000004</v>
      </c>
      <c r="AA114" s="410">
        <f t="shared" si="12"/>
        <v>168960</v>
      </c>
      <c r="AB114" s="411"/>
      <c r="AC114" s="412">
        <f t="shared" si="13"/>
        <v>0</v>
      </c>
      <c r="AD114" s="421"/>
      <c r="AE114" s="413"/>
      <c r="AF114" s="424">
        <f t="shared" si="14"/>
        <v>168960</v>
      </c>
      <c r="AG114" s="405" t="s">
        <v>1069</v>
      </c>
      <c r="AH114" s="405">
        <v>10</v>
      </c>
      <c r="AI114" s="405">
        <v>30</v>
      </c>
      <c r="AJ114" s="405" t="s">
        <v>3910</v>
      </c>
      <c r="AK114" s="405" t="s">
        <v>1178</v>
      </c>
      <c r="AL114" s="425">
        <v>48187</v>
      </c>
      <c r="AM114" s="405" t="s">
        <v>52</v>
      </c>
      <c r="AN114" s="405"/>
      <c r="AO114" s="405"/>
      <c r="AP114" s="413"/>
      <c r="AQ114" s="413" t="s">
        <v>1083</v>
      </c>
      <c r="AR114" s="405" t="s">
        <v>1188</v>
      </c>
      <c r="AS114" s="368" t="s">
        <v>1072</v>
      </c>
      <c r="AT114" s="386" t="s">
        <v>1084</v>
      </c>
      <c r="AU114" s="386" t="s">
        <v>1073</v>
      </c>
    </row>
    <row r="115" spans="1:47" s="402" customFormat="1">
      <c r="A115" s="426"/>
      <c r="B115" s="376"/>
      <c r="C115" s="426" t="s">
        <v>1186</v>
      </c>
      <c r="D115" s="374" t="s">
        <v>1066</v>
      </c>
      <c r="E115" s="432" t="s">
        <v>1093</v>
      </c>
      <c r="F115" s="432"/>
      <c r="G115" s="432"/>
      <c r="H115" s="432"/>
      <c r="I115" s="432" t="s">
        <v>1498</v>
      </c>
      <c r="J115" s="433"/>
      <c r="K115" s="432" t="s">
        <v>3915</v>
      </c>
      <c r="L115" s="433" t="s">
        <v>1204</v>
      </c>
      <c r="M115" s="433">
        <v>44652</v>
      </c>
      <c r="N115" s="433">
        <v>44896</v>
      </c>
      <c r="O115" s="433"/>
      <c r="P115" s="433"/>
      <c r="Q115" s="433"/>
      <c r="R115" s="433"/>
      <c r="S115" s="432" t="s">
        <v>1107</v>
      </c>
      <c r="T115" s="432">
        <v>60</v>
      </c>
      <c r="U115" s="432"/>
      <c r="V115" s="432" t="s">
        <v>973</v>
      </c>
      <c r="W115" s="436">
        <v>400</v>
      </c>
      <c r="X115" s="372">
        <v>768</v>
      </c>
      <c r="Y115" s="408">
        <f t="shared" si="11"/>
        <v>307200</v>
      </c>
      <c r="Z115" s="409">
        <v>0.55000000000000004</v>
      </c>
      <c r="AA115" s="410">
        <f t="shared" si="12"/>
        <v>168960</v>
      </c>
      <c r="AB115" s="411"/>
      <c r="AC115" s="412">
        <f t="shared" si="13"/>
        <v>0</v>
      </c>
      <c r="AD115" s="421"/>
      <c r="AE115" s="413"/>
      <c r="AF115" s="424">
        <f t="shared" si="14"/>
        <v>168960</v>
      </c>
      <c r="AG115" s="405" t="s">
        <v>1069</v>
      </c>
      <c r="AH115" s="405">
        <v>10</v>
      </c>
      <c r="AI115" s="405">
        <v>30</v>
      </c>
      <c r="AJ115" s="405" t="s">
        <v>3910</v>
      </c>
      <c r="AK115" s="405" t="s">
        <v>1178</v>
      </c>
      <c r="AL115" s="425">
        <v>48187</v>
      </c>
      <c r="AM115" s="405" t="s">
        <v>52</v>
      </c>
      <c r="AN115" s="405"/>
      <c r="AO115" s="405"/>
      <c r="AP115" s="413"/>
      <c r="AQ115" s="413" t="s">
        <v>1083</v>
      </c>
      <c r="AR115" s="405" t="s">
        <v>1188</v>
      </c>
      <c r="AS115" s="368" t="s">
        <v>1072</v>
      </c>
      <c r="AT115" s="386" t="s">
        <v>1084</v>
      </c>
      <c r="AU115" s="386" t="s">
        <v>1073</v>
      </c>
    </row>
    <row r="116" spans="1:47" s="402" customFormat="1">
      <c r="A116" s="426"/>
      <c r="B116" s="376"/>
      <c r="C116" s="426" t="s">
        <v>1186</v>
      </c>
      <c r="D116" s="374" t="s">
        <v>1066</v>
      </c>
      <c r="E116" s="432" t="s">
        <v>1093</v>
      </c>
      <c r="F116" s="432"/>
      <c r="G116" s="432"/>
      <c r="H116" s="432"/>
      <c r="I116" s="432" t="s">
        <v>1498</v>
      </c>
      <c r="J116" s="433"/>
      <c r="K116" s="432" t="s">
        <v>3916</v>
      </c>
      <c r="L116" s="433" t="s">
        <v>1204</v>
      </c>
      <c r="M116" s="433">
        <v>44652</v>
      </c>
      <c r="N116" s="433">
        <v>44927</v>
      </c>
      <c r="O116" s="433"/>
      <c r="P116" s="433"/>
      <c r="Q116" s="433"/>
      <c r="R116" s="433"/>
      <c r="S116" s="432" t="s">
        <v>1107</v>
      </c>
      <c r="T116" s="432">
        <v>60</v>
      </c>
      <c r="U116" s="432"/>
      <c r="V116" s="432" t="s">
        <v>973</v>
      </c>
      <c r="W116" s="436">
        <v>400</v>
      </c>
      <c r="X116" s="372">
        <v>768</v>
      </c>
      <c r="Y116" s="408">
        <f t="shared" si="11"/>
        <v>307200</v>
      </c>
      <c r="Z116" s="409">
        <v>0.55000000000000004</v>
      </c>
      <c r="AA116" s="410">
        <f t="shared" si="12"/>
        <v>168960</v>
      </c>
      <c r="AB116" s="411"/>
      <c r="AC116" s="412">
        <f t="shared" si="13"/>
        <v>0</v>
      </c>
      <c r="AD116" s="421"/>
      <c r="AE116" s="413"/>
      <c r="AF116" s="424">
        <f t="shared" si="14"/>
        <v>168960</v>
      </c>
      <c r="AG116" s="405" t="s">
        <v>1069</v>
      </c>
      <c r="AH116" s="405">
        <v>10</v>
      </c>
      <c r="AI116" s="405">
        <v>30</v>
      </c>
      <c r="AJ116" s="405" t="s">
        <v>3910</v>
      </c>
      <c r="AK116" s="405" t="s">
        <v>1178</v>
      </c>
      <c r="AL116" s="425">
        <v>48187</v>
      </c>
      <c r="AM116" s="405" t="s">
        <v>52</v>
      </c>
      <c r="AN116" s="405"/>
      <c r="AO116" s="405"/>
      <c r="AP116" s="413"/>
      <c r="AQ116" s="413" t="s">
        <v>1083</v>
      </c>
      <c r="AR116" s="405" t="s">
        <v>1188</v>
      </c>
      <c r="AS116" s="368" t="s">
        <v>1072</v>
      </c>
      <c r="AT116" s="386" t="s">
        <v>1084</v>
      </c>
      <c r="AU116" s="386" t="s">
        <v>1073</v>
      </c>
    </row>
    <row r="117" spans="1:47" s="402" customFormat="1">
      <c r="A117" s="426"/>
      <c r="B117" s="376"/>
      <c r="C117" s="426"/>
      <c r="D117" s="374" t="s">
        <v>1066</v>
      </c>
      <c r="E117" s="432" t="s">
        <v>1158</v>
      </c>
      <c r="F117" s="432"/>
      <c r="G117" s="432"/>
      <c r="H117" s="432"/>
      <c r="I117" s="432" t="s">
        <v>1498</v>
      </c>
      <c r="J117" s="433"/>
      <c r="K117" s="432">
        <v>1370</v>
      </c>
      <c r="L117" s="433" t="s">
        <v>3917</v>
      </c>
      <c r="M117" s="433">
        <v>44655</v>
      </c>
      <c r="N117" s="433">
        <v>44655</v>
      </c>
      <c r="O117" s="433"/>
      <c r="P117" s="433"/>
      <c r="Q117" s="433"/>
      <c r="R117" s="433"/>
      <c r="S117" s="432" t="s">
        <v>1107</v>
      </c>
      <c r="T117" s="432">
        <v>60</v>
      </c>
      <c r="U117" s="432"/>
      <c r="V117" s="432" t="s">
        <v>973</v>
      </c>
      <c r="W117" s="436">
        <v>400</v>
      </c>
      <c r="X117" s="372">
        <v>768</v>
      </c>
      <c r="Y117" s="408">
        <f t="shared" si="11"/>
        <v>307200</v>
      </c>
      <c r="Z117" s="409">
        <v>0.56000000000000005</v>
      </c>
      <c r="AA117" s="410">
        <f t="shared" si="12"/>
        <v>172032.00000000003</v>
      </c>
      <c r="AB117" s="411"/>
      <c r="AC117" s="412">
        <f t="shared" si="13"/>
        <v>0</v>
      </c>
      <c r="AD117" s="421"/>
      <c r="AE117" s="413"/>
      <c r="AF117" s="424">
        <f t="shared" si="14"/>
        <v>172032.00000000003</v>
      </c>
      <c r="AG117" s="405" t="s">
        <v>1069</v>
      </c>
      <c r="AH117" s="405">
        <v>100</v>
      </c>
      <c r="AI117" s="405">
        <v>0</v>
      </c>
      <c r="AJ117" s="405" t="s">
        <v>1369</v>
      </c>
      <c r="AK117" s="405" t="s">
        <v>1110</v>
      </c>
      <c r="AL117" s="425">
        <v>62246</v>
      </c>
      <c r="AM117" s="405" t="s">
        <v>52</v>
      </c>
      <c r="AN117" s="405"/>
      <c r="AO117" s="405"/>
      <c r="AP117" s="413"/>
      <c r="AQ117" s="413" t="s">
        <v>1083</v>
      </c>
      <c r="AR117" s="405" t="s">
        <v>1188</v>
      </c>
      <c r="AS117" s="368" t="s">
        <v>1072</v>
      </c>
      <c r="AT117" s="386" t="s">
        <v>1084</v>
      </c>
      <c r="AU117" s="386" t="s">
        <v>1073</v>
      </c>
    </row>
    <row r="118" spans="1:47" s="402" customFormat="1">
      <c r="A118" s="426"/>
      <c r="B118" s="376"/>
      <c r="C118" s="426"/>
      <c r="D118" s="374" t="s">
        <v>1066</v>
      </c>
      <c r="E118" s="432" t="s">
        <v>1158</v>
      </c>
      <c r="F118" s="432"/>
      <c r="G118" s="432"/>
      <c r="H118" s="432"/>
      <c r="I118" s="432" t="s">
        <v>1498</v>
      </c>
      <c r="J118" s="433"/>
      <c r="K118" s="432">
        <v>1380</v>
      </c>
      <c r="L118" s="433" t="s">
        <v>3917</v>
      </c>
      <c r="M118" s="433">
        <v>44658</v>
      </c>
      <c r="N118" s="433">
        <v>44658</v>
      </c>
      <c r="O118" s="433"/>
      <c r="P118" s="433"/>
      <c r="Q118" s="433"/>
      <c r="R118" s="433"/>
      <c r="S118" s="432" t="s">
        <v>1107</v>
      </c>
      <c r="T118" s="432">
        <v>60</v>
      </c>
      <c r="U118" s="432"/>
      <c r="V118" s="432" t="s">
        <v>973</v>
      </c>
      <c r="W118" s="436">
        <v>400</v>
      </c>
      <c r="X118" s="372">
        <v>768</v>
      </c>
      <c r="Y118" s="408">
        <f t="shared" si="11"/>
        <v>307200</v>
      </c>
      <c r="Z118" s="409">
        <v>0.65</v>
      </c>
      <c r="AA118" s="410">
        <f t="shared" si="12"/>
        <v>199680</v>
      </c>
      <c r="AB118" s="411"/>
      <c r="AC118" s="412">
        <f t="shared" si="13"/>
        <v>0</v>
      </c>
      <c r="AD118" s="421"/>
      <c r="AE118" s="413"/>
      <c r="AF118" s="424">
        <f t="shared" si="14"/>
        <v>199680</v>
      </c>
      <c r="AG118" s="405" t="s">
        <v>1069</v>
      </c>
      <c r="AH118" s="405">
        <v>100</v>
      </c>
      <c r="AI118" s="405">
        <v>0</v>
      </c>
      <c r="AJ118" s="405" t="s">
        <v>1369</v>
      </c>
      <c r="AK118" s="405" t="s">
        <v>1110</v>
      </c>
      <c r="AL118" s="425">
        <v>62246</v>
      </c>
      <c r="AM118" s="405" t="s">
        <v>52</v>
      </c>
      <c r="AN118" s="405"/>
      <c r="AO118" s="405"/>
      <c r="AP118" s="413"/>
      <c r="AQ118" s="413" t="s">
        <v>1083</v>
      </c>
      <c r="AR118" s="405" t="s">
        <v>1188</v>
      </c>
      <c r="AS118" s="368" t="s">
        <v>1072</v>
      </c>
      <c r="AT118" s="386" t="s">
        <v>1084</v>
      </c>
      <c r="AU118" s="386" t="s">
        <v>1073</v>
      </c>
    </row>
    <row r="119" spans="1:47" s="402" customFormat="1">
      <c r="A119" s="426"/>
      <c r="B119" s="376"/>
      <c r="C119" s="426"/>
      <c r="D119" s="374" t="s">
        <v>1066</v>
      </c>
      <c r="E119" s="432" t="s">
        <v>1158</v>
      </c>
      <c r="F119" s="432"/>
      <c r="G119" s="432"/>
      <c r="H119" s="432"/>
      <c r="I119" s="432" t="s">
        <v>1498</v>
      </c>
      <c r="J119" s="433"/>
      <c r="K119" s="432">
        <v>211</v>
      </c>
      <c r="L119" s="433" t="s">
        <v>4091</v>
      </c>
      <c r="M119" s="433">
        <v>44607</v>
      </c>
      <c r="N119" s="433">
        <v>44743</v>
      </c>
      <c r="O119" s="433"/>
      <c r="P119" s="433"/>
      <c r="Q119" s="433"/>
      <c r="R119" s="433"/>
      <c r="S119" s="432" t="s">
        <v>1107</v>
      </c>
      <c r="T119" s="432">
        <v>60</v>
      </c>
      <c r="U119" s="432"/>
      <c r="V119" s="432" t="s">
        <v>986</v>
      </c>
      <c r="W119" s="436">
        <v>360</v>
      </c>
      <c r="X119" s="372">
        <v>832</v>
      </c>
      <c r="Y119" s="408">
        <f t="shared" si="11"/>
        <v>299520</v>
      </c>
      <c r="Z119" s="409">
        <v>0.62</v>
      </c>
      <c r="AA119" s="410">
        <f t="shared" si="12"/>
        <v>185702.39999999999</v>
      </c>
      <c r="AB119" s="411"/>
      <c r="AC119" s="412">
        <f t="shared" si="13"/>
        <v>0</v>
      </c>
      <c r="AD119" s="421"/>
      <c r="AE119" s="413"/>
      <c r="AF119" s="424">
        <f t="shared" si="14"/>
        <v>185702.39999999999</v>
      </c>
      <c r="AG119" s="405" t="s">
        <v>47</v>
      </c>
      <c r="AH119" s="405">
        <v>0</v>
      </c>
      <c r="AI119" s="405">
        <v>30</v>
      </c>
      <c r="AJ119" s="405" t="s">
        <v>4092</v>
      </c>
      <c r="AK119" s="405" t="s">
        <v>1292</v>
      </c>
      <c r="AL119" s="425">
        <v>18966</v>
      </c>
      <c r="AM119" s="405" t="s">
        <v>52</v>
      </c>
      <c r="AN119" s="405"/>
      <c r="AO119" s="405"/>
      <c r="AP119" s="413"/>
      <c r="AQ119" s="413" t="s">
        <v>1083</v>
      </c>
      <c r="AR119" s="405" t="s">
        <v>1188</v>
      </c>
      <c r="AS119" s="368" t="s">
        <v>1072</v>
      </c>
      <c r="AT119" s="386" t="s">
        <v>1084</v>
      </c>
      <c r="AU119" s="386" t="s">
        <v>1073</v>
      </c>
    </row>
    <row r="120" spans="1:47" s="402" customFormat="1">
      <c r="A120" s="426"/>
      <c r="B120" s="376"/>
      <c r="C120" s="426"/>
      <c r="D120" s="374" t="s">
        <v>1066</v>
      </c>
      <c r="E120" s="432" t="s">
        <v>1158</v>
      </c>
      <c r="F120" s="432"/>
      <c r="G120" s="432"/>
      <c r="H120" s="432"/>
      <c r="I120" s="432" t="s">
        <v>1498</v>
      </c>
      <c r="J120" s="433"/>
      <c r="K120" s="432">
        <v>210</v>
      </c>
      <c r="L120" s="433" t="s">
        <v>4091</v>
      </c>
      <c r="M120" s="433">
        <v>44607</v>
      </c>
      <c r="N120" s="433">
        <v>44683</v>
      </c>
      <c r="O120" s="433"/>
      <c r="P120" s="433"/>
      <c r="Q120" s="433"/>
      <c r="R120" s="433"/>
      <c r="S120" s="432" t="s">
        <v>1107</v>
      </c>
      <c r="T120" s="432">
        <v>60</v>
      </c>
      <c r="U120" s="432"/>
      <c r="V120" s="432" t="s">
        <v>986</v>
      </c>
      <c r="W120" s="436">
        <v>360</v>
      </c>
      <c r="X120" s="372">
        <v>832</v>
      </c>
      <c r="Y120" s="408">
        <f t="shared" si="11"/>
        <v>299520</v>
      </c>
      <c r="Z120" s="409">
        <v>0.53</v>
      </c>
      <c r="AA120" s="410">
        <f t="shared" si="12"/>
        <v>158745.60000000001</v>
      </c>
      <c r="AB120" s="411"/>
      <c r="AC120" s="412">
        <f t="shared" si="13"/>
        <v>0</v>
      </c>
      <c r="AD120" s="421"/>
      <c r="AE120" s="413"/>
      <c r="AF120" s="424">
        <f t="shared" si="14"/>
        <v>158745.60000000001</v>
      </c>
      <c r="AG120" s="405" t="s">
        <v>47</v>
      </c>
      <c r="AH120" s="405">
        <v>0</v>
      </c>
      <c r="AI120" s="405">
        <v>30</v>
      </c>
      <c r="AJ120" s="405" t="s">
        <v>2454</v>
      </c>
      <c r="AK120" s="405" t="s">
        <v>1191</v>
      </c>
      <c r="AL120" s="425">
        <v>43228</v>
      </c>
      <c r="AM120" s="405" t="s">
        <v>52</v>
      </c>
      <c r="AN120" s="405"/>
      <c r="AO120" s="405"/>
      <c r="AP120" s="413"/>
      <c r="AQ120" s="413" t="s">
        <v>1083</v>
      </c>
      <c r="AR120" s="405" t="s">
        <v>1188</v>
      </c>
      <c r="AS120" s="368" t="s">
        <v>1072</v>
      </c>
      <c r="AT120" s="386" t="s">
        <v>1084</v>
      </c>
      <c r="AU120" s="386" t="s">
        <v>1073</v>
      </c>
    </row>
    <row r="121" spans="1:47" s="402" customFormat="1">
      <c r="A121" s="426"/>
      <c r="B121" s="376"/>
      <c r="C121" s="426"/>
      <c r="D121" s="374" t="s">
        <v>1066</v>
      </c>
      <c r="E121" s="432" t="s">
        <v>1158</v>
      </c>
      <c r="F121" s="432"/>
      <c r="G121" s="432"/>
      <c r="H121" s="432"/>
      <c r="I121" s="432" t="s">
        <v>1498</v>
      </c>
      <c r="J121" s="433"/>
      <c r="K121" s="432">
        <v>210</v>
      </c>
      <c r="L121" s="433" t="s">
        <v>4091</v>
      </c>
      <c r="M121" s="433">
        <v>44607</v>
      </c>
      <c r="N121" s="433">
        <v>44774</v>
      </c>
      <c r="O121" s="433"/>
      <c r="P121" s="433"/>
      <c r="Q121" s="433"/>
      <c r="R121" s="433"/>
      <c r="S121" s="432" t="s">
        <v>1107</v>
      </c>
      <c r="T121" s="432">
        <v>60</v>
      </c>
      <c r="U121" s="432"/>
      <c r="V121" s="432" t="s">
        <v>986</v>
      </c>
      <c r="W121" s="436">
        <v>360</v>
      </c>
      <c r="X121" s="372">
        <v>832</v>
      </c>
      <c r="Y121" s="408">
        <f t="shared" si="11"/>
        <v>299520</v>
      </c>
      <c r="Z121" s="409">
        <v>0.62</v>
      </c>
      <c r="AA121" s="410">
        <f t="shared" si="12"/>
        <v>185702.39999999999</v>
      </c>
      <c r="AB121" s="411"/>
      <c r="AC121" s="412">
        <f t="shared" si="13"/>
        <v>0</v>
      </c>
      <c r="AD121" s="421"/>
      <c r="AE121" s="413"/>
      <c r="AF121" s="424">
        <f t="shared" si="14"/>
        <v>185702.39999999999</v>
      </c>
      <c r="AG121" s="405" t="s">
        <v>47</v>
      </c>
      <c r="AH121" s="405">
        <v>0</v>
      </c>
      <c r="AI121" s="405">
        <v>30</v>
      </c>
      <c r="AJ121" s="405" t="s">
        <v>2454</v>
      </c>
      <c r="AK121" s="405" t="s">
        <v>1191</v>
      </c>
      <c r="AL121" s="425">
        <v>43228</v>
      </c>
      <c r="AM121" s="405" t="s">
        <v>52</v>
      </c>
      <c r="AN121" s="405"/>
      <c r="AO121" s="405"/>
      <c r="AP121" s="413"/>
      <c r="AQ121" s="413" t="s">
        <v>1083</v>
      </c>
      <c r="AR121" s="405" t="s">
        <v>1188</v>
      </c>
      <c r="AS121" s="368" t="s">
        <v>1072</v>
      </c>
      <c r="AT121" s="386" t="s">
        <v>1084</v>
      </c>
      <c r="AU121" s="386" t="s">
        <v>1073</v>
      </c>
    </row>
    <row r="122" spans="1:47" s="402" customFormat="1">
      <c r="A122" s="426"/>
      <c r="B122" s="376"/>
      <c r="C122" s="426"/>
      <c r="D122" s="374" t="s">
        <v>1066</v>
      </c>
      <c r="E122" s="432" t="s">
        <v>4351</v>
      </c>
      <c r="F122" s="432"/>
      <c r="G122" s="432"/>
      <c r="H122" s="432"/>
      <c r="I122" s="432" t="s">
        <v>1498</v>
      </c>
      <c r="J122" s="433"/>
      <c r="K122" s="432" t="s">
        <v>4352</v>
      </c>
      <c r="L122" s="433" t="s">
        <v>4353</v>
      </c>
      <c r="M122" s="433">
        <v>44676</v>
      </c>
      <c r="N122" s="433">
        <v>44743</v>
      </c>
      <c r="O122" s="433"/>
      <c r="P122" s="433"/>
      <c r="Q122" s="433"/>
      <c r="R122" s="433"/>
      <c r="S122" s="432" t="s">
        <v>1107</v>
      </c>
      <c r="T122" s="432">
        <v>60</v>
      </c>
      <c r="U122" s="432"/>
      <c r="V122" s="432" t="s">
        <v>986</v>
      </c>
      <c r="W122" s="436">
        <v>365</v>
      </c>
      <c r="X122" s="372">
        <v>832</v>
      </c>
      <c r="Y122" s="408">
        <f t="shared" si="11"/>
        <v>303680</v>
      </c>
      <c r="Z122" s="409">
        <v>0.62</v>
      </c>
      <c r="AA122" s="410">
        <f t="shared" si="12"/>
        <v>188281.60000000001</v>
      </c>
      <c r="AB122" s="411"/>
      <c r="AC122" s="412">
        <f t="shared" si="13"/>
        <v>0</v>
      </c>
      <c r="AD122" s="421"/>
      <c r="AE122" s="413"/>
      <c r="AF122" s="424">
        <f t="shared" si="14"/>
        <v>188281.60000000001</v>
      </c>
      <c r="AG122" s="405" t="s">
        <v>1069</v>
      </c>
      <c r="AH122" s="405">
        <v>0</v>
      </c>
      <c r="AI122" s="405">
        <v>60</v>
      </c>
      <c r="AJ122" s="405" t="s">
        <v>1238</v>
      </c>
      <c r="AK122" s="405" t="s">
        <v>1234</v>
      </c>
      <c r="AL122" s="425">
        <v>63134</v>
      </c>
      <c r="AM122" s="405" t="s">
        <v>52</v>
      </c>
      <c r="AN122" s="405"/>
      <c r="AO122" s="405"/>
      <c r="AP122" s="413"/>
      <c r="AQ122" s="413" t="s">
        <v>1083</v>
      </c>
      <c r="AR122" s="405" t="s">
        <v>1188</v>
      </c>
      <c r="AS122" s="368" t="s">
        <v>1072</v>
      </c>
      <c r="AT122" s="386" t="s">
        <v>1084</v>
      </c>
      <c r="AU122" s="386" t="s">
        <v>1073</v>
      </c>
    </row>
    <row r="123" spans="1:47" s="402" customFormat="1">
      <c r="A123" s="426"/>
      <c r="B123" s="376"/>
      <c r="C123" s="426"/>
      <c r="D123" s="374" t="s">
        <v>1066</v>
      </c>
      <c r="E123" s="432" t="s">
        <v>4351</v>
      </c>
      <c r="F123" s="432"/>
      <c r="G123" s="432"/>
      <c r="H123" s="432"/>
      <c r="I123" s="432" t="s">
        <v>1498</v>
      </c>
      <c r="J123" s="433"/>
      <c r="K123" s="432" t="s">
        <v>4354</v>
      </c>
      <c r="L123" s="433" t="s">
        <v>4353</v>
      </c>
      <c r="M123" s="433">
        <v>44676</v>
      </c>
      <c r="N123" s="433">
        <v>44774</v>
      </c>
      <c r="O123" s="433"/>
      <c r="P123" s="433"/>
      <c r="Q123" s="433"/>
      <c r="R123" s="433"/>
      <c r="S123" s="432" t="s">
        <v>1107</v>
      </c>
      <c r="T123" s="432">
        <v>60</v>
      </c>
      <c r="U123" s="432"/>
      <c r="V123" s="432" t="s">
        <v>986</v>
      </c>
      <c r="W123" s="436">
        <v>365</v>
      </c>
      <c r="X123" s="372">
        <v>1664</v>
      </c>
      <c r="Y123" s="408">
        <f t="shared" si="11"/>
        <v>607360</v>
      </c>
      <c r="Z123" s="409">
        <v>0.62</v>
      </c>
      <c r="AA123" s="410">
        <f t="shared" si="12"/>
        <v>376563.20000000001</v>
      </c>
      <c r="AB123" s="411"/>
      <c r="AC123" s="412">
        <f t="shared" si="13"/>
        <v>0</v>
      </c>
      <c r="AD123" s="421"/>
      <c r="AE123" s="413"/>
      <c r="AF123" s="424">
        <f t="shared" si="14"/>
        <v>376563.20000000001</v>
      </c>
      <c r="AG123" s="405" t="s">
        <v>1069</v>
      </c>
      <c r="AH123" s="405">
        <v>0</v>
      </c>
      <c r="AI123" s="405">
        <v>60</v>
      </c>
      <c r="AJ123" s="405" t="s">
        <v>1238</v>
      </c>
      <c r="AK123" s="405" t="s">
        <v>1234</v>
      </c>
      <c r="AL123" s="425">
        <v>63134</v>
      </c>
      <c r="AM123" s="405" t="s">
        <v>52</v>
      </c>
      <c r="AN123" s="405"/>
      <c r="AO123" s="405"/>
      <c r="AP123" s="413"/>
      <c r="AQ123" s="413" t="s">
        <v>1083</v>
      </c>
      <c r="AR123" s="405" t="s">
        <v>1188</v>
      </c>
      <c r="AS123" s="368" t="s">
        <v>1072</v>
      </c>
      <c r="AT123" s="386" t="s">
        <v>1084</v>
      </c>
      <c r="AU123" s="386" t="s">
        <v>1073</v>
      </c>
    </row>
    <row r="124" spans="1:47" s="402" customFormat="1">
      <c r="A124" s="426"/>
      <c r="B124" s="376"/>
      <c r="C124" s="426"/>
      <c r="D124" s="374" t="s">
        <v>1066</v>
      </c>
      <c r="E124" s="432" t="s">
        <v>4351</v>
      </c>
      <c r="F124" s="432"/>
      <c r="G124" s="432"/>
      <c r="H124" s="432"/>
      <c r="I124" s="432" t="s">
        <v>1498</v>
      </c>
      <c r="J124" s="433"/>
      <c r="K124" s="432" t="s">
        <v>4355</v>
      </c>
      <c r="L124" s="433" t="s">
        <v>4353</v>
      </c>
      <c r="M124" s="433">
        <v>44676</v>
      </c>
      <c r="N124" s="433">
        <v>44805</v>
      </c>
      <c r="O124" s="433"/>
      <c r="P124" s="433"/>
      <c r="Q124" s="433"/>
      <c r="R124" s="433"/>
      <c r="S124" s="432" t="s">
        <v>1107</v>
      </c>
      <c r="T124" s="432">
        <v>60</v>
      </c>
      <c r="U124" s="432"/>
      <c r="V124" s="432" t="s">
        <v>986</v>
      </c>
      <c r="W124" s="436">
        <v>365</v>
      </c>
      <c r="X124" s="372">
        <v>1664</v>
      </c>
      <c r="Y124" s="408">
        <f t="shared" si="11"/>
        <v>607360</v>
      </c>
      <c r="Z124" s="409">
        <v>0.62</v>
      </c>
      <c r="AA124" s="410">
        <f t="shared" si="12"/>
        <v>376563.20000000001</v>
      </c>
      <c r="AB124" s="411"/>
      <c r="AC124" s="412">
        <f t="shared" si="13"/>
        <v>0</v>
      </c>
      <c r="AD124" s="421"/>
      <c r="AE124" s="413"/>
      <c r="AF124" s="424">
        <f t="shared" si="14"/>
        <v>376563.20000000001</v>
      </c>
      <c r="AG124" s="405" t="s">
        <v>1069</v>
      </c>
      <c r="AH124" s="405">
        <v>0</v>
      </c>
      <c r="AI124" s="405">
        <v>60</v>
      </c>
      <c r="AJ124" s="405" t="s">
        <v>1238</v>
      </c>
      <c r="AK124" s="405" t="s">
        <v>1234</v>
      </c>
      <c r="AL124" s="425">
        <v>63134</v>
      </c>
      <c r="AM124" s="405" t="s">
        <v>52</v>
      </c>
      <c r="AN124" s="405"/>
      <c r="AO124" s="405"/>
      <c r="AP124" s="413"/>
      <c r="AQ124" s="413" t="s">
        <v>1083</v>
      </c>
      <c r="AR124" s="405" t="s">
        <v>1188</v>
      </c>
      <c r="AS124" s="368" t="s">
        <v>1072</v>
      </c>
      <c r="AT124" s="386" t="s">
        <v>1084</v>
      </c>
      <c r="AU124" s="386" t="s">
        <v>1073</v>
      </c>
    </row>
    <row r="125" spans="1:47" s="402" customFormat="1">
      <c r="A125" s="426"/>
      <c r="B125" s="376"/>
      <c r="C125" s="426"/>
      <c r="D125" s="374" t="s">
        <v>1066</v>
      </c>
      <c r="E125" s="432" t="s">
        <v>4351</v>
      </c>
      <c r="F125" s="432"/>
      <c r="G125" s="432"/>
      <c r="H125" s="432"/>
      <c r="I125" s="432" t="s">
        <v>1498</v>
      </c>
      <c r="J125" s="433"/>
      <c r="K125" s="432" t="s">
        <v>4356</v>
      </c>
      <c r="L125" s="433" t="s">
        <v>4353</v>
      </c>
      <c r="M125" s="433">
        <v>44676</v>
      </c>
      <c r="N125" s="433">
        <v>44835</v>
      </c>
      <c r="O125" s="433"/>
      <c r="P125" s="433"/>
      <c r="Q125" s="433"/>
      <c r="R125" s="433"/>
      <c r="S125" s="432" t="s">
        <v>1107</v>
      </c>
      <c r="T125" s="432">
        <v>60</v>
      </c>
      <c r="U125" s="432"/>
      <c r="V125" s="432" t="s">
        <v>986</v>
      </c>
      <c r="W125" s="436">
        <v>365</v>
      </c>
      <c r="X125" s="372">
        <v>832</v>
      </c>
      <c r="Y125" s="408">
        <f t="shared" si="11"/>
        <v>303680</v>
      </c>
      <c r="Z125" s="409">
        <v>0.62</v>
      </c>
      <c r="AA125" s="410">
        <f t="shared" si="12"/>
        <v>188281.60000000001</v>
      </c>
      <c r="AB125" s="411"/>
      <c r="AC125" s="412">
        <f t="shared" si="13"/>
        <v>0</v>
      </c>
      <c r="AD125" s="421"/>
      <c r="AE125" s="413"/>
      <c r="AF125" s="424">
        <f t="shared" si="14"/>
        <v>188281.60000000001</v>
      </c>
      <c r="AG125" s="405" t="s">
        <v>1069</v>
      </c>
      <c r="AH125" s="405">
        <v>0</v>
      </c>
      <c r="AI125" s="405">
        <v>60</v>
      </c>
      <c r="AJ125" s="405" t="s">
        <v>1238</v>
      </c>
      <c r="AK125" s="405" t="s">
        <v>1234</v>
      </c>
      <c r="AL125" s="425">
        <v>63134</v>
      </c>
      <c r="AM125" s="405" t="s">
        <v>52</v>
      </c>
      <c r="AN125" s="405"/>
      <c r="AO125" s="405"/>
      <c r="AP125" s="413"/>
      <c r="AQ125" s="413" t="s">
        <v>1083</v>
      </c>
      <c r="AR125" s="405" t="s">
        <v>1188</v>
      </c>
      <c r="AS125" s="368" t="s">
        <v>1072</v>
      </c>
      <c r="AT125" s="386" t="s">
        <v>1084</v>
      </c>
      <c r="AU125" s="386" t="s">
        <v>1073</v>
      </c>
    </row>
    <row r="126" spans="1:47" s="402" customFormat="1">
      <c r="A126" s="426"/>
      <c r="B126" s="376"/>
      <c r="C126" s="426"/>
      <c r="D126" s="374" t="s">
        <v>1066</v>
      </c>
      <c r="E126" s="432" t="s">
        <v>4351</v>
      </c>
      <c r="F126" s="432"/>
      <c r="G126" s="432"/>
      <c r="H126" s="432"/>
      <c r="I126" s="432" t="s">
        <v>1498</v>
      </c>
      <c r="J126" s="433"/>
      <c r="K126" s="432" t="s">
        <v>4357</v>
      </c>
      <c r="L126" s="433" t="s">
        <v>4353</v>
      </c>
      <c r="M126" s="433">
        <v>44676</v>
      </c>
      <c r="N126" s="433">
        <v>44866</v>
      </c>
      <c r="O126" s="433"/>
      <c r="P126" s="433"/>
      <c r="Q126" s="433"/>
      <c r="R126" s="433"/>
      <c r="S126" s="432" t="s">
        <v>1107</v>
      </c>
      <c r="T126" s="432">
        <v>60</v>
      </c>
      <c r="U126" s="432"/>
      <c r="V126" s="432" t="s">
        <v>986</v>
      </c>
      <c r="W126" s="436">
        <v>365</v>
      </c>
      <c r="X126" s="372">
        <v>832</v>
      </c>
      <c r="Y126" s="408">
        <f t="shared" si="11"/>
        <v>303680</v>
      </c>
      <c r="Z126" s="409">
        <v>0.62</v>
      </c>
      <c r="AA126" s="410">
        <f t="shared" si="12"/>
        <v>188281.60000000001</v>
      </c>
      <c r="AB126" s="411"/>
      <c r="AC126" s="412">
        <f t="shared" si="13"/>
        <v>0</v>
      </c>
      <c r="AD126" s="421"/>
      <c r="AE126" s="413"/>
      <c r="AF126" s="424">
        <f t="shared" si="14"/>
        <v>188281.60000000001</v>
      </c>
      <c r="AG126" s="405" t="s">
        <v>1069</v>
      </c>
      <c r="AH126" s="405">
        <v>0</v>
      </c>
      <c r="AI126" s="405">
        <v>60</v>
      </c>
      <c r="AJ126" s="405" t="s">
        <v>1238</v>
      </c>
      <c r="AK126" s="405" t="s">
        <v>1234</v>
      </c>
      <c r="AL126" s="425">
        <v>63134</v>
      </c>
      <c r="AM126" s="405" t="s">
        <v>52</v>
      </c>
      <c r="AN126" s="405"/>
      <c r="AO126" s="405"/>
      <c r="AP126" s="413"/>
      <c r="AQ126" s="413" t="s">
        <v>1083</v>
      </c>
      <c r="AR126" s="405" t="s">
        <v>1188</v>
      </c>
      <c r="AS126" s="368" t="s">
        <v>1072</v>
      </c>
      <c r="AT126" s="386" t="s">
        <v>1084</v>
      </c>
      <c r="AU126" s="386" t="s">
        <v>1073</v>
      </c>
    </row>
    <row r="127" spans="1:47" s="402" customFormat="1">
      <c r="A127" s="426"/>
      <c r="B127" s="376"/>
      <c r="C127" s="426"/>
      <c r="D127" s="374" t="s">
        <v>1066</v>
      </c>
      <c r="E127" s="432" t="s">
        <v>4351</v>
      </c>
      <c r="F127" s="432"/>
      <c r="G127" s="432"/>
      <c r="H127" s="432"/>
      <c r="I127" s="432" t="s">
        <v>1498</v>
      </c>
      <c r="J127" s="433"/>
      <c r="K127" s="432" t="s">
        <v>4358</v>
      </c>
      <c r="L127" s="433" t="s">
        <v>4353</v>
      </c>
      <c r="M127" s="433">
        <v>44676</v>
      </c>
      <c r="N127" s="433">
        <v>44896</v>
      </c>
      <c r="O127" s="433"/>
      <c r="P127" s="433"/>
      <c r="Q127" s="433"/>
      <c r="R127" s="433"/>
      <c r="S127" s="432" t="s">
        <v>1107</v>
      </c>
      <c r="T127" s="432">
        <v>60</v>
      </c>
      <c r="U127" s="432"/>
      <c r="V127" s="432" t="s">
        <v>986</v>
      </c>
      <c r="W127" s="436">
        <v>365</v>
      </c>
      <c r="X127" s="372">
        <v>832</v>
      </c>
      <c r="Y127" s="408">
        <f t="shared" si="11"/>
        <v>303680</v>
      </c>
      <c r="Z127" s="409">
        <v>0.62</v>
      </c>
      <c r="AA127" s="410">
        <f t="shared" si="12"/>
        <v>188281.60000000001</v>
      </c>
      <c r="AB127" s="411"/>
      <c r="AC127" s="412">
        <f t="shared" si="13"/>
        <v>0</v>
      </c>
      <c r="AD127" s="421"/>
      <c r="AE127" s="413"/>
      <c r="AF127" s="424">
        <f t="shared" si="14"/>
        <v>188281.60000000001</v>
      </c>
      <c r="AG127" s="405" t="s">
        <v>1069</v>
      </c>
      <c r="AH127" s="405">
        <v>0</v>
      </c>
      <c r="AI127" s="405">
        <v>60</v>
      </c>
      <c r="AJ127" s="405" t="s">
        <v>1238</v>
      </c>
      <c r="AK127" s="405" t="s">
        <v>1234</v>
      </c>
      <c r="AL127" s="425">
        <v>63134</v>
      </c>
      <c r="AM127" s="405" t="s">
        <v>52</v>
      </c>
      <c r="AN127" s="405"/>
      <c r="AO127" s="405"/>
      <c r="AP127" s="413"/>
      <c r="AQ127" s="413" t="s">
        <v>1083</v>
      </c>
      <c r="AR127" s="405" t="s">
        <v>1188</v>
      </c>
      <c r="AS127" s="368" t="s">
        <v>1072</v>
      </c>
      <c r="AT127" s="386" t="s">
        <v>1084</v>
      </c>
      <c r="AU127" s="386" t="s">
        <v>1073</v>
      </c>
    </row>
    <row r="128" spans="1:47" s="402" customFormat="1">
      <c r="A128" s="426" t="s">
        <v>4584</v>
      </c>
      <c r="B128" s="426"/>
      <c r="C128" s="426"/>
      <c r="D128" s="405" t="s">
        <v>1066</v>
      </c>
      <c r="E128" s="393" t="s">
        <v>1093</v>
      </c>
      <c r="F128" s="405"/>
      <c r="G128" s="417">
        <v>2022</v>
      </c>
      <c r="H128" s="405">
        <v>5</v>
      </c>
      <c r="I128" s="405"/>
      <c r="J128" s="406"/>
      <c r="K128" s="405" t="s">
        <v>3869</v>
      </c>
      <c r="L128" s="405" t="s">
        <v>1187</v>
      </c>
      <c r="M128" s="406">
        <v>44550</v>
      </c>
      <c r="N128" s="406">
        <v>44652</v>
      </c>
      <c r="O128" s="406"/>
      <c r="P128" s="406"/>
      <c r="Q128" s="406"/>
      <c r="R128" s="406"/>
      <c r="S128" s="417" t="s">
        <v>1107</v>
      </c>
      <c r="T128" s="405">
        <v>60</v>
      </c>
      <c r="U128" s="405"/>
      <c r="V128" s="405" t="s">
        <v>973</v>
      </c>
      <c r="W128" s="405">
        <v>400</v>
      </c>
      <c r="X128" s="416">
        <v>768</v>
      </c>
      <c r="Y128" s="408">
        <f>X128*W128</f>
        <v>307200</v>
      </c>
      <c r="Z128" s="409">
        <v>0.52</v>
      </c>
      <c r="AA128" s="410">
        <f>Z128*Y128</f>
        <v>159744</v>
      </c>
      <c r="AB128" s="411"/>
      <c r="AC128" s="412">
        <f>AB128*Y128</f>
        <v>0</v>
      </c>
      <c r="AD128" s="421"/>
      <c r="AE128" s="413"/>
      <c r="AF128" s="424">
        <f>AE128+AD128+AA128</f>
        <v>159744</v>
      </c>
      <c r="AG128" s="405" t="s">
        <v>1069</v>
      </c>
      <c r="AH128" s="405"/>
      <c r="AI128" s="405">
        <v>60</v>
      </c>
      <c r="AJ128" s="405" t="s">
        <v>1182</v>
      </c>
      <c r="AK128" s="405" t="s">
        <v>1183</v>
      </c>
      <c r="AL128" s="425">
        <v>52404</v>
      </c>
      <c r="AM128" s="405" t="s">
        <v>52</v>
      </c>
      <c r="AN128" s="405" t="s">
        <v>50</v>
      </c>
      <c r="AO128" s="405"/>
      <c r="AP128" s="413" t="s">
        <v>38</v>
      </c>
      <c r="AQ128" s="413"/>
      <c r="AR128" s="405" t="s">
        <v>1188</v>
      </c>
      <c r="AS128" s="368"/>
      <c r="AT128" s="386"/>
      <c r="AU128" s="386"/>
    </row>
    <row r="129" spans="1:48" s="402" customFormat="1">
      <c r="A129" s="426" t="s">
        <v>4585</v>
      </c>
      <c r="B129" s="426"/>
      <c r="C129" s="426"/>
      <c r="D129" s="405" t="s">
        <v>1066</v>
      </c>
      <c r="E129" s="393" t="s">
        <v>1093</v>
      </c>
      <c r="F129" s="405"/>
      <c r="G129" s="417">
        <v>2022</v>
      </c>
      <c r="H129" s="405">
        <v>5</v>
      </c>
      <c r="I129" s="405"/>
      <c r="J129" s="406"/>
      <c r="K129" s="405" t="s">
        <v>3869</v>
      </c>
      <c r="L129" s="405" t="s">
        <v>1187</v>
      </c>
      <c r="M129" s="406">
        <v>44550</v>
      </c>
      <c r="N129" s="406">
        <v>44652</v>
      </c>
      <c r="O129" s="406"/>
      <c r="P129" s="406"/>
      <c r="Q129" s="406"/>
      <c r="R129" s="406"/>
      <c r="S129" s="417" t="s">
        <v>1107</v>
      </c>
      <c r="T129" s="405">
        <v>60</v>
      </c>
      <c r="U129" s="405"/>
      <c r="V129" s="405" t="s">
        <v>973</v>
      </c>
      <c r="W129" s="405">
        <v>400</v>
      </c>
      <c r="X129" s="416">
        <v>768</v>
      </c>
      <c r="Y129" s="408">
        <f>X129*W129</f>
        <v>307200</v>
      </c>
      <c r="Z129" s="409">
        <v>0.52</v>
      </c>
      <c r="AA129" s="410">
        <f>Z129*Y129</f>
        <v>159744</v>
      </c>
      <c r="AB129" s="411"/>
      <c r="AC129" s="412">
        <f>AB129*Y129</f>
        <v>0</v>
      </c>
      <c r="AD129" s="421"/>
      <c r="AE129" s="413"/>
      <c r="AF129" s="424">
        <f>AE129+AD129+AA129</f>
        <v>159744</v>
      </c>
      <c r="AG129" s="405" t="s">
        <v>1069</v>
      </c>
      <c r="AH129" s="405"/>
      <c r="AI129" s="405">
        <v>60</v>
      </c>
      <c r="AJ129" s="405" t="s">
        <v>1182</v>
      </c>
      <c r="AK129" s="405" t="s">
        <v>1183</v>
      </c>
      <c r="AL129" s="425">
        <v>52404</v>
      </c>
      <c r="AM129" s="405" t="s">
        <v>52</v>
      </c>
      <c r="AN129" s="405" t="s">
        <v>50</v>
      </c>
      <c r="AO129" s="405"/>
      <c r="AP129" s="413" t="s">
        <v>38</v>
      </c>
      <c r="AQ129" s="413"/>
      <c r="AR129" s="405" t="s">
        <v>1188</v>
      </c>
      <c r="AS129" s="368"/>
      <c r="AT129" s="386"/>
      <c r="AU129" s="386"/>
    </row>
    <row r="130" spans="1:48" s="402" customFormat="1" ht="15" customHeight="1">
      <c r="A130" s="278"/>
      <c r="B130" s="279"/>
      <c r="C130" s="284" t="s">
        <v>1186</v>
      </c>
      <c r="D130" s="374" t="s">
        <v>2804</v>
      </c>
      <c r="E130" s="293"/>
      <c r="F130" s="432"/>
      <c r="G130" s="432">
        <v>2022</v>
      </c>
      <c r="H130" s="360"/>
      <c r="I130" s="360" t="s">
        <v>1241</v>
      </c>
      <c r="J130" s="433"/>
      <c r="K130" s="432" t="s">
        <v>3918</v>
      </c>
      <c r="L130" s="433" t="s">
        <v>1112</v>
      </c>
      <c r="M130" s="433">
        <v>44658</v>
      </c>
      <c r="N130" s="433">
        <v>44846</v>
      </c>
      <c r="O130" s="433"/>
      <c r="P130" s="433"/>
      <c r="Q130" s="432"/>
      <c r="R130" s="432"/>
      <c r="S130" s="432" t="s">
        <v>1098</v>
      </c>
      <c r="T130" s="436">
        <v>60</v>
      </c>
      <c r="U130" s="372"/>
      <c r="V130" s="432" t="s">
        <v>1018</v>
      </c>
      <c r="W130" s="436">
        <v>360</v>
      </c>
      <c r="X130" s="372">
        <v>728</v>
      </c>
      <c r="Y130" s="408">
        <f t="shared" ref="Y130:Y193" si="15">W130*X130</f>
        <v>262080</v>
      </c>
      <c r="Z130" s="409">
        <v>0.8</v>
      </c>
      <c r="AA130" s="410">
        <f t="shared" ref="AA130:AA193" si="16">Z130*Y130</f>
        <v>209664</v>
      </c>
      <c r="AB130" s="411"/>
      <c r="AC130" s="412"/>
      <c r="AD130" s="421"/>
      <c r="AE130" s="413"/>
      <c r="AF130" s="424">
        <f t="shared" ref="AF130:AF193" si="17">AE130+AD130+AA130</f>
        <v>209664</v>
      </c>
      <c r="AG130" s="405" t="s">
        <v>47</v>
      </c>
      <c r="AH130" s="405"/>
      <c r="AI130" s="405">
        <v>45</v>
      </c>
      <c r="AJ130" s="405" t="s">
        <v>1113</v>
      </c>
      <c r="AK130" s="405" t="s">
        <v>1110</v>
      </c>
      <c r="AL130" s="425">
        <v>60433</v>
      </c>
      <c r="AM130" s="405" t="s">
        <v>52</v>
      </c>
      <c r="AN130" s="405"/>
      <c r="AO130" s="405"/>
      <c r="AP130" s="413"/>
      <c r="AQ130" s="413" t="s">
        <v>37</v>
      </c>
      <c r="AR130" s="405"/>
      <c r="AS130" s="403"/>
      <c r="AT130" s="281"/>
      <c r="AU130" s="386"/>
      <c r="AV130" s="403"/>
    </row>
    <row r="131" spans="1:48" s="402" customFormat="1" ht="15" customHeight="1">
      <c r="A131" s="278"/>
      <c r="B131" s="279"/>
      <c r="C131" s="284" t="s">
        <v>1186</v>
      </c>
      <c r="D131" s="374" t="s">
        <v>2804</v>
      </c>
      <c r="E131" s="293"/>
      <c r="F131" s="432"/>
      <c r="G131" s="432">
        <v>2022</v>
      </c>
      <c r="H131" s="432"/>
      <c r="I131" s="360" t="s">
        <v>1241</v>
      </c>
      <c r="J131" s="433"/>
      <c r="K131" s="432" t="s">
        <v>3919</v>
      </c>
      <c r="L131" s="433" t="s">
        <v>1112</v>
      </c>
      <c r="M131" s="433">
        <v>44657</v>
      </c>
      <c r="N131" s="433">
        <v>44902</v>
      </c>
      <c r="O131" s="433"/>
      <c r="P131" s="433"/>
      <c r="Q131" s="432"/>
      <c r="R131" s="432"/>
      <c r="S131" s="432" t="s">
        <v>1098</v>
      </c>
      <c r="T131" s="436">
        <v>60</v>
      </c>
      <c r="U131" s="372"/>
      <c r="V131" s="432" t="s">
        <v>973</v>
      </c>
      <c r="W131" s="436">
        <v>400</v>
      </c>
      <c r="X131" s="372">
        <v>832</v>
      </c>
      <c r="Y131" s="408">
        <f t="shared" si="15"/>
        <v>332800</v>
      </c>
      <c r="Z131" s="409">
        <v>0.55000000000000004</v>
      </c>
      <c r="AA131" s="410">
        <f t="shared" si="16"/>
        <v>183040.00000000003</v>
      </c>
      <c r="AB131" s="362"/>
      <c r="AC131" s="412"/>
      <c r="AD131" s="405"/>
      <c r="AE131" s="413"/>
      <c r="AF131" s="424">
        <f t="shared" si="17"/>
        <v>183040.00000000003</v>
      </c>
      <c r="AG131" s="405" t="s">
        <v>47</v>
      </c>
      <c r="AH131" s="395"/>
      <c r="AI131" s="405">
        <v>45</v>
      </c>
      <c r="AJ131" s="405" t="s">
        <v>1337</v>
      </c>
      <c r="AK131" s="405" t="s">
        <v>50</v>
      </c>
      <c r="AL131" s="425">
        <v>91708</v>
      </c>
      <c r="AM131" s="405" t="s">
        <v>52</v>
      </c>
      <c r="AN131" s="405"/>
      <c r="AO131" s="405"/>
      <c r="AP131" s="405"/>
      <c r="AQ131" s="413" t="s">
        <v>37</v>
      </c>
      <c r="AR131" s="405"/>
      <c r="AS131" s="363"/>
      <c r="AT131" s="335"/>
      <c r="AU131" s="363"/>
      <c r="AV131" s="403"/>
    </row>
    <row r="132" spans="1:48" s="402" customFormat="1" ht="15" customHeight="1">
      <c r="A132" s="278"/>
      <c r="B132" s="279"/>
      <c r="C132" s="284" t="s">
        <v>1186</v>
      </c>
      <c r="D132" s="374" t="s">
        <v>2804</v>
      </c>
      <c r="E132" s="293"/>
      <c r="F132" s="432"/>
      <c r="G132" s="432">
        <v>2022</v>
      </c>
      <c r="H132" s="360"/>
      <c r="I132" s="360" t="s">
        <v>1241</v>
      </c>
      <c r="J132" s="433"/>
      <c r="K132" s="432" t="s">
        <v>3919</v>
      </c>
      <c r="L132" s="433" t="s">
        <v>1112</v>
      </c>
      <c r="M132" s="433">
        <v>44657</v>
      </c>
      <c r="N132" s="433">
        <v>44902</v>
      </c>
      <c r="O132" s="433"/>
      <c r="P132" s="433"/>
      <c r="Q132" s="432"/>
      <c r="R132" s="432"/>
      <c r="S132" s="432" t="s">
        <v>1098</v>
      </c>
      <c r="T132" s="436">
        <v>60</v>
      </c>
      <c r="U132" s="372"/>
      <c r="V132" s="432" t="s">
        <v>973</v>
      </c>
      <c r="W132" s="436">
        <v>400</v>
      </c>
      <c r="X132" s="372">
        <v>832</v>
      </c>
      <c r="Y132" s="408">
        <f t="shared" si="15"/>
        <v>332800</v>
      </c>
      <c r="Z132" s="409">
        <v>0.55000000000000004</v>
      </c>
      <c r="AA132" s="410">
        <f t="shared" si="16"/>
        <v>183040.00000000003</v>
      </c>
      <c r="AB132" s="411"/>
      <c r="AC132" s="412"/>
      <c r="AD132" s="421"/>
      <c r="AE132" s="413"/>
      <c r="AF132" s="424">
        <f t="shared" si="17"/>
        <v>183040.00000000003</v>
      </c>
      <c r="AG132" s="405" t="s">
        <v>47</v>
      </c>
      <c r="AH132" s="405"/>
      <c r="AI132" s="405">
        <v>45</v>
      </c>
      <c r="AJ132" s="405" t="s">
        <v>1337</v>
      </c>
      <c r="AK132" s="405" t="s">
        <v>50</v>
      </c>
      <c r="AL132" s="425">
        <v>91708</v>
      </c>
      <c r="AM132" s="405" t="s">
        <v>52</v>
      </c>
      <c r="AN132" s="405"/>
      <c r="AO132" s="405"/>
      <c r="AP132" s="413"/>
      <c r="AQ132" s="413" t="s">
        <v>37</v>
      </c>
      <c r="AR132" s="405"/>
      <c r="AS132" s="403"/>
      <c r="AT132" s="281"/>
      <c r="AU132" s="386"/>
      <c r="AV132" s="403"/>
    </row>
    <row r="133" spans="1:48" s="402" customFormat="1" ht="15" customHeight="1">
      <c r="A133" s="278"/>
      <c r="B133" s="279"/>
      <c r="C133" s="284" t="s">
        <v>1186</v>
      </c>
      <c r="D133" s="374" t="s">
        <v>2804</v>
      </c>
      <c r="E133" s="293"/>
      <c r="F133" s="432"/>
      <c r="G133" s="432">
        <v>2022</v>
      </c>
      <c r="H133" s="432"/>
      <c r="I133" s="360" t="s">
        <v>1241</v>
      </c>
      <c r="J133" s="433"/>
      <c r="K133" s="432" t="s">
        <v>3920</v>
      </c>
      <c r="L133" s="433" t="s">
        <v>1112</v>
      </c>
      <c r="M133" s="433">
        <v>44657</v>
      </c>
      <c r="N133" s="433">
        <v>44837</v>
      </c>
      <c r="O133" s="433"/>
      <c r="P133" s="433"/>
      <c r="Q133" s="432"/>
      <c r="R133" s="432"/>
      <c r="S133" s="432" t="s">
        <v>1098</v>
      </c>
      <c r="T133" s="436">
        <v>60</v>
      </c>
      <c r="U133" s="372"/>
      <c r="V133" s="432" t="s">
        <v>973</v>
      </c>
      <c r="W133" s="436">
        <v>400</v>
      </c>
      <c r="X133" s="372">
        <v>832</v>
      </c>
      <c r="Y133" s="408">
        <f t="shared" si="15"/>
        <v>332800</v>
      </c>
      <c r="Z133" s="409">
        <v>0.55000000000000004</v>
      </c>
      <c r="AA133" s="410">
        <f t="shared" si="16"/>
        <v>183040.00000000003</v>
      </c>
      <c r="AB133" s="362"/>
      <c r="AC133" s="412"/>
      <c r="AD133" s="405"/>
      <c r="AE133" s="413"/>
      <c r="AF133" s="424">
        <f t="shared" si="17"/>
        <v>183040.00000000003</v>
      </c>
      <c r="AG133" s="405" t="s">
        <v>47</v>
      </c>
      <c r="AH133" s="395"/>
      <c r="AI133" s="405">
        <v>45</v>
      </c>
      <c r="AJ133" s="405" t="s">
        <v>1337</v>
      </c>
      <c r="AK133" s="405" t="s">
        <v>50</v>
      </c>
      <c r="AL133" s="425">
        <v>91708</v>
      </c>
      <c r="AM133" s="405" t="s">
        <v>52</v>
      </c>
      <c r="AN133" s="405"/>
      <c r="AO133" s="405"/>
      <c r="AP133" s="405"/>
      <c r="AQ133" s="413" t="s">
        <v>37</v>
      </c>
      <c r="AR133" s="405"/>
      <c r="AS133" s="363"/>
      <c r="AT133" s="335"/>
      <c r="AU133" s="363"/>
      <c r="AV133" s="403"/>
    </row>
    <row r="134" spans="1:48" s="402" customFormat="1" ht="15" customHeight="1">
      <c r="A134" s="278"/>
      <c r="B134" s="279"/>
      <c r="C134" s="284" t="s">
        <v>1186</v>
      </c>
      <c r="D134" s="374" t="s">
        <v>2804</v>
      </c>
      <c r="E134" s="293"/>
      <c r="F134" s="432"/>
      <c r="G134" s="432">
        <v>2022</v>
      </c>
      <c r="H134" s="432"/>
      <c r="I134" s="360" t="s">
        <v>1241</v>
      </c>
      <c r="J134" s="433"/>
      <c r="K134" s="432" t="s">
        <v>3920</v>
      </c>
      <c r="L134" s="433" t="s">
        <v>1112</v>
      </c>
      <c r="M134" s="433">
        <v>44657</v>
      </c>
      <c r="N134" s="433">
        <v>44837</v>
      </c>
      <c r="O134" s="433"/>
      <c r="P134" s="433"/>
      <c r="Q134" s="432"/>
      <c r="R134" s="432"/>
      <c r="S134" s="432" t="s">
        <v>1098</v>
      </c>
      <c r="T134" s="436">
        <v>60</v>
      </c>
      <c r="U134" s="372"/>
      <c r="V134" s="432" t="s">
        <v>986</v>
      </c>
      <c r="W134" s="436">
        <v>360</v>
      </c>
      <c r="X134" s="372">
        <v>768</v>
      </c>
      <c r="Y134" s="408">
        <f t="shared" si="15"/>
        <v>276480</v>
      </c>
      <c r="Z134" s="409">
        <v>0.53</v>
      </c>
      <c r="AA134" s="410">
        <f t="shared" si="16"/>
        <v>146534.39999999999</v>
      </c>
      <c r="AB134" s="362"/>
      <c r="AC134" s="412"/>
      <c r="AD134" s="405"/>
      <c r="AE134" s="413"/>
      <c r="AF134" s="424">
        <f t="shared" si="17"/>
        <v>146534.39999999999</v>
      </c>
      <c r="AG134" s="405" t="s">
        <v>47</v>
      </c>
      <c r="AH134" s="395"/>
      <c r="AI134" s="405">
        <v>45</v>
      </c>
      <c r="AJ134" s="405" t="s">
        <v>1337</v>
      </c>
      <c r="AK134" s="405" t="s">
        <v>50</v>
      </c>
      <c r="AL134" s="425">
        <v>91708</v>
      </c>
      <c r="AM134" s="405" t="s">
        <v>52</v>
      </c>
      <c r="AN134" s="405"/>
      <c r="AO134" s="405"/>
      <c r="AP134" s="405"/>
      <c r="AQ134" s="413" t="s">
        <v>37</v>
      </c>
      <c r="AR134" s="405"/>
      <c r="AS134" s="363"/>
      <c r="AT134" s="335"/>
      <c r="AU134" s="363"/>
      <c r="AV134" s="403"/>
    </row>
    <row r="135" spans="1:48" s="402" customFormat="1" ht="15" customHeight="1">
      <c r="A135" s="278"/>
      <c r="B135" s="279"/>
      <c r="C135" s="284" t="s">
        <v>1186</v>
      </c>
      <c r="D135" s="374" t="s">
        <v>2804</v>
      </c>
      <c r="E135" s="293"/>
      <c r="F135" s="432"/>
      <c r="G135" s="432">
        <v>2022</v>
      </c>
      <c r="H135" s="432"/>
      <c r="I135" s="360" t="s">
        <v>1241</v>
      </c>
      <c r="J135" s="433"/>
      <c r="K135" s="432" t="s">
        <v>3920</v>
      </c>
      <c r="L135" s="433" t="s">
        <v>1112</v>
      </c>
      <c r="M135" s="433">
        <v>44657</v>
      </c>
      <c r="N135" s="433">
        <v>44837</v>
      </c>
      <c r="O135" s="433"/>
      <c r="P135" s="433"/>
      <c r="Q135" s="432"/>
      <c r="R135" s="432"/>
      <c r="S135" s="432" t="s">
        <v>1098</v>
      </c>
      <c r="T135" s="436">
        <v>60</v>
      </c>
      <c r="U135" s="372"/>
      <c r="V135" s="432" t="s">
        <v>973</v>
      </c>
      <c r="W135" s="436">
        <v>400</v>
      </c>
      <c r="X135" s="372">
        <v>832</v>
      </c>
      <c r="Y135" s="408">
        <f t="shared" si="15"/>
        <v>332800</v>
      </c>
      <c r="Z135" s="409">
        <v>0.55000000000000004</v>
      </c>
      <c r="AA135" s="410">
        <f t="shared" si="16"/>
        <v>183040.00000000003</v>
      </c>
      <c r="AB135" s="362"/>
      <c r="AC135" s="412"/>
      <c r="AD135" s="405"/>
      <c r="AE135" s="413"/>
      <c r="AF135" s="424">
        <f t="shared" si="17"/>
        <v>183040.00000000003</v>
      </c>
      <c r="AG135" s="405" t="s">
        <v>47</v>
      </c>
      <c r="AH135" s="395"/>
      <c r="AI135" s="405">
        <v>45</v>
      </c>
      <c r="AJ135" s="405" t="s">
        <v>1337</v>
      </c>
      <c r="AK135" s="405" t="s">
        <v>50</v>
      </c>
      <c r="AL135" s="425">
        <v>91708</v>
      </c>
      <c r="AM135" s="405" t="s">
        <v>52</v>
      </c>
      <c r="AN135" s="405"/>
      <c r="AO135" s="405"/>
      <c r="AP135" s="405"/>
      <c r="AQ135" s="413" t="s">
        <v>37</v>
      </c>
      <c r="AR135" s="405"/>
      <c r="AS135" s="363"/>
      <c r="AT135" s="335"/>
      <c r="AU135" s="363"/>
      <c r="AV135" s="403"/>
    </row>
    <row r="136" spans="1:48" s="402" customFormat="1" ht="15" customHeight="1">
      <c r="A136" s="278"/>
      <c r="B136" s="279"/>
      <c r="C136" s="284" t="s">
        <v>1186</v>
      </c>
      <c r="D136" s="374" t="s">
        <v>2804</v>
      </c>
      <c r="E136" s="293"/>
      <c r="F136" s="432"/>
      <c r="G136" s="432">
        <v>2022</v>
      </c>
      <c r="H136" s="432"/>
      <c r="I136" s="360" t="s">
        <v>1241</v>
      </c>
      <c r="J136" s="433"/>
      <c r="K136" s="432" t="s">
        <v>3920</v>
      </c>
      <c r="L136" s="433" t="s">
        <v>1112</v>
      </c>
      <c r="M136" s="433">
        <v>44657</v>
      </c>
      <c r="N136" s="433">
        <v>44837</v>
      </c>
      <c r="O136" s="433"/>
      <c r="P136" s="433"/>
      <c r="Q136" s="432"/>
      <c r="R136" s="432"/>
      <c r="S136" s="432" t="s">
        <v>1098</v>
      </c>
      <c r="T136" s="436">
        <v>60</v>
      </c>
      <c r="U136" s="372"/>
      <c r="V136" s="432" t="s">
        <v>973</v>
      </c>
      <c r="W136" s="436">
        <v>400</v>
      </c>
      <c r="X136" s="372">
        <v>832</v>
      </c>
      <c r="Y136" s="408">
        <f t="shared" si="15"/>
        <v>332800</v>
      </c>
      <c r="Z136" s="409">
        <v>0.55000000000000004</v>
      </c>
      <c r="AA136" s="410">
        <f t="shared" si="16"/>
        <v>183040.00000000003</v>
      </c>
      <c r="AB136" s="362"/>
      <c r="AC136" s="412"/>
      <c r="AD136" s="405"/>
      <c r="AE136" s="413"/>
      <c r="AF136" s="424">
        <f t="shared" si="17"/>
        <v>183040.00000000003</v>
      </c>
      <c r="AG136" s="405" t="s">
        <v>47</v>
      </c>
      <c r="AH136" s="395"/>
      <c r="AI136" s="405">
        <v>45</v>
      </c>
      <c r="AJ136" s="405" t="s">
        <v>1337</v>
      </c>
      <c r="AK136" s="405" t="s">
        <v>50</v>
      </c>
      <c r="AL136" s="425">
        <v>91708</v>
      </c>
      <c r="AM136" s="405" t="s">
        <v>52</v>
      </c>
      <c r="AN136" s="405"/>
      <c r="AO136" s="405"/>
      <c r="AP136" s="405"/>
      <c r="AQ136" s="413" t="s">
        <v>37</v>
      </c>
      <c r="AR136" s="405"/>
      <c r="AS136" s="363"/>
      <c r="AT136" s="335"/>
      <c r="AU136" s="363"/>
      <c r="AV136" s="403"/>
    </row>
    <row r="137" spans="1:48" s="402" customFormat="1" ht="15" customHeight="1">
      <c r="A137" s="278"/>
      <c r="B137" s="279"/>
      <c r="C137" s="284" t="s">
        <v>1186</v>
      </c>
      <c r="D137" s="374" t="s">
        <v>2804</v>
      </c>
      <c r="E137" s="293"/>
      <c r="F137" s="432"/>
      <c r="G137" s="432">
        <v>2022</v>
      </c>
      <c r="H137" s="432"/>
      <c r="I137" s="360" t="s">
        <v>1241</v>
      </c>
      <c r="J137" s="433"/>
      <c r="K137" s="432" t="s">
        <v>3921</v>
      </c>
      <c r="L137" s="433" t="s">
        <v>1112</v>
      </c>
      <c r="M137" s="433">
        <v>44657</v>
      </c>
      <c r="N137" s="433">
        <v>44844</v>
      </c>
      <c r="O137" s="433"/>
      <c r="P137" s="433"/>
      <c r="Q137" s="432"/>
      <c r="R137" s="432"/>
      <c r="S137" s="432" t="s">
        <v>1098</v>
      </c>
      <c r="T137" s="436">
        <v>60</v>
      </c>
      <c r="U137" s="372"/>
      <c r="V137" s="432" t="s">
        <v>973</v>
      </c>
      <c r="W137" s="436">
        <v>400</v>
      </c>
      <c r="X137" s="372">
        <v>832</v>
      </c>
      <c r="Y137" s="408">
        <f t="shared" si="15"/>
        <v>332800</v>
      </c>
      <c r="Z137" s="409">
        <v>0.55000000000000004</v>
      </c>
      <c r="AA137" s="410">
        <f t="shared" si="16"/>
        <v>183040.00000000003</v>
      </c>
      <c r="AB137" s="362"/>
      <c r="AC137" s="412">
        <f>AB137*Y137</f>
        <v>0</v>
      </c>
      <c r="AD137" s="405"/>
      <c r="AE137" s="413"/>
      <c r="AF137" s="424">
        <f t="shared" si="17"/>
        <v>183040.00000000003</v>
      </c>
      <c r="AG137" s="405" t="s">
        <v>47</v>
      </c>
      <c r="AH137" s="395"/>
      <c r="AI137" s="405">
        <v>45</v>
      </c>
      <c r="AJ137" s="405" t="s">
        <v>2486</v>
      </c>
      <c r="AK137" s="405" t="s">
        <v>1136</v>
      </c>
      <c r="AL137" s="425">
        <v>76014</v>
      </c>
      <c r="AM137" s="405" t="s">
        <v>52</v>
      </c>
      <c r="AN137" s="405"/>
      <c r="AO137" s="405"/>
      <c r="AP137" s="405"/>
      <c r="AQ137" s="413" t="s">
        <v>37</v>
      </c>
      <c r="AR137" s="405"/>
      <c r="AS137" s="363"/>
      <c r="AT137" s="335"/>
      <c r="AU137" s="363"/>
      <c r="AV137" s="403"/>
    </row>
    <row r="138" spans="1:48" s="402" customFormat="1" ht="15" customHeight="1">
      <c r="A138" s="278"/>
      <c r="B138" s="279"/>
      <c r="C138" s="284"/>
      <c r="D138" s="374" t="s">
        <v>2804</v>
      </c>
      <c r="E138" s="294"/>
      <c r="F138" s="432"/>
      <c r="G138" s="432">
        <v>2022</v>
      </c>
      <c r="H138" s="432"/>
      <c r="I138" s="360" t="s">
        <v>1241</v>
      </c>
      <c r="J138" s="433"/>
      <c r="K138" s="432" t="s">
        <v>3921</v>
      </c>
      <c r="L138" s="433" t="s">
        <v>1112</v>
      </c>
      <c r="M138" s="433">
        <v>44657</v>
      </c>
      <c r="N138" s="433">
        <v>44844</v>
      </c>
      <c r="O138" s="433"/>
      <c r="P138" s="433"/>
      <c r="Q138" s="432"/>
      <c r="R138" s="432"/>
      <c r="S138" s="432" t="s">
        <v>1098</v>
      </c>
      <c r="T138" s="436">
        <v>60</v>
      </c>
      <c r="U138" s="372"/>
      <c r="V138" s="432" t="s">
        <v>986</v>
      </c>
      <c r="W138" s="436">
        <v>360</v>
      </c>
      <c r="X138" s="372">
        <v>768</v>
      </c>
      <c r="Y138" s="408">
        <f t="shared" si="15"/>
        <v>276480</v>
      </c>
      <c r="Z138" s="409">
        <v>0.53</v>
      </c>
      <c r="AA138" s="410">
        <f t="shared" si="16"/>
        <v>146534.39999999999</v>
      </c>
      <c r="AB138" s="362"/>
      <c r="AC138" s="412"/>
      <c r="AD138" s="405"/>
      <c r="AE138" s="413"/>
      <c r="AF138" s="424">
        <f t="shared" si="17"/>
        <v>146534.39999999999</v>
      </c>
      <c r="AG138" s="405" t="s">
        <v>47</v>
      </c>
      <c r="AH138" s="395"/>
      <c r="AI138" s="405">
        <v>45</v>
      </c>
      <c r="AJ138" s="405" t="s">
        <v>2486</v>
      </c>
      <c r="AK138" s="405" t="s">
        <v>1136</v>
      </c>
      <c r="AL138" s="425">
        <v>76014</v>
      </c>
      <c r="AM138" s="405" t="s">
        <v>52</v>
      </c>
      <c r="AN138" s="405"/>
      <c r="AO138" s="405"/>
      <c r="AP138" s="405"/>
      <c r="AQ138" s="413" t="s">
        <v>37</v>
      </c>
      <c r="AR138" s="405"/>
      <c r="AS138" s="363"/>
      <c r="AT138" s="335"/>
      <c r="AU138" s="363"/>
      <c r="AV138" s="403"/>
    </row>
    <row r="139" spans="1:48" s="402" customFormat="1" ht="15" customHeight="1">
      <c r="A139" s="278"/>
      <c r="B139" s="279"/>
      <c r="C139" s="284" t="s">
        <v>1186</v>
      </c>
      <c r="D139" s="374" t="s">
        <v>2804</v>
      </c>
      <c r="E139" s="293"/>
      <c r="F139" s="432"/>
      <c r="G139" s="432">
        <v>2022</v>
      </c>
      <c r="H139" s="432"/>
      <c r="I139" s="360" t="s">
        <v>1241</v>
      </c>
      <c r="J139" s="433"/>
      <c r="K139" s="432" t="s">
        <v>3921</v>
      </c>
      <c r="L139" s="433" t="s">
        <v>1112</v>
      </c>
      <c r="M139" s="433">
        <v>44657</v>
      </c>
      <c r="N139" s="433">
        <v>44844</v>
      </c>
      <c r="O139" s="433"/>
      <c r="P139" s="433"/>
      <c r="Q139" s="432"/>
      <c r="R139" s="432"/>
      <c r="S139" s="432" t="s">
        <v>1098</v>
      </c>
      <c r="T139" s="436">
        <v>60</v>
      </c>
      <c r="U139" s="372"/>
      <c r="V139" s="432" t="s">
        <v>973</v>
      </c>
      <c r="W139" s="436">
        <v>400</v>
      </c>
      <c r="X139" s="372">
        <v>832</v>
      </c>
      <c r="Y139" s="408">
        <f t="shared" si="15"/>
        <v>332800</v>
      </c>
      <c r="Z139" s="409">
        <v>0.55000000000000004</v>
      </c>
      <c r="AA139" s="410">
        <f t="shared" si="16"/>
        <v>183040.00000000003</v>
      </c>
      <c r="AB139" s="362"/>
      <c r="AC139" s="412"/>
      <c r="AD139" s="405"/>
      <c r="AE139" s="413"/>
      <c r="AF139" s="424">
        <f t="shared" si="17"/>
        <v>183040.00000000003</v>
      </c>
      <c r="AG139" s="405" t="s">
        <v>47</v>
      </c>
      <c r="AH139" s="395"/>
      <c r="AI139" s="405">
        <v>45</v>
      </c>
      <c r="AJ139" s="405" t="s">
        <v>2486</v>
      </c>
      <c r="AK139" s="405" t="s">
        <v>1136</v>
      </c>
      <c r="AL139" s="425">
        <v>76014</v>
      </c>
      <c r="AM139" s="405" t="s">
        <v>52</v>
      </c>
      <c r="AN139" s="405"/>
      <c r="AO139" s="405"/>
      <c r="AP139" s="405"/>
      <c r="AQ139" s="413" t="s">
        <v>37</v>
      </c>
      <c r="AR139" s="405"/>
      <c r="AS139" s="363"/>
      <c r="AT139" s="335"/>
      <c r="AU139" s="363"/>
      <c r="AV139" s="403"/>
    </row>
    <row r="140" spans="1:48" s="402" customFormat="1" ht="15" customHeight="1">
      <c r="A140" s="278"/>
      <c r="B140" s="279"/>
      <c r="C140" s="284" t="s">
        <v>1186</v>
      </c>
      <c r="D140" s="374" t="s">
        <v>2804</v>
      </c>
      <c r="E140" s="293"/>
      <c r="F140" s="432"/>
      <c r="G140" s="432">
        <v>2022</v>
      </c>
      <c r="H140" s="432"/>
      <c r="I140" s="360" t="s">
        <v>1241</v>
      </c>
      <c r="J140" s="433"/>
      <c r="K140" s="432" t="s">
        <v>3921</v>
      </c>
      <c r="L140" s="433" t="s">
        <v>1112</v>
      </c>
      <c r="M140" s="433">
        <v>44657</v>
      </c>
      <c r="N140" s="433">
        <v>44844</v>
      </c>
      <c r="O140" s="433"/>
      <c r="P140" s="433"/>
      <c r="Q140" s="432"/>
      <c r="R140" s="432"/>
      <c r="S140" s="432" t="s">
        <v>1098</v>
      </c>
      <c r="T140" s="436">
        <v>60</v>
      </c>
      <c r="U140" s="372"/>
      <c r="V140" s="432" t="s">
        <v>986</v>
      </c>
      <c r="W140" s="436">
        <v>360</v>
      </c>
      <c r="X140" s="372">
        <v>768</v>
      </c>
      <c r="Y140" s="408">
        <f t="shared" si="15"/>
        <v>276480</v>
      </c>
      <c r="Z140" s="409">
        <v>0.53</v>
      </c>
      <c r="AA140" s="410">
        <f t="shared" si="16"/>
        <v>146534.39999999999</v>
      </c>
      <c r="AB140" s="362"/>
      <c r="AC140" s="412"/>
      <c r="AD140" s="405"/>
      <c r="AE140" s="413"/>
      <c r="AF140" s="424">
        <f t="shared" si="17"/>
        <v>146534.39999999999</v>
      </c>
      <c r="AG140" s="405" t="s">
        <v>47</v>
      </c>
      <c r="AH140" s="395"/>
      <c r="AI140" s="405">
        <v>45</v>
      </c>
      <c r="AJ140" s="405" t="s">
        <v>2486</v>
      </c>
      <c r="AK140" s="405" t="s">
        <v>1136</v>
      </c>
      <c r="AL140" s="425">
        <v>76014</v>
      </c>
      <c r="AM140" s="405" t="s">
        <v>52</v>
      </c>
      <c r="AN140" s="405"/>
      <c r="AO140" s="405"/>
      <c r="AP140" s="405"/>
      <c r="AQ140" s="413" t="s">
        <v>37</v>
      </c>
      <c r="AR140" s="405"/>
      <c r="AS140" s="363"/>
      <c r="AT140" s="335"/>
      <c r="AU140" s="363"/>
      <c r="AV140" s="403"/>
    </row>
    <row r="141" spans="1:48" s="402" customFormat="1" ht="15" customHeight="1">
      <c r="A141" s="278"/>
      <c r="B141" s="279"/>
      <c r="C141" s="284" t="s">
        <v>1186</v>
      </c>
      <c r="D141" s="374" t="s">
        <v>2804</v>
      </c>
      <c r="E141" s="293"/>
      <c r="F141" s="432"/>
      <c r="G141" s="432">
        <v>2022</v>
      </c>
      <c r="H141" s="432"/>
      <c r="I141" s="360" t="s">
        <v>1241</v>
      </c>
      <c r="J141" s="433"/>
      <c r="K141" s="432" t="s">
        <v>3922</v>
      </c>
      <c r="L141" s="433" t="s">
        <v>1112</v>
      </c>
      <c r="M141" s="433">
        <v>44657</v>
      </c>
      <c r="N141" s="433">
        <v>44844</v>
      </c>
      <c r="O141" s="433"/>
      <c r="P141" s="433"/>
      <c r="Q141" s="432"/>
      <c r="R141" s="432"/>
      <c r="S141" s="432" t="s">
        <v>1098</v>
      </c>
      <c r="T141" s="436">
        <v>60</v>
      </c>
      <c r="U141" s="372"/>
      <c r="V141" s="432" t="s">
        <v>973</v>
      </c>
      <c r="W141" s="436">
        <v>400</v>
      </c>
      <c r="X141" s="372">
        <v>832</v>
      </c>
      <c r="Y141" s="408">
        <f t="shared" si="15"/>
        <v>332800</v>
      </c>
      <c r="Z141" s="409">
        <v>0.55000000000000004</v>
      </c>
      <c r="AA141" s="410">
        <f t="shared" si="16"/>
        <v>183040.00000000003</v>
      </c>
      <c r="AB141" s="362"/>
      <c r="AC141" s="412"/>
      <c r="AD141" s="405"/>
      <c r="AE141" s="413"/>
      <c r="AF141" s="424">
        <f t="shared" si="17"/>
        <v>183040.00000000003</v>
      </c>
      <c r="AG141" s="405" t="s">
        <v>47</v>
      </c>
      <c r="AH141" s="395"/>
      <c r="AI141" s="405">
        <v>45</v>
      </c>
      <c r="AJ141" s="405" t="s">
        <v>1881</v>
      </c>
      <c r="AK141" s="405" t="s">
        <v>1081</v>
      </c>
      <c r="AL141" s="425">
        <v>32822</v>
      </c>
      <c r="AM141" s="405" t="s">
        <v>52</v>
      </c>
      <c r="AN141" s="405"/>
      <c r="AO141" s="405"/>
      <c r="AP141" s="405"/>
      <c r="AQ141" s="413" t="s">
        <v>37</v>
      </c>
      <c r="AR141" s="405"/>
      <c r="AS141" s="363"/>
      <c r="AT141" s="335"/>
      <c r="AU141" s="363"/>
      <c r="AV141" s="403"/>
    </row>
    <row r="142" spans="1:48" s="402" customFormat="1" ht="15" customHeight="1">
      <c r="A142" s="278"/>
      <c r="B142" s="279"/>
      <c r="C142" s="284" t="s">
        <v>1186</v>
      </c>
      <c r="D142" s="374" t="s">
        <v>2804</v>
      </c>
      <c r="E142" s="293"/>
      <c r="F142" s="432"/>
      <c r="G142" s="432">
        <v>2022</v>
      </c>
      <c r="H142" s="432"/>
      <c r="I142" s="360" t="s">
        <v>1241</v>
      </c>
      <c r="J142" s="433"/>
      <c r="K142" s="360" t="s">
        <v>3922</v>
      </c>
      <c r="L142" s="433" t="s">
        <v>1112</v>
      </c>
      <c r="M142" s="433">
        <v>44657</v>
      </c>
      <c r="N142" s="433">
        <v>44844</v>
      </c>
      <c r="O142" s="433"/>
      <c r="P142" s="433"/>
      <c r="Q142" s="432"/>
      <c r="R142" s="432"/>
      <c r="S142" s="432" t="s">
        <v>1098</v>
      </c>
      <c r="T142" s="436">
        <v>60</v>
      </c>
      <c r="U142" s="372"/>
      <c r="V142" s="432" t="s">
        <v>973</v>
      </c>
      <c r="W142" s="436">
        <v>400</v>
      </c>
      <c r="X142" s="372">
        <v>832</v>
      </c>
      <c r="Y142" s="408">
        <f t="shared" si="15"/>
        <v>332800</v>
      </c>
      <c r="Z142" s="409">
        <v>0.55000000000000004</v>
      </c>
      <c r="AA142" s="410">
        <f t="shared" si="16"/>
        <v>183040.00000000003</v>
      </c>
      <c r="AB142" s="362"/>
      <c r="AC142" s="412"/>
      <c r="AD142" s="405"/>
      <c r="AE142" s="413"/>
      <c r="AF142" s="424">
        <f t="shared" si="17"/>
        <v>183040.00000000003</v>
      </c>
      <c r="AG142" s="405" t="s">
        <v>47</v>
      </c>
      <c r="AH142" s="395"/>
      <c r="AI142" s="405">
        <v>45</v>
      </c>
      <c r="AJ142" s="405" t="s">
        <v>1881</v>
      </c>
      <c r="AK142" s="405" t="s">
        <v>1081</v>
      </c>
      <c r="AL142" s="425">
        <v>32822</v>
      </c>
      <c r="AM142" s="405" t="s">
        <v>52</v>
      </c>
      <c r="AN142" s="405"/>
      <c r="AO142" s="405"/>
      <c r="AP142" s="405"/>
      <c r="AQ142" s="413" t="s">
        <v>37</v>
      </c>
      <c r="AR142" s="405"/>
      <c r="AS142" s="363"/>
      <c r="AT142" s="335"/>
      <c r="AU142" s="363"/>
      <c r="AV142" s="403"/>
    </row>
    <row r="143" spans="1:48" s="402" customFormat="1" ht="15" customHeight="1">
      <c r="A143" s="278"/>
      <c r="B143" s="279"/>
      <c r="C143" s="284" t="s">
        <v>1186</v>
      </c>
      <c r="D143" s="374" t="s">
        <v>2804</v>
      </c>
      <c r="E143" s="293"/>
      <c r="F143" s="432"/>
      <c r="G143" s="432">
        <v>2022</v>
      </c>
      <c r="H143" s="360"/>
      <c r="I143" s="360" t="s">
        <v>1241</v>
      </c>
      <c r="J143" s="433"/>
      <c r="K143" s="432" t="s">
        <v>3922</v>
      </c>
      <c r="L143" s="433" t="s">
        <v>1112</v>
      </c>
      <c r="M143" s="433">
        <v>44657</v>
      </c>
      <c r="N143" s="433">
        <v>44844</v>
      </c>
      <c r="O143" s="433"/>
      <c r="P143" s="433"/>
      <c r="Q143" s="432"/>
      <c r="R143" s="432"/>
      <c r="S143" s="432" t="s">
        <v>1098</v>
      </c>
      <c r="T143" s="436">
        <v>60</v>
      </c>
      <c r="U143" s="372"/>
      <c r="V143" s="432" t="s">
        <v>986</v>
      </c>
      <c r="W143" s="436">
        <v>360</v>
      </c>
      <c r="X143" s="372">
        <v>768</v>
      </c>
      <c r="Y143" s="408">
        <f t="shared" si="15"/>
        <v>276480</v>
      </c>
      <c r="Z143" s="409">
        <v>0.53</v>
      </c>
      <c r="AA143" s="410">
        <f t="shared" si="16"/>
        <v>146534.39999999999</v>
      </c>
      <c r="AB143" s="411"/>
      <c r="AC143" s="412"/>
      <c r="AD143" s="421"/>
      <c r="AE143" s="413"/>
      <c r="AF143" s="424">
        <f t="shared" si="17"/>
        <v>146534.39999999999</v>
      </c>
      <c r="AG143" s="405" t="s">
        <v>47</v>
      </c>
      <c r="AH143" s="405"/>
      <c r="AI143" s="405">
        <v>45</v>
      </c>
      <c r="AJ143" s="405" t="s">
        <v>1881</v>
      </c>
      <c r="AK143" s="405" t="s">
        <v>1081</v>
      </c>
      <c r="AL143" s="425">
        <v>32822</v>
      </c>
      <c r="AM143" s="405" t="s">
        <v>52</v>
      </c>
      <c r="AN143" s="405"/>
      <c r="AO143" s="405"/>
      <c r="AP143" s="413"/>
      <c r="AQ143" s="413" t="s">
        <v>37</v>
      </c>
      <c r="AR143" s="405"/>
      <c r="AS143" s="403"/>
      <c r="AT143" s="281"/>
      <c r="AU143" s="386"/>
      <c r="AV143" s="403"/>
    </row>
    <row r="144" spans="1:48" s="402" customFormat="1" ht="15" customHeight="1">
      <c r="A144" s="278"/>
      <c r="B144" s="279"/>
      <c r="C144" s="284" t="s">
        <v>1186</v>
      </c>
      <c r="D144" s="374" t="s">
        <v>2804</v>
      </c>
      <c r="E144" s="293"/>
      <c r="F144" s="432"/>
      <c r="G144" s="432">
        <v>2022</v>
      </c>
      <c r="H144" s="360"/>
      <c r="I144" s="360" t="s">
        <v>1241</v>
      </c>
      <c r="J144" s="433"/>
      <c r="K144" s="432" t="s">
        <v>3922</v>
      </c>
      <c r="L144" s="433" t="s">
        <v>1112</v>
      </c>
      <c r="M144" s="433">
        <v>44657</v>
      </c>
      <c r="N144" s="433">
        <v>44844</v>
      </c>
      <c r="O144" s="433"/>
      <c r="P144" s="433"/>
      <c r="Q144" s="432"/>
      <c r="R144" s="432"/>
      <c r="S144" s="432" t="s">
        <v>1098</v>
      </c>
      <c r="T144" s="436">
        <v>60</v>
      </c>
      <c r="U144" s="372"/>
      <c r="V144" s="432" t="s">
        <v>973</v>
      </c>
      <c r="W144" s="436">
        <v>400</v>
      </c>
      <c r="X144" s="372">
        <v>832</v>
      </c>
      <c r="Y144" s="408">
        <f t="shared" si="15"/>
        <v>332800</v>
      </c>
      <c r="Z144" s="409">
        <v>0.55000000000000004</v>
      </c>
      <c r="AA144" s="410">
        <f t="shared" si="16"/>
        <v>183040.00000000003</v>
      </c>
      <c r="AB144" s="411"/>
      <c r="AC144" s="412"/>
      <c r="AD144" s="421"/>
      <c r="AE144" s="413"/>
      <c r="AF144" s="424">
        <f t="shared" si="17"/>
        <v>183040.00000000003</v>
      </c>
      <c r="AG144" s="405" t="s">
        <v>47</v>
      </c>
      <c r="AH144" s="405"/>
      <c r="AI144" s="405">
        <v>45</v>
      </c>
      <c r="AJ144" s="405" t="s">
        <v>1881</v>
      </c>
      <c r="AK144" s="405" t="s">
        <v>1081</v>
      </c>
      <c r="AL144" s="425">
        <v>32822</v>
      </c>
      <c r="AM144" s="405" t="s">
        <v>52</v>
      </c>
      <c r="AN144" s="405"/>
      <c r="AO144" s="405"/>
      <c r="AP144" s="413"/>
      <c r="AQ144" s="413" t="s">
        <v>37</v>
      </c>
      <c r="AR144" s="405"/>
      <c r="AS144" s="403"/>
      <c r="AT144" s="281"/>
      <c r="AU144" s="386"/>
      <c r="AV144" s="403"/>
    </row>
    <row r="145" spans="1:48" s="402" customFormat="1" ht="15" customHeight="1">
      <c r="A145" s="278"/>
      <c r="B145" s="279"/>
      <c r="C145" s="284" t="s">
        <v>1186</v>
      </c>
      <c r="D145" s="374" t="s">
        <v>2804</v>
      </c>
      <c r="E145" s="294"/>
      <c r="F145" s="432"/>
      <c r="G145" s="432">
        <v>2022</v>
      </c>
      <c r="H145" s="432"/>
      <c r="I145" s="360" t="s">
        <v>1241</v>
      </c>
      <c r="J145" s="433"/>
      <c r="K145" s="432" t="s">
        <v>3923</v>
      </c>
      <c r="L145" s="433" t="s">
        <v>1112</v>
      </c>
      <c r="M145" s="433">
        <v>44657</v>
      </c>
      <c r="N145" s="433">
        <v>44844</v>
      </c>
      <c r="O145" s="433"/>
      <c r="P145" s="433"/>
      <c r="Q145" s="432"/>
      <c r="R145" s="432"/>
      <c r="S145" s="432" t="s">
        <v>1098</v>
      </c>
      <c r="T145" s="436">
        <v>60</v>
      </c>
      <c r="U145" s="372"/>
      <c r="V145" s="432" t="s">
        <v>973</v>
      </c>
      <c r="W145" s="436">
        <v>400</v>
      </c>
      <c r="X145" s="372">
        <v>832</v>
      </c>
      <c r="Y145" s="408">
        <f t="shared" si="15"/>
        <v>332800</v>
      </c>
      <c r="Z145" s="409">
        <v>0.55000000000000004</v>
      </c>
      <c r="AA145" s="410">
        <f t="shared" si="16"/>
        <v>183040.00000000003</v>
      </c>
      <c r="AB145" s="362"/>
      <c r="AC145" s="412"/>
      <c r="AD145" s="405"/>
      <c r="AE145" s="413"/>
      <c r="AF145" s="424">
        <f t="shared" si="17"/>
        <v>183040.00000000003</v>
      </c>
      <c r="AG145" s="405" t="s">
        <v>47</v>
      </c>
      <c r="AH145" s="395"/>
      <c r="AI145" s="405">
        <v>45</v>
      </c>
      <c r="AJ145" s="405" t="s">
        <v>2629</v>
      </c>
      <c r="AK145" s="405" t="s">
        <v>1328</v>
      </c>
      <c r="AL145" s="425">
        <v>89521</v>
      </c>
      <c r="AM145" s="405" t="s">
        <v>52</v>
      </c>
      <c r="AN145" s="405"/>
      <c r="AO145" s="405"/>
      <c r="AP145" s="405"/>
      <c r="AQ145" s="413" t="s">
        <v>37</v>
      </c>
      <c r="AR145" s="405"/>
      <c r="AS145" s="363"/>
      <c r="AT145" s="335"/>
      <c r="AU145" s="363"/>
      <c r="AV145" s="403"/>
    </row>
    <row r="146" spans="1:48" s="402" customFormat="1" ht="15" customHeight="1">
      <c r="A146" s="278"/>
      <c r="B146" s="279"/>
      <c r="C146" s="284" t="s">
        <v>1186</v>
      </c>
      <c r="D146" s="374" t="s">
        <v>2804</v>
      </c>
      <c r="E146" s="293"/>
      <c r="F146" s="432"/>
      <c r="G146" s="432">
        <v>2022</v>
      </c>
      <c r="H146" s="360"/>
      <c r="I146" s="360" t="s">
        <v>1241</v>
      </c>
      <c r="J146" s="433"/>
      <c r="K146" s="360" t="s">
        <v>3923</v>
      </c>
      <c r="L146" s="433" t="s">
        <v>1112</v>
      </c>
      <c r="M146" s="433">
        <v>44657</v>
      </c>
      <c r="N146" s="433">
        <v>44844</v>
      </c>
      <c r="O146" s="433"/>
      <c r="P146" s="433"/>
      <c r="Q146" s="432"/>
      <c r="R146" s="432"/>
      <c r="S146" s="432" t="s">
        <v>1098</v>
      </c>
      <c r="T146" s="436">
        <v>60</v>
      </c>
      <c r="U146" s="372"/>
      <c r="V146" s="432" t="s">
        <v>973</v>
      </c>
      <c r="W146" s="436">
        <v>400</v>
      </c>
      <c r="X146" s="372">
        <v>832</v>
      </c>
      <c r="Y146" s="408">
        <f t="shared" si="15"/>
        <v>332800</v>
      </c>
      <c r="Z146" s="409">
        <v>0.55000000000000004</v>
      </c>
      <c r="AA146" s="410">
        <f t="shared" si="16"/>
        <v>183040.00000000003</v>
      </c>
      <c r="AB146" s="411"/>
      <c r="AC146" s="412"/>
      <c r="AD146" s="421"/>
      <c r="AE146" s="413"/>
      <c r="AF146" s="424">
        <f t="shared" si="17"/>
        <v>183040.00000000003</v>
      </c>
      <c r="AG146" s="405" t="s">
        <v>47</v>
      </c>
      <c r="AH146" s="405"/>
      <c r="AI146" s="405">
        <v>45</v>
      </c>
      <c r="AJ146" s="405" t="s">
        <v>2629</v>
      </c>
      <c r="AK146" s="405" t="s">
        <v>1328</v>
      </c>
      <c r="AL146" s="425">
        <v>89521</v>
      </c>
      <c r="AM146" s="405" t="s">
        <v>52</v>
      </c>
      <c r="AN146" s="405"/>
      <c r="AO146" s="405"/>
      <c r="AP146" s="413"/>
      <c r="AQ146" s="413" t="s">
        <v>37</v>
      </c>
      <c r="AR146" s="405"/>
      <c r="AS146" s="403"/>
      <c r="AT146" s="281"/>
      <c r="AU146" s="386"/>
      <c r="AV146" s="403"/>
    </row>
    <row r="147" spans="1:48" s="402" customFormat="1" ht="15" customHeight="1">
      <c r="A147" s="278"/>
      <c r="B147" s="279"/>
      <c r="C147" s="284" t="s">
        <v>1186</v>
      </c>
      <c r="D147" s="374" t="s">
        <v>2804</v>
      </c>
      <c r="E147" s="293"/>
      <c r="F147" s="432"/>
      <c r="G147" s="432">
        <v>2022</v>
      </c>
      <c r="H147" s="432"/>
      <c r="I147" s="360" t="s">
        <v>1241</v>
      </c>
      <c r="J147" s="433"/>
      <c r="K147" s="432" t="s">
        <v>3923</v>
      </c>
      <c r="L147" s="433" t="s">
        <v>1112</v>
      </c>
      <c r="M147" s="433">
        <v>44657</v>
      </c>
      <c r="N147" s="433">
        <v>44844</v>
      </c>
      <c r="O147" s="433"/>
      <c r="P147" s="433"/>
      <c r="Q147" s="432"/>
      <c r="R147" s="432"/>
      <c r="S147" s="432" t="s">
        <v>1098</v>
      </c>
      <c r="T147" s="436">
        <v>60</v>
      </c>
      <c r="U147" s="372"/>
      <c r="V147" s="432" t="s">
        <v>986</v>
      </c>
      <c r="W147" s="436">
        <v>360</v>
      </c>
      <c r="X147" s="372">
        <v>768</v>
      </c>
      <c r="Y147" s="408">
        <f t="shared" si="15"/>
        <v>276480</v>
      </c>
      <c r="Z147" s="409">
        <v>0.53</v>
      </c>
      <c r="AA147" s="410">
        <f t="shared" si="16"/>
        <v>146534.39999999999</v>
      </c>
      <c r="AB147" s="362"/>
      <c r="AC147" s="412"/>
      <c r="AD147" s="405"/>
      <c r="AE147" s="413"/>
      <c r="AF147" s="424">
        <f t="shared" si="17"/>
        <v>146534.39999999999</v>
      </c>
      <c r="AG147" s="405" t="s">
        <v>47</v>
      </c>
      <c r="AH147" s="395"/>
      <c r="AI147" s="405">
        <v>45</v>
      </c>
      <c r="AJ147" s="405" t="s">
        <v>2629</v>
      </c>
      <c r="AK147" s="405" t="s">
        <v>1328</v>
      </c>
      <c r="AL147" s="425">
        <v>89521</v>
      </c>
      <c r="AM147" s="405" t="s">
        <v>52</v>
      </c>
      <c r="AN147" s="405"/>
      <c r="AO147" s="405"/>
      <c r="AP147" s="405"/>
      <c r="AQ147" s="413" t="s">
        <v>37</v>
      </c>
      <c r="AR147" s="405"/>
      <c r="AS147" s="363"/>
      <c r="AT147" s="335"/>
      <c r="AU147" s="363"/>
      <c r="AV147" s="403"/>
    </row>
    <row r="148" spans="1:48" s="402" customFormat="1" ht="15" customHeight="1">
      <c r="A148" s="278"/>
      <c r="B148" s="279"/>
      <c r="C148" s="284" t="s">
        <v>1186</v>
      </c>
      <c r="D148" s="374" t="s">
        <v>2804</v>
      </c>
      <c r="E148" s="293"/>
      <c r="F148" s="432"/>
      <c r="G148" s="432">
        <v>2022</v>
      </c>
      <c r="H148" s="360"/>
      <c r="I148" s="360" t="s">
        <v>1241</v>
      </c>
      <c r="J148" s="433"/>
      <c r="K148" s="432" t="s">
        <v>3923</v>
      </c>
      <c r="L148" s="433" t="s">
        <v>1112</v>
      </c>
      <c r="M148" s="433">
        <v>44657</v>
      </c>
      <c r="N148" s="433">
        <v>44844</v>
      </c>
      <c r="O148" s="433"/>
      <c r="P148" s="433"/>
      <c r="Q148" s="432"/>
      <c r="R148" s="432"/>
      <c r="S148" s="432" t="s">
        <v>1098</v>
      </c>
      <c r="T148" s="436">
        <v>60</v>
      </c>
      <c r="U148" s="372"/>
      <c r="V148" s="432" t="s">
        <v>973</v>
      </c>
      <c r="W148" s="436">
        <v>400</v>
      </c>
      <c r="X148" s="372">
        <v>832</v>
      </c>
      <c r="Y148" s="408">
        <f t="shared" si="15"/>
        <v>332800</v>
      </c>
      <c r="Z148" s="409">
        <v>0.55000000000000004</v>
      </c>
      <c r="AA148" s="410">
        <f t="shared" si="16"/>
        <v>183040.00000000003</v>
      </c>
      <c r="AB148" s="411"/>
      <c r="AC148" s="412"/>
      <c r="AD148" s="421"/>
      <c r="AE148" s="413"/>
      <c r="AF148" s="424">
        <f t="shared" si="17"/>
        <v>183040.00000000003</v>
      </c>
      <c r="AG148" s="405" t="s">
        <v>47</v>
      </c>
      <c r="AH148" s="405"/>
      <c r="AI148" s="405">
        <v>45</v>
      </c>
      <c r="AJ148" s="405" t="s">
        <v>2629</v>
      </c>
      <c r="AK148" s="405" t="s">
        <v>1328</v>
      </c>
      <c r="AL148" s="425">
        <v>89521</v>
      </c>
      <c r="AM148" s="405" t="s">
        <v>52</v>
      </c>
      <c r="AN148" s="405"/>
      <c r="AO148" s="405"/>
      <c r="AP148" s="413"/>
      <c r="AQ148" s="413" t="s">
        <v>37</v>
      </c>
      <c r="AR148" s="405"/>
      <c r="AS148" s="403"/>
      <c r="AT148" s="281"/>
      <c r="AU148" s="386"/>
      <c r="AV148" s="403"/>
    </row>
    <row r="149" spans="1:48" s="402" customFormat="1" ht="15" customHeight="1">
      <c r="A149" s="278"/>
      <c r="B149" s="279"/>
      <c r="C149" s="284" t="s">
        <v>1186</v>
      </c>
      <c r="D149" s="374" t="s">
        <v>2804</v>
      </c>
      <c r="E149" s="293"/>
      <c r="F149" s="432"/>
      <c r="G149" s="432">
        <v>2022</v>
      </c>
      <c r="H149" s="432"/>
      <c r="I149" s="360" t="s">
        <v>1241</v>
      </c>
      <c r="J149" s="433"/>
      <c r="K149" s="432" t="s">
        <v>3924</v>
      </c>
      <c r="L149" s="433" t="s">
        <v>1112</v>
      </c>
      <c r="M149" s="433">
        <v>44657</v>
      </c>
      <c r="N149" s="433">
        <v>44844</v>
      </c>
      <c r="O149" s="433"/>
      <c r="P149" s="433"/>
      <c r="Q149" s="432"/>
      <c r="R149" s="432"/>
      <c r="S149" s="432" t="s">
        <v>1098</v>
      </c>
      <c r="T149" s="436">
        <v>60</v>
      </c>
      <c r="U149" s="372"/>
      <c r="V149" s="432" t="s">
        <v>973</v>
      </c>
      <c r="W149" s="436">
        <v>400</v>
      </c>
      <c r="X149" s="372">
        <v>832</v>
      </c>
      <c r="Y149" s="408">
        <f t="shared" si="15"/>
        <v>332800</v>
      </c>
      <c r="Z149" s="409">
        <v>0.55000000000000004</v>
      </c>
      <c r="AA149" s="410">
        <f t="shared" si="16"/>
        <v>183040.00000000003</v>
      </c>
      <c r="AB149" s="362"/>
      <c r="AC149" s="412"/>
      <c r="AD149" s="405"/>
      <c r="AE149" s="413"/>
      <c r="AF149" s="424">
        <f t="shared" si="17"/>
        <v>183040.00000000003</v>
      </c>
      <c r="AG149" s="405" t="s">
        <v>47</v>
      </c>
      <c r="AH149" s="395"/>
      <c r="AI149" s="405">
        <v>45</v>
      </c>
      <c r="AJ149" s="405" t="s">
        <v>3925</v>
      </c>
      <c r="AK149" s="405" t="s">
        <v>1130</v>
      </c>
      <c r="AL149" s="425">
        <v>12306</v>
      </c>
      <c r="AM149" s="405" t="s">
        <v>52</v>
      </c>
      <c r="AN149" s="405"/>
      <c r="AO149" s="405"/>
      <c r="AP149" s="405"/>
      <c r="AQ149" s="413" t="s">
        <v>37</v>
      </c>
      <c r="AR149" s="405"/>
      <c r="AS149" s="363"/>
      <c r="AT149" s="335"/>
      <c r="AU149" s="363"/>
      <c r="AV149" s="403"/>
    </row>
    <row r="150" spans="1:48" s="402" customFormat="1" ht="15" customHeight="1">
      <c r="A150" s="278"/>
      <c r="B150" s="279"/>
      <c r="C150" s="284" t="s">
        <v>1186</v>
      </c>
      <c r="D150" s="374" t="s">
        <v>2804</v>
      </c>
      <c r="E150" s="293"/>
      <c r="F150" s="432"/>
      <c r="G150" s="432">
        <v>2022</v>
      </c>
      <c r="H150" s="432"/>
      <c r="I150" s="360" t="s">
        <v>1241</v>
      </c>
      <c r="J150" s="433"/>
      <c r="K150" s="432" t="s">
        <v>3924</v>
      </c>
      <c r="L150" s="433" t="s">
        <v>1112</v>
      </c>
      <c r="M150" s="433">
        <v>44657</v>
      </c>
      <c r="N150" s="433">
        <v>44844</v>
      </c>
      <c r="O150" s="433"/>
      <c r="P150" s="433"/>
      <c r="Q150" s="432"/>
      <c r="R150" s="432"/>
      <c r="S150" s="432" t="s">
        <v>1098</v>
      </c>
      <c r="T150" s="436">
        <v>60</v>
      </c>
      <c r="U150" s="372"/>
      <c r="V150" s="432" t="s">
        <v>973</v>
      </c>
      <c r="W150" s="436">
        <v>400</v>
      </c>
      <c r="X150" s="372">
        <v>832</v>
      </c>
      <c r="Y150" s="408">
        <f t="shared" si="15"/>
        <v>332800</v>
      </c>
      <c r="Z150" s="409">
        <v>0.55000000000000004</v>
      </c>
      <c r="AA150" s="410">
        <f t="shared" si="16"/>
        <v>183040.00000000003</v>
      </c>
      <c r="AB150" s="362"/>
      <c r="AC150" s="412"/>
      <c r="AD150" s="405"/>
      <c r="AE150" s="413"/>
      <c r="AF150" s="424">
        <f t="shared" si="17"/>
        <v>183040.00000000003</v>
      </c>
      <c r="AG150" s="405" t="s">
        <v>47</v>
      </c>
      <c r="AH150" s="395"/>
      <c r="AI150" s="405">
        <v>45</v>
      </c>
      <c r="AJ150" s="405" t="s">
        <v>3925</v>
      </c>
      <c r="AK150" s="405" t="s">
        <v>1130</v>
      </c>
      <c r="AL150" s="425">
        <v>12306</v>
      </c>
      <c r="AM150" s="405" t="s">
        <v>52</v>
      </c>
      <c r="AN150" s="405"/>
      <c r="AO150" s="405"/>
      <c r="AP150" s="405"/>
      <c r="AQ150" s="413" t="s">
        <v>37</v>
      </c>
      <c r="AR150" s="405"/>
      <c r="AS150" s="363"/>
      <c r="AT150" s="335"/>
      <c r="AU150" s="363"/>
      <c r="AV150" s="403"/>
    </row>
    <row r="151" spans="1:48" s="402" customFormat="1" ht="15" customHeight="1">
      <c r="A151" s="278"/>
      <c r="B151" s="279"/>
      <c r="C151" s="284" t="s">
        <v>1186</v>
      </c>
      <c r="D151" s="374" t="s">
        <v>2804</v>
      </c>
      <c r="E151" s="293"/>
      <c r="F151" s="432"/>
      <c r="G151" s="432">
        <v>2022</v>
      </c>
      <c r="H151" s="432"/>
      <c r="I151" s="360" t="s">
        <v>1241</v>
      </c>
      <c r="J151" s="433"/>
      <c r="K151" s="432" t="s">
        <v>3924</v>
      </c>
      <c r="L151" s="433" t="s">
        <v>1112</v>
      </c>
      <c r="M151" s="433">
        <v>44657</v>
      </c>
      <c r="N151" s="433">
        <v>44844</v>
      </c>
      <c r="O151" s="433"/>
      <c r="P151" s="433"/>
      <c r="Q151" s="432"/>
      <c r="R151" s="432"/>
      <c r="S151" s="432" t="s">
        <v>1098</v>
      </c>
      <c r="T151" s="436">
        <v>60</v>
      </c>
      <c r="U151" s="372"/>
      <c r="V151" s="432" t="s">
        <v>986</v>
      </c>
      <c r="W151" s="436">
        <v>360</v>
      </c>
      <c r="X151" s="372">
        <v>768</v>
      </c>
      <c r="Y151" s="408">
        <f t="shared" si="15"/>
        <v>276480</v>
      </c>
      <c r="Z151" s="409">
        <v>0.53</v>
      </c>
      <c r="AA151" s="410">
        <f t="shared" si="16"/>
        <v>146534.39999999999</v>
      </c>
      <c r="AB151" s="362"/>
      <c r="AC151" s="412"/>
      <c r="AD151" s="405"/>
      <c r="AE151" s="413"/>
      <c r="AF151" s="424">
        <f t="shared" si="17"/>
        <v>146534.39999999999</v>
      </c>
      <c r="AG151" s="405" t="s">
        <v>47</v>
      </c>
      <c r="AH151" s="395"/>
      <c r="AI151" s="405">
        <v>45</v>
      </c>
      <c r="AJ151" s="405" t="s">
        <v>3925</v>
      </c>
      <c r="AK151" s="405" t="s">
        <v>1130</v>
      </c>
      <c r="AL151" s="425">
        <v>12306</v>
      </c>
      <c r="AM151" s="405" t="s">
        <v>52</v>
      </c>
      <c r="AN151" s="405"/>
      <c r="AO151" s="405"/>
      <c r="AP151" s="405"/>
      <c r="AQ151" s="413" t="s">
        <v>37</v>
      </c>
      <c r="AR151" s="405"/>
      <c r="AS151" s="363"/>
      <c r="AT151" s="335"/>
      <c r="AU151" s="363"/>
      <c r="AV151" s="403"/>
    </row>
    <row r="152" spans="1:48" s="402" customFormat="1" ht="15" customHeight="1">
      <c r="A152" s="278"/>
      <c r="B152" s="279"/>
      <c r="C152" s="284" t="s">
        <v>1186</v>
      </c>
      <c r="D152" s="374" t="s">
        <v>2804</v>
      </c>
      <c r="E152" s="293"/>
      <c r="F152" s="432"/>
      <c r="G152" s="432">
        <v>2022</v>
      </c>
      <c r="H152" s="360"/>
      <c r="I152" s="360" t="s">
        <v>1241</v>
      </c>
      <c r="J152" s="433"/>
      <c r="K152" s="432" t="s">
        <v>3924</v>
      </c>
      <c r="L152" s="433" t="s">
        <v>1112</v>
      </c>
      <c r="M152" s="433">
        <v>44657</v>
      </c>
      <c r="N152" s="433">
        <v>44844</v>
      </c>
      <c r="O152" s="433"/>
      <c r="P152" s="433"/>
      <c r="Q152" s="432"/>
      <c r="R152" s="432"/>
      <c r="S152" s="432" t="s">
        <v>1098</v>
      </c>
      <c r="T152" s="436">
        <v>60</v>
      </c>
      <c r="U152" s="372"/>
      <c r="V152" s="432" t="s">
        <v>973</v>
      </c>
      <c r="W152" s="436">
        <v>400</v>
      </c>
      <c r="X152" s="372">
        <v>832</v>
      </c>
      <c r="Y152" s="408">
        <f t="shared" si="15"/>
        <v>332800</v>
      </c>
      <c r="Z152" s="409">
        <v>0.55000000000000004</v>
      </c>
      <c r="AA152" s="410">
        <f t="shared" si="16"/>
        <v>183040.00000000003</v>
      </c>
      <c r="AB152" s="411"/>
      <c r="AC152" s="412"/>
      <c r="AD152" s="421"/>
      <c r="AE152" s="413"/>
      <c r="AF152" s="424">
        <f t="shared" si="17"/>
        <v>183040.00000000003</v>
      </c>
      <c r="AG152" s="405" t="s">
        <v>47</v>
      </c>
      <c r="AH152" s="405"/>
      <c r="AI152" s="405">
        <v>45</v>
      </c>
      <c r="AJ152" s="405" t="s">
        <v>3925</v>
      </c>
      <c r="AK152" s="405" t="s">
        <v>1130</v>
      </c>
      <c r="AL152" s="425">
        <v>12306</v>
      </c>
      <c r="AM152" s="405" t="s">
        <v>52</v>
      </c>
      <c r="AN152" s="405"/>
      <c r="AO152" s="405"/>
      <c r="AP152" s="413"/>
      <c r="AQ152" s="413" t="s">
        <v>37</v>
      </c>
      <c r="AR152" s="405"/>
      <c r="AS152" s="403"/>
      <c r="AT152" s="281"/>
      <c r="AU152" s="386"/>
      <c r="AV152" s="403"/>
    </row>
    <row r="153" spans="1:48" s="402" customFormat="1" ht="15" customHeight="1">
      <c r="A153" s="278"/>
      <c r="B153" s="279"/>
      <c r="C153" s="284" t="s">
        <v>1186</v>
      </c>
      <c r="D153" s="374" t="s">
        <v>2804</v>
      </c>
      <c r="E153" s="293"/>
      <c r="F153" s="432"/>
      <c r="G153" s="432">
        <v>2022</v>
      </c>
      <c r="H153" s="360"/>
      <c r="I153" s="360" t="s">
        <v>1241</v>
      </c>
      <c r="J153" s="433"/>
      <c r="K153" s="432" t="s">
        <v>3924</v>
      </c>
      <c r="L153" s="433" t="s">
        <v>1112</v>
      </c>
      <c r="M153" s="433">
        <v>44657</v>
      </c>
      <c r="N153" s="433">
        <v>44844</v>
      </c>
      <c r="O153" s="433"/>
      <c r="P153" s="433"/>
      <c r="Q153" s="432"/>
      <c r="R153" s="432"/>
      <c r="S153" s="432" t="s">
        <v>1098</v>
      </c>
      <c r="T153" s="436">
        <v>60</v>
      </c>
      <c r="U153" s="372"/>
      <c r="V153" s="432" t="s">
        <v>973</v>
      </c>
      <c r="W153" s="436">
        <v>400</v>
      </c>
      <c r="X153" s="372">
        <v>832</v>
      </c>
      <c r="Y153" s="408">
        <f t="shared" si="15"/>
        <v>332800</v>
      </c>
      <c r="Z153" s="409">
        <v>0.55000000000000004</v>
      </c>
      <c r="AA153" s="410">
        <f t="shared" si="16"/>
        <v>183040.00000000003</v>
      </c>
      <c r="AB153" s="411"/>
      <c r="AC153" s="412"/>
      <c r="AD153" s="421"/>
      <c r="AE153" s="413"/>
      <c r="AF153" s="424">
        <f t="shared" si="17"/>
        <v>183040.00000000003</v>
      </c>
      <c r="AG153" s="405" t="s">
        <v>47</v>
      </c>
      <c r="AH153" s="405"/>
      <c r="AI153" s="405">
        <v>45</v>
      </c>
      <c r="AJ153" s="405" t="s">
        <v>3925</v>
      </c>
      <c r="AK153" s="405" t="s">
        <v>1130</v>
      </c>
      <c r="AL153" s="425">
        <v>12306</v>
      </c>
      <c r="AM153" s="405" t="s">
        <v>52</v>
      </c>
      <c r="AN153" s="405"/>
      <c r="AO153" s="405"/>
      <c r="AP153" s="413"/>
      <c r="AQ153" s="413" t="s">
        <v>37</v>
      </c>
      <c r="AR153" s="405"/>
      <c r="AS153" s="403"/>
      <c r="AT153" s="281"/>
      <c r="AU153" s="386"/>
      <c r="AV153" s="403"/>
    </row>
    <row r="154" spans="1:48" s="402" customFormat="1" ht="15" customHeight="1">
      <c r="A154" s="278"/>
      <c r="B154" s="279"/>
      <c r="C154" s="284"/>
      <c r="D154" s="374" t="s">
        <v>2804</v>
      </c>
      <c r="E154" s="294"/>
      <c r="F154" s="432"/>
      <c r="G154" s="432">
        <v>2022</v>
      </c>
      <c r="H154" s="432"/>
      <c r="I154" s="360" t="s">
        <v>1241</v>
      </c>
      <c r="J154" s="433"/>
      <c r="K154" s="432" t="s">
        <v>3926</v>
      </c>
      <c r="L154" s="433" t="s">
        <v>1112</v>
      </c>
      <c r="M154" s="433">
        <v>44657</v>
      </c>
      <c r="N154" s="433">
        <v>44840</v>
      </c>
      <c r="O154" s="433"/>
      <c r="P154" s="433"/>
      <c r="Q154" s="432"/>
      <c r="R154" s="432"/>
      <c r="S154" s="432" t="s">
        <v>1098</v>
      </c>
      <c r="T154" s="436">
        <v>60</v>
      </c>
      <c r="U154" s="372"/>
      <c r="V154" s="432" t="s">
        <v>973</v>
      </c>
      <c r="W154" s="436">
        <v>400</v>
      </c>
      <c r="X154" s="372">
        <v>832</v>
      </c>
      <c r="Y154" s="408">
        <f t="shared" si="15"/>
        <v>332800</v>
      </c>
      <c r="Z154" s="409">
        <v>0.55000000000000004</v>
      </c>
      <c r="AA154" s="410">
        <f t="shared" si="16"/>
        <v>183040.00000000003</v>
      </c>
      <c r="AB154" s="362"/>
      <c r="AC154" s="412"/>
      <c r="AD154" s="405"/>
      <c r="AE154" s="413"/>
      <c r="AF154" s="424">
        <f t="shared" si="17"/>
        <v>183040.00000000003</v>
      </c>
      <c r="AG154" s="405" t="s">
        <v>47</v>
      </c>
      <c r="AH154" s="395"/>
      <c r="AI154" s="405">
        <v>45</v>
      </c>
      <c r="AJ154" s="405" t="s">
        <v>1124</v>
      </c>
      <c r="AK154" s="405" t="s">
        <v>1125</v>
      </c>
      <c r="AL154" s="425">
        <v>85215</v>
      </c>
      <c r="AM154" s="405" t="s">
        <v>52</v>
      </c>
      <c r="AN154" s="405"/>
      <c r="AO154" s="405"/>
      <c r="AP154" s="405"/>
      <c r="AQ154" s="413" t="s">
        <v>37</v>
      </c>
      <c r="AR154" s="405"/>
      <c r="AS154" s="363"/>
      <c r="AT154" s="335"/>
      <c r="AU154" s="363"/>
      <c r="AV154" s="403"/>
    </row>
    <row r="155" spans="1:48" s="402" customFormat="1" ht="15" customHeight="1">
      <c r="A155" s="278"/>
      <c r="B155" s="279"/>
      <c r="C155" s="284" t="s">
        <v>1186</v>
      </c>
      <c r="D155" s="374" t="s">
        <v>2804</v>
      </c>
      <c r="E155" s="293"/>
      <c r="F155" s="432"/>
      <c r="G155" s="432">
        <v>2022</v>
      </c>
      <c r="H155" s="432"/>
      <c r="I155" s="360" t="s">
        <v>1241</v>
      </c>
      <c r="J155" s="433"/>
      <c r="K155" s="432" t="s">
        <v>3926</v>
      </c>
      <c r="L155" s="433" t="s">
        <v>1112</v>
      </c>
      <c r="M155" s="433">
        <v>44657</v>
      </c>
      <c r="N155" s="433">
        <v>44840</v>
      </c>
      <c r="O155" s="433"/>
      <c r="P155" s="433"/>
      <c r="Q155" s="432"/>
      <c r="R155" s="432"/>
      <c r="S155" s="432" t="s">
        <v>1098</v>
      </c>
      <c r="T155" s="436">
        <v>60</v>
      </c>
      <c r="U155" s="372"/>
      <c r="V155" s="432" t="s">
        <v>1018</v>
      </c>
      <c r="W155" s="436">
        <v>360</v>
      </c>
      <c r="X155" s="372">
        <v>728</v>
      </c>
      <c r="Y155" s="408">
        <f t="shared" si="15"/>
        <v>262080</v>
      </c>
      <c r="Z155" s="409">
        <v>0.8</v>
      </c>
      <c r="AA155" s="410">
        <f t="shared" si="16"/>
        <v>209664</v>
      </c>
      <c r="AB155" s="362"/>
      <c r="AC155" s="412"/>
      <c r="AD155" s="405"/>
      <c r="AE155" s="413"/>
      <c r="AF155" s="424">
        <f t="shared" si="17"/>
        <v>209664</v>
      </c>
      <c r="AG155" s="405" t="s">
        <v>47</v>
      </c>
      <c r="AH155" s="395"/>
      <c r="AI155" s="405">
        <v>45</v>
      </c>
      <c r="AJ155" s="405" t="s">
        <v>1124</v>
      </c>
      <c r="AK155" s="405" t="s">
        <v>1125</v>
      </c>
      <c r="AL155" s="425">
        <v>85215</v>
      </c>
      <c r="AM155" s="405" t="s">
        <v>52</v>
      </c>
      <c r="AN155" s="405"/>
      <c r="AO155" s="405"/>
      <c r="AP155" s="405"/>
      <c r="AQ155" s="413" t="s">
        <v>37</v>
      </c>
      <c r="AR155" s="405"/>
      <c r="AS155" s="363"/>
      <c r="AT155" s="335"/>
      <c r="AU155" s="363"/>
      <c r="AV155" s="403"/>
    </row>
    <row r="156" spans="1:48" s="402" customFormat="1" ht="15" customHeight="1">
      <c r="A156" s="278"/>
      <c r="B156" s="279"/>
      <c r="C156" s="284" t="s">
        <v>1186</v>
      </c>
      <c r="D156" s="374" t="s">
        <v>2804</v>
      </c>
      <c r="E156" s="293"/>
      <c r="F156" s="432"/>
      <c r="G156" s="432">
        <v>2022</v>
      </c>
      <c r="H156" s="432"/>
      <c r="I156" s="360" t="s">
        <v>1241</v>
      </c>
      <c r="J156" s="433"/>
      <c r="K156" s="432" t="s">
        <v>3926</v>
      </c>
      <c r="L156" s="433" t="s">
        <v>1112</v>
      </c>
      <c r="M156" s="433">
        <v>44657</v>
      </c>
      <c r="N156" s="433">
        <v>44840</v>
      </c>
      <c r="O156" s="433"/>
      <c r="P156" s="433"/>
      <c r="Q156" s="432"/>
      <c r="R156" s="432"/>
      <c r="S156" s="432" t="s">
        <v>1098</v>
      </c>
      <c r="T156" s="436">
        <v>60</v>
      </c>
      <c r="U156" s="372"/>
      <c r="V156" s="432" t="s">
        <v>986</v>
      </c>
      <c r="W156" s="436">
        <v>360</v>
      </c>
      <c r="X156" s="372">
        <v>768</v>
      </c>
      <c r="Y156" s="408">
        <f t="shared" si="15"/>
        <v>276480</v>
      </c>
      <c r="Z156" s="409">
        <v>0.53</v>
      </c>
      <c r="AA156" s="410">
        <f t="shared" si="16"/>
        <v>146534.39999999999</v>
      </c>
      <c r="AB156" s="362"/>
      <c r="AC156" s="412"/>
      <c r="AD156" s="405"/>
      <c r="AE156" s="413"/>
      <c r="AF156" s="424">
        <f t="shared" si="17"/>
        <v>146534.39999999999</v>
      </c>
      <c r="AG156" s="405" t="s">
        <v>47</v>
      </c>
      <c r="AH156" s="395"/>
      <c r="AI156" s="405">
        <v>45</v>
      </c>
      <c r="AJ156" s="405" t="s">
        <v>1124</v>
      </c>
      <c r="AK156" s="405" t="s">
        <v>1125</v>
      </c>
      <c r="AL156" s="425">
        <v>85215</v>
      </c>
      <c r="AM156" s="405" t="s">
        <v>52</v>
      </c>
      <c r="AN156" s="405"/>
      <c r="AO156" s="405"/>
      <c r="AP156" s="405"/>
      <c r="AQ156" s="413" t="s">
        <v>37</v>
      </c>
      <c r="AR156" s="405"/>
      <c r="AS156" s="363"/>
      <c r="AT156" s="335"/>
      <c r="AU156" s="363"/>
      <c r="AV156" s="403"/>
    </row>
    <row r="157" spans="1:48" s="402" customFormat="1" ht="15" customHeight="1">
      <c r="A157" s="278"/>
      <c r="B157" s="279"/>
      <c r="C157" s="284" t="s">
        <v>1186</v>
      </c>
      <c r="D157" s="374" t="s">
        <v>2804</v>
      </c>
      <c r="E157" s="293"/>
      <c r="F157" s="432"/>
      <c r="G157" s="432">
        <v>2022</v>
      </c>
      <c r="H157" s="432"/>
      <c r="I157" s="360" t="s">
        <v>1241</v>
      </c>
      <c r="J157" s="433"/>
      <c r="K157" s="432" t="s">
        <v>3926</v>
      </c>
      <c r="L157" s="433" t="s">
        <v>1112</v>
      </c>
      <c r="M157" s="433">
        <v>44657</v>
      </c>
      <c r="N157" s="433">
        <v>44840</v>
      </c>
      <c r="O157" s="433"/>
      <c r="P157" s="433"/>
      <c r="Q157" s="432"/>
      <c r="R157" s="432"/>
      <c r="S157" s="432" t="s">
        <v>1098</v>
      </c>
      <c r="T157" s="436">
        <v>60</v>
      </c>
      <c r="U157" s="372"/>
      <c r="V157" s="432" t="s">
        <v>1018</v>
      </c>
      <c r="W157" s="436">
        <v>360</v>
      </c>
      <c r="X157" s="372">
        <v>728</v>
      </c>
      <c r="Y157" s="408">
        <f t="shared" si="15"/>
        <v>262080</v>
      </c>
      <c r="Z157" s="409">
        <v>0.8</v>
      </c>
      <c r="AA157" s="410">
        <f t="shared" si="16"/>
        <v>209664</v>
      </c>
      <c r="AB157" s="362"/>
      <c r="AC157" s="412"/>
      <c r="AD157" s="405"/>
      <c r="AE157" s="413"/>
      <c r="AF157" s="424">
        <f t="shared" si="17"/>
        <v>209664</v>
      </c>
      <c r="AG157" s="405" t="s">
        <v>47</v>
      </c>
      <c r="AH157" s="395"/>
      <c r="AI157" s="405">
        <v>45</v>
      </c>
      <c r="AJ157" s="405" t="s">
        <v>1124</v>
      </c>
      <c r="AK157" s="405" t="s">
        <v>1125</v>
      </c>
      <c r="AL157" s="425">
        <v>85215</v>
      </c>
      <c r="AM157" s="405" t="s">
        <v>52</v>
      </c>
      <c r="AN157" s="405"/>
      <c r="AO157" s="405"/>
      <c r="AP157" s="405"/>
      <c r="AQ157" s="413" t="s">
        <v>37</v>
      </c>
      <c r="AR157" s="405"/>
      <c r="AS157" s="363"/>
      <c r="AT157" s="335"/>
      <c r="AU157" s="363"/>
      <c r="AV157" s="403"/>
    </row>
    <row r="158" spans="1:48" s="402" customFormat="1" ht="15" customHeight="1">
      <c r="A158" s="278"/>
      <c r="B158" s="279"/>
      <c r="C158" s="284" t="s">
        <v>1186</v>
      </c>
      <c r="D158" s="374" t="s">
        <v>2804</v>
      </c>
      <c r="E158" s="293"/>
      <c r="F158" s="432"/>
      <c r="G158" s="432">
        <v>2022</v>
      </c>
      <c r="H158" s="432"/>
      <c r="I158" s="360" t="s">
        <v>1241</v>
      </c>
      <c r="J158" s="433"/>
      <c r="K158" s="432" t="s">
        <v>3926</v>
      </c>
      <c r="L158" s="433" t="s">
        <v>1112</v>
      </c>
      <c r="M158" s="433">
        <v>44657</v>
      </c>
      <c r="N158" s="433">
        <v>44840</v>
      </c>
      <c r="O158" s="433"/>
      <c r="P158" s="433"/>
      <c r="Q158" s="432"/>
      <c r="R158" s="432"/>
      <c r="S158" s="432" t="s">
        <v>1098</v>
      </c>
      <c r="T158" s="436">
        <v>60</v>
      </c>
      <c r="U158" s="372"/>
      <c r="V158" s="432" t="s">
        <v>973</v>
      </c>
      <c r="W158" s="436">
        <v>400</v>
      </c>
      <c r="X158" s="372">
        <v>832</v>
      </c>
      <c r="Y158" s="408">
        <f t="shared" si="15"/>
        <v>332800</v>
      </c>
      <c r="Z158" s="409">
        <v>0.55000000000000004</v>
      </c>
      <c r="AA158" s="410">
        <f t="shared" si="16"/>
        <v>183040.00000000003</v>
      </c>
      <c r="AB158" s="362"/>
      <c r="AC158" s="412"/>
      <c r="AD158" s="405"/>
      <c r="AE158" s="413"/>
      <c r="AF158" s="424">
        <f t="shared" si="17"/>
        <v>183040.00000000003</v>
      </c>
      <c r="AG158" s="405" t="s">
        <v>47</v>
      </c>
      <c r="AH158" s="395"/>
      <c r="AI158" s="405">
        <v>45</v>
      </c>
      <c r="AJ158" s="405" t="s">
        <v>1124</v>
      </c>
      <c r="AK158" s="405" t="s">
        <v>1125</v>
      </c>
      <c r="AL158" s="425">
        <v>85215</v>
      </c>
      <c r="AM158" s="405" t="s">
        <v>52</v>
      </c>
      <c r="AN158" s="405"/>
      <c r="AO158" s="405"/>
      <c r="AP158" s="405"/>
      <c r="AQ158" s="413" t="s">
        <v>37</v>
      </c>
      <c r="AR158" s="405"/>
      <c r="AS158" s="363"/>
      <c r="AT158" s="335"/>
      <c r="AU158" s="363"/>
      <c r="AV158" s="403"/>
    </row>
    <row r="159" spans="1:48" s="402" customFormat="1" ht="15" customHeight="1">
      <c r="A159" s="278"/>
      <c r="B159" s="279"/>
      <c r="C159" s="284" t="s">
        <v>1186</v>
      </c>
      <c r="D159" s="374" t="s">
        <v>2804</v>
      </c>
      <c r="E159" s="293"/>
      <c r="F159" s="432"/>
      <c r="G159" s="432">
        <v>2022</v>
      </c>
      <c r="H159" s="360"/>
      <c r="I159" s="360" t="s">
        <v>1241</v>
      </c>
      <c r="J159" s="433"/>
      <c r="K159" s="432" t="s">
        <v>3927</v>
      </c>
      <c r="L159" s="433" t="s">
        <v>1112</v>
      </c>
      <c r="M159" s="433">
        <v>44657</v>
      </c>
      <c r="N159" s="433">
        <v>44846</v>
      </c>
      <c r="O159" s="433"/>
      <c r="P159" s="433"/>
      <c r="Q159" s="432"/>
      <c r="R159" s="432"/>
      <c r="S159" s="432" t="s">
        <v>1098</v>
      </c>
      <c r="T159" s="436">
        <v>60</v>
      </c>
      <c r="U159" s="372"/>
      <c r="V159" s="432" t="s">
        <v>986</v>
      </c>
      <c r="W159" s="436">
        <v>360</v>
      </c>
      <c r="X159" s="372">
        <v>768</v>
      </c>
      <c r="Y159" s="408">
        <f t="shared" si="15"/>
        <v>276480</v>
      </c>
      <c r="Z159" s="409">
        <v>0.53</v>
      </c>
      <c r="AA159" s="410">
        <f t="shared" si="16"/>
        <v>146534.39999999999</v>
      </c>
      <c r="AB159" s="411"/>
      <c r="AC159" s="412"/>
      <c r="AD159" s="421"/>
      <c r="AE159" s="413"/>
      <c r="AF159" s="424">
        <f t="shared" si="17"/>
        <v>146534.39999999999</v>
      </c>
      <c r="AG159" s="405" t="s">
        <v>47</v>
      </c>
      <c r="AH159" s="405"/>
      <c r="AI159" s="405">
        <v>45</v>
      </c>
      <c r="AJ159" s="405" t="s">
        <v>1127</v>
      </c>
      <c r="AK159" s="405" t="s">
        <v>1081</v>
      </c>
      <c r="AL159" s="425">
        <v>33069</v>
      </c>
      <c r="AM159" s="405" t="s">
        <v>52</v>
      </c>
      <c r="AN159" s="405"/>
      <c r="AO159" s="405"/>
      <c r="AP159" s="413"/>
      <c r="AQ159" s="413" t="s">
        <v>37</v>
      </c>
      <c r="AR159" s="405"/>
      <c r="AS159" s="403"/>
      <c r="AT159" s="281"/>
      <c r="AU159" s="386"/>
      <c r="AV159" s="403"/>
    </row>
    <row r="160" spans="1:48" s="402" customFormat="1" ht="15" customHeight="1">
      <c r="A160" s="278"/>
      <c r="B160" s="279"/>
      <c r="C160" s="284" t="s">
        <v>1186</v>
      </c>
      <c r="D160" s="374" t="s">
        <v>2804</v>
      </c>
      <c r="E160" s="293"/>
      <c r="F160" s="432"/>
      <c r="G160" s="432">
        <v>2022</v>
      </c>
      <c r="H160" s="432"/>
      <c r="I160" s="360" t="s">
        <v>1241</v>
      </c>
      <c r="J160" s="433"/>
      <c r="K160" s="432" t="s">
        <v>3927</v>
      </c>
      <c r="L160" s="433" t="s">
        <v>1112</v>
      </c>
      <c r="M160" s="433">
        <v>44657</v>
      </c>
      <c r="N160" s="433">
        <v>44846</v>
      </c>
      <c r="O160" s="433"/>
      <c r="P160" s="433"/>
      <c r="Q160" s="432"/>
      <c r="R160" s="432"/>
      <c r="S160" s="432" t="s">
        <v>1098</v>
      </c>
      <c r="T160" s="436">
        <v>60</v>
      </c>
      <c r="U160" s="372"/>
      <c r="V160" s="432" t="s">
        <v>973</v>
      </c>
      <c r="W160" s="436">
        <v>400</v>
      </c>
      <c r="X160" s="372">
        <v>832</v>
      </c>
      <c r="Y160" s="408">
        <f t="shared" si="15"/>
        <v>332800</v>
      </c>
      <c r="Z160" s="409">
        <v>0.55000000000000004</v>
      </c>
      <c r="AA160" s="410">
        <f t="shared" si="16"/>
        <v>183040.00000000003</v>
      </c>
      <c r="AB160" s="362"/>
      <c r="AC160" s="412">
        <f>AB160*Y160</f>
        <v>0</v>
      </c>
      <c r="AD160" s="405"/>
      <c r="AE160" s="413"/>
      <c r="AF160" s="424">
        <f t="shared" si="17"/>
        <v>183040.00000000003</v>
      </c>
      <c r="AG160" s="405" t="s">
        <v>47</v>
      </c>
      <c r="AH160" s="395"/>
      <c r="AI160" s="405">
        <v>45</v>
      </c>
      <c r="AJ160" s="405" t="s">
        <v>1127</v>
      </c>
      <c r="AK160" s="405" t="s">
        <v>1081</v>
      </c>
      <c r="AL160" s="425">
        <v>33069</v>
      </c>
      <c r="AM160" s="405" t="s">
        <v>52</v>
      </c>
      <c r="AN160" s="405"/>
      <c r="AO160" s="405"/>
      <c r="AP160" s="405"/>
      <c r="AQ160" s="413" t="s">
        <v>37</v>
      </c>
      <c r="AR160" s="405"/>
      <c r="AS160" s="363"/>
      <c r="AT160" s="335"/>
      <c r="AU160" s="363"/>
      <c r="AV160" s="403"/>
    </row>
    <row r="161" spans="1:48" s="402" customFormat="1" ht="15" customHeight="1">
      <c r="A161" s="278"/>
      <c r="B161" s="279"/>
      <c r="C161" s="284" t="s">
        <v>1186</v>
      </c>
      <c r="D161" s="374" t="s">
        <v>2804</v>
      </c>
      <c r="E161" s="293"/>
      <c r="F161" s="432"/>
      <c r="G161" s="432">
        <v>2022</v>
      </c>
      <c r="H161" s="360"/>
      <c r="I161" s="360" t="s">
        <v>1241</v>
      </c>
      <c r="J161" s="433"/>
      <c r="K161" s="432" t="s">
        <v>3928</v>
      </c>
      <c r="L161" s="433" t="s">
        <v>1112</v>
      </c>
      <c r="M161" s="433">
        <v>44657</v>
      </c>
      <c r="N161" s="433">
        <v>44838</v>
      </c>
      <c r="O161" s="433"/>
      <c r="P161" s="433"/>
      <c r="Q161" s="432"/>
      <c r="R161" s="432"/>
      <c r="S161" s="432" t="s">
        <v>1098</v>
      </c>
      <c r="T161" s="436">
        <v>60</v>
      </c>
      <c r="U161" s="372"/>
      <c r="V161" s="432" t="s">
        <v>986</v>
      </c>
      <c r="W161" s="436">
        <v>360</v>
      </c>
      <c r="X161" s="372">
        <v>768</v>
      </c>
      <c r="Y161" s="408">
        <f t="shared" si="15"/>
        <v>276480</v>
      </c>
      <c r="Z161" s="409">
        <v>0.53</v>
      </c>
      <c r="AA161" s="410">
        <f t="shared" si="16"/>
        <v>146534.39999999999</v>
      </c>
      <c r="AB161" s="411"/>
      <c r="AC161" s="412"/>
      <c r="AD161" s="421"/>
      <c r="AE161" s="413"/>
      <c r="AF161" s="424">
        <f t="shared" si="17"/>
        <v>146534.39999999999</v>
      </c>
      <c r="AG161" s="405" t="s">
        <v>47</v>
      </c>
      <c r="AH161" s="405"/>
      <c r="AI161" s="405">
        <v>45</v>
      </c>
      <c r="AJ161" s="405" t="s">
        <v>2883</v>
      </c>
      <c r="AK161" s="405" t="s">
        <v>1092</v>
      </c>
      <c r="AL161" s="425">
        <v>1583</v>
      </c>
      <c r="AM161" s="405" t="s">
        <v>52</v>
      </c>
      <c r="AN161" s="405"/>
      <c r="AO161" s="405"/>
      <c r="AP161" s="413"/>
      <c r="AQ161" s="413" t="s">
        <v>37</v>
      </c>
      <c r="AR161" s="405"/>
      <c r="AS161" s="403"/>
      <c r="AT161" s="281"/>
      <c r="AU161" s="386"/>
      <c r="AV161" s="403"/>
    </row>
    <row r="162" spans="1:48" s="402" customFormat="1" ht="15" customHeight="1">
      <c r="A162" s="278"/>
      <c r="B162" s="279"/>
      <c r="C162" s="284" t="s">
        <v>1186</v>
      </c>
      <c r="D162" s="374" t="s">
        <v>2804</v>
      </c>
      <c r="E162" s="293"/>
      <c r="F162" s="432"/>
      <c r="G162" s="432">
        <v>2022</v>
      </c>
      <c r="H162" s="432"/>
      <c r="I162" s="360" t="s">
        <v>1241</v>
      </c>
      <c r="J162" s="433"/>
      <c r="K162" s="432" t="s">
        <v>3928</v>
      </c>
      <c r="L162" s="433" t="s">
        <v>1112</v>
      </c>
      <c r="M162" s="433">
        <v>44657</v>
      </c>
      <c r="N162" s="433">
        <v>44838</v>
      </c>
      <c r="O162" s="433"/>
      <c r="P162" s="433"/>
      <c r="Q162" s="432"/>
      <c r="R162" s="432"/>
      <c r="S162" s="432" t="s">
        <v>1098</v>
      </c>
      <c r="T162" s="436">
        <v>60</v>
      </c>
      <c r="U162" s="372"/>
      <c r="V162" s="432" t="s">
        <v>986</v>
      </c>
      <c r="W162" s="436">
        <v>360</v>
      </c>
      <c r="X162" s="372">
        <v>768</v>
      </c>
      <c r="Y162" s="408">
        <f t="shared" si="15"/>
        <v>276480</v>
      </c>
      <c r="Z162" s="409">
        <v>0.53</v>
      </c>
      <c r="AA162" s="410">
        <f t="shared" si="16"/>
        <v>146534.39999999999</v>
      </c>
      <c r="AB162" s="362"/>
      <c r="AC162" s="412"/>
      <c r="AD162" s="405"/>
      <c r="AE162" s="413"/>
      <c r="AF162" s="424">
        <f t="shared" si="17"/>
        <v>146534.39999999999</v>
      </c>
      <c r="AG162" s="405" t="s">
        <v>47</v>
      </c>
      <c r="AH162" s="395"/>
      <c r="AI162" s="405">
        <v>45</v>
      </c>
      <c r="AJ162" s="405" t="s">
        <v>2883</v>
      </c>
      <c r="AK162" s="405" t="s">
        <v>1092</v>
      </c>
      <c r="AL162" s="425">
        <v>1583</v>
      </c>
      <c r="AM162" s="405" t="s">
        <v>52</v>
      </c>
      <c r="AN162" s="405"/>
      <c r="AO162" s="405"/>
      <c r="AP162" s="405"/>
      <c r="AQ162" s="413" t="s">
        <v>37</v>
      </c>
      <c r="AR162" s="405"/>
      <c r="AS162" s="363"/>
      <c r="AT162" s="335"/>
      <c r="AU162" s="363"/>
      <c r="AV162" s="403"/>
    </row>
    <row r="163" spans="1:48" s="402" customFormat="1" ht="15" customHeight="1">
      <c r="A163" s="278"/>
      <c r="B163" s="279"/>
      <c r="C163" s="284" t="s">
        <v>1186</v>
      </c>
      <c r="D163" s="374" t="s">
        <v>2804</v>
      </c>
      <c r="E163" s="293"/>
      <c r="F163" s="432"/>
      <c r="G163" s="432">
        <v>2022</v>
      </c>
      <c r="H163" s="360"/>
      <c r="I163" s="360" t="s">
        <v>1241</v>
      </c>
      <c r="J163" s="433"/>
      <c r="K163" s="432" t="s">
        <v>3928</v>
      </c>
      <c r="L163" s="433" t="s">
        <v>1112</v>
      </c>
      <c r="M163" s="433">
        <v>44657</v>
      </c>
      <c r="N163" s="433">
        <v>44838</v>
      </c>
      <c r="O163" s="433"/>
      <c r="P163" s="433"/>
      <c r="Q163" s="432"/>
      <c r="R163" s="432"/>
      <c r="S163" s="432" t="s">
        <v>1098</v>
      </c>
      <c r="T163" s="436">
        <v>60</v>
      </c>
      <c r="U163" s="372"/>
      <c r="V163" s="432" t="s">
        <v>973</v>
      </c>
      <c r="W163" s="436">
        <v>400</v>
      </c>
      <c r="X163" s="372">
        <v>832</v>
      </c>
      <c r="Y163" s="408">
        <f t="shared" si="15"/>
        <v>332800</v>
      </c>
      <c r="Z163" s="409">
        <v>0.55000000000000004</v>
      </c>
      <c r="AA163" s="410">
        <f t="shared" si="16"/>
        <v>183040.00000000003</v>
      </c>
      <c r="AB163" s="411"/>
      <c r="AC163" s="412"/>
      <c r="AD163" s="421"/>
      <c r="AE163" s="413"/>
      <c r="AF163" s="424">
        <f t="shared" si="17"/>
        <v>183040.00000000003</v>
      </c>
      <c r="AG163" s="405" t="s">
        <v>47</v>
      </c>
      <c r="AH163" s="405"/>
      <c r="AI163" s="405">
        <v>45</v>
      </c>
      <c r="AJ163" s="405" t="s">
        <v>2883</v>
      </c>
      <c r="AK163" s="405" t="s">
        <v>1092</v>
      </c>
      <c r="AL163" s="425">
        <v>1583</v>
      </c>
      <c r="AM163" s="405" t="s">
        <v>52</v>
      </c>
      <c r="AN163" s="405"/>
      <c r="AO163" s="405"/>
      <c r="AP163" s="413"/>
      <c r="AQ163" s="413" t="s">
        <v>37</v>
      </c>
      <c r="AR163" s="405"/>
      <c r="AS163" s="403"/>
      <c r="AT163" s="281"/>
      <c r="AU163" s="386"/>
      <c r="AV163" s="403"/>
    </row>
    <row r="164" spans="1:48" s="402" customFormat="1" ht="15" customHeight="1">
      <c r="A164" s="278"/>
      <c r="B164" s="279"/>
      <c r="C164" s="284" t="s">
        <v>1186</v>
      </c>
      <c r="D164" s="374" t="s">
        <v>2804</v>
      </c>
      <c r="E164" s="293"/>
      <c r="F164" s="432"/>
      <c r="G164" s="432">
        <v>2022</v>
      </c>
      <c r="H164" s="432"/>
      <c r="I164" s="360" t="s">
        <v>1241</v>
      </c>
      <c r="J164" s="433"/>
      <c r="K164" s="432" t="s">
        <v>3928</v>
      </c>
      <c r="L164" s="433" t="s">
        <v>1112</v>
      </c>
      <c r="M164" s="433">
        <v>44657</v>
      </c>
      <c r="N164" s="433">
        <v>44838</v>
      </c>
      <c r="O164" s="433"/>
      <c r="P164" s="433"/>
      <c r="Q164" s="432"/>
      <c r="R164" s="432"/>
      <c r="S164" s="432" t="s">
        <v>1098</v>
      </c>
      <c r="T164" s="436">
        <v>60</v>
      </c>
      <c r="U164" s="372"/>
      <c r="V164" s="432" t="s">
        <v>986</v>
      </c>
      <c r="W164" s="436">
        <v>360</v>
      </c>
      <c r="X164" s="372">
        <v>768</v>
      </c>
      <c r="Y164" s="408">
        <f t="shared" si="15"/>
        <v>276480</v>
      </c>
      <c r="Z164" s="409">
        <v>0.53</v>
      </c>
      <c r="AA164" s="410">
        <f t="shared" si="16"/>
        <v>146534.39999999999</v>
      </c>
      <c r="AB164" s="362"/>
      <c r="AC164" s="412"/>
      <c r="AD164" s="405"/>
      <c r="AE164" s="413"/>
      <c r="AF164" s="424">
        <f t="shared" si="17"/>
        <v>146534.39999999999</v>
      </c>
      <c r="AG164" s="405" t="s">
        <v>47</v>
      </c>
      <c r="AH164" s="395"/>
      <c r="AI164" s="405">
        <v>45</v>
      </c>
      <c r="AJ164" s="405" t="s">
        <v>2883</v>
      </c>
      <c r="AK164" s="405" t="s">
        <v>1092</v>
      </c>
      <c r="AL164" s="425">
        <v>1583</v>
      </c>
      <c r="AM164" s="405" t="s">
        <v>52</v>
      </c>
      <c r="AN164" s="405"/>
      <c r="AO164" s="405"/>
      <c r="AP164" s="405"/>
      <c r="AQ164" s="413" t="s">
        <v>37</v>
      </c>
      <c r="AR164" s="405"/>
      <c r="AS164" s="363"/>
      <c r="AT164" s="335"/>
      <c r="AU164" s="363"/>
      <c r="AV164" s="403"/>
    </row>
    <row r="165" spans="1:48" s="402" customFormat="1" ht="15" customHeight="1">
      <c r="A165" s="278"/>
      <c r="B165" s="279"/>
      <c r="C165" s="284" t="s">
        <v>1186</v>
      </c>
      <c r="D165" s="374" t="s">
        <v>2804</v>
      </c>
      <c r="E165" s="293"/>
      <c r="F165" s="432"/>
      <c r="G165" s="432">
        <v>2022</v>
      </c>
      <c r="H165" s="432"/>
      <c r="I165" s="360" t="s">
        <v>1241</v>
      </c>
      <c r="J165" s="433"/>
      <c r="K165" s="432" t="s">
        <v>3928</v>
      </c>
      <c r="L165" s="433" t="s">
        <v>1112</v>
      </c>
      <c r="M165" s="433">
        <v>44657</v>
      </c>
      <c r="N165" s="433">
        <v>44838</v>
      </c>
      <c r="O165" s="433"/>
      <c r="P165" s="433"/>
      <c r="Q165" s="432"/>
      <c r="R165" s="432"/>
      <c r="S165" s="432" t="s">
        <v>1098</v>
      </c>
      <c r="T165" s="436">
        <v>60</v>
      </c>
      <c r="U165" s="372"/>
      <c r="V165" s="432" t="s">
        <v>986</v>
      </c>
      <c r="W165" s="436">
        <v>360</v>
      </c>
      <c r="X165" s="372">
        <v>768</v>
      </c>
      <c r="Y165" s="408">
        <f t="shared" si="15"/>
        <v>276480</v>
      </c>
      <c r="Z165" s="409">
        <v>0.53</v>
      </c>
      <c r="AA165" s="410">
        <f t="shared" si="16"/>
        <v>146534.39999999999</v>
      </c>
      <c r="AB165" s="362"/>
      <c r="AC165" s="412"/>
      <c r="AD165" s="405"/>
      <c r="AE165" s="413"/>
      <c r="AF165" s="424">
        <f t="shared" si="17"/>
        <v>146534.39999999999</v>
      </c>
      <c r="AG165" s="405" t="s">
        <v>47</v>
      </c>
      <c r="AH165" s="395"/>
      <c r="AI165" s="405">
        <v>45</v>
      </c>
      <c r="AJ165" s="405" t="s">
        <v>2883</v>
      </c>
      <c r="AK165" s="405" t="s">
        <v>1092</v>
      </c>
      <c r="AL165" s="425">
        <v>1583</v>
      </c>
      <c r="AM165" s="405" t="s">
        <v>52</v>
      </c>
      <c r="AN165" s="405"/>
      <c r="AO165" s="405"/>
      <c r="AP165" s="405"/>
      <c r="AQ165" s="413" t="s">
        <v>37</v>
      </c>
      <c r="AR165" s="405"/>
      <c r="AS165" s="363"/>
      <c r="AT165" s="335"/>
      <c r="AU165" s="363"/>
      <c r="AV165" s="403"/>
    </row>
    <row r="166" spans="1:48" s="402" customFormat="1" ht="15" customHeight="1">
      <c r="A166" s="278"/>
      <c r="B166" s="279"/>
      <c r="C166" s="284" t="s">
        <v>1186</v>
      </c>
      <c r="D166" s="374" t="s">
        <v>2804</v>
      </c>
      <c r="E166" s="293"/>
      <c r="F166" s="432"/>
      <c r="G166" s="432">
        <v>2022</v>
      </c>
      <c r="H166" s="360"/>
      <c r="I166" s="360" t="s">
        <v>1241</v>
      </c>
      <c r="J166" s="433"/>
      <c r="K166" s="432" t="s">
        <v>3928</v>
      </c>
      <c r="L166" s="433" t="s">
        <v>1112</v>
      </c>
      <c r="M166" s="433">
        <v>44657</v>
      </c>
      <c r="N166" s="433">
        <v>44838</v>
      </c>
      <c r="O166" s="433"/>
      <c r="P166" s="433"/>
      <c r="Q166" s="432"/>
      <c r="R166" s="432"/>
      <c r="S166" s="432" t="s">
        <v>1098</v>
      </c>
      <c r="T166" s="436">
        <v>60</v>
      </c>
      <c r="U166" s="372"/>
      <c r="V166" s="432" t="s">
        <v>986</v>
      </c>
      <c r="W166" s="436">
        <v>360</v>
      </c>
      <c r="X166" s="372">
        <v>768</v>
      </c>
      <c r="Y166" s="408">
        <f t="shared" si="15"/>
        <v>276480</v>
      </c>
      <c r="Z166" s="409">
        <v>0.53</v>
      </c>
      <c r="AA166" s="410">
        <f t="shared" si="16"/>
        <v>146534.39999999999</v>
      </c>
      <c r="AB166" s="411"/>
      <c r="AC166" s="412"/>
      <c r="AD166" s="421"/>
      <c r="AE166" s="413"/>
      <c r="AF166" s="424">
        <f t="shared" si="17"/>
        <v>146534.39999999999</v>
      </c>
      <c r="AG166" s="405" t="s">
        <v>47</v>
      </c>
      <c r="AH166" s="405"/>
      <c r="AI166" s="405">
        <v>45</v>
      </c>
      <c r="AJ166" s="405" t="s">
        <v>2883</v>
      </c>
      <c r="AK166" s="405" t="s">
        <v>1092</v>
      </c>
      <c r="AL166" s="425">
        <v>1583</v>
      </c>
      <c r="AM166" s="405" t="s">
        <v>52</v>
      </c>
      <c r="AN166" s="405"/>
      <c r="AO166" s="405"/>
      <c r="AP166" s="413"/>
      <c r="AQ166" s="413" t="s">
        <v>37</v>
      </c>
      <c r="AR166" s="405"/>
      <c r="AS166" s="403"/>
      <c r="AT166" s="281"/>
      <c r="AU166" s="386"/>
      <c r="AV166" s="403"/>
    </row>
    <row r="167" spans="1:48" s="402" customFormat="1" ht="15" customHeight="1">
      <c r="A167" s="278"/>
      <c r="B167" s="279"/>
      <c r="C167" s="284" t="s">
        <v>1186</v>
      </c>
      <c r="D167" s="374" t="s">
        <v>2804</v>
      </c>
      <c r="E167" s="293"/>
      <c r="F167" s="432"/>
      <c r="G167" s="432">
        <v>2022</v>
      </c>
      <c r="H167" s="432"/>
      <c r="I167" s="360" t="s">
        <v>1241</v>
      </c>
      <c r="J167" s="433"/>
      <c r="K167" s="432" t="s">
        <v>3929</v>
      </c>
      <c r="L167" s="433" t="s">
        <v>1112</v>
      </c>
      <c r="M167" s="433">
        <v>44657</v>
      </c>
      <c r="N167" s="433">
        <v>44844</v>
      </c>
      <c r="O167" s="433"/>
      <c r="P167" s="433"/>
      <c r="Q167" s="432"/>
      <c r="R167" s="432"/>
      <c r="S167" s="432" t="s">
        <v>1098</v>
      </c>
      <c r="T167" s="436">
        <v>60</v>
      </c>
      <c r="U167" s="372"/>
      <c r="V167" s="432" t="s">
        <v>973</v>
      </c>
      <c r="W167" s="436">
        <v>400</v>
      </c>
      <c r="X167" s="372">
        <v>832</v>
      </c>
      <c r="Y167" s="408">
        <f t="shared" si="15"/>
        <v>332800</v>
      </c>
      <c r="Z167" s="409">
        <v>0.55000000000000004</v>
      </c>
      <c r="AA167" s="410">
        <f t="shared" si="16"/>
        <v>183040.00000000003</v>
      </c>
      <c r="AB167" s="362"/>
      <c r="AC167" s="412"/>
      <c r="AD167" s="405"/>
      <c r="AE167" s="413"/>
      <c r="AF167" s="424">
        <f t="shared" si="17"/>
        <v>183040.00000000003</v>
      </c>
      <c r="AG167" s="405" t="s">
        <v>47</v>
      </c>
      <c r="AH167" s="395"/>
      <c r="AI167" s="405">
        <v>45</v>
      </c>
      <c r="AJ167" s="405" t="s">
        <v>1129</v>
      </c>
      <c r="AK167" s="405" t="s">
        <v>1130</v>
      </c>
      <c r="AL167" s="425">
        <v>11416</v>
      </c>
      <c r="AM167" s="405" t="s">
        <v>52</v>
      </c>
      <c r="AN167" s="405"/>
      <c r="AO167" s="405"/>
      <c r="AP167" s="405"/>
      <c r="AQ167" s="413" t="s">
        <v>37</v>
      </c>
      <c r="AR167" s="405"/>
      <c r="AS167" s="363"/>
      <c r="AT167" s="335"/>
      <c r="AU167" s="363"/>
      <c r="AV167" s="403"/>
    </row>
    <row r="168" spans="1:48" s="402" customFormat="1" ht="15" customHeight="1">
      <c r="A168" s="278"/>
      <c r="B168" s="279"/>
      <c r="C168" s="284" t="s">
        <v>1186</v>
      </c>
      <c r="D168" s="374" t="s">
        <v>2804</v>
      </c>
      <c r="E168" s="293"/>
      <c r="F168" s="432"/>
      <c r="G168" s="432">
        <v>2022</v>
      </c>
      <c r="H168" s="360"/>
      <c r="I168" s="360" t="s">
        <v>1241</v>
      </c>
      <c r="J168" s="433"/>
      <c r="K168" s="432" t="s">
        <v>3929</v>
      </c>
      <c r="L168" s="433" t="s">
        <v>1112</v>
      </c>
      <c r="M168" s="433">
        <v>44657</v>
      </c>
      <c r="N168" s="433">
        <v>44844</v>
      </c>
      <c r="O168" s="433"/>
      <c r="P168" s="433"/>
      <c r="Q168" s="432"/>
      <c r="R168" s="432"/>
      <c r="S168" s="432" t="s">
        <v>1098</v>
      </c>
      <c r="T168" s="436">
        <v>60</v>
      </c>
      <c r="U168" s="372"/>
      <c r="V168" s="432" t="s">
        <v>1018</v>
      </c>
      <c r="W168" s="436">
        <v>360</v>
      </c>
      <c r="X168" s="372">
        <v>728</v>
      </c>
      <c r="Y168" s="408">
        <f t="shared" si="15"/>
        <v>262080</v>
      </c>
      <c r="Z168" s="409">
        <v>0.8</v>
      </c>
      <c r="AA168" s="410">
        <f t="shared" si="16"/>
        <v>209664</v>
      </c>
      <c r="AB168" s="411"/>
      <c r="AC168" s="412"/>
      <c r="AD168" s="421"/>
      <c r="AE168" s="413"/>
      <c r="AF168" s="424">
        <f t="shared" si="17"/>
        <v>209664</v>
      </c>
      <c r="AG168" s="405" t="s">
        <v>47</v>
      </c>
      <c r="AH168" s="405"/>
      <c r="AI168" s="405">
        <v>45</v>
      </c>
      <c r="AJ168" s="405" t="s">
        <v>1129</v>
      </c>
      <c r="AK168" s="405" t="s">
        <v>1130</v>
      </c>
      <c r="AL168" s="425">
        <v>11416</v>
      </c>
      <c r="AM168" s="405" t="s">
        <v>52</v>
      </c>
      <c r="AN168" s="405"/>
      <c r="AO168" s="405"/>
      <c r="AP168" s="413"/>
      <c r="AQ168" s="413" t="s">
        <v>37</v>
      </c>
      <c r="AR168" s="405"/>
      <c r="AS168" s="403"/>
      <c r="AT168" s="281"/>
      <c r="AU168" s="386"/>
      <c r="AV168" s="403"/>
    </row>
    <row r="169" spans="1:48" s="402" customFormat="1" ht="15" customHeight="1">
      <c r="A169" s="278"/>
      <c r="B169" s="279"/>
      <c r="C169" s="284" t="s">
        <v>1186</v>
      </c>
      <c r="D169" s="374" t="s">
        <v>2804</v>
      </c>
      <c r="E169" s="293"/>
      <c r="F169" s="432"/>
      <c r="G169" s="432">
        <v>2022</v>
      </c>
      <c r="H169" s="360"/>
      <c r="I169" s="360" t="s">
        <v>1241</v>
      </c>
      <c r="J169" s="433"/>
      <c r="K169" s="432" t="s">
        <v>3929</v>
      </c>
      <c r="L169" s="433" t="s">
        <v>1112</v>
      </c>
      <c r="M169" s="433">
        <v>44657</v>
      </c>
      <c r="N169" s="433">
        <v>44844</v>
      </c>
      <c r="O169" s="433"/>
      <c r="P169" s="433"/>
      <c r="Q169" s="432"/>
      <c r="R169" s="432"/>
      <c r="S169" s="432" t="s">
        <v>1098</v>
      </c>
      <c r="T169" s="436">
        <v>60</v>
      </c>
      <c r="U169" s="372"/>
      <c r="V169" s="432" t="s">
        <v>973</v>
      </c>
      <c r="W169" s="436">
        <v>400</v>
      </c>
      <c r="X169" s="372">
        <v>832</v>
      </c>
      <c r="Y169" s="408">
        <f t="shared" si="15"/>
        <v>332800</v>
      </c>
      <c r="Z169" s="409">
        <v>0.55000000000000004</v>
      </c>
      <c r="AA169" s="410">
        <f t="shared" si="16"/>
        <v>183040.00000000003</v>
      </c>
      <c r="AB169" s="411"/>
      <c r="AC169" s="412"/>
      <c r="AD169" s="421"/>
      <c r="AE169" s="413"/>
      <c r="AF169" s="424">
        <f t="shared" si="17"/>
        <v>183040.00000000003</v>
      </c>
      <c r="AG169" s="405" t="s">
        <v>47</v>
      </c>
      <c r="AH169" s="405"/>
      <c r="AI169" s="405">
        <v>45</v>
      </c>
      <c r="AJ169" s="405" t="s">
        <v>1129</v>
      </c>
      <c r="AK169" s="405" t="s">
        <v>1130</v>
      </c>
      <c r="AL169" s="425">
        <v>11416</v>
      </c>
      <c r="AM169" s="405" t="s">
        <v>52</v>
      </c>
      <c r="AN169" s="405"/>
      <c r="AO169" s="405"/>
      <c r="AP169" s="413"/>
      <c r="AQ169" s="413" t="s">
        <v>37</v>
      </c>
      <c r="AR169" s="405"/>
      <c r="AS169" s="403"/>
      <c r="AT169" s="281"/>
      <c r="AU169" s="386"/>
      <c r="AV169" s="403"/>
    </row>
    <row r="170" spans="1:48" s="402" customFormat="1" ht="15" customHeight="1">
      <c r="A170" s="278"/>
      <c r="B170" s="279"/>
      <c r="C170" s="284" t="s">
        <v>1186</v>
      </c>
      <c r="D170" s="374" t="s">
        <v>2804</v>
      </c>
      <c r="E170" s="294"/>
      <c r="F170" s="432"/>
      <c r="G170" s="432">
        <v>2022</v>
      </c>
      <c r="H170" s="432"/>
      <c r="I170" s="360" t="s">
        <v>1241</v>
      </c>
      <c r="J170" s="433"/>
      <c r="K170" s="432" t="s">
        <v>3929</v>
      </c>
      <c r="L170" s="433" t="s">
        <v>1112</v>
      </c>
      <c r="M170" s="433">
        <v>44657</v>
      </c>
      <c r="N170" s="433">
        <v>44844</v>
      </c>
      <c r="O170" s="433"/>
      <c r="P170" s="433"/>
      <c r="Q170" s="432"/>
      <c r="R170" s="432"/>
      <c r="S170" s="432" t="s">
        <v>1098</v>
      </c>
      <c r="T170" s="436">
        <v>60</v>
      </c>
      <c r="U170" s="372"/>
      <c r="V170" s="432" t="s">
        <v>1018</v>
      </c>
      <c r="W170" s="436">
        <v>360</v>
      </c>
      <c r="X170" s="372">
        <v>728</v>
      </c>
      <c r="Y170" s="408">
        <f t="shared" si="15"/>
        <v>262080</v>
      </c>
      <c r="Z170" s="409">
        <v>0.8</v>
      </c>
      <c r="AA170" s="410">
        <f t="shared" si="16"/>
        <v>209664</v>
      </c>
      <c r="AB170" s="362"/>
      <c r="AC170" s="412"/>
      <c r="AD170" s="405"/>
      <c r="AE170" s="413"/>
      <c r="AF170" s="424">
        <f t="shared" si="17"/>
        <v>209664</v>
      </c>
      <c r="AG170" s="405" t="s">
        <v>47</v>
      </c>
      <c r="AH170" s="395"/>
      <c r="AI170" s="405">
        <v>45</v>
      </c>
      <c r="AJ170" s="405" t="s">
        <v>1129</v>
      </c>
      <c r="AK170" s="405" t="s">
        <v>1130</v>
      </c>
      <c r="AL170" s="425">
        <v>11416</v>
      </c>
      <c r="AM170" s="405" t="s">
        <v>52</v>
      </c>
      <c r="AN170" s="405"/>
      <c r="AO170" s="405"/>
      <c r="AP170" s="405"/>
      <c r="AQ170" s="413" t="s">
        <v>37</v>
      </c>
      <c r="AR170" s="405"/>
      <c r="AS170" s="363"/>
      <c r="AT170" s="335"/>
      <c r="AU170" s="363"/>
      <c r="AV170" s="403"/>
    </row>
    <row r="171" spans="1:48" s="402" customFormat="1" ht="15" customHeight="1">
      <c r="A171" s="278"/>
      <c r="B171" s="279"/>
      <c r="C171" s="284" t="s">
        <v>1186</v>
      </c>
      <c r="D171" s="374" t="s">
        <v>2804</v>
      </c>
      <c r="E171" s="293"/>
      <c r="F171" s="432"/>
      <c r="G171" s="432">
        <v>2022</v>
      </c>
      <c r="H171" s="432"/>
      <c r="I171" s="360" t="s">
        <v>1241</v>
      </c>
      <c r="J171" s="433"/>
      <c r="K171" s="432" t="s">
        <v>3930</v>
      </c>
      <c r="L171" s="433" t="s">
        <v>1112</v>
      </c>
      <c r="M171" s="433">
        <v>44657</v>
      </c>
      <c r="N171" s="433">
        <v>44841</v>
      </c>
      <c r="O171" s="433"/>
      <c r="P171" s="433"/>
      <c r="Q171" s="432"/>
      <c r="R171" s="432"/>
      <c r="S171" s="432" t="s">
        <v>1098</v>
      </c>
      <c r="T171" s="436">
        <v>60</v>
      </c>
      <c r="U171" s="372"/>
      <c r="V171" s="432" t="s">
        <v>973</v>
      </c>
      <c r="W171" s="436">
        <v>400</v>
      </c>
      <c r="X171" s="372">
        <v>832</v>
      </c>
      <c r="Y171" s="408">
        <f t="shared" si="15"/>
        <v>332800</v>
      </c>
      <c r="Z171" s="409">
        <v>0.55000000000000004</v>
      </c>
      <c r="AA171" s="410">
        <f t="shared" si="16"/>
        <v>183040.00000000003</v>
      </c>
      <c r="AB171" s="362"/>
      <c r="AC171" s="412"/>
      <c r="AD171" s="405"/>
      <c r="AE171" s="413"/>
      <c r="AF171" s="424">
        <f t="shared" si="17"/>
        <v>183040.00000000003</v>
      </c>
      <c r="AG171" s="405" t="s">
        <v>47</v>
      </c>
      <c r="AH171" s="395"/>
      <c r="AI171" s="405">
        <v>45</v>
      </c>
      <c r="AJ171" s="405" t="s">
        <v>1116</v>
      </c>
      <c r="AK171" s="405" t="s">
        <v>1117</v>
      </c>
      <c r="AL171" s="425">
        <v>55122</v>
      </c>
      <c r="AM171" s="405" t="s">
        <v>52</v>
      </c>
      <c r="AN171" s="405"/>
      <c r="AO171" s="405"/>
      <c r="AP171" s="405"/>
      <c r="AQ171" s="413" t="s">
        <v>37</v>
      </c>
      <c r="AR171" s="405"/>
      <c r="AS171" s="363"/>
      <c r="AT171" s="335"/>
      <c r="AU171" s="363"/>
      <c r="AV171" s="403"/>
    </row>
    <row r="172" spans="1:48" s="402" customFormat="1" ht="15" customHeight="1">
      <c r="A172" s="278"/>
      <c r="B172" s="279"/>
      <c r="C172" s="284" t="s">
        <v>1186</v>
      </c>
      <c r="D172" s="374" t="s">
        <v>2804</v>
      </c>
      <c r="E172" s="293"/>
      <c r="F172" s="432"/>
      <c r="G172" s="432">
        <v>2022</v>
      </c>
      <c r="H172" s="432"/>
      <c r="I172" s="360" t="s">
        <v>1241</v>
      </c>
      <c r="J172" s="433"/>
      <c r="K172" s="432" t="s">
        <v>3930</v>
      </c>
      <c r="L172" s="433" t="s">
        <v>1112</v>
      </c>
      <c r="M172" s="433">
        <v>44657</v>
      </c>
      <c r="N172" s="433">
        <v>44841</v>
      </c>
      <c r="O172" s="433"/>
      <c r="P172" s="433"/>
      <c r="Q172" s="432"/>
      <c r="R172" s="432"/>
      <c r="S172" s="432" t="s">
        <v>1098</v>
      </c>
      <c r="T172" s="436">
        <v>60</v>
      </c>
      <c r="U172" s="372"/>
      <c r="V172" s="432" t="s">
        <v>986</v>
      </c>
      <c r="W172" s="436">
        <v>360</v>
      </c>
      <c r="X172" s="372">
        <v>768</v>
      </c>
      <c r="Y172" s="408">
        <f t="shared" si="15"/>
        <v>276480</v>
      </c>
      <c r="Z172" s="409">
        <v>0.53</v>
      </c>
      <c r="AA172" s="410">
        <f t="shared" si="16"/>
        <v>146534.39999999999</v>
      </c>
      <c r="AB172" s="362"/>
      <c r="AC172" s="412"/>
      <c r="AD172" s="405"/>
      <c r="AE172" s="413"/>
      <c r="AF172" s="424">
        <f t="shared" si="17"/>
        <v>146534.39999999999</v>
      </c>
      <c r="AG172" s="405" t="s">
        <v>47</v>
      </c>
      <c r="AH172" s="395"/>
      <c r="AI172" s="405">
        <v>45</v>
      </c>
      <c r="AJ172" s="405" t="s">
        <v>1116</v>
      </c>
      <c r="AK172" s="405" t="s">
        <v>1117</v>
      </c>
      <c r="AL172" s="425">
        <v>55122</v>
      </c>
      <c r="AM172" s="405" t="s">
        <v>52</v>
      </c>
      <c r="AN172" s="405"/>
      <c r="AO172" s="405"/>
      <c r="AP172" s="405"/>
      <c r="AQ172" s="413" t="s">
        <v>37</v>
      </c>
      <c r="AR172" s="405"/>
      <c r="AS172" s="363"/>
      <c r="AT172" s="335"/>
      <c r="AU172" s="363"/>
      <c r="AV172" s="403"/>
    </row>
    <row r="173" spans="1:48" s="402" customFormat="1" ht="15" customHeight="1">
      <c r="A173" s="278"/>
      <c r="B173" s="279"/>
      <c r="C173" s="284" t="s">
        <v>1186</v>
      </c>
      <c r="D173" s="374" t="s">
        <v>2804</v>
      </c>
      <c r="E173" s="293"/>
      <c r="F173" s="432"/>
      <c r="G173" s="432">
        <v>2022</v>
      </c>
      <c r="H173" s="432"/>
      <c r="I173" s="360" t="s">
        <v>1241</v>
      </c>
      <c r="J173" s="433"/>
      <c r="K173" s="432" t="s">
        <v>3931</v>
      </c>
      <c r="L173" s="433" t="s">
        <v>1112</v>
      </c>
      <c r="M173" s="433">
        <v>44657</v>
      </c>
      <c r="N173" s="433">
        <v>44896</v>
      </c>
      <c r="O173" s="433"/>
      <c r="P173" s="433"/>
      <c r="Q173" s="432"/>
      <c r="R173" s="432"/>
      <c r="S173" s="432" t="s">
        <v>1098</v>
      </c>
      <c r="T173" s="436">
        <v>60</v>
      </c>
      <c r="U173" s="372"/>
      <c r="V173" s="432" t="s">
        <v>973</v>
      </c>
      <c r="W173" s="436">
        <v>400</v>
      </c>
      <c r="X173" s="372">
        <v>832</v>
      </c>
      <c r="Y173" s="408">
        <f t="shared" si="15"/>
        <v>332800</v>
      </c>
      <c r="Z173" s="409">
        <v>0.55000000000000004</v>
      </c>
      <c r="AA173" s="410">
        <f t="shared" si="16"/>
        <v>183040.00000000003</v>
      </c>
      <c r="AB173" s="362"/>
      <c r="AC173" s="412"/>
      <c r="AD173" s="405"/>
      <c r="AE173" s="413"/>
      <c r="AF173" s="424">
        <f t="shared" si="17"/>
        <v>183040.00000000003</v>
      </c>
      <c r="AG173" s="405" t="s">
        <v>47</v>
      </c>
      <c r="AH173" s="395"/>
      <c r="AI173" s="405">
        <v>45</v>
      </c>
      <c r="AJ173" s="405" t="s">
        <v>1607</v>
      </c>
      <c r="AK173" s="405" t="s">
        <v>50</v>
      </c>
      <c r="AL173" s="425">
        <v>91311</v>
      </c>
      <c r="AM173" s="405" t="s">
        <v>52</v>
      </c>
      <c r="AN173" s="405"/>
      <c r="AO173" s="405"/>
      <c r="AP173" s="405"/>
      <c r="AQ173" s="413" t="s">
        <v>37</v>
      </c>
      <c r="AR173" s="405"/>
      <c r="AS173" s="363"/>
      <c r="AT173" s="335"/>
      <c r="AU173" s="363"/>
      <c r="AV173" s="403"/>
    </row>
    <row r="174" spans="1:48" s="402" customFormat="1" ht="15" customHeight="1">
      <c r="A174" s="278"/>
      <c r="B174" s="279"/>
      <c r="C174" s="284" t="s">
        <v>1186</v>
      </c>
      <c r="D174" s="374" t="s">
        <v>2804</v>
      </c>
      <c r="E174" s="293"/>
      <c r="F174" s="432"/>
      <c r="G174" s="432">
        <v>2022</v>
      </c>
      <c r="H174" s="432"/>
      <c r="I174" s="360" t="s">
        <v>1241</v>
      </c>
      <c r="J174" s="433"/>
      <c r="K174" s="432" t="s">
        <v>3931</v>
      </c>
      <c r="L174" s="433" t="s">
        <v>1112</v>
      </c>
      <c r="M174" s="433">
        <v>44657</v>
      </c>
      <c r="N174" s="433">
        <v>44896</v>
      </c>
      <c r="O174" s="433"/>
      <c r="P174" s="433"/>
      <c r="Q174" s="432"/>
      <c r="R174" s="432"/>
      <c r="S174" s="432" t="s">
        <v>1098</v>
      </c>
      <c r="T174" s="436">
        <v>60</v>
      </c>
      <c r="U174" s="372"/>
      <c r="V174" s="432" t="s">
        <v>986</v>
      </c>
      <c r="W174" s="436">
        <v>360</v>
      </c>
      <c r="X174" s="372">
        <v>768</v>
      </c>
      <c r="Y174" s="408">
        <f t="shared" si="15"/>
        <v>276480</v>
      </c>
      <c r="Z174" s="409">
        <v>0.53</v>
      </c>
      <c r="AA174" s="410">
        <f t="shared" si="16"/>
        <v>146534.39999999999</v>
      </c>
      <c r="AB174" s="362"/>
      <c r="AC174" s="412"/>
      <c r="AD174" s="405"/>
      <c r="AE174" s="413"/>
      <c r="AF174" s="424">
        <f t="shared" si="17"/>
        <v>146534.39999999999</v>
      </c>
      <c r="AG174" s="405" t="s">
        <v>47</v>
      </c>
      <c r="AH174" s="395"/>
      <c r="AI174" s="405">
        <v>45</v>
      </c>
      <c r="AJ174" s="405" t="s">
        <v>1607</v>
      </c>
      <c r="AK174" s="405" t="s">
        <v>50</v>
      </c>
      <c r="AL174" s="425">
        <v>91311</v>
      </c>
      <c r="AM174" s="405" t="s">
        <v>52</v>
      </c>
      <c r="AN174" s="405"/>
      <c r="AO174" s="405"/>
      <c r="AP174" s="405"/>
      <c r="AQ174" s="413" t="s">
        <v>37</v>
      </c>
      <c r="AR174" s="405"/>
      <c r="AS174" s="363"/>
      <c r="AT174" s="335"/>
      <c r="AU174" s="363"/>
      <c r="AV174" s="403"/>
    </row>
    <row r="175" spans="1:48" s="402" customFormat="1" ht="15" customHeight="1">
      <c r="A175" s="278"/>
      <c r="B175" s="279"/>
      <c r="C175" s="284" t="s">
        <v>1186</v>
      </c>
      <c r="D175" s="374" t="s">
        <v>2804</v>
      </c>
      <c r="E175" s="293"/>
      <c r="F175" s="432"/>
      <c r="G175" s="432">
        <v>2022</v>
      </c>
      <c r="H175" s="432"/>
      <c r="I175" s="360" t="s">
        <v>1241</v>
      </c>
      <c r="J175" s="433"/>
      <c r="K175" s="432" t="s">
        <v>3931</v>
      </c>
      <c r="L175" s="433" t="s">
        <v>1112</v>
      </c>
      <c r="M175" s="433">
        <v>44657</v>
      </c>
      <c r="N175" s="433">
        <v>44896</v>
      </c>
      <c r="O175" s="433"/>
      <c r="P175" s="433"/>
      <c r="Q175" s="432"/>
      <c r="R175" s="432"/>
      <c r="S175" s="432" t="s">
        <v>1098</v>
      </c>
      <c r="T175" s="436">
        <v>60</v>
      </c>
      <c r="U175" s="372"/>
      <c r="V175" s="432" t="s">
        <v>973</v>
      </c>
      <c r="W175" s="436">
        <v>400</v>
      </c>
      <c r="X175" s="372">
        <v>832</v>
      </c>
      <c r="Y175" s="408">
        <f t="shared" si="15"/>
        <v>332800</v>
      </c>
      <c r="Z175" s="409">
        <v>0.55000000000000004</v>
      </c>
      <c r="AA175" s="410">
        <f t="shared" si="16"/>
        <v>183040.00000000003</v>
      </c>
      <c r="AB175" s="362"/>
      <c r="AC175" s="412"/>
      <c r="AD175" s="405"/>
      <c r="AE175" s="413"/>
      <c r="AF175" s="424">
        <f t="shared" si="17"/>
        <v>183040.00000000003</v>
      </c>
      <c r="AG175" s="405" t="s">
        <v>47</v>
      </c>
      <c r="AH175" s="395"/>
      <c r="AI175" s="405">
        <v>45</v>
      </c>
      <c r="AJ175" s="405" t="s">
        <v>1607</v>
      </c>
      <c r="AK175" s="405" t="s">
        <v>50</v>
      </c>
      <c r="AL175" s="425">
        <v>91311</v>
      </c>
      <c r="AM175" s="405" t="s">
        <v>52</v>
      </c>
      <c r="AN175" s="405"/>
      <c r="AO175" s="405"/>
      <c r="AP175" s="405"/>
      <c r="AQ175" s="413" t="s">
        <v>37</v>
      </c>
      <c r="AR175" s="405"/>
      <c r="AS175" s="363"/>
      <c r="AT175" s="335"/>
      <c r="AU175" s="363"/>
      <c r="AV175" s="403"/>
    </row>
    <row r="176" spans="1:48" s="402" customFormat="1" ht="15" customHeight="1">
      <c r="A176" s="278"/>
      <c r="B176" s="279"/>
      <c r="C176" s="284" t="s">
        <v>1186</v>
      </c>
      <c r="D176" s="374" t="s">
        <v>2804</v>
      </c>
      <c r="E176" s="293"/>
      <c r="F176" s="432"/>
      <c r="G176" s="432">
        <v>2022</v>
      </c>
      <c r="H176" s="432"/>
      <c r="I176" s="360" t="s">
        <v>1241</v>
      </c>
      <c r="J176" s="433"/>
      <c r="K176" s="432" t="s">
        <v>3931</v>
      </c>
      <c r="L176" s="433" t="s">
        <v>1112</v>
      </c>
      <c r="M176" s="433">
        <v>44657</v>
      </c>
      <c r="N176" s="433">
        <v>44896</v>
      </c>
      <c r="O176" s="433"/>
      <c r="P176" s="433"/>
      <c r="Q176" s="432"/>
      <c r="R176" s="432"/>
      <c r="S176" s="432" t="s">
        <v>1098</v>
      </c>
      <c r="T176" s="436">
        <v>60</v>
      </c>
      <c r="U176" s="372"/>
      <c r="V176" s="432" t="s">
        <v>973</v>
      </c>
      <c r="W176" s="436">
        <v>400</v>
      </c>
      <c r="X176" s="372">
        <v>832</v>
      </c>
      <c r="Y176" s="408">
        <f t="shared" si="15"/>
        <v>332800</v>
      </c>
      <c r="Z176" s="409">
        <v>0.55000000000000004</v>
      </c>
      <c r="AA176" s="410">
        <f t="shared" si="16"/>
        <v>183040.00000000003</v>
      </c>
      <c r="AB176" s="362"/>
      <c r="AC176" s="412"/>
      <c r="AD176" s="405"/>
      <c r="AE176" s="413"/>
      <c r="AF176" s="424">
        <f t="shared" si="17"/>
        <v>183040.00000000003</v>
      </c>
      <c r="AG176" s="405" t="s">
        <v>47</v>
      </c>
      <c r="AH176" s="395"/>
      <c r="AI176" s="405">
        <v>45</v>
      </c>
      <c r="AJ176" s="405" t="s">
        <v>1607</v>
      </c>
      <c r="AK176" s="405" t="s">
        <v>50</v>
      </c>
      <c r="AL176" s="425">
        <v>91311</v>
      </c>
      <c r="AM176" s="405" t="s">
        <v>52</v>
      </c>
      <c r="AN176" s="405"/>
      <c r="AO176" s="405"/>
      <c r="AP176" s="405"/>
      <c r="AQ176" s="413" t="s">
        <v>37</v>
      </c>
      <c r="AR176" s="405"/>
      <c r="AS176" s="363"/>
      <c r="AT176" s="335"/>
      <c r="AU176" s="363"/>
      <c r="AV176" s="403"/>
    </row>
    <row r="177" spans="1:48" s="402" customFormat="1" ht="15" customHeight="1">
      <c r="A177" s="278"/>
      <c r="B177" s="279"/>
      <c r="C177" s="284" t="s">
        <v>1186</v>
      </c>
      <c r="D177" s="374" t="s">
        <v>2804</v>
      </c>
      <c r="E177" s="293"/>
      <c r="F177" s="432"/>
      <c r="G177" s="432">
        <v>2022</v>
      </c>
      <c r="H177" s="432"/>
      <c r="I177" s="360" t="s">
        <v>1241</v>
      </c>
      <c r="J177" s="433"/>
      <c r="K177" s="432" t="s">
        <v>3932</v>
      </c>
      <c r="L177" s="433" t="s">
        <v>1112</v>
      </c>
      <c r="M177" s="433">
        <v>44657</v>
      </c>
      <c r="N177" s="433">
        <v>44866</v>
      </c>
      <c r="O177" s="433"/>
      <c r="P177" s="433"/>
      <c r="Q177" s="432"/>
      <c r="R177" s="432"/>
      <c r="S177" s="432" t="s">
        <v>1098</v>
      </c>
      <c r="T177" s="436">
        <v>60</v>
      </c>
      <c r="U177" s="372"/>
      <c r="V177" s="432" t="s">
        <v>973</v>
      </c>
      <c r="W177" s="436">
        <v>400</v>
      </c>
      <c r="X177" s="372">
        <v>832</v>
      </c>
      <c r="Y177" s="408">
        <f t="shared" si="15"/>
        <v>332800</v>
      </c>
      <c r="Z177" s="409">
        <v>0.55000000000000004</v>
      </c>
      <c r="AA177" s="410">
        <f t="shared" si="16"/>
        <v>183040.00000000003</v>
      </c>
      <c r="AB177" s="362"/>
      <c r="AC177" s="412"/>
      <c r="AD177" s="405"/>
      <c r="AE177" s="413"/>
      <c r="AF177" s="424">
        <f t="shared" si="17"/>
        <v>183040.00000000003</v>
      </c>
      <c r="AG177" s="405" t="s">
        <v>47</v>
      </c>
      <c r="AH177" s="395"/>
      <c r="AI177" s="405">
        <v>45</v>
      </c>
      <c r="AJ177" s="405" t="s">
        <v>1607</v>
      </c>
      <c r="AK177" s="405" t="s">
        <v>50</v>
      </c>
      <c r="AL177" s="425">
        <v>91311</v>
      </c>
      <c r="AM177" s="405" t="s">
        <v>52</v>
      </c>
      <c r="AN177" s="405"/>
      <c r="AO177" s="405"/>
      <c r="AP177" s="405"/>
      <c r="AQ177" s="413" t="s">
        <v>37</v>
      </c>
      <c r="AR177" s="405"/>
      <c r="AS177" s="363"/>
      <c r="AT177" s="335"/>
      <c r="AU177" s="363"/>
      <c r="AV177" s="403"/>
    </row>
    <row r="178" spans="1:48" s="402" customFormat="1" ht="15" customHeight="1">
      <c r="A178" s="278"/>
      <c r="B178" s="279"/>
      <c r="C178" s="284" t="s">
        <v>1186</v>
      </c>
      <c r="D178" s="374" t="s">
        <v>2804</v>
      </c>
      <c r="E178" s="293"/>
      <c r="F178" s="432"/>
      <c r="G178" s="432">
        <v>2022</v>
      </c>
      <c r="H178" s="360"/>
      <c r="I178" s="360" t="s">
        <v>1241</v>
      </c>
      <c r="J178" s="433"/>
      <c r="K178" s="432" t="s">
        <v>3932</v>
      </c>
      <c r="L178" s="433" t="s">
        <v>1112</v>
      </c>
      <c r="M178" s="433">
        <v>44657</v>
      </c>
      <c r="N178" s="433">
        <v>44866</v>
      </c>
      <c r="O178" s="433"/>
      <c r="P178" s="433"/>
      <c r="Q178" s="432"/>
      <c r="R178" s="432"/>
      <c r="S178" s="432" t="s">
        <v>1098</v>
      </c>
      <c r="T178" s="436">
        <v>60</v>
      </c>
      <c r="U178" s="372"/>
      <c r="V178" s="432" t="s">
        <v>1018</v>
      </c>
      <c r="W178" s="436">
        <v>360</v>
      </c>
      <c r="X178" s="372">
        <v>728</v>
      </c>
      <c r="Y178" s="408">
        <f t="shared" si="15"/>
        <v>262080</v>
      </c>
      <c r="Z178" s="409">
        <v>0.8</v>
      </c>
      <c r="AA178" s="410">
        <f t="shared" si="16"/>
        <v>209664</v>
      </c>
      <c r="AB178" s="411"/>
      <c r="AC178" s="412"/>
      <c r="AD178" s="421"/>
      <c r="AE178" s="413"/>
      <c r="AF178" s="424">
        <f t="shared" si="17"/>
        <v>209664</v>
      </c>
      <c r="AG178" s="405" t="s">
        <v>47</v>
      </c>
      <c r="AH178" s="405"/>
      <c r="AI178" s="405">
        <v>45</v>
      </c>
      <c r="AJ178" s="405" t="s">
        <v>1607</v>
      </c>
      <c r="AK178" s="405" t="s">
        <v>50</v>
      </c>
      <c r="AL178" s="425">
        <v>91311</v>
      </c>
      <c r="AM178" s="405" t="s">
        <v>52</v>
      </c>
      <c r="AN178" s="405"/>
      <c r="AO178" s="405"/>
      <c r="AP178" s="413"/>
      <c r="AQ178" s="413" t="s">
        <v>37</v>
      </c>
      <c r="AR178" s="405"/>
      <c r="AS178" s="403"/>
      <c r="AT178" s="281"/>
      <c r="AU178" s="386"/>
      <c r="AV178" s="403"/>
    </row>
    <row r="179" spans="1:48" s="402" customFormat="1" ht="15" customHeight="1">
      <c r="A179" s="278"/>
      <c r="B179" s="279"/>
      <c r="C179" s="284" t="s">
        <v>1186</v>
      </c>
      <c r="D179" s="374" t="s">
        <v>2804</v>
      </c>
      <c r="E179" s="293"/>
      <c r="F179" s="432"/>
      <c r="G179" s="432">
        <v>2022</v>
      </c>
      <c r="H179" s="360"/>
      <c r="I179" s="360" t="s">
        <v>1241</v>
      </c>
      <c r="J179" s="433"/>
      <c r="K179" s="432" t="s">
        <v>3932</v>
      </c>
      <c r="L179" s="433" t="s">
        <v>1112</v>
      </c>
      <c r="M179" s="433">
        <v>44657</v>
      </c>
      <c r="N179" s="433">
        <v>44866</v>
      </c>
      <c r="O179" s="433"/>
      <c r="P179" s="433"/>
      <c r="Q179" s="432"/>
      <c r="R179" s="432"/>
      <c r="S179" s="432" t="s">
        <v>1098</v>
      </c>
      <c r="T179" s="436">
        <v>60</v>
      </c>
      <c r="U179" s="372"/>
      <c r="V179" s="432" t="s">
        <v>986</v>
      </c>
      <c r="W179" s="436">
        <v>360</v>
      </c>
      <c r="X179" s="372">
        <v>768</v>
      </c>
      <c r="Y179" s="408">
        <f t="shared" si="15"/>
        <v>276480</v>
      </c>
      <c r="Z179" s="409">
        <v>0.53</v>
      </c>
      <c r="AA179" s="410">
        <f t="shared" si="16"/>
        <v>146534.39999999999</v>
      </c>
      <c r="AB179" s="411"/>
      <c r="AC179" s="412"/>
      <c r="AD179" s="421"/>
      <c r="AE179" s="413"/>
      <c r="AF179" s="424">
        <f t="shared" si="17"/>
        <v>146534.39999999999</v>
      </c>
      <c r="AG179" s="405" t="s">
        <v>47</v>
      </c>
      <c r="AH179" s="405"/>
      <c r="AI179" s="405">
        <v>45</v>
      </c>
      <c r="AJ179" s="405" t="s">
        <v>1607</v>
      </c>
      <c r="AK179" s="405" t="s">
        <v>50</v>
      </c>
      <c r="AL179" s="425">
        <v>91311</v>
      </c>
      <c r="AM179" s="405" t="s">
        <v>52</v>
      </c>
      <c r="AN179" s="405"/>
      <c r="AO179" s="405"/>
      <c r="AP179" s="413"/>
      <c r="AQ179" s="413" t="s">
        <v>37</v>
      </c>
      <c r="AR179" s="405"/>
      <c r="AS179" s="403"/>
      <c r="AT179" s="281"/>
      <c r="AU179" s="386"/>
      <c r="AV179" s="403"/>
    </row>
    <row r="180" spans="1:48" s="402" customFormat="1" ht="15" customHeight="1">
      <c r="A180" s="278"/>
      <c r="B180" s="279"/>
      <c r="C180" s="284" t="s">
        <v>1186</v>
      </c>
      <c r="D180" s="374" t="s">
        <v>2804</v>
      </c>
      <c r="E180" s="293"/>
      <c r="F180" s="432"/>
      <c r="G180" s="432">
        <v>2022</v>
      </c>
      <c r="H180" s="432"/>
      <c r="I180" s="360" t="s">
        <v>1241</v>
      </c>
      <c r="J180" s="433"/>
      <c r="K180" s="432" t="s">
        <v>3932</v>
      </c>
      <c r="L180" s="433" t="s">
        <v>1112</v>
      </c>
      <c r="M180" s="433">
        <v>44657</v>
      </c>
      <c r="N180" s="433">
        <v>44866</v>
      </c>
      <c r="O180" s="433"/>
      <c r="P180" s="433"/>
      <c r="Q180" s="432"/>
      <c r="R180" s="432"/>
      <c r="S180" s="432" t="s">
        <v>1098</v>
      </c>
      <c r="T180" s="436">
        <v>60</v>
      </c>
      <c r="U180" s="372"/>
      <c r="V180" s="432" t="s">
        <v>973</v>
      </c>
      <c r="W180" s="436">
        <v>400</v>
      </c>
      <c r="X180" s="372">
        <v>832</v>
      </c>
      <c r="Y180" s="408">
        <f t="shared" si="15"/>
        <v>332800</v>
      </c>
      <c r="Z180" s="409">
        <v>0.55000000000000004</v>
      </c>
      <c r="AA180" s="410">
        <f t="shared" si="16"/>
        <v>183040.00000000003</v>
      </c>
      <c r="AB180" s="362"/>
      <c r="AC180" s="412">
        <f>AB180*Y180</f>
        <v>0</v>
      </c>
      <c r="AD180" s="405"/>
      <c r="AE180" s="413"/>
      <c r="AF180" s="424">
        <f t="shared" si="17"/>
        <v>183040.00000000003</v>
      </c>
      <c r="AG180" s="405" t="s">
        <v>47</v>
      </c>
      <c r="AH180" s="395"/>
      <c r="AI180" s="405">
        <v>45</v>
      </c>
      <c r="AJ180" s="405" t="s">
        <v>1607</v>
      </c>
      <c r="AK180" s="405" t="s">
        <v>50</v>
      </c>
      <c r="AL180" s="425">
        <v>91311</v>
      </c>
      <c r="AM180" s="405" t="s">
        <v>52</v>
      </c>
      <c r="AN180" s="405"/>
      <c r="AO180" s="405"/>
      <c r="AP180" s="405"/>
      <c r="AQ180" s="413" t="s">
        <v>37</v>
      </c>
      <c r="AR180" s="405"/>
      <c r="AS180" s="363"/>
      <c r="AT180" s="335"/>
      <c r="AU180" s="363"/>
      <c r="AV180" s="403"/>
    </row>
    <row r="181" spans="1:48" s="402" customFormat="1" ht="15" customHeight="1">
      <c r="A181" s="278"/>
      <c r="B181" s="279"/>
      <c r="C181" s="284"/>
      <c r="D181" s="374" t="s">
        <v>2804</v>
      </c>
      <c r="E181" s="294"/>
      <c r="F181" s="432"/>
      <c r="G181" s="432">
        <v>2022</v>
      </c>
      <c r="H181" s="432"/>
      <c r="I181" s="360" t="s">
        <v>1241</v>
      </c>
      <c r="J181" s="433"/>
      <c r="K181" s="432" t="s">
        <v>3932</v>
      </c>
      <c r="L181" s="433" t="s">
        <v>1112</v>
      </c>
      <c r="M181" s="433">
        <v>44657</v>
      </c>
      <c r="N181" s="433">
        <v>44866</v>
      </c>
      <c r="O181" s="433"/>
      <c r="P181" s="433"/>
      <c r="Q181" s="432"/>
      <c r="R181" s="432"/>
      <c r="S181" s="432" t="s">
        <v>1098</v>
      </c>
      <c r="T181" s="436">
        <v>60</v>
      </c>
      <c r="U181" s="372"/>
      <c r="V181" s="432" t="s">
        <v>973</v>
      </c>
      <c r="W181" s="436">
        <v>400</v>
      </c>
      <c r="X181" s="372">
        <v>832</v>
      </c>
      <c r="Y181" s="408">
        <f t="shared" si="15"/>
        <v>332800</v>
      </c>
      <c r="Z181" s="409">
        <v>0.55000000000000004</v>
      </c>
      <c r="AA181" s="410">
        <f t="shared" si="16"/>
        <v>183040.00000000003</v>
      </c>
      <c r="AB181" s="362"/>
      <c r="AC181" s="412"/>
      <c r="AD181" s="405"/>
      <c r="AE181" s="413"/>
      <c r="AF181" s="424">
        <f t="shared" si="17"/>
        <v>183040.00000000003</v>
      </c>
      <c r="AG181" s="405" t="s">
        <v>47</v>
      </c>
      <c r="AH181" s="395"/>
      <c r="AI181" s="405">
        <v>45</v>
      </c>
      <c r="AJ181" s="405" t="s">
        <v>1607</v>
      </c>
      <c r="AK181" s="405" t="s">
        <v>50</v>
      </c>
      <c r="AL181" s="425">
        <v>91311</v>
      </c>
      <c r="AM181" s="405" t="s">
        <v>52</v>
      </c>
      <c r="AN181" s="405"/>
      <c r="AO181" s="405"/>
      <c r="AP181" s="405"/>
      <c r="AQ181" s="413" t="s">
        <v>37</v>
      </c>
      <c r="AR181" s="405"/>
      <c r="AS181" s="363"/>
      <c r="AT181" s="335"/>
      <c r="AU181" s="363"/>
      <c r="AV181" s="403"/>
    </row>
    <row r="182" spans="1:48" s="402" customFormat="1" ht="15" customHeight="1">
      <c r="A182" s="278"/>
      <c r="B182" s="279"/>
      <c r="C182" s="284" t="s">
        <v>1186</v>
      </c>
      <c r="D182" s="374" t="s">
        <v>2804</v>
      </c>
      <c r="E182" s="293"/>
      <c r="F182" s="432"/>
      <c r="G182" s="432">
        <v>2022</v>
      </c>
      <c r="H182" s="360"/>
      <c r="I182" s="360" t="s">
        <v>1241</v>
      </c>
      <c r="J182" s="433"/>
      <c r="K182" s="432" t="s">
        <v>3933</v>
      </c>
      <c r="L182" s="433" t="s">
        <v>1112</v>
      </c>
      <c r="M182" s="433">
        <v>44657</v>
      </c>
      <c r="N182" s="433">
        <v>44837</v>
      </c>
      <c r="O182" s="433"/>
      <c r="P182" s="433"/>
      <c r="Q182" s="432"/>
      <c r="R182" s="432"/>
      <c r="S182" s="432" t="s">
        <v>1098</v>
      </c>
      <c r="T182" s="436">
        <v>60</v>
      </c>
      <c r="U182" s="372"/>
      <c r="V182" s="432" t="s">
        <v>973</v>
      </c>
      <c r="W182" s="436">
        <v>400</v>
      </c>
      <c r="X182" s="372">
        <v>832</v>
      </c>
      <c r="Y182" s="408">
        <f t="shared" si="15"/>
        <v>332800</v>
      </c>
      <c r="Z182" s="409">
        <v>0.55000000000000004</v>
      </c>
      <c r="AA182" s="410">
        <f t="shared" si="16"/>
        <v>183040.00000000003</v>
      </c>
      <c r="AB182" s="411"/>
      <c r="AC182" s="412"/>
      <c r="AD182" s="421"/>
      <c r="AE182" s="413"/>
      <c r="AF182" s="424">
        <f t="shared" si="17"/>
        <v>183040.00000000003</v>
      </c>
      <c r="AG182" s="405" t="s">
        <v>47</v>
      </c>
      <c r="AH182" s="405"/>
      <c r="AI182" s="405">
        <v>45</v>
      </c>
      <c r="AJ182" s="405" t="s">
        <v>1607</v>
      </c>
      <c r="AK182" s="405" t="s">
        <v>50</v>
      </c>
      <c r="AL182" s="425">
        <v>91311</v>
      </c>
      <c r="AM182" s="405" t="s">
        <v>52</v>
      </c>
      <c r="AN182" s="405"/>
      <c r="AO182" s="405"/>
      <c r="AP182" s="413"/>
      <c r="AQ182" s="413" t="s">
        <v>37</v>
      </c>
      <c r="AR182" s="405"/>
      <c r="AS182" s="403"/>
      <c r="AT182" s="281"/>
      <c r="AU182" s="386"/>
      <c r="AV182" s="403"/>
    </row>
    <row r="183" spans="1:48" s="402" customFormat="1" ht="15" customHeight="1">
      <c r="A183" s="278"/>
      <c r="B183" s="279"/>
      <c r="C183" s="284" t="s">
        <v>1186</v>
      </c>
      <c r="D183" s="374" t="s">
        <v>2804</v>
      </c>
      <c r="E183" s="293"/>
      <c r="F183" s="432"/>
      <c r="G183" s="432">
        <v>2022</v>
      </c>
      <c r="H183" s="432"/>
      <c r="I183" s="360" t="s">
        <v>1241</v>
      </c>
      <c r="J183" s="433"/>
      <c r="K183" s="432" t="s">
        <v>3933</v>
      </c>
      <c r="L183" s="433" t="s">
        <v>1112</v>
      </c>
      <c r="M183" s="433">
        <v>44657</v>
      </c>
      <c r="N183" s="433">
        <v>44837</v>
      </c>
      <c r="O183" s="433"/>
      <c r="P183" s="433"/>
      <c r="Q183" s="432"/>
      <c r="R183" s="432"/>
      <c r="S183" s="432" t="s">
        <v>1098</v>
      </c>
      <c r="T183" s="436">
        <v>60</v>
      </c>
      <c r="U183" s="372"/>
      <c r="V183" s="432" t="s">
        <v>986</v>
      </c>
      <c r="W183" s="436">
        <v>360</v>
      </c>
      <c r="X183" s="372">
        <v>768</v>
      </c>
      <c r="Y183" s="408">
        <f t="shared" si="15"/>
        <v>276480</v>
      </c>
      <c r="Z183" s="409">
        <v>0.53</v>
      </c>
      <c r="AA183" s="410">
        <f t="shared" si="16"/>
        <v>146534.39999999999</v>
      </c>
      <c r="AB183" s="362"/>
      <c r="AC183" s="412"/>
      <c r="AD183" s="405"/>
      <c r="AE183" s="413"/>
      <c r="AF183" s="424">
        <f t="shared" si="17"/>
        <v>146534.39999999999</v>
      </c>
      <c r="AG183" s="405" t="s">
        <v>47</v>
      </c>
      <c r="AH183" s="395"/>
      <c r="AI183" s="405">
        <v>45</v>
      </c>
      <c r="AJ183" s="405" t="s">
        <v>1607</v>
      </c>
      <c r="AK183" s="405" t="s">
        <v>50</v>
      </c>
      <c r="AL183" s="425">
        <v>91311</v>
      </c>
      <c r="AM183" s="405" t="s">
        <v>52</v>
      </c>
      <c r="AN183" s="405"/>
      <c r="AO183" s="405"/>
      <c r="AP183" s="405"/>
      <c r="AQ183" s="413" t="s">
        <v>37</v>
      </c>
      <c r="AR183" s="405"/>
      <c r="AS183" s="363"/>
      <c r="AT183" s="335"/>
      <c r="AU183" s="363"/>
      <c r="AV183" s="403"/>
    </row>
    <row r="184" spans="1:48" s="402" customFormat="1" ht="15" customHeight="1">
      <c r="A184" s="278"/>
      <c r="B184" s="279"/>
      <c r="C184" s="284" t="s">
        <v>1186</v>
      </c>
      <c r="D184" s="374" t="s">
        <v>2804</v>
      </c>
      <c r="E184" s="293"/>
      <c r="F184" s="432"/>
      <c r="G184" s="432">
        <v>2022</v>
      </c>
      <c r="H184" s="360"/>
      <c r="I184" s="360" t="s">
        <v>1241</v>
      </c>
      <c r="J184" s="433"/>
      <c r="K184" s="432" t="s">
        <v>3933</v>
      </c>
      <c r="L184" s="433" t="s">
        <v>1112</v>
      </c>
      <c r="M184" s="433">
        <v>44657</v>
      </c>
      <c r="N184" s="433">
        <v>44837</v>
      </c>
      <c r="O184" s="433"/>
      <c r="P184" s="433"/>
      <c r="Q184" s="432"/>
      <c r="R184" s="432"/>
      <c r="S184" s="432" t="s">
        <v>1098</v>
      </c>
      <c r="T184" s="436">
        <v>60</v>
      </c>
      <c r="U184" s="372"/>
      <c r="V184" s="432" t="s">
        <v>973</v>
      </c>
      <c r="W184" s="436">
        <v>400</v>
      </c>
      <c r="X184" s="372">
        <v>832</v>
      </c>
      <c r="Y184" s="408">
        <f t="shared" si="15"/>
        <v>332800</v>
      </c>
      <c r="Z184" s="409">
        <v>0.55000000000000004</v>
      </c>
      <c r="AA184" s="410">
        <f t="shared" si="16"/>
        <v>183040.00000000003</v>
      </c>
      <c r="AB184" s="411"/>
      <c r="AC184" s="412"/>
      <c r="AD184" s="421"/>
      <c r="AE184" s="413"/>
      <c r="AF184" s="424">
        <f t="shared" si="17"/>
        <v>183040.00000000003</v>
      </c>
      <c r="AG184" s="405" t="s">
        <v>47</v>
      </c>
      <c r="AH184" s="405"/>
      <c r="AI184" s="405">
        <v>45</v>
      </c>
      <c r="AJ184" s="405" t="s">
        <v>1607</v>
      </c>
      <c r="AK184" s="405" t="s">
        <v>50</v>
      </c>
      <c r="AL184" s="425">
        <v>91311</v>
      </c>
      <c r="AM184" s="405" t="s">
        <v>52</v>
      </c>
      <c r="AN184" s="405"/>
      <c r="AO184" s="405"/>
      <c r="AP184" s="413"/>
      <c r="AQ184" s="413" t="s">
        <v>37</v>
      </c>
      <c r="AR184" s="405"/>
      <c r="AS184" s="403"/>
      <c r="AT184" s="281"/>
      <c r="AU184" s="386"/>
      <c r="AV184" s="403"/>
    </row>
    <row r="185" spans="1:48" s="402" customFormat="1" ht="15" customHeight="1">
      <c r="A185" s="278"/>
      <c r="B185" s="279"/>
      <c r="C185" s="284" t="s">
        <v>1186</v>
      </c>
      <c r="D185" s="374" t="s">
        <v>2804</v>
      </c>
      <c r="E185" s="293"/>
      <c r="F185" s="432"/>
      <c r="G185" s="432">
        <v>2022</v>
      </c>
      <c r="H185" s="432"/>
      <c r="I185" s="360" t="s">
        <v>1241</v>
      </c>
      <c r="J185" s="433"/>
      <c r="K185" s="432" t="s">
        <v>3933</v>
      </c>
      <c r="L185" s="433" t="s">
        <v>1112</v>
      </c>
      <c r="M185" s="433">
        <v>44657</v>
      </c>
      <c r="N185" s="433">
        <v>44837</v>
      </c>
      <c r="O185" s="433"/>
      <c r="P185" s="433"/>
      <c r="Q185" s="432"/>
      <c r="R185" s="432"/>
      <c r="S185" s="432" t="s">
        <v>1098</v>
      </c>
      <c r="T185" s="436">
        <v>60</v>
      </c>
      <c r="U185" s="372"/>
      <c r="V185" s="432" t="s">
        <v>973</v>
      </c>
      <c r="W185" s="436">
        <v>400</v>
      </c>
      <c r="X185" s="372">
        <v>832</v>
      </c>
      <c r="Y185" s="408">
        <f t="shared" si="15"/>
        <v>332800</v>
      </c>
      <c r="Z185" s="409">
        <v>0.55000000000000004</v>
      </c>
      <c r="AA185" s="410">
        <f t="shared" si="16"/>
        <v>183040.00000000003</v>
      </c>
      <c r="AB185" s="362"/>
      <c r="AC185" s="412"/>
      <c r="AD185" s="405"/>
      <c r="AE185" s="413"/>
      <c r="AF185" s="424">
        <f t="shared" si="17"/>
        <v>183040.00000000003</v>
      </c>
      <c r="AG185" s="405" t="s">
        <v>47</v>
      </c>
      <c r="AH185" s="395"/>
      <c r="AI185" s="405">
        <v>45</v>
      </c>
      <c r="AJ185" s="405" t="s">
        <v>1607</v>
      </c>
      <c r="AK185" s="405" t="s">
        <v>50</v>
      </c>
      <c r="AL185" s="425">
        <v>91311</v>
      </c>
      <c r="AM185" s="405" t="s">
        <v>52</v>
      </c>
      <c r="AN185" s="405"/>
      <c r="AO185" s="405"/>
      <c r="AP185" s="405"/>
      <c r="AQ185" s="413" t="s">
        <v>37</v>
      </c>
      <c r="AR185" s="405"/>
      <c r="AS185" s="363"/>
      <c r="AT185" s="335"/>
      <c r="AU185" s="363"/>
      <c r="AV185" s="403"/>
    </row>
    <row r="186" spans="1:48" s="402" customFormat="1" ht="15" customHeight="1">
      <c r="A186" s="278"/>
      <c r="B186" s="279"/>
      <c r="C186" s="284" t="s">
        <v>1186</v>
      </c>
      <c r="D186" s="374" t="s">
        <v>2804</v>
      </c>
      <c r="E186" s="293"/>
      <c r="F186" s="432"/>
      <c r="G186" s="432">
        <v>2022</v>
      </c>
      <c r="H186" s="360"/>
      <c r="I186" s="360" t="s">
        <v>1241</v>
      </c>
      <c r="J186" s="433"/>
      <c r="K186" s="432" t="s">
        <v>3934</v>
      </c>
      <c r="L186" s="433" t="s">
        <v>1112</v>
      </c>
      <c r="M186" s="433">
        <v>44657</v>
      </c>
      <c r="N186" s="433">
        <v>44896</v>
      </c>
      <c r="O186" s="433"/>
      <c r="P186" s="433"/>
      <c r="Q186" s="432"/>
      <c r="R186" s="432"/>
      <c r="S186" s="432" t="s">
        <v>1098</v>
      </c>
      <c r="T186" s="436">
        <v>60</v>
      </c>
      <c r="U186" s="372"/>
      <c r="V186" s="432" t="s">
        <v>986</v>
      </c>
      <c r="W186" s="436">
        <v>360</v>
      </c>
      <c r="X186" s="372">
        <v>768</v>
      </c>
      <c r="Y186" s="408">
        <f t="shared" si="15"/>
        <v>276480</v>
      </c>
      <c r="Z186" s="409">
        <v>0.53</v>
      </c>
      <c r="AA186" s="410">
        <f t="shared" si="16"/>
        <v>146534.39999999999</v>
      </c>
      <c r="AB186" s="411"/>
      <c r="AC186" s="412"/>
      <c r="AD186" s="421"/>
      <c r="AE186" s="413"/>
      <c r="AF186" s="424">
        <f t="shared" si="17"/>
        <v>146534.39999999999</v>
      </c>
      <c r="AG186" s="405" t="s">
        <v>47</v>
      </c>
      <c r="AH186" s="405"/>
      <c r="AI186" s="405">
        <v>45</v>
      </c>
      <c r="AJ186" s="405" t="s">
        <v>1120</v>
      </c>
      <c r="AK186" s="405" t="s">
        <v>1082</v>
      </c>
      <c r="AL186" s="425">
        <v>8505</v>
      </c>
      <c r="AM186" s="405" t="s">
        <v>52</v>
      </c>
      <c r="AN186" s="405"/>
      <c r="AO186" s="405"/>
      <c r="AP186" s="413"/>
      <c r="AQ186" s="413" t="s">
        <v>37</v>
      </c>
      <c r="AR186" s="405"/>
      <c r="AS186" s="403"/>
      <c r="AT186" s="281"/>
      <c r="AU186" s="386"/>
      <c r="AV186" s="403"/>
    </row>
    <row r="187" spans="1:48" s="402" customFormat="1" ht="15" customHeight="1">
      <c r="A187" s="278"/>
      <c r="B187" s="279"/>
      <c r="C187" s="284" t="s">
        <v>1186</v>
      </c>
      <c r="D187" s="374" t="s">
        <v>2804</v>
      </c>
      <c r="E187" s="294"/>
      <c r="F187" s="432"/>
      <c r="G187" s="432">
        <v>2022</v>
      </c>
      <c r="H187" s="432"/>
      <c r="I187" s="360" t="s">
        <v>1241</v>
      </c>
      <c r="J187" s="433"/>
      <c r="K187" s="432" t="s">
        <v>3934</v>
      </c>
      <c r="L187" s="433" t="s">
        <v>1112</v>
      </c>
      <c r="M187" s="433">
        <v>44657</v>
      </c>
      <c r="N187" s="433">
        <v>44896</v>
      </c>
      <c r="O187" s="433"/>
      <c r="P187" s="433"/>
      <c r="Q187" s="432"/>
      <c r="R187" s="432"/>
      <c r="S187" s="432" t="s">
        <v>1098</v>
      </c>
      <c r="T187" s="436">
        <v>60</v>
      </c>
      <c r="U187" s="372"/>
      <c r="V187" s="432" t="s">
        <v>986</v>
      </c>
      <c r="W187" s="436">
        <v>360</v>
      </c>
      <c r="X187" s="372">
        <v>768</v>
      </c>
      <c r="Y187" s="408">
        <f t="shared" si="15"/>
        <v>276480</v>
      </c>
      <c r="Z187" s="409">
        <v>0.53</v>
      </c>
      <c r="AA187" s="410">
        <f t="shared" si="16"/>
        <v>146534.39999999999</v>
      </c>
      <c r="AB187" s="362"/>
      <c r="AC187" s="412"/>
      <c r="AD187" s="405"/>
      <c r="AE187" s="413"/>
      <c r="AF187" s="424">
        <f t="shared" si="17"/>
        <v>146534.39999999999</v>
      </c>
      <c r="AG187" s="405" t="s">
        <v>47</v>
      </c>
      <c r="AH187" s="395"/>
      <c r="AI187" s="405">
        <v>45</v>
      </c>
      <c r="AJ187" s="405" t="s">
        <v>1120</v>
      </c>
      <c r="AK187" s="405" t="s">
        <v>1082</v>
      </c>
      <c r="AL187" s="425">
        <v>8505</v>
      </c>
      <c r="AM187" s="405" t="s">
        <v>52</v>
      </c>
      <c r="AN187" s="405"/>
      <c r="AO187" s="405"/>
      <c r="AP187" s="405"/>
      <c r="AQ187" s="413" t="s">
        <v>37</v>
      </c>
      <c r="AR187" s="405"/>
      <c r="AS187" s="363"/>
      <c r="AT187" s="335"/>
      <c r="AU187" s="363"/>
      <c r="AV187" s="403"/>
    </row>
    <row r="188" spans="1:48" s="402" customFormat="1" ht="15" customHeight="1">
      <c r="A188" s="278"/>
      <c r="B188" s="279"/>
      <c r="C188" s="284" t="s">
        <v>1186</v>
      </c>
      <c r="D188" s="374" t="s">
        <v>2804</v>
      </c>
      <c r="E188" s="293"/>
      <c r="F188" s="432"/>
      <c r="G188" s="432">
        <v>2022</v>
      </c>
      <c r="H188" s="432"/>
      <c r="I188" s="360" t="s">
        <v>1241</v>
      </c>
      <c r="J188" s="433"/>
      <c r="K188" s="432" t="s">
        <v>3935</v>
      </c>
      <c r="L188" s="433" t="s">
        <v>1112</v>
      </c>
      <c r="M188" s="433">
        <v>44657</v>
      </c>
      <c r="N188" s="433">
        <v>44838</v>
      </c>
      <c r="O188" s="433"/>
      <c r="P188" s="433"/>
      <c r="Q188" s="432"/>
      <c r="R188" s="432"/>
      <c r="S188" s="432" t="s">
        <v>1098</v>
      </c>
      <c r="T188" s="436">
        <v>60</v>
      </c>
      <c r="U188" s="372"/>
      <c r="V188" s="432" t="s">
        <v>986</v>
      </c>
      <c r="W188" s="436">
        <v>360</v>
      </c>
      <c r="X188" s="372">
        <v>768</v>
      </c>
      <c r="Y188" s="408">
        <f t="shared" si="15"/>
        <v>276480</v>
      </c>
      <c r="Z188" s="409">
        <v>0.53</v>
      </c>
      <c r="AA188" s="410">
        <f t="shared" si="16"/>
        <v>146534.39999999999</v>
      </c>
      <c r="AB188" s="362"/>
      <c r="AC188" s="412"/>
      <c r="AD188" s="405"/>
      <c r="AE188" s="413"/>
      <c r="AF188" s="424">
        <f t="shared" si="17"/>
        <v>146534.39999999999</v>
      </c>
      <c r="AG188" s="405" t="s">
        <v>47</v>
      </c>
      <c r="AH188" s="395"/>
      <c r="AI188" s="405">
        <v>45</v>
      </c>
      <c r="AJ188" s="405" t="s">
        <v>1120</v>
      </c>
      <c r="AK188" s="405" t="s">
        <v>1082</v>
      </c>
      <c r="AL188" s="425">
        <v>8505</v>
      </c>
      <c r="AM188" s="405" t="s">
        <v>52</v>
      </c>
      <c r="AN188" s="405"/>
      <c r="AO188" s="405"/>
      <c r="AP188" s="405"/>
      <c r="AQ188" s="413" t="s">
        <v>37</v>
      </c>
      <c r="AR188" s="405"/>
      <c r="AS188" s="363"/>
      <c r="AT188" s="335"/>
      <c r="AU188" s="363"/>
      <c r="AV188" s="403"/>
    </row>
    <row r="189" spans="1:48" s="402" customFormat="1" ht="15" customHeight="1">
      <c r="A189" s="278"/>
      <c r="B189" s="279"/>
      <c r="C189" s="284" t="s">
        <v>1186</v>
      </c>
      <c r="D189" s="374" t="s">
        <v>2804</v>
      </c>
      <c r="E189" s="293"/>
      <c r="F189" s="432"/>
      <c r="G189" s="432">
        <v>2022</v>
      </c>
      <c r="H189" s="432"/>
      <c r="I189" s="360" t="s">
        <v>1241</v>
      </c>
      <c r="J189" s="433"/>
      <c r="K189" s="432" t="s">
        <v>3935</v>
      </c>
      <c r="L189" s="433" t="s">
        <v>1112</v>
      </c>
      <c r="M189" s="433">
        <v>44657</v>
      </c>
      <c r="N189" s="433">
        <v>44838</v>
      </c>
      <c r="O189" s="433"/>
      <c r="P189" s="433"/>
      <c r="Q189" s="432"/>
      <c r="R189" s="432"/>
      <c r="S189" s="432" t="s">
        <v>1098</v>
      </c>
      <c r="T189" s="436">
        <v>60</v>
      </c>
      <c r="U189" s="372"/>
      <c r="V189" s="432" t="s">
        <v>973</v>
      </c>
      <c r="W189" s="436">
        <v>400</v>
      </c>
      <c r="X189" s="372">
        <v>832</v>
      </c>
      <c r="Y189" s="408">
        <f t="shared" si="15"/>
        <v>332800</v>
      </c>
      <c r="Z189" s="409">
        <v>0.55000000000000004</v>
      </c>
      <c r="AA189" s="410">
        <f t="shared" si="16"/>
        <v>183040.00000000003</v>
      </c>
      <c r="AB189" s="362"/>
      <c r="AC189" s="412"/>
      <c r="AD189" s="405"/>
      <c r="AE189" s="413"/>
      <c r="AF189" s="424">
        <f t="shared" si="17"/>
        <v>183040.00000000003</v>
      </c>
      <c r="AG189" s="405" t="s">
        <v>47</v>
      </c>
      <c r="AH189" s="395"/>
      <c r="AI189" s="405">
        <v>45</v>
      </c>
      <c r="AJ189" s="405" t="s">
        <v>1120</v>
      </c>
      <c r="AK189" s="405" t="s">
        <v>1082</v>
      </c>
      <c r="AL189" s="425">
        <v>8505</v>
      </c>
      <c r="AM189" s="405" t="s">
        <v>52</v>
      </c>
      <c r="AN189" s="405"/>
      <c r="AO189" s="405"/>
      <c r="AP189" s="405"/>
      <c r="AQ189" s="413" t="s">
        <v>37</v>
      </c>
      <c r="AR189" s="405"/>
      <c r="AS189" s="363"/>
      <c r="AT189" s="335"/>
      <c r="AU189" s="363"/>
      <c r="AV189" s="403"/>
    </row>
    <row r="190" spans="1:48" s="402" customFormat="1" ht="15" customHeight="1">
      <c r="A190" s="278"/>
      <c r="B190" s="279"/>
      <c r="C190" s="284" t="s">
        <v>1186</v>
      </c>
      <c r="D190" s="374" t="s">
        <v>2804</v>
      </c>
      <c r="E190" s="293"/>
      <c r="F190" s="432"/>
      <c r="G190" s="432">
        <v>2022</v>
      </c>
      <c r="H190" s="432"/>
      <c r="I190" s="360" t="s">
        <v>1241</v>
      </c>
      <c r="J190" s="433"/>
      <c r="K190" s="432" t="s">
        <v>3935</v>
      </c>
      <c r="L190" s="433" t="s">
        <v>1112</v>
      </c>
      <c r="M190" s="433">
        <v>44657</v>
      </c>
      <c r="N190" s="433">
        <v>44838</v>
      </c>
      <c r="O190" s="433"/>
      <c r="P190" s="433"/>
      <c r="Q190" s="432"/>
      <c r="R190" s="432"/>
      <c r="S190" s="432" t="s">
        <v>1098</v>
      </c>
      <c r="T190" s="436">
        <v>60</v>
      </c>
      <c r="U190" s="372"/>
      <c r="V190" s="432" t="s">
        <v>986</v>
      </c>
      <c r="W190" s="436">
        <v>360</v>
      </c>
      <c r="X190" s="372">
        <v>768</v>
      </c>
      <c r="Y190" s="408">
        <f t="shared" si="15"/>
        <v>276480</v>
      </c>
      <c r="Z190" s="409">
        <v>0.53</v>
      </c>
      <c r="AA190" s="410">
        <f t="shared" si="16"/>
        <v>146534.39999999999</v>
      </c>
      <c r="AB190" s="362"/>
      <c r="AC190" s="412"/>
      <c r="AD190" s="405"/>
      <c r="AE190" s="413"/>
      <c r="AF190" s="424">
        <f t="shared" si="17"/>
        <v>146534.39999999999</v>
      </c>
      <c r="AG190" s="405" t="s">
        <v>47</v>
      </c>
      <c r="AH190" s="395"/>
      <c r="AI190" s="405">
        <v>45</v>
      </c>
      <c r="AJ190" s="405" t="s">
        <v>1120</v>
      </c>
      <c r="AK190" s="405" t="s">
        <v>1082</v>
      </c>
      <c r="AL190" s="425">
        <v>8505</v>
      </c>
      <c r="AM190" s="405" t="s">
        <v>52</v>
      </c>
      <c r="AN190" s="405"/>
      <c r="AO190" s="405"/>
      <c r="AP190" s="405"/>
      <c r="AQ190" s="413" t="s">
        <v>37</v>
      </c>
      <c r="AR190" s="405"/>
      <c r="AS190" s="363"/>
      <c r="AT190" s="335"/>
      <c r="AU190" s="363"/>
      <c r="AV190" s="403"/>
    </row>
    <row r="191" spans="1:48" s="402" customFormat="1" ht="15" customHeight="1">
      <c r="A191" s="278"/>
      <c r="B191" s="279"/>
      <c r="C191" s="284" t="s">
        <v>1186</v>
      </c>
      <c r="D191" s="374" t="s">
        <v>2804</v>
      </c>
      <c r="E191" s="293"/>
      <c r="F191" s="432"/>
      <c r="G191" s="432">
        <v>2022</v>
      </c>
      <c r="H191" s="432"/>
      <c r="I191" s="360" t="s">
        <v>1241</v>
      </c>
      <c r="J191" s="433"/>
      <c r="K191" s="432" t="s">
        <v>3935</v>
      </c>
      <c r="L191" s="433" t="s">
        <v>1112</v>
      </c>
      <c r="M191" s="433">
        <v>44657</v>
      </c>
      <c r="N191" s="433">
        <v>44838</v>
      </c>
      <c r="O191" s="433"/>
      <c r="P191" s="433"/>
      <c r="Q191" s="432"/>
      <c r="R191" s="432"/>
      <c r="S191" s="432" t="s">
        <v>1098</v>
      </c>
      <c r="T191" s="436">
        <v>60</v>
      </c>
      <c r="U191" s="372"/>
      <c r="V191" s="432" t="s">
        <v>986</v>
      </c>
      <c r="W191" s="436">
        <v>360</v>
      </c>
      <c r="X191" s="372">
        <v>768</v>
      </c>
      <c r="Y191" s="408">
        <f t="shared" si="15"/>
        <v>276480</v>
      </c>
      <c r="Z191" s="409">
        <v>0.53</v>
      </c>
      <c r="AA191" s="410">
        <f t="shared" si="16"/>
        <v>146534.39999999999</v>
      </c>
      <c r="AB191" s="362"/>
      <c r="AC191" s="412"/>
      <c r="AD191" s="405"/>
      <c r="AE191" s="413"/>
      <c r="AF191" s="424">
        <f t="shared" si="17"/>
        <v>146534.39999999999</v>
      </c>
      <c r="AG191" s="405" t="s">
        <v>47</v>
      </c>
      <c r="AH191" s="395"/>
      <c r="AI191" s="405">
        <v>45</v>
      </c>
      <c r="AJ191" s="405" t="s">
        <v>1120</v>
      </c>
      <c r="AK191" s="405" t="s">
        <v>1082</v>
      </c>
      <c r="AL191" s="425">
        <v>8505</v>
      </c>
      <c r="AM191" s="405" t="s">
        <v>52</v>
      </c>
      <c r="AN191" s="405"/>
      <c r="AO191" s="405"/>
      <c r="AP191" s="405"/>
      <c r="AQ191" s="413" t="s">
        <v>37</v>
      </c>
      <c r="AR191" s="405"/>
      <c r="AS191" s="363"/>
      <c r="AT191" s="335"/>
      <c r="AU191" s="363"/>
      <c r="AV191" s="403"/>
    </row>
    <row r="192" spans="1:48" s="402" customFormat="1" ht="15" customHeight="1">
      <c r="A192" s="278"/>
      <c r="B192" s="279"/>
      <c r="C192" s="284" t="s">
        <v>1186</v>
      </c>
      <c r="D192" s="374" t="s">
        <v>2804</v>
      </c>
      <c r="E192" s="293"/>
      <c r="F192" s="432"/>
      <c r="G192" s="432">
        <v>2022</v>
      </c>
      <c r="H192" s="360"/>
      <c r="I192" s="360" t="s">
        <v>1241</v>
      </c>
      <c r="J192" s="433"/>
      <c r="K192" s="432" t="s">
        <v>3935</v>
      </c>
      <c r="L192" s="433" t="s">
        <v>1112</v>
      </c>
      <c r="M192" s="433">
        <v>44657</v>
      </c>
      <c r="N192" s="433">
        <v>44838</v>
      </c>
      <c r="O192" s="433"/>
      <c r="P192" s="433"/>
      <c r="Q192" s="432"/>
      <c r="R192" s="432"/>
      <c r="S192" s="432" t="s">
        <v>1098</v>
      </c>
      <c r="T192" s="436">
        <v>60</v>
      </c>
      <c r="U192" s="372"/>
      <c r="V192" s="432" t="s">
        <v>986</v>
      </c>
      <c r="W192" s="436">
        <v>360</v>
      </c>
      <c r="X192" s="372">
        <v>768</v>
      </c>
      <c r="Y192" s="408">
        <f t="shared" si="15"/>
        <v>276480</v>
      </c>
      <c r="Z192" s="409">
        <v>0.53</v>
      </c>
      <c r="AA192" s="410">
        <f t="shared" si="16"/>
        <v>146534.39999999999</v>
      </c>
      <c r="AB192" s="411"/>
      <c r="AC192" s="412"/>
      <c r="AD192" s="421"/>
      <c r="AE192" s="413"/>
      <c r="AF192" s="424">
        <f t="shared" si="17"/>
        <v>146534.39999999999</v>
      </c>
      <c r="AG192" s="405" t="s">
        <v>47</v>
      </c>
      <c r="AH192" s="405"/>
      <c r="AI192" s="405">
        <v>45</v>
      </c>
      <c r="AJ192" s="405" t="s">
        <v>1120</v>
      </c>
      <c r="AK192" s="405" t="s">
        <v>1082</v>
      </c>
      <c r="AL192" s="425">
        <v>8505</v>
      </c>
      <c r="AM192" s="405" t="s">
        <v>52</v>
      </c>
      <c r="AN192" s="405"/>
      <c r="AO192" s="405"/>
      <c r="AP192" s="413"/>
      <c r="AQ192" s="413" t="s">
        <v>37</v>
      </c>
      <c r="AR192" s="405"/>
      <c r="AS192" s="403"/>
      <c r="AT192" s="281"/>
      <c r="AU192" s="386"/>
      <c r="AV192" s="403"/>
    </row>
    <row r="193" spans="1:48" s="402" customFormat="1" ht="15" customHeight="1">
      <c r="A193" s="278"/>
      <c r="B193" s="279"/>
      <c r="C193" s="284" t="s">
        <v>1186</v>
      </c>
      <c r="D193" s="374" t="s">
        <v>2804</v>
      </c>
      <c r="E193" s="293"/>
      <c r="F193" s="432"/>
      <c r="G193" s="432">
        <v>2022</v>
      </c>
      <c r="H193" s="432"/>
      <c r="I193" s="360" t="s">
        <v>1241</v>
      </c>
      <c r="J193" s="433"/>
      <c r="K193" s="432" t="s">
        <v>3936</v>
      </c>
      <c r="L193" s="433" t="s">
        <v>1112</v>
      </c>
      <c r="M193" s="433">
        <v>44657</v>
      </c>
      <c r="N193" s="433">
        <v>44844</v>
      </c>
      <c r="O193" s="433"/>
      <c r="P193" s="433"/>
      <c r="Q193" s="432"/>
      <c r="R193" s="432"/>
      <c r="S193" s="432" t="s">
        <v>1098</v>
      </c>
      <c r="T193" s="436">
        <v>60</v>
      </c>
      <c r="U193" s="372"/>
      <c r="V193" s="432" t="s">
        <v>986</v>
      </c>
      <c r="W193" s="436">
        <v>360</v>
      </c>
      <c r="X193" s="372">
        <v>768</v>
      </c>
      <c r="Y193" s="408">
        <f t="shared" si="15"/>
        <v>276480</v>
      </c>
      <c r="Z193" s="409">
        <v>0.53</v>
      </c>
      <c r="AA193" s="410">
        <f t="shared" si="16"/>
        <v>146534.39999999999</v>
      </c>
      <c r="AB193" s="362"/>
      <c r="AC193" s="412"/>
      <c r="AD193" s="405"/>
      <c r="AE193" s="413"/>
      <c r="AF193" s="424">
        <f t="shared" si="17"/>
        <v>146534.39999999999</v>
      </c>
      <c r="AG193" s="405" t="s">
        <v>47</v>
      </c>
      <c r="AH193" s="395"/>
      <c r="AI193" s="405">
        <v>45</v>
      </c>
      <c r="AJ193" s="405" t="s">
        <v>1135</v>
      </c>
      <c r="AK193" s="405" t="s">
        <v>1136</v>
      </c>
      <c r="AL193" s="425">
        <v>74074</v>
      </c>
      <c r="AM193" s="405" t="s">
        <v>52</v>
      </c>
      <c r="AN193" s="405"/>
      <c r="AO193" s="405"/>
      <c r="AP193" s="405"/>
      <c r="AQ193" s="413" t="s">
        <v>37</v>
      </c>
      <c r="AR193" s="405"/>
      <c r="AS193" s="363"/>
      <c r="AT193" s="335"/>
      <c r="AU193" s="363"/>
      <c r="AV193" s="403"/>
    </row>
    <row r="194" spans="1:48" s="402" customFormat="1" ht="15" customHeight="1">
      <c r="A194" s="278"/>
      <c r="B194" s="279"/>
      <c r="C194" s="284" t="s">
        <v>1186</v>
      </c>
      <c r="D194" s="374" t="s">
        <v>2804</v>
      </c>
      <c r="E194" s="293"/>
      <c r="F194" s="432"/>
      <c r="G194" s="432">
        <v>2022</v>
      </c>
      <c r="H194" s="432"/>
      <c r="I194" s="360" t="s">
        <v>1241</v>
      </c>
      <c r="J194" s="433"/>
      <c r="K194" s="432" t="s">
        <v>3936</v>
      </c>
      <c r="L194" s="433" t="s">
        <v>1112</v>
      </c>
      <c r="M194" s="433">
        <v>44657</v>
      </c>
      <c r="N194" s="433">
        <v>44844</v>
      </c>
      <c r="O194" s="433"/>
      <c r="P194" s="433"/>
      <c r="Q194" s="432"/>
      <c r="R194" s="432"/>
      <c r="S194" s="432" t="s">
        <v>1098</v>
      </c>
      <c r="T194" s="436">
        <v>60</v>
      </c>
      <c r="U194" s="372"/>
      <c r="V194" s="432" t="s">
        <v>1018</v>
      </c>
      <c r="W194" s="436">
        <v>360</v>
      </c>
      <c r="X194" s="372">
        <v>728</v>
      </c>
      <c r="Y194" s="408">
        <f t="shared" ref="Y194:Y257" si="18">W194*X194</f>
        <v>262080</v>
      </c>
      <c r="Z194" s="409">
        <v>0.8</v>
      </c>
      <c r="AA194" s="410">
        <f t="shared" ref="AA194:AA257" si="19">Z194*Y194</f>
        <v>209664</v>
      </c>
      <c r="AB194" s="362"/>
      <c r="AC194" s="412"/>
      <c r="AD194" s="405"/>
      <c r="AE194" s="413"/>
      <c r="AF194" s="424">
        <f t="shared" ref="AF194:AF257" si="20">AE194+AD194+AA194</f>
        <v>209664</v>
      </c>
      <c r="AG194" s="405" t="s">
        <v>47</v>
      </c>
      <c r="AH194" s="395"/>
      <c r="AI194" s="405">
        <v>45</v>
      </c>
      <c r="AJ194" s="405" t="s">
        <v>1135</v>
      </c>
      <c r="AK194" s="405" t="s">
        <v>1136</v>
      </c>
      <c r="AL194" s="425">
        <v>74074</v>
      </c>
      <c r="AM194" s="405" t="s">
        <v>52</v>
      </c>
      <c r="AN194" s="405"/>
      <c r="AO194" s="405"/>
      <c r="AP194" s="405"/>
      <c r="AQ194" s="413" t="s">
        <v>37</v>
      </c>
      <c r="AR194" s="405"/>
      <c r="AS194" s="363"/>
      <c r="AT194" s="335"/>
      <c r="AU194" s="363"/>
      <c r="AV194" s="403"/>
    </row>
    <row r="195" spans="1:48" s="402" customFormat="1" ht="15" customHeight="1">
      <c r="A195" s="278"/>
      <c r="B195" s="279"/>
      <c r="C195" s="284" t="s">
        <v>1186</v>
      </c>
      <c r="D195" s="374" t="s">
        <v>2804</v>
      </c>
      <c r="E195" s="293"/>
      <c r="F195" s="432"/>
      <c r="G195" s="432">
        <v>2022</v>
      </c>
      <c r="H195" s="432"/>
      <c r="I195" s="360" t="s">
        <v>1241</v>
      </c>
      <c r="J195" s="433"/>
      <c r="K195" s="432" t="s">
        <v>3936</v>
      </c>
      <c r="L195" s="433" t="s">
        <v>1112</v>
      </c>
      <c r="M195" s="433">
        <v>44657</v>
      </c>
      <c r="N195" s="433">
        <v>44844</v>
      </c>
      <c r="O195" s="433"/>
      <c r="P195" s="433"/>
      <c r="Q195" s="432"/>
      <c r="R195" s="432"/>
      <c r="S195" s="432" t="s">
        <v>1098</v>
      </c>
      <c r="T195" s="436">
        <v>60</v>
      </c>
      <c r="U195" s="372"/>
      <c r="V195" s="432" t="s">
        <v>973</v>
      </c>
      <c r="W195" s="436">
        <v>400</v>
      </c>
      <c r="X195" s="372">
        <v>832</v>
      </c>
      <c r="Y195" s="408">
        <f t="shared" si="18"/>
        <v>332800</v>
      </c>
      <c r="Z195" s="409">
        <v>0.55000000000000004</v>
      </c>
      <c r="AA195" s="410">
        <f t="shared" si="19"/>
        <v>183040.00000000003</v>
      </c>
      <c r="AB195" s="362"/>
      <c r="AC195" s="412"/>
      <c r="AD195" s="405"/>
      <c r="AE195" s="413"/>
      <c r="AF195" s="424">
        <f t="shared" si="20"/>
        <v>183040.00000000003</v>
      </c>
      <c r="AG195" s="405" t="s">
        <v>47</v>
      </c>
      <c r="AH195" s="395"/>
      <c r="AI195" s="405">
        <v>45</v>
      </c>
      <c r="AJ195" s="405" t="s">
        <v>1135</v>
      </c>
      <c r="AK195" s="405" t="s">
        <v>1136</v>
      </c>
      <c r="AL195" s="425">
        <v>74074</v>
      </c>
      <c r="AM195" s="405" t="s">
        <v>52</v>
      </c>
      <c r="AN195" s="405"/>
      <c r="AO195" s="405"/>
      <c r="AP195" s="405"/>
      <c r="AQ195" s="413" t="s">
        <v>37</v>
      </c>
      <c r="AR195" s="405"/>
      <c r="AS195" s="363"/>
      <c r="AT195" s="335"/>
      <c r="AU195" s="363"/>
      <c r="AV195" s="403"/>
    </row>
    <row r="196" spans="1:48" s="402" customFormat="1" ht="15" customHeight="1">
      <c r="A196" s="278"/>
      <c r="B196" s="279"/>
      <c r="C196" s="284" t="s">
        <v>1186</v>
      </c>
      <c r="D196" s="374" t="s">
        <v>2804</v>
      </c>
      <c r="E196" s="293"/>
      <c r="F196" s="432"/>
      <c r="G196" s="432">
        <v>2022</v>
      </c>
      <c r="H196" s="360"/>
      <c r="I196" s="360" t="s">
        <v>1241</v>
      </c>
      <c r="J196" s="433"/>
      <c r="K196" s="432" t="s">
        <v>3937</v>
      </c>
      <c r="L196" s="433" t="s">
        <v>1112</v>
      </c>
      <c r="M196" s="433">
        <v>44657</v>
      </c>
      <c r="N196" s="433">
        <v>44841</v>
      </c>
      <c r="O196" s="433"/>
      <c r="P196" s="433"/>
      <c r="Q196" s="432"/>
      <c r="R196" s="432"/>
      <c r="S196" s="432" t="s">
        <v>1098</v>
      </c>
      <c r="T196" s="436">
        <v>60</v>
      </c>
      <c r="U196" s="372"/>
      <c r="V196" s="432" t="s">
        <v>1018</v>
      </c>
      <c r="W196" s="436">
        <v>360</v>
      </c>
      <c r="X196" s="372">
        <v>728</v>
      </c>
      <c r="Y196" s="408">
        <f t="shared" si="18"/>
        <v>262080</v>
      </c>
      <c r="Z196" s="409">
        <v>0.8</v>
      </c>
      <c r="AA196" s="410">
        <f t="shared" si="19"/>
        <v>209664</v>
      </c>
      <c r="AB196" s="411"/>
      <c r="AC196" s="412"/>
      <c r="AD196" s="421"/>
      <c r="AE196" s="413"/>
      <c r="AF196" s="424">
        <f t="shared" si="20"/>
        <v>209664</v>
      </c>
      <c r="AG196" s="405" t="s">
        <v>47</v>
      </c>
      <c r="AH196" s="405"/>
      <c r="AI196" s="405">
        <v>45</v>
      </c>
      <c r="AJ196" s="405" t="s">
        <v>1138</v>
      </c>
      <c r="AK196" s="405" t="s">
        <v>50</v>
      </c>
      <c r="AL196" s="425">
        <v>94577</v>
      </c>
      <c r="AM196" s="405" t="s">
        <v>52</v>
      </c>
      <c r="AN196" s="405"/>
      <c r="AO196" s="405"/>
      <c r="AP196" s="413"/>
      <c r="AQ196" s="413" t="s">
        <v>37</v>
      </c>
      <c r="AR196" s="405"/>
      <c r="AS196" s="403"/>
      <c r="AT196" s="281"/>
      <c r="AU196" s="386"/>
      <c r="AV196" s="403"/>
    </row>
    <row r="197" spans="1:48" s="402" customFormat="1" ht="15" customHeight="1">
      <c r="A197" s="278"/>
      <c r="B197" s="279"/>
      <c r="C197" s="284" t="s">
        <v>1186</v>
      </c>
      <c r="D197" s="374" t="s">
        <v>2804</v>
      </c>
      <c r="E197" s="293"/>
      <c r="F197" s="432"/>
      <c r="G197" s="432">
        <v>2022</v>
      </c>
      <c r="H197" s="360"/>
      <c r="I197" s="360" t="s">
        <v>1241</v>
      </c>
      <c r="J197" s="433"/>
      <c r="K197" s="432" t="s">
        <v>3937</v>
      </c>
      <c r="L197" s="433" t="s">
        <v>1112</v>
      </c>
      <c r="M197" s="433">
        <v>44657</v>
      </c>
      <c r="N197" s="433">
        <v>44841</v>
      </c>
      <c r="O197" s="433"/>
      <c r="P197" s="433"/>
      <c r="Q197" s="432"/>
      <c r="R197" s="432"/>
      <c r="S197" s="432" t="s">
        <v>1098</v>
      </c>
      <c r="T197" s="436">
        <v>60</v>
      </c>
      <c r="U197" s="372"/>
      <c r="V197" s="432" t="s">
        <v>986</v>
      </c>
      <c r="W197" s="436">
        <v>360</v>
      </c>
      <c r="X197" s="372">
        <v>768</v>
      </c>
      <c r="Y197" s="408">
        <f t="shared" si="18"/>
        <v>276480</v>
      </c>
      <c r="Z197" s="409">
        <v>0.53</v>
      </c>
      <c r="AA197" s="410">
        <f t="shared" si="19"/>
        <v>146534.39999999999</v>
      </c>
      <c r="AB197" s="411"/>
      <c r="AC197" s="412"/>
      <c r="AD197" s="421"/>
      <c r="AE197" s="413"/>
      <c r="AF197" s="424">
        <f t="shared" si="20"/>
        <v>146534.39999999999</v>
      </c>
      <c r="AG197" s="405" t="s">
        <v>47</v>
      </c>
      <c r="AH197" s="405"/>
      <c r="AI197" s="405">
        <v>45</v>
      </c>
      <c r="AJ197" s="405" t="s">
        <v>1138</v>
      </c>
      <c r="AK197" s="405" t="s">
        <v>50</v>
      </c>
      <c r="AL197" s="425">
        <v>94577</v>
      </c>
      <c r="AM197" s="405" t="s">
        <v>52</v>
      </c>
      <c r="AN197" s="405"/>
      <c r="AO197" s="405"/>
      <c r="AP197" s="413"/>
      <c r="AQ197" s="413" t="s">
        <v>37</v>
      </c>
      <c r="AR197" s="405"/>
      <c r="AS197" s="403"/>
      <c r="AT197" s="281"/>
      <c r="AU197" s="386"/>
      <c r="AV197" s="403"/>
    </row>
    <row r="198" spans="1:48" s="402" customFormat="1" ht="15" customHeight="1">
      <c r="A198" s="278"/>
      <c r="B198" s="279"/>
      <c r="C198" s="284" t="s">
        <v>1186</v>
      </c>
      <c r="D198" s="374" t="s">
        <v>2804</v>
      </c>
      <c r="E198" s="293"/>
      <c r="F198" s="432"/>
      <c r="G198" s="432">
        <v>2022</v>
      </c>
      <c r="H198" s="432"/>
      <c r="I198" s="360" t="s">
        <v>1241</v>
      </c>
      <c r="J198" s="433"/>
      <c r="K198" s="432" t="s">
        <v>3937</v>
      </c>
      <c r="L198" s="433" t="s">
        <v>1112</v>
      </c>
      <c r="M198" s="433">
        <v>44657</v>
      </c>
      <c r="N198" s="433">
        <v>44841</v>
      </c>
      <c r="O198" s="433"/>
      <c r="P198" s="433"/>
      <c r="Q198" s="432"/>
      <c r="R198" s="432"/>
      <c r="S198" s="432" t="s">
        <v>1098</v>
      </c>
      <c r="T198" s="436">
        <v>60</v>
      </c>
      <c r="U198" s="372"/>
      <c r="V198" s="432" t="s">
        <v>973</v>
      </c>
      <c r="W198" s="436">
        <v>400</v>
      </c>
      <c r="X198" s="372">
        <v>832</v>
      </c>
      <c r="Y198" s="408">
        <f t="shared" si="18"/>
        <v>332800</v>
      </c>
      <c r="Z198" s="409">
        <v>0.55000000000000004</v>
      </c>
      <c r="AA198" s="410">
        <f t="shared" si="19"/>
        <v>183040.00000000003</v>
      </c>
      <c r="AB198" s="362"/>
      <c r="AC198" s="412">
        <f>AB198*Y198</f>
        <v>0</v>
      </c>
      <c r="AD198" s="405"/>
      <c r="AE198" s="413"/>
      <c r="AF198" s="424">
        <f t="shared" si="20"/>
        <v>183040.00000000003</v>
      </c>
      <c r="AG198" s="405" t="s">
        <v>47</v>
      </c>
      <c r="AH198" s="395"/>
      <c r="AI198" s="405">
        <v>45</v>
      </c>
      <c r="AJ198" s="405" t="s">
        <v>1138</v>
      </c>
      <c r="AK198" s="405" t="s">
        <v>50</v>
      </c>
      <c r="AL198" s="425">
        <v>94577</v>
      </c>
      <c r="AM198" s="405" t="s">
        <v>52</v>
      </c>
      <c r="AN198" s="405"/>
      <c r="AO198" s="405"/>
      <c r="AP198" s="405"/>
      <c r="AQ198" s="413" t="s">
        <v>37</v>
      </c>
      <c r="AR198" s="405"/>
      <c r="AS198" s="363"/>
      <c r="AT198" s="335"/>
      <c r="AU198" s="363"/>
      <c r="AV198" s="403"/>
    </row>
    <row r="199" spans="1:48" s="402" customFormat="1" ht="15" customHeight="1">
      <c r="A199" s="278"/>
      <c r="B199" s="279"/>
      <c r="C199" s="284"/>
      <c r="D199" s="374" t="s">
        <v>2804</v>
      </c>
      <c r="E199" s="294"/>
      <c r="F199" s="432"/>
      <c r="G199" s="432">
        <v>2022</v>
      </c>
      <c r="H199" s="432"/>
      <c r="I199" s="360" t="s">
        <v>1241</v>
      </c>
      <c r="J199" s="433"/>
      <c r="K199" s="432" t="s">
        <v>3937</v>
      </c>
      <c r="L199" s="433" t="s">
        <v>1112</v>
      </c>
      <c r="M199" s="433">
        <v>44657</v>
      </c>
      <c r="N199" s="433">
        <v>44841</v>
      </c>
      <c r="O199" s="433"/>
      <c r="P199" s="433"/>
      <c r="Q199" s="432"/>
      <c r="R199" s="432"/>
      <c r="S199" s="432" t="s">
        <v>1098</v>
      </c>
      <c r="T199" s="436">
        <v>60</v>
      </c>
      <c r="U199" s="372"/>
      <c r="V199" s="432" t="s">
        <v>986</v>
      </c>
      <c r="W199" s="436">
        <v>360</v>
      </c>
      <c r="X199" s="372">
        <v>768</v>
      </c>
      <c r="Y199" s="408">
        <f t="shared" si="18"/>
        <v>276480</v>
      </c>
      <c r="Z199" s="409">
        <v>0.53</v>
      </c>
      <c r="AA199" s="410">
        <f t="shared" si="19"/>
        <v>146534.39999999999</v>
      </c>
      <c r="AB199" s="362"/>
      <c r="AC199" s="412"/>
      <c r="AD199" s="405"/>
      <c r="AE199" s="413"/>
      <c r="AF199" s="424">
        <f t="shared" si="20"/>
        <v>146534.39999999999</v>
      </c>
      <c r="AG199" s="405" t="s">
        <v>47</v>
      </c>
      <c r="AH199" s="395"/>
      <c r="AI199" s="405">
        <v>45</v>
      </c>
      <c r="AJ199" s="405" t="s">
        <v>1138</v>
      </c>
      <c r="AK199" s="405" t="s">
        <v>50</v>
      </c>
      <c r="AL199" s="425">
        <v>94577</v>
      </c>
      <c r="AM199" s="405" t="s">
        <v>52</v>
      </c>
      <c r="AN199" s="405"/>
      <c r="AO199" s="405"/>
      <c r="AP199" s="405"/>
      <c r="AQ199" s="413" t="s">
        <v>37</v>
      </c>
      <c r="AR199" s="405"/>
      <c r="AS199" s="363"/>
      <c r="AT199" s="335"/>
      <c r="AU199" s="363"/>
      <c r="AV199" s="403"/>
    </row>
    <row r="200" spans="1:48" s="402" customFormat="1" ht="15" customHeight="1">
      <c r="A200" s="278"/>
      <c r="B200" s="279"/>
      <c r="C200" s="284" t="s">
        <v>1186</v>
      </c>
      <c r="D200" s="374" t="s">
        <v>2804</v>
      </c>
      <c r="E200" s="293"/>
      <c r="F200" s="432"/>
      <c r="G200" s="432">
        <v>2022</v>
      </c>
      <c r="H200" s="360"/>
      <c r="I200" s="360" t="s">
        <v>1241</v>
      </c>
      <c r="J200" s="433"/>
      <c r="K200" s="432" t="s">
        <v>3938</v>
      </c>
      <c r="L200" s="433" t="s">
        <v>1112</v>
      </c>
      <c r="M200" s="433">
        <v>44657</v>
      </c>
      <c r="N200" s="433">
        <v>44841</v>
      </c>
      <c r="O200" s="433"/>
      <c r="P200" s="433"/>
      <c r="Q200" s="432"/>
      <c r="R200" s="432"/>
      <c r="S200" s="432" t="s">
        <v>1098</v>
      </c>
      <c r="T200" s="436">
        <v>60</v>
      </c>
      <c r="U200" s="372"/>
      <c r="V200" s="432" t="s">
        <v>973</v>
      </c>
      <c r="W200" s="436">
        <v>400</v>
      </c>
      <c r="X200" s="372">
        <v>832</v>
      </c>
      <c r="Y200" s="408">
        <f t="shared" si="18"/>
        <v>332800</v>
      </c>
      <c r="Z200" s="409">
        <v>0.55000000000000004</v>
      </c>
      <c r="AA200" s="410">
        <f t="shared" si="19"/>
        <v>183040.00000000003</v>
      </c>
      <c r="AB200" s="411"/>
      <c r="AC200" s="412"/>
      <c r="AD200" s="421"/>
      <c r="AE200" s="413"/>
      <c r="AF200" s="424">
        <f t="shared" si="20"/>
        <v>183040.00000000003</v>
      </c>
      <c r="AG200" s="405" t="s">
        <v>47</v>
      </c>
      <c r="AH200" s="405"/>
      <c r="AI200" s="405">
        <v>45</v>
      </c>
      <c r="AJ200" s="405" t="s">
        <v>1113</v>
      </c>
      <c r="AK200" s="405" t="s">
        <v>1110</v>
      </c>
      <c r="AL200" s="425">
        <v>60433</v>
      </c>
      <c r="AM200" s="405" t="s">
        <v>52</v>
      </c>
      <c r="AN200" s="405"/>
      <c r="AO200" s="405"/>
      <c r="AP200" s="413"/>
      <c r="AQ200" s="413" t="s">
        <v>37</v>
      </c>
      <c r="AR200" s="405"/>
      <c r="AS200" s="403"/>
      <c r="AT200" s="281"/>
      <c r="AU200" s="386"/>
      <c r="AV200" s="403"/>
    </row>
    <row r="201" spans="1:48" s="402" customFormat="1" ht="15" customHeight="1">
      <c r="A201" s="278"/>
      <c r="B201" s="279"/>
      <c r="C201" s="284" t="s">
        <v>1186</v>
      </c>
      <c r="D201" s="374" t="s">
        <v>2804</v>
      </c>
      <c r="E201" s="293"/>
      <c r="F201" s="432"/>
      <c r="G201" s="432">
        <v>2022</v>
      </c>
      <c r="H201" s="432"/>
      <c r="I201" s="360" t="s">
        <v>1241</v>
      </c>
      <c r="J201" s="433"/>
      <c r="K201" s="432" t="s">
        <v>3938</v>
      </c>
      <c r="L201" s="433" t="s">
        <v>1112</v>
      </c>
      <c r="M201" s="433">
        <v>44657</v>
      </c>
      <c r="N201" s="433">
        <v>44841</v>
      </c>
      <c r="O201" s="433"/>
      <c r="P201" s="433"/>
      <c r="Q201" s="432"/>
      <c r="R201" s="432"/>
      <c r="S201" s="432" t="s">
        <v>1098</v>
      </c>
      <c r="T201" s="436">
        <v>60</v>
      </c>
      <c r="U201" s="372"/>
      <c r="V201" s="432" t="s">
        <v>986</v>
      </c>
      <c r="W201" s="436">
        <v>360</v>
      </c>
      <c r="X201" s="372">
        <v>768</v>
      </c>
      <c r="Y201" s="408">
        <f t="shared" si="18"/>
        <v>276480</v>
      </c>
      <c r="Z201" s="409">
        <v>0.53</v>
      </c>
      <c r="AA201" s="410">
        <f t="shared" si="19"/>
        <v>146534.39999999999</v>
      </c>
      <c r="AB201" s="362"/>
      <c r="AC201" s="412"/>
      <c r="AD201" s="405"/>
      <c r="AE201" s="413"/>
      <c r="AF201" s="424">
        <f t="shared" si="20"/>
        <v>146534.39999999999</v>
      </c>
      <c r="AG201" s="405" t="s">
        <v>47</v>
      </c>
      <c r="AH201" s="395"/>
      <c r="AI201" s="405">
        <v>45</v>
      </c>
      <c r="AJ201" s="405" t="s">
        <v>1113</v>
      </c>
      <c r="AK201" s="405" t="s">
        <v>1110</v>
      </c>
      <c r="AL201" s="425">
        <v>60433</v>
      </c>
      <c r="AM201" s="405" t="s">
        <v>52</v>
      </c>
      <c r="AN201" s="405"/>
      <c r="AO201" s="405"/>
      <c r="AP201" s="405"/>
      <c r="AQ201" s="413" t="s">
        <v>37</v>
      </c>
      <c r="AR201" s="405"/>
      <c r="AS201" s="363"/>
      <c r="AT201" s="335"/>
      <c r="AU201" s="363"/>
      <c r="AV201" s="403"/>
    </row>
    <row r="202" spans="1:48" s="402" customFormat="1" ht="15" customHeight="1">
      <c r="A202" s="278"/>
      <c r="B202" s="279"/>
      <c r="C202" s="284" t="s">
        <v>1186</v>
      </c>
      <c r="D202" s="374" t="s">
        <v>2804</v>
      </c>
      <c r="E202" s="293"/>
      <c r="F202" s="432"/>
      <c r="G202" s="432">
        <v>2022</v>
      </c>
      <c r="H202" s="360"/>
      <c r="I202" s="360" t="s">
        <v>1241</v>
      </c>
      <c r="J202" s="433"/>
      <c r="K202" s="432" t="s">
        <v>3938</v>
      </c>
      <c r="L202" s="433" t="s">
        <v>1112</v>
      </c>
      <c r="M202" s="433">
        <v>44657</v>
      </c>
      <c r="N202" s="433">
        <v>44841</v>
      </c>
      <c r="O202" s="433"/>
      <c r="P202" s="433"/>
      <c r="Q202" s="432"/>
      <c r="R202" s="432"/>
      <c r="S202" s="432" t="s">
        <v>1098</v>
      </c>
      <c r="T202" s="436">
        <v>60</v>
      </c>
      <c r="U202" s="372"/>
      <c r="V202" s="432" t="s">
        <v>973</v>
      </c>
      <c r="W202" s="436">
        <v>400</v>
      </c>
      <c r="X202" s="372">
        <v>832</v>
      </c>
      <c r="Y202" s="408">
        <f t="shared" si="18"/>
        <v>332800</v>
      </c>
      <c r="Z202" s="409">
        <v>0.55000000000000004</v>
      </c>
      <c r="AA202" s="410">
        <f t="shared" si="19"/>
        <v>183040.00000000003</v>
      </c>
      <c r="AB202" s="411"/>
      <c r="AC202" s="412"/>
      <c r="AD202" s="421"/>
      <c r="AE202" s="413"/>
      <c r="AF202" s="424">
        <f t="shared" si="20"/>
        <v>183040.00000000003</v>
      </c>
      <c r="AG202" s="405" t="s">
        <v>47</v>
      </c>
      <c r="AH202" s="405"/>
      <c r="AI202" s="405">
        <v>45</v>
      </c>
      <c r="AJ202" s="405" t="s">
        <v>1113</v>
      </c>
      <c r="AK202" s="405" t="s">
        <v>1110</v>
      </c>
      <c r="AL202" s="425">
        <v>60433</v>
      </c>
      <c r="AM202" s="405" t="s">
        <v>52</v>
      </c>
      <c r="AN202" s="405"/>
      <c r="AO202" s="405"/>
      <c r="AP202" s="413"/>
      <c r="AQ202" s="413" t="s">
        <v>37</v>
      </c>
      <c r="AR202" s="405"/>
      <c r="AS202" s="403"/>
      <c r="AT202" s="281"/>
      <c r="AU202" s="386"/>
      <c r="AV202" s="403"/>
    </row>
    <row r="203" spans="1:48" s="402" customFormat="1" ht="15" customHeight="1">
      <c r="A203" s="278"/>
      <c r="B203" s="279"/>
      <c r="C203" s="284" t="s">
        <v>1186</v>
      </c>
      <c r="D203" s="374" t="s">
        <v>2804</v>
      </c>
      <c r="E203" s="293"/>
      <c r="F203" s="432"/>
      <c r="G203" s="432">
        <v>2022</v>
      </c>
      <c r="H203" s="432"/>
      <c r="I203" s="360" t="s">
        <v>1241</v>
      </c>
      <c r="J203" s="433"/>
      <c r="K203" s="432" t="s">
        <v>3938</v>
      </c>
      <c r="L203" s="433" t="s">
        <v>1112</v>
      </c>
      <c r="M203" s="433">
        <v>44657</v>
      </c>
      <c r="N203" s="433">
        <v>44841</v>
      </c>
      <c r="O203" s="433"/>
      <c r="P203" s="433"/>
      <c r="Q203" s="432"/>
      <c r="R203" s="432"/>
      <c r="S203" s="432" t="s">
        <v>1098</v>
      </c>
      <c r="T203" s="436">
        <v>60</v>
      </c>
      <c r="U203" s="372"/>
      <c r="V203" s="432" t="s">
        <v>986</v>
      </c>
      <c r="W203" s="436">
        <v>360</v>
      </c>
      <c r="X203" s="372">
        <v>768</v>
      </c>
      <c r="Y203" s="408">
        <f t="shared" si="18"/>
        <v>276480</v>
      </c>
      <c r="Z203" s="409">
        <v>0.53</v>
      </c>
      <c r="AA203" s="410">
        <f t="shared" si="19"/>
        <v>146534.39999999999</v>
      </c>
      <c r="AB203" s="362"/>
      <c r="AC203" s="412"/>
      <c r="AD203" s="405"/>
      <c r="AE203" s="413"/>
      <c r="AF203" s="424">
        <f t="shared" si="20"/>
        <v>146534.39999999999</v>
      </c>
      <c r="AG203" s="405" t="s">
        <v>47</v>
      </c>
      <c r="AH203" s="395"/>
      <c r="AI203" s="405">
        <v>45</v>
      </c>
      <c r="AJ203" s="405" t="s">
        <v>1113</v>
      </c>
      <c r="AK203" s="405" t="s">
        <v>1110</v>
      </c>
      <c r="AL203" s="425">
        <v>60433</v>
      </c>
      <c r="AM203" s="405" t="s">
        <v>52</v>
      </c>
      <c r="AN203" s="405"/>
      <c r="AO203" s="405"/>
      <c r="AP203" s="405"/>
      <c r="AQ203" s="413" t="s">
        <v>37</v>
      </c>
      <c r="AR203" s="405"/>
      <c r="AS203" s="363"/>
      <c r="AT203" s="335"/>
      <c r="AU203" s="363"/>
      <c r="AV203" s="403"/>
    </row>
    <row r="204" spans="1:48" s="402" customFormat="1" ht="15" customHeight="1">
      <c r="A204" s="278"/>
      <c r="B204" s="279"/>
      <c r="C204" s="284" t="s">
        <v>1186</v>
      </c>
      <c r="D204" s="374" t="s">
        <v>2804</v>
      </c>
      <c r="E204" s="293"/>
      <c r="F204" s="432"/>
      <c r="G204" s="432">
        <v>2022</v>
      </c>
      <c r="H204" s="432"/>
      <c r="I204" s="360" t="s">
        <v>1241</v>
      </c>
      <c r="J204" s="433"/>
      <c r="K204" s="432" t="s">
        <v>3938</v>
      </c>
      <c r="L204" s="433" t="s">
        <v>1112</v>
      </c>
      <c r="M204" s="433">
        <v>44657</v>
      </c>
      <c r="N204" s="433">
        <v>44841</v>
      </c>
      <c r="O204" s="433"/>
      <c r="P204" s="433"/>
      <c r="Q204" s="432"/>
      <c r="R204" s="432"/>
      <c r="S204" s="432" t="s">
        <v>1098</v>
      </c>
      <c r="T204" s="436">
        <v>60</v>
      </c>
      <c r="U204" s="372"/>
      <c r="V204" s="432" t="s">
        <v>973</v>
      </c>
      <c r="W204" s="436">
        <v>400</v>
      </c>
      <c r="X204" s="372">
        <v>832</v>
      </c>
      <c r="Y204" s="408">
        <f t="shared" si="18"/>
        <v>332800</v>
      </c>
      <c r="Z204" s="409">
        <v>0.55000000000000004</v>
      </c>
      <c r="AA204" s="410">
        <f t="shared" si="19"/>
        <v>183040.00000000003</v>
      </c>
      <c r="AB204" s="362"/>
      <c r="AC204" s="412"/>
      <c r="AD204" s="405"/>
      <c r="AE204" s="413"/>
      <c r="AF204" s="424">
        <f t="shared" si="20"/>
        <v>183040.00000000003</v>
      </c>
      <c r="AG204" s="405" t="s">
        <v>47</v>
      </c>
      <c r="AH204" s="395"/>
      <c r="AI204" s="405">
        <v>45</v>
      </c>
      <c r="AJ204" s="405" t="s">
        <v>1113</v>
      </c>
      <c r="AK204" s="405" t="s">
        <v>1110</v>
      </c>
      <c r="AL204" s="425">
        <v>60433</v>
      </c>
      <c r="AM204" s="405" t="s">
        <v>52</v>
      </c>
      <c r="AN204" s="405"/>
      <c r="AO204" s="405"/>
      <c r="AP204" s="405"/>
      <c r="AQ204" s="413" t="s">
        <v>37</v>
      </c>
      <c r="AR204" s="405"/>
      <c r="AS204" s="363"/>
      <c r="AT204" s="335"/>
      <c r="AU204" s="363"/>
      <c r="AV204" s="403"/>
    </row>
    <row r="205" spans="1:48" s="402" customFormat="1" ht="15" customHeight="1">
      <c r="A205" s="278"/>
      <c r="B205" s="279"/>
      <c r="C205" s="284" t="s">
        <v>1186</v>
      </c>
      <c r="D205" s="374" t="s">
        <v>2804</v>
      </c>
      <c r="E205" s="293"/>
      <c r="F205" s="432"/>
      <c r="G205" s="432">
        <v>2022</v>
      </c>
      <c r="H205" s="432"/>
      <c r="I205" s="360" t="s">
        <v>1241</v>
      </c>
      <c r="J205" s="433"/>
      <c r="K205" s="432" t="s">
        <v>3939</v>
      </c>
      <c r="L205" s="433" t="s">
        <v>1112</v>
      </c>
      <c r="M205" s="433">
        <v>44645</v>
      </c>
      <c r="N205" s="433">
        <v>44755</v>
      </c>
      <c r="O205" s="433"/>
      <c r="P205" s="433"/>
      <c r="Q205" s="432"/>
      <c r="R205" s="432"/>
      <c r="S205" s="432" t="s">
        <v>1098</v>
      </c>
      <c r="T205" s="436">
        <v>60</v>
      </c>
      <c r="U205" s="372"/>
      <c r="V205" s="432" t="s">
        <v>986</v>
      </c>
      <c r="W205" s="436">
        <v>360</v>
      </c>
      <c r="X205" s="372">
        <v>768</v>
      </c>
      <c r="Y205" s="408">
        <f t="shared" si="18"/>
        <v>276480</v>
      </c>
      <c r="Z205" s="409">
        <v>0.53</v>
      </c>
      <c r="AA205" s="410">
        <f t="shared" si="19"/>
        <v>146534.39999999999</v>
      </c>
      <c r="AB205" s="362"/>
      <c r="AC205" s="412"/>
      <c r="AD205" s="405"/>
      <c r="AE205" s="413"/>
      <c r="AF205" s="424">
        <f t="shared" si="20"/>
        <v>146534.39999999999</v>
      </c>
      <c r="AG205" s="405" t="s">
        <v>47</v>
      </c>
      <c r="AH205" s="395"/>
      <c r="AI205" s="405">
        <v>45</v>
      </c>
      <c r="AJ205" s="405" t="s">
        <v>1337</v>
      </c>
      <c r="AK205" s="405" t="s">
        <v>50</v>
      </c>
      <c r="AL205" s="425">
        <v>91708</v>
      </c>
      <c r="AM205" s="405" t="s">
        <v>52</v>
      </c>
      <c r="AN205" s="405"/>
      <c r="AO205" s="405"/>
      <c r="AP205" s="405"/>
      <c r="AQ205" s="413" t="s">
        <v>37</v>
      </c>
      <c r="AR205" s="405"/>
      <c r="AS205" s="363"/>
      <c r="AT205" s="335"/>
      <c r="AU205" s="363"/>
      <c r="AV205" s="403"/>
    </row>
    <row r="206" spans="1:48" s="402" customFormat="1" ht="15" customHeight="1">
      <c r="A206" s="278"/>
      <c r="B206" s="279"/>
      <c r="C206" s="284" t="s">
        <v>1186</v>
      </c>
      <c r="D206" s="374" t="s">
        <v>2804</v>
      </c>
      <c r="E206" s="293"/>
      <c r="F206" s="432"/>
      <c r="G206" s="432">
        <v>2022</v>
      </c>
      <c r="H206" s="432"/>
      <c r="I206" s="360" t="s">
        <v>1241</v>
      </c>
      <c r="J206" s="433"/>
      <c r="K206" s="432" t="s">
        <v>3939</v>
      </c>
      <c r="L206" s="433" t="s">
        <v>1112</v>
      </c>
      <c r="M206" s="433">
        <v>44645</v>
      </c>
      <c r="N206" s="433">
        <v>44790</v>
      </c>
      <c r="O206" s="433"/>
      <c r="P206" s="433"/>
      <c r="Q206" s="432"/>
      <c r="R206" s="432"/>
      <c r="S206" s="432" t="s">
        <v>1098</v>
      </c>
      <c r="T206" s="436">
        <v>60</v>
      </c>
      <c r="U206" s="372"/>
      <c r="V206" s="432" t="s">
        <v>973</v>
      </c>
      <c r="W206" s="436">
        <v>400</v>
      </c>
      <c r="X206" s="372">
        <v>832</v>
      </c>
      <c r="Y206" s="408">
        <f t="shared" si="18"/>
        <v>332800</v>
      </c>
      <c r="Z206" s="409">
        <v>0.55000000000000004</v>
      </c>
      <c r="AA206" s="410">
        <f t="shared" si="19"/>
        <v>183040.00000000003</v>
      </c>
      <c r="AB206" s="362"/>
      <c r="AC206" s="412"/>
      <c r="AD206" s="405"/>
      <c r="AE206" s="413"/>
      <c r="AF206" s="424">
        <f t="shared" si="20"/>
        <v>183040.00000000003</v>
      </c>
      <c r="AG206" s="405" t="s">
        <v>47</v>
      </c>
      <c r="AH206" s="395"/>
      <c r="AI206" s="405">
        <v>45</v>
      </c>
      <c r="AJ206" s="405" t="s">
        <v>1337</v>
      </c>
      <c r="AK206" s="405" t="s">
        <v>50</v>
      </c>
      <c r="AL206" s="425">
        <v>91708</v>
      </c>
      <c r="AM206" s="405" t="s">
        <v>52</v>
      </c>
      <c r="AN206" s="405"/>
      <c r="AO206" s="405"/>
      <c r="AP206" s="405"/>
      <c r="AQ206" s="413" t="s">
        <v>37</v>
      </c>
      <c r="AR206" s="405"/>
      <c r="AS206" s="363"/>
      <c r="AT206" s="335"/>
      <c r="AU206" s="363"/>
      <c r="AV206" s="403"/>
    </row>
    <row r="207" spans="1:48" s="402" customFormat="1" ht="15" customHeight="1">
      <c r="A207" s="278"/>
      <c r="B207" s="279"/>
      <c r="C207" s="284" t="s">
        <v>1186</v>
      </c>
      <c r="D207" s="374" t="s">
        <v>2804</v>
      </c>
      <c r="E207" s="293"/>
      <c r="F207" s="432"/>
      <c r="G207" s="432">
        <v>2022</v>
      </c>
      <c r="H207" s="432"/>
      <c r="I207" s="360" t="s">
        <v>1241</v>
      </c>
      <c r="J207" s="433"/>
      <c r="K207" s="432" t="s">
        <v>3939</v>
      </c>
      <c r="L207" s="433" t="s">
        <v>1112</v>
      </c>
      <c r="M207" s="433">
        <v>44645</v>
      </c>
      <c r="N207" s="433">
        <v>44818</v>
      </c>
      <c r="O207" s="433"/>
      <c r="P207" s="433"/>
      <c r="Q207" s="432"/>
      <c r="R207" s="432"/>
      <c r="S207" s="432" t="s">
        <v>1098</v>
      </c>
      <c r="T207" s="436">
        <v>60</v>
      </c>
      <c r="U207" s="372"/>
      <c r="V207" s="432" t="s">
        <v>973</v>
      </c>
      <c r="W207" s="436">
        <v>400</v>
      </c>
      <c r="X207" s="372">
        <v>832</v>
      </c>
      <c r="Y207" s="408">
        <f t="shared" si="18"/>
        <v>332800</v>
      </c>
      <c r="Z207" s="409">
        <v>0.55000000000000004</v>
      </c>
      <c r="AA207" s="410">
        <f t="shared" si="19"/>
        <v>183040.00000000003</v>
      </c>
      <c r="AB207" s="362"/>
      <c r="AC207" s="412"/>
      <c r="AD207" s="405"/>
      <c r="AE207" s="413"/>
      <c r="AF207" s="424">
        <f t="shared" si="20"/>
        <v>183040.00000000003</v>
      </c>
      <c r="AG207" s="405" t="s">
        <v>47</v>
      </c>
      <c r="AH207" s="395"/>
      <c r="AI207" s="405">
        <v>45</v>
      </c>
      <c r="AJ207" s="405" t="s">
        <v>1337</v>
      </c>
      <c r="AK207" s="405" t="s">
        <v>50</v>
      </c>
      <c r="AL207" s="425">
        <v>91708</v>
      </c>
      <c r="AM207" s="405" t="s">
        <v>52</v>
      </c>
      <c r="AN207" s="405"/>
      <c r="AO207" s="405"/>
      <c r="AP207" s="405"/>
      <c r="AQ207" s="413" t="s">
        <v>37</v>
      </c>
      <c r="AR207" s="405"/>
      <c r="AS207" s="363"/>
      <c r="AT207" s="335"/>
      <c r="AU207" s="363"/>
      <c r="AV207" s="403"/>
    </row>
    <row r="208" spans="1:48" s="402" customFormat="1" ht="15" customHeight="1">
      <c r="A208" s="278"/>
      <c r="B208" s="279"/>
      <c r="C208" s="284" t="s">
        <v>1186</v>
      </c>
      <c r="D208" s="374" t="s">
        <v>2804</v>
      </c>
      <c r="E208" s="293"/>
      <c r="F208" s="432"/>
      <c r="G208" s="432">
        <v>2022</v>
      </c>
      <c r="H208" s="432"/>
      <c r="I208" s="360" t="s">
        <v>1241</v>
      </c>
      <c r="J208" s="433"/>
      <c r="K208" s="432" t="s">
        <v>3940</v>
      </c>
      <c r="L208" s="433" t="s">
        <v>1112</v>
      </c>
      <c r="M208" s="433">
        <v>44645</v>
      </c>
      <c r="N208" s="433">
        <v>44755</v>
      </c>
      <c r="O208" s="433"/>
      <c r="P208" s="433"/>
      <c r="Q208" s="432"/>
      <c r="R208" s="432"/>
      <c r="S208" s="432" t="s">
        <v>1098</v>
      </c>
      <c r="T208" s="436">
        <v>60</v>
      </c>
      <c r="U208" s="372"/>
      <c r="V208" s="432" t="s">
        <v>986</v>
      </c>
      <c r="W208" s="436">
        <v>360</v>
      </c>
      <c r="X208" s="372">
        <v>768</v>
      </c>
      <c r="Y208" s="408">
        <f t="shared" si="18"/>
        <v>276480</v>
      </c>
      <c r="Z208" s="409">
        <v>0.53</v>
      </c>
      <c r="AA208" s="410">
        <f t="shared" si="19"/>
        <v>146534.39999999999</v>
      </c>
      <c r="AB208" s="362"/>
      <c r="AC208" s="412"/>
      <c r="AD208" s="405"/>
      <c r="AE208" s="413"/>
      <c r="AF208" s="424">
        <f t="shared" si="20"/>
        <v>146534.39999999999</v>
      </c>
      <c r="AG208" s="405" t="s">
        <v>47</v>
      </c>
      <c r="AH208" s="395"/>
      <c r="AI208" s="405">
        <v>45</v>
      </c>
      <c r="AJ208" s="405" t="s">
        <v>2486</v>
      </c>
      <c r="AK208" s="405" t="s">
        <v>1136</v>
      </c>
      <c r="AL208" s="425">
        <v>76014</v>
      </c>
      <c r="AM208" s="405" t="s">
        <v>52</v>
      </c>
      <c r="AN208" s="405"/>
      <c r="AO208" s="405"/>
      <c r="AP208" s="405"/>
      <c r="AQ208" s="413" t="s">
        <v>37</v>
      </c>
      <c r="AR208" s="405"/>
      <c r="AS208" s="363"/>
      <c r="AT208" s="335"/>
      <c r="AU208" s="363"/>
      <c r="AV208" s="403"/>
    </row>
    <row r="209" spans="1:48" s="402" customFormat="1" ht="15" customHeight="1">
      <c r="A209" s="278"/>
      <c r="B209" s="279"/>
      <c r="C209" s="284" t="s">
        <v>1186</v>
      </c>
      <c r="D209" s="374" t="s">
        <v>2804</v>
      </c>
      <c r="E209" s="293"/>
      <c r="F209" s="432"/>
      <c r="G209" s="432">
        <v>2022</v>
      </c>
      <c r="H209" s="432"/>
      <c r="I209" s="360" t="s">
        <v>1241</v>
      </c>
      <c r="J209" s="433"/>
      <c r="K209" s="432" t="s">
        <v>3940</v>
      </c>
      <c r="L209" s="433" t="s">
        <v>1112</v>
      </c>
      <c r="M209" s="433">
        <v>44645</v>
      </c>
      <c r="N209" s="433">
        <v>44764</v>
      </c>
      <c r="O209" s="433"/>
      <c r="P209" s="433"/>
      <c r="Q209" s="432"/>
      <c r="R209" s="432"/>
      <c r="S209" s="432" t="s">
        <v>1098</v>
      </c>
      <c r="T209" s="436">
        <v>60</v>
      </c>
      <c r="U209" s="372"/>
      <c r="V209" s="432" t="s">
        <v>973</v>
      </c>
      <c r="W209" s="436">
        <v>400</v>
      </c>
      <c r="X209" s="372">
        <v>832</v>
      </c>
      <c r="Y209" s="408">
        <f t="shared" si="18"/>
        <v>332800</v>
      </c>
      <c r="Z209" s="409">
        <v>0.55000000000000004</v>
      </c>
      <c r="AA209" s="410">
        <f t="shared" si="19"/>
        <v>183040.00000000003</v>
      </c>
      <c r="AB209" s="362"/>
      <c r="AC209" s="412"/>
      <c r="AD209" s="405"/>
      <c r="AE209" s="413"/>
      <c r="AF209" s="424">
        <f t="shared" si="20"/>
        <v>183040.00000000003</v>
      </c>
      <c r="AG209" s="405" t="s">
        <v>47</v>
      </c>
      <c r="AH209" s="395"/>
      <c r="AI209" s="405">
        <v>45</v>
      </c>
      <c r="AJ209" s="405" t="s">
        <v>2486</v>
      </c>
      <c r="AK209" s="405" t="s">
        <v>1136</v>
      </c>
      <c r="AL209" s="425">
        <v>76014</v>
      </c>
      <c r="AM209" s="405" t="s">
        <v>52</v>
      </c>
      <c r="AN209" s="405"/>
      <c r="AO209" s="405"/>
      <c r="AP209" s="405"/>
      <c r="AQ209" s="413" t="s">
        <v>37</v>
      </c>
      <c r="AR209" s="405"/>
      <c r="AS209" s="363"/>
      <c r="AT209" s="335"/>
      <c r="AU209" s="363"/>
      <c r="AV209" s="403"/>
    </row>
    <row r="210" spans="1:48" s="402" customFormat="1" ht="15" customHeight="1">
      <c r="A210" s="278"/>
      <c r="B210" s="279"/>
      <c r="C210" s="284" t="s">
        <v>1186</v>
      </c>
      <c r="D210" s="374" t="s">
        <v>2804</v>
      </c>
      <c r="E210" s="293"/>
      <c r="F210" s="432"/>
      <c r="G210" s="432">
        <v>2022</v>
      </c>
      <c r="H210" s="432"/>
      <c r="I210" s="360" t="s">
        <v>1241</v>
      </c>
      <c r="J210" s="433"/>
      <c r="K210" s="432" t="s">
        <v>3940</v>
      </c>
      <c r="L210" s="433" t="s">
        <v>1112</v>
      </c>
      <c r="M210" s="433">
        <v>44645</v>
      </c>
      <c r="N210" s="433">
        <v>44818</v>
      </c>
      <c r="O210" s="433"/>
      <c r="P210" s="433"/>
      <c r="Q210" s="432"/>
      <c r="R210" s="432"/>
      <c r="S210" s="432" t="s">
        <v>1098</v>
      </c>
      <c r="T210" s="436">
        <v>60</v>
      </c>
      <c r="U210" s="372"/>
      <c r="V210" s="432" t="s">
        <v>986</v>
      </c>
      <c r="W210" s="436">
        <v>360</v>
      </c>
      <c r="X210" s="372">
        <v>768</v>
      </c>
      <c r="Y210" s="408">
        <f t="shared" si="18"/>
        <v>276480</v>
      </c>
      <c r="Z210" s="409">
        <v>0.53</v>
      </c>
      <c r="AA210" s="410">
        <f t="shared" si="19"/>
        <v>146534.39999999999</v>
      </c>
      <c r="AB210" s="362"/>
      <c r="AC210" s="412"/>
      <c r="AD210" s="405"/>
      <c r="AE210" s="413"/>
      <c r="AF210" s="424">
        <f t="shared" si="20"/>
        <v>146534.39999999999</v>
      </c>
      <c r="AG210" s="405" t="s">
        <v>47</v>
      </c>
      <c r="AH210" s="395"/>
      <c r="AI210" s="405">
        <v>45</v>
      </c>
      <c r="AJ210" s="405" t="s">
        <v>2486</v>
      </c>
      <c r="AK210" s="405" t="s">
        <v>1136</v>
      </c>
      <c r="AL210" s="425">
        <v>76014</v>
      </c>
      <c r="AM210" s="405" t="s">
        <v>52</v>
      </c>
      <c r="AN210" s="405"/>
      <c r="AO210" s="405"/>
      <c r="AP210" s="405"/>
      <c r="AQ210" s="413" t="s">
        <v>37</v>
      </c>
      <c r="AR210" s="405"/>
      <c r="AS210" s="363"/>
      <c r="AT210" s="335"/>
      <c r="AU210" s="363"/>
      <c r="AV210" s="403"/>
    </row>
    <row r="211" spans="1:48" s="402" customFormat="1" ht="15" customHeight="1">
      <c r="A211" s="278"/>
      <c r="B211" s="279"/>
      <c r="C211" s="284" t="s">
        <v>1186</v>
      </c>
      <c r="D211" s="374" t="s">
        <v>2804</v>
      </c>
      <c r="E211" s="293"/>
      <c r="F211" s="432"/>
      <c r="G211" s="432">
        <v>2022</v>
      </c>
      <c r="H211" s="432"/>
      <c r="I211" s="360" t="s">
        <v>1241</v>
      </c>
      <c r="J211" s="433"/>
      <c r="K211" s="432" t="s">
        <v>3941</v>
      </c>
      <c r="L211" s="433" t="s">
        <v>1112</v>
      </c>
      <c r="M211" s="433">
        <v>44645</v>
      </c>
      <c r="N211" s="433">
        <v>44755</v>
      </c>
      <c r="O211" s="433"/>
      <c r="P211" s="433"/>
      <c r="Q211" s="432"/>
      <c r="R211" s="432"/>
      <c r="S211" s="432" t="s">
        <v>1098</v>
      </c>
      <c r="T211" s="436">
        <v>60</v>
      </c>
      <c r="U211" s="372"/>
      <c r="V211" s="432" t="s">
        <v>973</v>
      </c>
      <c r="W211" s="436">
        <v>400</v>
      </c>
      <c r="X211" s="372">
        <v>832</v>
      </c>
      <c r="Y211" s="408">
        <f t="shared" si="18"/>
        <v>332800</v>
      </c>
      <c r="Z211" s="409">
        <v>0.55000000000000004</v>
      </c>
      <c r="AA211" s="410">
        <f t="shared" si="19"/>
        <v>183040.00000000003</v>
      </c>
      <c r="AB211" s="362"/>
      <c r="AC211" s="412"/>
      <c r="AD211" s="405"/>
      <c r="AE211" s="413"/>
      <c r="AF211" s="424">
        <f t="shared" si="20"/>
        <v>183040.00000000003</v>
      </c>
      <c r="AG211" s="405" t="s">
        <v>47</v>
      </c>
      <c r="AH211" s="395"/>
      <c r="AI211" s="405">
        <v>45</v>
      </c>
      <c r="AJ211" s="405" t="s">
        <v>1881</v>
      </c>
      <c r="AK211" s="405" t="s">
        <v>1081</v>
      </c>
      <c r="AL211" s="425">
        <v>32822</v>
      </c>
      <c r="AM211" s="405" t="s">
        <v>52</v>
      </c>
      <c r="AN211" s="405"/>
      <c r="AO211" s="405"/>
      <c r="AP211" s="405"/>
      <c r="AQ211" s="413" t="s">
        <v>37</v>
      </c>
      <c r="AR211" s="405"/>
      <c r="AS211" s="363"/>
      <c r="AT211" s="335"/>
      <c r="AU211" s="363"/>
      <c r="AV211" s="403"/>
    </row>
    <row r="212" spans="1:48" s="402" customFormat="1" ht="15" customHeight="1">
      <c r="A212" s="278"/>
      <c r="B212" s="279"/>
      <c r="C212" s="284" t="s">
        <v>1186</v>
      </c>
      <c r="D212" s="374" t="s">
        <v>2804</v>
      </c>
      <c r="E212" s="293"/>
      <c r="F212" s="432"/>
      <c r="G212" s="432">
        <v>2022</v>
      </c>
      <c r="H212" s="432"/>
      <c r="I212" s="360" t="s">
        <v>1241</v>
      </c>
      <c r="J212" s="433"/>
      <c r="K212" s="432" t="s">
        <v>3941</v>
      </c>
      <c r="L212" s="433" t="s">
        <v>1112</v>
      </c>
      <c r="M212" s="433">
        <v>44645</v>
      </c>
      <c r="N212" s="433">
        <v>44785</v>
      </c>
      <c r="O212" s="433"/>
      <c r="P212" s="433"/>
      <c r="Q212" s="432"/>
      <c r="R212" s="432"/>
      <c r="S212" s="432" t="s">
        <v>1098</v>
      </c>
      <c r="T212" s="436">
        <v>60</v>
      </c>
      <c r="U212" s="372"/>
      <c r="V212" s="432" t="s">
        <v>986</v>
      </c>
      <c r="W212" s="436">
        <v>360</v>
      </c>
      <c r="X212" s="372">
        <v>768</v>
      </c>
      <c r="Y212" s="408">
        <f t="shared" si="18"/>
        <v>276480</v>
      </c>
      <c r="Z212" s="409">
        <v>0.53</v>
      </c>
      <c r="AA212" s="410">
        <f t="shared" si="19"/>
        <v>146534.39999999999</v>
      </c>
      <c r="AB212" s="362"/>
      <c r="AC212" s="412"/>
      <c r="AD212" s="405"/>
      <c r="AE212" s="413"/>
      <c r="AF212" s="424">
        <f t="shared" si="20"/>
        <v>146534.39999999999</v>
      </c>
      <c r="AG212" s="405" t="s">
        <v>47</v>
      </c>
      <c r="AH212" s="395"/>
      <c r="AI212" s="405">
        <v>45</v>
      </c>
      <c r="AJ212" s="405" t="s">
        <v>1881</v>
      </c>
      <c r="AK212" s="405" t="s">
        <v>1081</v>
      </c>
      <c r="AL212" s="425">
        <v>32822</v>
      </c>
      <c r="AM212" s="405" t="s">
        <v>52</v>
      </c>
      <c r="AN212" s="405"/>
      <c r="AO212" s="405"/>
      <c r="AP212" s="405"/>
      <c r="AQ212" s="413" t="s">
        <v>37</v>
      </c>
      <c r="AR212" s="405"/>
      <c r="AS212" s="363"/>
      <c r="AT212" s="335"/>
      <c r="AU212" s="363"/>
      <c r="AV212" s="403"/>
    </row>
    <row r="213" spans="1:48" s="402" customFormat="1" ht="15" customHeight="1">
      <c r="A213" s="278"/>
      <c r="B213" s="279"/>
      <c r="C213" s="284" t="s">
        <v>1186</v>
      </c>
      <c r="D213" s="374" t="s">
        <v>2804</v>
      </c>
      <c r="E213" s="293"/>
      <c r="F213" s="432"/>
      <c r="G213" s="432">
        <v>2022</v>
      </c>
      <c r="H213" s="432"/>
      <c r="I213" s="360" t="s">
        <v>1241</v>
      </c>
      <c r="J213" s="433"/>
      <c r="K213" s="432" t="s">
        <v>3941</v>
      </c>
      <c r="L213" s="433" t="s">
        <v>1112</v>
      </c>
      <c r="M213" s="433">
        <v>44645</v>
      </c>
      <c r="N213" s="433">
        <v>44823</v>
      </c>
      <c r="O213" s="433"/>
      <c r="P213" s="433"/>
      <c r="Q213" s="432"/>
      <c r="R213" s="432"/>
      <c r="S213" s="432" t="s">
        <v>1098</v>
      </c>
      <c r="T213" s="436">
        <v>60</v>
      </c>
      <c r="U213" s="372"/>
      <c r="V213" s="432" t="s">
        <v>973</v>
      </c>
      <c r="W213" s="436">
        <v>400</v>
      </c>
      <c r="X213" s="372">
        <v>832</v>
      </c>
      <c r="Y213" s="408">
        <f t="shared" si="18"/>
        <v>332800</v>
      </c>
      <c r="Z213" s="409">
        <v>0.55000000000000004</v>
      </c>
      <c r="AA213" s="410">
        <f t="shared" si="19"/>
        <v>183040.00000000003</v>
      </c>
      <c r="AB213" s="362"/>
      <c r="AC213" s="412"/>
      <c r="AD213" s="405"/>
      <c r="AE213" s="413"/>
      <c r="AF213" s="424">
        <f t="shared" si="20"/>
        <v>183040.00000000003</v>
      </c>
      <c r="AG213" s="405" t="s">
        <v>47</v>
      </c>
      <c r="AH213" s="395"/>
      <c r="AI213" s="405">
        <v>45</v>
      </c>
      <c r="AJ213" s="405" t="s">
        <v>1881</v>
      </c>
      <c r="AK213" s="405" t="s">
        <v>1081</v>
      </c>
      <c r="AL213" s="425">
        <v>32822</v>
      </c>
      <c r="AM213" s="405" t="s">
        <v>52</v>
      </c>
      <c r="AN213" s="405"/>
      <c r="AO213" s="405"/>
      <c r="AP213" s="405"/>
      <c r="AQ213" s="413" t="s">
        <v>37</v>
      </c>
      <c r="AR213" s="405"/>
      <c r="AS213" s="363"/>
      <c r="AT213" s="335"/>
      <c r="AU213" s="363"/>
      <c r="AV213" s="403"/>
    </row>
    <row r="214" spans="1:48" s="402" customFormat="1" ht="15" customHeight="1">
      <c r="A214" s="278"/>
      <c r="B214" s="279"/>
      <c r="C214" s="284" t="s">
        <v>1186</v>
      </c>
      <c r="D214" s="374" t="s">
        <v>2804</v>
      </c>
      <c r="E214" s="293"/>
      <c r="F214" s="432"/>
      <c r="G214" s="432">
        <v>2022</v>
      </c>
      <c r="H214" s="432"/>
      <c r="I214" s="360" t="s">
        <v>1241</v>
      </c>
      <c r="J214" s="433"/>
      <c r="K214" s="432" t="s">
        <v>3942</v>
      </c>
      <c r="L214" s="433" t="s">
        <v>1112</v>
      </c>
      <c r="M214" s="433">
        <v>44645</v>
      </c>
      <c r="N214" s="433">
        <v>44755</v>
      </c>
      <c r="O214" s="433"/>
      <c r="P214" s="433"/>
      <c r="Q214" s="432"/>
      <c r="R214" s="432"/>
      <c r="S214" s="432" t="s">
        <v>1098</v>
      </c>
      <c r="T214" s="436">
        <v>60</v>
      </c>
      <c r="U214" s="372"/>
      <c r="V214" s="432" t="s">
        <v>973</v>
      </c>
      <c r="W214" s="436">
        <v>400</v>
      </c>
      <c r="X214" s="372">
        <v>832</v>
      </c>
      <c r="Y214" s="408">
        <f t="shared" si="18"/>
        <v>332800</v>
      </c>
      <c r="Z214" s="409">
        <v>0.55000000000000004</v>
      </c>
      <c r="AA214" s="410">
        <f t="shared" si="19"/>
        <v>183040.00000000003</v>
      </c>
      <c r="AB214" s="362"/>
      <c r="AC214" s="412"/>
      <c r="AD214" s="405"/>
      <c r="AE214" s="413"/>
      <c r="AF214" s="424">
        <f t="shared" si="20"/>
        <v>183040.00000000003</v>
      </c>
      <c r="AG214" s="405" t="s">
        <v>47</v>
      </c>
      <c r="AH214" s="395"/>
      <c r="AI214" s="405">
        <v>45</v>
      </c>
      <c r="AJ214" s="405" t="s">
        <v>2629</v>
      </c>
      <c r="AK214" s="405" t="s">
        <v>1328</v>
      </c>
      <c r="AL214" s="425">
        <v>89521</v>
      </c>
      <c r="AM214" s="405" t="s">
        <v>52</v>
      </c>
      <c r="AN214" s="405"/>
      <c r="AO214" s="405"/>
      <c r="AP214" s="405"/>
      <c r="AQ214" s="413" t="s">
        <v>37</v>
      </c>
      <c r="AR214" s="405"/>
      <c r="AS214" s="363"/>
      <c r="AT214" s="335"/>
      <c r="AU214" s="363"/>
      <c r="AV214" s="403"/>
    </row>
    <row r="215" spans="1:48" s="402" customFormat="1" ht="15" customHeight="1">
      <c r="A215" s="278"/>
      <c r="B215" s="279"/>
      <c r="C215" s="284" t="s">
        <v>1186</v>
      </c>
      <c r="D215" s="374" t="s">
        <v>2804</v>
      </c>
      <c r="E215" s="293"/>
      <c r="F215" s="432"/>
      <c r="G215" s="432">
        <v>2022</v>
      </c>
      <c r="H215" s="432"/>
      <c r="I215" s="360" t="s">
        <v>1241</v>
      </c>
      <c r="J215" s="433"/>
      <c r="K215" s="432" t="s">
        <v>3942</v>
      </c>
      <c r="L215" s="433" t="s">
        <v>1112</v>
      </c>
      <c r="M215" s="433">
        <v>44645</v>
      </c>
      <c r="N215" s="433">
        <v>44785</v>
      </c>
      <c r="O215" s="433"/>
      <c r="P215" s="433"/>
      <c r="Q215" s="432"/>
      <c r="R215" s="432"/>
      <c r="S215" s="432" t="s">
        <v>1098</v>
      </c>
      <c r="T215" s="436">
        <v>60</v>
      </c>
      <c r="U215" s="372"/>
      <c r="V215" s="432" t="s">
        <v>986</v>
      </c>
      <c r="W215" s="436">
        <v>360</v>
      </c>
      <c r="X215" s="372">
        <v>768</v>
      </c>
      <c r="Y215" s="408">
        <f t="shared" si="18"/>
        <v>276480</v>
      </c>
      <c r="Z215" s="409">
        <v>0.53</v>
      </c>
      <c r="AA215" s="410">
        <f t="shared" si="19"/>
        <v>146534.39999999999</v>
      </c>
      <c r="AB215" s="362"/>
      <c r="AC215" s="412"/>
      <c r="AD215" s="405"/>
      <c r="AE215" s="413"/>
      <c r="AF215" s="424">
        <f t="shared" si="20"/>
        <v>146534.39999999999</v>
      </c>
      <c r="AG215" s="405" t="s">
        <v>47</v>
      </c>
      <c r="AH215" s="395"/>
      <c r="AI215" s="405">
        <v>45</v>
      </c>
      <c r="AJ215" s="405" t="s">
        <v>2629</v>
      </c>
      <c r="AK215" s="405" t="s">
        <v>1328</v>
      </c>
      <c r="AL215" s="425">
        <v>89521</v>
      </c>
      <c r="AM215" s="405" t="s">
        <v>52</v>
      </c>
      <c r="AN215" s="405"/>
      <c r="AO215" s="405"/>
      <c r="AP215" s="405"/>
      <c r="AQ215" s="413" t="s">
        <v>37</v>
      </c>
      <c r="AR215" s="405"/>
      <c r="AS215" s="363"/>
      <c r="AT215" s="335"/>
      <c r="AU215" s="363"/>
      <c r="AV215" s="403"/>
    </row>
    <row r="216" spans="1:48" s="402" customFormat="1" ht="15" customHeight="1">
      <c r="A216" s="278"/>
      <c r="B216" s="279"/>
      <c r="C216" s="284" t="s">
        <v>1186</v>
      </c>
      <c r="D216" s="374" t="s">
        <v>2804</v>
      </c>
      <c r="E216" s="293"/>
      <c r="F216" s="432"/>
      <c r="G216" s="432">
        <v>2022</v>
      </c>
      <c r="H216" s="432"/>
      <c r="I216" s="360" t="s">
        <v>1241</v>
      </c>
      <c r="J216" s="433"/>
      <c r="K216" s="432" t="s">
        <v>3942</v>
      </c>
      <c r="L216" s="433" t="s">
        <v>1112</v>
      </c>
      <c r="M216" s="433">
        <v>44645</v>
      </c>
      <c r="N216" s="433">
        <v>44823</v>
      </c>
      <c r="O216" s="433"/>
      <c r="P216" s="433"/>
      <c r="Q216" s="432"/>
      <c r="R216" s="432"/>
      <c r="S216" s="432" t="s">
        <v>1098</v>
      </c>
      <c r="T216" s="436">
        <v>60</v>
      </c>
      <c r="U216" s="372"/>
      <c r="V216" s="432" t="s">
        <v>973</v>
      </c>
      <c r="W216" s="436">
        <v>400</v>
      </c>
      <c r="X216" s="372">
        <v>832</v>
      </c>
      <c r="Y216" s="408">
        <f t="shared" si="18"/>
        <v>332800</v>
      </c>
      <c r="Z216" s="409">
        <v>0.55000000000000004</v>
      </c>
      <c r="AA216" s="410">
        <f t="shared" si="19"/>
        <v>183040.00000000003</v>
      </c>
      <c r="AB216" s="362"/>
      <c r="AC216" s="412"/>
      <c r="AD216" s="405"/>
      <c r="AE216" s="413"/>
      <c r="AF216" s="424">
        <f t="shared" si="20"/>
        <v>183040.00000000003</v>
      </c>
      <c r="AG216" s="405" t="s">
        <v>47</v>
      </c>
      <c r="AH216" s="395"/>
      <c r="AI216" s="405">
        <v>45</v>
      </c>
      <c r="AJ216" s="405" t="s">
        <v>2629</v>
      </c>
      <c r="AK216" s="405" t="s">
        <v>1328</v>
      </c>
      <c r="AL216" s="425">
        <v>89521</v>
      </c>
      <c r="AM216" s="405" t="s">
        <v>52</v>
      </c>
      <c r="AN216" s="405"/>
      <c r="AO216" s="405"/>
      <c r="AP216" s="405"/>
      <c r="AQ216" s="413" t="s">
        <v>37</v>
      </c>
      <c r="AR216" s="405"/>
      <c r="AS216" s="363"/>
      <c r="AT216" s="335"/>
      <c r="AU216" s="363"/>
      <c r="AV216" s="403"/>
    </row>
    <row r="217" spans="1:48" s="402" customFormat="1" ht="15" customHeight="1">
      <c r="A217" s="278"/>
      <c r="B217" s="279"/>
      <c r="C217" s="284"/>
      <c r="D217" s="374" t="s">
        <v>2804</v>
      </c>
      <c r="E217" s="294"/>
      <c r="F217" s="432"/>
      <c r="G217" s="432">
        <v>2022</v>
      </c>
      <c r="H217" s="432"/>
      <c r="I217" s="360" t="s">
        <v>1241</v>
      </c>
      <c r="J217" s="433"/>
      <c r="K217" s="432" t="s">
        <v>3943</v>
      </c>
      <c r="L217" s="433" t="s">
        <v>1112</v>
      </c>
      <c r="M217" s="433">
        <v>44645</v>
      </c>
      <c r="N217" s="433">
        <v>44755</v>
      </c>
      <c r="O217" s="433"/>
      <c r="P217" s="433"/>
      <c r="Q217" s="432"/>
      <c r="R217" s="432"/>
      <c r="S217" s="432" t="s">
        <v>1098</v>
      </c>
      <c r="T217" s="436">
        <v>60</v>
      </c>
      <c r="U217" s="372"/>
      <c r="V217" s="432" t="s">
        <v>973</v>
      </c>
      <c r="W217" s="436">
        <v>400</v>
      </c>
      <c r="X217" s="372">
        <v>832</v>
      </c>
      <c r="Y217" s="408">
        <f t="shared" si="18"/>
        <v>332800</v>
      </c>
      <c r="Z217" s="409">
        <v>0.55000000000000004</v>
      </c>
      <c r="AA217" s="410">
        <f t="shared" si="19"/>
        <v>183040.00000000003</v>
      </c>
      <c r="AB217" s="362"/>
      <c r="AC217" s="412"/>
      <c r="AD217" s="405"/>
      <c r="AE217" s="413"/>
      <c r="AF217" s="424">
        <f t="shared" si="20"/>
        <v>183040.00000000003</v>
      </c>
      <c r="AG217" s="405" t="s">
        <v>47</v>
      </c>
      <c r="AH217" s="395"/>
      <c r="AI217" s="405">
        <v>45</v>
      </c>
      <c r="AJ217" s="405" t="s">
        <v>3925</v>
      </c>
      <c r="AK217" s="405" t="s">
        <v>1130</v>
      </c>
      <c r="AL217" s="425">
        <v>12306</v>
      </c>
      <c r="AM217" s="405" t="s">
        <v>52</v>
      </c>
      <c r="AN217" s="405"/>
      <c r="AO217" s="405"/>
      <c r="AP217" s="405"/>
      <c r="AQ217" s="413" t="s">
        <v>37</v>
      </c>
      <c r="AR217" s="405"/>
      <c r="AS217" s="363"/>
      <c r="AT217" s="335"/>
      <c r="AU217" s="363"/>
      <c r="AV217" s="403"/>
    </row>
    <row r="218" spans="1:48" s="402" customFormat="1" ht="15" customHeight="1">
      <c r="A218" s="278"/>
      <c r="B218" s="279"/>
      <c r="C218" s="284" t="s">
        <v>1186</v>
      </c>
      <c r="D218" s="374" t="s">
        <v>2804</v>
      </c>
      <c r="E218" s="294"/>
      <c r="F218" s="432"/>
      <c r="G218" s="432">
        <v>2022</v>
      </c>
      <c r="H218" s="432"/>
      <c r="I218" s="360" t="s">
        <v>1241</v>
      </c>
      <c r="J218" s="433"/>
      <c r="K218" s="432" t="s">
        <v>3943</v>
      </c>
      <c r="L218" s="433" t="s">
        <v>1112</v>
      </c>
      <c r="M218" s="433">
        <v>44645</v>
      </c>
      <c r="N218" s="433">
        <v>44785</v>
      </c>
      <c r="O218" s="433"/>
      <c r="P218" s="433"/>
      <c r="Q218" s="432"/>
      <c r="R218" s="432"/>
      <c r="S218" s="432" t="s">
        <v>1098</v>
      </c>
      <c r="T218" s="436">
        <v>60</v>
      </c>
      <c r="U218" s="372"/>
      <c r="V218" s="432" t="s">
        <v>986</v>
      </c>
      <c r="W218" s="436">
        <v>360</v>
      </c>
      <c r="X218" s="372">
        <v>768</v>
      </c>
      <c r="Y218" s="408">
        <f t="shared" si="18"/>
        <v>276480</v>
      </c>
      <c r="Z218" s="409">
        <v>0.53</v>
      </c>
      <c r="AA218" s="410">
        <f t="shared" si="19"/>
        <v>146534.39999999999</v>
      </c>
      <c r="AB218" s="362"/>
      <c r="AC218" s="412"/>
      <c r="AD218" s="405"/>
      <c r="AE218" s="413"/>
      <c r="AF218" s="424">
        <f t="shared" si="20"/>
        <v>146534.39999999999</v>
      </c>
      <c r="AG218" s="405" t="s">
        <v>47</v>
      </c>
      <c r="AH218" s="395"/>
      <c r="AI218" s="405">
        <v>45</v>
      </c>
      <c r="AJ218" s="405" t="s">
        <v>3925</v>
      </c>
      <c r="AK218" s="405" t="s">
        <v>1130</v>
      </c>
      <c r="AL218" s="425">
        <v>12306</v>
      </c>
      <c r="AM218" s="405" t="s">
        <v>52</v>
      </c>
      <c r="AN218" s="405"/>
      <c r="AO218" s="405"/>
      <c r="AP218" s="405"/>
      <c r="AQ218" s="413" t="s">
        <v>37</v>
      </c>
      <c r="AR218" s="405"/>
      <c r="AS218" s="363"/>
      <c r="AT218" s="335"/>
      <c r="AU218" s="363"/>
      <c r="AV218" s="403"/>
    </row>
    <row r="219" spans="1:48" s="402" customFormat="1" ht="15" customHeight="1">
      <c r="A219" s="278"/>
      <c r="B219" s="279"/>
      <c r="C219" s="284"/>
      <c r="D219" s="374" t="s">
        <v>2804</v>
      </c>
      <c r="E219" s="294"/>
      <c r="F219" s="432"/>
      <c r="G219" s="432">
        <v>2022</v>
      </c>
      <c r="H219" s="432"/>
      <c r="I219" s="360" t="s">
        <v>1241</v>
      </c>
      <c r="J219" s="433"/>
      <c r="K219" s="432" t="s">
        <v>3943</v>
      </c>
      <c r="L219" s="433" t="s">
        <v>1112</v>
      </c>
      <c r="M219" s="433">
        <v>44645</v>
      </c>
      <c r="N219" s="433">
        <v>44795</v>
      </c>
      <c r="O219" s="433"/>
      <c r="P219" s="433"/>
      <c r="Q219" s="432"/>
      <c r="R219" s="432"/>
      <c r="S219" s="432" t="s">
        <v>1098</v>
      </c>
      <c r="T219" s="436">
        <v>60</v>
      </c>
      <c r="U219" s="372"/>
      <c r="V219" s="432" t="s">
        <v>973</v>
      </c>
      <c r="W219" s="436">
        <v>400</v>
      </c>
      <c r="X219" s="372">
        <v>832</v>
      </c>
      <c r="Y219" s="408">
        <f t="shared" si="18"/>
        <v>332800</v>
      </c>
      <c r="Z219" s="409">
        <v>0.55000000000000004</v>
      </c>
      <c r="AA219" s="410">
        <f t="shared" si="19"/>
        <v>183040.00000000003</v>
      </c>
      <c r="AB219" s="362"/>
      <c r="AC219" s="412"/>
      <c r="AD219" s="405"/>
      <c r="AE219" s="413"/>
      <c r="AF219" s="424">
        <f t="shared" si="20"/>
        <v>183040.00000000003</v>
      </c>
      <c r="AG219" s="405" t="s">
        <v>47</v>
      </c>
      <c r="AH219" s="395"/>
      <c r="AI219" s="405">
        <v>45</v>
      </c>
      <c r="AJ219" s="405" t="s">
        <v>3925</v>
      </c>
      <c r="AK219" s="405" t="s">
        <v>1130</v>
      </c>
      <c r="AL219" s="425">
        <v>12306</v>
      </c>
      <c r="AM219" s="405" t="s">
        <v>52</v>
      </c>
      <c r="AN219" s="405"/>
      <c r="AO219" s="405"/>
      <c r="AP219" s="405"/>
      <c r="AQ219" s="413" t="s">
        <v>37</v>
      </c>
      <c r="AR219" s="405"/>
      <c r="AS219" s="363"/>
      <c r="AT219" s="335"/>
      <c r="AU219" s="363"/>
      <c r="AV219" s="403"/>
    </row>
    <row r="220" spans="1:48" s="402" customFormat="1" ht="15" customHeight="1">
      <c r="A220" s="278"/>
      <c r="B220" s="279"/>
      <c r="C220" s="284" t="s">
        <v>1186</v>
      </c>
      <c r="D220" s="374" t="s">
        <v>2804</v>
      </c>
      <c r="E220" s="293"/>
      <c r="F220" s="432"/>
      <c r="G220" s="432">
        <v>2022</v>
      </c>
      <c r="H220" s="432"/>
      <c r="I220" s="360" t="s">
        <v>1241</v>
      </c>
      <c r="J220" s="433"/>
      <c r="K220" s="432" t="s">
        <v>3943</v>
      </c>
      <c r="L220" s="433" t="s">
        <v>1112</v>
      </c>
      <c r="M220" s="433">
        <v>44645</v>
      </c>
      <c r="N220" s="433">
        <v>44813</v>
      </c>
      <c r="O220" s="433"/>
      <c r="P220" s="433"/>
      <c r="Q220" s="432"/>
      <c r="R220" s="432"/>
      <c r="S220" s="432" t="s">
        <v>1098</v>
      </c>
      <c r="T220" s="436">
        <v>60</v>
      </c>
      <c r="U220" s="372"/>
      <c r="V220" s="432" t="s">
        <v>986</v>
      </c>
      <c r="W220" s="436">
        <v>360</v>
      </c>
      <c r="X220" s="372">
        <v>768</v>
      </c>
      <c r="Y220" s="408">
        <f t="shared" si="18"/>
        <v>276480</v>
      </c>
      <c r="Z220" s="409">
        <v>0.53</v>
      </c>
      <c r="AA220" s="410">
        <f t="shared" si="19"/>
        <v>146534.39999999999</v>
      </c>
      <c r="AB220" s="362"/>
      <c r="AC220" s="412"/>
      <c r="AD220" s="405"/>
      <c r="AE220" s="413"/>
      <c r="AF220" s="424">
        <f t="shared" si="20"/>
        <v>146534.39999999999</v>
      </c>
      <c r="AG220" s="405" t="s">
        <v>47</v>
      </c>
      <c r="AH220" s="395"/>
      <c r="AI220" s="405">
        <v>45</v>
      </c>
      <c r="AJ220" s="405" t="s">
        <v>3925</v>
      </c>
      <c r="AK220" s="405" t="s">
        <v>1130</v>
      </c>
      <c r="AL220" s="425">
        <v>12306</v>
      </c>
      <c r="AM220" s="405" t="s">
        <v>52</v>
      </c>
      <c r="AN220" s="405"/>
      <c r="AO220" s="405"/>
      <c r="AP220" s="405"/>
      <c r="AQ220" s="413" t="s">
        <v>37</v>
      </c>
      <c r="AR220" s="405"/>
      <c r="AS220" s="363"/>
      <c r="AT220" s="335"/>
      <c r="AU220" s="363"/>
      <c r="AV220" s="403"/>
    </row>
    <row r="221" spans="1:48" s="402" customFormat="1" ht="15" customHeight="1">
      <c r="A221" s="278"/>
      <c r="B221" s="279"/>
      <c r="C221" s="284" t="s">
        <v>1186</v>
      </c>
      <c r="D221" s="374" t="s">
        <v>2804</v>
      </c>
      <c r="E221" s="293"/>
      <c r="F221" s="432"/>
      <c r="G221" s="432">
        <v>2022</v>
      </c>
      <c r="H221" s="432"/>
      <c r="I221" s="360" t="s">
        <v>1241</v>
      </c>
      <c r="J221" s="433"/>
      <c r="K221" s="432" t="s">
        <v>3943</v>
      </c>
      <c r="L221" s="433" t="s">
        <v>1112</v>
      </c>
      <c r="M221" s="433">
        <v>44645</v>
      </c>
      <c r="N221" s="433">
        <v>44823</v>
      </c>
      <c r="O221" s="433"/>
      <c r="P221" s="433"/>
      <c r="Q221" s="432"/>
      <c r="R221" s="432"/>
      <c r="S221" s="432" t="s">
        <v>1098</v>
      </c>
      <c r="T221" s="436">
        <v>60</v>
      </c>
      <c r="U221" s="372"/>
      <c r="V221" s="432" t="s">
        <v>973</v>
      </c>
      <c r="W221" s="436">
        <v>400</v>
      </c>
      <c r="X221" s="372">
        <v>832</v>
      </c>
      <c r="Y221" s="408">
        <f t="shared" si="18"/>
        <v>332800</v>
      </c>
      <c r="Z221" s="409">
        <v>0.55000000000000004</v>
      </c>
      <c r="AA221" s="410">
        <f t="shared" si="19"/>
        <v>183040.00000000003</v>
      </c>
      <c r="AB221" s="362"/>
      <c r="AC221" s="412"/>
      <c r="AD221" s="405"/>
      <c r="AE221" s="413"/>
      <c r="AF221" s="424">
        <f t="shared" si="20"/>
        <v>183040.00000000003</v>
      </c>
      <c r="AG221" s="405" t="s">
        <v>47</v>
      </c>
      <c r="AH221" s="395"/>
      <c r="AI221" s="405">
        <v>45</v>
      </c>
      <c r="AJ221" s="405" t="s">
        <v>3925</v>
      </c>
      <c r="AK221" s="405" t="s">
        <v>1130</v>
      </c>
      <c r="AL221" s="425">
        <v>12306</v>
      </c>
      <c r="AM221" s="405" t="s">
        <v>52</v>
      </c>
      <c r="AN221" s="405"/>
      <c r="AO221" s="405"/>
      <c r="AP221" s="405"/>
      <c r="AQ221" s="413" t="s">
        <v>37</v>
      </c>
      <c r="AR221" s="405"/>
      <c r="AS221" s="363"/>
      <c r="AT221" s="335"/>
      <c r="AU221" s="363"/>
      <c r="AV221" s="403"/>
    </row>
    <row r="222" spans="1:48" s="402" customFormat="1" ht="15" customHeight="1">
      <c r="A222" s="278"/>
      <c r="B222" s="279"/>
      <c r="C222" s="284" t="s">
        <v>1186</v>
      </c>
      <c r="D222" s="374" t="s">
        <v>2804</v>
      </c>
      <c r="E222" s="293"/>
      <c r="F222" s="432"/>
      <c r="G222" s="432">
        <v>2022</v>
      </c>
      <c r="H222" s="360"/>
      <c r="I222" s="360" t="s">
        <v>1241</v>
      </c>
      <c r="J222" s="433"/>
      <c r="K222" s="432" t="s">
        <v>1123</v>
      </c>
      <c r="L222" s="433" t="s">
        <v>1112</v>
      </c>
      <c r="M222" s="433">
        <v>44645</v>
      </c>
      <c r="N222" s="433">
        <v>44755</v>
      </c>
      <c r="O222" s="433"/>
      <c r="P222" s="433"/>
      <c r="Q222" s="432"/>
      <c r="R222" s="432"/>
      <c r="S222" s="432" t="s">
        <v>1098</v>
      </c>
      <c r="T222" s="436">
        <v>60</v>
      </c>
      <c r="U222" s="372"/>
      <c r="V222" s="432" t="s">
        <v>973</v>
      </c>
      <c r="W222" s="436">
        <v>400</v>
      </c>
      <c r="X222" s="372">
        <v>832</v>
      </c>
      <c r="Y222" s="408">
        <f t="shared" si="18"/>
        <v>332800</v>
      </c>
      <c r="Z222" s="409">
        <v>0.55000000000000004</v>
      </c>
      <c r="AA222" s="410">
        <f t="shared" si="19"/>
        <v>183040.00000000003</v>
      </c>
      <c r="AB222" s="411"/>
      <c r="AC222" s="412"/>
      <c r="AD222" s="421"/>
      <c r="AE222" s="413"/>
      <c r="AF222" s="424">
        <f t="shared" si="20"/>
        <v>183040.00000000003</v>
      </c>
      <c r="AG222" s="405" t="s">
        <v>47</v>
      </c>
      <c r="AH222" s="405"/>
      <c r="AI222" s="405">
        <v>45</v>
      </c>
      <c r="AJ222" s="405" t="s">
        <v>1124</v>
      </c>
      <c r="AK222" s="405" t="s">
        <v>1125</v>
      </c>
      <c r="AL222" s="425">
        <v>85215</v>
      </c>
      <c r="AM222" s="405" t="s">
        <v>52</v>
      </c>
      <c r="AN222" s="405"/>
      <c r="AO222" s="405"/>
      <c r="AP222" s="413"/>
      <c r="AQ222" s="413" t="s">
        <v>37</v>
      </c>
      <c r="AR222" s="405"/>
      <c r="AS222" s="403"/>
      <c r="AT222" s="281"/>
      <c r="AU222" s="386"/>
      <c r="AV222" s="403"/>
    </row>
    <row r="223" spans="1:48" s="402" customFormat="1" ht="15" customHeight="1">
      <c r="A223" s="278"/>
      <c r="B223" s="279"/>
      <c r="C223" s="284" t="s">
        <v>1186</v>
      </c>
      <c r="D223" s="374" t="s">
        <v>2804</v>
      </c>
      <c r="E223" s="293"/>
      <c r="F223" s="432"/>
      <c r="G223" s="432">
        <v>2022</v>
      </c>
      <c r="H223" s="432"/>
      <c r="I223" s="360" t="s">
        <v>1241</v>
      </c>
      <c r="J223" s="433"/>
      <c r="K223" s="432" t="s">
        <v>1123</v>
      </c>
      <c r="L223" s="433" t="s">
        <v>1112</v>
      </c>
      <c r="M223" s="433">
        <v>44645</v>
      </c>
      <c r="N223" s="433">
        <v>44785</v>
      </c>
      <c r="O223" s="433"/>
      <c r="P223" s="433"/>
      <c r="Q223" s="432"/>
      <c r="R223" s="432"/>
      <c r="S223" s="432" t="s">
        <v>1098</v>
      </c>
      <c r="T223" s="436">
        <v>60</v>
      </c>
      <c r="U223" s="372"/>
      <c r="V223" s="432" t="s">
        <v>986</v>
      </c>
      <c r="W223" s="436">
        <v>360</v>
      </c>
      <c r="X223" s="372">
        <v>768</v>
      </c>
      <c r="Y223" s="408">
        <f t="shared" si="18"/>
        <v>276480</v>
      </c>
      <c r="Z223" s="409">
        <v>0.53</v>
      </c>
      <c r="AA223" s="410">
        <f t="shared" si="19"/>
        <v>146534.39999999999</v>
      </c>
      <c r="AB223" s="362"/>
      <c r="AC223" s="412"/>
      <c r="AD223" s="405"/>
      <c r="AE223" s="413"/>
      <c r="AF223" s="424">
        <f t="shared" si="20"/>
        <v>146534.39999999999</v>
      </c>
      <c r="AG223" s="405" t="s">
        <v>47</v>
      </c>
      <c r="AH223" s="395"/>
      <c r="AI223" s="405">
        <v>45</v>
      </c>
      <c r="AJ223" s="405" t="s">
        <v>1124</v>
      </c>
      <c r="AK223" s="405" t="s">
        <v>1125</v>
      </c>
      <c r="AL223" s="425">
        <v>85215</v>
      </c>
      <c r="AM223" s="405" t="s">
        <v>52</v>
      </c>
      <c r="AN223" s="405"/>
      <c r="AO223" s="405"/>
      <c r="AP223" s="405"/>
      <c r="AQ223" s="413" t="s">
        <v>37</v>
      </c>
      <c r="AR223" s="405"/>
      <c r="AS223" s="363"/>
      <c r="AT223" s="335"/>
      <c r="AU223" s="363"/>
      <c r="AV223" s="403"/>
    </row>
    <row r="224" spans="1:48" s="402" customFormat="1" ht="15" customHeight="1">
      <c r="A224" s="278"/>
      <c r="B224" s="279"/>
      <c r="C224" s="284" t="s">
        <v>1186</v>
      </c>
      <c r="D224" s="374" t="s">
        <v>2804</v>
      </c>
      <c r="E224" s="293"/>
      <c r="F224" s="432"/>
      <c r="G224" s="432">
        <v>2022</v>
      </c>
      <c r="H224" s="360"/>
      <c r="I224" s="360" t="s">
        <v>1241</v>
      </c>
      <c r="J224" s="433"/>
      <c r="K224" s="432" t="s">
        <v>1123</v>
      </c>
      <c r="L224" s="433" t="s">
        <v>1112</v>
      </c>
      <c r="M224" s="433">
        <v>44645</v>
      </c>
      <c r="N224" s="433">
        <v>44813</v>
      </c>
      <c r="O224" s="433"/>
      <c r="P224" s="433"/>
      <c r="Q224" s="432"/>
      <c r="R224" s="432"/>
      <c r="S224" s="432" t="s">
        <v>1098</v>
      </c>
      <c r="T224" s="436">
        <v>60</v>
      </c>
      <c r="U224" s="372"/>
      <c r="V224" s="432" t="s">
        <v>973</v>
      </c>
      <c r="W224" s="436">
        <v>400</v>
      </c>
      <c r="X224" s="372">
        <v>832</v>
      </c>
      <c r="Y224" s="408">
        <f t="shared" si="18"/>
        <v>332800</v>
      </c>
      <c r="Z224" s="409">
        <v>0.55000000000000004</v>
      </c>
      <c r="AA224" s="410">
        <f t="shared" si="19"/>
        <v>183040.00000000003</v>
      </c>
      <c r="AB224" s="411"/>
      <c r="AC224" s="412"/>
      <c r="AD224" s="421"/>
      <c r="AE224" s="413"/>
      <c r="AF224" s="424">
        <f t="shared" si="20"/>
        <v>183040.00000000003</v>
      </c>
      <c r="AG224" s="405" t="s">
        <v>47</v>
      </c>
      <c r="AH224" s="405"/>
      <c r="AI224" s="405">
        <v>45</v>
      </c>
      <c r="AJ224" s="405" t="s">
        <v>1124</v>
      </c>
      <c r="AK224" s="405" t="s">
        <v>1125</v>
      </c>
      <c r="AL224" s="425">
        <v>85215</v>
      </c>
      <c r="AM224" s="405" t="s">
        <v>52</v>
      </c>
      <c r="AN224" s="405"/>
      <c r="AO224" s="405"/>
      <c r="AP224" s="413"/>
      <c r="AQ224" s="413" t="s">
        <v>37</v>
      </c>
      <c r="AR224" s="405"/>
      <c r="AS224" s="403"/>
      <c r="AT224" s="281"/>
      <c r="AU224" s="386"/>
      <c r="AV224" s="403"/>
    </row>
    <row r="225" spans="1:48" s="402" customFormat="1" ht="15" customHeight="1">
      <c r="A225" s="278"/>
      <c r="B225" s="279"/>
      <c r="C225" s="284" t="s">
        <v>1186</v>
      </c>
      <c r="D225" s="374" t="s">
        <v>2804</v>
      </c>
      <c r="E225" s="293"/>
      <c r="F225" s="432"/>
      <c r="G225" s="432">
        <v>2022</v>
      </c>
      <c r="H225" s="432"/>
      <c r="I225" s="360" t="s">
        <v>1241</v>
      </c>
      <c r="J225" s="433"/>
      <c r="K225" s="432" t="s">
        <v>1126</v>
      </c>
      <c r="L225" s="433" t="s">
        <v>1112</v>
      </c>
      <c r="M225" s="433">
        <v>44645</v>
      </c>
      <c r="N225" s="433">
        <v>44755</v>
      </c>
      <c r="O225" s="433"/>
      <c r="P225" s="433"/>
      <c r="Q225" s="432"/>
      <c r="R225" s="432"/>
      <c r="S225" s="432" t="s">
        <v>1098</v>
      </c>
      <c r="T225" s="436">
        <v>60</v>
      </c>
      <c r="U225" s="372"/>
      <c r="V225" s="432" t="s">
        <v>986</v>
      </c>
      <c r="W225" s="436">
        <v>360</v>
      </c>
      <c r="X225" s="372">
        <v>768</v>
      </c>
      <c r="Y225" s="408">
        <f t="shared" si="18"/>
        <v>276480</v>
      </c>
      <c r="Z225" s="409">
        <v>0.53</v>
      </c>
      <c r="AA225" s="410">
        <f t="shared" si="19"/>
        <v>146534.39999999999</v>
      </c>
      <c r="AB225" s="362"/>
      <c r="AC225" s="412"/>
      <c r="AD225" s="405"/>
      <c r="AE225" s="413"/>
      <c r="AF225" s="424">
        <f t="shared" si="20"/>
        <v>146534.39999999999</v>
      </c>
      <c r="AG225" s="405" t="s">
        <v>47</v>
      </c>
      <c r="AH225" s="395"/>
      <c r="AI225" s="405">
        <v>45</v>
      </c>
      <c r="AJ225" s="405" t="s">
        <v>1127</v>
      </c>
      <c r="AK225" s="405" t="s">
        <v>1081</v>
      </c>
      <c r="AL225" s="425">
        <v>33069</v>
      </c>
      <c r="AM225" s="405" t="s">
        <v>52</v>
      </c>
      <c r="AN225" s="405"/>
      <c r="AO225" s="405"/>
      <c r="AP225" s="405"/>
      <c r="AQ225" s="413" t="s">
        <v>37</v>
      </c>
      <c r="AR225" s="405"/>
      <c r="AS225" s="363"/>
      <c r="AT225" s="335"/>
      <c r="AU225" s="363"/>
      <c r="AV225" s="403"/>
    </row>
    <row r="226" spans="1:48" s="402" customFormat="1" ht="15" customHeight="1">
      <c r="A226" s="278"/>
      <c r="B226" s="279"/>
      <c r="C226" s="284" t="s">
        <v>1186</v>
      </c>
      <c r="D226" s="374" t="s">
        <v>2804</v>
      </c>
      <c r="E226" s="293"/>
      <c r="F226" s="432"/>
      <c r="G226" s="432">
        <v>2022</v>
      </c>
      <c r="H226" s="360"/>
      <c r="I226" s="360" t="s">
        <v>1241</v>
      </c>
      <c r="J226" s="433"/>
      <c r="K226" s="432" t="s">
        <v>1126</v>
      </c>
      <c r="L226" s="433" t="s">
        <v>1112</v>
      </c>
      <c r="M226" s="433">
        <v>44645</v>
      </c>
      <c r="N226" s="433">
        <v>44790</v>
      </c>
      <c r="O226" s="433"/>
      <c r="P226" s="433"/>
      <c r="Q226" s="432"/>
      <c r="R226" s="432"/>
      <c r="S226" s="432" t="s">
        <v>1098</v>
      </c>
      <c r="T226" s="436">
        <v>60</v>
      </c>
      <c r="U226" s="372"/>
      <c r="V226" s="432" t="s">
        <v>973</v>
      </c>
      <c r="W226" s="436">
        <v>400</v>
      </c>
      <c r="X226" s="372">
        <v>832</v>
      </c>
      <c r="Y226" s="408">
        <f t="shared" si="18"/>
        <v>332800</v>
      </c>
      <c r="Z226" s="409">
        <v>0.55000000000000004</v>
      </c>
      <c r="AA226" s="410">
        <f t="shared" si="19"/>
        <v>183040.00000000003</v>
      </c>
      <c r="AB226" s="411"/>
      <c r="AC226" s="412"/>
      <c r="AD226" s="421"/>
      <c r="AE226" s="413"/>
      <c r="AF226" s="424">
        <f t="shared" si="20"/>
        <v>183040.00000000003</v>
      </c>
      <c r="AG226" s="405" t="s">
        <v>47</v>
      </c>
      <c r="AH226" s="405"/>
      <c r="AI226" s="405">
        <v>45</v>
      </c>
      <c r="AJ226" s="405" t="s">
        <v>1127</v>
      </c>
      <c r="AK226" s="405" t="s">
        <v>1081</v>
      </c>
      <c r="AL226" s="425">
        <v>33069</v>
      </c>
      <c r="AM226" s="405" t="s">
        <v>52</v>
      </c>
      <c r="AN226" s="405"/>
      <c r="AO226" s="405"/>
      <c r="AP226" s="413"/>
      <c r="AQ226" s="413" t="s">
        <v>37</v>
      </c>
      <c r="AR226" s="405"/>
      <c r="AS226" s="403"/>
      <c r="AT226" s="281"/>
      <c r="AU226" s="386"/>
      <c r="AV226" s="403"/>
    </row>
    <row r="227" spans="1:48" s="402" customFormat="1" ht="15" customHeight="1">
      <c r="A227" s="278"/>
      <c r="B227" s="279"/>
      <c r="C227" s="284" t="s">
        <v>1186</v>
      </c>
      <c r="D227" s="374" t="s">
        <v>2804</v>
      </c>
      <c r="E227" s="293"/>
      <c r="F227" s="432"/>
      <c r="G227" s="432">
        <v>2022</v>
      </c>
      <c r="H227" s="432"/>
      <c r="I227" s="360" t="s">
        <v>1241</v>
      </c>
      <c r="J227" s="433"/>
      <c r="K227" s="432" t="s">
        <v>1126</v>
      </c>
      <c r="L227" s="433" t="s">
        <v>1112</v>
      </c>
      <c r="M227" s="433">
        <v>44645</v>
      </c>
      <c r="N227" s="433">
        <v>44818</v>
      </c>
      <c r="O227" s="433"/>
      <c r="P227" s="433"/>
      <c r="Q227" s="432"/>
      <c r="R227" s="432"/>
      <c r="S227" s="432" t="s">
        <v>1098</v>
      </c>
      <c r="T227" s="436">
        <v>60</v>
      </c>
      <c r="U227" s="372"/>
      <c r="V227" s="432" t="s">
        <v>986</v>
      </c>
      <c r="W227" s="436">
        <v>360</v>
      </c>
      <c r="X227" s="372">
        <v>768</v>
      </c>
      <c r="Y227" s="408">
        <f t="shared" si="18"/>
        <v>276480</v>
      </c>
      <c r="Z227" s="409">
        <v>0.53</v>
      </c>
      <c r="AA227" s="410">
        <f t="shared" si="19"/>
        <v>146534.39999999999</v>
      </c>
      <c r="AB227" s="362"/>
      <c r="AC227" s="412"/>
      <c r="AD227" s="405"/>
      <c r="AE227" s="413"/>
      <c r="AF227" s="424">
        <f t="shared" si="20"/>
        <v>146534.39999999999</v>
      </c>
      <c r="AG227" s="405" t="s">
        <v>47</v>
      </c>
      <c r="AH227" s="395"/>
      <c r="AI227" s="405">
        <v>45</v>
      </c>
      <c r="AJ227" s="405" t="s">
        <v>1127</v>
      </c>
      <c r="AK227" s="405" t="s">
        <v>1081</v>
      </c>
      <c r="AL227" s="425">
        <v>33069</v>
      </c>
      <c r="AM227" s="405" t="s">
        <v>52</v>
      </c>
      <c r="AN227" s="405"/>
      <c r="AO227" s="405"/>
      <c r="AP227" s="405"/>
      <c r="AQ227" s="413" t="s">
        <v>37</v>
      </c>
      <c r="AR227" s="405"/>
      <c r="AS227" s="363"/>
      <c r="AT227" s="335"/>
      <c r="AU227" s="363"/>
      <c r="AV227" s="403"/>
    </row>
    <row r="228" spans="1:48" s="402" customFormat="1" ht="15" customHeight="1">
      <c r="A228" s="278"/>
      <c r="B228" s="279"/>
      <c r="C228" s="284" t="s">
        <v>1186</v>
      </c>
      <c r="D228" s="374" t="s">
        <v>2804</v>
      </c>
      <c r="E228" s="293"/>
      <c r="F228" s="432"/>
      <c r="G228" s="432">
        <v>2022</v>
      </c>
      <c r="H228" s="432"/>
      <c r="I228" s="360" t="s">
        <v>1241</v>
      </c>
      <c r="J228" s="433"/>
      <c r="K228" s="432" t="s">
        <v>3944</v>
      </c>
      <c r="L228" s="433" t="s">
        <v>1112</v>
      </c>
      <c r="M228" s="433">
        <v>44645</v>
      </c>
      <c r="N228" s="433">
        <v>44755</v>
      </c>
      <c r="O228" s="433"/>
      <c r="P228" s="433"/>
      <c r="Q228" s="432"/>
      <c r="R228" s="432"/>
      <c r="S228" s="432" t="s">
        <v>1098</v>
      </c>
      <c r="T228" s="436">
        <v>60</v>
      </c>
      <c r="U228" s="372"/>
      <c r="V228" s="432" t="s">
        <v>986</v>
      </c>
      <c r="W228" s="436">
        <v>360</v>
      </c>
      <c r="X228" s="372">
        <v>768</v>
      </c>
      <c r="Y228" s="408">
        <f t="shared" si="18"/>
        <v>276480</v>
      </c>
      <c r="Z228" s="409">
        <v>0.53</v>
      </c>
      <c r="AA228" s="410">
        <f t="shared" si="19"/>
        <v>146534.39999999999</v>
      </c>
      <c r="AB228" s="362"/>
      <c r="AC228" s="412"/>
      <c r="AD228" s="405"/>
      <c r="AE228" s="413"/>
      <c r="AF228" s="424">
        <f t="shared" si="20"/>
        <v>146534.39999999999</v>
      </c>
      <c r="AG228" s="405" t="s">
        <v>47</v>
      </c>
      <c r="AH228" s="395"/>
      <c r="AI228" s="405">
        <v>45</v>
      </c>
      <c r="AJ228" s="405" t="s">
        <v>2883</v>
      </c>
      <c r="AK228" s="405" t="s">
        <v>1092</v>
      </c>
      <c r="AL228" s="425">
        <v>1583</v>
      </c>
      <c r="AM228" s="405" t="s">
        <v>52</v>
      </c>
      <c r="AN228" s="405"/>
      <c r="AO228" s="405"/>
      <c r="AP228" s="405"/>
      <c r="AQ228" s="413" t="s">
        <v>37</v>
      </c>
      <c r="AR228" s="405"/>
      <c r="AS228" s="363"/>
      <c r="AT228" s="335"/>
      <c r="AU228" s="363"/>
      <c r="AV228" s="403"/>
    </row>
    <row r="229" spans="1:48" s="402" customFormat="1" ht="15" customHeight="1">
      <c r="A229" s="278"/>
      <c r="B229" s="279"/>
      <c r="C229" s="284" t="s">
        <v>1186</v>
      </c>
      <c r="D229" s="374" t="s">
        <v>2804</v>
      </c>
      <c r="E229" s="293"/>
      <c r="F229" s="432"/>
      <c r="G229" s="432">
        <v>2022</v>
      </c>
      <c r="H229" s="360"/>
      <c r="I229" s="360" t="s">
        <v>1241</v>
      </c>
      <c r="J229" s="433"/>
      <c r="K229" s="432" t="s">
        <v>3944</v>
      </c>
      <c r="L229" s="433" t="s">
        <v>1112</v>
      </c>
      <c r="M229" s="433">
        <v>44645</v>
      </c>
      <c r="N229" s="433">
        <v>44764</v>
      </c>
      <c r="O229" s="433"/>
      <c r="P229" s="433"/>
      <c r="Q229" s="432"/>
      <c r="R229" s="432"/>
      <c r="S229" s="432" t="s">
        <v>1098</v>
      </c>
      <c r="T229" s="436">
        <v>60</v>
      </c>
      <c r="U229" s="372"/>
      <c r="V229" s="432" t="s">
        <v>1018</v>
      </c>
      <c r="W229" s="436">
        <v>360</v>
      </c>
      <c r="X229" s="372">
        <v>728</v>
      </c>
      <c r="Y229" s="408">
        <f t="shared" si="18"/>
        <v>262080</v>
      </c>
      <c r="Z229" s="409">
        <v>0.8</v>
      </c>
      <c r="AA229" s="410">
        <f t="shared" si="19"/>
        <v>209664</v>
      </c>
      <c r="AB229" s="411"/>
      <c r="AC229" s="412"/>
      <c r="AD229" s="421"/>
      <c r="AE229" s="413"/>
      <c r="AF229" s="424">
        <f t="shared" si="20"/>
        <v>209664</v>
      </c>
      <c r="AG229" s="405" t="s">
        <v>47</v>
      </c>
      <c r="AH229" s="405"/>
      <c r="AI229" s="405">
        <v>45</v>
      </c>
      <c r="AJ229" s="405" t="s">
        <v>2883</v>
      </c>
      <c r="AK229" s="405" t="s">
        <v>1092</v>
      </c>
      <c r="AL229" s="425">
        <v>1583</v>
      </c>
      <c r="AM229" s="405" t="s">
        <v>52</v>
      </c>
      <c r="AN229" s="405"/>
      <c r="AO229" s="405"/>
      <c r="AP229" s="413"/>
      <c r="AQ229" s="413" t="s">
        <v>37</v>
      </c>
      <c r="AR229" s="405"/>
      <c r="AS229" s="403"/>
      <c r="AT229" s="281"/>
      <c r="AU229" s="386"/>
      <c r="AV229" s="403"/>
    </row>
    <row r="230" spans="1:48" s="402" customFormat="1" ht="15" customHeight="1">
      <c r="A230" s="278"/>
      <c r="B230" s="279"/>
      <c r="C230" s="284" t="s">
        <v>1186</v>
      </c>
      <c r="D230" s="374" t="s">
        <v>2804</v>
      </c>
      <c r="E230" s="293"/>
      <c r="F230" s="432"/>
      <c r="G230" s="432">
        <v>2022</v>
      </c>
      <c r="H230" s="360"/>
      <c r="I230" s="360" t="s">
        <v>1241</v>
      </c>
      <c r="J230" s="433"/>
      <c r="K230" s="432" t="s">
        <v>3944</v>
      </c>
      <c r="L230" s="433" t="s">
        <v>1112</v>
      </c>
      <c r="M230" s="433">
        <v>44645</v>
      </c>
      <c r="N230" s="433">
        <v>44783</v>
      </c>
      <c r="O230" s="433"/>
      <c r="P230" s="433"/>
      <c r="Q230" s="432"/>
      <c r="R230" s="432"/>
      <c r="S230" s="432" t="s">
        <v>1098</v>
      </c>
      <c r="T230" s="436">
        <v>60</v>
      </c>
      <c r="U230" s="372"/>
      <c r="V230" s="432" t="s">
        <v>973</v>
      </c>
      <c r="W230" s="436">
        <v>400</v>
      </c>
      <c r="X230" s="372">
        <v>832</v>
      </c>
      <c r="Y230" s="408">
        <f t="shared" si="18"/>
        <v>332800</v>
      </c>
      <c r="Z230" s="409">
        <v>0.55000000000000004</v>
      </c>
      <c r="AA230" s="410">
        <f t="shared" si="19"/>
        <v>183040.00000000003</v>
      </c>
      <c r="AB230" s="411"/>
      <c r="AC230" s="412"/>
      <c r="AD230" s="421"/>
      <c r="AE230" s="413"/>
      <c r="AF230" s="424">
        <f t="shared" si="20"/>
        <v>183040.00000000003</v>
      </c>
      <c r="AG230" s="405" t="s">
        <v>47</v>
      </c>
      <c r="AH230" s="405"/>
      <c r="AI230" s="405">
        <v>45</v>
      </c>
      <c r="AJ230" s="405" t="s">
        <v>2883</v>
      </c>
      <c r="AK230" s="405" t="s">
        <v>1092</v>
      </c>
      <c r="AL230" s="425">
        <v>1583</v>
      </c>
      <c r="AM230" s="405" t="s">
        <v>52</v>
      </c>
      <c r="AN230" s="405"/>
      <c r="AO230" s="405"/>
      <c r="AP230" s="413"/>
      <c r="AQ230" s="413" t="s">
        <v>37</v>
      </c>
      <c r="AR230" s="405"/>
      <c r="AS230" s="403"/>
      <c r="AT230" s="281"/>
      <c r="AU230" s="386"/>
      <c r="AV230" s="403"/>
    </row>
    <row r="231" spans="1:48" s="402" customFormat="1" ht="15" customHeight="1">
      <c r="A231" s="278"/>
      <c r="B231" s="279"/>
      <c r="C231" s="284" t="s">
        <v>1186</v>
      </c>
      <c r="D231" s="374" t="s">
        <v>2804</v>
      </c>
      <c r="E231" s="293"/>
      <c r="F231" s="432"/>
      <c r="G231" s="432">
        <v>2022</v>
      </c>
      <c r="H231" s="432"/>
      <c r="I231" s="360" t="s">
        <v>1241</v>
      </c>
      <c r="J231" s="433"/>
      <c r="K231" s="432" t="s">
        <v>3944</v>
      </c>
      <c r="L231" s="433" t="s">
        <v>1112</v>
      </c>
      <c r="M231" s="433">
        <v>44645</v>
      </c>
      <c r="N231" s="433">
        <v>44818</v>
      </c>
      <c r="O231" s="433"/>
      <c r="P231" s="433"/>
      <c r="Q231" s="432"/>
      <c r="R231" s="432"/>
      <c r="S231" s="432" t="s">
        <v>1098</v>
      </c>
      <c r="T231" s="436">
        <v>60</v>
      </c>
      <c r="U231" s="372"/>
      <c r="V231" s="432" t="s">
        <v>986</v>
      </c>
      <c r="W231" s="436">
        <v>360</v>
      </c>
      <c r="X231" s="372">
        <v>768</v>
      </c>
      <c r="Y231" s="408">
        <f t="shared" si="18"/>
        <v>276480</v>
      </c>
      <c r="Z231" s="409">
        <v>0.53</v>
      </c>
      <c r="AA231" s="410">
        <f t="shared" si="19"/>
        <v>146534.39999999999</v>
      </c>
      <c r="AB231" s="362"/>
      <c r="AC231" s="412"/>
      <c r="AD231" s="405"/>
      <c r="AE231" s="413"/>
      <c r="AF231" s="424">
        <f t="shared" si="20"/>
        <v>146534.39999999999</v>
      </c>
      <c r="AG231" s="405" t="s">
        <v>47</v>
      </c>
      <c r="AH231" s="395"/>
      <c r="AI231" s="405">
        <v>45</v>
      </c>
      <c r="AJ231" s="405" t="s">
        <v>2883</v>
      </c>
      <c r="AK231" s="405" t="s">
        <v>1092</v>
      </c>
      <c r="AL231" s="425">
        <v>1583</v>
      </c>
      <c r="AM231" s="405" t="s">
        <v>52</v>
      </c>
      <c r="AN231" s="405"/>
      <c r="AO231" s="405"/>
      <c r="AP231" s="405"/>
      <c r="AQ231" s="413" t="s">
        <v>37</v>
      </c>
      <c r="AR231" s="405"/>
      <c r="AS231" s="363"/>
      <c r="AT231" s="335"/>
      <c r="AU231" s="363"/>
      <c r="AV231" s="403"/>
    </row>
    <row r="232" spans="1:48" s="402" customFormat="1" ht="15" customHeight="1">
      <c r="A232" s="278"/>
      <c r="B232" s="279"/>
      <c r="C232" s="284" t="s">
        <v>1186</v>
      </c>
      <c r="D232" s="374" t="s">
        <v>2804</v>
      </c>
      <c r="E232" s="293"/>
      <c r="F232" s="432"/>
      <c r="G232" s="432">
        <v>2022</v>
      </c>
      <c r="H232" s="432"/>
      <c r="I232" s="360" t="s">
        <v>1241</v>
      </c>
      <c r="J232" s="433"/>
      <c r="K232" s="432" t="s">
        <v>1128</v>
      </c>
      <c r="L232" s="433" t="s">
        <v>1112</v>
      </c>
      <c r="M232" s="433">
        <v>44645</v>
      </c>
      <c r="N232" s="433">
        <v>44755</v>
      </c>
      <c r="O232" s="433"/>
      <c r="P232" s="433"/>
      <c r="Q232" s="432"/>
      <c r="R232" s="432"/>
      <c r="S232" s="432" t="s">
        <v>1098</v>
      </c>
      <c r="T232" s="436">
        <v>60</v>
      </c>
      <c r="U232" s="372"/>
      <c r="V232" s="432" t="s">
        <v>973</v>
      </c>
      <c r="W232" s="436">
        <v>400</v>
      </c>
      <c r="X232" s="372">
        <v>832</v>
      </c>
      <c r="Y232" s="408">
        <f t="shared" si="18"/>
        <v>332800</v>
      </c>
      <c r="Z232" s="409">
        <v>0.55000000000000004</v>
      </c>
      <c r="AA232" s="410">
        <f t="shared" si="19"/>
        <v>183040.00000000003</v>
      </c>
      <c r="AB232" s="362"/>
      <c r="AC232" s="412"/>
      <c r="AD232" s="405"/>
      <c r="AE232" s="413"/>
      <c r="AF232" s="424">
        <f t="shared" si="20"/>
        <v>183040.00000000003</v>
      </c>
      <c r="AG232" s="405" t="s">
        <v>47</v>
      </c>
      <c r="AH232" s="395"/>
      <c r="AI232" s="405">
        <v>45</v>
      </c>
      <c r="AJ232" s="405" t="s">
        <v>1129</v>
      </c>
      <c r="AK232" s="405" t="s">
        <v>1130</v>
      </c>
      <c r="AL232" s="425">
        <v>11416</v>
      </c>
      <c r="AM232" s="405" t="s">
        <v>52</v>
      </c>
      <c r="AN232" s="405"/>
      <c r="AO232" s="405"/>
      <c r="AP232" s="405"/>
      <c r="AQ232" s="413" t="s">
        <v>37</v>
      </c>
      <c r="AR232" s="405"/>
      <c r="AS232" s="363"/>
      <c r="AT232" s="335"/>
      <c r="AU232" s="363"/>
      <c r="AV232" s="403"/>
    </row>
    <row r="233" spans="1:48" s="402" customFormat="1" ht="15" customHeight="1">
      <c r="A233" s="278"/>
      <c r="B233" s="279"/>
      <c r="C233" s="284" t="s">
        <v>1186</v>
      </c>
      <c r="D233" s="374" t="s">
        <v>2804</v>
      </c>
      <c r="E233" s="293"/>
      <c r="F233" s="432"/>
      <c r="G233" s="432">
        <v>2022</v>
      </c>
      <c r="H233" s="432"/>
      <c r="I233" s="360" t="s">
        <v>1241</v>
      </c>
      <c r="J233" s="433"/>
      <c r="K233" s="432" t="s">
        <v>1128</v>
      </c>
      <c r="L233" s="433" t="s">
        <v>1112</v>
      </c>
      <c r="M233" s="433">
        <v>44645</v>
      </c>
      <c r="N233" s="433">
        <v>44785</v>
      </c>
      <c r="O233" s="433"/>
      <c r="P233" s="433"/>
      <c r="Q233" s="432"/>
      <c r="R233" s="432"/>
      <c r="S233" s="432" t="s">
        <v>1098</v>
      </c>
      <c r="T233" s="436">
        <v>60</v>
      </c>
      <c r="U233" s="372"/>
      <c r="V233" s="432" t="s">
        <v>986</v>
      </c>
      <c r="W233" s="436">
        <v>360</v>
      </c>
      <c r="X233" s="372">
        <v>768</v>
      </c>
      <c r="Y233" s="408">
        <f t="shared" si="18"/>
        <v>276480</v>
      </c>
      <c r="Z233" s="409">
        <v>0.53</v>
      </c>
      <c r="AA233" s="410">
        <f t="shared" si="19"/>
        <v>146534.39999999999</v>
      </c>
      <c r="AB233" s="362"/>
      <c r="AC233" s="412"/>
      <c r="AD233" s="405"/>
      <c r="AE233" s="413"/>
      <c r="AF233" s="424">
        <f t="shared" si="20"/>
        <v>146534.39999999999</v>
      </c>
      <c r="AG233" s="405" t="s">
        <v>47</v>
      </c>
      <c r="AH233" s="395"/>
      <c r="AI233" s="405">
        <v>45</v>
      </c>
      <c r="AJ233" s="405" t="s">
        <v>1129</v>
      </c>
      <c r="AK233" s="405" t="s">
        <v>1130</v>
      </c>
      <c r="AL233" s="425">
        <v>11416</v>
      </c>
      <c r="AM233" s="405" t="s">
        <v>52</v>
      </c>
      <c r="AN233" s="405"/>
      <c r="AO233" s="405"/>
      <c r="AP233" s="405"/>
      <c r="AQ233" s="413" t="s">
        <v>37</v>
      </c>
      <c r="AR233" s="405"/>
      <c r="AS233" s="363"/>
      <c r="AT233" s="335"/>
      <c r="AU233" s="363"/>
      <c r="AV233" s="403"/>
    </row>
    <row r="234" spans="1:48" s="402" customFormat="1" ht="15" customHeight="1">
      <c r="A234" s="278"/>
      <c r="B234" s="279"/>
      <c r="C234" s="284" t="s">
        <v>1186</v>
      </c>
      <c r="D234" s="374" t="s">
        <v>2804</v>
      </c>
      <c r="E234" s="293"/>
      <c r="F234" s="432"/>
      <c r="G234" s="432">
        <v>2022</v>
      </c>
      <c r="H234" s="432"/>
      <c r="I234" s="360" t="s">
        <v>1241</v>
      </c>
      <c r="J234" s="433"/>
      <c r="K234" s="432" t="s">
        <v>1128</v>
      </c>
      <c r="L234" s="433" t="s">
        <v>1112</v>
      </c>
      <c r="M234" s="433">
        <v>44645</v>
      </c>
      <c r="N234" s="433">
        <v>44813</v>
      </c>
      <c r="O234" s="433"/>
      <c r="P234" s="433"/>
      <c r="Q234" s="432"/>
      <c r="R234" s="432"/>
      <c r="S234" s="432" t="s">
        <v>1098</v>
      </c>
      <c r="T234" s="436">
        <v>60</v>
      </c>
      <c r="U234" s="372"/>
      <c r="V234" s="432" t="s">
        <v>973</v>
      </c>
      <c r="W234" s="436">
        <v>400</v>
      </c>
      <c r="X234" s="372">
        <v>832</v>
      </c>
      <c r="Y234" s="408">
        <f t="shared" si="18"/>
        <v>332800</v>
      </c>
      <c r="Z234" s="409">
        <v>0.55000000000000004</v>
      </c>
      <c r="AA234" s="410">
        <f t="shared" si="19"/>
        <v>183040.00000000003</v>
      </c>
      <c r="AB234" s="362"/>
      <c r="AC234" s="412"/>
      <c r="AD234" s="405"/>
      <c r="AE234" s="413"/>
      <c r="AF234" s="424">
        <f t="shared" si="20"/>
        <v>183040.00000000003</v>
      </c>
      <c r="AG234" s="405" t="s">
        <v>47</v>
      </c>
      <c r="AH234" s="395"/>
      <c r="AI234" s="405">
        <v>45</v>
      </c>
      <c r="AJ234" s="405" t="s">
        <v>1129</v>
      </c>
      <c r="AK234" s="405" t="s">
        <v>1130</v>
      </c>
      <c r="AL234" s="425">
        <v>11416</v>
      </c>
      <c r="AM234" s="405" t="s">
        <v>52</v>
      </c>
      <c r="AN234" s="405"/>
      <c r="AO234" s="405"/>
      <c r="AP234" s="405"/>
      <c r="AQ234" s="413" t="s">
        <v>37</v>
      </c>
      <c r="AR234" s="405"/>
      <c r="AS234" s="363"/>
      <c r="AT234" s="335"/>
      <c r="AU234" s="363"/>
      <c r="AV234" s="403"/>
    </row>
    <row r="235" spans="1:48" s="402" customFormat="1" ht="15" customHeight="1">
      <c r="A235" s="278"/>
      <c r="B235" s="279"/>
      <c r="C235" s="284"/>
      <c r="D235" s="374" t="s">
        <v>2804</v>
      </c>
      <c r="E235" s="294"/>
      <c r="F235" s="432"/>
      <c r="G235" s="432">
        <v>2022</v>
      </c>
      <c r="H235" s="432"/>
      <c r="I235" s="360" t="s">
        <v>1241</v>
      </c>
      <c r="J235" s="433"/>
      <c r="K235" s="432" t="s">
        <v>3945</v>
      </c>
      <c r="L235" s="433" t="s">
        <v>1112</v>
      </c>
      <c r="M235" s="433">
        <v>44645</v>
      </c>
      <c r="N235" s="433">
        <v>44755</v>
      </c>
      <c r="O235" s="433"/>
      <c r="P235" s="433"/>
      <c r="Q235" s="432"/>
      <c r="R235" s="432"/>
      <c r="S235" s="432" t="s">
        <v>1098</v>
      </c>
      <c r="T235" s="436">
        <v>60</v>
      </c>
      <c r="U235" s="372"/>
      <c r="V235" s="432" t="s">
        <v>973</v>
      </c>
      <c r="W235" s="436">
        <v>400</v>
      </c>
      <c r="X235" s="372">
        <v>832</v>
      </c>
      <c r="Y235" s="408">
        <f t="shared" si="18"/>
        <v>332800</v>
      </c>
      <c r="Z235" s="409">
        <v>0.55000000000000004</v>
      </c>
      <c r="AA235" s="410">
        <f t="shared" si="19"/>
        <v>183040.00000000003</v>
      </c>
      <c r="AB235" s="362"/>
      <c r="AC235" s="412"/>
      <c r="AD235" s="405"/>
      <c r="AE235" s="413"/>
      <c r="AF235" s="424">
        <f t="shared" si="20"/>
        <v>183040.00000000003</v>
      </c>
      <c r="AG235" s="405" t="s">
        <v>47</v>
      </c>
      <c r="AH235" s="395"/>
      <c r="AI235" s="405">
        <v>45</v>
      </c>
      <c r="AJ235" s="405" t="s">
        <v>1116</v>
      </c>
      <c r="AK235" s="405" t="s">
        <v>1117</v>
      </c>
      <c r="AL235" s="425">
        <v>55122</v>
      </c>
      <c r="AM235" s="405" t="s">
        <v>52</v>
      </c>
      <c r="AN235" s="405"/>
      <c r="AO235" s="405"/>
      <c r="AP235" s="405"/>
      <c r="AQ235" s="413" t="s">
        <v>37</v>
      </c>
      <c r="AR235" s="405"/>
      <c r="AS235" s="363"/>
      <c r="AT235" s="335"/>
      <c r="AU235" s="363"/>
      <c r="AV235" s="403"/>
    </row>
    <row r="236" spans="1:48" s="402" customFormat="1" ht="15" customHeight="1">
      <c r="A236" s="278"/>
      <c r="B236" s="279"/>
      <c r="C236" s="284" t="s">
        <v>1186</v>
      </c>
      <c r="D236" s="374" t="s">
        <v>2804</v>
      </c>
      <c r="E236" s="293"/>
      <c r="F236" s="432"/>
      <c r="G236" s="432">
        <v>2022</v>
      </c>
      <c r="H236" s="432"/>
      <c r="I236" s="360" t="s">
        <v>1241</v>
      </c>
      <c r="J236" s="433"/>
      <c r="K236" s="432" t="s">
        <v>3945</v>
      </c>
      <c r="L236" s="433" t="s">
        <v>1112</v>
      </c>
      <c r="M236" s="433">
        <v>44645</v>
      </c>
      <c r="N236" s="433">
        <v>44764</v>
      </c>
      <c r="O236" s="433"/>
      <c r="P236" s="433"/>
      <c r="Q236" s="432"/>
      <c r="R236" s="432"/>
      <c r="S236" s="432" t="s">
        <v>1098</v>
      </c>
      <c r="T236" s="436">
        <v>60</v>
      </c>
      <c r="U236" s="372"/>
      <c r="V236" s="432" t="s">
        <v>1018</v>
      </c>
      <c r="W236" s="436">
        <v>360</v>
      </c>
      <c r="X236" s="372">
        <v>728</v>
      </c>
      <c r="Y236" s="408">
        <f t="shared" si="18"/>
        <v>262080</v>
      </c>
      <c r="Z236" s="409">
        <v>0.8</v>
      </c>
      <c r="AA236" s="410">
        <f t="shared" si="19"/>
        <v>209664</v>
      </c>
      <c r="AB236" s="362"/>
      <c r="AC236" s="412"/>
      <c r="AD236" s="405"/>
      <c r="AE236" s="413"/>
      <c r="AF236" s="424">
        <f t="shared" si="20"/>
        <v>209664</v>
      </c>
      <c r="AG236" s="405" t="s">
        <v>47</v>
      </c>
      <c r="AH236" s="395"/>
      <c r="AI236" s="405">
        <v>45</v>
      </c>
      <c r="AJ236" s="405" t="s">
        <v>1116</v>
      </c>
      <c r="AK236" s="405" t="s">
        <v>1117</v>
      </c>
      <c r="AL236" s="425">
        <v>55122</v>
      </c>
      <c r="AM236" s="405" t="s">
        <v>52</v>
      </c>
      <c r="AN236" s="405"/>
      <c r="AO236" s="405"/>
      <c r="AP236" s="405"/>
      <c r="AQ236" s="413" t="s">
        <v>37</v>
      </c>
      <c r="AR236" s="405"/>
      <c r="AS236" s="363"/>
      <c r="AT236" s="335"/>
      <c r="AU236" s="363"/>
      <c r="AV236" s="403"/>
    </row>
    <row r="237" spans="1:48" s="402" customFormat="1" ht="15" customHeight="1">
      <c r="A237" s="278"/>
      <c r="B237" s="279"/>
      <c r="C237" s="284" t="s">
        <v>1186</v>
      </c>
      <c r="D237" s="374" t="s">
        <v>2804</v>
      </c>
      <c r="E237" s="293"/>
      <c r="F237" s="432"/>
      <c r="G237" s="432">
        <v>2022</v>
      </c>
      <c r="H237" s="432"/>
      <c r="I237" s="360" t="s">
        <v>1241</v>
      </c>
      <c r="J237" s="433"/>
      <c r="K237" s="432" t="s">
        <v>3945</v>
      </c>
      <c r="L237" s="433" t="s">
        <v>1112</v>
      </c>
      <c r="M237" s="433">
        <v>44645</v>
      </c>
      <c r="N237" s="433">
        <v>44785</v>
      </c>
      <c r="O237" s="433"/>
      <c r="P237" s="433"/>
      <c r="Q237" s="432"/>
      <c r="R237" s="432"/>
      <c r="S237" s="432" t="s">
        <v>1098</v>
      </c>
      <c r="T237" s="436">
        <v>60</v>
      </c>
      <c r="U237" s="372"/>
      <c r="V237" s="432" t="s">
        <v>986</v>
      </c>
      <c r="W237" s="436">
        <v>360</v>
      </c>
      <c r="X237" s="372">
        <v>768</v>
      </c>
      <c r="Y237" s="408">
        <f t="shared" si="18"/>
        <v>276480</v>
      </c>
      <c r="Z237" s="409">
        <v>0.53</v>
      </c>
      <c r="AA237" s="410">
        <f t="shared" si="19"/>
        <v>146534.39999999999</v>
      </c>
      <c r="AB237" s="362"/>
      <c r="AC237" s="412"/>
      <c r="AD237" s="405"/>
      <c r="AE237" s="413"/>
      <c r="AF237" s="424">
        <f t="shared" si="20"/>
        <v>146534.39999999999</v>
      </c>
      <c r="AG237" s="405" t="s">
        <v>47</v>
      </c>
      <c r="AH237" s="395"/>
      <c r="AI237" s="405">
        <v>45</v>
      </c>
      <c r="AJ237" s="405" t="s">
        <v>1116</v>
      </c>
      <c r="AK237" s="405" t="s">
        <v>1117</v>
      </c>
      <c r="AL237" s="425">
        <v>55122</v>
      </c>
      <c r="AM237" s="405" t="s">
        <v>52</v>
      </c>
      <c r="AN237" s="405"/>
      <c r="AO237" s="405"/>
      <c r="AP237" s="405"/>
      <c r="AQ237" s="413" t="s">
        <v>37</v>
      </c>
      <c r="AR237" s="405"/>
      <c r="AS237" s="363"/>
      <c r="AT237" s="335"/>
      <c r="AU237" s="363"/>
      <c r="AV237" s="403"/>
    </row>
    <row r="238" spans="1:48" s="402" customFormat="1" ht="15" customHeight="1">
      <c r="A238" s="278"/>
      <c r="B238" s="279"/>
      <c r="C238" s="284" t="s">
        <v>1186</v>
      </c>
      <c r="D238" s="374" t="s">
        <v>2804</v>
      </c>
      <c r="E238" s="293"/>
      <c r="F238" s="432"/>
      <c r="G238" s="432">
        <v>2022</v>
      </c>
      <c r="H238" s="432"/>
      <c r="I238" s="360" t="s">
        <v>1241</v>
      </c>
      <c r="J238" s="433"/>
      <c r="K238" s="432" t="s">
        <v>1133</v>
      </c>
      <c r="L238" s="433" t="s">
        <v>1112</v>
      </c>
      <c r="M238" s="433">
        <v>44645</v>
      </c>
      <c r="N238" s="433">
        <v>44797</v>
      </c>
      <c r="O238" s="433"/>
      <c r="P238" s="433"/>
      <c r="Q238" s="432"/>
      <c r="R238" s="432"/>
      <c r="S238" s="432" t="s">
        <v>1098</v>
      </c>
      <c r="T238" s="436">
        <v>60</v>
      </c>
      <c r="U238" s="372"/>
      <c r="V238" s="432" t="s">
        <v>973</v>
      </c>
      <c r="W238" s="436">
        <v>400</v>
      </c>
      <c r="X238" s="372">
        <v>832</v>
      </c>
      <c r="Y238" s="408">
        <f t="shared" si="18"/>
        <v>332800</v>
      </c>
      <c r="Z238" s="409">
        <v>0.55000000000000004</v>
      </c>
      <c r="AA238" s="410">
        <f t="shared" si="19"/>
        <v>183040.00000000003</v>
      </c>
      <c r="AB238" s="362"/>
      <c r="AC238" s="412"/>
      <c r="AD238" s="405"/>
      <c r="AE238" s="413"/>
      <c r="AF238" s="424">
        <f t="shared" si="20"/>
        <v>183040.00000000003</v>
      </c>
      <c r="AG238" s="405" t="s">
        <v>47</v>
      </c>
      <c r="AH238" s="395"/>
      <c r="AI238" s="405">
        <v>45</v>
      </c>
      <c r="AJ238" s="405" t="s">
        <v>1607</v>
      </c>
      <c r="AK238" s="405" t="s">
        <v>50</v>
      </c>
      <c r="AL238" s="425">
        <v>91311</v>
      </c>
      <c r="AM238" s="405" t="s">
        <v>52</v>
      </c>
      <c r="AN238" s="405"/>
      <c r="AO238" s="405"/>
      <c r="AP238" s="405"/>
      <c r="AQ238" s="413" t="s">
        <v>37</v>
      </c>
      <c r="AR238" s="405"/>
      <c r="AS238" s="363"/>
      <c r="AT238" s="335"/>
      <c r="AU238" s="363"/>
      <c r="AV238" s="403"/>
    </row>
    <row r="239" spans="1:48" s="402" customFormat="1" ht="15" customHeight="1">
      <c r="A239" s="278"/>
      <c r="B239" s="279"/>
      <c r="C239" s="284" t="s">
        <v>1186</v>
      </c>
      <c r="D239" s="374" t="s">
        <v>2804</v>
      </c>
      <c r="E239" s="293"/>
      <c r="F239" s="432"/>
      <c r="G239" s="432">
        <v>2022</v>
      </c>
      <c r="H239" s="360"/>
      <c r="I239" s="360" t="s">
        <v>1241</v>
      </c>
      <c r="J239" s="433"/>
      <c r="K239" s="432" t="s">
        <v>1133</v>
      </c>
      <c r="L239" s="433" t="s">
        <v>1112</v>
      </c>
      <c r="M239" s="433">
        <v>44645</v>
      </c>
      <c r="N239" s="433">
        <v>44811</v>
      </c>
      <c r="O239" s="433"/>
      <c r="P239" s="433"/>
      <c r="Q239" s="432"/>
      <c r="R239" s="432"/>
      <c r="S239" s="432" t="s">
        <v>1098</v>
      </c>
      <c r="T239" s="436">
        <v>60</v>
      </c>
      <c r="U239" s="372"/>
      <c r="V239" s="432" t="s">
        <v>986</v>
      </c>
      <c r="W239" s="436">
        <v>360</v>
      </c>
      <c r="X239" s="372">
        <v>768</v>
      </c>
      <c r="Y239" s="408">
        <f t="shared" si="18"/>
        <v>276480</v>
      </c>
      <c r="Z239" s="409">
        <v>0.53</v>
      </c>
      <c r="AA239" s="410">
        <f t="shared" si="19"/>
        <v>146534.39999999999</v>
      </c>
      <c r="AB239" s="411"/>
      <c r="AC239" s="412"/>
      <c r="AD239" s="421"/>
      <c r="AE239" s="413"/>
      <c r="AF239" s="424">
        <f t="shared" si="20"/>
        <v>146534.39999999999</v>
      </c>
      <c r="AG239" s="405" t="s">
        <v>47</v>
      </c>
      <c r="AH239" s="405"/>
      <c r="AI239" s="405">
        <v>45</v>
      </c>
      <c r="AJ239" s="405" t="s">
        <v>1607</v>
      </c>
      <c r="AK239" s="405" t="s">
        <v>50</v>
      </c>
      <c r="AL239" s="425">
        <v>91311</v>
      </c>
      <c r="AM239" s="405" t="s">
        <v>52</v>
      </c>
      <c r="AN239" s="405"/>
      <c r="AO239" s="405"/>
      <c r="AP239" s="413"/>
      <c r="AQ239" s="413" t="s">
        <v>37</v>
      </c>
      <c r="AR239" s="405"/>
      <c r="AS239" s="403"/>
      <c r="AT239" s="281"/>
      <c r="AU239" s="386"/>
      <c r="AV239" s="403"/>
    </row>
    <row r="240" spans="1:48" s="402" customFormat="1" ht="15" customHeight="1">
      <c r="A240" s="278"/>
      <c r="B240" s="279"/>
      <c r="C240" s="284"/>
      <c r="D240" s="374" t="s">
        <v>2804</v>
      </c>
      <c r="E240" s="294"/>
      <c r="F240" s="432"/>
      <c r="G240" s="432">
        <v>2022</v>
      </c>
      <c r="H240" s="432"/>
      <c r="I240" s="360" t="s">
        <v>1241</v>
      </c>
      <c r="J240" s="433"/>
      <c r="K240" s="432" t="s">
        <v>1133</v>
      </c>
      <c r="L240" s="433" t="s">
        <v>1112</v>
      </c>
      <c r="M240" s="433">
        <v>44645</v>
      </c>
      <c r="N240" s="433">
        <v>44818</v>
      </c>
      <c r="O240" s="433"/>
      <c r="P240" s="433"/>
      <c r="Q240" s="432"/>
      <c r="R240" s="432"/>
      <c r="S240" s="432" t="s">
        <v>1098</v>
      </c>
      <c r="T240" s="436">
        <v>60</v>
      </c>
      <c r="U240" s="372"/>
      <c r="V240" s="432" t="s">
        <v>1018</v>
      </c>
      <c r="W240" s="436">
        <v>360</v>
      </c>
      <c r="X240" s="372">
        <v>728</v>
      </c>
      <c r="Y240" s="408">
        <f t="shared" si="18"/>
        <v>262080</v>
      </c>
      <c r="Z240" s="409">
        <v>0.8</v>
      </c>
      <c r="AA240" s="410">
        <f t="shared" si="19"/>
        <v>209664</v>
      </c>
      <c r="AB240" s="362"/>
      <c r="AC240" s="412"/>
      <c r="AD240" s="405"/>
      <c r="AE240" s="413"/>
      <c r="AF240" s="424">
        <f t="shared" si="20"/>
        <v>209664</v>
      </c>
      <c r="AG240" s="405" t="s">
        <v>47</v>
      </c>
      <c r="AH240" s="395"/>
      <c r="AI240" s="405">
        <v>45</v>
      </c>
      <c r="AJ240" s="405" t="s">
        <v>1607</v>
      </c>
      <c r="AK240" s="405" t="s">
        <v>50</v>
      </c>
      <c r="AL240" s="425">
        <v>91311</v>
      </c>
      <c r="AM240" s="405" t="s">
        <v>52</v>
      </c>
      <c r="AN240" s="405"/>
      <c r="AO240" s="405"/>
      <c r="AP240" s="405"/>
      <c r="AQ240" s="413" t="s">
        <v>37</v>
      </c>
      <c r="AR240" s="405"/>
      <c r="AS240" s="363"/>
      <c r="AT240" s="335"/>
      <c r="AU240" s="363"/>
      <c r="AV240" s="403"/>
    </row>
    <row r="241" spans="1:48" s="402" customFormat="1" ht="15" customHeight="1">
      <c r="A241" s="278"/>
      <c r="B241" s="279"/>
      <c r="C241" s="284" t="s">
        <v>1186</v>
      </c>
      <c r="D241" s="374" t="s">
        <v>2804</v>
      </c>
      <c r="E241" s="294"/>
      <c r="F241" s="432"/>
      <c r="G241" s="432">
        <v>2022</v>
      </c>
      <c r="H241" s="432"/>
      <c r="I241" s="360" t="s">
        <v>1241</v>
      </c>
      <c r="J241" s="433"/>
      <c r="K241" s="432" t="s">
        <v>1133</v>
      </c>
      <c r="L241" s="433" t="s">
        <v>1112</v>
      </c>
      <c r="M241" s="433">
        <v>44645</v>
      </c>
      <c r="N241" s="433">
        <v>44825</v>
      </c>
      <c r="O241" s="433"/>
      <c r="P241" s="433"/>
      <c r="Q241" s="432"/>
      <c r="R241" s="432"/>
      <c r="S241" s="432" t="s">
        <v>1098</v>
      </c>
      <c r="T241" s="436">
        <v>60</v>
      </c>
      <c r="U241" s="372"/>
      <c r="V241" s="432" t="s">
        <v>973</v>
      </c>
      <c r="W241" s="436">
        <v>400</v>
      </c>
      <c r="X241" s="372">
        <v>832</v>
      </c>
      <c r="Y241" s="408">
        <f t="shared" si="18"/>
        <v>332800</v>
      </c>
      <c r="Z241" s="409">
        <v>0.55000000000000004</v>
      </c>
      <c r="AA241" s="410">
        <f t="shared" si="19"/>
        <v>183040.00000000003</v>
      </c>
      <c r="AB241" s="362"/>
      <c r="AC241" s="412"/>
      <c r="AD241" s="405"/>
      <c r="AE241" s="413"/>
      <c r="AF241" s="424">
        <f t="shared" si="20"/>
        <v>183040.00000000003</v>
      </c>
      <c r="AG241" s="405" t="s">
        <v>47</v>
      </c>
      <c r="AH241" s="395"/>
      <c r="AI241" s="405">
        <v>45</v>
      </c>
      <c r="AJ241" s="405" t="s">
        <v>1607</v>
      </c>
      <c r="AK241" s="405" t="s">
        <v>50</v>
      </c>
      <c r="AL241" s="425">
        <v>91311</v>
      </c>
      <c r="AM241" s="405" t="s">
        <v>52</v>
      </c>
      <c r="AN241" s="405"/>
      <c r="AO241" s="405"/>
      <c r="AP241" s="405"/>
      <c r="AQ241" s="413" t="s">
        <v>37</v>
      </c>
      <c r="AR241" s="405"/>
      <c r="AS241" s="363"/>
      <c r="AT241" s="335"/>
      <c r="AU241" s="363"/>
      <c r="AV241" s="403"/>
    </row>
    <row r="242" spans="1:48" s="402" customFormat="1" ht="15" customHeight="1">
      <c r="A242" s="278"/>
      <c r="B242" s="279"/>
      <c r="C242" s="284" t="s">
        <v>1186</v>
      </c>
      <c r="D242" s="374" t="s">
        <v>2804</v>
      </c>
      <c r="E242" s="293"/>
      <c r="F242" s="432"/>
      <c r="G242" s="432">
        <v>2022</v>
      </c>
      <c r="H242" s="432"/>
      <c r="I242" s="360" t="s">
        <v>1241</v>
      </c>
      <c r="J242" s="433"/>
      <c r="K242" s="432" t="s">
        <v>3946</v>
      </c>
      <c r="L242" s="433" t="s">
        <v>1112</v>
      </c>
      <c r="M242" s="433">
        <v>44645</v>
      </c>
      <c r="N242" s="433">
        <v>44750</v>
      </c>
      <c r="O242" s="433"/>
      <c r="P242" s="433"/>
      <c r="Q242" s="432"/>
      <c r="R242" s="432"/>
      <c r="S242" s="432" t="s">
        <v>1098</v>
      </c>
      <c r="T242" s="436">
        <v>60</v>
      </c>
      <c r="U242" s="372"/>
      <c r="V242" s="432" t="s">
        <v>986</v>
      </c>
      <c r="W242" s="436">
        <v>360</v>
      </c>
      <c r="X242" s="372">
        <v>768</v>
      </c>
      <c r="Y242" s="408">
        <f t="shared" si="18"/>
        <v>276480</v>
      </c>
      <c r="Z242" s="409">
        <v>0.53</v>
      </c>
      <c r="AA242" s="410">
        <f t="shared" si="19"/>
        <v>146534.39999999999</v>
      </c>
      <c r="AB242" s="362"/>
      <c r="AC242" s="412"/>
      <c r="AD242" s="405"/>
      <c r="AE242" s="413"/>
      <c r="AF242" s="424">
        <f t="shared" si="20"/>
        <v>146534.39999999999</v>
      </c>
      <c r="AG242" s="405" t="s">
        <v>47</v>
      </c>
      <c r="AH242" s="395"/>
      <c r="AI242" s="405">
        <v>45</v>
      </c>
      <c r="AJ242" s="405" t="s">
        <v>1607</v>
      </c>
      <c r="AK242" s="405" t="s">
        <v>50</v>
      </c>
      <c r="AL242" s="425">
        <v>91311</v>
      </c>
      <c r="AM242" s="405" t="s">
        <v>52</v>
      </c>
      <c r="AN242" s="405"/>
      <c r="AO242" s="405"/>
      <c r="AP242" s="405"/>
      <c r="AQ242" s="413" t="s">
        <v>37</v>
      </c>
      <c r="AR242" s="405"/>
      <c r="AS242" s="363"/>
      <c r="AT242" s="335"/>
      <c r="AU242" s="363"/>
      <c r="AV242" s="403"/>
    </row>
    <row r="243" spans="1:48" s="402" customFormat="1" ht="15" customHeight="1">
      <c r="A243" s="278"/>
      <c r="B243" s="279"/>
      <c r="C243" s="284" t="s">
        <v>1186</v>
      </c>
      <c r="D243" s="374" t="s">
        <v>2804</v>
      </c>
      <c r="E243" s="293"/>
      <c r="F243" s="432"/>
      <c r="G243" s="432">
        <v>2022</v>
      </c>
      <c r="H243" s="432"/>
      <c r="I243" s="360" t="s">
        <v>1241</v>
      </c>
      <c r="J243" s="433"/>
      <c r="K243" s="432" t="s">
        <v>3946</v>
      </c>
      <c r="L243" s="433" t="s">
        <v>1112</v>
      </c>
      <c r="M243" s="433">
        <v>44645</v>
      </c>
      <c r="N243" s="433">
        <v>44755</v>
      </c>
      <c r="O243" s="433"/>
      <c r="P243" s="433"/>
      <c r="Q243" s="432"/>
      <c r="R243" s="432"/>
      <c r="S243" s="432" t="s">
        <v>1098</v>
      </c>
      <c r="T243" s="436">
        <v>60</v>
      </c>
      <c r="U243" s="372"/>
      <c r="V243" s="432" t="s">
        <v>1018</v>
      </c>
      <c r="W243" s="436">
        <v>360</v>
      </c>
      <c r="X243" s="372">
        <v>728</v>
      </c>
      <c r="Y243" s="408">
        <f t="shared" si="18"/>
        <v>262080</v>
      </c>
      <c r="Z243" s="409">
        <v>0.8</v>
      </c>
      <c r="AA243" s="410">
        <f t="shared" si="19"/>
        <v>209664</v>
      </c>
      <c r="AB243" s="362"/>
      <c r="AC243" s="412"/>
      <c r="AD243" s="405"/>
      <c r="AE243" s="413"/>
      <c r="AF243" s="424">
        <f t="shared" si="20"/>
        <v>209664</v>
      </c>
      <c r="AG243" s="405" t="s">
        <v>47</v>
      </c>
      <c r="AH243" s="395"/>
      <c r="AI243" s="405">
        <v>45</v>
      </c>
      <c r="AJ243" s="405" t="s">
        <v>1607</v>
      </c>
      <c r="AK243" s="405" t="s">
        <v>50</v>
      </c>
      <c r="AL243" s="425">
        <v>91311</v>
      </c>
      <c r="AM243" s="405" t="s">
        <v>52</v>
      </c>
      <c r="AN243" s="405"/>
      <c r="AO243" s="405"/>
      <c r="AP243" s="405"/>
      <c r="AQ243" s="413" t="s">
        <v>37</v>
      </c>
      <c r="AR243" s="405"/>
      <c r="AS243" s="363"/>
      <c r="AT243" s="335"/>
      <c r="AU243" s="363"/>
      <c r="AV243" s="403"/>
    </row>
    <row r="244" spans="1:48" s="402" customFormat="1" ht="15" customHeight="1">
      <c r="A244" s="278"/>
      <c r="B244" s="279"/>
      <c r="C244" s="284" t="s">
        <v>1186</v>
      </c>
      <c r="D244" s="374" t="s">
        <v>2804</v>
      </c>
      <c r="E244" s="293"/>
      <c r="F244" s="432"/>
      <c r="G244" s="432">
        <v>2022</v>
      </c>
      <c r="H244" s="360"/>
      <c r="I244" s="360" t="s">
        <v>1241</v>
      </c>
      <c r="J244" s="433"/>
      <c r="K244" s="432" t="s">
        <v>3946</v>
      </c>
      <c r="L244" s="433" t="s">
        <v>1112</v>
      </c>
      <c r="M244" s="433">
        <v>44645</v>
      </c>
      <c r="N244" s="433">
        <v>44764</v>
      </c>
      <c r="O244" s="433"/>
      <c r="P244" s="433"/>
      <c r="Q244" s="432"/>
      <c r="R244" s="432"/>
      <c r="S244" s="432" t="s">
        <v>1098</v>
      </c>
      <c r="T244" s="436">
        <v>60</v>
      </c>
      <c r="U244" s="372"/>
      <c r="V244" s="432" t="s">
        <v>973</v>
      </c>
      <c r="W244" s="436">
        <v>400</v>
      </c>
      <c r="X244" s="372">
        <v>832</v>
      </c>
      <c r="Y244" s="408">
        <f t="shared" si="18"/>
        <v>332800</v>
      </c>
      <c r="Z244" s="409">
        <v>0.55000000000000004</v>
      </c>
      <c r="AA244" s="410">
        <f t="shared" si="19"/>
        <v>183040.00000000003</v>
      </c>
      <c r="AB244" s="411"/>
      <c r="AC244" s="412"/>
      <c r="AD244" s="421"/>
      <c r="AE244" s="413"/>
      <c r="AF244" s="424">
        <f t="shared" si="20"/>
        <v>183040.00000000003</v>
      </c>
      <c r="AG244" s="405" t="s">
        <v>47</v>
      </c>
      <c r="AH244" s="405"/>
      <c r="AI244" s="405">
        <v>45</v>
      </c>
      <c r="AJ244" s="405" t="s">
        <v>1607</v>
      </c>
      <c r="AK244" s="405" t="s">
        <v>50</v>
      </c>
      <c r="AL244" s="425">
        <v>91311</v>
      </c>
      <c r="AM244" s="405" t="s">
        <v>52</v>
      </c>
      <c r="AN244" s="405"/>
      <c r="AO244" s="405"/>
      <c r="AP244" s="413"/>
      <c r="AQ244" s="413" t="s">
        <v>37</v>
      </c>
      <c r="AR244" s="405"/>
      <c r="AS244" s="403"/>
      <c r="AT244" s="281"/>
      <c r="AU244" s="386"/>
      <c r="AV244" s="403"/>
    </row>
    <row r="245" spans="1:48" s="402" customFormat="1" ht="15" customHeight="1">
      <c r="A245" s="278"/>
      <c r="B245" s="279"/>
      <c r="C245" s="284" t="s">
        <v>1186</v>
      </c>
      <c r="D245" s="374" t="s">
        <v>2804</v>
      </c>
      <c r="E245" s="293"/>
      <c r="F245" s="432"/>
      <c r="G245" s="432">
        <v>2022</v>
      </c>
      <c r="H245" s="432"/>
      <c r="I245" s="360" t="s">
        <v>1241</v>
      </c>
      <c r="J245" s="433"/>
      <c r="K245" s="432" t="s">
        <v>3946</v>
      </c>
      <c r="L245" s="433" t="s">
        <v>1112</v>
      </c>
      <c r="M245" s="433">
        <v>44645</v>
      </c>
      <c r="N245" s="433">
        <v>44783</v>
      </c>
      <c r="O245" s="433"/>
      <c r="P245" s="433"/>
      <c r="Q245" s="432"/>
      <c r="R245" s="432"/>
      <c r="S245" s="432" t="s">
        <v>1098</v>
      </c>
      <c r="T245" s="436">
        <v>60</v>
      </c>
      <c r="U245" s="372"/>
      <c r="V245" s="432" t="s">
        <v>973</v>
      </c>
      <c r="W245" s="436">
        <v>400</v>
      </c>
      <c r="X245" s="372">
        <v>832</v>
      </c>
      <c r="Y245" s="408">
        <f t="shared" si="18"/>
        <v>332800</v>
      </c>
      <c r="Z245" s="409">
        <v>0.55000000000000004</v>
      </c>
      <c r="AA245" s="410">
        <f t="shared" si="19"/>
        <v>183040.00000000003</v>
      </c>
      <c r="AB245" s="362"/>
      <c r="AC245" s="412"/>
      <c r="AD245" s="405"/>
      <c r="AE245" s="413"/>
      <c r="AF245" s="424">
        <f t="shared" si="20"/>
        <v>183040.00000000003</v>
      </c>
      <c r="AG245" s="405" t="s">
        <v>47</v>
      </c>
      <c r="AH245" s="395"/>
      <c r="AI245" s="405">
        <v>45</v>
      </c>
      <c r="AJ245" s="405" t="s">
        <v>1607</v>
      </c>
      <c r="AK245" s="405" t="s">
        <v>50</v>
      </c>
      <c r="AL245" s="425">
        <v>91311</v>
      </c>
      <c r="AM245" s="405" t="s">
        <v>52</v>
      </c>
      <c r="AN245" s="405"/>
      <c r="AO245" s="405"/>
      <c r="AP245" s="405"/>
      <c r="AQ245" s="413" t="s">
        <v>37</v>
      </c>
      <c r="AR245" s="405"/>
      <c r="AS245" s="363"/>
      <c r="AT245" s="335"/>
      <c r="AU245" s="363"/>
      <c r="AV245" s="403"/>
    </row>
    <row r="246" spans="1:48" s="402" customFormat="1" ht="15" customHeight="1">
      <c r="A246" s="278"/>
      <c r="B246" s="279"/>
      <c r="C246" s="284" t="s">
        <v>1186</v>
      </c>
      <c r="D246" s="374" t="s">
        <v>2804</v>
      </c>
      <c r="E246" s="293"/>
      <c r="F246" s="432"/>
      <c r="G246" s="432">
        <v>2022</v>
      </c>
      <c r="H246" s="360"/>
      <c r="I246" s="360" t="s">
        <v>1241</v>
      </c>
      <c r="J246" s="433"/>
      <c r="K246" s="432" t="s">
        <v>3946</v>
      </c>
      <c r="L246" s="433" t="s">
        <v>1112</v>
      </c>
      <c r="M246" s="433">
        <v>44645</v>
      </c>
      <c r="N246" s="433">
        <v>44790</v>
      </c>
      <c r="O246" s="433"/>
      <c r="P246" s="433"/>
      <c r="Q246" s="432"/>
      <c r="R246" s="432"/>
      <c r="S246" s="432" t="s">
        <v>1098</v>
      </c>
      <c r="T246" s="436">
        <v>60</v>
      </c>
      <c r="U246" s="372"/>
      <c r="V246" s="432" t="s">
        <v>1018</v>
      </c>
      <c r="W246" s="436">
        <v>360</v>
      </c>
      <c r="X246" s="372">
        <v>728</v>
      </c>
      <c r="Y246" s="408">
        <f t="shared" si="18"/>
        <v>262080</v>
      </c>
      <c r="Z246" s="409">
        <v>0.8</v>
      </c>
      <c r="AA246" s="410">
        <f t="shared" si="19"/>
        <v>209664</v>
      </c>
      <c r="AB246" s="411"/>
      <c r="AC246" s="412"/>
      <c r="AD246" s="421"/>
      <c r="AE246" s="413"/>
      <c r="AF246" s="424">
        <f t="shared" si="20"/>
        <v>209664</v>
      </c>
      <c r="AG246" s="405" t="s">
        <v>47</v>
      </c>
      <c r="AH246" s="405"/>
      <c r="AI246" s="405">
        <v>45</v>
      </c>
      <c r="AJ246" s="405" t="s">
        <v>1607</v>
      </c>
      <c r="AK246" s="405" t="s">
        <v>50</v>
      </c>
      <c r="AL246" s="425">
        <v>91311</v>
      </c>
      <c r="AM246" s="405" t="s">
        <v>52</v>
      </c>
      <c r="AN246" s="405"/>
      <c r="AO246" s="405"/>
      <c r="AP246" s="413"/>
      <c r="AQ246" s="413" t="s">
        <v>37</v>
      </c>
      <c r="AR246" s="405"/>
      <c r="AS246" s="403"/>
      <c r="AT246" s="281"/>
      <c r="AU246" s="386"/>
      <c r="AV246" s="403"/>
    </row>
    <row r="247" spans="1:48" s="402" customFormat="1" ht="15" customHeight="1">
      <c r="A247" s="278"/>
      <c r="B247" s="279"/>
      <c r="C247" s="284" t="s">
        <v>1186</v>
      </c>
      <c r="D247" s="374" t="s">
        <v>2804</v>
      </c>
      <c r="E247" s="293"/>
      <c r="F247" s="432"/>
      <c r="G247" s="432">
        <v>2022</v>
      </c>
      <c r="H247" s="360"/>
      <c r="I247" s="360" t="s">
        <v>1241</v>
      </c>
      <c r="J247" s="433"/>
      <c r="K247" s="432" t="s">
        <v>3947</v>
      </c>
      <c r="L247" s="433" t="s">
        <v>1112</v>
      </c>
      <c r="M247" s="433">
        <v>44645</v>
      </c>
      <c r="N247" s="433">
        <v>44825</v>
      </c>
      <c r="O247" s="433"/>
      <c r="P247" s="433"/>
      <c r="Q247" s="432"/>
      <c r="R247" s="432"/>
      <c r="S247" s="432" t="s">
        <v>1098</v>
      </c>
      <c r="T247" s="436">
        <v>60</v>
      </c>
      <c r="U247" s="372"/>
      <c r="V247" s="432" t="s">
        <v>973</v>
      </c>
      <c r="W247" s="436">
        <v>400</v>
      </c>
      <c r="X247" s="372">
        <v>832</v>
      </c>
      <c r="Y247" s="408">
        <f t="shared" si="18"/>
        <v>332800</v>
      </c>
      <c r="Z247" s="409">
        <v>0.55000000000000004</v>
      </c>
      <c r="AA247" s="410">
        <f t="shared" si="19"/>
        <v>183040.00000000003</v>
      </c>
      <c r="AB247" s="411"/>
      <c r="AC247" s="412"/>
      <c r="AD247" s="421"/>
      <c r="AE247" s="413"/>
      <c r="AF247" s="424">
        <f t="shared" si="20"/>
        <v>183040.00000000003</v>
      </c>
      <c r="AG247" s="405" t="s">
        <v>47</v>
      </c>
      <c r="AH247" s="405"/>
      <c r="AI247" s="405">
        <v>45</v>
      </c>
      <c r="AJ247" s="405" t="s">
        <v>1120</v>
      </c>
      <c r="AK247" s="405" t="s">
        <v>1082</v>
      </c>
      <c r="AL247" s="425">
        <v>8505</v>
      </c>
      <c r="AM247" s="405" t="s">
        <v>52</v>
      </c>
      <c r="AN247" s="405"/>
      <c r="AO247" s="405"/>
      <c r="AP247" s="413"/>
      <c r="AQ247" s="413" t="s">
        <v>37</v>
      </c>
      <c r="AR247" s="405"/>
      <c r="AS247" s="403"/>
      <c r="AT247" s="281"/>
      <c r="AU247" s="386"/>
      <c r="AV247" s="403"/>
    </row>
    <row r="248" spans="1:48" s="402" customFormat="1" ht="15" customHeight="1">
      <c r="A248" s="278"/>
      <c r="B248" s="279"/>
      <c r="C248" s="284" t="s">
        <v>1186</v>
      </c>
      <c r="D248" s="374" t="s">
        <v>2804</v>
      </c>
      <c r="E248" s="293"/>
      <c r="F248" s="432"/>
      <c r="G248" s="432">
        <v>2022</v>
      </c>
      <c r="H248" s="432"/>
      <c r="I248" s="360" t="s">
        <v>1241</v>
      </c>
      <c r="J248" s="433"/>
      <c r="K248" s="432" t="s">
        <v>3948</v>
      </c>
      <c r="L248" s="433" t="s">
        <v>1112</v>
      </c>
      <c r="M248" s="433">
        <v>44645</v>
      </c>
      <c r="N248" s="433">
        <v>44755</v>
      </c>
      <c r="O248" s="433"/>
      <c r="P248" s="433"/>
      <c r="Q248" s="432"/>
      <c r="R248" s="432"/>
      <c r="S248" s="432" t="s">
        <v>1098</v>
      </c>
      <c r="T248" s="436">
        <v>60</v>
      </c>
      <c r="U248" s="372"/>
      <c r="V248" s="432" t="s">
        <v>986</v>
      </c>
      <c r="W248" s="436">
        <v>360</v>
      </c>
      <c r="X248" s="372">
        <v>768</v>
      </c>
      <c r="Y248" s="408">
        <f t="shared" si="18"/>
        <v>276480</v>
      </c>
      <c r="Z248" s="409">
        <v>0.53</v>
      </c>
      <c r="AA248" s="410">
        <f t="shared" si="19"/>
        <v>146534.39999999999</v>
      </c>
      <c r="AB248" s="362"/>
      <c r="AC248" s="412"/>
      <c r="AD248" s="405"/>
      <c r="AE248" s="413"/>
      <c r="AF248" s="424">
        <f t="shared" si="20"/>
        <v>146534.39999999999</v>
      </c>
      <c r="AG248" s="405" t="s">
        <v>47</v>
      </c>
      <c r="AH248" s="395"/>
      <c r="AI248" s="405">
        <v>45</v>
      </c>
      <c r="AJ248" s="405" t="s">
        <v>1120</v>
      </c>
      <c r="AK248" s="405" t="s">
        <v>1082</v>
      </c>
      <c r="AL248" s="425">
        <v>8505</v>
      </c>
      <c r="AM248" s="405" t="s">
        <v>52</v>
      </c>
      <c r="AN248" s="405"/>
      <c r="AO248" s="405"/>
      <c r="AP248" s="405"/>
      <c r="AQ248" s="413" t="s">
        <v>37</v>
      </c>
      <c r="AR248" s="405"/>
      <c r="AS248" s="363"/>
      <c r="AT248" s="335"/>
      <c r="AU248" s="363"/>
      <c r="AV248" s="403"/>
    </row>
    <row r="249" spans="1:48" s="402" customFormat="1" ht="15" customHeight="1">
      <c r="A249" s="278"/>
      <c r="B249" s="279"/>
      <c r="C249" s="284" t="s">
        <v>1186</v>
      </c>
      <c r="D249" s="374" t="s">
        <v>2804</v>
      </c>
      <c r="E249" s="293"/>
      <c r="F249" s="432"/>
      <c r="G249" s="432">
        <v>2022</v>
      </c>
      <c r="H249" s="360"/>
      <c r="I249" s="360" t="s">
        <v>1241</v>
      </c>
      <c r="J249" s="433"/>
      <c r="K249" s="432" t="s">
        <v>3948</v>
      </c>
      <c r="L249" s="433" t="s">
        <v>1112</v>
      </c>
      <c r="M249" s="433">
        <v>44645</v>
      </c>
      <c r="N249" s="433">
        <v>44764</v>
      </c>
      <c r="O249" s="433"/>
      <c r="P249" s="433"/>
      <c r="Q249" s="432"/>
      <c r="R249" s="432"/>
      <c r="S249" s="432" t="s">
        <v>1098</v>
      </c>
      <c r="T249" s="436">
        <v>60</v>
      </c>
      <c r="U249" s="372"/>
      <c r="V249" s="432" t="s">
        <v>1018</v>
      </c>
      <c r="W249" s="436">
        <v>360</v>
      </c>
      <c r="X249" s="372">
        <v>728</v>
      </c>
      <c r="Y249" s="408">
        <f t="shared" si="18"/>
        <v>262080</v>
      </c>
      <c r="Z249" s="409">
        <v>0.8</v>
      </c>
      <c r="AA249" s="410">
        <f t="shared" si="19"/>
        <v>209664</v>
      </c>
      <c r="AB249" s="411"/>
      <c r="AC249" s="412"/>
      <c r="AD249" s="421"/>
      <c r="AE249" s="413"/>
      <c r="AF249" s="424">
        <f t="shared" si="20"/>
        <v>209664</v>
      </c>
      <c r="AG249" s="405" t="s">
        <v>47</v>
      </c>
      <c r="AH249" s="405"/>
      <c r="AI249" s="405">
        <v>45</v>
      </c>
      <c r="AJ249" s="405" t="s">
        <v>1120</v>
      </c>
      <c r="AK249" s="405" t="s">
        <v>1082</v>
      </c>
      <c r="AL249" s="425">
        <v>8505</v>
      </c>
      <c r="AM249" s="405" t="s">
        <v>52</v>
      </c>
      <c r="AN249" s="405"/>
      <c r="AO249" s="405"/>
      <c r="AP249" s="413"/>
      <c r="AQ249" s="413" t="s">
        <v>37</v>
      </c>
      <c r="AR249" s="405"/>
      <c r="AS249" s="403"/>
      <c r="AT249" s="281"/>
      <c r="AU249" s="386"/>
      <c r="AV249" s="403"/>
    </row>
    <row r="250" spans="1:48" s="402" customFormat="1" ht="15" customHeight="1">
      <c r="A250" s="278"/>
      <c r="B250" s="279"/>
      <c r="C250" s="284" t="s">
        <v>1186</v>
      </c>
      <c r="D250" s="374" t="s">
        <v>2804</v>
      </c>
      <c r="E250" s="293"/>
      <c r="F250" s="432"/>
      <c r="G250" s="432">
        <v>2022</v>
      </c>
      <c r="H250" s="360"/>
      <c r="I250" s="360" t="s">
        <v>1241</v>
      </c>
      <c r="J250" s="433"/>
      <c r="K250" s="432" t="s">
        <v>3948</v>
      </c>
      <c r="L250" s="433" t="s">
        <v>1112</v>
      </c>
      <c r="M250" s="433">
        <v>44645</v>
      </c>
      <c r="N250" s="433">
        <v>44783</v>
      </c>
      <c r="O250" s="433"/>
      <c r="P250" s="433"/>
      <c r="Q250" s="432"/>
      <c r="R250" s="432"/>
      <c r="S250" s="432" t="s">
        <v>1098</v>
      </c>
      <c r="T250" s="436">
        <v>60</v>
      </c>
      <c r="U250" s="372"/>
      <c r="V250" s="432" t="s">
        <v>973</v>
      </c>
      <c r="W250" s="436">
        <v>400</v>
      </c>
      <c r="X250" s="372">
        <v>832</v>
      </c>
      <c r="Y250" s="408">
        <f t="shared" si="18"/>
        <v>332800</v>
      </c>
      <c r="Z250" s="409">
        <v>0.55000000000000004</v>
      </c>
      <c r="AA250" s="410">
        <f t="shared" si="19"/>
        <v>183040.00000000003</v>
      </c>
      <c r="AB250" s="411"/>
      <c r="AC250" s="412"/>
      <c r="AD250" s="421"/>
      <c r="AE250" s="413"/>
      <c r="AF250" s="424">
        <f t="shared" si="20"/>
        <v>183040.00000000003</v>
      </c>
      <c r="AG250" s="405" t="s">
        <v>47</v>
      </c>
      <c r="AH250" s="405"/>
      <c r="AI250" s="405">
        <v>45</v>
      </c>
      <c r="AJ250" s="405" t="s">
        <v>1120</v>
      </c>
      <c r="AK250" s="405" t="s">
        <v>1082</v>
      </c>
      <c r="AL250" s="425">
        <v>8505</v>
      </c>
      <c r="AM250" s="405" t="s">
        <v>52</v>
      </c>
      <c r="AN250" s="405"/>
      <c r="AO250" s="405"/>
      <c r="AP250" s="413"/>
      <c r="AQ250" s="413" t="s">
        <v>37</v>
      </c>
      <c r="AR250" s="405"/>
      <c r="AS250" s="403"/>
      <c r="AT250" s="281"/>
      <c r="AU250" s="386"/>
      <c r="AV250" s="403"/>
    </row>
    <row r="251" spans="1:48" s="402" customFormat="1" ht="15" customHeight="1">
      <c r="A251" s="278"/>
      <c r="B251" s="279"/>
      <c r="C251" s="284" t="s">
        <v>1186</v>
      </c>
      <c r="D251" s="374" t="s">
        <v>2804</v>
      </c>
      <c r="E251" s="293"/>
      <c r="F251" s="432"/>
      <c r="G251" s="432">
        <v>2022</v>
      </c>
      <c r="H251" s="360"/>
      <c r="I251" s="360" t="s">
        <v>1241</v>
      </c>
      <c r="J251" s="433"/>
      <c r="K251" s="432" t="s">
        <v>3948</v>
      </c>
      <c r="L251" s="433" t="s">
        <v>1112</v>
      </c>
      <c r="M251" s="433">
        <v>44645</v>
      </c>
      <c r="N251" s="433">
        <v>44811</v>
      </c>
      <c r="O251" s="433"/>
      <c r="P251" s="433"/>
      <c r="Q251" s="432"/>
      <c r="R251" s="432"/>
      <c r="S251" s="432" t="s">
        <v>1098</v>
      </c>
      <c r="T251" s="436">
        <v>60</v>
      </c>
      <c r="U251" s="372"/>
      <c r="V251" s="432" t="s">
        <v>986</v>
      </c>
      <c r="W251" s="436">
        <v>360</v>
      </c>
      <c r="X251" s="372">
        <v>768</v>
      </c>
      <c r="Y251" s="408">
        <f t="shared" si="18"/>
        <v>276480</v>
      </c>
      <c r="Z251" s="409">
        <v>0.53</v>
      </c>
      <c r="AA251" s="410">
        <f t="shared" si="19"/>
        <v>146534.39999999999</v>
      </c>
      <c r="AB251" s="411"/>
      <c r="AC251" s="412"/>
      <c r="AD251" s="421"/>
      <c r="AE251" s="413"/>
      <c r="AF251" s="424">
        <f t="shared" si="20"/>
        <v>146534.39999999999</v>
      </c>
      <c r="AG251" s="405" t="s">
        <v>47</v>
      </c>
      <c r="AH251" s="405"/>
      <c r="AI251" s="405">
        <v>45</v>
      </c>
      <c r="AJ251" s="405" t="s">
        <v>1120</v>
      </c>
      <c r="AK251" s="405" t="s">
        <v>1082</v>
      </c>
      <c r="AL251" s="425">
        <v>8505</v>
      </c>
      <c r="AM251" s="405" t="s">
        <v>52</v>
      </c>
      <c r="AN251" s="405"/>
      <c r="AO251" s="405"/>
      <c r="AP251" s="413"/>
      <c r="AQ251" s="413" t="s">
        <v>37</v>
      </c>
      <c r="AR251" s="405"/>
      <c r="AS251" s="403"/>
      <c r="AT251" s="281"/>
      <c r="AU251" s="386"/>
      <c r="AV251" s="403"/>
    </row>
    <row r="252" spans="1:48" s="402" customFormat="1" ht="15" customHeight="1">
      <c r="A252" s="278"/>
      <c r="B252" s="279"/>
      <c r="C252" s="284" t="s">
        <v>1186</v>
      </c>
      <c r="D252" s="374" t="s">
        <v>2804</v>
      </c>
      <c r="E252" s="293"/>
      <c r="F252" s="432"/>
      <c r="G252" s="432">
        <v>2022</v>
      </c>
      <c r="H252" s="360"/>
      <c r="I252" s="360" t="s">
        <v>1241</v>
      </c>
      <c r="J252" s="433"/>
      <c r="K252" s="432" t="s">
        <v>3948</v>
      </c>
      <c r="L252" s="433" t="s">
        <v>1112</v>
      </c>
      <c r="M252" s="433">
        <v>44645</v>
      </c>
      <c r="N252" s="433">
        <v>44818</v>
      </c>
      <c r="O252" s="433"/>
      <c r="P252" s="433"/>
      <c r="Q252" s="432"/>
      <c r="R252" s="432"/>
      <c r="S252" s="432" t="s">
        <v>1098</v>
      </c>
      <c r="T252" s="436">
        <v>60</v>
      </c>
      <c r="U252" s="372"/>
      <c r="V252" s="432" t="s">
        <v>1018</v>
      </c>
      <c r="W252" s="436">
        <v>360</v>
      </c>
      <c r="X252" s="372">
        <v>728</v>
      </c>
      <c r="Y252" s="408">
        <f t="shared" si="18"/>
        <v>262080</v>
      </c>
      <c r="Z252" s="409">
        <v>0.8</v>
      </c>
      <c r="AA252" s="410">
        <f t="shared" si="19"/>
        <v>209664</v>
      </c>
      <c r="AB252" s="411"/>
      <c r="AC252" s="412"/>
      <c r="AD252" s="421"/>
      <c r="AE252" s="413"/>
      <c r="AF252" s="424">
        <f t="shared" si="20"/>
        <v>209664</v>
      </c>
      <c r="AG252" s="405" t="s">
        <v>47</v>
      </c>
      <c r="AH252" s="405"/>
      <c r="AI252" s="405">
        <v>45</v>
      </c>
      <c r="AJ252" s="405" t="s">
        <v>1120</v>
      </c>
      <c r="AK252" s="405" t="s">
        <v>1082</v>
      </c>
      <c r="AL252" s="425">
        <v>8505</v>
      </c>
      <c r="AM252" s="405" t="s">
        <v>52</v>
      </c>
      <c r="AN252" s="405"/>
      <c r="AO252" s="405"/>
      <c r="AP252" s="413"/>
      <c r="AQ252" s="413" t="s">
        <v>37</v>
      </c>
      <c r="AR252" s="405"/>
      <c r="AS252" s="403"/>
      <c r="AT252" s="281"/>
      <c r="AU252" s="386"/>
      <c r="AV252" s="403"/>
    </row>
    <row r="253" spans="1:48" s="402" customFormat="1" ht="15" customHeight="1">
      <c r="A253" s="278"/>
      <c r="B253" s="279"/>
      <c r="C253" s="284" t="s">
        <v>1186</v>
      </c>
      <c r="D253" s="374" t="s">
        <v>2804</v>
      </c>
      <c r="E253" s="293"/>
      <c r="F253" s="432"/>
      <c r="G253" s="432">
        <v>2022</v>
      </c>
      <c r="H253" s="360"/>
      <c r="I253" s="360" t="s">
        <v>1241</v>
      </c>
      <c r="J253" s="433"/>
      <c r="K253" s="432" t="s">
        <v>1134</v>
      </c>
      <c r="L253" s="433" t="s">
        <v>1112</v>
      </c>
      <c r="M253" s="433">
        <v>44645</v>
      </c>
      <c r="N253" s="433">
        <v>44755</v>
      </c>
      <c r="O253" s="433"/>
      <c r="P253" s="433"/>
      <c r="Q253" s="432"/>
      <c r="R253" s="432"/>
      <c r="S253" s="432" t="s">
        <v>1098</v>
      </c>
      <c r="T253" s="436">
        <v>60</v>
      </c>
      <c r="U253" s="372"/>
      <c r="V253" s="432" t="s">
        <v>973</v>
      </c>
      <c r="W253" s="436">
        <v>400</v>
      </c>
      <c r="X253" s="372">
        <v>832</v>
      </c>
      <c r="Y253" s="408">
        <f t="shared" si="18"/>
        <v>332800</v>
      </c>
      <c r="Z253" s="409">
        <v>0.55000000000000004</v>
      </c>
      <c r="AA253" s="410">
        <f t="shared" si="19"/>
        <v>183040.00000000003</v>
      </c>
      <c r="AB253" s="411"/>
      <c r="AC253" s="412"/>
      <c r="AD253" s="421"/>
      <c r="AE253" s="413"/>
      <c r="AF253" s="424">
        <f t="shared" si="20"/>
        <v>183040.00000000003</v>
      </c>
      <c r="AG253" s="405" t="s">
        <v>47</v>
      </c>
      <c r="AH253" s="405"/>
      <c r="AI253" s="405">
        <v>45</v>
      </c>
      <c r="AJ253" s="405" t="s">
        <v>1135</v>
      </c>
      <c r="AK253" s="405" t="s">
        <v>1136</v>
      </c>
      <c r="AL253" s="425">
        <v>74074</v>
      </c>
      <c r="AM253" s="405" t="s">
        <v>52</v>
      </c>
      <c r="AN253" s="405"/>
      <c r="AO253" s="405"/>
      <c r="AP253" s="413"/>
      <c r="AQ253" s="413" t="s">
        <v>37</v>
      </c>
      <c r="AR253" s="405"/>
      <c r="AS253" s="403"/>
      <c r="AT253" s="281"/>
      <c r="AU253" s="386"/>
      <c r="AV253" s="403"/>
    </row>
    <row r="254" spans="1:48" s="402" customFormat="1" ht="15" customHeight="1">
      <c r="A254" s="278"/>
      <c r="B254" s="279"/>
      <c r="C254" s="284" t="s">
        <v>1186</v>
      </c>
      <c r="D254" s="374" t="s">
        <v>2804</v>
      </c>
      <c r="E254" s="293"/>
      <c r="F254" s="432"/>
      <c r="G254" s="432">
        <v>2022</v>
      </c>
      <c r="H254" s="432"/>
      <c r="I254" s="360" t="s">
        <v>1241</v>
      </c>
      <c r="J254" s="433"/>
      <c r="K254" s="432" t="s">
        <v>1134</v>
      </c>
      <c r="L254" s="433" t="s">
        <v>1112</v>
      </c>
      <c r="M254" s="433">
        <v>44645</v>
      </c>
      <c r="N254" s="433">
        <v>44783</v>
      </c>
      <c r="O254" s="433"/>
      <c r="P254" s="433"/>
      <c r="Q254" s="432"/>
      <c r="R254" s="432"/>
      <c r="S254" s="432" t="s">
        <v>1098</v>
      </c>
      <c r="T254" s="436">
        <v>60</v>
      </c>
      <c r="U254" s="372"/>
      <c r="V254" s="432" t="s">
        <v>986</v>
      </c>
      <c r="W254" s="436">
        <v>360</v>
      </c>
      <c r="X254" s="372">
        <v>768</v>
      </c>
      <c r="Y254" s="408">
        <f t="shared" si="18"/>
        <v>276480</v>
      </c>
      <c r="Z254" s="409">
        <v>0.53</v>
      </c>
      <c r="AA254" s="410">
        <f t="shared" si="19"/>
        <v>146534.39999999999</v>
      </c>
      <c r="AB254" s="362"/>
      <c r="AC254" s="412"/>
      <c r="AD254" s="405"/>
      <c r="AE254" s="413"/>
      <c r="AF254" s="424">
        <f t="shared" si="20"/>
        <v>146534.39999999999</v>
      </c>
      <c r="AG254" s="405" t="s">
        <v>47</v>
      </c>
      <c r="AH254" s="395"/>
      <c r="AI254" s="405">
        <v>45</v>
      </c>
      <c r="AJ254" s="405" t="s">
        <v>1135</v>
      </c>
      <c r="AK254" s="405" t="s">
        <v>1136</v>
      </c>
      <c r="AL254" s="425">
        <v>74074</v>
      </c>
      <c r="AM254" s="405" t="s">
        <v>52</v>
      </c>
      <c r="AN254" s="405"/>
      <c r="AO254" s="405"/>
      <c r="AP254" s="405"/>
      <c r="AQ254" s="413" t="s">
        <v>37</v>
      </c>
      <c r="AR254" s="405"/>
      <c r="AS254" s="363"/>
      <c r="AT254" s="335"/>
      <c r="AU254" s="363"/>
      <c r="AV254" s="403"/>
    </row>
    <row r="255" spans="1:48" s="402" customFormat="1" ht="15" customHeight="1">
      <c r="A255" s="278"/>
      <c r="B255" s="279"/>
      <c r="C255" s="284" t="s">
        <v>1186</v>
      </c>
      <c r="D255" s="374" t="s">
        <v>2804</v>
      </c>
      <c r="E255" s="293"/>
      <c r="F255" s="432"/>
      <c r="G255" s="432">
        <v>2022</v>
      </c>
      <c r="H255" s="360"/>
      <c r="I255" s="360" t="s">
        <v>1241</v>
      </c>
      <c r="J255" s="433"/>
      <c r="K255" s="432" t="s">
        <v>1134</v>
      </c>
      <c r="L255" s="433" t="s">
        <v>1112</v>
      </c>
      <c r="M255" s="433">
        <v>44645</v>
      </c>
      <c r="N255" s="433">
        <v>44811</v>
      </c>
      <c r="O255" s="433"/>
      <c r="P255" s="433"/>
      <c r="Q255" s="432"/>
      <c r="R255" s="432"/>
      <c r="S255" s="432" t="s">
        <v>1098</v>
      </c>
      <c r="T255" s="436">
        <v>60</v>
      </c>
      <c r="U255" s="372"/>
      <c r="V255" s="432" t="s">
        <v>973</v>
      </c>
      <c r="W255" s="436">
        <v>400</v>
      </c>
      <c r="X255" s="372">
        <v>832</v>
      </c>
      <c r="Y255" s="408">
        <f t="shared" si="18"/>
        <v>332800</v>
      </c>
      <c r="Z255" s="409">
        <v>0.55000000000000004</v>
      </c>
      <c r="AA255" s="410">
        <f t="shared" si="19"/>
        <v>183040.00000000003</v>
      </c>
      <c r="AB255" s="411"/>
      <c r="AC255" s="412"/>
      <c r="AD255" s="421"/>
      <c r="AE255" s="413"/>
      <c r="AF255" s="424">
        <f t="shared" si="20"/>
        <v>183040.00000000003</v>
      </c>
      <c r="AG255" s="405" t="s">
        <v>47</v>
      </c>
      <c r="AH255" s="405"/>
      <c r="AI255" s="405">
        <v>45</v>
      </c>
      <c r="AJ255" s="405" t="s">
        <v>1135</v>
      </c>
      <c r="AK255" s="405" t="s">
        <v>1136</v>
      </c>
      <c r="AL255" s="425">
        <v>74074</v>
      </c>
      <c r="AM255" s="405" t="s">
        <v>52</v>
      </c>
      <c r="AN255" s="405"/>
      <c r="AO255" s="405"/>
      <c r="AP255" s="413"/>
      <c r="AQ255" s="413" t="s">
        <v>37</v>
      </c>
      <c r="AR255" s="405"/>
      <c r="AS255" s="403"/>
      <c r="AT255" s="281"/>
      <c r="AU255" s="386"/>
      <c r="AV255" s="403"/>
    </row>
    <row r="256" spans="1:48" s="402" customFormat="1" ht="15" customHeight="1">
      <c r="A256" s="278"/>
      <c r="B256" s="279"/>
      <c r="C256" s="284" t="s">
        <v>1186</v>
      </c>
      <c r="D256" s="374" t="s">
        <v>2804</v>
      </c>
      <c r="E256" s="293"/>
      <c r="F256" s="432"/>
      <c r="G256" s="432">
        <v>2022</v>
      </c>
      <c r="H256" s="360"/>
      <c r="I256" s="360" t="s">
        <v>1241</v>
      </c>
      <c r="J256" s="433"/>
      <c r="K256" s="432" t="s">
        <v>1134</v>
      </c>
      <c r="L256" s="433" t="s">
        <v>1112</v>
      </c>
      <c r="M256" s="433">
        <v>44645</v>
      </c>
      <c r="N256" s="433">
        <v>44820</v>
      </c>
      <c r="O256" s="433"/>
      <c r="P256" s="433"/>
      <c r="Q256" s="432"/>
      <c r="R256" s="432"/>
      <c r="S256" s="432" t="s">
        <v>1098</v>
      </c>
      <c r="T256" s="436">
        <v>60</v>
      </c>
      <c r="U256" s="372"/>
      <c r="V256" s="432" t="s">
        <v>1018</v>
      </c>
      <c r="W256" s="436">
        <v>360</v>
      </c>
      <c r="X256" s="372">
        <v>728</v>
      </c>
      <c r="Y256" s="408">
        <f t="shared" si="18"/>
        <v>262080</v>
      </c>
      <c r="Z256" s="409">
        <v>0.8</v>
      </c>
      <c r="AA256" s="410">
        <f t="shared" si="19"/>
        <v>209664</v>
      </c>
      <c r="AB256" s="411"/>
      <c r="AC256" s="412"/>
      <c r="AD256" s="421"/>
      <c r="AE256" s="413"/>
      <c r="AF256" s="424">
        <f t="shared" si="20"/>
        <v>209664</v>
      </c>
      <c r="AG256" s="405" t="s">
        <v>47</v>
      </c>
      <c r="AH256" s="405"/>
      <c r="AI256" s="405">
        <v>45</v>
      </c>
      <c r="AJ256" s="405" t="s">
        <v>1135</v>
      </c>
      <c r="AK256" s="405" t="s">
        <v>1136</v>
      </c>
      <c r="AL256" s="425">
        <v>74074</v>
      </c>
      <c r="AM256" s="405" t="s">
        <v>52</v>
      </c>
      <c r="AN256" s="405"/>
      <c r="AO256" s="405"/>
      <c r="AP256" s="413"/>
      <c r="AQ256" s="413" t="s">
        <v>37</v>
      </c>
      <c r="AR256" s="405"/>
      <c r="AS256" s="403"/>
      <c r="AT256" s="281"/>
      <c r="AU256" s="386"/>
      <c r="AV256" s="403"/>
    </row>
    <row r="257" spans="1:48" s="402" customFormat="1" ht="15" customHeight="1">
      <c r="A257" s="278"/>
      <c r="B257" s="279"/>
      <c r="C257" s="284" t="s">
        <v>1186</v>
      </c>
      <c r="D257" s="374" t="s">
        <v>2804</v>
      </c>
      <c r="E257" s="293"/>
      <c r="F257" s="432"/>
      <c r="G257" s="432">
        <v>2022</v>
      </c>
      <c r="H257" s="360"/>
      <c r="I257" s="360" t="s">
        <v>1241</v>
      </c>
      <c r="J257" s="433"/>
      <c r="K257" s="432" t="s">
        <v>1137</v>
      </c>
      <c r="L257" s="433" t="s">
        <v>1112</v>
      </c>
      <c r="M257" s="433">
        <v>44645</v>
      </c>
      <c r="N257" s="433">
        <v>44755</v>
      </c>
      <c r="O257" s="433"/>
      <c r="P257" s="433"/>
      <c r="Q257" s="432"/>
      <c r="R257" s="432"/>
      <c r="S257" s="432" t="s">
        <v>1098</v>
      </c>
      <c r="T257" s="436">
        <v>60</v>
      </c>
      <c r="U257" s="372"/>
      <c r="V257" s="432" t="s">
        <v>1018</v>
      </c>
      <c r="W257" s="436">
        <v>360</v>
      </c>
      <c r="X257" s="372">
        <v>728</v>
      </c>
      <c r="Y257" s="408">
        <f t="shared" si="18"/>
        <v>262080</v>
      </c>
      <c r="Z257" s="409">
        <v>0.8</v>
      </c>
      <c r="AA257" s="410">
        <f t="shared" si="19"/>
        <v>209664</v>
      </c>
      <c r="AB257" s="411"/>
      <c r="AC257" s="412"/>
      <c r="AD257" s="421"/>
      <c r="AE257" s="413"/>
      <c r="AF257" s="424">
        <f t="shared" si="20"/>
        <v>209664</v>
      </c>
      <c r="AG257" s="405" t="s">
        <v>47</v>
      </c>
      <c r="AH257" s="405"/>
      <c r="AI257" s="405">
        <v>45</v>
      </c>
      <c r="AJ257" s="405" t="s">
        <v>1138</v>
      </c>
      <c r="AK257" s="405" t="s">
        <v>50</v>
      </c>
      <c r="AL257" s="425">
        <v>94577</v>
      </c>
      <c r="AM257" s="405" t="s">
        <v>52</v>
      </c>
      <c r="AN257" s="405"/>
      <c r="AO257" s="405"/>
      <c r="AP257" s="413"/>
      <c r="AQ257" s="413" t="s">
        <v>37</v>
      </c>
      <c r="AR257" s="405"/>
      <c r="AS257" s="403"/>
      <c r="AT257" s="281"/>
      <c r="AU257" s="386"/>
      <c r="AV257" s="403"/>
    </row>
    <row r="258" spans="1:48" s="402" customFormat="1" ht="15" customHeight="1">
      <c r="A258" s="278"/>
      <c r="B258" s="279"/>
      <c r="C258" s="284" t="s">
        <v>1186</v>
      </c>
      <c r="D258" s="374" t="s">
        <v>2804</v>
      </c>
      <c r="E258" s="293"/>
      <c r="F258" s="432"/>
      <c r="G258" s="432">
        <v>2022</v>
      </c>
      <c r="H258" s="432"/>
      <c r="I258" s="360" t="s">
        <v>1241</v>
      </c>
      <c r="J258" s="433"/>
      <c r="K258" s="432" t="s">
        <v>1137</v>
      </c>
      <c r="L258" s="433" t="s">
        <v>1112</v>
      </c>
      <c r="M258" s="433">
        <v>44645</v>
      </c>
      <c r="N258" s="433">
        <v>44783</v>
      </c>
      <c r="O258" s="433"/>
      <c r="P258" s="433"/>
      <c r="Q258" s="432"/>
      <c r="R258" s="432"/>
      <c r="S258" s="432" t="s">
        <v>1098</v>
      </c>
      <c r="T258" s="436">
        <v>60</v>
      </c>
      <c r="U258" s="372"/>
      <c r="V258" s="432" t="s">
        <v>986</v>
      </c>
      <c r="W258" s="436">
        <v>360</v>
      </c>
      <c r="X258" s="372">
        <v>768</v>
      </c>
      <c r="Y258" s="408">
        <f t="shared" ref="Y258:Y321" si="21">W258*X258</f>
        <v>276480</v>
      </c>
      <c r="Z258" s="409">
        <v>0.53</v>
      </c>
      <c r="AA258" s="410">
        <f t="shared" ref="AA258:AA290" si="22">Z258*Y258</f>
        <v>146534.39999999999</v>
      </c>
      <c r="AB258" s="362"/>
      <c r="AC258" s="412"/>
      <c r="AD258" s="405"/>
      <c r="AE258" s="413"/>
      <c r="AF258" s="424">
        <f t="shared" ref="AF258:AF321" si="23">AE258+AD258+AA258</f>
        <v>146534.39999999999</v>
      </c>
      <c r="AG258" s="405" t="s">
        <v>47</v>
      </c>
      <c r="AH258" s="395"/>
      <c r="AI258" s="405">
        <v>45</v>
      </c>
      <c r="AJ258" s="405" t="s">
        <v>1138</v>
      </c>
      <c r="AK258" s="405" t="s">
        <v>50</v>
      </c>
      <c r="AL258" s="425">
        <v>94577</v>
      </c>
      <c r="AM258" s="405" t="s">
        <v>52</v>
      </c>
      <c r="AN258" s="405"/>
      <c r="AO258" s="405"/>
      <c r="AP258" s="405"/>
      <c r="AQ258" s="413" t="s">
        <v>37</v>
      </c>
      <c r="AR258" s="405"/>
      <c r="AS258" s="363"/>
      <c r="AT258" s="335"/>
      <c r="AU258" s="363"/>
      <c r="AV258" s="403"/>
    </row>
    <row r="259" spans="1:48" s="402" customFormat="1" ht="15" customHeight="1">
      <c r="A259" s="278"/>
      <c r="B259" s="279"/>
      <c r="C259" s="284" t="s">
        <v>1186</v>
      </c>
      <c r="D259" s="374" t="s">
        <v>2804</v>
      </c>
      <c r="E259" s="293"/>
      <c r="F259" s="432"/>
      <c r="G259" s="432">
        <v>2022</v>
      </c>
      <c r="H259" s="432"/>
      <c r="I259" s="360" t="s">
        <v>1241</v>
      </c>
      <c r="J259" s="433"/>
      <c r="K259" s="432" t="s">
        <v>1137</v>
      </c>
      <c r="L259" s="433" t="s">
        <v>1112</v>
      </c>
      <c r="M259" s="433">
        <v>44645</v>
      </c>
      <c r="N259" s="433">
        <v>44811</v>
      </c>
      <c r="O259" s="433"/>
      <c r="P259" s="433"/>
      <c r="Q259" s="432"/>
      <c r="R259" s="432"/>
      <c r="S259" s="432" t="s">
        <v>1098</v>
      </c>
      <c r="T259" s="436">
        <v>60</v>
      </c>
      <c r="U259" s="372"/>
      <c r="V259" s="432" t="s">
        <v>973</v>
      </c>
      <c r="W259" s="436">
        <v>400</v>
      </c>
      <c r="X259" s="372">
        <v>832</v>
      </c>
      <c r="Y259" s="408">
        <f t="shared" si="21"/>
        <v>332800</v>
      </c>
      <c r="Z259" s="409">
        <v>0.55000000000000004</v>
      </c>
      <c r="AA259" s="410">
        <f t="shared" si="22"/>
        <v>183040.00000000003</v>
      </c>
      <c r="AB259" s="362"/>
      <c r="AC259" s="412"/>
      <c r="AD259" s="405"/>
      <c r="AE259" s="413"/>
      <c r="AF259" s="424">
        <f t="shared" si="23"/>
        <v>183040.00000000003</v>
      </c>
      <c r="AG259" s="405" t="s">
        <v>47</v>
      </c>
      <c r="AH259" s="395"/>
      <c r="AI259" s="405">
        <v>45</v>
      </c>
      <c r="AJ259" s="405" t="s">
        <v>1138</v>
      </c>
      <c r="AK259" s="405" t="s">
        <v>50</v>
      </c>
      <c r="AL259" s="425">
        <v>94577</v>
      </c>
      <c r="AM259" s="405" t="s">
        <v>52</v>
      </c>
      <c r="AN259" s="405"/>
      <c r="AO259" s="405"/>
      <c r="AP259" s="405"/>
      <c r="AQ259" s="413" t="s">
        <v>37</v>
      </c>
      <c r="AR259" s="405"/>
      <c r="AS259" s="363"/>
      <c r="AT259" s="335"/>
      <c r="AU259" s="363"/>
      <c r="AV259" s="403"/>
    </row>
    <row r="260" spans="1:48" s="402" customFormat="1" ht="15" customHeight="1">
      <c r="A260" s="285"/>
      <c r="B260" s="284"/>
      <c r="C260" s="284" t="s">
        <v>1186</v>
      </c>
      <c r="D260" s="374" t="s">
        <v>2804</v>
      </c>
      <c r="E260" s="293"/>
      <c r="F260" s="432"/>
      <c r="G260" s="432">
        <v>2022</v>
      </c>
      <c r="H260" s="360"/>
      <c r="I260" s="360" t="s">
        <v>1241</v>
      </c>
      <c r="J260" s="433"/>
      <c r="K260" s="432" t="s">
        <v>3949</v>
      </c>
      <c r="L260" s="433" t="s">
        <v>1112</v>
      </c>
      <c r="M260" s="433">
        <v>44645</v>
      </c>
      <c r="N260" s="433">
        <v>44753</v>
      </c>
      <c r="O260" s="433"/>
      <c r="P260" s="433"/>
      <c r="Q260" s="432"/>
      <c r="R260" s="432"/>
      <c r="S260" s="432" t="s">
        <v>1098</v>
      </c>
      <c r="T260" s="436">
        <v>60</v>
      </c>
      <c r="U260" s="372"/>
      <c r="V260" s="432" t="s">
        <v>986</v>
      </c>
      <c r="W260" s="436">
        <v>360</v>
      </c>
      <c r="X260" s="372">
        <v>768</v>
      </c>
      <c r="Y260" s="408">
        <f t="shared" si="21"/>
        <v>276480</v>
      </c>
      <c r="Z260" s="409">
        <v>0.53</v>
      </c>
      <c r="AA260" s="411">
        <f t="shared" si="22"/>
        <v>146534.39999999999</v>
      </c>
      <c r="AB260" s="411"/>
      <c r="AC260" s="412">
        <f>AB260*Y260</f>
        <v>0</v>
      </c>
      <c r="AD260" s="421"/>
      <c r="AE260" s="413"/>
      <c r="AF260" s="424">
        <f t="shared" si="23"/>
        <v>146534.39999999999</v>
      </c>
      <c r="AG260" s="405" t="s">
        <v>47</v>
      </c>
      <c r="AH260" s="405"/>
      <c r="AI260" s="405">
        <v>45</v>
      </c>
      <c r="AJ260" s="405" t="s">
        <v>1113</v>
      </c>
      <c r="AK260" s="405" t="s">
        <v>1110</v>
      </c>
      <c r="AL260" s="425">
        <v>60433</v>
      </c>
      <c r="AM260" s="405" t="s">
        <v>52</v>
      </c>
      <c r="AN260" s="405"/>
      <c r="AO260" s="405"/>
      <c r="AP260" s="413"/>
      <c r="AQ260" s="413" t="s">
        <v>37</v>
      </c>
      <c r="AR260" s="405"/>
      <c r="AS260" s="419"/>
      <c r="AT260" s="287"/>
      <c r="AU260" s="286"/>
      <c r="AV260" s="419"/>
    </row>
    <row r="261" spans="1:48" s="402" customFormat="1" ht="15" customHeight="1">
      <c r="A261" s="285"/>
      <c r="B261" s="284"/>
      <c r="C261" s="284"/>
      <c r="D261" s="374" t="s">
        <v>2804</v>
      </c>
      <c r="E261" s="293"/>
      <c r="F261" s="432"/>
      <c r="G261" s="432">
        <v>2022</v>
      </c>
      <c r="H261" s="360"/>
      <c r="I261" s="360" t="s">
        <v>1241</v>
      </c>
      <c r="J261" s="433"/>
      <c r="K261" s="432" t="s">
        <v>3949</v>
      </c>
      <c r="L261" s="433" t="s">
        <v>1112</v>
      </c>
      <c r="M261" s="433">
        <v>44645</v>
      </c>
      <c r="N261" s="433">
        <v>44762</v>
      </c>
      <c r="O261" s="433"/>
      <c r="P261" s="433"/>
      <c r="Q261" s="432"/>
      <c r="R261" s="432"/>
      <c r="S261" s="432" t="s">
        <v>1098</v>
      </c>
      <c r="T261" s="436">
        <v>60</v>
      </c>
      <c r="U261" s="372"/>
      <c r="V261" s="432" t="s">
        <v>973</v>
      </c>
      <c r="W261" s="436">
        <v>400</v>
      </c>
      <c r="X261" s="372">
        <v>832</v>
      </c>
      <c r="Y261" s="408">
        <f t="shared" si="21"/>
        <v>332800</v>
      </c>
      <c r="Z261" s="409">
        <v>0.55000000000000004</v>
      </c>
      <c r="AA261" s="411">
        <f t="shared" si="22"/>
        <v>183040.00000000003</v>
      </c>
      <c r="AB261" s="411"/>
      <c r="AC261" s="412">
        <f>AB261*Y261</f>
        <v>0</v>
      </c>
      <c r="AD261" s="421"/>
      <c r="AE261" s="413"/>
      <c r="AF261" s="424">
        <f t="shared" si="23"/>
        <v>183040.00000000003</v>
      </c>
      <c r="AG261" s="405" t="s">
        <v>47</v>
      </c>
      <c r="AH261" s="405"/>
      <c r="AI261" s="405">
        <v>45</v>
      </c>
      <c r="AJ261" s="405" t="s">
        <v>1113</v>
      </c>
      <c r="AK261" s="405" t="s">
        <v>1110</v>
      </c>
      <c r="AL261" s="425">
        <v>60433</v>
      </c>
      <c r="AM261" s="405" t="s">
        <v>52</v>
      </c>
      <c r="AN261" s="405"/>
      <c r="AO261" s="405"/>
      <c r="AP261" s="413"/>
      <c r="AQ261" s="413" t="s">
        <v>37</v>
      </c>
      <c r="AR261" s="405"/>
      <c r="AS261" s="419"/>
      <c r="AT261" s="287"/>
      <c r="AU261" s="286"/>
      <c r="AV261" s="419"/>
    </row>
    <row r="262" spans="1:48" s="402" customFormat="1" ht="15" customHeight="1">
      <c r="A262" s="278"/>
      <c r="B262" s="279"/>
      <c r="C262" s="284" t="s">
        <v>1186</v>
      </c>
      <c r="D262" s="374" t="s">
        <v>2804</v>
      </c>
      <c r="E262" s="293"/>
      <c r="F262" s="432"/>
      <c r="G262" s="432">
        <v>2022</v>
      </c>
      <c r="H262" s="360"/>
      <c r="I262" s="360" t="s">
        <v>1241</v>
      </c>
      <c r="J262" s="433"/>
      <c r="K262" s="432" t="s">
        <v>3949</v>
      </c>
      <c r="L262" s="433" t="s">
        <v>1112</v>
      </c>
      <c r="M262" s="433">
        <v>44645</v>
      </c>
      <c r="N262" s="433">
        <v>44783</v>
      </c>
      <c r="O262" s="433"/>
      <c r="P262" s="433"/>
      <c r="Q262" s="432"/>
      <c r="R262" s="432"/>
      <c r="S262" s="432" t="s">
        <v>1098</v>
      </c>
      <c r="T262" s="436">
        <v>60</v>
      </c>
      <c r="U262" s="372"/>
      <c r="V262" s="432" t="s">
        <v>986</v>
      </c>
      <c r="W262" s="436">
        <v>360</v>
      </c>
      <c r="X262" s="372">
        <v>768</v>
      </c>
      <c r="Y262" s="408">
        <f t="shared" si="21"/>
        <v>276480</v>
      </c>
      <c r="Z262" s="409">
        <v>0.53</v>
      </c>
      <c r="AA262" s="410">
        <f t="shared" si="22"/>
        <v>146534.39999999999</v>
      </c>
      <c r="AB262" s="411"/>
      <c r="AC262" s="412">
        <f>AB262*Y262</f>
        <v>0</v>
      </c>
      <c r="AD262" s="421"/>
      <c r="AE262" s="413"/>
      <c r="AF262" s="424">
        <f t="shared" si="23"/>
        <v>146534.39999999999</v>
      </c>
      <c r="AG262" s="405" t="s">
        <v>47</v>
      </c>
      <c r="AH262" s="405"/>
      <c r="AI262" s="405">
        <v>45</v>
      </c>
      <c r="AJ262" s="405" t="s">
        <v>1113</v>
      </c>
      <c r="AK262" s="405" t="s">
        <v>1110</v>
      </c>
      <c r="AL262" s="425">
        <v>60433</v>
      </c>
      <c r="AM262" s="405" t="s">
        <v>52</v>
      </c>
      <c r="AN262" s="405"/>
      <c r="AO262" s="405"/>
      <c r="AP262" s="413"/>
      <c r="AQ262" s="413" t="s">
        <v>37</v>
      </c>
      <c r="AR262" s="405"/>
      <c r="AS262" s="403"/>
      <c r="AT262" s="281"/>
      <c r="AU262" s="386"/>
      <c r="AV262" s="403"/>
    </row>
    <row r="263" spans="1:48" s="402" customFormat="1" ht="15" customHeight="1">
      <c r="A263" s="278"/>
      <c r="B263" s="279"/>
      <c r="C263" s="284" t="s">
        <v>1186</v>
      </c>
      <c r="D263" s="374" t="s">
        <v>2804</v>
      </c>
      <c r="E263" s="293"/>
      <c r="F263" s="432"/>
      <c r="G263" s="432">
        <v>2022</v>
      </c>
      <c r="H263" s="360"/>
      <c r="I263" s="360" t="s">
        <v>1241</v>
      </c>
      <c r="J263" s="433"/>
      <c r="K263" s="432" t="s">
        <v>3949</v>
      </c>
      <c r="L263" s="433" t="s">
        <v>1112</v>
      </c>
      <c r="M263" s="433">
        <v>44645</v>
      </c>
      <c r="N263" s="433">
        <v>44792</v>
      </c>
      <c r="O263" s="433"/>
      <c r="P263" s="433"/>
      <c r="Q263" s="432"/>
      <c r="R263" s="432"/>
      <c r="S263" s="432" t="s">
        <v>1098</v>
      </c>
      <c r="T263" s="436">
        <v>60</v>
      </c>
      <c r="U263" s="372"/>
      <c r="V263" s="432" t="s">
        <v>973</v>
      </c>
      <c r="W263" s="436">
        <v>400</v>
      </c>
      <c r="X263" s="372">
        <v>832</v>
      </c>
      <c r="Y263" s="408">
        <f t="shared" si="21"/>
        <v>332800</v>
      </c>
      <c r="Z263" s="409">
        <v>0.55000000000000004</v>
      </c>
      <c r="AA263" s="410">
        <f t="shared" si="22"/>
        <v>183040.00000000003</v>
      </c>
      <c r="AB263" s="411"/>
      <c r="AC263" s="412">
        <f>AB263*Y263</f>
        <v>0</v>
      </c>
      <c r="AD263" s="421"/>
      <c r="AE263" s="413"/>
      <c r="AF263" s="424">
        <f t="shared" si="23"/>
        <v>183040.00000000003</v>
      </c>
      <c r="AG263" s="405" t="s">
        <v>47</v>
      </c>
      <c r="AH263" s="405"/>
      <c r="AI263" s="405">
        <v>45</v>
      </c>
      <c r="AJ263" s="405" t="s">
        <v>1113</v>
      </c>
      <c r="AK263" s="405" t="s">
        <v>1110</v>
      </c>
      <c r="AL263" s="425">
        <v>60433</v>
      </c>
      <c r="AM263" s="405" t="s">
        <v>52</v>
      </c>
      <c r="AN263" s="405"/>
      <c r="AO263" s="405"/>
      <c r="AP263" s="413"/>
      <c r="AQ263" s="413" t="s">
        <v>37</v>
      </c>
      <c r="AR263" s="405"/>
      <c r="AS263" s="403"/>
      <c r="AT263" s="281"/>
      <c r="AU263" s="386"/>
      <c r="AV263" s="403"/>
    </row>
    <row r="264" spans="1:48" s="402" customFormat="1" ht="15" customHeight="1">
      <c r="A264" s="278"/>
      <c r="B264" s="279"/>
      <c r="C264" s="284" t="s">
        <v>1186</v>
      </c>
      <c r="D264" s="374" t="s">
        <v>2804</v>
      </c>
      <c r="E264" s="293"/>
      <c r="F264" s="432"/>
      <c r="G264" s="432">
        <v>2022</v>
      </c>
      <c r="H264" s="432"/>
      <c r="I264" s="360" t="s">
        <v>1241</v>
      </c>
      <c r="J264" s="433"/>
      <c r="K264" s="432" t="s">
        <v>3949</v>
      </c>
      <c r="L264" s="433" t="s">
        <v>1112</v>
      </c>
      <c r="M264" s="433">
        <v>44645</v>
      </c>
      <c r="N264" s="433">
        <v>44818</v>
      </c>
      <c r="O264" s="433"/>
      <c r="P264" s="433"/>
      <c r="Q264" s="432"/>
      <c r="R264" s="432"/>
      <c r="S264" s="432" t="s">
        <v>1098</v>
      </c>
      <c r="T264" s="436">
        <v>60</v>
      </c>
      <c r="U264" s="372"/>
      <c r="V264" s="432" t="s">
        <v>973</v>
      </c>
      <c r="W264" s="436">
        <v>400</v>
      </c>
      <c r="X264" s="372">
        <v>832</v>
      </c>
      <c r="Y264" s="408">
        <f t="shared" si="21"/>
        <v>332800</v>
      </c>
      <c r="Z264" s="409">
        <v>0.55000000000000004</v>
      </c>
      <c r="AA264" s="410">
        <f t="shared" si="22"/>
        <v>183040.00000000003</v>
      </c>
      <c r="AB264" s="362"/>
      <c r="AC264" s="412">
        <f>AB264*Y264</f>
        <v>0</v>
      </c>
      <c r="AD264" s="405"/>
      <c r="AE264" s="413"/>
      <c r="AF264" s="424">
        <f t="shared" si="23"/>
        <v>183040.00000000003</v>
      </c>
      <c r="AG264" s="405" t="s">
        <v>47</v>
      </c>
      <c r="AH264" s="395"/>
      <c r="AI264" s="405">
        <v>45</v>
      </c>
      <c r="AJ264" s="405" t="s">
        <v>1113</v>
      </c>
      <c r="AK264" s="405" t="s">
        <v>1110</v>
      </c>
      <c r="AL264" s="425">
        <v>60433</v>
      </c>
      <c r="AM264" s="405" t="s">
        <v>52</v>
      </c>
      <c r="AN264" s="405"/>
      <c r="AO264" s="405"/>
      <c r="AP264" s="405"/>
      <c r="AQ264" s="413" t="s">
        <v>37</v>
      </c>
      <c r="AR264" s="405"/>
      <c r="AS264" s="363"/>
      <c r="AT264" s="335"/>
      <c r="AU264" s="363"/>
      <c r="AV264" s="403"/>
    </row>
    <row r="265" spans="1:48" s="402" customFormat="1" ht="15" customHeight="1">
      <c r="A265" s="278"/>
      <c r="B265" s="279"/>
      <c r="C265" s="284" t="s">
        <v>1186</v>
      </c>
      <c r="D265" s="374" t="s">
        <v>2804</v>
      </c>
      <c r="E265" s="293"/>
      <c r="F265" s="432"/>
      <c r="G265" s="432">
        <v>2022</v>
      </c>
      <c r="H265" s="432"/>
      <c r="I265" s="360" t="s">
        <v>1241</v>
      </c>
      <c r="J265" s="433"/>
      <c r="K265" s="432" t="s">
        <v>3950</v>
      </c>
      <c r="L265" s="433" t="s">
        <v>1112</v>
      </c>
      <c r="M265" s="433">
        <v>44616</v>
      </c>
      <c r="N265" s="433">
        <v>44697</v>
      </c>
      <c r="O265" s="433"/>
      <c r="P265" s="433"/>
      <c r="Q265" s="433"/>
      <c r="R265" s="433"/>
      <c r="S265" s="432" t="s">
        <v>1098</v>
      </c>
      <c r="T265" s="432">
        <v>60</v>
      </c>
      <c r="U265" s="432"/>
      <c r="V265" s="432" t="s">
        <v>986</v>
      </c>
      <c r="W265" s="436">
        <v>360</v>
      </c>
      <c r="X265" s="372">
        <v>768</v>
      </c>
      <c r="Y265" s="408">
        <f t="shared" si="21"/>
        <v>276480</v>
      </c>
      <c r="Z265" s="409">
        <v>0.53</v>
      </c>
      <c r="AA265" s="410">
        <f t="shared" si="22"/>
        <v>146534.39999999999</v>
      </c>
      <c r="AB265" s="362"/>
      <c r="AC265" s="412"/>
      <c r="AD265" s="405"/>
      <c r="AE265" s="413"/>
      <c r="AF265" s="424">
        <f t="shared" si="23"/>
        <v>146534.39999999999</v>
      </c>
      <c r="AG265" s="405" t="s">
        <v>47</v>
      </c>
      <c r="AH265" s="395"/>
      <c r="AI265" s="405">
        <v>45</v>
      </c>
      <c r="AJ265" s="405" t="s">
        <v>2883</v>
      </c>
      <c r="AK265" s="405" t="s">
        <v>1092</v>
      </c>
      <c r="AL265" s="425">
        <v>1583</v>
      </c>
      <c r="AM265" s="405" t="s">
        <v>52</v>
      </c>
      <c r="AN265" s="405"/>
      <c r="AO265" s="405"/>
      <c r="AP265" s="405"/>
      <c r="AQ265" s="413" t="s">
        <v>37</v>
      </c>
      <c r="AR265" s="405"/>
      <c r="AS265" s="363"/>
      <c r="AT265" s="335"/>
      <c r="AU265" s="363"/>
      <c r="AV265" s="403"/>
    </row>
    <row r="266" spans="1:48" s="402" customFormat="1" ht="15" customHeight="1">
      <c r="A266" s="278"/>
      <c r="B266" s="279"/>
      <c r="C266" s="284" t="s">
        <v>1186</v>
      </c>
      <c r="D266" s="374" t="s">
        <v>2804</v>
      </c>
      <c r="E266" s="293"/>
      <c r="F266" s="432"/>
      <c r="G266" s="432">
        <v>2022</v>
      </c>
      <c r="H266" s="432"/>
      <c r="I266" s="360" t="s">
        <v>1241</v>
      </c>
      <c r="J266" s="433"/>
      <c r="K266" s="432" t="s">
        <v>3950</v>
      </c>
      <c r="L266" s="433" t="s">
        <v>1112</v>
      </c>
      <c r="M266" s="433">
        <v>44616</v>
      </c>
      <c r="N266" s="433">
        <v>44697</v>
      </c>
      <c r="O266" s="433"/>
      <c r="P266" s="433"/>
      <c r="Q266" s="433"/>
      <c r="R266" s="433"/>
      <c r="S266" s="432" t="s">
        <v>1098</v>
      </c>
      <c r="T266" s="432">
        <v>60</v>
      </c>
      <c r="U266" s="432"/>
      <c r="V266" s="432" t="s">
        <v>986</v>
      </c>
      <c r="W266" s="436">
        <v>360</v>
      </c>
      <c r="X266" s="372">
        <v>768</v>
      </c>
      <c r="Y266" s="408">
        <f t="shared" si="21"/>
        <v>276480</v>
      </c>
      <c r="Z266" s="409">
        <v>0.53</v>
      </c>
      <c r="AA266" s="410">
        <f t="shared" si="22"/>
        <v>146534.39999999999</v>
      </c>
      <c r="AB266" s="362"/>
      <c r="AC266" s="412"/>
      <c r="AD266" s="405"/>
      <c r="AE266" s="413"/>
      <c r="AF266" s="424">
        <f t="shared" si="23"/>
        <v>146534.39999999999</v>
      </c>
      <c r="AG266" s="405" t="s">
        <v>47</v>
      </c>
      <c r="AH266" s="395"/>
      <c r="AI266" s="405">
        <v>45</v>
      </c>
      <c r="AJ266" s="405" t="s">
        <v>2883</v>
      </c>
      <c r="AK266" s="405" t="s">
        <v>1092</v>
      </c>
      <c r="AL266" s="425">
        <v>1583</v>
      </c>
      <c r="AM266" s="405" t="s">
        <v>52</v>
      </c>
      <c r="AN266" s="405"/>
      <c r="AO266" s="405"/>
      <c r="AP266" s="405"/>
      <c r="AQ266" s="413" t="s">
        <v>37</v>
      </c>
      <c r="AR266" s="405"/>
      <c r="AS266" s="363"/>
      <c r="AT266" s="335"/>
      <c r="AU266" s="363"/>
      <c r="AV266" s="403"/>
    </row>
    <row r="267" spans="1:48" s="402" customFormat="1" ht="15" customHeight="1">
      <c r="A267" s="278"/>
      <c r="B267" s="279"/>
      <c r="C267" s="284" t="s">
        <v>1186</v>
      </c>
      <c r="D267" s="374" t="s">
        <v>2804</v>
      </c>
      <c r="E267" s="293"/>
      <c r="F267" s="432"/>
      <c r="G267" s="432">
        <v>2022</v>
      </c>
      <c r="H267" s="432"/>
      <c r="I267" s="360" t="s">
        <v>1241</v>
      </c>
      <c r="J267" s="433"/>
      <c r="K267" s="432" t="s">
        <v>3950</v>
      </c>
      <c r="L267" s="433" t="s">
        <v>1112</v>
      </c>
      <c r="M267" s="433">
        <v>44616</v>
      </c>
      <c r="N267" s="433">
        <v>44722</v>
      </c>
      <c r="O267" s="433"/>
      <c r="P267" s="433"/>
      <c r="Q267" s="433"/>
      <c r="R267" s="433"/>
      <c r="S267" s="432" t="s">
        <v>1098</v>
      </c>
      <c r="T267" s="432">
        <v>60</v>
      </c>
      <c r="U267" s="432"/>
      <c r="V267" s="432" t="s">
        <v>986</v>
      </c>
      <c r="W267" s="436">
        <v>360</v>
      </c>
      <c r="X267" s="372">
        <v>768</v>
      </c>
      <c r="Y267" s="408">
        <f t="shared" si="21"/>
        <v>276480</v>
      </c>
      <c r="Z267" s="409">
        <v>0.53</v>
      </c>
      <c r="AA267" s="410">
        <f t="shared" si="22"/>
        <v>146534.39999999999</v>
      </c>
      <c r="AB267" s="362"/>
      <c r="AC267" s="412"/>
      <c r="AD267" s="405"/>
      <c r="AE267" s="413"/>
      <c r="AF267" s="424">
        <f t="shared" si="23"/>
        <v>146534.39999999999</v>
      </c>
      <c r="AG267" s="405" t="s">
        <v>47</v>
      </c>
      <c r="AH267" s="395"/>
      <c r="AI267" s="405">
        <v>45</v>
      </c>
      <c r="AJ267" s="405" t="s">
        <v>2883</v>
      </c>
      <c r="AK267" s="405" t="s">
        <v>1092</v>
      </c>
      <c r="AL267" s="425">
        <v>1583</v>
      </c>
      <c r="AM267" s="405" t="s">
        <v>52</v>
      </c>
      <c r="AN267" s="405"/>
      <c r="AO267" s="405"/>
      <c r="AP267" s="405"/>
      <c r="AQ267" s="413" t="s">
        <v>37</v>
      </c>
      <c r="AR267" s="405"/>
      <c r="AS267" s="363"/>
      <c r="AT267" s="335"/>
      <c r="AU267" s="363"/>
      <c r="AV267" s="403"/>
    </row>
    <row r="268" spans="1:48" s="402" customFormat="1" ht="15" customHeight="1">
      <c r="A268" s="278"/>
      <c r="B268" s="279"/>
      <c r="C268" s="284" t="s">
        <v>1186</v>
      </c>
      <c r="D268" s="374" t="s">
        <v>2804</v>
      </c>
      <c r="E268" s="293"/>
      <c r="F268" s="432"/>
      <c r="G268" s="432">
        <v>2022</v>
      </c>
      <c r="H268" s="432"/>
      <c r="I268" s="360" t="s">
        <v>1241</v>
      </c>
      <c r="J268" s="433"/>
      <c r="K268" s="432" t="s">
        <v>3950</v>
      </c>
      <c r="L268" s="433" t="s">
        <v>1112</v>
      </c>
      <c r="M268" s="433">
        <v>44616</v>
      </c>
      <c r="N268" s="433">
        <v>44722</v>
      </c>
      <c r="O268" s="433"/>
      <c r="P268" s="433"/>
      <c r="Q268" s="433"/>
      <c r="R268" s="433"/>
      <c r="S268" s="432" t="s">
        <v>1098</v>
      </c>
      <c r="T268" s="432">
        <v>60</v>
      </c>
      <c r="U268" s="432"/>
      <c r="V268" s="432" t="s">
        <v>986</v>
      </c>
      <c r="W268" s="436">
        <v>360</v>
      </c>
      <c r="X268" s="372">
        <v>768</v>
      </c>
      <c r="Y268" s="408">
        <f t="shared" si="21"/>
        <v>276480</v>
      </c>
      <c r="Z268" s="409">
        <v>0.53</v>
      </c>
      <c r="AA268" s="410">
        <f t="shared" si="22"/>
        <v>146534.39999999999</v>
      </c>
      <c r="AB268" s="362"/>
      <c r="AC268" s="412"/>
      <c r="AD268" s="405"/>
      <c r="AE268" s="413"/>
      <c r="AF268" s="424">
        <f t="shared" si="23"/>
        <v>146534.39999999999</v>
      </c>
      <c r="AG268" s="405" t="s">
        <v>47</v>
      </c>
      <c r="AH268" s="395"/>
      <c r="AI268" s="405">
        <v>45</v>
      </c>
      <c r="AJ268" s="405" t="s">
        <v>2883</v>
      </c>
      <c r="AK268" s="405" t="s">
        <v>1092</v>
      </c>
      <c r="AL268" s="425">
        <v>1583</v>
      </c>
      <c r="AM268" s="405" t="s">
        <v>52</v>
      </c>
      <c r="AN268" s="405"/>
      <c r="AO268" s="405"/>
      <c r="AP268" s="405"/>
      <c r="AQ268" s="413" t="s">
        <v>37</v>
      </c>
      <c r="AR268" s="405"/>
      <c r="AS268" s="363"/>
      <c r="AT268" s="335"/>
      <c r="AU268" s="363"/>
      <c r="AV268" s="403"/>
    </row>
    <row r="269" spans="1:48" s="402" customFormat="1" ht="15" customHeight="1">
      <c r="A269" s="278"/>
      <c r="B269" s="279"/>
      <c r="C269" s="284" t="s">
        <v>1186</v>
      </c>
      <c r="D269" s="374" t="s">
        <v>2804</v>
      </c>
      <c r="E269" s="293"/>
      <c r="F269" s="432"/>
      <c r="G269" s="432">
        <v>2022</v>
      </c>
      <c r="H269" s="432"/>
      <c r="I269" s="360" t="s">
        <v>1241</v>
      </c>
      <c r="J269" s="433"/>
      <c r="K269" s="432" t="s">
        <v>3950</v>
      </c>
      <c r="L269" s="433" t="s">
        <v>1112</v>
      </c>
      <c r="M269" s="433">
        <v>44616</v>
      </c>
      <c r="N269" s="433">
        <v>44736</v>
      </c>
      <c r="O269" s="433"/>
      <c r="P269" s="433"/>
      <c r="Q269" s="433"/>
      <c r="R269" s="433"/>
      <c r="S269" s="432" t="s">
        <v>1098</v>
      </c>
      <c r="T269" s="432">
        <v>60</v>
      </c>
      <c r="U269" s="432"/>
      <c r="V269" s="432" t="s">
        <v>986</v>
      </c>
      <c r="W269" s="436">
        <v>360</v>
      </c>
      <c r="X269" s="372">
        <v>768</v>
      </c>
      <c r="Y269" s="408">
        <f t="shared" si="21"/>
        <v>276480</v>
      </c>
      <c r="Z269" s="409">
        <v>0.53</v>
      </c>
      <c r="AA269" s="410">
        <f t="shared" si="22"/>
        <v>146534.39999999999</v>
      </c>
      <c r="AB269" s="362"/>
      <c r="AC269" s="412"/>
      <c r="AD269" s="405"/>
      <c r="AE269" s="413"/>
      <c r="AF269" s="424">
        <f t="shared" si="23"/>
        <v>146534.39999999999</v>
      </c>
      <c r="AG269" s="405" t="s">
        <v>47</v>
      </c>
      <c r="AH269" s="395"/>
      <c r="AI269" s="405">
        <v>45</v>
      </c>
      <c r="AJ269" s="405" t="s">
        <v>2883</v>
      </c>
      <c r="AK269" s="405" t="s">
        <v>1092</v>
      </c>
      <c r="AL269" s="425">
        <v>1583</v>
      </c>
      <c r="AM269" s="405" t="s">
        <v>52</v>
      </c>
      <c r="AN269" s="405"/>
      <c r="AO269" s="405"/>
      <c r="AP269" s="405"/>
      <c r="AQ269" s="413" t="s">
        <v>37</v>
      </c>
      <c r="AR269" s="405"/>
      <c r="AS269" s="363"/>
      <c r="AT269" s="335"/>
      <c r="AU269" s="363"/>
      <c r="AV269" s="403"/>
    </row>
    <row r="270" spans="1:48" s="402" customFormat="1" ht="15" customHeight="1">
      <c r="A270" s="278"/>
      <c r="B270" s="279"/>
      <c r="C270" s="284" t="s">
        <v>1186</v>
      </c>
      <c r="D270" s="374" t="s">
        <v>2804</v>
      </c>
      <c r="E270" s="293"/>
      <c r="F270" s="432"/>
      <c r="G270" s="432">
        <v>2022</v>
      </c>
      <c r="H270" s="432"/>
      <c r="I270" s="360" t="s">
        <v>1241</v>
      </c>
      <c r="J270" s="433"/>
      <c r="K270" s="432" t="s">
        <v>3950</v>
      </c>
      <c r="L270" s="433" t="s">
        <v>1112</v>
      </c>
      <c r="M270" s="433">
        <v>44616</v>
      </c>
      <c r="N270" s="433">
        <v>44736</v>
      </c>
      <c r="O270" s="433"/>
      <c r="P270" s="433"/>
      <c r="Q270" s="433"/>
      <c r="R270" s="433"/>
      <c r="S270" s="432" t="s">
        <v>1098</v>
      </c>
      <c r="T270" s="432">
        <v>60</v>
      </c>
      <c r="U270" s="432"/>
      <c r="V270" s="432" t="s">
        <v>986</v>
      </c>
      <c r="W270" s="436">
        <v>360</v>
      </c>
      <c r="X270" s="372">
        <v>768</v>
      </c>
      <c r="Y270" s="408">
        <f t="shared" si="21"/>
        <v>276480</v>
      </c>
      <c r="Z270" s="409">
        <v>0.53</v>
      </c>
      <c r="AA270" s="410">
        <f t="shared" si="22"/>
        <v>146534.39999999999</v>
      </c>
      <c r="AB270" s="362"/>
      <c r="AC270" s="412"/>
      <c r="AD270" s="405"/>
      <c r="AE270" s="413"/>
      <c r="AF270" s="424">
        <f t="shared" si="23"/>
        <v>146534.39999999999</v>
      </c>
      <c r="AG270" s="405" t="s">
        <v>47</v>
      </c>
      <c r="AH270" s="395"/>
      <c r="AI270" s="405">
        <v>45</v>
      </c>
      <c r="AJ270" s="405" t="s">
        <v>2883</v>
      </c>
      <c r="AK270" s="405" t="s">
        <v>1092</v>
      </c>
      <c r="AL270" s="425">
        <v>1583</v>
      </c>
      <c r="AM270" s="405" t="s">
        <v>52</v>
      </c>
      <c r="AN270" s="405"/>
      <c r="AO270" s="405"/>
      <c r="AP270" s="405"/>
      <c r="AQ270" s="413" t="s">
        <v>37</v>
      </c>
      <c r="AR270" s="405"/>
      <c r="AS270" s="363"/>
      <c r="AT270" s="335"/>
      <c r="AU270" s="363"/>
      <c r="AV270" s="403"/>
    </row>
    <row r="271" spans="1:48" s="402" customFormat="1" ht="15" customHeight="1">
      <c r="A271" s="278"/>
      <c r="B271" s="279"/>
      <c r="C271" s="284" t="s">
        <v>1186</v>
      </c>
      <c r="D271" s="374" t="s">
        <v>2804</v>
      </c>
      <c r="E271" s="293"/>
      <c r="F271" s="432"/>
      <c r="G271" s="432">
        <v>2022</v>
      </c>
      <c r="H271" s="432"/>
      <c r="I271" s="360" t="s">
        <v>1241</v>
      </c>
      <c r="J271" s="433"/>
      <c r="K271" s="432" t="s">
        <v>3950</v>
      </c>
      <c r="L271" s="433" t="s">
        <v>1112</v>
      </c>
      <c r="M271" s="433">
        <v>44616</v>
      </c>
      <c r="N271" s="433">
        <v>44757</v>
      </c>
      <c r="O271" s="433"/>
      <c r="P271" s="433"/>
      <c r="Q271" s="433"/>
      <c r="R271" s="433"/>
      <c r="S271" s="432" t="s">
        <v>1098</v>
      </c>
      <c r="T271" s="432">
        <v>60</v>
      </c>
      <c r="U271" s="432"/>
      <c r="V271" s="432" t="s">
        <v>986</v>
      </c>
      <c r="W271" s="436">
        <v>360</v>
      </c>
      <c r="X271" s="372">
        <v>768</v>
      </c>
      <c r="Y271" s="408">
        <f t="shared" si="21"/>
        <v>276480</v>
      </c>
      <c r="Z271" s="409">
        <v>0.53</v>
      </c>
      <c r="AA271" s="410">
        <f t="shared" si="22"/>
        <v>146534.39999999999</v>
      </c>
      <c r="AB271" s="362"/>
      <c r="AC271" s="412"/>
      <c r="AD271" s="405"/>
      <c r="AE271" s="413"/>
      <c r="AF271" s="424">
        <f t="shared" si="23"/>
        <v>146534.39999999999</v>
      </c>
      <c r="AG271" s="405" t="s">
        <v>47</v>
      </c>
      <c r="AH271" s="395"/>
      <c r="AI271" s="405">
        <v>45</v>
      </c>
      <c r="AJ271" s="405" t="s">
        <v>2883</v>
      </c>
      <c r="AK271" s="405" t="s">
        <v>1092</v>
      </c>
      <c r="AL271" s="425">
        <v>1583</v>
      </c>
      <c r="AM271" s="405" t="s">
        <v>52</v>
      </c>
      <c r="AN271" s="405"/>
      <c r="AO271" s="405"/>
      <c r="AP271" s="405"/>
      <c r="AQ271" s="413" t="s">
        <v>37</v>
      </c>
      <c r="AR271" s="405"/>
      <c r="AS271" s="363"/>
      <c r="AT271" s="335"/>
      <c r="AU271" s="363"/>
      <c r="AV271" s="403"/>
    </row>
    <row r="272" spans="1:48" s="402" customFormat="1" ht="15" customHeight="1">
      <c r="A272" s="278"/>
      <c r="B272" s="279"/>
      <c r="C272" s="284" t="s">
        <v>1186</v>
      </c>
      <c r="D272" s="374" t="s">
        <v>2804</v>
      </c>
      <c r="E272" s="293"/>
      <c r="F272" s="432"/>
      <c r="G272" s="432">
        <v>2022</v>
      </c>
      <c r="H272" s="432"/>
      <c r="I272" s="360" t="s">
        <v>1241</v>
      </c>
      <c r="J272" s="433"/>
      <c r="K272" s="432" t="s">
        <v>3950</v>
      </c>
      <c r="L272" s="433" t="s">
        <v>1112</v>
      </c>
      <c r="M272" s="433">
        <v>44616</v>
      </c>
      <c r="N272" s="433">
        <v>44757</v>
      </c>
      <c r="O272" s="433"/>
      <c r="P272" s="433"/>
      <c r="Q272" s="433"/>
      <c r="R272" s="433"/>
      <c r="S272" s="432" t="s">
        <v>1098</v>
      </c>
      <c r="T272" s="432">
        <v>60</v>
      </c>
      <c r="U272" s="432"/>
      <c r="V272" s="432" t="s">
        <v>986</v>
      </c>
      <c r="W272" s="436">
        <v>360</v>
      </c>
      <c r="X272" s="372">
        <v>768</v>
      </c>
      <c r="Y272" s="408">
        <f t="shared" si="21"/>
        <v>276480</v>
      </c>
      <c r="Z272" s="409">
        <v>0.53</v>
      </c>
      <c r="AA272" s="410">
        <f t="shared" si="22"/>
        <v>146534.39999999999</v>
      </c>
      <c r="AB272" s="362"/>
      <c r="AC272" s="412"/>
      <c r="AD272" s="405"/>
      <c r="AE272" s="413"/>
      <c r="AF272" s="424">
        <f t="shared" si="23"/>
        <v>146534.39999999999</v>
      </c>
      <c r="AG272" s="405" t="s">
        <v>47</v>
      </c>
      <c r="AH272" s="395"/>
      <c r="AI272" s="405">
        <v>45</v>
      </c>
      <c r="AJ272" s="405" t="s">
        <v>2883</v>
      </c>
      <c r="AK272" s="405" t="s">
        <v>1092</v>
      </c>
      <c r="AL272" s="425">
        <v>1583</v>
      </c>
      <c r="AM272" s="405" t="s">
        <v>52</v>
      </c>
      <c r="AN272" s="405"/>
      <c r="AO272" s="405"/>
      <c r="AP272" s="405"/>
      <c r="AQ272" s="413" t="s">
        <v>37</v>
      </c>
      <c r="AR272" s="405"/>
      <c r="AS272" s="363"/>
      <c r="AT272" s="335"/>
      <c r="AU272" s="363"/>
      <c r="AV272" s="403"/>
    </row>
    <row r="273" spans="1:48" s="402" customFormat="1" ht="15" customHeight="1">
      <c r="A273" s="278"/>
      <c r="B273" s="279"/>
      <c r="C273" s="284" t="s">
        <v>1186</v>
      </c>
      <c r="D273" s="374" t="s">
        <v>2804</v>
      </c>
      <c r="E273" s="293"/>
      <c r="F273" s="432"/>
      <c r="G273" s="432">
        <v>2022</v>
      </c>
      <c r="H273" s="432"/>
      <c r="I273" s="360" t="s">
        <v>1241</v>
      </c>
      <c r="J273" s="433"/>
      <c r="K273" s="432" t="s">
        <v>3951</v>
      </c>
      <c r="L273" s="433" t="s">
        <v>1112</v>
      </c>
      <c r="M273" s="433">
        <v>44615</v>
      </c>
      <c r="N273" s="433">
        <v>44712</v>
      </c>
      <c r="O273" s="433"/>
      <c r="P273" s="433"/>
      <c r="Q273" s="433"/>
      <c r="R273" s="433"/>
      <c r="S273" s="432" t="s">
        <v>1098</v>
      </c>
      <c r="T273" s="432">
        <v>60</v>
      </c>
      <c r="U273" s="432"/>
      <c r="V273" s="432" t="s">
        <v>986</v>
      </c>
      <c r="W273" s="436">
        <v>360</v>
      </c>
      <c r="X273" s="372">
        <v>768</v>
      </c>
      <c r="Y273" s="408">
        <f t="shared" si="21"/>
        <v>276480</v>
      </c>
      <c r="Z273" s="409">
        <v>0.53</v>
      </c>
      <c r="AA273" s="410">
        <f t="shared" si="22"/>
        <v>146534.39999999999</v>
      </c>
      <c r="AB273" s="362"/>
      <c r="AC273" s="412"/>
      <c r="AD273" s="405"/>
      <c r="AE273" s="413"/>
      <c r="AF273" s="424">
        <f t="shared" si="23"/>
        <v>146534.39999999999</v>
      </c>
      <c r="AG273" s="405" t="s">
        <v>47</v>
      </c>
      <c r="AH273" s="395"/>
      <c r="AI273" s="405">
        <v>45</v>
      </c>
      <c r="AJ273" s="405" t="s">
        <v>1120</v>
      </c>
      <c r="AK273" s="405" t="s">
        <v>1082</v>
      </c>
      <c r="AL273" s="425">
        <v>8505</v>
      </c>
      <c r="AM273" s="405" t="s">
        <v>52</v>
      </c>
      <c r="AN273" s="405"/>
      <c r="AO273" s="405"/>
      <c r="AP273" s="405"/>
      <c r="AQ273" s="413" t="s">
        <v>37</v>
      </c>
      <c r="AR273" s="405"/>
      <c r="AS273" s="363"/>
      <c r="AT273" s="335"/>
      <c r="AU273" s="363"/>
      <c r="AV273" s="403"/>
    </row>
    <row r="274" spans="1:48" s="402" customFormat="1" ht="15" customHeight="1">
      <c r="A274" s="278"/>
      <c r="B274" s="279"/>
      <c r="C274" s="284" t="s">
        <v>1186</v>
      </c>
      <c r="D274" s="374" t="s">
        <v>2804</v>
      </c>
      <c r="E274" s="293"/>
      <c r="F274" s="432"/>
      <c r="G274" s="432">
        <v>2022</v>
      </c>
      <c r="H274" s="432"/>
      <c r="I274" s="360" t="s">
        <v>1241</v>
      </c>
      <c r="J274" s="433"/>
      <c r="K274" s="432" t="s">
        <v>3951</v>
      </c>
      <c r="L274" s="433" t="s">
        <v>1112</v>
      </c>
      <c r="M274" s="433">
        <v>44615</v>
      </c>
      <c r="N274" s="433">
        <v>44712</v>
      </c>
      <c r="O274" s="433"/>
      <c r="P274" s="433"/>
      <c r="Q274" s="433"/>
      <c r="R274" s="433"/>
      <c r="S274" s="432" t="s">
        <v>1098</v>
      </c>
      <c r="T274" s="432">
        <v>60</v>
      </c>
      <c r="U274" s="432"/>
      <c r="V274" s="432" t="s">
        <v>986</v>
      </c>
      <c r="W274" s="436">
        <v>360</v>
      </c>
      <c r="X274" s="372">
        <v>768</v>
      </c>
      <c r="Y274" s="408">
        <f t="shared" si="21"/>
        <v>276480</v>
      </c>
      <c r="Z274" s="409">
        <v>0.53</v>
      </c>
      <c r="AA274" s="410">
        <f t="shared" si="22"/>
        <v>146534.39999999999</v>
      </c>
      <c r="AB274" s="362"/>
      <c r="AC274" s="412"/>
      <c r="AD274" s="405"/>
      <c r="AE274" s="413"/>
      <c r="AF274" s="424">
        <f t="shared" si="23"/>
        <v>146534.39999999999</v>
      </c>
      <c r="AG274" s="405" t="s">
        <v>47</v>
      </c>
      <c r="AH274" s="395"/>
      <c r="AI274" s="405">
        <v>45</v>
      </c>
      <c r="AJ274" s="405" t="s">
        <v>1120</v>
      </c>
      <c r="AK274" s="405" t="s">
        <v>1082</v>
      </c>
      <c r="AL274" s="425">
        <v>8505</v>
      </c>
      <c r="AM274" s="405" t="s">
        <v>52</v>
      </c>
      <c r="AN274" s="405"/>
      <c r="AO274" s="405"/>
      <c r="AP274" s="405"/>
      <c r="AQ274" s="413" t="s">
        <v>37</v>
      </c>
      <c r="AR274" s="405"/>
      <c r="AS274" s="363"/>
      <c r="AT274" s="335"/>
      <c r="AU274" s="363"/>
      <c r="AV274" s="403"/>
    </row>
    <row r="275" spans="1:48" s="402" customFormat="1" ht="15" customHeight="1">
      <c r="A275" s="278"/>
      <c r="B275" s="279"/>
      <c r="C275" s="284" t="s">
        <v>1186</v>
      </c>
      <c r="D275" s="374" t="s">
        <v>2804</v>
      </c>
      <c r="E275" s="293"/>
      <c r="F275" s="432"/>
      <c r="G275" s="432">
        <v>2022</v>
      </c>
      <c r="H275" s="432"/>
      <c r="I275" s="360" t="s">
        <v>1241</v>
      </c>
      <c r="J275" s="433"/>
      <c r="K275" s="432" t="s">
        <v>3951</v>
      </c>
      <c r="L275" s="433" t="s">
        <v>1112</v>
      </c>
      <c r="M275" s="433">
        <v>44615</v>
      </c>
      <c r="N275" s="433">
        <v>44742</v>
      </c>
      <c r="O275" s="433"/>
      <c r="P275" s="433"/>
      <c r="Q275" s="433"/>
      <c r="R275" s="433"/>
      <c r="S275" s="432" t="s">
        <v>1098</v>
      </c>
      <c r="T275" s="432">
        <v>60</v>
      </c>
      <c r="U275" s="432"/>
      <c r="V275" s="432" t="s">
        <v>986</v>
      </c>
      <c r="W275" s="436">
        <v>360</v>
      </c>
      <c r="X275" s="372">
        <v>768</v>
      </c>
      <c r="Y275" s="408">
        <f t="shared" si="21"/>
        <v>276480</v>
      </c>
      <c r="Z275" s="409">
        <v>0.53</v>
      </c>
      <c r="AA275" s="410">
        <f t="shared" si="22"/>
        <v>146534.39999999999</v>
      </c>
      <c r="AB275" s="362"/>
      <c r="AC275" s="412"/>
      <c r="AD275" s="405"/>
      <c r="AE275" s="413"/>
      <c r="AF275" s="424">
        <f t="shared" si="23"/>
        <v>146534.39999999999</v>
      </c>
      <c r="AG275" s="405" t="s">
        <v>47</v>
      </c>
      <c r="AH275" s="395"/>
      <c r="AI275" s="405">
        <v>45</v>
      </c>
      <c r="AJ275" s="405" t="s">
        <v>1120</v>
      </c>
      <c r="AK275" s="405" t="s">
        <v>1082</v>
      </c>
      <c r="AL275" s="425">
        <v>8505</v>
      </c>
      <c r="AM275" s="405" t="s">
        <v>52</v>
      </c>
      <c r="AN275" s="405"/>
      <c r="AO275" s="405"/>
      <c r="AP275" s="405"/>
      <c r="AQ275" s="413" t="s">
        <v>37</v>
      </c>
      <c r="AR275" s="405"/>
      <c r="AS275" s="363"/>
      <c r="AT275" s="335"/>
      <c r="AU275" s="363"/>
      <c r="AV275" s="403"/>
    </row>
    <row r="276" spans="1:48" s="402" customFormat="1" ht="15" customHeight="1">
      <c r="A276" s="278"/>
      <c r="B276" s="279"/>
      <c r="C276" s="284" t="s">
        <v>1186</v>
      </c>
      <c r="D276" s="374" t="s">
        <v>2804</v>
      </c>
      <c r="E276" s="293"/>
      <c r="F276" s="432"/>
      <c r="G276" s="432">
        <v>2022</v>
      </c>
      <c r="H276" s="432"/>
      <c r="I276" s="360" t="s">
        <v>1241</v>
      </c>
      <c r="J276" s="433"/>
      <c r="K276" s="432" t="s">
        <v>3951</v>
      </c>
      <c r="L276" s="433" t="s">
        <v>1112</v>
      </c>
      <c r="M276" s="433">
        <v>44615</v>
      </c>
      <c r="N276" s="433">
        <v>44742</v>
      </c>
      <c r="O276" s="433"/>
      <c r="P276" s="433"/>
      <c r="Q276" s="433"/>
      <c r="R276" s="433"/>
      <c r="S276" s="432" t="s">
        <v>1098</v>
      </c>
      <c r="T276" s="432">
        <v>60</v>
      </c>
      <c r="U276" s="432"/>
      <c r="V276" s="432" t="s">
        <v>986</v>
      </c>
      <c r="W276" s="436">
        <v>360</v>
      </c>
      <c r="X276" s="372">
        <v>768</v>
      </c>
      <c r="Y276" s="408">
        <f t="shared" si="21"/>
        <v>276480</v>
      </c>
      <c r="Z276" s="409">
        <v>0.53</v>
      </c>
      <c r="AA276" s="410">
        <f t="shared" si="22"/>
        <v>146534.39999999999</v>
      </c>
      <c r="AB276" s="362"/>
      <c r="AC276" s="412"/>
      <c r="AD276" s="405"/>
      <c r="AE276" s="413"/>
      <c r="AF276" s="424">
        <f t="shared" si="23"/>
        <v>146534.39999999999</v>
      </c>
      <c r="AG276" s="405" t="s">
        <v>47</v>
      </c>
      <c r="AH276" s="395"/>
      <c r="AI276" s="405">
        <v>45</v>
      </c>
      <c r="AJ276" s="405" t="s">
        <v>1120</v>
      </c>
      <c r="AK276" s="405" t="s">
        <v>1082</v>
      </c>
      <c r="AL276" s="425">
        <v>8505</v>
      </c>
      <c r="AM276" s="405" t="s">
        <v>52</v>
      </c>
      <c r="AN276" s="405"/>
      <c r="AO276" s="405"/>
      <c r="AP276" s="405"/>
      <c r="AQ276" s="413" t="s">
        <v>37</v>
      </c>
      <c r="AR276" s="405"/>
      <c r="AS276" s="363"/>
      <c r="AT276" s="335"/>
      <c r="AU276" s="363"/>
      <c r="AV276" s="403"/>
    </row>
    <row r="277" spans="1:48" s="402" customFormat="1" ht="15" customHeight="1">
      <c r="A277" s="285"/>
      <c r="B277" s="284"/>
      <c r="C277" s="284"/>
      <c r="D277" s="374" t="s">
        <v>2804</v>
      </c>
      <c r="E277" s="293" t="s">
        <v>3952</v>
      </c>
      <c r="F277" s="432"/>
      <c r="G277" s="432">
        <v>2022</v>
      </c>
      <c r="H277" s="360"/>
      <c r="I277" s="295" t="s">
        <v>3953</v>
      </c>
      <c r="J277" s="332"/>
      <c r="K277" s="295" t="s">
        <v>3954</v>
      </c>
      <c r="L277" s="296" t="s">
        <v>1112</v>
      </c>
      <c r="M277" s="433">
        <v>44594</v>
      </c>
      <c r="N277" s="433">
        <v>44617</v>
      </c>
      <c r="O277" s="433"/>
      <c r="P277" s="433"/>
      <c r="Q277" s="433"/>
      <c r="R277" s="433"/>
      <c r="S277" s="432" t="s">
        <v>1098</v>
      </c>
      <c r="T277" s="432">
        <v>60</v>
      </c>
      <c r="U277" s="432"/>
      <c r="V277" s="432" t="s">
        <v>986</v>
      </c>
      <c r="W277" s="436">
        <v>360</v>
      </c>
      <c r="X277" s="372">
        <v>364</v>
      </c>
      <c r="Y277" s="408">
        <f t="shared" si="21"/>
        <v>131040</v>
      </c>
      <c r="Z277" s="409">
        <v>0.53</v>
      </c>
      <c r="AA277" s="411">
        <f t="shared" si="22"/>
        <v>69451.199999999997</v>
      </c>
      <c r="AB277" s="411"/>
      <c r="AC277" s="412">
        <f>AB277*Y277</f>
        <v>0</v>
      </c>
      <c r="AD277" s="421"/>
      <c r="AE277" s="413"/>
      <c r="AF277" s="424">
        <f t="shared" si="23"/>
        <v>69451.199999999997</v>
      </c>
      <c r="AG277" s="405" t="s">
        <v>47</v>
      </c>
      <c r="AH277" s="405"/>
      <c r="AI277" s="405">
        <v>45</v>
      </c>
      <c r="AJ277" s="405" t="s">
        <v>1138</v>
      </c>
      <c r="AK277" s="405" t="s">
        <v>50</v>
      </c>
      <c r="AL277" s="425">
        <v>94577</v>
      </c>
      <c r="AM277" s="405" t="s">
        <v>52</v>
      </c>
      <c r="AN277" s="405"/>
      <c r="AO277" s="405"/>
      <c r="AP277" s="413"/>
      <c r="AQ277" s="413" t="s">
        <v>37</v>
      </c>
      <c r="AR277" s="405"/>
      <c r="AS277" s="419"/>
      <c r="AT277" s="287"/>
      <c r="AU277" s="286"/>
      <c r="AV277" s="419"/>
    </row>
    <row r="278" spans="1:48" s="402" customFormat="1" ht="15" customHeight="1">
      <c r="A278" s="278"/>
      <c r="B278" s="279"/>
      <c r="C278" s="284" t="s">
        <v>1186</v>
      </c>
      <c r="D278" s="374" t="s">
        <v>2804</v>
      </c>
      <c r="E278" s="293" t="s">
        <v>2875</v>
      </c>
      <c r="F278" s="432"/>
      <c r="G278" s="432">
        <v>2022</v>
      </c>
      <c r="H278" s="432"/>
      <c r="I278" s="360" t="s">
        <v>1241</v>
      </c>
      <c r="J278" s="433"/>
      <c r="K278" s="432" t="s">
        <v>3957</v>
      </c>
      <c r="L278" s="433" t="s">
        <v>1112</v>
      </c>
      <c r="M278" s="433">
        <v>44565</v>
      </c>
      <c r="N278" s="433">
        <v>44715</v>
      </c>
      <c r="O278" s="433"/>
      <c r="P278" s="433"/>
      <c r="Q278" s="433"/>
      <c r="R278" s="433"/>
      <c r="S278" s="432" t="s">
        <v>1098</v>
      </c>
      <c r="T278" s="432">
        <v>60</v>
      </c>
      <c r="U278" s="432"/>
      <c r="V278" s="432" t="s">
        <v>986</v>
      </c>
      <c r="W278" s="436">
        <v>360</v>
      </c>
      <c r="X278" s="372">
        <v>768</v>
      </c>
      <c r="Y278" s="408">
        <f t="shared" si="21"/>
        <v>276480</v>
      </c>
      <c r="Z278" s="409">
        <v>0.53</v>
      </c>
      <c r="AA278" s="410">
        <f t="shared" si="22"/>
        <v>146534.39999999999</v>
      </c>
      <c r="AB278" s="362"/>
      <c r="AC278" s="412"/>
      <c r="AD278" s="405"/>
      <c r="AE278" s="413"/>
      <c r="AF278" s="424">
        <f t="shared" si="23"/>
        <v>146534.39999999999</v>
      </c>
      <c r="AG278" s="405" t="s">
        <v>47</v>
      </c>
      <c r="AH278" s="395"/>
      <c r="AI278" s="405">
        <v>45</v>
      </c>
      <c r="AJ278" s="405" t="s">
        <v>1120</v>
      </c>
      <c r="AK278" s="405" t="s">
        <v>1082</v>
      </c>
      <c r="AL278" s="425">
        <v>8505</v>
      </c>
      <c r="AM278" s="405" t="s">
        <v>52</v>
      </c>
      <c r="AN278" s="405"/>
      <c r="AO278" s="405"/>
      <c r="AP278" s="405"/>
      <c r="AQ278" s="413" t="s">
        <v>37</v>
      </c>
      <c r="AR278" s="405"/>
      <c r="AS278" s="363"/>
      <c r="AT278" s="335"/>
      <c r="AU278" s="363"/>
      <c r="AV278" s="403"/>
    </row>
    <row r="279" spans="1:48" s="402" customFormat="1" ht="15" customHeight="1">
      <c r="A279" s="278"/>
      <c r="B279" s="279"/>
      <c r="C279" s="284" t="s">
        <v>1186</v>
      </c>
      <c r="D279" s="374" t="s">
        <v>2804</v>
      </c>
      <c r="E279" s="293" t="s">
        <v>2875</v>
      </c>
      <c r="F279" s="432"/>
      <c r="G279" s="432">
        <v>2022</v>
      </c>
      <c r="H279" s="432"/>
      <c r="I279" s="360" t="s">
        <v>1241</v>
      </c>
      <c r="J279" s="433"/>
      <c r="K279" s="432" t="s">
        <v>3957</v>
      </c>
      <c r="L279" s="433" t="s">
        <v>1112</v>
      </c>
      <c r="M279" s="433">
        <v>44565</v>
      </c>
      <c r="N279" s="433">
        <v>44715</v>
      </c>
      <c r="O279" s="433"/>
      <c r="P279" s="433"/>
      <c r="Q279" s="433"/>
      <c r="R279" s="433"/>
      <c r="S279" s="432" t="s">
        <v>1098</v>
      </c>
      <c r="T279" s="432">
        <v>60</v>
      </c>
      <c r="U279" s="432"/>
      <c r="V279" s="432" t="s">
        <v>986</v>
      </c>
      <c r="W279" s="436">
        <v>360</v>
      </c>
      <c r="X279" s="372">
        <v>768</v>
      </c>
      <c r="Y279" s="408">
        <f t="shared" si="21"/>
        <v>276480</v>
      </c>
      <c r="Z279" s="409">
        <v>0.53</v>
      </c>
      <c r="AA279" s="410">
        <f t="shared" si="22"/>
        <v>146534.39999999999</v>
      </c>
      <c r="AB279" s="362"/>
      <c r="AC279" s="412"/>
      <c r="AD279" s="405"/>
      <c r="AE279" s="413"/>
      <c r="AF279" s="424">
        <f t="shared" si="23"/>
        <v>146534.39999999999</v>
      </c>
      <c r="AG279" s="405" t="s">
        <v>47</v>
      </c>
      <c r="AH279" s="395"/>
      <c r="AI279" s="405">
        <v>45</v>
      </c>
      <c r="AJ279" s="405" t="s">
        <v>1120</v>
      </c>
      <c r="AK279" s="405" t="s">
        <v>1082</v>
      </c>
      <c r="AL279" s="425">
        <v>8505</v>
      </c>
      <c r="AM279" s="405" t="s">
        <v>52</v>
      </c>
      <c r="AN279" s="405"/>
      <c r="AO279" s="405"/>
      <c r="AP279" s="405"/>
      <c r="AQ279" s="413" t="s">
        <v>37</v>
      </c>
      <c r="AR279" s="405"/>
      <c r="AS279" s="363"/>
      <c r="AT279" s="335"/>
      <c r="AU279" s="363"/>
      <c r="AV279" s="403"/>
    </row>
    <row r="280" spans="1:48" s="402" customFormat="1" ht="15" customHeight="1">
      <c r="A280" s="278"/>
      <c r="B280" s="279"/>
      <c r="C280" s="284" t="s">
        <v>1186</v>
      </c>
      <c r="D280" s="374" t="s">
        <v>2804</v>
      </c>
      <c r="E280" s="293" t="s">
        <v>2875</v>
      </c>
      <c r="F280" s="432"/>
      <c r="G280" s="432">
        <v>2022</v>
      </c>
      <c r="H280" s="360"/>
      <c r="I280" s="360" t="s">
        <v>1241</v>
      </c>
      <c r="J280" s="433"/>
      <c r="K280" s="432" t="s">
        <v>3958</v>
      </c>
      <c r="L280" s="433" t="s">
        <v>1112</v>
      </c>
      <c r="M280" s="433">
        <v>44565</v>
      </c>
      <c r="N280" s="433">
        <v>44715</v>
      </c>
      <c r="O280" s="433"/>
      <c r="P280" s="433"/>
      <c r="Q280" s="433"/>
      <c r="R280" s="433"/>
      <c r="S280" s="432" t="s">
        <v>1098</v>
      </c>
      <c r="T280" s="432">
        <v>60</v>
      </c>
      <c r="U280" s="432"/>
      <c r="V280" s="432" t="s">
        <v>986</v>
      </c>
      <c r="W280" s="436">
        <v>360</v>
      </c>
      <c r="X280" s="372">
        <v>768</v>
      </c>
      <c r="Y280" s="408">
        <f t="shared" si="21"/>
        <v>276480</v>
      </c>
      <c r="Z280" s="409">
        <v>0.53</v>
      </c>
      <c r="AA280" s="410">
        <f t="shared" si="22"/>
        <v>146534.39999999999</v>
      </c>
      <c r="AB280" s="411"/>
      <c r="AC280" s="412"/>
      <c r="AD280" s="421"/>
      <c r="AE280" s="413"/>
      <c r="AF280" s="424">
        <f t="shared" si="23"/>
        <v>146534.39999999999</v>
      </c>
      <c r="AG280" s="405" t="s">
        <v>47</v>
      </c>
      <c r="AH280" s="405"/>
      <c r="AI280" s="405">
        <v>45</v>
      </c>
      <c r="AJ280" s="405" t="s">
        <v>2874</v>
      </c>
      <c r="AK280" s="405" t="s">
        <v>1081</v>
      </c>
      <c r="AL280" s="425">
        <v>33442</v>
      </c>
      <c r="AM280" s="405" t="s">
        <v>52</v>
      </c>
      <c r="AN280" s="405"/>
      <c r="AO280" s="405"/>
      <c r="AP280" s="413"/>
      <c r="AQ280" s="413" t="s">
        <v>37</v>
      </c>
      <c r="AR280" s="405"/>
      <c r="AS280" s="403"/>
      <c r="AT280" s="281"/>
      <c r="AU280" s="386"/>
      <c r="AV280" s="403"/>
    </row>
    <row r="281" spans="1:48" s="402" customFormat="1" ht="15" customHeight="1">
      <c r="A281" s="278"/>
      <c r="B281" s="279"/>
      <c r="C281" s="284" t="s">
        <v>1186</v>
      </c>
      <c r="D281" s="374" t="s">
        <v>2804</v>
      </c>
      <c r="E281" s="293" t="s">
        <v>2875</v>
      </c>
      <c r="F281" s="432"/>
      <c r="G281" s="432">
        <v>2022</v>
      </c>
      <c r="H281" s="360"/>
      <c r="I281" s="360" t="s">
        <v>1241</v>
      </c>
      <c r="J281" s="433"/>
      <c r="K281" s="432" t="s">
        <v>3958</v>
      </c>
      <c r="L281" s="433" t="s">
        <v>1112</v>
      </c>
      <c r="M281" s="433">
        <v>44565</v>
      </c>
      <c r="N281" s="433">
        <v>44715</v>
      </c>
      <c r="O281" s="433"/>
      <c r="P281" s="433"/>
      <c r="Q281" s="433"/>
      <c r="R281" s="433"/>
      <c r="S281" s="432" t="s">
        <v>1098</v>
      </c>
      <c r="T281" s="432">
        <v>60</v>
      </c>
      <c r="U281" s="432"/>
      <c r="V281" s="432" t="s">
        <v>986</v>
      </c>
      <c r="W281" s="436">
        <v>360</v>
      </c>
      <c r="X281" s="372">
        <v>768</v>
      </c>
      <c r="Y281" s="408">
        <f t="shared" si="21"/>
        <v>276480</v>
      </c>
      <c r="Z281" s="409">
        <v>0.53</v>
      </c>
      <c r="AA281" s="410">
        <f t="shared" si="22"/>
        <v>146534.39999999999</v>
      </c>
      <c r="AB281" s="411"/>
      <c r="AC281" s="412"/>
      <c r="AD281" s="421"/>
      <c r="AE281" s="413"/>
      <c r="AF281" s="424">
        <f t="shared" si="23"/>
        <v>146534.39999999999</v>
      </c>
      <c r="AG281" s="405" t="s">
        <v>47</v>
      </c>
      <c r="AH281" s="405"/>
      <c r="AI281" s="405">
        <v>45</v>
      </c>
      <c r="AJ281" s="405" t="s">
        <v>2874</v>
      </c>
      <c r="AK281" s="405" t="s">
        <v>1081</v>
      </c>
      <c r="AL281" s="425">
        <v>33442</v>
      </c>
      <c r="AM281" s="405" t="s">
        <v>52</v>
      </c>
      <c r="AN281" s="405"/>
      <c r="AO281" s="405"/>
      <c r="AP281" s="413"/>
      <c r="AQ281" s="413" t="s">
        <v>37</v>
      </c>
      <c r="AR281" s="405"/>
      <c r="AS281" s="403"/>
      <c r="AT281" s="281"/>
      <c r="AU281" s="386"/>
      <c r="AV281" s="403"/>
    </row>
    <row r="282" spans="1:48" s="402" customFormat="1" ht="15" customHeight="1">
      <c r="A282" s="278"/>
      <c r="B282" s="279"/>
      <c r="C282" s="284" t="s">
        <v>1186</v>
      </c>
      <c r="D282" s="374" t="s">
        <v>2804</v>
      </c>
      <c r="E282" s="293" t="s">
        <v>2875</v>
      </c>
      <c r="F282" s="432"/>
      <c r="G282" s="432">
        <v>2022</v>
      </c>
      <c r="H282" s="432"/>
      <c r="I282" s="360" t="s">
        <v>1241</v>
      </c>
      <c r="J282" s="433"/>
      <c r="K282" s="432" t="s">
        <v>3959</v>
      </c>
      <c r="L282" s="433" t="s">
        <v>1112</v>
      </c>
      <c r="M282" s="433">
        <v>44565</v>
      </c>
      <c r="N282" s="433">
        <v>44715</v>
      </c>
      <c r="O282" s="433"/>
      <c r="P282" s="433"/>
      <c r="Q282" s="433"/>
      <c r="R282" s="433"/>
      <c r="S282" s="432" t="s">
        <v>1098</v>
      </c>
      <c r="T282" s="432">
        <v>60</v>
      </c>
      <c r="U282" s="432"/>
      <c r="V282" s="432" t="s">
        <v>986</v>
      </c>
      <c r="W282" s="436">
        <v>360</v>
      </c>
      <c r="X282" s="372">
        <v>768</v>
      </c>
      <c r="Y282" s="408">
        <f t="shared" si="21"/>
        <v>276480</v>
      </c>
      <c r="Z282" s="409">
        <v>0.53</v>
      </c>
      <c r="AA282" s="410">
        <f t="shared" si="22"/>
        <v>146534.39999999999</v>
      </c>
      <c r="AB282" s="362"/>
      <c r="AC282" s="412"/>
      <c r="AD282" s="405"/>
      <c r="AE282" s="413"/>
      <c r="AF282" s="424">
        <f t="shared" si="23"/>
        <v>146534.39999999999</v>
      </c>
      <c r="AG282" s="405" t="s">
        <v>47</v>
      </c>
      <c r="AH282" s="395"/>
      <c r="AI282" s="405">
        <v>45</v>
      </c>
      <c r="AJ282" s="405" t="s">
        <v>3960</v>
      </c>
      <c r="AK282" s="405" t="s">
        <v>1125</v>
      </c>
      <c r="AL282" s="425">
        <v>85282</v>
      </c>
      <c r="AM282" s="405" t="s">
        <v>52</v>
      </c>
      <c r="AN282" s="405"/>
      <c r="AO282" s="405"/>
      <c r="AP282" s="405"/>
      <c r="AQ282" s="413" t="s">
        <v>37</v>
      </c>
      <c r="AR282" s="405"/>
      <c r="AS282" s="363"/>
      <c r="AT282" s="335"/>
      <c r="AU282" s="363"/>
      <c r="AV282" s="403"/>
    </row>
    <row r="283" spans="1:48" s="402" customFormat="1" ht="15" customHeight="1">
      <c r="A283" s="278"/>
      <c r="B283" s="279"/>
      <c r="C283" s="284" t="s">
        <v>1186</v>
      </c>
      <c r="D283" s="374" t="s">
        <v>2804</v>
      </c>
      <c r="E283" s="293" t="s">
        <v>2875</v>
      </c>
      <c r="F283" s="432"/>
      <c r="G283" s="432">
        <v>2022</v>
      </c>
      <c r="H283" s="432"/>
      <c r="I283" s="360" t="s">
        <v>1241</v>
      </c>
      <c r="J283" s="433"/>
      <c r="K283" s="432" t="s">
        <v>3959</v>
      </c>
      <c r="L283" s="433" t="s">
        <v>1112</v>
      </c>
      <c r="M283" s="433">
        <v>44565</v>
      </c>
      <c r="N283" s="433">
        <v>44715</v>
      </c>
      <c r="O283" s="433"/>
      <c r="P283" s="433"/>
      <c r="Q283" s="433"/>
      <c r="R283" s="433"/>
      <c r="S283" s="432" t="s">
        <v>1098</v>
      </c>
      <c r="T283" s="432">
        <v>60</v>
      </c>
      <c r="U283" s="432"/>
      <c r="V283" s="432" t="s">
        <v>986</v>
      </c>
      <c r="W283" s="436">
        <v>360</v>
      </c>
      <c r="X283" s="372">
        <v>768</v>
      </c>
      <c r="Y283" s="408">
        <f t="shared" si="21"/>
        <v>276480</v>
      </c>
      <c r="Z283" s="409">
        <v>0.53</v>
      </c>
      <c r="AA283" s="410">
        <f t="shared" si="22"/>
        <v>146534.39999999999</v>
      </c>
      <c r="AB283" s="362"/>
      <c r="AC283" s="412"/>
      <c r="AD283" s="405"/>
      <c r="AE283" s="413"/>
      <c r="AF283" s="424">
        <f t="shared" si="23"/>
        <v>146534.39999999999</v>
      </c>
      <c r="AG283" s="405" t="s">
        <v>47</v>
      </c>
      <c r="AH283" s="395"/>
      <c r="AI283" s="405">
        <v>45</v>
      </c>
      <c r="AJ283" s="405" t="s">
        <v>3960</v>
      </c>
      <c r="AK283" s="405" t="s">
        <v>1125</v>
      </c>
      <c r="AL283" s="425">
        <v>85282</v>
      </c>
      <c r="AM283" s="405" t="s">
        <v>52</v>
      </c>
      <c r="AN283" s="405"/>
      <c r="AO283" s="405"/>
      <c r="AP283" s="405"/>
      <c r="AQ283" s="413" t="s">
        <v>37</v>
      </c>
      <c r="AR283" s="405"/>
      <c r="AS283" s="363"/>
      <c r="AT283" s="335"/>
      <c r="AU283" s="363"/>
      <c r="AV283" s="403"/>
    </row>
    <row r="284" spans="1:48" s="402" customFormat="1" ht="15" customHeight="1">
      <c r="A284" s="278"/>
      <c r="B284" s="279"/>
      <c r="C284" s="284" t="s">
        <v>1186</v>
      </c>
      <c r="D284" s="374" t="s">
        <v>2804</v>
      </c>
      <c r="E284" s="293" t="s">
        <v>2875</v>
      </c>
      <c r="F284" s="432"/>
      <c r="G284" s="432">
        <v>2022</v>
      </c>
      <c r="H284" s="432"/>
      <c r="I284" s="360" t="s">
        <v>1241</v>
      </c>
      <c r="J284" s="433"/>
      <c r="K284" s="432" t="s">
        <v>2914</v>
      </c>
      <c r="L284" s="433" t="s">
        <v>1112</v>
      </c>
      <c r="M284" s="433">
        <v>44565</v>
      </c>
      <c r="N284" s="433">
        <v>44715</v>
      </c>
      <c r="O284" s="433"/>
      <c r="P284" s="433"/>
      <c r="Q284" s="433"/>
      <c r="R284" s="433"/>
      <c r="S284" s="432" t="s">
        <v>1098</v>
      </c>
      <c r="T284" s="432">
        <v>60</v>
      </c>
      <c r="U284" s="432"/>
      <c r="V284" s="432" t="s">
        <v>986</v>
      </c>
      <c r="W284" s="436">
        <v>360</v>
      </c>
      <c r="X284" s="372">
        <v>768</v>
      </c>
      <c r="Y284" s="408">
        <f t="shared" si="21"/>
        <v>276480</v>
      </c>
      <c r="Z284" s="409">
        <v>0.53</v>
      </c>
      <c r="AA284" s="410">
        <f t="shared" si="22"/>
        <v>146534.39999999999</v>
      </c>
      <c r="AB284" s="362"/>
      <c r="AC284" s="412"/>
      <c r="AD284" s="405"/>
      <c r="AE284" s="413"/>
      <c r="AF284" s="424">
        <f t="shared" si="23"/>
        <v>146534.39999999999</v>
      </c>
      <c r="AG284" s="405" t="s">
        <v>47</v>
      </c>
      <c r="AH284" s="395"/>
      <c r="AI284" s="405">
        <v>45</v>
      </c>
      <c r="AJ284" s="405" t="s">
        <v>1113</v>
      </c>
      <c r="AK284" s="405" t="s">
        <v>1110</v>
      </c>
      <c r="AL284" s="425">
        <v>60433</v>
      </c>
      <c r="AM284" s="405" t="s">
        <v>52</v>
      </c>
      <c r="AN284" s="405"/>
      <c r="AO284" s="405"/>
      <c r="AP284" s="405"/>
      <c r="AQ284" s="413" t="s">
        <v>37</v>
      </c>
      <c r="AR284" s="405"/>
      <c r="AS284" s="363"/>
      <c r="AT284" s="335"/>
      <c r="AU284" s="363"/>
      <c r="AV284" s="403"/>
    </row>
    <row r="285" spans="1:48" s="402" customFormat="1" ht="15" customHeight="1">
      <c r="A285" s="278"/>
      <c r="B285" s="279"/>
      <c r="C285" s="284" t="s">
        <v>1186</v>
      </c>
      <c r="D285" s="374" t="s">
        <v>2804</v>
      </c>
      <c r="E285" s="293" t="s">
        <v>2875</v>
      </c>
      <c r="F285" s="432"/>
      <c r="G285" s="432">
        <v>2022</v>
      </c>
      <c r="H285" s="432"/>
      <c r="I285" s="360" t="s">
        <v>1241</v>
      </c>
      <c r="J285" s="433"/>
      <c r="K285" s="432" t="s">
        <v>2914</v>
      </c>
      <c r="L285" s="433" t="s">
        <v>1112</v>
      </c>
      <c r="M285" s="433">
        <v>44565</v>
      </c>
      <c r="N285" s="433">
        <v>44715</v>
      </c>
      <c r="O285" s="433"/>
      <c r="P285" s="433"/>
      <c r="Q285" s="433"/>
      <c r="R285" s="433"/>
      <c r="S285" s="432" t="s">
        <v>1098</v>
      </c>
      <c r="T285" s="432">
        <v>60</v>
      </c>
      <c r="U285" s="432"/>
      <c r="V285" s="432" t="s">
        <v>986</v>
      </c>
      <c r="W285" s="436">
        <v>360</v>
      </c>
      <c r="X285" s="372">
        <v>768</v>
      </c>
      <c r="Y285" s="408">
        <f t="shared" si="21"/>
        <v>276480</v>
      </c>
      <c r="Z285" s="409">
        <v>0.53</v>
      </c>
      <c r="AA285" s="410">
        <f t="shared" si="22"/>
        <v>146534.39999999999</v>
      </c>
      <c r="AB285" s="362"/>
      <c r="AC285" s="412"/>
      <c r="AD285" s="405"/>
      <c r="AE285" s="413"/>
      <c r="AF285" s="424">
        <f t="shared" si="23"/>
        <v>146534.39999999999</v>
      </c>
      <c r="AG285" s="405" t="s">
        <v>47</v>
      </c>
      <c r="AH285" s="395"/>
      <c r="AI285" s="405">
        <v>45</v>
      </c>
      <c r="AJ285" s="405" t="s">
        <v>1113</v>
      </c>
      <c r="AK285" s="405" t="s">
        <v>1110</v>
      </c>
      <c r="AL285" s="425">
        <v>60433</v>
      </c>
      <c r="AM285" s="405" t="s">
        <v>52</v>
      </c>
      <c r="AN285" s="405"/>
      <c r="AO285" s="405"/>
      <c r="AP285" s="405"/>
      <c r="AQ285" s="413" t="s">
        <v>37</v>
      </c>
      <c r="AR285" s="405"/>
      <c r="AS285" s="363"/>
      <c r="AT285" s="335"/>
      <c r="AU285" s="363"/>
      <c r="AV285" s="403"/>
    </row>
    <row r="286" spans="1:48" s="402" customFormat="1" ht="15" customHeight="1">
      <c r="A286" s="278"/>
      <c r="B286" s="279"/>
      <c r="C286" s="284" t="s">
        <v>1186</v>
      </c>
      <c r="D286" s="374" t="s">
        <v>2804</v>
      </c>
      <c r="E286" s="293" t="s">
        <v>2875</v>
      </c>
      <c r="F286" s="432"/>
      <c r="G286" s="432">
        <v>2022</v>
      </c>
      <c r="H286" s="360"/>
      <c r="I286" s="360" t="s">
        <v>1241</v>
      </c>
      <c r="J286" s="433"/>
      <c r="K286" s="432" t="s">
        <v>2913</v>
      </c>
      <c r="L286" s="433" t="s">
        <v>1112</v>
      </c>
      <c r="M286" s="433">
        <v>44565</v>
      </c>
      <c r="N286" s="433">
        <v>44715</v>
      </c>
      <c r="O286" s="433"/>
      <c r="P286" s="433"/>
      <c r="Q286" s="433"/>
      <c r="R286" s="433"/>
      <c r="S286" s="432" t="s">
        <v>1098</v>
      </c>
      <c r="T286" s="432">
        <v>60</v>
      </c>
      <c r="U286" s="432"/>
      <c r="V286" s="432" t="s">
        <v>986</v>
      </c>
      <c r="W286" s="436">
        <v>360</v>
      </c>
      <c r="X286" s="372">
        <v>768</v>
      </c>
      <c r="Y286" s="408">
        <f t="shared" si="21"/>
        <v>276480</v>
      </c>
      <c r="Z286" s="409">
        <v>0.53</v>
      </c>
      <c r="AA286" s="410">
        <f t="shared" si="22"/>
        <v>146534.39999999999</v>
      </c>
      <c r="AB286" s="411"/>
      <c r="AC286" s="412"/>
      <c r="AD286" s="421"/>
      <c r="AE286" s="413"/>
      <c r="AF286" s="424">
        <f t="shared" si="23"/>
        <v>146534.39999999999</v>
      </c>
      <c r="AG286" s="405" t="s">
        <v>47</v>
      </c>
      <c r="AH286" s="405"/>
      <c r="AI286" s="405">
        <v>45</v>
      </c>
      <c r="AJ286" s="405" t="s">
        <v>2874</v>
      </c>
      <c r="AK286" s="405" t="s">
        <v>1081</v>
      </c>
      <c r="AL286" s="425">
        <v>33442</v>
      </c>
      <c r="AM286" s="405" t="s">
        <v>52</v>
      </c>
      <c r="AN286" s="405"/>
      <c r="AO286" s="405"/>
      <c r="AP286" s="413"/>
      <c r="AQ286" s="413" t="s">
        <v>37</v>
      </c>
      <c r="AR286" s="405"/>
      <c r="AS286" s="403"/>
      <c r="AT286" s="281"/>
      <c r="AU286" s="386"/>
      <c r="AV286" s="403"/>
    </row>
    <row r="287" spans="1:48" s="402" customFormat="1" ht="15" customHeight="1">
      <c r="A287" s="278"/>
      <c r="B287" s="279"/>
      <c r="C287" s="284" t="s">
        <v>1186</v>
      </c>
      <c r="D287" s="374" t="s">
        <v>2804</v>
      </c>
      <c r="E287" s="293" t="s">
        <v>2875</v>
      </c>
      <c r="F287" s="432"/>
      <c r="G287" s="432">
        <v>2022</v>
      </c>
      <c r="H287" s="360"/>
      <c r="I287" s="360" t="s">
        <v>1241</v>
      </c>
      <c r="J287" s="433"/>
      <c r="K287" s="432" t="s">
        <v>2913</v>
      </c>
      <c r="L287" s="433" t="s">
        <v>1112</v>
      </c>
      <c r="M287" s="433">
        <v>44565</v>
      </c>
      <c r="N287" s="433">
        <v>44715</v>
      </c>
      <c r="O287" s="433"/>
      <c r="P287" s="433"/>
      <c r="Q287" s="433"/>
      <c r="R287" s="433"/>
      <c r="S287" s="432" t="s">
        <v>1098</v>
      </c>
      <c r="T287" s="432">
        <v>60</v>
      </c>
      <c r="U287" s="432"/>
      <c r="V287" s="432" t="s">
        <v>986</v>
      </c>
      <c r="W287" s="436">
        <v>360</v>
      </c>
      <c r="X287" s="372">
        <v>768</v>
      </c>
      <c r="Y287" s="408">
        <f t="shared" si="21"/>
        <v>276480</v>
      </c>
      <c r="Z287" s="409">
        <v>0.53</v>
      </c>
      <c r="AA287" s="410">
        <f t="shared" si="22"/>
        <v>146534.39999999999</v>
      </c>
      <c r="AB287" s="411"/>
      <c r="AC287" s="412"/>
      <c r="AD287" s="421"/>
      <c r="AE287" s="413"/>
      <c r="AF287" s="424">
        <f t="shared" si="23"/>
        <v>146534.39999999999</v>
      </c>
      <c r="AG287" s="405" t="s">
        <v>47</v>
      </c>
      <c r="AH287" s="405"/>
      <c r="AI287" s="405">
        <v>45</v>
      </c>
      <c r="AJ287" s="405" t="s">
        <v>2874</v>
      </c>
      <c r="AK287" s="405" t="s">
        <v>1081</v>
      </c>
      <c r="AL287" s="425">
        <v>33442</v>
      </c>
      <c r="AM287" s="405" t="s">
        <v>52</v>
      </c>
      <c r="AN287" s="405"/>
      <c r="AO287" s="405"/>
      <c r="AP287" s="413"/>
      <c r="AQ287" s="413" t="s">
        <v>37</v>
      </c>
      <c r="AR287" s="405"/>
      <c r="AS287" s="403"/>
      <c r="AT287" s="281"/>
      <c r="AU287" s="386"/>
      <c r="AV287" s="403"/>
    </row>
    <row r="288" spans="1:48" s="402" customFormat="1" ht="15" customHeight="1">
      <c r="A288" s="278"/>
      <c r="B288" s="279"/>
      <c r="C288" s="284" t="s">
        <v>1186</v>
      </c>
      <c r="D288" s="374" t="s">
        <v>2804</v>
      </c>
      <c r="E288" s="293"/>
      <c r="F288" s="432"/>
      <c r="G288" s="432">
        <v>2022</v>
      </c>
      <c r="H288" s="432"/>
      <c r="I288" s="360" t="s">
        <v>1241</v>
      </c>
      <c r="J288" s="433"/>
      <c r="K288" s="432" t="s">
        <v>2910</v>
      </c>
      <c r="L288" s="433" t="s">
        <v>1112</v>
      </c>
      <c r="M288" s="433">
        <v>44565</v>
      </c>
      <c r="N288" s="433">
        <v>44685</v>
      </c>
      <c r="O288" s="433"/>
      <c r="P288" s="433"/>
      <c r="Q288" s="433"/>
      <c r="R288" s="433"/>
      <c r="S288" s="432" t="s">
        <v>1098</v>
      </c>
      <c r="T288" s="432">
        <v>60</v>
      </c>
      <c r="U288" s="432"/>
      <c r="V288" s="432" t="s">
        <v>986</v>
      </c>
      <c r="W288" s="436">
        <v>360</v>
      </c>
      <c r="X288" s="372">
        <v>768</v>
      </c>
      <c r="Y288" s="408">
        <f t="shared" si="21"/>
        <v>276480</v>
      </c>
      <c r="Z288" s="409">
        <v>0.53</v>
      </c>
      <c r="AA288" s="410">
        <f t="shared" si="22"/>
        <v>146534.39999999999</v>
      </c>
      <c r="AB288" s="362"/>
      <c r="AC288" s="412"/>
      <c r="AD288" s="405"/>
      <c r="AE288" s="413"/>
      <c r="AF288" s="424">
        <f t="shared" si="23"/>
        <v>146534.39999999999</v>
      </c>
      <c r="AG288" s="405" t="s">
        <v>47</v>
      </c>
      <c r="AH288" s="395"/>
      <c r="AI288" s="405">
        <v>45</v>
      </c>
      <c r="AJ288" s="405" t="s">
        <v>1124</v>
      </c>
      <c r="AK288" s="405" t="s">
        <v>1125</v>
      </c>
      <c r="AL288" s="425">
        <v>85215</v>
      </c>
      <c r="AM288" s="405" t="s">
        <v>52</v>
      </c>
      <c r="AN288" s="405"/>
      <c r="AO288" s="405"/>
      <c r="AP288" s="405"/>
      <c r="AQ288" s="413" t="s">
        <v>37</v>
      </c>
      <c r="AR288" s="405"/>
      <c r="AS288" s="363"/>
      <c r="AT288" s="335"/>
      <c r="AU288" s="363"/>
      <c r="AV288" s="403"/>
    </row>
    <row r="289" spans="1:48" s="402" customFormat="1" ht="15" customHeight="1">
      <c r="A289" s="278"/>
      <c r="B289" s="279"/>
      <c r="C289" s="284" t="s">
        <v>1186</v>
      </c>
      <c r="D289" s="374" t="s">
        <v>2804</v>
      </c>
      <c r="E289" s="293"/>
      <c r="F289" s="432"/>
      <c r="G289" s="432">
        <v>2022</v>
      </c>
      <c r="H289" s="360"/>
      <c r="I289" s="360" t="s">
        <v>1241</v>
      </c>
      <c r="J289" s="433"/>
      <c r="K289" s="432" t="s">
        <v>2881</v>
      </c>
      <c r="L289" s="433" t="s">
        <v>1112</v>
      </c>
      <c r="M289" s="433">
        <v>44565</v>
      </c>
      <c r="N289" s="433">
        <v>44685</v>
      </c>
      <c r="O289" s="433"/>
      <c r="P289" s="433"/>
      <c r="Q289" s="433"/>
      <c r="R289" s="433"/>
      <c r="S289" s="432" t="s">
        <v>1098</v>
      </c>
      <c r="T289" s="432">
        <v>60</v>
      </c>
      <c r="U289" s="432"/>
      <c r="V289" s="432" t="s">
        <v>986</v>
      </c>
      <c r="W289" s="436">
        <v>360</v>
      </c>
      <c r="X289" s="372">
        <v>768</v>
      </c>
      <c r="Y289" s="408">
        <f t="shared" si="21"/>
        <v>276480</v>
      </c>
      <c r="Z289" s="409">
        <v>0.53</v>
      </c>
      <c r="AA289" s="410">
        <f t="shared" si="22"/>
        <v>146534.39999999999</v>
      </c>
      <c r="AB289" s="411"/>
      <c r="AC289" s="412"/>
      <c r="AD289" s="421"/>
      <c r="AE289" s="413"/>
      <c r="AF289" s="424">
        <f t="shared" si="23"/>
        <v>146534.39999999999</v>
      </c>
      <c r="AG289" s="405" t="s">
        <v>47</v>
      </c>
      <c r="AH289" s="405"/>
      <c r="AI289" s="405">
        <v>45</v>
      </c>
      <c r="AJ289" s="405" t="s">
        <v>1116</v>
      </c>
      <c r="AK289" s="405" t="s">
        <v>1117</v>
      </c>
      <c r="AL289" s="425">
        <v>55122</v>
      </c>
      <c r="AM289" s="405" t="s">
        <v>52</v>
      </c>
      <c r="AN289" s="405"/>
      <c r="AO289" s="405"/>
      <c r="AP289" s="413"/>
      <c r="AQ289" s="413" t="s">
        <v>37</v>
      </c>
      <c r="AR289" s="405"/>
      <c r="AS289" s="403"/>
      <c r="AT289" s="281"/>
      <c r="AU289" s="386"/>
      <c r="AV289" s="403"/>
    </row>
    <row r="290" spans="1:48" s="402" customFormat="1" ht="15" customHeight="1">
      <c r="A290" s="278"/>
      <c r="B290" s="279"/>
      <c r="C290" s="284" t="s">
        <v>1186</v>
      </c>
      <c r="D290" s="374" t="s">
        <v>2804</v>
      </c>
      <c r="E290" s="293"/>
      <c r="F290" s="432"/>
      <c r="G290" s="432">
        <v>2022</v>
      </c>
      <c r="H290" s="360"/>
      <c r="I290" s="360" t="s">
        <v>1241</v>
      </c>
      <c r="J290" s="433"/>
      <c r="K290" s="432" t="s">
        <v>2881</v>
      </c>
      <c r="L290" s="433" t="s">
        <v>1112</v>
      </c>
      <c r="M290" s="433">
        <v>44565</v>
      </c>
      <c r="N290" s="433">
        <v>44685</v>
      </c>
      <c r="O290" s="433"/>
      <c r="P290" s="433"/>
      <c r="Q290" s="433"/>
      <c r="R290" s="433"/>
      <c r="S290" s="432" t="s">
        <v>1098</v>
      </c>
      <c r="T290" s="432">
        <v>60</v>
      </c>
      <c r="U290" s="432"/>
      <c r="V290" s="432" t="s">
        <v>973</v>
      </c>
      <c r="W290" s="436">
        <v>400</v>
      </c>
      <c r="X290" s="372">
        <v>832</v>
      </c>
      <c r="Y290" s="408">
        <f t="shared" si="21"/>
        <v>332800</v>
      </c>
      <c r="Z290" s="409">
        <v>0.55000000000000004</v>
      </c>
      <c r="AA290" s="410">
        <f t="shared" si="22"/>
        <v>183040.00000000003</v>
      </c>
      <c r="AB290" s="411"/>
      <c r="AC290" s="412"/>
      <c r="AD290" s="421"/>
      <c r="AE290" s="413"/>
      <c r="AF290" s="424">
        <f t="shared" si="23"/>
        <v>183040.00000000003</v>
      </c>
      <c r="AG290" s="405" t="s">
        <v>47</v>
      </c>
      <c r="AH290" s="405"/>
      <c r="AI290" s="405">
        <v>45</v>
      </c>
      <c r="AJ290" s="405" t="s">
        <v>1116</v>
      </c>
      <c r="AK290" s="405" t="s">
        <v>1117</v>
      </c>
      <c r="AL290" s="425">
        <v>55122</v>
      </c>
      <c r="AM290" s="405" t="s">
        <v>52</v>
      </c>
      <c r="AN290" s="405"/>
      <c r="AO290" s="405"/>
      <c r="AP290" s="413"/>
      <c r="AQ290" s="413" t="s">
        <v>37</v>
      </c>
      <c r="AR290" s="405"/>
      <c r="AS290" s="403"/>
      <c r="AT290" s="281"/>
      <c r="AU290" s="386"/>
      <c r="AV290" s="403"/>
    </row>
    <row r="291" spans="1:48" s="402" customFormat="1" ht="15" customHeight="1">
      <c r="A291" s="278"/>
      <c r="B291" s="279">
        <v>44545</v>
      </c>
      <c r="C291" s="279" t="s">
        <v>1186</v>
      </c>
      <c r="D291" s="374" t="s">
        <v>2804</v>
      </c>
      <c r="E291" s="297" t="s">
        <v>3961</v>
      </c>
      <c r="F291" s="432"/>
      <c r="G291" s="432">
        <v>2022</v>
      </c>
      <c r="H291" s="432"/>
      <c r="I291" s="432" t="s">
        <v>3856</v>
      </c>
      <c r="J291" s="433"/>
      <c r="K291" s="432" t="s">
        <v>3962</v>
      </c>
      <c r="L291" s="433" t="s">
        <v>1174</v>
      </c>
      <c r="M291" s="433">
        <v>44645</v>
      </c>
      <c r="N291" s="433">
        <v>44755</v>
      </c>
      <c r="O291" s="433"/>
      <c r="P291" s="433"/>
      <c r="Q291" s="433"/>
      <c r="R291" s="433"/>
      <c r="S291" s="432" t="s">
        <v>1098</v>
      </c>
      <c r="T291" s="432">
        <v>60</v>
      </c>
      <c r="U291" s="432"/>
      <c r="V291" s="432" t="s">
        <v>986</v>
      </c>
      <c r="W291" s="436">
        <v>400</v>
      </c>
      <c r="X291" s="372">
        <v>9984</v>
      </c>
      <c r="Y291" s="408">
        <f t="shared" si="21"/>
        <v>3993600</v>
      </c>
      <c r="Z291" s="409">
        <v>0.52</v>
      </c>
      <c r="AA291" s="410">
        <f t="shared" ref="AA291:AA307" si="24">Y291*Z291</f>
        <v>2076672</v>
      </c>
      <c r="AB291" s="411"/>
      <c r="AC291" s="412">
        <f t="shared" ref="AC291:AC301" si="25">AB291*Y291</f>
        <v>0</v>
      </c>
      <c r="AD291" s="421"/>
      <c r="AE291" s="413"/>
      <c r="AF291" s="424">
        <f t="shared" si="23"/>
        <v>2076672</v>
      </c>
      <c r="AG291" s="405" t="s">
        <v>1069</v>
      </c>
      <c r="AH291" s="405"/>
      <c r="AI291" s="405">
        <v>60</v>
      </c>
      <c r="AJ291" s="405" t="s">
        <v>3963</v>
      </c>
      <c r="AK291" s="405" t="s">
        <v>1092</v>
      </c>
      <c r="AL291" s="425" t="s">
        <v>3964</v>
      </c>
      <c r="AM291" s="405" t="s">
        <v>52</v>
      </c>
      <c r="AN291" s="405" t="s">
        <v>1071</v>
      </c>
      <c r="AO291" s="405"/>
      <c r="AP291" s="413"/>
      <c r="AQ291" s="413" t="s">
        <v>37</v>
      </c>
      <c r="AR291" s="405"/>
      <c r="AS291" s="403" t="s">
        <v>1073</v>
      </c>
      <c r="AT291" s="281" t="s">
        <v>1073</v>
      </c>
      <c r="AU291" s="386" t="s">
        <v>1073</v>
      </c>
      <c r="AV291" s="403"/>
    </row>
    <row r="292" spans="1:48" s="402" customFormat="1" ht="15" customHeight="1">
      <c r="A292" s="278"/>
      <c r="B292" s="279"/>
      <c r="C292" s="279"/>
      <c r="D292" s="374" t="s">
        <v>2804</v>
      </c>
      <c r="E292" s="293" t="s">
        <v>3965</v>
      </c>
      <c r="F292" s="432"/>
      <c r="G292" s="432">
        <v>2022</v>
      </c>
      <c r="H292" s="432"/>
      <c r="I292" s="432" t="s">
        <v>3856</v>
      </c>
      <c r="J292" s="433"/>
      <c r="K292" s="432" t="s">
        <v>3962</v>
      </c>
      <c r="L292" s="433" t="s">
        <v>3966</v>
      </c>
      <c r="M292" s="433">
        <v>44645</v>
      </c>
      <c r="N292" s="433">
        <v>44790</v>
      </c>
      <c r="O292" s="433"/>
      <c r="P292" s="433"/>
      <c r="Q292" s="433"/>
      <c r="R292" s="433"/>
      <c r="S292" s="432" t="s">
        <v>1098</v>
      </c>
      <c r="T292" s="432">
        <v>60</v>
      </c>
      <c r="U292" s="432"/>
      <c r="V292" s="432" t="s">
        <v>973</v>
      </c>
      <c r="W292" s="436">
        <v>360</v>
      </c>
      <c r="X292" s="372">
        <v>3328</v>
      </c>
      <c r="Y292" s="408">
        <f t="shared" si="21"/>
        <v>1198080</v>
      </c>
      <c r="Z292" s="409">
        <v>0.54</v>
      </c>
      <c r="AA292" s="410">
        <f t="shared" si="24"/>
        <v>646963.20000000007</v>
      </c>
      <c r="AB292" s="411"/>
      <c r="AC292" s="412">
        <f t="shared" si="25"/>
        <v>0</v>
      </c>
      <c r="AD292" s="421"/>
      <c r="AE292" s="413"/>
      <c r="AF292" s="424">
        <f t="shared" si="23"/>
        <v>646963.20000000007</v>
      </c>
      <c r="AG292" s="405" t="s">
        <v>1069</v>
      </c>
      <c r="AH292" s="405"/>
      <c r="AI292" s="405">
        <v>60</v>
      </c>
      <c r="AJ292" s="405" t="s">
        <v>1177</v>
      </c>
      <c r="AK292" s="405" t="s">
        <v>1070</v>
      </c>
      <c r="AL292" s="425">
        <v>21046</v>
      </c>
      <c r="AM292" s="405" t="s">
        <v>52</v>
      </c>
      <c r="AN292" s="405"/>
      <c r="AO292" s="405"/>
      <c r="AP292" s="413"/>
      <c r="AQ292" s="413" t="s">
        <v>37</v>
      </c>
      <c r="AR292" s="405"/>
      <c r="AS292" s="403" t="s">
        <v>1073</v>
      </c>
      <c r="AT292" s="281" t="s">
        <v>1073</v>
      </c>
      <c r="AU292" s="386" t="s">
        <v>1073</v>
      </c>
      <c r="AV292" s="403"/>
    </row>
    <row r="293" spans="1:48" s="402" customFormat="1" ht="15" customHeight="1">
      <c r="A293" s="278"/>
      <c r="B293" s="279"/>
      <c r="C293" s="279"/>
      <c r="D293" s="374" t="s">
        <v>2804</v>
      </c>
      <c r="E293" s="293" t="s">
        <v>3965</v>
      </c>
      <c r="F293" s="432"/>
      <c r="G293" s="432">
        <v>2022</v>
      </c>
      <c r="H293" s="432"/>
      <c r="I293" s="432" t="s">
        <v>3856</v>
      </c>
      <c r="J293" s="433"/>
      <c r="K293" s="432" t="s">
        <v>3962</v>
      </c>
      <c r="L293" s="433" t="s">
        <v>3966</v>
      </c>
      <c r="M293" s="433">
        <v>44645</v>
      </c>
      <c r="N293" s="433">
        <v>44818</v>
      </c>
      <c r="O293" s="433"/>
      <c r="P293" s="433"/>
      <c r="Q293" s="433"/>
      <c r="R293" s="433"/>
      <c r="S293" s="432" t="s">
        <v>1098</v>
      </c>
      <c r="T293" s="432">
        <v>60</v>
      </c>
      <c r="U293" s="432"/>
      <c r="V293" s="432" t="s">
        <v>973</v>
      </c>
      <c r="W293" s="436">
        <v>360</v>
      </c>
      <c r="X293" s="372">
        <v>3328</v>
      </c>
      <c r="Y293" s="408">
        <f t="shared" si="21"/>
        <v>1198080</v>
      </c>
      <c r="Z293" s="409">
        <v>0.54</v>
      </c>
      <c r="AA293" s="410">
        <f t="shared" si="24"/>
        <v>646963.20000000007</v>
      </c>
      <c r="AB293" s="411"/>
      <c r="AC293" s="412">
        <f t="shared" si="25"/>
        <v>0</v>
      </c>
      <c r="AD293" s="421"/>
      <c r="AE293" s="413"/>
      <c r="AF293" s="424">
        <f t="shared" si="23"/>
        <v>646963.20000000007</v>
      </c>
      <c r="AG293" s="405" t="s">
        <v>1069</v>
      </c>
      <c r="AH293" s="405"/>
      <c r="AI293" s="405">
        <v>60</v>
      </c>
      <c r="AJ293" s="405" t="s">
        <v>1177</v>
      </c>
      <c r="AK293" s="405" t="s">
        <v>1070</v>
      </c>
      <c r="AL293" s="425">
        <v>21046</v>
      </c>
      <c r="AM293" s="405" t="s">
        <v>52</v>
      </c>
      <c r="AN293" s="405"/>
      <c r="AO293" s="405"/>
      <c r="AP293" s="413"/>
      <c r="AQ293" s="413" t="s">
        <v>37</v>
      </c>
      <c r="AR293" s="405"/>
      <c r="AS293" s="403" t="s">
        <v>1073</v>
      </c>
      <c r="AT293" s="281" t="s">
        <v>1073</v>
      </c>
      <c r="AU293" s="386" t="s">
        <v>1073</v>
      </c>
      <c r="AV293" s="403"/>
    </row>
    <row r="294" spans="1:48" s="402" customFormat="1" ht="15" customHeight="1">
      <c r="A294" s="278"/>
      <c r="B294" s="279"/>
      <c r="C294" s="279"/>
      <c r="D294" s="374" t="s">
        <v>2804</v>
      </c>
      <c r="E294" s="293" t="s">
        <v>4305</v>
      </c>
      <c r="F294" s="432"/>
      <c r="G294" s="432">
        <v>2022</v>
      </c>
      <c r="H294" s="432"/>
      <c r="I294" s="432" t="s">
        <v>3856</v>
      </c>
      <c r="J294" s="433"/>
      <c r="K294" s="432" t="s">
        <v>3968</v>
      </c>
      <c r="L294" s="433" t="s">
        <v>3966</v>
      </c>
      <c r="M294" s="433">
        <v>44655</v>
      </c>
      <c r="N294" s="433">
        <v>44896</v>
      </c>
      <c r="O294" s="433"/>
      <c r="P294" s="433"/>
      <c r="Q294" s="433"/>
      <c r="R294" s="433"/>
      <c r="S294" s="432" t="s">
        <v>1098</v>
      </c>
      <c r="T294" s="432">
        <v>60</v>
      </c>
      <c r="U294" s="432"/>
      <c r="V294" s="432" t="s">
        <v>973</v>
      </c>
      <c r="W294" s="436">
        <v>400</v>
      </c>
      <c r="X294" s="372">
        <v>1664</v>
      </c>
      <c r="Y294" s="408">
        <f t="shared" si="21"/>
        <v>665600</v>
      </c>
      <c r="Z294" s="409">
        <v>0.55000000000000004</v>
      </c>
      <c r="AA294" s="410">
        <f t="shared" si="24"/>
        <v>366080.00000000006</v>
      </c>
      <c r="AB294" s="411"/>
      <c r="AC294" s="412">
        <f t="shared" si="25"/>
        <v>0</v>
      </c>
      <c r="AD294" s="421"/>
      <c r="AE294" s="413"/>
      <c r="AF294" s="424">
        <f t="shared" si="23"/>
        <v>366080.00000000006</v>
      </c>
      <c r="AG294" s="405" t="s">
        <v>1069</v>
      </c>
      <c r="AH294" s="405"/>
      <c r="AI294" s="405">
        <v>60</v>
      </c>
      <c r="AJ294" s="405" t="s">
        <v>1177</v>
      </c>
      <c r="AK294" s="405" t="s">
        <v>1070</v>
      </c>
      <c r="AL294" s="425">
        <v>21046</v>
      </c>
      <c r="AM294" s="405" t="s">
        <v>52</v>
      </c>
      <c r="AN294" s="405"/>
      <c r="AO294" s="405"/>
      <c r="AP294" s="413"/>
      <c r="AQ294" s="413" t="s">
        <v>37</v>
      </c>
      <c r="AR294" s="405"/>
      <c r="AS294" s="403" t="s">
        <v>1073</v>
      </c>
      <c r="AT294" s="281" t="s">
        <v>1073</v>
      </c>
      <c r="AU294" s="386" t="s">
        <v>1073</v>
      </c>
      <c r="AV294" s="403"/>
    </row>
    <row r="295" spans="1:48" s="402" customFormat="1" ht="15" customHeight="1">
      <c r="A295" s="278"/>
      <c r="B295" s="279"/>
      <c r="C295" s="279"/>
      <c r="D295" s="374" t="s">
        <v>2804</v>
      </c>
      <c r="E295" s="293" t="s">
        <v>3967</v>
      </c>
      <c r="F295" s="432"/>
      <c r="G295" s="432">
        <v>2022</v>
      </c>
      <c r="H295" s="432"/>
      <c r="I295" s="432" t="s">
        <v>3856</v>
      </c>
      <c r="J295" s="433"/>
      <c r="K295" s="432" t="s">
        <v>3968</v>
      </c>
      <c r="L295" s="433" t="s">
        <v>3966</v>
      </c>
      <c r="M295" s="433">
        <v>44655</v>
      </c>
      <c r="N295" s="433">
        <v>44896</v>
      </c>
      <c r="O295" s="433"/>
      <c r="P295" s="433"/>
      <c r="Q295" s="433"/>
      <c r="R295" s="433"/>
      <c r="S295" s="432" t="s">
        <v>1098</v>
      </c>
      <c r="T295" s="432">
        <v>60</v>
      </c>
      <c r="U295" s="432"/>
      <c r="V295" s="432" t="s">
        <v>986</v>
      </c>
      <c r="W295" s="436">
        <v>360</v>
      </c>
      <c r="X295" s="372">
        <v>4160</v>
      </c>
      <c r="Y295" s="408">
        <f t="shared" si="21"/>
        <v>1497600</v>
      </c>
      <c r="Z295" s="409">
        <v>0.53</v>
      </c>
      <c r="AA295" s="410">
        <f t="shared" si="24"/>
        <v>793728</v>
      </c>
      <c r="AB295" s="411"/>
      <c r="AC295" s="412">
        <f t="shared" si="25"/>
        <v>0</v>
      </c>
      <c r="AD295" s="421"/>
      <c r="AE295" s="413"/>
      <c r="AF295" s="424">
        <f t="shared" si="23"/>
        <v>793728</v>
      </c>
      <c r="AG295" s="405" t="s">
        <v>1069</v>
      </c>
      <c r="AH295" s="405"/>
      <c r="AI295" s="405">
        <v>60</v>
      </c>
      <c r="AJ295" s="405" t="s">
        <v>1177</v>
      </c>
      <c r="AK295" s="405" t="s">
        <v>1070</v>
      </c>
      <c r="AL295" s="425">
        <v>21046</v>
      </c>
      <c r="AM295" s="405" t="s">
        <v>52</v>
      </c>
      <c r="AN295" s="405"/>
      <c r="AO295" s="405"/>
      <c r="AP295" s="413"/>
      <c r="AQ295" s="413" t="s">
        <v>37</v>
      </c>
      <c r="AR295" s="405"/>
      <c r="AS295" s="403" t="s">
        <v>1073</v>
      </c>
      <c r="AT295" s="281" t="s">
        <v>1073</v>
      </c>
      <c r="AU295" s="386" t="s">
        <v>1073</v>
      </c>
      <c r="AV295" s="403"/>
    </row>
    <row r="296" spans="1:48" s="402" customFormat="1" ht="15" customHeight="1">
      <c r="A296" s="278"/>
      <c r="B296" s="279"/>
      <c r="C296" s="279"/>
      <c r="D296" s="374" t="s">
        <v>2804</v>
      </c>
      <c r="E296" s="293" t="s">
        <v>4306</v>
      </c>
      <c r="F296" s="432"/>
      <c r="G296" s="432">
        <v>2022</v>
      </c>
      <c r="H296" s="432"/>
      <c r="I296" s="432" t="s">
        <v>3856</v>
      </c>
      <c r="J296" s="433"/>
      <c r="K296" s="432" t="s">
        <v>3970</v>
      </c>
      <c r="L296" s="433" t="s">
        <v>3966</v>
      </c>
      <c r="M296" s="433">
        <v>44655</v>
      </c>
      <c r="N296" s="433">
        <v>44866</v>
      </c>
      <c r="O296" s="433"/>
      <c r="P296" s="433"/>
      <c r="Q296" s="433"/>
      <c r="R296" s="433"/>
      <c r="S296" s="432" t="s">
        <v>1098</v>
      </c>
      <c r="T296" s="432">
        <v>60</v>
      </c>
      <c r="U296" s="432"/>
      <c r="V296" s="432" t="s">
        <v>973</v>
      </c>
      <c r="W296" s="436">
        <v>400</v>
      </c>
      <c r="X296" s="372">
        <v>1664</v>
      </c>
      <c r="Y296" s="408">
        <f t="shared" si="21"/>
        <v>665600</v>
      </c>
      <c r="Z296" s="409">
        <v>0.55000000000000004</v>
      </c>
      <c r="AA296" s="410">
        <f t="shared" si="24"/>
        <v>366080.00000000006</v>
      </c>
      <c r="AB296" s="411"/>
      <c r="AC296" s="412">
        <f t="shared" si="25"/>
        <v>0</v>
      </c>
      <c r="AD296" s="421"/>
      <c r="AE296" s="413"/>
      <c r="AF296" s="424">
        <f t="shared" si="23"/>
        <v>366080.00000000006</v>
      </c>
      <c r="AG296" s="405" t="s">
        <v>1069</v>
      </c>
      <c r="AH296" s="405"/>
      <c r="AI296" s="405">
        <v>60</v>
      </c>
      <c r="AJ296" s="405" t="s">
        <v>1177</v>
      </c>
      <c r="AK296" s="405" t="s">
        <v>1070</v>
      </c>
      <c r="AL296" s="425">
        <v>21046</v>
      </c>
      <c r="AM296" s="405" t="s">
        <v>52</v>
      </c>
      <c r="AN296" s="405"/>
      <c r="AO296" s="405"/>
      <c r="AP296" s="413"/>
      <c r="AQ296" s="413" t="s">
        <v>37</v>
      </c>
      <c r="AR296" s="405"/>
      <c r="AS296" s="403" t="s">
        <v>1073</v>
      </c>
      <c r="AT296" s="281" t="s">
        <v>1073</v>
      </c>
      <c r="AU296" s="386" t="s">
        <v>1073</v>
      </c>
      <c r="AV296" s="403"/>
    </row>
    <row r="297" spans="1:48" s="402" customFormat="1" ht="14.25" customHeight="1">
      <c r="A297" s="278"/>
      <c r="B297" s="279"/>
      <c r="C297" s="279"/>
      <c r="D297" s="374" t="s">
        <v>2804</v>
      </c>
      <c r="E297" s="293" t="s">
        <v>3969</v>
      </c>
      <c r="F297" s="432"/>
      <c r="G297" s="432">
        <v>2022</v>
      </c>
      <c r="H297" s="432"/>
      <c r="I297" s="432" t="s">
        <v>3856</v>
      </c>
      <c r="J297" s="433"/>
      <c r="K297" s="432" t="s">
        <v>3970</v>
      </c>
      <c r="L297" s="433" t="s">
        <v>3966</v>
      </c>
      <c r="M297" s="433">
        <v>44655</v>
      </c>
      <c r="N297" s="433">
        <v>44866</v>
      </c>
      <c r="O297" s="433"/>
      <c r="P297" s="433"/>
      <c r="Q297" s="433"/>
      <c r="R297" s="433"/>
      <c r="S297" s="432" t="s">
        <v>1098</v>
      </c>
      <c r="T297" s="432">
        <v>60</v>
      </c>
      <c r="U297" s="432"/>
      <c r="V297" s="432" t="s">
        <v>986</v>
      </c>
      <c r="W297" s="436">
        <v>360</v>
      </c>
      <c r="X297" s="372">
        <v>4160</v>
      </c>
      <c r="Y297" s="408">
        <f t="shared" si="21"/>
        <v>1497600</v>
      </c>
      <c r="Z297" s="409">
        <v>0.53</v>
      </c>
      <c r="AA297" s="410">
        <f t="shared" si="24"/>
        <v>793728</v>
      </c>
      <c r="AB297" s="411"/>
      <c r="AC297" s="412">
        <f t="shared" si="25"/>
        <v>0</v>
      </c>
      <c r="AD297" s="421"/>
      <c r="AE297" s="413"/>
      <c r="AF297" s="424">
        <f t="shared" si="23"/>
        <v>793728</v>
      </c>
      <c r="AG297" s="405" t="s">
        <v>1069</v>
      </c>
      <c r="AH297" s="405"/>
      <c r="AI297" s="405">
        <v>60</v>
      </c>
      <c r="AJ297" s="405" t="s">
        <v>1177</v>
      </c>
      <c r="AK297" s="405" t="s">
        <v>1070</v>
      </c>
      <c r="AL297" s="425">
        <v>21046</v>
      </c>
      <c r="AM297" s="405" t="s">
        <v>52</v>
      </c>
      <c r="AN297" s="405"/>
      <c r="AO297" s="405"/>
      <c r="AP297" s="413"/>
      <c r="AQ297" s="413" t="s">
        <v>37</v>
      </c>
      <c r="AR297" s="405"/>
      <c r="AS297" s="403" t="s">
        <v>1073</v>
      </c>
      <c r="AT297" s="281" t="s">
        <v>1073</v>
      </c>
      <c r="AU297" s="386" t="s">
        <v>1073</v>
      </c>
      <c r="AV297" s="403"/>
    </row>
    <row r="298" spans="1:48" s="402" customFormat="1" ht="15" customHeight="1">
      <c r="A298" s="278"/>
      <c r="B298" s="279"/>
      <c r="C298" s="279"/>
      <c r="D298" s="374" t="s">
        <v>2804</v>
      </c>
      <c r="E298" s="293" t="s">
        <v>4307</v>
      </c>
      <c r="F298" s="432"/>
      <c r="G298" s="432">
        <v>2022</v>
      </c>
      <c r="H298" s="432"/>
      <c r="I298" s="432" t="s">
        <v>3856</v>
      </c>
      <c r="J298" s="433"/>
      <c r="K298" s="432" t="s">
        <v>3972</v>
      </c>
      <c r="L298" s="433" t="s">
        <v>3966</v>
      </c>
      <c r="M298" s="433">
        <v>44655</v>
      </c>
      <c r="N298" s="433">
        <v>44835</v>
      </c>
      <c r="O298" s="433"/>
      <c r="P298" s="433"/>
      <c r="Q298" s="433"/>
      <c r="R298" s="433"/>
      <c r="S298" s="432" t="s">
        <v>1098</v>
      </c>
      <c r="T298" s="432">
        <v>60</v>
      </c>
      <c r="U298" s="432"/>
      <c r="V298" s="432" t="s">
        <v>973</v>
      </c>
      <c r="W298" s="436">
        <v>400</v>
      </c>
      <c r="X298" s="372">
        <v>1664</v>
      </c>
      <c r="Y298" s="408">
        <f t="shared" si="21"/>
        <v>665600</v>
      </c>
      <c r="Z298" s="409">
        <v>0.55000000000000004</v>
      </c>
      <c r="AA298" s="410">
        <f t="shared" si="24"/>
        <v>366080.00000000006</v>
      </c>
      <c r="AB298" s="411"/>
      <c r="AC298" s="412">
        <f t="shared" si="25"/>
        <v>0</v>
      </c>
      <c r="AD298" s="421"/>
      <c r="AE298" s="413"/>
      <c r="AF298" s="424">
        <f t="shared" si="23"/>
        <v>366080.00000000006</v>
      </c>
      <c r="AG298" s="405" t="s">
        <v>1069</v>
      </c>
      <c r="AH298" s="405"/>
      <c r="AI298" s="405">
        <v>60</v>
      </c>
      <c r="AJ298" s="405" t="s">
        <v>1177</v>
      </c>
      <c r="AK298" s="405" t="s">
        <v>1070</v>
      </c>
      <c r="AL298" s="425">
        <v>21046</v>
      </c>
      <c r="AM298" s="405" t="s">
        <v>52</v>
      </c>
      <c r="AN298" s="405"/>
      <c r="AO298" s="405"/>
      <c r="AP298" s="413"/>
      <c r="AQ298" s="413" t="s">
        <v>37</v>
      </c>
      <c r="AR298" s="405"/>
      <c r="AS298" s="403" t="s">
        <v>1073</v>
      </c>
      <c r="AT298" s="281" t="s">
        <v>1073</v>
      </c>
      <c r="AU298" s="386" t="s">
        <v>1073</v>
      </c>
      <c r="AV298" s="403"/>
    </row>
    <row r="299" spans="1:48" s="402" customFormat="1" ht="15" customHeight="1">
      <c r="A299" s="278"/>
      <c r="B299" s="279"/>
      <c r="C299" s="279"/>
      <c r="D299" s="374" t="s">
        <v>2804</v>
      </c>
      <c r="E299" s="293" t="s">
        <v>3971</v>
      </c>
      <c r="F299" s="432"/>
      <c r="G299" s="432">
        <v>2022</v>
      </c>
      <c r="H299" s="432"/>
      <c r="I299" s="432" t="s">
        <v>3856</v>
      </c>
      <c r="J299" s="433"/>
      <c r="K299" s="432" t="s">
        <v>3972</v>
      </c>
      <c r="L299" s="433" t="s">
        <v>3966</v>
      </c>
      <c r="M299" s="433">
        <v>44655</v>
      </c>
      <c r="N299" s="433">
        <v>44835</v>
      </c>
      <c r="O299" s="433"/>
      <c r="P299" s="433"/>
      <c r="Q299" s="433"/>
      <c r="R299" s="433"/>
      <c r="S299" s="432" t="s">
        <v>1098</v>
      </c>
      <c r="T299" s="432">
        <v>60</v>
      </c>
      <c r="U299" s="432"/>
      <c r="V299" s="432" t="s">
        <v>986</v>
      </c>
      <c r="W299" s="436">
        <v>360</v>
      </c>
      <c r="X299" s="372">
        <v>4160</v>
      </c>
      <c r="Y299" s="408">
        <f t="shared" si="21"/>
        <v>1497600</v>
      </c>
      <c r="Z299" s="409">
        <v>0.53</v>
      </c>
      <c r="AA299" s="410">
        <f t="shared" si="24"/>
        <v>793728</v>
      </c>
      <c r="AB299" s="411"/>
      <c r="AC299" s="412">
        <f t="shared" si="25"/>
        <v>0</v>
      </c>
      <c r="AD299" s="421"/>
      <c r="AE299" s="413"/>
      <c r="AF299" s="424">
        <f t="shared" si="23"/>
        <v>793728</v>
      </c>
      <c r="AG299" s="405" t="s">
        <v>1069</v>
      </c>
      <c r="AH299" s="405"/>
      <c r="AI299" s="405">
        <v>60</v>
      </c>
      <c r="AJ299" s="405" t="s">
        <v>1177</v>
      </c>
      <c r="AK299" s="405" t="s">
        <v>1070</v>
      </c>
      <c r="AL299" s="425">
        <v>21046</v>
      </c>
      <c r="AM299" s="405" t="s">
        <v>52</v>
      </c>
      <c r="AN299" s="405"/>
      <c r="AO299" s="405"/>
      <c r="AP299" s="413"/>
      <c r="AQ299" s="413" t="s">
        <v>37</v>
      </c>
      <c r="AR299" s="405"/>
      <c r="AS299" s="403" t="s">
        <v>1073</v>
      </c>
      <c r="AT299" s="281" t="s">
        <v>1073</v>
      </c>
      <c r="AU299" s="386" t="s">
        <v>1073</v>
      </c>
      <c r="AV299" s="403"/>
    </row>
    <row r="300" spans="1:48" s="402" customFormat="1" ht="15" customHeight="1">
      <c r="A300" s="278"/>
      <c r="B300" s="279"/>
      <c r="C300" s="279"/>
      <c r="D300" s="374" t="s">
        <v>2804</v>
      </c>
      <c r="E300" s="293" t="s">
        <v>4308</v>
      </c>
      <c r="F300" s="432"/>
      <c r="G300" s="432">
        <v>2022</v>
      </c>
      <c r="H300" s="432"/>
      <c r="I300" s="432" t="s">
        <v>3856</v>
      </c>
      <c r="J300" s="433"/>
      <c r="K300" s="432" t="s">
        <v>3974</v>
      </c>
      <c r="L300" s="433" t="s">
        <v>3966</v>
      </c>
      <c r="M300" s="433">
        <v>44655</v>
      </c>
      <c r="N300" s="433">
        <v>44805</v>
      </c>
      <c r="O300" s="433"/>
      <c r="P300" s="433"/>
      <c r="Q300" s="433"/>
      <c r="R300" s="433"/>
      <c r="S300" s="432" t="s">
        <v>1098</v>
      </c>
      <c r="T300" s="432">
        <v>60</v>
      </c>
      <c r="U300" s="432"/>
      <c r="V300" s="432" t="s">
        <v>973</v>
      </c>
      <c r="W300" s="436">
        <v>400</v>
      </c>
      <c r="X300" s="372">
        <v>1664</v>
      </c>
      <c r="Y300" s="408">
        <f t="shared" si="21"/>
        <v>665600</v>
      </c>
      <c r="Z300" s="409">
        <v>0.55000000000000004</v>
      </c>
      <c r="AA300" s="410">
        <f t="shared" si="24"/>
        <v>366080.00000000006</v>
      </c>
      <c r="AB300" s="411"/>
      <c r="AC300" s="412">
        <f t="shared" si="25"/>
        <v>0</v>
      </c>
      <c r="AD300" s="421"/>
      <c r="AE300" s="413"/>
      <c r="AF300" s="424">
        <f t="shared" si="23"/>
        <v>366080.00000000006</v>
      </c>
      <c r="AG300" s="405" t="s">
        <v>1069</v>
      </c>
      <c r="AH300" s="405"/>
      <c r="AI300" s="405">
        <v>60</v>
      </c>
      <c r="AJ300" s="405" t="s">
        <v>1177</v>
      </c>
      <c r="AK300" s="405" t="s">
        <v>1070</v>
      </c>
      <c r="AL300" s="425">
        <v>21046</v>
      </c>
      <c r="AM300" s="405" t="s">
        <v>52</v>
      </c>
      <c r="AN300" s="405"/>
      <c r="AO300" s="405"/>
      <c r="AP300" s="413"/>
      <c r="AQ300" s="413" t="s">
        <v>37</v>
      </c>
      <c r="AR300" s="405"/>
      <c r="AS300" s="403" t="s">
        <v>1073</v>
      </c>
      <c r="AT300" s="281" t="s">
        <v>1073</v>
      </c>
      <c r="AU300" s="386" t="s">
        <v>1073</v>
      </c>
      <c r="AV300" s="403"/>
    </row>
    <row r="301" spans="1:48" s="402" customFormat="1" ht="15" customHeight="1">
      <c r="A301" s="278"/>
      <c r="B301" s="279"/>
      <c r="C301" s="279"/>
      <c r="D301" s="374" t="s">
        <v>2804</v>
      </c>
      <c r="E301" s="293" t="s">
        <v>3973</v>
      </c>
      <c r="F301" s="432"/>
      <c r="G301" s="432">
        <v>2022</v>
      </c>
      <c r="H301" s="432"/>
      <c r="I301" s="432" t="s">
        <v>3856</v>
      </c>
      <c r="J301" s="433"/>
      <c r="K301" s="432" t="s">
        <v>3974</v>
      </c>
      <c r="L301" s="433" t="s">
        <v>3966</v>
      </c>
      <c r="M301" s="433">
        <v>44655</v>
      </c>
      <c r="N301" s="433">
        <v>44805</v>
      </c>
      <c r="O301" s="433"/>
      <c r="P301" s="433"/>
      <c r="Q301" s="433"/>
      <c r="R301" s="433"/>
      <c r="S301" s="432" t="s">
        <v>1098</v>
      </c>
      <c r="T301" s="432">
        <v>60</v>
      </c>
      <c r="U301" s="432"/>
      <c r="V301" s="432" t="s">
        <v>986</v>
      </c>
      <c r="W301" s="436">
        <v>360</v>
      </c>
      <c r="X301" s="372">
        <v>4160</v>
      </c>
      <c r="Y301" s="408">
        <f t="shared" si="21"/>
        <v>1497600</v>
      </c>
      <c r="Z301" s="409">
        <v>0.53</v>
      </c>
      <c r="AA301" s="410">
        <f t="shared" si="24"/>
        <v>793728</v>
      </c>
      <c r="AB301" s="411"/>
      <c r="AC301" s="412">
        <f t="shared" si="25"/>
        <v>0</v>
      </c>
      <c r="AD301" s="421"/>
      <c r="AE301" s="413"/>
      <c r="AF301" s="424">
        <f t="shared" si="23"/>
        <v>793728</v>
      </c>
      <c r="AG301" s="405" t="s">
        <v>1069</v>
      </c>
      <c r="AH301" s="405"/>
      <c r="AI301" s="405">
        <v>60</v>
      </c>
      <c r="AJ301" s="405" t="s">
        <v>1177</v>
      </c>
      <c r="AK301" s="405" t="s">
        <v>1070</v>
      </c>
      <c r="AL301" s="425">
        <v>21046</v>
      </c>
      <c r="AM301" s="405" t="s">
        <v>52</v>
      </c>
      <c r="AN301" s="405"/>
      <c r="AO301" s="405"/>
      <c r="AP301" s="413"/>
      <c r="AQ301" s="413" t="s">
        <v>37</v>
      </c>
      <c r="AR301" s="405"/>
      <c r="AS301" s="403" t="s">
        <v>1073</v>
      </c>
      <c r="AT301" s="281" t="s">
        <v>1073</v>
      </c>
      <c r="AU301" s="386" t="s">
        <v>1073</v>
      </c>
      <c r="AV301" s="403"/>
    </row>
    <row r="302" spans="1:48" s="402" customFormat="1" ht="15" customHeight="1">
      <c r="A302" s="426"/>
      <c r="B302" s="376" t="s">
        <v>1186</v>
      </c>
      <c r="C302" s="376" t="s">
        <v>1186</v>
      </c>
      <c r="D302" s="432" t="s">
        <v>2804</v>
      </c>
      <c r="E302" s="298" t="s">
        <v>3978</v>
      </c>
      <c r="F302" s="432"/>
      <c r="G302" s="432">
        <v>2022</v>
      </c>
      <c r="H302" s="432"/>
      <c r="I302" s="443" t="s">
        <v>1498</v>
      </c>
      <c r="J302" s="433"/>
      <c r="K302" s="432" t="s">
        <v>3980</v>
      </c>
      <c r="L302" s="433" t="s">
        <v>1308</v>
      </c>
      <c r="M302" s="433">
        <v>44630</v>
      </c>
      <c r="N302" s="433">
        <v>44713</v>
      </c>
      <c r="O302" s="433"/>
      <c r="P302" s="433"/>
      <c r="Q302" s="433"/>
      <c r="R302" s="433"/>
      <c r="S302" s="432" t="s">
        <v>1098</v>
      </c>
      <c r="T302" s="432">
        <v>60</v>
      </c>
      <c r="U302" s="432">
        <v>49403140</v>
      </c>
      <c r="V302" s="432" t="s">
        <v>973</v>
      </c>
      <c r="W302" s="436">
        <v>400</v>
      </c>
      <c r="X302" s="372">
        <v>768</v>
      </c>
      <c r="Y302" s="408">
        <f t="shared" si="21"/>
        <v>307200</v>
      </c>
      <c r="Z302" s="409">
        <v>0.55000000000000004</v>
      </c>
      <c r="AA302" s="410">
        <f t="shared" si="24"/>
        <v>168960</v>
      </c>
      <c r="AB302" s="362"/>
      <c r="AC302" s="412">
        <v>0</v>
      </c>
      <c r="AD302" s="405"/>
      <c r="AE302" s="413"/>
      <c r="AF302" s="424">
        <f t="shared" si="23"/>
        <v>168960</v>
      </c>
      <c r="AG302" s="405" t="s">
        <v>1069</v>
      </c>
      <c r="AH302" s="395"/>
      <c r="AI302" s="405">
        <v>60</v>
      </c>
      <c r="AJ302" s="405" t="s">
        <v>1291</v>
      </c>
      <c r="AK302" s="405" t="s">
        <v>1292</v>
      </c>
      <c r="AL302" s="425">
        <v>18360</v>
      </c>
      <c r="AM302" s="405" t="s">
        <v>52</v>
      </c>
      <c r="AN302" s="405" t="s">
        <v>1071</v>
      </c>
      <c r="AO302" s="405"/>
      <c r="AP302" s="405"/>
      <c r="AQ302" s="405" t="s">
        <v>37</v>
      </c>
      <c r="AR302" s="405"/>
      <c r="AS302" s="363" t="s">
        <v>1072</v>
      </c>
      <c r="AT302" s="335" t="s">
        <v>1073</v>
      </c>
      <c r="AU302" s="363" t="s">
        <v>1073</v>
      </c>
      <c r="AV302" s="403"/>
    </row>
    <row r="303" spans="1:48" s="402" customFormat="1" ht="15" customHeight="1">
      <c r="A303" s="426"/>
      <c r="B303" s="376" t="s">
        <v>1186</v>
      </c>
      <c r="C303" s="376" t="s">
        <v>1186</v>
      </c>
      <c r="D303" s="432" t="s">
        <v>2804</v>
      </c>
      <c r="E303" s="298" t="s">
        <v>3978</v>
      </c>
      <c r="F303" s="432"/>
      <c r="G303" s="432">
        <v>2022</v>
      </c>
      <c r="H303" s="432"/>
      <c r="I303" s="443" t="s">
        <v>1498</v>
      </c>
      <c r="J303" s="433"/>
      <c r="K303" s="432" t="s">
        <v>3979</v>
      </c>
      <c r="L303" s="433" t="s">
        <v>1308</v>
      </c>
      <c r="M303" s="433">
        <v>44630</v>
      </c>
      <c r="N303" s="433">
        <v>44743</v>
      </c>
      <c r="O303" s="433"/>
      <c r="P303" s="433"/>
      <c r="Q303" s="433"/>
      <c r="R303" s="433"/>
      <c r="S303" s="432" t="s">
        <v>1098</v>
      </c>
      <c r="T303" s="432">
        <v>60</v>
      </c>
      <c r="U303" s="432">
        <v>49403140</v>
      </c>
      <c r="V303" s="432" t="s">
        <v>973</v>
      </c>
      <c r="W303" s="436">
        <v>400</v>
      </c>
      <c r="X303" s="372">
        <v>768</v>
      </c>
      <c r="Y303" s="408">
        <f t="shared" si="21"/>
        <v>307200</v>
      </c>
      <c r="Z303" s="409">
        <v>0.55000000000000004</v>
      </c>
      <c r="AA303" s="410">
        <f t="shared" si="24"/>
        <v>168960</v>
      </c>
      <c r="AB303" s="362"/>
      <c r="AC303" s="412">
        <v>0</v>
      </c>
      <c r="AD303" s="405"/>
      <c r="AE303" s="413"/>
      <c r="AF303" s="424">
        <f t="shared" si="23"/>
        <v>168960</v>
      </c>
      <c r="AG303" s="405" t="s">
        <v>1069</v>
      </c>
      <c r="AH303" s="395"/>
      <c r="AI303" s="405">
        <v>60</v>
      </c>
      <c r="AJ303" s="405" t="s">
        <v>1291</v>
      </c>
      <c r="AK303" s="405" t="s">
        <v>1292</v>
      </c>
      <c r="AL303" s="425">
        <v>18360</v>
      </c>
      <c r="AM303" s="405" t="s">
        <v>52</v>
      </c>
      <c r="AN303" s="405" t="s">
        <v>1071</v>
      </c>
      <c r="AO303" s="405"/>
      <c r="AP303" s="405"/>
      <c r="AQ303" s="405" t="s">
        <v>37</v>
      </c>
      <c r="AR303" s="405"/>
      <c r="AS303" s="363" t="s">
        <v>1072</v>
      </c>
      <c r="AT303" s="335" t="s">
        <v>1073</v>
      </c>
      <c r="AU303" s="363" t="s">
        <v>1073</v>
      </c>
      <c r="AV303" s="403"/>
    </row>
    <row r="304" spans="1:48" s="402" customFormat="1" ht="15" customHeight="1">
      <c r="A304" s="403"/>
      <c r="B304" s="403"/>
      <c r="C304" s="403"/>
      <c r="D304" s="374" t="s">
        <v>2804</v>
      </c>
      <c r="E304" s="298" t="s">
        <v>3981</v>
      </c>
      <c r="F304" s="432"/>
      <c r="G304" s="432">
        <v>2022</v>
      </c>
      <c r="H304" s="432"/>
      <c r="I304" s="432"/>
      <c r="J304" s="433"/>
      <c r="K304" s="432" t="s">
        <v>3982</v>
      </c>
      <c r="L304" s="432" t="s">
        <v>1298</v>
      </c>
      <c r="M304" s="433">
        <v>44655</v>
      </c>
      <c r="N304" s="433">
        <v>44816</v>
      </c>
      <c r="O304" s="433"/>
      <c r="P304" s="433"/>
      <c r="Q304" s="433"/>
      <c r="R304" s="433"/>
      <c r="S304" s="432" t="s">
        <v>1098</v>
      </c>
      <c r="T304" s="432">
        <v>60</v>
      </c>
      <c r="U304" s="432"/>
      <c r="V304" s="432" t="s">
        <v>1970</v>
      </c>
      <c r="W304" s="432">
        <v>400</v>
      </c>
      <c r="X304" s="436">
        <v>768</v>
      </c>
      <c r="Y304" s="408">
        <f t="shared" si="21"/>
        <v>307200</v>
      </c>
      <c r="Z304" s="409">
        <v>0.55000000000000004</v>
      </c>
      <c r="AA304" s="410">
        <f t="shared" si="24"/>
        <v>168960</v>
      </c>
      <c r="AB304" s="362"/>
      <c r="AC304" s="412">
        <v>0</v>
      </c>
      <c r="AD304" s="405"/>
      <c r="AE304" s="413"/>
      <c r="AF304" s="424">
        <f t="shared" si="23"/>
        <v>168960</v>
      </c>
      <c r="AG304" s="405" t="s">
        <v>1069</v>
      </c>
      <c r="AH304" s="395"/>
      <c r="AI304" s="405">
        <v>60</v>
      </c>
      <c r="AJ304" s="405" t="s">
        <v>1181</v>
      </c>
      <c r="AK304" s="405" t="s">
        <v>1130</v>
      </c>
      <c r="AL304" s="425">
        <v>14624</v>
      </c>
      <c r="AM304" s="405" t="s">
        <v>52</v>
      </c>
      <c r="AN304" s="405"/>
      <c r="AO304" s="405"/>
      <c r="AP304" s="405"/>
      <c r="AQ304" s="405" t="s">
        <v>37</v>
      </c>
      <c r="AR304" s="405"/>
      <c r="AS304" s="363" t="s">
        <v>1072</v>
      </c>
      <c r="AT304" s="335"/>
      <c r="AU304" s="363"/>
      <c r="AV304" s="403"/>
    </row>
    <row r="305" spans="1:48" s="402" customFormat="1" ht="15" customHeight="1">
      <c r="A305" s="403"/>
      <c r="B305" s="403"/>
      <c r="C305" s="403"/>
      <c r="D305" s="374" t="s">
        <v>2804</v>
      </c>
      <c r="E305" s="298" t="s">
        <v>3981</v>
      </c>
      <c r="F305" s="432"/>
      <c r="G305" s="432">
        <v>2022</v>
      </c>
      <c r="H305" s="432"/>
      <c r="I305" s="432"/>
      <c r="J305" s="433"/>
      <c r="K305" s="432" t="s">
        <v>3983</v>
      </c>
      <c r="L305" s="432" t="s">
        <v>1298</v>
      </c>
      <c r="M305" s="433">
        <v>44655</v>
      </c>
      <c r="N305" s="433">
        <v>44753</v>
      </c>
      <c r="O305" s="433"/>
      <c r="P305" s="433"/>
      <c r="Q305" s="433"/>
      <c r="R305" s="433"/>
      <c r="S305" s="432" t="s">
        <v>1098</v>
      </c>
      <c r="T305" s="432">
        <v>60</v>
      </c>
      <c r="U305" s="432"/>
      <c r="V305" s="432" t="s">
        <v>1970</v>
      </c>
      <c r="W305" s="432">
        <v>400</v>
      </c>
      <c r="X305" s="436">
        <v>768</v>
      </c>
      <c r="Y305" s="408">
        <f t="shared" si="21"/>
        <v>307200</v>
      </c>
      <c r="Z305" s="409">
        <v>0.55000000000000004</v>
      </c>
      <c r="AA305" s="410">
        <f t="shared" si="24"/>
        <v>168960</v>
      </c>
      <c r="AB305" s="362"/>
      <c r="AC305" s="412">
        <v>0</v>
      </c>
      <c r="AD305" s="405"/>
      <c r="AE305" s="413"/>
      <c r="AF305" s="424">
        <f t="shared" si="23"/>
        <v>168960</v>
      </c>
      <c r="AG305" s="405" t="s">
        <v>1069</v>
      </c>
      <c r="AH305" s="395"/>
      <c r="AI305" s="405">
        <v>60</v>
      </c>
      <c r="AJ305" s="405" t="s">
        <v>1181</v>
      </c>
      <c r="AK305" s="405" t="s">
        <v>1130</v>
      </c>
      <c r="AL305" s="425">
        <v>14624</v>
      </c>
      <c r="AM305" s="405" t="s">
        <v>52</v>
      </c>
      <c r="AN305" s="405"/>
      <c r="AO305" s="405"/>
      <c r="AP305" s="405"/>
      <c r="AQ305" s="405" t="s">
        <v>37</v>
      </c>
      <c r="AR305" s="405"/>
      <c r="AS305" s="363" t="s">
        <v>1072</v>
      </c>
      <c r="AT305" s="335"/>
      <c r="AU305" s="363"/>
      <c r="AV305" s="403"/>
    </row>
    <row r="306" spans="1:48" s="402" customFormat="1" ht="15" customHeight="1">
      <c r="A306" s="403"/>
      <c r="B306" s="403"/>
      <c r="C306" s="403"/>
      <c r="D306" s="374" t="s">
        <v>2804</v>
      </c>
      <c r="E306" s="298" t="s">
        <v>3984</v>
      </c>
      <c r="F306" s="432"/>
      <c r="G306" s="432">
        <v>2022</v>
      </c>
      <c r="H306" s="432"/>
      <c r="I306" s="432"/>
      <c r="J306" s="433"/>
      <c r="K306" s="432" t="s">
        <v>2898</v>
      </c>
      <c r="L306" s="432" t="s">
        <v>1298</v>
      </c>
      <c r="M306" s="433">
        <v>44505</v>
      </c>
      <c r="N306" s="433">
        <v>44648</v>
      </c>
      <c r="O306" s="433"/>
      <c r="P306" s="433"/>
      <c r="Q306" s="433"/>
      <c r="R306" s="433"/>
      <c r="S306" s="432" t="s">
        <v>1098</v>
      </c>
      <c r="T306" s="432">
        <v>60</v>
      </c>
      <c r="U306" s="432"/>
      <c r="V306" s="432" t="s">
        <v>1970</v>
      </c>
      <c r="W306" s="432">
        <v>400</v>
      </c>
      <c r="X306" s="436">
        <v>768</v>
      </c>
      <c r="Y306" s="408">
        <f t="shared" si="21"/>
        <v>307200</v>
      </c>
      <c r="Z306" s="409">
        <v>0.55000000000000004</v>
      </c>
      <c r="AA306" s="410">
        <f t="shared" si="24"/>
        <v>168960</v>
      </c>
      <c r="AB306" s="362"/>
      <c r="AC306" s="412">
        <v>0</v>
      </c>
      <c r="AD306" s="405"/>
      <c r="AE306" s="413"/>
      <c r="AF306" s="424">
        <f t="shared" si="23"/>
        <v>168960</v>
      </c>
      <c r="AG306" s="405" t="s">
        <v>1069</v>
      </c>
      <c r="AH306" s="395"/>
      <c r="AI306" s="405">
        <v>60</v>
      </c>
      <c r="AJ306" s="405" t="s">
        <v>1181</v>
      </c>
      <c r="AK306" s="405" t="s">
        <v>1130</v>
      </c>
      <c r="AL306" s="425">
        <v>14624</v>
      </c>
      <c r="AM306" s="405" t="s">
        <v>52</v>
      </c>
      <c r="AN306" s="405"/>
      <c r="AO306" s="405"/>
      <c r="AP306" s="405"/>
      <c r="AQ306" s="405" t="s">
        <v>37</v>
      </c>
      <c r="AR306" s="405"/>
      <c r="AS306" s="363" t="s">
        <v>1072</v>
      </c>
      <c r="AT306" s="335"/>
      <c r="AU306" s="363"/>
      <c r="AV306" s="403"/>
    </row>
    <row r="307" spans="1:48" s="402" customFormat="1" ht="15" customHeight="1">
      <c r="A307" s="403"/>
      <c r="B307" s="403"/>
      <c r="C307" s="403"/>
      <c r="D307" s="374" t="s">
        <v>2804</v>
      </c>
      <c r="E307" s="298" t="s">
        <v>3984</v>
      </c>
      <c r="F307" s="432" t="s">
        <v>1139</v>
      </c>
      <c r="G307" s="432">
        <v>2022</v>
      </c>
      <c r="H307" s="432"/>
      <c r="I307" s="432"/>
      <c r="J307" s="433"/>
      <c r="K307" s="432" t="s">
        <v>2897</v>
      </c>
      <c r="L307" s="432" t="s">
        <v>1298</v>
      </c>
      <c r="M307" s="433">
        <v>44505</v>
      </c>
      <c r="N307" s="433">
        <v>44607</v>
      </c>
      <c r="O307" s="433"/>
      <c r="P307" s="433"/>
      <c r="Q307" s="433"/>
      <c r="R307" s="433"/>
      <c r="S307" s="432" t="s">
        <v>1098</v>
      </c>
      <c r="T307" s="432">
        <v>60</v>
      </c>
      <c r="U307" s="432"/>
      <c r="V307" s="432" t="s">
        <v>1018</v>
      </c>
      <c r="W307" s="432">
        <v>360</v>
      </c>
      <c r="X307" s="436">
        <v>676</v>
      </c>
      <c r="Y307" s="408">
        <f t="shared" si="21"/>
        <v>243360</v>
      </c>
      <c r="Z307" s="409">
        <v>0.83</v>
      </c>
      <c r="AA307" s="410">
        <f t="shared" si="24"/>
        <v>201988.8</v>
      </c>
      <c r="AB307" s="362"/>
      <c r="AC307" s="412">
        <v>0</v>
      </c>
      <c r="AD307" s="405"/>
      <c r="AE307" s="413"/>
      <c r="AF307" s="424">
        <f t="shared" si="23"/>
        <v>201988.8</v>
      </c>
      <c r="AG307" s="405" t="s">
        <v>1069</v>
      </c>
      <c r="AH307" s="395"/>
      <c r="AI307" s="405">
        <v>60</v>
      </c>
      <c r="AJ307" s="405" t="s">
        <v>1181</v>
      </c>
      <c r="AK307" s="405" t="s">
        <v>1130</v>
      </c>
      <c r="AL307" s="425">
        <v>14624</v>
      </c>
      <c r="AM307" s="405" t="s">
        <v>52</v>
      </c>
      <c r="AN307" s="405"/>
      <c r="AO307" s="405"/>
      <c r="AP307" s="405"/>
      <c r="AQ307" s="405" t="s">
        <v>37</v>
      </c>
      <c r="AR307" s="405"/>
      <c r="AS307" s="363" t="s">
        <v>1072</v>
      </c>
      <c r="AT307" s="335"/>
      <c r="AU307" s="363"/>
      <c r="AV307" s="403"/>
    </row>
    <row r="308" spans="1:48" s="402" customFormat="1" ht="15" customHeight="1">
      <c r="A308" s="278"/>
      <c r="B308" s="279"/>
      <c r="C308" s="279"/>
      <c r="D308" s="374" t="s">
        <v>2804</v>
      </c>
      <c r="E308" s="299" t="s">
        <v>3985</v>
      </c>
      <c r="F308" s="432"/>
      <c r="G308" s="432"/>
      <c r="H308" s="432"/>
      <c r="I308" s="360" t="s">
        <v>1241</v>
      </c>
      <c r="J308" s="433"/>
      <c r="K308" s="432" t="s">
        <v>3986</v>
      </c>
      <c r="L308" s="433" t="s">
        <v>1315</v>
      </c>
      <c r="M308" s="433">
        <v>44573</v>
      </c>
      <c r="N308" s="433">
        <v>44805</v>
      </c>
      <c r="O308" s="433"/>
      <c r="P308" s="433"/>
      <c r="Q308" s="433"/>
      <c r="R308" s="433"/>
      <c r="S308" s="432" t="s">
        <v>1098</v>
      </c>
      <c r="T308" s="432">
        <v>60</v>
      </c>
      <c r="U308" s="432"/>
      <c r="V308" s="432" t="s">
        <v>3987</v>
      </c>
      <c r="W308" s="436">
        <v>400</v>
      </c>
      <c r="X308" s="372">
        <v>1536</v>
      </c>
      <c r="Y308" s="408">
        <f t="shared" si="21"/>
        <v>614400</v>
      </c>
      <c r="Z308" s="409">
        <v>0.47499999999999998</v>
      </c>
      <c r="AA308" s="410">
        <f t="shared" ref="AA308:AA320" si="26">Z308*Y308</f>
        <v>291840</v>
      </c>
      <c r="AB308" s="411"/>
      <c r="AC308" s="412">
        <f>AB308*Y308</f>
        <v>0</v>
      </c>
      <c r="AD308" s="405"/>
      <c r="AE308" s="413"/>
      <c r="AF308" s="424">
        <f t="shared" si="23"/>
        <v>291840</v>
      </c>
      <c r="AG308" s="405" t="s">
        <v>1069</v>
      </c>
      <c r="AH308" s="395"/>
      <c r="AI308" s="405">
        <v>60</v>
      </c>
      <c r="AJ308" s="405" t="s">
        <v>1316</v>
      </c>
      <c r="AK308" s="405" t="s">
        <v>1317</v>
      </c>
      <c r="AL308" s="425">
        <v>23222</v>
      </c>
      <c r="AM308" s="405" t="s">
        <v>52</v>
      </c>
      <c r="AN308" s="405"/>
      <c r="AO308" s="405"/>
      <c r="AP308" s="405"/>
      <c r="AQ308" s="413" t="s">
        <v>37</v>
      </c>
      <c r="AR308" s="405"/>
      <c r="AS308" s="363"/>
      <c r="AT308" s="335"/>
      <c r="AU308" s="363"/>
      <c r="AV308" s="403"/>
    </row>
    <row r="309" spans="1:48" s="402" customFormat="1" ht="15" customHeight="1">
      <c r="A309" s="278"/>
      <c r="B309" s="279"/>
      <c r="C309" s="279"/>
      <c r="D309" s="374" t="s">
        <v>2804</v>
      </c>
      <c r="E309" s="299" t="s">
        <v>3985</v>
      </c>
      <c r="F309" s="432"/>
      <c r="G309" s="432"/>
      <c r="H309" s="432"/>
      <c r="I309" s="360" t="s">
        <v>1241</v>
      </c>
      <c r="J309" s="433"/>
      <c r="K309" s="432" t="s">
        <v>3988</v>
      </c>
      <c r="L309" s="433" t="s">
        <v>1315</v>
      </c>
      <c r="M309" s="433">
        <v>44573</v>
      </c>
      <c r="N309" s="433">
        <v>44774</v>
      </c>
      <c r="O309" s="433"/>
      <c r="P309" s="433"/>
      <c r="Q309" s="433"/>
      <c r="R309" s="433"/>
      <c r="S309" s="432" t="s">
        <v>1098</v>
      </c>
      <c r="T309" s="432">
        <v>60</v>
      </c>
      <c r="U309" s="432"/>
      <c r="V309" s="432" t="s">
        <v>3987</v>
      </c>
      <c r="W309" s="436">
        <v>400</v>
      </c>
      <c r="X309" s="372">
        <v>1536</v>
      </c>
      <c r="Y309" s="408">
        <f t="shared" si="21"/>
        <v>614400</v>
      </c>
      <c r="Z309" s="409">
        <v>0.47499999999999998</v>
      </c>
      <c r="AA309" s="410">
        <f t="shared" si="26"/>
        <v>291840</v>
      </c>
      <c r="AB309" s="411"/>
      <c r="AC309" s="412">
        <f>AB309*Y309</f>
        <v>0</v>
      </c>
      <c r="AD309" s="405"/>
      <c r="AE309" s="413"/>
      <c r="AF309" s="424">
        <f t="shared" si="23"/>
        <v>291840</v>
      </c>
      <c r="AG309" s="405" t="s">
        <v>1069</v>
      </c>
      <c r="AH309" s="395"/>
      <c r="AI309" s="405">
        <v>60</v>
      </c>
      <c r="AJ309" s="405" t="s">
        <v>1316</v>
      </c>
      <c r="AK309" s="405" t="s">
        <v>1317</v>
      </c>
      <c r="AL309" s="425">
        <v>23222</v>
      </c>
      <c r="AM309" s="405" t="s">
        <v>52</v>
      </c>
      <c r="AN309" s="405"/>
      <c r="AO309" s="405"/>
      <c r="AP309" s="405"/>
      <c r="AQ309" s="413" t="s">
        <v>37</v>
      </c>
      <c r="AR309" s="405"/>
      <c r="AS309" s="363"/>
      <c r="AT309" s="335"/>
      <c r="AU309" s="363"/>
      <c r="AV309" s="403"/>
    </row>
    <row r="310" spans="1:48" s="402" customFormat="1" ht="15" customHeight="1">
      <c r="A310" s="278"/>
      <c r="B310" s="279"/>
      <c r="C310" s="279"/>
      <c r="D310" s="374" t="s">
        <v>2804</v>
      </c>
      <c r="E310" s="299" t="s">
        <v>3989</v>
      </c>
      <c r="F310" s="432"/>
      <c r="G310" s="432"/>
      <c r="H310" s="432"/>
      <c r="I310" s="360" t="s">
        <v>1241</v>
      </c>
      <c r="J310" s="433"/>
      <c r="K310" s="432" t="s">
        <v>3990</v>
      </c>
      <c r="L310" s="433" t="s">
        <v>1315</v>
      </c>
      <c r="M310" s="433">
        <v>44573</v>
      </c>
      <c r="N310" s="433">
        <v>44774</v>
      </c>
      <c r="O310" s="433"/>
      <c r="P310" s="433"/>
      <c r="Q310" s="433"/>
      <c r="R310" s="433"/>
      <c r="S310" s="432" t="s">
        <v>1098</v>
      </c>
      <c r="T310" s="432">
        <v>60</v>
      </c>
      <c r="U310" s="432"/>
      <c r="V310" s="432" t="s">
        <v>3987</v>
      </c>
      <c r="W310" s="436">
        <v>400</v>
      </c>
      <c r="X310" s="372">
        <v>768</v>
      </c>
      <c r="Y310" s="408">
        <f t="shared" si="21"/>
        <v>307200</v>
      </c>
      <c r="Z310" s="409">
        <v>0.52</v>
      </c>
      <c r="AA310" s="410">
        <f t="shared" si="26"/>
        <v>159744</v>
      </c>
      <c r="AB310" s="411"/>
      <c r="AC310" s="412">
        <f>AB310*Y310</f>
        <v>0</v>
      </c>
      <c r="AD310" s="405"/>
      <c r="AE310" s="413"/>
      <c r="AF310" s="424">
        <f t="shared" si="23"/>
        <v>159744</v>
      </c>
      <c r="AG310" s="405" t="s">
        <v>1069</v>
      </c>
      <c r="AH310" s="395"/>
      <c r="AI310" s="405">
        <v>60</v>
      </c>
      <c r="AJ310" s="405" t="s">
        <v>1316</v>
      </c>
      <c r="AK310" s="405" t="s">
        <v>1317</v>
      </c>
      <c r="AL310" s="425">
        <v>23222</v>
      </c>
      <c r="AM310" s="405" t="s">
        <v>52</v>
      </c>
      <c r="AN310" s="405"/>
      <c r="AO310" s="405"/>
      <c r="AP310" s="405"/>
      <c r="AQ310" s="413" t="s">
        <v>37</v>
      </c>
      <c r="AR310" s="405"/>
      <c r="AS310" s="363"/>
      <c r="AT310" s="335"/>
      <c r="AU310" s="363"/>
      <c r="AV310" s="403"/>
    </row>
    <row r="311" spans="1:48" s="402" customFormat="1" ht="15" customHeight="1">
      <c r="A311" s="278"/>
      <c r="B311" s="279"/>
      <c r="C311" s="279"/>
      <c r="D311" s="374" t="s">
        <v>2804</v>
      </c>
      <c r="E311" s="299" t="s">
        <v>3991</v>
      </c>
      <c r="F311" s="432"/>
      <c r="G311" s="432">
        <v>2022</v>
      </c>
      <c r="H311" s="432"/>
      <c r="I311" s="432" t="s">
        <v>1241</v>
      </c>
      <c r="J311" s="433"/>
      <c r="K311" s="432" t="s">
        <v>3992</v>
      </c>
      <c r="L311" s="433" t="s">
        <v>1315</v>
      </c>
      <c r="M311" s="433">
        <v>44573</v>
      </c>
      <c r="N311" s="433">
        <v>44743</v>
      </c>
      <c r="O311" s="433"/>
      <c r="P311" s="433"/>
      <c r="Q311" s="433"/>
      <c r="R311" s="433"/>
      <c r="S311" s="432" t="s">
        <v>1098</v>
      </c>
      <c r="T311" s="432">
        <v>60</v>
      </c>
      <c r="U311" s="432"/>
      <c r="V311" s="432" t="s">
        <v>3987</v>
      </c>
      <c r="W311" s="436">
        <v>400</v>
      </c>
      <c r="X311" s="372">
        <v>1536</v>
      </c>
      <c r="Y311" s="408">
        <f t="shared" si="21"/>
        <v>614400</v>
      </c>
      <c r="Z311" s="409">
        <v>0.47499999999999998</v>
      </c>
      <c r="AA311" s="410">
        <f t="shared" si="26"/>
        <v>291840</v>
      </c>
      <c r="AB311" s="362"/>
      <c r="AC311" s="412"/>
      <c r="AD311" s="405"/>
      <c r="AE311" s="413"/>
      <c r="AF311" s="424">
        <f t="shared" si="23"/>
        <v>291840</v>
      </c>
      <c r="AG311" s="405" t="s">
        <v>1069</v>
      </c>
      <c r="AH311" s="395"/>
      <c r="AI311" s="405">
        <v>60</v>
      </c>
      <c r="AJ311" s="373" t="s">
        <v>1316</v>
      </c>
      <c r="AK311" s="405" t="s">
        <v>1317</v>
      </c>
      <c r="AL311" s="425">
        <v>23222</v>
      </c>
      <c r="AM311" s="405" t="s">
        <v>52</v>
      </c>
      <c r="AN311" s="405"/>
      <c r="AO311" s="405"/>
      <c r="AP311" s="405"/>
      <c r="AQ311" s="413" t="s">
        <v>37</v>
      </c>
      <c r="AR311" s="405"/>
      <c r="AS311" s="363"/>
      <c r="AT311" s="335"/>
      <c r="AU311" s="363"/>
      <c r="AV311" s="403"/>
    </row>
    <row r="312" spans="1:48" s="402" customFormat="1" ht="15" customHeight="1">
      <c r="A312" s="278"/>
      <c r="B312" s="279"/>
      <c r="C312" s="279"/>
      <c r="D312" s="374" t="s">
        <v>2804</v>
      </c>
      <c r="E312" s="299" t="s">
        <v>3993</v>
      </c>
      <c r="F312" s="432"/>
      <c r="G312" s="432"/>
      <c r="H312" s="432"/>
      <c r="I312" s="360" t="s">
        <v>1241</v>
      </c>
      <c r="J312" s="433"/>
      <c r="K312" s="432" t="s">
        <v>3994</v>
      </c>
      <c r="L312" s="433" t="s">
        <v>1288</v>
      </c>
      <c r="M312" s="433">
        <v>44574</v>
      </c>
      <c r="N312" s="433">
        <v>44802</v>
      </c>
      <c r="O312" s="433"/>
      <c r="P312" s="433"/>
      <c r="Q312" s="433"/>
      <c r="R312" s="433"/>
      <c r="S312" s="432" t="s">
        <v>1098</v>
      </c>
      <c r="T312" s="432">
        <v>60</v>
      </c>
      <c r="U312" s="432"/>
      <c r="V312" s="432" t="s">
        <v>973</v>
      </c>
      <c r="W312" s="436">
        <v>400</v>
      </c>
      <c r="X312" s="372">
        <v>5376</v>
      </c>
      <c r="Y312" s="408">
        <f t="shared" si="21"/>
        <v>2150400</v>
      </c>
      <c r="Z312" s="409">
        <v>0.52</v>
      </c>
      <c r="AA312" s="410">
        <f t="shared" si="26"/>
        <v>1118208</v>
      </c>
      <c r="AB312" s="411"/>
      <c r="AC312" s="412">
        <f t="shared" ref="AC312:AC320" si="27">AB312*Y312</f>
        <v>0</v>
      </c>
      <c r="AD312" s="405"/>
      <c r="AE312" s="413"/>
      <c r="AF312" s="424">
        <f t="shared" si="23"/>
        <v>1118208</v>
      </c>
      <c r="AG312" s="405" t="s">
        <v>1069</v>
      </c>
      <c r="AH312" s="395"/>
      <c r="AI312" s="405">
        <v>60</v>
      </c>
      <c r="AJ312" s="405" t="s">
        <v>1289</v>
      </c>
      <c r="AK312" s="405" t="s">
        <v>1082</v>
      </c>
      <c r="AL312" s="425">
        <v>8110</v>
      </c>
      <c r="AM312" s="405" t="s">
        <v>52</v>
      </c>
      <c r="AN312" s="405"/>
      <c r="AO312" s="405"/>
      <c r="AP312" s="405"/>
      <c r="AQ312" s="413" t="s">
        <v>37</v>
      </c>
      <c r="AR312" s="405"/>
      <c r="AS312" s="363"/>
      <c r="AT312" s="335"/>
      <c r="AU312" s="363"/>
      <c r="AV312" s="403"/>
    </row>
    <row r="313" spans="1:48" s="402" customFormat="1" ht="15" customHeight="1">
      <c r="A313" s="278"/>
      <c r="B313" s="279"/>
      <c r="C313" s="279"/>
      <c r="D313" s="374" t="s">
        <v>2804</v>
      </c>
      <c r="E313" s="299" t="s">
        <v>3989</v>
      </c>
      <c r="F313" s="432"/>
      <c r="G313" s="432"/>
      <c r="H313" s="432"/>
      <c r="I313" s="360" t="s">
        <v>1241</v>
      </c>
      <c r="J313" s="433"/>
      <c r="K313" s="432" t="s">
        <v>3995</v>
      </c>
      <c r="L313" s="433" t="s">
        <v>1288</v>
      </c>
      <c r="M313" s="433">
        <v>44574</v>
      </c>
      <c r="N313" s="433">
        <v>44789</v>
      </c>
      <c r="O313" s="433"/>
      <c r="P313" s="433"/>
      <c r="Q313" s="433"/>
      <c r="R313" s="433"/>
      <c r="S313" s="432" t="s">
        <v>1098</v>
      </c>
      <c r="T313" s="432">
        <v>60</v>
      </c>
      <c r="U313" s="432"/>
      <c r="V313" s="432" t="s">
        <v>973</v>
      </c>
      <c r="W313" s="436">
        <v>400</v>
      </c>
      <c r="X313" s="372">
        <v>3840</v>
      </c>
      <c r="Y313" s="408">
        <f t="shared" si="21"/>
        <v>1536000</v>
      </c>
      <c r="Z313" s="409">
        <v>0.52</v>
      </c>
      <c r="AA313" s="410">
        <f t="shared" si="26"/>
        <v>798720</v>
      </c>
      <c r="AB313" s="411"/>
      <c r="AC313" s="412">
        <f t="shared" si="27"/>
        <v>0</v>
      </c>
      <c r="AD313" s="405"/>
      <c r="AE313" s="413"/>
      <c r="AF313" s="424">
        <f t="shared" si="23"/>
        <v>798720</v>
      </c>
      <c r="AG313" s="405" t="s">
        <v>1069</v>
      </c>
      <c r="AH313" s="395"/>
      <c r="AI313" s="405">
        <v>60</v>
      </c>
      <c r="AJ313" s="405" t="s">
        <v>1289</v>
      </c>
      <c r="AK313" s="405" t="s">
        <v>1082</v>
      </c>
      <c r="AL313" s="425">
        <v>8110</v>
      </c>
      <c r="AM313" s="405" t="s">
        <v>52</v>
      </c>
      <c r="AN313" s="405"/>
      <c r="AO313" s="405"/>
      <c r="AP313" s="405"/>
      <c r="AQ313" s="413" t="s">
        <v>37</v>
      </c>
      <c r="AR313" s="405"/>
      <c r="AS313" s="363"/>
      <c r="AT313" s="335"/>
      <c r="AU313" s="363"/>
      <c r="AV313" s="403"/>
    </row>
    <row r="314" spans="1:48" s="402" customFormat="1" ht="15" customHeight="1">
      <c r="A314" s="278"/>
      <c r="B314" s="279"/>
      <c r="C314" s="279"/>
      <c r="D314" s="374" t="s">
        <v>2804</v>
      </c>
      <c r="E314" s="299" t="s">
        <v>3989</v>
      </c>
      <c r="F314" s="432"/>
      <c r="G314" s="432"/>
      <c r="H314" s="432"/>
      <c r="I314" s="360" t="s">
        <v>1241</v>
      </c>
      <c r="J314" s="433"/>
      <c r="K314" s="432" t="s">
        <v>3996</v>
      </c>
      <c r="L314" s="433" t="s">
        <v>1288</v>
      </c>
      <c r="M314" s="433">
        <v>44574</v>
      </c>
      <c r="N314" s="433">
        <v>44743</v>
      </c>
      <c r="O314" s="433"/>
      <c r="P314" s="433"/>
      <c r="Q314" s="433"/>
      <c r="R314" s="433"/>
      <c r="S314" s="432" t="s">
        <v>1098</v>
      </c>
      <c r="T314" s="432">
        <v>60</v>
      </c>
      <c r="U314" s="432"/>
      <c r="V314" s="432" t="s">
        <v>973</v>
      </c>
      <c r="W314" s="436">
        <v>400</v>
      </c>
      <c r="X314" s="372">
        <v>3840</v>
      </c>
      <c r="Y314" s="408">
        <f t="shared" si="21"/>
        <v>1536000</v>
      </c>
      <c r="Z314" s="409">
        <v>0.52</v>
      </c>
      <c r="AA314" s="410">
        <f t="shared" si="26"/>
        <v>798720</v>
      </c>
      <c r="AB314" s="411"/>
      <c r="AC314" s="412">
        <f t="shared" si="27"/>
        <v>0</v>
      </c>
      <c r="AD314" s="405"/>
      <c r="AE314" s="413"/>
      <c r="AF314" s="424">
        <f t="shared" si="23"/>
        <v>798720</v>
      </c>
      <c r="AG314" s="405" t="s">
        <v>1069</v>
      </c>
      <c r="AH314" s="395"/>
      <c r="AI314" s="405">
        <v>60</v>
      </c>
      <c r="AJ314" s="405" t="s">
        <v>1289</v>
      </c>
      <c r="AK314" s="405" t="s">
        <v>1082</v>
      </c>
      <c r="AL314" s="425">
        <v>8110</v>
      </c>
      <c r="AM314" s="405" t="s">
        <v>52</v>
      </c>
      <c r="AN314" s="405"/>
      <c r="AO314" s="405"/>
      <c r="AP314" s="405"/>
      <c r="AQ314" s="413" t="s">
        <v>37</v>
      </c>
      <c r="AR314" s="405"/>
      <c r="AS314" s="363"/>
      <c r="AT314" s="335"/>
      <c r="AU314" s="363"/>
      <c r="AV314" s="403"/>
    </row>
    <row r="315" spans="1:48" s="402" customFormat="1" ht="15" customHeight="1">
      <c r="A315" s="278"/>
      <c r="B315" s="279"/>
      <c r="C315" s="279"/>
      <c r="D315" s="374" t="s">
        <v>2804</v>
      </c>
      <c r="E315" s="299" t="s">
        <v>3989</v>
      </c>
      <c r="F315" s="432"/>
      <c r="G315" s="432"/>
      <c r="H315" s="432"/>
      <c r="I315" s="360" t="s">
        <v>1241</v>
      </c>
      <c r="J315" s="433"/>
      <c r="K315" s="432" t="s">
        <v>3997</v>
      </c>
      <c r="L315" s="433" t="s">
        <v>1288</v>
      </c>
      <c r="M315" s="433">
        <v>44574</v>
      </c>
      <c r="N315" s="433">
        <v>44816</v>
      </c>
      <c r="O315" s="433"/>
      <c r="P315" s="433"/>
      <c r="Q315" s="433"/>
      <c r="R315" s="433"/>
      <c r="S315" s="432" t="s">
        <v>1098</v>
      </c>
      <c r="T315" s="432">
        <v>60</v>
      </c>
      <c r="U315" s="432"/>
      <c r="V315" s="432" t="s">
        <v>973</v>
      </c>
      <c r="W315" s="436">
        <v>400</v>
      </c>
      <c r="X315" s="372">
        <v>1536</v>
      </c>
      <c r="Y315" s="408">
        <f t="shared" si="21"/>
        <v>614400</v>
      </c>
      <c r="Z315" s="409">
        <v>0.47499999999999998</v>
      </c>
      <c r="AA315" s="410">
        <f t="shared" si="26"/>
        <v>291840</v>
      </c>
      <c r="AB315" s="411"/>
      <c r="AC315" s="412">
        <f t="shared" si="27"/>
        <v>0</v>
      </c>
      <c r="AD315" s="405"/>
      <c r="AE315" s="413"/>
      <c r="AF315" s="424">
        <f t="shared" si="23"/>
        <v>291840</v>
      </c>
      <c r="AG315" s="405" t="s">
        <v>1069</v>
      </c>
      <c r="AH315" s="395"/>
      <c r="AI315" s="405">
        <v>60</v>
      </c>
      <c r="AJ315" s="405" t="s">
        <v>1289</v>
      </c>
      <c r="AK315" s="405" t="s">
        <v>1082</v>
      </c>
      <c r="AL315" s="425">
        <v>8110</v>
      </c>
      <c r="AM315" s="405" t="s">
        <v>52</v>
      </c>
      <c r="AN315" s="405"/>
      <c r="AO315" s="405"/>
      <c r="AP315" s="405"/>
      <c r="AQ315" s="413" t="s">
        <v>37</v>
      </c>
      <c r="AR315" s="405"/>
      <c r="AS315" s="363"/>
      <c r="AT315" s="335"/>
      <c r="AU315" s="363"/>
      <c r="AV315" s="403"/>
    </row>
    <row r="316" spans="1:48" s="402" customFormat="1" ht="15" customHeight="1">
      <c r="A316" s="278"/>
      <c r="B316" s="279"/>
      <c r="C316" s="279"/>
      <c r="D316" s="374" t="s">
        <v>2804</v>
      </c>
      <c r="E316" s="299" t="s">
        <v>3998</v>
      </c>
      <c r="F316" s="432"/>
      <c r="G316" s="432"/>
      <c r="H316" s="432"/>
      <c r="I316" s="360" t="s">
        <v>1241</v>
      </c>
      <c r="J316" s="433"/>
      <c r="K316" s="432" t="s">
        <v>3999</v>
      </c>
      <c r="L316" s="433" t="s">
        <v>1288</v>
      </c>
      <c r="M316" s="433">
        <v>44574</v>
      </c>
      <c r="N316" s="433">
        <v>44781</v>
      </c>
      <c r="O316" s="433"/>
      <c r="P316" s="433"/>
      <c r="Q316" s="433"/>
      <c r="R316" s="433"/>
      <c r="S316" s="432" t="s">
        <v>1098</v>
      </c>
      <c r="T316" s="432">
        <v>60</v>
      </c>
      <c r="U316" s="432"/>
      <c r="V316" s="432" t="s">
        <v>973</v>
      </c>
      <c r="W316" s="436">
        <v>400</v>
      </c>
      <c r="X316" s="372">
        <v>768</v>
      </c>
      <c r="Y316" s="408">
        <f t="shared" si="21"/>
        <v>307200</v>
      </c>
      <c r="Z316" s="409">
        <v>0.47499999999999998</v>
      </c>
      <c r="AA316" s="410">
        <f t="shared" si="26"/>
        <v>145920</v>
      </c>
      <c r="AB316" s="411"/>
      <c r="AC316" s="412">
        <f t="shared" si="27"/>
        <v>0</v>
      </c>
      <c r="AD316" s="405"/>
      <c r="AE316" s="413"/>
      <c r="AF316" s="424">
        <f t="shared" si="23"/>
        <v>145920</v>
      </c>
      <c r="AG316" s="405" t="s">
        <v>1069</v>
      </c>
      <c r="AH316" s="395"/>
      <c r="AI316" s="405">
        <v>60</v>
      </c>
      <c r="AJ316" s="405" t="s">
        <v>1289</v>
      </c>
      <c r="AK316" s="405" t="s">
        <v>1082</v>
      </c>
      <c r="AL316" s="425">
        <v>8110</v>
      </c>
      <c r="AM316" s="405" t="s">
        <v>52</v>
      </c>
      <c r="AN316" s="405"/>
      <c r="AO316" s="405"/>
      <c r="AP316" s="405"/>
      <c r="AQ316" s="413" t="s">
        <v>37</v>
      </c>
      <c r="AR316" s="405"/>
      <c r="AS316" s="363"/>
      <c r="AT316" s="335"/>
      <c r="AU316" s="363"/>
      <c r="AV316" s="403"/>
    </row>
    <row r="317" spans="1:48" s="402" customFormat="1" ht="15" customHeight="1">
      <c r="A317" s="278"/>
      <c r="B317" s="279"/>
      <c r="C317" s="279"/>
      <c r="D317" s="374" t="s">
        <v>2804</v>
      </c>
      <c r="E317" s="299" t="s">
        <v>3998</v>
      </c>
      <c r="F317" s="432"/>
      <c r="G317" s="432"/>
      <c r="H317" s="432"/>
      <c r="I317" s="360" t="s">
        <v>1241</v>
      </c>
      <c r="J317" s="433"/>
      <c r="K317" s="432" t="s">
        <v>4000</v>
      </c>
      <c r="L317" s="433" t="s">
        <v>1288</v>
      </c>
      <c r="M317" s="433">
        <v>44574</v>
      </c>
      <c r="N317" s="433">
        <v>44743</v>
      </c>
      <c r="O317" s="433"/>
      <c r="P317" s="433"/>
      <c r="Q317" s="433"/>
      <c r="R317" s="433"/>
      <c r="S317" s="432" t="s">
        <v>1098</v>
      </c>
      <c r="T317" s="432">
        <v>60</v>
      </c>
      <c r="U317" s="432"/>
      <c r="V317" s="432" t="s">
        <v>973</v>
      </c>
      <c r="W317" s="436">
        <v>400</v>
      </c>
      <c r="X317" s="372">
        <v>768</v>
      </c>
      <c r="Y317" s="408">
        <f t="shared" si="21"/>
        <v>307200</v>
      </c>
      <c r="Z317" s="409">
        <v>0.47499999999999998</v>
      </c>
      <c r="AA317" s="410">
        <f t="shared" si="26"/>
        <v>145920</v>
      </c>
      <c r="AB317" s="411"/>
      <c r="AC317" s="412">
        <f t="shared" si="27"/>
        <v>0</v>
      </c>
      <c r="AD317" s="405"/>
      <c r="AE317" s="413"/>
      <c r="AF317" s="424">
        <f t="shared" si="23"/>
        <v>145920</v>
      </c>
      <c r="AG317" s="405" t="s">
        <v>1069</v>
      </c>
      <c r="AH317" s="395"/>
      <c r="AI317" s="405">
        <v>60</v>
      </c>
      <c r="AJ317" s="405" t="s">
        <v>1289</v>
      </c>
      <c r="AK317" s="405" t="s">
        <v>1082</v>
      </c>
      <c r="AL317" s="425">
        <v>8110</v>
      </c>
      <c r="AM317" s="405" t="s">
        <v>52</v>
      </c>
      <c r="AN317" s="405"/>
      <c r="AO317" s="405"/>
      <c r="AP317" s="405"/>
      <c r="AQ317" s="413" t="s">
        <v>37</v>
      </c>
      <c r="AR317" s="405"/>
      <c r="AS317" s="363"/>
      <c r="AT317" s="335"/>
      <c r="AU317" s="363"/>
      <c r="AV317" s="403"/>
    </row>
    <row r="318" spans="1:48" s="402" customFormat="1" ht="15" customHeight="1">
      <c r="A318" s="278"/>
      <c r="B318" s="279"/>
      <c r="C318" s="279"/>
      <c r="D318" s="374" t="s">
        <v>2804</v>
      </c>
      <c r="E318" s="299" t="s">
        <v>4001</v>
      </c>
      <c r="F318" s="432"/>
      <c r="G318" s="432"/>
      <c r="H318" s="432"/>
      <c r="I318" s="360" t="s">
        <v>1241</v>
      </c>
      <c r="J318" s="433"/>
      <c r="K318" s="360" t="s">
        <v>4002</v>
      </c>
      <c r="L318" s="332" t="s">
        <v>1288</v>
      </c>
      <c r="M318" s="433">
        <v>44574</v>
      </c>
      <c r="N318" s="433">
        <v>44805</v>
      </c>
      <c r="O318" s="433"/>
      <c r="P318" s="433"/>
      <c r="Q318" s="433"/>
      <c r="R318" s="433"/>
      <c r="S318" s="432" t="s">
        <v>1098</v>
      </c>
      <c r="T318" s="432">
        <v>60</v>
      </c>
      <c r="U318" s="432"/>
      <c r="V318" s="432" t="s">
        <v>973</v>
      </c>
      <c r="W318" s="436">
        <v>400</v>
      </c>
      <c r="X318" s="372">
        <v>2304</v>
      </c>
      <c r="Y318" s="408">
        <f t="shared" si="21"/>
        <v>921600</v>
      </c>
      <c r="Z318" s="409">
        <v>0.47499999999999998</v>
      </c>
      <c r="AA318" s="410">
        <f t="shared" si="26"/>
        <v>437760</v>
      </c>
      <c r="AB318" s="411"/>
      <c r="AC318" s="412">
        <f t="shared" si="27"/>
        <v>0</v>
      </c>
      <c r="AD318" s="405"/>
      <c r="AE318" s="413"/>
      <c r="AF318" s="424">
        <f t="shared" si="23"/>
        <v>437760</v>
      </c>
      <c r="AG318" s="405" t="s">
        <v>1069</v>
      </c>
      <c r="AH318" s="395"/>
      <c r="AI318" s="405">
        <v>60</v>
      </c>
      <c r="AJ318" s="405" t="s">
        <v>1289</v>
      </c>
      <c r="AK318" s="405" t="s">
        <v>1082</v>
      </c>
      <c r="AL318" s="425">
        <v>8110</v>
      </c>
      <c r="AM318" s="405" t="s">
        <v>52</v>
      </c>
      <c r="AN318" s="405"/>
      <c r="AO318" s="405"/>
      <c r="AP318" s="405"/>
      <c r="AQ318" s="413" t="s">
        <v>37</v>
      </c>
      <c r="AR318" s="405"/>
      <c r="AS318" s="363"/>
      <c r="AT318" s="335"/>
      <c r="AU318" s="363"/>
      <c r="AV318" s="403"/>
    </row>
    <row r="319" spans="1:48" s="402" customFormat="1" ht="15" customHeight="1">
      <c r="A319" s="278"/>
      <c r="B319" s="279"/>
      <c r="C319" s="279"/>
      <c r="D319" s="374" t="s">
        <v>2804</v>
      </c>
      <c r="E319" s="299" t="s">
        <v>4001</v>
      </c>
      <c r="F319" s="432"/>
      <c r="G319" s="432"/>
      <c r="H319" s="432"/>
      <c r="I319" s="360" t="s">
        <v>1241</v>
      </c>
      <c r="J319" s="433"/>
      <c r="K319" s="360" t="s">
        <v>4003</v>
      </c>
      <c r="L319" s="332" t="s">
        <v>1288</v>
      </c>
      <c r="M319" s="433">
        <v>44574</v>
      </c>
      <c r="N319" s="433">
        <v>44774</v>
      </c>
      <c r="O319" s="433"/>
      <c r="P319" s="433"/>
      <c r="Q319" s="433"/>
      <c r="R319" s="433"/>
      <c r="S319" s="432" t="s">
        <v>1098</v>
      </c>
      <c r="T319" s="432">
        <v>60</v>
      </c>
      <c r="U319" s="432"/>
      <c r="V319" s="432" t="s">
        <v>973</v>
      </c>
      <c r="W319" s="436">
        <v>400</v>
      </c>
      <c r="X319" s="372">
        <v>2304</v>
      </c>
      <c r="Y319" s="408">
        <f t="shared" si="21"/>
        <v>921600</v>
      </c>
      <c r="Z319" s="409">
        <v>0.47499999999999998</v>
      </c>
      <c r="AA319" s="410">
        <f t="shared" si="26"/>
        <v>437760</v>
      </c>
      <c r="AB319" s="411"/>
      <c r="AC319" s="412">
        <f t="shared" si="27"/>
        <v>0</v>
      </c>
      <c r="AD319" s="405"/>
      <c r="AE319" s="413"/>
      <c r="AF319" s="424">
        <f t="shared" si="23"/>
        <v>437760</v>
      </c>
      <c r="AG319" s="405" t="s">
        <v>1069</v>
      </c>
      <c r="AH319" s="395"/>
      <c r="AI319" s="405">
        <v>60</v>
      </c>
      <c r="AJ319" s="405" t="s">
        <v>1289</v>
      </c>
      <c r="AK319" s="405" t="s">
        <v>1082</v>
      </c>
      <c r="AL319" s="425">
        <v>8110</v>
      </c>
      <c r="AM319" s="405" t="s">
        <v>52</v>
      </c>
      <c r="AN319" s="405"/>
      <c r="AO319" s="405"/>
      <c r="AP319" s="405"/>
      <c r="AQ319" s="413" t="s">
        <v>37</v>
      </c>
      <c r="AR319" s="405"/>
      <c r="AS319" s="363"/>
      <c r="AT319" s="335"/>
      <c r="AU319" s="363"/>
      <c r="AV319" s="403"/>
    </row>
    <row r="320" spans="1:48" s="402" customFormat="1" ht="15" customHeight="1">
      <c r="A320" s="278"/>
      <c r="B320" s="279"/>
      <c r="C320" s="279"/>
      <c r="D320" s="374" t="s">
        <v>2804</v>
      </c>
      <c r="E320" s="299" t="s">
        <v>4001</v>
      </c>
      <c r="F320" s="432"/>
      <c r="G320" s="432"/>
      <c r="H320" s="432"/>
      <c r="I320" s="360" t="s">
        <v>1241</v>
      </c>
      <c r="J320" s="433"/>
      <c r="K320" s="360" t="s">
        <v>4004</v>
      </c>
      <c r="L320" s="332" t="s">
        <v>1288</v>
      </c>
      <c r="M320" s="433">
        <v>44574</v>
      </c>
      <c r="N320" s="433">
        <v>44743</v>
      </c>
      <c r="O320" s="433"/>
      <c r="P320" s="433"/>
      <c r="Q320" s="433"/>
      <c r="R320" s="433"/>
      <c r="S320" s="432" t="s">
        <v>1098</v>
      </c>
      <c r="T320" s="432">
        <v>60</v>
      </c>
      <c r="U320" s="432"/>
      <c r="V320" s="432" t="s">
        <v>973</v>
      </c>
      <c r="W320" s="436">
        <v>400</v>
      </c>
      <c r="X320" s="372">
        <v>2304</v>
      </c>
      <c r="Y320" s="408">
        <f t="shared" si="21"/>
        <v>921600</v>
      </c>
      <c r="Z320" s="409">
        <v>0.47499999999999998</v>
      </c>
      <c r="AA320" s="410">
        <f t="shared" si="26"/>
        <v>437760</v>
      </c>
      <c r="AB320" s="411"/>
      <c r="AC320" s="412">
        <f t="shared" si="27"/>
        <v>0</v>
      </c>
      <c r="AD320" s="405"/>
      <c r="AE320" s="413"/>
      <c r="AF320" s="424">
        <f t="shared" si="23"/>
        <v>437760</v>
      </c>
      <c r="AG320" s="405" t="s">
        <v>1069</v>
      </c>
      <c r="AH320" s="395"/>
      <c r="AI320" s="405">
        <v>60</v>
      </c>
      <c r="AJ320" s="405" t="s">
        <v>1289</v>
      </c>
      <c r="AK320" s="405" t="s">
        <v>1082</v>
      </c>
      <c r="AL320" s="425">
        <v>8110</v>
      </c>
      <c r="AM320" s="405" t="s">
        <v>52</v>
      </c>
      <c r="AN320" s="405"/>
      <c r="AO320" s="405"/>
      <c r="AP320" s="405"/>
      <c r="AQ320" s="413" t="s">
        <v>37</v>
      </c>
      <c r="AR320" s="405"/>
      <c r="AS320" s="363"/>
      <c r="AT320" s="335"/>
      <c r="AU320" s="363"/>
      <c r="AV320" s="403"/>
    </row>
    <row r="321" spans="1:48" s="402" customFormat="1" ht="15" customHeight="1">
      <c r="A321" s="278"/>
      <c r="B321" s="279">
        <v>44568</v>
      </c>
      <c r="C321" s="279" t="s">
        <v>1186</v>
      </c>
      <c r="D321" s="374" t="s">
        <v>2804</v>
      </c>
      <c r="E321" s="299" t="s">
        <v>4005</v>
      </c>
      <c r="F321" s="432"/>
      <c r="G321" s="432">
        <v>2022</v>
      </c>
      <c r="H321" s="432"/>
      <c r="I321" s="432" t="s">
        <v>1241</v>
      </c>
      <c r="J321" s="433"/>
      <c r="K321" s="432" t="s">
        <v>4006</v>
      </c>
      <c r="L321" s="432" t="s">
        <v>1288</v>
      </c>
      <c r="M321" s="433">
        <v>44568</v>
      </c>
      <c r="N321" s="433">
        <v>44704</v>
      </c>
      <c r="O321" s="433"/>
      <c r="P321" s="433"/>
      <c r="Q321" s="433"/>
      <c r="R321" s="433"/>
      <c r="S321" s="432" t="s">
        <v>1098</v>
      </c>
      <c r="T321" s="432">
        <v>60</v>
      </c>
      <c r="U321" s="432"/>
      <c r="V321" s="432" t="s">
        <v>973</v>
      </c>
      <c r="W321" s="432">
        <v>400</v>
      </c>
      <c r="X321" s="370">
        <v>3840</v>
      </c>
      <c r="Y321" s="408">
        <f t="shared" si="21"/>
        <v>1536000</v>
      </c>
      <c r="Z321" s="409">
        <v>0.46500000000000002</v>
      </c>
      <c r="AA321" s="410">
        <f t="shared" ref="AA321:AA363" si="28">Y321*Z321</f>
        <v>714240</v>
      </c>
      <c r="AB321" s="362"/>
      <c r="AC321" s="412">
        <v>0</v>
      </c>
      <c r="AD321" s="405"/>
      <c r="AE321" s="413"/>
      <c r="AF321" s="424">
        <f t="shared" si="23"/>
        <v>714240</v>
      </c>
      <c r="AG321" s="405" t="s">
        <v>1069</v>
      </c>
      <c r="AH321" s="395"/>
      <c r="AI321" s="405">
        <v>60</v>
      </c>
      <c r="AJ321" s="405" t="s">
        <v>1289</v>
      </c>
      <c r="AK321" s="405" t="s">
        <v>1082</v>
      </c>
      <c r="AL321" s="425">
        <v>8110</v>
      </c>
      <c r="AM321" s="405" t="s">
        <v>52</v>
      </c>
      <c r="AN321" s="405"/>
      <c r="AO321" s="405"/>
      <c r="AP321" s="405"/>
      <c r="AQ321" s="405"/>
      <c r="AR321" s="405" t="s">
        <v>1209</v>
      </c>
      <c r="AS321" s="363" t="s">
        <v>1072</v>
      </c>
      <c r="AT321" s="335"/>
      <c r="AU321" s="363" t="s">
        <v>1073</v>
      </c>
      <c r="AV321" s="409">
        <v>0.46500000000000002</v>
      </c>
    </row>
    <row r="322" spans="1:48" s="402" customFormat="1" ht="15.75" customHeight="1">
      <c r="A322" s="278"/>
      <c r="B322" s="279">
        <v>44568</v>
      </c>
      <c r="C322" s="279" t="s">
        <v>1186</v>
      </c>
      <c r="D322" s="374" t="s">
        <v>2804</v>
      </c>
      <c r="E322" s="299" t="s">
        <v>4007</v>
      </c>
      <c r="F322" s="432"/>
      <c r="G322" s="432">
        <v>2022</v>
      </c>
      <c r="H322" s="432"/>
      <c r="I322" s="432" t="s">
        <v>1241</v>
      </c>
      <c r="J322" s="433"/>
      <c r="K322" s="432" t="s">
        <v>2812</v>
      </c>
      <c r="L322" s="432" t="s">
        <v>1288</v>
      </c>
      <c r="M322" s="433">
        <v>44568</v>
      </c>
      <c r="N322" s="433">
        <v>44704</v>
      </c>
      <c r="O322" s="433"/>
      <c r="P322" s="433"/>
      <c r="Q322" s="433"/>
      <c r="R322" s="433"/>
      <c r="S322" s="432" t="s">
        <v>1098</v>
      </c>
      <c r="T322" s="432">
        <v>60</v>
      </c>
      <c r="U322" s="432"/>
      <c r="V322" s="432" t="s">
        <v>973</v>
      </c>
      <c r="W322" s="432">
        <v>400</v>
      </c>
      <c r="X322" s="370">
        <v>2304</v>
      </c>
      <c r="Y322" s="408">
        <f t="shared" ref="Y322:Y385" si="29">W322*X322</f>
        <v>921600</v>
      </c>
      <c r="Z322" s="409">
        <v>0.55000000000000004</v>
      </c>
      <c r="AA322" s="410">
        <f t="shared" si="28"/>
        <v>506880.00000000006</v>
      </c>
      <c r="AB322" s="362"/>
      <c r="AC322" s="412">
        <v>0</v>
      </c>
      <c r="AD322" s="405"/>
      <c r="AE322" s="413"/>
      <c r="AF322" s="424">
        <f t="shared" ref="AF322:AF377" si="30">AE322+AD322+AA322</f>
        <v>506880.00000000006</v>
      </c>
      <c r="AG322" s="405" t="s">
        <v>1069</v>
      </c>
      <c r="AH322" s="395"/>
      <c r="AI322" s="405">
        <v>60</v>
      </c>
      <c r="AJ322" s="405" t="s">
        <v>1289</v>
      </c>
      <c r="AK322" s="405" t="s">
        <v>1082</v>
      </c>
      <c r="AL322" s="425">
        <v>8110</v>
      </c>
      <c r="AM322" s="405" t="s">
        <v>52</v>
      </c>
      <c r="AN322" s="405"/>
      <c r="AO322" s="405"/>
      <c r="AP322" s="405"/>
      <c r="AQ322" s="405"/>
      <c r="AR322" s="405" t="s">
        <v>1209</v>
      </c>
      <c r="AS322" s="363" t="s">
        <v>1072</v>
      </c>
      <c r="AT322" s="335"/>
      <c r="AU322" s="363" t="s">
        <v>1073</v>
      </c>
      <c r="AV322" s="409">
        <v>0.46500000000000002</v>
      </c>
    </row>
    <row r="323" spans="1:48" s="402" customFormat="1">
      <c r="A323" s="278"/>
      <c r="B323" s="279">
        <v>44552</v>
      </c>
      <c r="C323" s="279">
        <v>44567</v>
      </c>
      <c r="D323" s="374" t="s">
        <v>2804</v>
      </c>
      <c r="E323" s="299" t="s">
        <v>4008</v>
      </c>
      <c r="F323" s="432"/>
      <c r="G323" s="432">
        <v>2022</v>
      </c>
      <c r="H323" s="432"/>
      <c r="I323" s="432" t="s">
        <v>1241</v>
      </c>
      <c r="J323" s="433"/>
      <c r="K323" s="432" t="s">
        <v>4009</v>
      </c>
      <c r="L323" s="432" t="s">
        <v>1288</v>
      </c>
      <c r="M323" s="433">
        <v>44474</v>
      </c>
      <c r="N323" s="433">
        <v>44655</v>
      </c>
      <c r="O323" s="433"/>
      <c r="P323" s="433"/>
      <c r="Q323" s="433"/>
      <c r="R323" s="433"/>
      <c r="S323" s="432" t="s">
        <v>1098</v>
      </c>
      <c r="T323" s="432">
        <v>60</v>
      </c>
      <c r="U323" s="432"/>
      <c r="V323" s="432" t="s">
        <v>986</v>
      </c>
      <c r="W323" s="432">
        <v>360</v>
      </c>
      <c r="X323" s="370">
        <v>1664</v>
      </c>
      <c r="Y323" s="408">
        <f t="shared" si="29"/>
        <v>599040</v>
      </c>
      <c r="Z323" s="409">
        <v>0.5</v>
      </c>
      <c r="AA323" s="410">
        <f t="shared" si="28"/>
        <v>299520</v>
      </c>
      <c r="AB323" s="362"/>
      <c r="AC323" s="412">
        <v>0</v>
      </c>
      <c r="AD323" s="405"/>
      <c r="AE323" s="413"/>
      <c r="AF323" s="424">
        <f t="shared" si="30"/>
        <v>299520</v>
      </c>
      <c r="AG323" s="405" t="s">
        <v>1069</v>
      </c>
      <c r="AH323" s="395"/>
      <c r="AI323" s="405">
        <v>60</v>
      </c>
      <c r="AJ323" s="405" t="s">
        <v>1289</v>
      </c>
      <c r="AK323" s="405" t="s">
        <v>1082</v>
      </c>
      <c r="AL323" s="425">
        <v>8110</v>
      </c>
      <c r="AM323" s="405" t="s">
        <v>52</v>
      </c>
      <c r="AN323" s="405"/>
      <c r="AO323" s="405"/>
      <c r="AP323" s="405"/>
      <c r="AQ323" s="405"/>
      <c r="AR323" s="405"/>
      <c r="AS323" s="369" t="s">
        <v>1072</v>
      </c>
      <c r="AT323" s="363"/>
      <c r="AU323" s="363" t="s">
        <v>1073</v>
      </c>
      <c r="AV323" s="403"/>
    </row>
    <row r="324" spans="1:48" s="402" customFormat="1">
      <c r="A324" s="278"/>
      <c r="B324" s="279"/>
      <c r="C324" s="279"/>
      <c r="D324" s="374" t="s">
        <v>2804</v>
      </c>
      <c r="E324" s="294" t="s">
        <v>4010</v>
      </c>
      <c r="F324" s="432"/>
      <c r="G324" s="432">
        <v>2022</v>
      </c>
      <c r="H324" s="432"/>
      <c r="I324" s="360" t="s">
        <v>1241</v>
      </c>
      <c r="J324" s="433"/>
      <c r="K324" s="360" t="s">
        <v>4011</v>
      </c>
      <c r="L324" s="432" t="s">
        <v>1195</v>
      </c>
      <c r="M324" s="433">
        <v>44578</v>
      </c>
      <c r="N324" s="433">
        <v>44774</v>
      </c>
      <c r="O324" s="433"/>
      <c r="P324" s="433"/>
      <c r="Q324" s="433"/>
      <c r="R324" s="433"/>
      <c r="S324" s="432" t="s">
        <v>1098</v>
      </c>
      <c r="T324" s="432">
        <v>60</v>
      </c>
      <c r="U324" s="432"/>
      <c r="V324" s="432" t="s">
        <v>3987</v>
      </c>
      <c r="W324" s="432">
        <v>400</v>
      </c>
      <c r="X324" s="370">
        <v>2688</v>
      </c>
      <c r="Y324" s="408">
        <f t="shared" si="29"/>
        <v>1075200</v>
      </c>
      <c r="Z324" s="409">
        <v>0.51</v>
      </c>
      <c r="AA324" s="410">
        <f t="shared" si="28"/>
        <v>548352</v>
      </c>
      <c r="AB324" s="362"/>
      <c r="AC324" s="412">
        <v>0</v>
      </c>
      <c r="AD324" s="405"/>
      <c r="AE324" s="413"/>
      <c r="AF324" s="424">
        <f t="shared" si="30"/>
        <v>548352</v>
      </c>
      <c r="AG324" s="405" t="s">
        <v>1069</v>
      </c>
      <c r="AH324" s="395"/>
      <c r="AI324" s="405">
        <v>60</v>
      </c>
      <c r="AJ324" s="405" t="s">
        <v>1197</v>
      </c>
      <c r="AK324" s="405" t="s">
        <v>1176</v>
      </c>
      <c r="AL324" s="425">
        <v>6492</v>
      </c>
      <c r="AM324" s="405" t="s">
        <v>52</v>
      </c>
      <c r="AN324" s="405"/>
      <c r="AO324" s="405"/>
      <c r="AP324" s="405"/>
      <c r="AQ324" s="405"/>
      <c r="AR324" s="405" t="s">
        <v>2851</v>
      </c>
      <c r="AS324" s="369" t="s">
        <v>1072</v>
      </c>
      <c r="AT324" s="363"/>
      <c r="AU324" s="363" t="s">
        <v>1073</v>
      </c>
      <c r="AV324" s="409">
        <v>0.51</v>
      </c>
    </row>
    <row r="325" spans="1:48" s="402" customFormat="1">
      <c r="A325" s="278"/>
      <c r="B325" s="279"/>
      <c r="C325" s="279"/>
      <c r="D325" s="374" t="s">
        <v>2804</v>
      </c>
      <c r="E325" s="294" t="s">
        <v>4010</v>
      </c>
      <c r="F325" s="432"/>
      <c r="G325" s="432">
        <v>2022</v>
      </c>
      <c r="H325" s="432"/>
      <c r="I325" s="360" t="s">
        <v>1241</v>
      </c>
      <c r="J325" s="433"/>
      <c r="K325" s="360" t="s">
        <v>4011</v>
      </c>
      <c r="L325" s="432" t="s">
        <v>1195</v>
      </c>
      <c r="M325" s="433">
        <v>44578</v>
      </c>
      <c r="N325" s="433">
        <v>44774</v>
      </c>
      <c r="O325" s="433"/>
      <c r="P325" s="433"/>
      <c r="Q325" s="433"/>
      <c r="R325" s="433"/>
      <c r="S325" s="432" t="s">
        <v>1098</v>
      </c>
      <c r="T325" s="432">
        <v>60</v>
      </c>
      <c r="U325" s="432"/>
      <c r="V325" s="432" t="s">
        <v>3987</v>
      </c>
      <c r="W325" s="432">
        <v>400</v>
      </c>
      <c r="X325" s="370">
        <v>898</v>
      </c>
      <c r="Y325" s="408">
        <f t="shared" si="29"/>
        <v>359200</v>
      </c>
      <c r="Z325" s="409">
        <v>0.52</v>
      </c>
      <c r="AA325" s="410">
        <f t="shared" si="28"/>
        <v>186784</v>
      </c>
      <c r="AB325" s="362"/>
      <c r="AC325" s="412">
        <v>0</v>
      </c>
      <c r="AD325" s="405"/>
      <c r="AE325" s="413"/>
      <c r="AF325" s="424">
        <f t="shared" si="30"/>
        <v>186784</v>
      </c>
      <c r="AG325" s="405" t="s">
        <v>1069</v>
      </c>
      <c r="AH325" s="395"/>
      <c r="AI325" s="405">
        <v>60</v>
      </c>
      <c r="AJ325" s="405" t="s">
        <v>1197</v>
      </c>
      <c r="AK325" s="405" t="s">
        <v>1176</v>
      </c>
      <c r="AL325" s="425">
        <v>6492</v>
      </c>
      <c r="AM325" s="405" t="s">
        <v>52</v>
      </c>
      <c r="AN325" s="405"/>
      <c r="AO325" s="405"/>
      <c r="AP325" s="405"/>
      <c r="AQ325" s="405"/>
      <c r="AR325" s="405" t="s">
        <v>2851</v>
      </c>
      <c r="AS325" s="369" t="s">
        <v>1072</v>
      </c>
      <c r="AT325" s="363"/>
      <c r="AU325" s="363" t="s">
        <v>1073</v>
      </c>
      <c r="AV325" s="409">
        <v>0.52</v>
      </c>
    </row>
    <row r="326" spans="1:48" s="402" customFormat="1">
      <c r="A326" s="278"/>
      <c r="B326" s="279"/>
      <c r="C326" s="279"/>
      <c r="D326" s="374" t="s">
        <v>2804</v>
      </c>
      <c r="E326" s="299" t="s">
        <v>4012</v>
      </c>
      <c r="F326" s="432"/>
      <c r="G326" s="432">
        <v>2022</v>
      </c>
      <c r="H326" s="432"/>
      <c r="I326" s="360" t="s">
        <v>1241</v>
      </c>
      <c r="J326" s="433"/>
      <c r="K326" s="360" t="s">
        <v>4013</v>
      </c>
      <c r="L326" s="432" t="s">
        <v>1195</v>
      </c>
      <c r="M326" s="433">
        <v>44578</v>
      </c>
      <c r="N326" s="433">
        <v>44746</v>
      </c>
      <c r="O326" s="433"/>
      <c r="P326" s="433"/>
      <c r="Q326" s="433"/>
      <c r="R326" s="433"/>
      <c r="S326" s="432" t="s">
        <v>1098</v>
      </c>
      <c r="T326" s="432">
        <v>60</v>
      </c>
      <c r="U326" s="432"/>
      <c r="V326" s="432" t="s">
        <v>3987</v>
      </c>
      <c r="W326" s="432">
        <v>400</v>
      </c>
      <c r="X326" s="370">
        <v>2688</v>
      </c>
      <c r="Y326" s="408">
        <f t="shared" si="29"/>
        <v>1075200</v>
      </c>
      <c r="Z326" s="409">
        <v>0.51</v>
      </c>
      <c r="AA326" s="410">
        <f t="shared" si="28"/>
        <v>548352</v>
      </c>
      <c r="AB326" s="362"/>
      <c r="AC326" s="412">
        <v>0</v>
      </c>
      <c r="AD326" s="405"/>
      <c r="AE326" s="413"/>
      <c r="AF326" s="424">
        <f t="shared" si="30"/>
        <v>548352</v>
      </c>
      <c r="AG326" s="405" t="s">
        <v>1069</v>
      </c>
      <c r="AH326" s="395"/>
      <c r="AI326" s="405">
        <v>60</v>
      </c>
      <c r="AJ326" s="405" t="s">
        <v>1197</v>
      </c>
      <c r="AK326" s="405" t="s">
        <v>1176</v>
      </c>
      <c r="AL326" s="425">
        <v>6492</v>
      </c>
      <c r="AM326" s="405" t="s">
        <v>52</v>
      </c>
      <c r="AN326" s="405"/>
      <c r="AO326" s="405"/>
      <c r="AP326" s="405"/>
      <c r="AQ326" s="405"/>
      <c r="AR326" s="405" t="s">
        <v>1209</v>
      </c>
      <c r="AS326" s="369" t="s">
        <v>1072</v>
      </c>
      <c r="AT326" s="363"/>
      <c r="AU326" s="363" t="s">
        <v>1073</v>
      </c>
      <c r="AV326" s="409">
        <v>0.51</v>
      </c>
    </row>
    <row r="327" spans="1:48" s="402" customFormat="1" ht="15" customHeight="1">
      <c r="A327" s="278"/>
      <c r="B327" s="279"/>
      <c r="C327" s="279"/>
      <c r="D327" s="374" t="s">
        <v>2804</v>
      </c>
      <c r="E327" s="294" t="s">
        <v>4014</v>
      </c>
      <c r="F327" s="432"/>
      <c r="G327" s="432">
        <v>2022</v>
      </c>
      <c r="H327" s="432"/>
      <c r="I327" s="360" t="s">
        <v>1241</v>
      </c>
      <c r="J327" s="433"/>
      <c r="K327" s="360" t="s">
        <v>4013</v>
      </c>
      <c r="L327" s="432" t="s">
        <v>1195</v>
      </c>
      <c r="M327" s="433">
        <v>44578</v>
      </c>
      <c r="N327" s="433">
        <v>44746</v>
      </c>
      <c r="O327" s="433"/>
      <c r="P327" s="433"/>
      <c r="Q327" s="433"/>
      <c r="R327" s="433"/>
      <c r="S327" s="432" t="s">
        <v>1098</v>
      </c>
      <c r="T327" s="432">
        <v>60</v>
      </c>
      <c r="U327" s="432"/>
      <c r="V327" s="432" t="s">
        <v>3987</v>
      </c>
      <c r="W327" s="432">
        <v>400</v>
      </c>
      <c r="X327" s="370">
        <v>896</v>
      </c>
      <c r="Y327" s="408">
        <f t="shared" si="29"/>
        <v>358400</v>
      </c>
      <c r="Z327" s="409">
        <v>0.47499999999999998</v>
      </c>
      <c r="AA327" s="410">
        <f t="shared" si="28"/>
        <v>170240</v>
      </c>
      <c r="AB327" s="362"/>
      <c r="AC327" s="412">
        <v>0</v>
      </c>
      <c r="AD327" s="405"/>
      <c r="AE327" s="413"/>
      <c r="AF327" s="424">
        <f t="shared" si="30"/>
        <v>170240</v>
      </c>
      <c r="AG327" s="405" t="s">
        <v>1069</v>
      </c>
      <c r="AH327" s="395"/>
      <c r="AI327" s="405">
        <v>60</v>
      </c>
      <c r="AJ327" s="405" t="s">
        <v>1197</v>
      </c>
      <c r="AK327" s="405" t="s">
        <v>1176</v>
      </c>
      <c r="AL327" s="425">
        <v>6492</v>
      </c>
      <c r="AM327" s="405" t="s">
        <v>52</v>
      </c>
      <c r="AN327" s="405"/>
      <c r="AO327" s="405"/>
      <c r="AP327" s="405"/>
      <c r="AQ327" s="405"/>
      <c r="AR327" s="405" t="s">
        <v>4015</v>
      </c>
      <c r="AS327" s="363" t="s">
        <v>1072</v>
      </c>
      <c r="AT327" s="335"/>
      <c r="AU327" s="363" t="s">
        <v>1073</v>
      </c>
      <c r="AV327" s="409">
        <v>0.47499999999999998</v>
      </c>
    </row>
    <row r="328" spans="1:48" s="402" customFormat="1" ht="15" customHeight="1">
      <c r="A328" s="278"/>
      <c r="B328" s="279"/>
      <c r="C328" s="279"/>
      <c r="D328" s="374" t="s">
        <v>2804</v>
      </c>
      <c r="E328" s="299" t="s">
        <v>4309</v>
      </c>
      <c r="F328" s="432"/>
      <c r="G328" s="432">
        <v>2022</v>
      </c>
      <c r="H328" s="432"/>
      <c r="I328" s="360" t="s">
        <v>1241</v>
      </c>
      <c r="J328" s="433"/>
      <c r="K328" s="360" t="s">
        <v>4310</v>
      </c>
      <c r="L328" s="432" t="s">
        <v>1195</v>
      </c>
      <c r="M328" s="433">
        <v>44649</v>
      </c>
      <c r="N328" s="433">
        <v>44753</v>
      </c>
      <c r="O328" s="433"/>
      <c r="P328" s="433"/>
      <c r="Q328" s="433"/>
      <c r="R328" s="433"/>
      <c r="S328" s="432" t="s">
        <v>1098</v>
      </c>
      <c r="T328" s="432">
        <v>60</v>
      </c>
      <c r="U328" s="432"/>
      <c r="V328" s="432" t="s">
        <v>986</v>
      </c>
      <c r="W328" s="432">
        <v>360</v>
      </c>
      <c r="X328" s="370">
        <v>896</v>
      </c>
      <c r="Y328" s="408">
        <f t="shared" si="29"/>
        <v>322560</v>
      </c>
      <c r="Z328" s="409">
        <v>0.53</v>
      </c>
      <c r="AA328" s="410">
        <f t="shared" si="28"/>
        <v>170956.80000000002</v>
      </c>
      <c r="AB328" s="362"/>
      <c r="AC328" s="412">
        <v>0</v>
      </c>
      <c r="AD328" s="405"/>
      <c r="AE328" s="413"/>
      <c r="AF328" s="424">
        <f t="shared" si="30"/>
        <v>170956.80000000002</v>
      </c>
      <c r="AG328" s="405" t="s">
        <v>1069</v>
      </c>
      <c r="AH328" s="395"/>
      <c r="AI328" s="405">
        <v>60</v>
      </c>
      <c r="AJ328" s="405" t="s">
        <v>1200</v>
      </c>
      <c r="AK328" s="405" t="s">
        <v>1176</v>
      </c>
      <c r="AL328" s="425">
        <v>6810</v>
      </c>
      <c r="AM328" s="405" t="s">
        <v>52</v>
      </c>
      <c r="AN328" s="405"/>
      <c r="AO328" s="405"/>
      <c r="AP328" s="405"/>
      <c r="AQ328" s="405"/>
      <c r="AR328" s="405" t="s">
        <v>4015</v>
      </c>
      <c r="AS328" s="363" t="s">
        <v>1072</v>
      </c>
      <c r="AT328" s="335"/>
      <c r="AU328" s="363" t="s">
        <v>1073</v>
      </c>
      <c r="AV328" s="409">
        <v>0.47499999999999998</v>
      </c>
    </row>
    <row r="329" spans="1:48" s="402" customFormat="1" ht="15" customHeight="1">
      <c r="A329" s="278"/>
      <c r="B329" s="279"/>
      <c r="C329" s="279"/>
      <c r="D329" s="374" t="s">
        <v>2804</v>
      </c>
      <c r="E329" s="299" t="s">
        <v>4309</v>
      </c>
      <c r="F329" s="432"/>
      <c r="G329" s="432">
        <v>2022</v>
      </c>
      <c r="H329" s="432"/>
      <c r="I329" s="360" t="s">
        <v>1241</v>
      </c>
      <c r="J329" s="433"/>
      <c r="K329" s="360" t="s">
        <v>4311</v>
      </c>
      <c r="L329" s="432" t="s">
        <v>1195</v>
      </c>
      <c r="M329" s="433">
        <v>44649</v>
      </c>
      <c r="N329" s="433">
        <v>44774</v>
      </c>
      <c r="O329" s="433"/>
      <c r="P329" s="433"/>
      <c r="Q329" s="433"/>
      <c r="R329" s="433"/>
      <c r="S329" s="432" t="s">
        <v>1098</v>
      </c>
      <c r="T329" s="432">
        <v>60</v>
      </c>
      <c r="U329" s="432"/>
      <c r="V329" s="432" t="s">
        <v>986</v>
      </c>
      <c r="W329" s="432">
        <v>360</v>
      </c>
      <c r="X329" s="370">
        <v>896</v>
      </c>
      <c r="Y329" s="408">
        <f t="shared" si="29"/>
        <v>322560</v>
      </c>
      <c r="Z329" s="409">
        <v>0.53</v>
      </c>
      <c r="AA329" s="410">
        <f t="shared" si="28"/>
        <v>170956.80000000002</v>
      </c>
      <c r="AB329" s="362"/>
      <c r="AC329" s="412">
        <v>0</v>
      </c>
      <c r="AD329" s="405"/>
      <c r="AE329" s="413"/>
      <c r="AF329" s="424">
        <f t="shared" si="30"/>
        <v>170956.80000000002</v>
      </c>
      <c r="AG329" s="405" t="s">
        <v>1069</v>
      </c>
      <c r="AH329" s="395"/>
      <c r="AI329" s="405">
        <v>60</v>
      </c>
      <c r="AJ329" s="405" t="s">
        <v>1200</v>
      </c>
      <c r="AK329" s="405" t="s">
        <v>1176</v>
      </c>
      <c r="AL329" s="425">
        <v>6810</v>
      </c>
      <c r="AM329" s="405" t="s">
        <v>52</v>
      </c>
      <c r="AN329" s="405"/>
      <c r="AO329" s="405"/>
      <c r="AP329" s="405"/>
      <c r="AQ329" s="405"/>
      <c r="AR329" s="405" t="s">
        <v>4015</v>
      </c>
      <c r="AS329" s="363" t="s">
        <v>1072</v>
      </c>
      <c r="AT329" s="335"/>
      <c r="AU329" s="363" t="s">
        <v>1073</v>
      </c>
      <c r="AV329" s="409">
        <v>0.47499999999999998</v>
      </c>
    </row>
    <row r="330" spans="1:48" s="402" customFormat="1" ht="15" customHeight="1">
      <c r="A330" s="278"/>
      <c r="B330" s="279"/>
      <c r="C330" s="279"/>
      <c r="D330" s="374" t="s">
        <v>2804</v>
      </c>
      <c r="E330" s="299" t="s">
        <v>4325</v>
      </c>
      <c r="F330" s="432"/>
      <c r="G330" s="432">
        <v>2022</v>
      </c>
      <c r="H330" s="432">
        <v>5</v>
      </c>
      <c r="I330" s="432"/>
      <c r="J330" s="433"/>
      <c r="K330" s="432" t="s">
        <v>4326</v>
      </c>
      <c r="L330" s="432" t="s">
        <v>1288</v>
      </c>
      <c r="M330" s="433">
        <v>44648</v>
      </c>
      <c r="N330" s="433">
        <v>44743</v>
      </c>
      <c r="O330" s="433"/>
      <c r="P330" s="433"/>
      <c r="Q330" s="433"/>
      <c r="R330" s="433"/>
      <c r="S330" s="432" t="s">
        <v>1098</v>
      </c>
      <c r="T330" s="432">
        <v>60</v>
      </c>
      <c r="U330" s="432"/>
      <c r="V330" s="432" t="s">
        <v>986</v>
      </c>
      <c r="W330" s="432">
        <v>360</v>
      </c>
      <c r="X330" s="370">
        <v>4992</v>
      </c>
      <c r="Y330" s="408">
        <f>W330*X330</f>
        <v>1797120</v>
      </c>
      <c r="Z330" s="409">
        <v>0.53</v>
      </c>
      <c r="AA330" s="410">
        <f>Y330*Z330</f>
        <v>952473.60000000009</v>
      </c>
      <c r="AB330" s="362"/>
      <c r="AC330" s="412">
        <v>0</v>
      </c>
      <c r="AD330" s="405"/>
      <c r="AE330" s="413"/>
      <c r="AF330" s="424">
        <f>AE330+AD330+AA330</f>
        <v>952473.60000000009</v>
      </c>
      <c r="AG330" s="405" t="s">
        <v>1069</v>
      </c>
      <c r="AH330" s="395"/>
      <c r="AI330" s="405">
        <v>60</v>
      </c>
      <c r="AJ330" s="405" t="s">
        <v>1289</v>
      </c>
      <c r="AK330" s="405" t="s">
        <v>1082</v>
      </c>
      <c r="AL330" s="425">
        <v>8110</v>
      </c>
      <c r="AM330" s="405" t="s">
        <v>52</v>
      </c>
      <c r="AN330" s="405"/>
      <c r="AO330" s="405"/>
      <c r="AP330" s="405"/>
      <c r="AQ330" s="405" t="s">
        <v>37</v>
      </c>
      <c r="AR330" s="405"/>
      <c r="AS330" s="363" t="s">
        <v>1073</v>
      </c>
      <c r="AT330" s="335"/>
      <c r="AU330" s="363"/>
    </row>
    <row r="331" spans="1:48" s="402" customFormat="1" ht="15" customHeight="1">
      <c r="A331" s="278"/>
      <c r="B331" s="279"/>
      <c r="C331" s="279"/>
      <c r="D331" s="374" t="s">
        <v>2804</v>
      </c>
      <c r="E331" s="299" t="s">
        <v>4325</v>
      </c>
      <c r="F331" s="432"/>
      <c r="G331" s="432">
        <v>2022</v>
      </c>
      <c r="H331" s="432">
        <v>5</v>
      </c>
      <c r="I331" s="432"/>
      <c r="J331" s="433"/>
      <c r="K331" s="432" t="s">
        <v>3977</v>
      </c>
      <c r="L331" s="432" t="s">
        <v>1308</v>
      </c>
      <c r="M331" s="433">
        <v>44645</v>
      </c>
      <c r="N331" s="433">
        <v>44774</v>
      </c>
      <c r="O331" s="433"/>
      <c r="P331" s="433"/>
      <c r="Q331" s="433"/>
      <c r="R331" s="433"/>
      <c r="S331" s="432" t="s">
        <v>1098</v>
      </c>
      <c r="T331" s="432">
        <v>60</v>
      </c>
      <c r="U331" s="432"/>
      <c r="V331" s="432" t="s">
        <v>986</v>
      </c>
      <c r="W331" s="432">
        <v>360</v>
      </c>
      <c r="X331" s="370">
        <v>832</v>
      </c>
      <c r="Y331" s="408">
        <f>W331*X331</f>
        <v>299520</v>
      </c>
      <c r="Z331" s="409">
        <v>0.53</v>
      </c>
      <c r="AA331" s="410">
        <f>Y331*Z331</f>
        <v>158745.60000000001</v>
      </c>
      <c r="AB331" s="362"/>
      <c r="AC331" s="412">
        <v>0</v>
      </c>
      <c r="AD331" s="405"/>
      <c r="AE331" s="413"/>
      <c r="AF331" s="424">
        <f>AE331+AD331+AA331</f>
        <v>158745.60000000001</v>
      </c>
      <c r="AG331" s="405" t="s">
        <v>1069</v>
      </c>
      <c r="AH331" s="395"/>
      <c r="AI331" s="405">
        <v>60</v>
      </c>
      <c r="AJ331" s="405" t="s">
        <v>1291</v>
      </c>
      <c r="AK331" s="405" t="s">
        <v>1292</v>
      </c>
      <c r="AL331" s="425">
        <v>18360</v>
      </c>
      <c r="AM331" s="405" t="s">
        <v>52</v>
      </c>
      <c r="AN331" s="405"/>
      <c r="AO331" s="405"/>
      <c r="AP331" s="405"/>
      <c r="AQ331" s="405" t="s">
        <v>37</v>
      </c>
      <c r="AR331" s="405"/>
      <c r="AS331" s="363" t="s">
        <v>1073</v>
      </c>
      <c r="AT331" s="335"/>
      <c r="AU331" s="363"/>
    </row>
    <row r="332" spans="1:48" s="402" customFormat="1" ht="15" customHeight="1">
      <c r="A332" s="278"/>
      <c r="B332" s="279"/>
      <c r="C332" s="279"/>
      <c r="D332" s="374" t="s">
        <v>2804</v>
      </c>
      <c r="E332" s="299" t="s">
        <v>4309</v>
      </c>
      <c r="F332" s="432"/>
      <c r="G332" s="432">
        <v>2022</v>
      </c>
      <c r="H332" s="432"/>
      <c r="I332" s="360" t="s">
        <v>1241</v>
      </c>
      <c r="J332" s="433"/>
      <c r="K332" s="360" t="s">
        <v>4312</v>
      </c>
      <c r="L332" s="432" t="s">
        <v>1195</v>
      </c>
      <c r="M332" s="433">
        <v>44649</v>
      </c>
      <c r="N332" s="433">
        <v>44802</v>
      </c>
      <c r="O332" s="433"/>
      <c r="P332" s="433"/>
      <c r="Q332" s="433"/>
      <c r="R332" s="433"/>
      <c r="S332" s="432" t="s">
        <v>1098</v>
      </c>
      <c r="T332" s="432">
        <v>60</v>
      </c>
      <c r="U332" s="432"/>
      <c r="V332" s="432" t="s">
        <v>986</v>
      </c>
      <c r="W332" s="432">
        <v>360</v>
      </c>
      <c r="X332" s="370">
        <v>896</v>
      </c>
      <c r="Y332" s="408">
        <f t="shared" si="29"/>
        <v>322560</v>
      </c>
      <c r="Z332" s="409">
        <v>0.53</v>
      </c>
      <c r="AA332" s="410">
        <f t="shared" si="28"/>
        <v>170956.80000000002</v>
      </c>
      <c r="AB332" s="362"/>
      <c r="AC332" s="412">
        <v>0</v>
      </c>
      <c r="AD332" s="405"/>
      <c r="AE332" s="413"/>
      <c r="AF332" s="424">
        <f t="shared" si="30"/>
        <v>170956.80000000002</v>
      </c>
      <c r="AG332" s="405" t="s">
        <v>1069</v>
      </c>
      <c r="AH332" s="395"/>
      <c r="AI332" s="405">
        <v>60</v>
      </c>
      <c r="AJ332" s="405" t="s">
        <v>1200</v>
      </c>
      <c r="AK332" s="405" t="s">
        <v>1176</v>
      </c>
      <c r="AL332" s="425">
        <v>6810</v>
      </c>
      <c r="AM332" s="405" t="s">
        <v>52</v>
      </c>
      <c r="AN332" s="405"/>
      <c r="AO332" s="405"/>
      <c r="AP332" s="405"/>
      <c r="AQ332" s="405"/>
      <c r="AR332" s="405" t="s">
        <v>4015</v>
      </c>
      <c r="AS332" s="363" t="s">
        <v>1072</v>
      </c>
      <c r="AT332" s="335"/>
      <c r="AU332" s="363" t="s">
        <v>1073</v>
      </c>
      <c r="AV332" s="409">
        <v>0.47499999999999998</v>
      </c>
    </row>
    <row r="333" spans="1:48" s="402" customFormat="1" ht="15" customHeight="1">
      <c r="A333" s="278"/>
      <c r="B333" s="279"/>
      <c r="C333" s="279"/>
      <c r="D333" s="374" t="s">
        <v>2804</v>
      </c>
      <c r="E333" s="299" t="s">
        <v>4309</v>
      </c>
      <c r="F333" s="432"/>
      <c r="G333" s="432">
        <v>2022</v>
      </c>
      <c r="H333" s="432"/>
      <c r="I333" s="360" t="s">
        <v>1241</v>
      </c>
      <c r="J333" s="433"/>
      <c r="K333" s="360" t="s">
        <v>4313</v>
      </c>
      <c r="L333" s="432" t="s">
        <v>1195</v>
      </c>
      <c r="M333" s="433">
        <v>44649</v>
      </c>
      <c r="N333" s="433">
        <v>44809</v>
      </c>
      <c r="O333" s="433"/>
      <c r="P333" s="433"/>
      <c r="Q333" s="433"/>
      <c r="R333" s="433"/>
      <c r="S333" s="432" t="s">
        <v>1098</v>
      </c>
      <c r="T333" s="432">
        <v>60</v>
      </c>
      <c r="U333" s="432"/>
      <c r="V333" s="432" t="s">
        <v>973</v>
      </c>
      <c r="W333" s="432">
        <v>400</v>
      </c>
      <c r="X333" s="370">
        <v>896</v>
      </c>
      <c r="Y333" s="408">
        <f t="shared" si="29"/>
        <v>358400</v>
      </c>
      <c r="Z333" s="409">
        <v>0.55000000000000004</v>
      </c>
      <c r="AA333" s="410">
        <f t="shared" si="28"/>
        <v>197120.00000000003</v>
      </c>
      <c r="AB333" s="362"/>
      <c r="AC333" s="412">
        <v>0</v>
      </c>
      <c r="AD333" s="405"/>
      <c r="AE333" s="413"/>
      <c r="AF333" s="424">
        <f t="shared" si="30"/>
        <v>197120.00000000003</v>
      </c>
      <c r="AG333" s="405" t="s">
        <v>1069</v>
      </c>
      <c r="AH333" s="395"/>
      <c r="AI333" s="405">
        <v>60</v>
      </c>
      <c r="AJ333" s="405" t="s">
        <v>1200</v>
      </c>
      <c r="AK333" s="405" t="s">
        <v>1176</v>
      </c>
      <c r="AL333" s="425">
        <v>6810</v>
      </c>
      <c r="AM333" s="405" t="s">
        <v>52</v>
      </c>
      <c r="AN333" s="405"/>
      <c r="AO333" s="405"/>
      <c r="AP333" s="405"/>
      <c r="AQ333" s="405"/>
      <c r="AR333" s="405" t="s">
        <v>4015</v>
      </c>
      <c r="AS333" s="363" t="s">
        <v>1072</v>
      </c>
      <c r="AT333" s="335"/>
      <c r="AU333" s="363" t="s">
        <v>1073</v>
      </c>
      <c r="AV333" s="409">
        <v>0.47499999999999998</v>
      </c>
    </row>
    <row r="334" spans="1:48" s="402" customFormat="1" ht="15" customHeight="1">
      <c r="A334" s="278"/>
      <c r="B334" s="279"/>
      <c r="C334" s="279"/>
      <c r="D334" s="374" t="s">
        <v>2804</v>
      </c>
      <c r="E334" s="299" t="s">
        <v>4309</v>
      </c>
      <c r="F334" s="432"/>
      <c r="G334" s="432">
        <v>2022</v>
      </c>
      <c r="H334" s="432"/>
      <c r="I334" s="360" t="s">
        <v>1241</v>
      </c>
      <c r="J334" s="433"/>
      <c r="K334" s="360" t="s">
        <v>4314</v>
      </c>
      <c r="L334" s="432" t="s">
        <v>1195</v>
      </c>
      <c r="M334" s="433">
        <v>44649</v>
      </c>
      <c r="N334" s="433">
        <v>44834</v>
      </c>
      <c r="O334" s="433"/>
      <c r="P334" s="433"/>
      <c r="Q334" s="433"/>
      <c r="R334" s="433"/>
      <c r="S334" s="432" t="s">
        <v>1098</v>
      </c>
      <c r="T334" s="432">
        <v>60</v>
      </c>
      <c r="U334" s="432"/>
      <c r="V334" s="432" t="s">
        <v>973</v>
      </c>
      <c r="W334" s="432">
        <v>400</v>
      </c>
      <c r="X334" s="370">
        <v>896</v>
      </c>
      <c r="Y334" s="408">
        <f t="shared" si="29"/>
        <v>358400</v>
      </c>
      <c r="Z334" s="409">
        <v>0.55000000000000004</v>
      </c>
      <c r="AA334" s="410">
        <f t="shared" si="28"/>
        <v>197120.00000000003</v>
      </c>
      <c r="AB334" s="362"/>
      <c r="AC334" s="412">
        <v>0</v>
      </c>
      <c r="AD334" s="405"/>
      <c r="AE334" s="413"/>
      <c r="AF334" s="424">
        <f t="shared" si="30"/>
        <v>197120.00000000003</v>
      </c>
      <c r="AG334" s="405" t="s">
        <v>1069</v>
      </c>
      <c r="AH334" s="395"/>
      <c r="AI334" s="405">
        <v>60</v>
      </c>
      <c r="AJ334" s="405" t="s">
        <v>1200</v>
      </c>
      <c r="AK334" s="405" t="s">
        <v>1176</v>
      </c>
      <c r="AL334" s="425">
        <v>6810</v>
      </c>
      <c r="AM334" s="405" t="s">
        <v>52</v>
      </c>
      <c r="AN334" s="405"/>
      <c r="AO334" s="405"/>
      <c r="AP334" s="405"/>
      <c r="AQ334" s="405"/>
      <c r="AR334" s="405" t="s">
        <v>4015</v>
      </c>
      <c r="AS334" s="363" t="s">
        <v>1072</v>
      </c>
      <c r="AT334" s="335"/>
      <c r="AU334" s="363" t="s">
        <v>1073</v>
      </c>
      <c r="AV334" s="409">
        <v>0.47499999999999998</v>
      </c>
    </row>
    <row r="335" spans="1:48" s="402" customFormat="1" ht="15" customHeight="1">
      <c r="A335" s="278"/>
      <c r="B335" s="279"/>
      <c r="C335" s="279"/>
      <c r="D335" s="374" t="s">
        <v>2804</v>
      </c>
      <c r="E335" s="299" t="s">
        <v>4309</v>
      </c>
      <c r="F335" s="432"/>
      <c r="G335" s="432">
        <v>2022</v>
      </c>
      <c r="H335" s="432"/>
      <c r="I335" s="360" t="s">
        <v>1241</v>
      </c>
      <c r="J335" s="433"/>
      <c r="K335" s="360" t="s">
        <v>4315</v>
      </c>
      <c r="L335" s="432" t="s">
        <v>1195</v>
      </c>
      <c r="M335" s="433">
        <v>44649</v>
      </c>
      <c r="N335" s="433">
        <v>44858</v>
      </c>
      <c r="O335" s="433"/>
      <c r="P335" s="433"/>
      <c r="Q335" s="433"/>
      <c r="R335" s="433"/>
      <c r="S335" s="432" t="s">
        <v>1098</v>
      </c>
      <c r="T335" s="432">
        <v>60</v>
      </c>
      <c r="U335" s="432"/>
      <c r="V335" s="432" t="s">
        <v>973</v>
      </c>
      <c r="W335" s="432">
        <v>400</v>
      </c>
      <c r="X335" s="370">
        <v>896</v>
      </c>
      <c r="Y335" s="408">
        <f t="shared" si="29"/>
        <v>358400</v>
      </c>
      <c r="Z335" s="409">
        <v>0.55000000000000004</v>
      </c>
      <c r="AA335" s="410">
        <f t="shared" si="28"/>
        <v>197120.00000000003</v>
      </c>
      <c r="AB335" s="362"/>
      <c r="AC335" s="412">
        <v>0</v>
      </c>
      <c r="AD335" s="405"/>
      <c r="AE335" s="413"/>
      <c r="AF335" s="424">
        <f t="shared" si="30"/>
        <v>197120.00000000003</v>
      </c>
      <c r="AG335" s="405" t="s">
        <v>1069</v>
      </c>
      <c r="AH335" s="395"/>
      <c r="AI335" s="405">
        <v>60</v>
      </c>
      <c r="AJ335" s="405" t="s">
        <v>1200</v>
      </c>
      <c r="AK335" s="405" t="s">
        <v>1176</v>
      </c>
      <c r="AL335" s="425">
        <v>6810</v>
      </c>
      <c r="AM335" s="405" t="s">
        <v>52</v>
      </c>
      <c r="AN335" s="405"/>
      <c r="AO335" s="405"/>
      <c r="AP335" s="405"/>
      <c r="AQ335" s="405"/>
      <c r="AR335" s="405" t="s">
        <v>4015</v>
      </c>
      <c r="AS335" s="363" t="s">
        <v>1072</v>
      </c>
      <c r="AT335" s="335"/>
      <c r="AU335" s="363" t="s">
        <v>1073</v>
      </c>
      <c r="AV335" s="409">
        <v>0.47499999999999998</v>
      </c>
    </row>
    <row r="336" spans="1:48" s="402" customFormat="1" ht="15" customHeight="1">
      <c r="A336" s="278"/>
      <c r="B336" s="279"/>
      <c r="C336" s="279"/>
      <c r="D336" s="374" t="s">
        <v>2804</v>
      </c>
      <c r="E336" s="299" t="s">
        <v>4309</v>
      </c>
      <c r="F336" s="432"/>
      <c r="G336" s="432">
        <v>2022</v>
      </c>
      <c r="H336" s="432"/>
      <c r="I336" s="360" t="s">
        <v>1241</v>
      </c>
      <c r="J336" s="433"/>
      <c r="K336" s="360" t="s">
        <v>4316</v>
      </c>
      <c r="L336" s="432" t="s">
        <v>1195</v>
      </c>
      <c r="M336" s="433">
        <v>44649</v>
      </c>
      <c r="N336" s="433">
        <v>44886</v>
      </c>
      <c r="O336" s="433"/>
      <c r="P336" s="433"/>
      <c r="Q336" s="433"/>
      <c r="R336" s="433"/>
      <c r="S336" s="432" t="s">
        <v>1098</v>
      </c>
      <c r="T336" s="432">
        <v>60</v>
      </c>
      <c r="U336" s="432"/>
      <c r="V336" s="432" t="s">
        <v>973</v>
      </c>
      <c r="W336" s="432">
        <v>400</v>
      </c>
      <c r="X336" s="370">
        <v>896</v>
      </c>
      <c r="Y336" s="408">
        <f t="shared" si="29"/>
        <v>358400</v>
      </c>
      <c r="Z336" s="409">
        <v>0.55000000000000004</v>
      </c>
      <c r="AA336" s="410">
        <f t="shared" si="28"/>
        <v>197120.00000000003</v>
      </c>
      <c r="AB336" s="362"/>
      <c r="AC336" s="412">
        <v>0</v>
      </c>
      <c r="AD336" s="405"/>
      <c r="AE336" s="413"/>
      <c r="AF336" s="424">
        <f t="shared" si="30"/>
        <v>197120.00000000003</v>
      </c>
      <c r="AG336" s="405" t="s">
        <v>1069</v>
      </c>
      <c r="AH336" s="395"/>
      <c r="AI336" s="405">
        <v>60</v>
      </c>
      <c r="AJ336" s="405" t="s">
        <v>1200</v>
      </c>
      <c r="AK336" s="405" t="s">
        <v>1176</v>
      </c>
      <c r="AL336" s="425">
        <v>6810</v>
      </c>
      <c r="AM336" s="405" t="s">
        <v>52</v>
      </c>
      <c r="AN336" s="405"/>
      <c r="AO336" s="405"/>
      <c r="AP336" s="405"/>
      <c r="AQ336" s="405"/>
      <c r="AR336" s="405" t="s">
        <v>4015</v>
      </c>
      <c r="AS336" s="363" t="s">
        <v>1072</v>
      </c>
      <c r="AT336" s="335"/>
      <c r="AU336" s="363" t="s">
        <v>1073</v>
      </c>
      <c r="AV336" s="409">
        <v>0.47499999999999998</v>
      </c>
    </row>
    <row r="337" spans="1:48" s="402" customFormat="1" ht="15" customHeight="1">
      <c r="A337" s="278"/>
      <c r="B337" s="279"/>
      <c r="C337" s="279"/>
      <c r="D337" s="374" t="s">
        <v>2804</v>
      </c>
      <c r="E337" s="299" t="s">
        <v>4309</v>
      </c>
      <c r="F337" s="432"/>
      <c r="G337" s="432">
        <v>2022</v>
      </c>
      <c r="H337" s="432"/>
      <c r="I337" s="360" t="s">
        <v>1241</v>
      </c>
      <c r="J337" s="433"/>
      <c r="K337" s="360" t="s">
        <v>4317</v>
      </c>
      <c r="L337" s="432" t="s">
        <v>1195</v>
      </c>
      <c r="M337" s="433">
        <v>44649</v>
      </c>
      <c r="N337" s="433">
        <v>44907</v>
      </c>
      <c r="O337" s="433"/>
      <c r="P337" s="433"/>
      <c r="Q337" s="433"/>
      <c r="R337" s="433"/>
      <c r="S337" s="432" t="s">
        <v>1098</v>
      </c>
      <c r="T337" s="432">
        <v>60</v>
      </c>
      <c r="U337" s="432"/>
      <c r="V337" s="432" t="s">
        <v>973</v>
      </c>
      <c r="W337" s="432">
        <v>400</v>
      </c>
      <c r="X337" s="370">
        <v>896</v>
      </c>
      <c r="Y337" s="408">
        <f t="shared" si="29"/>
        <v>358400</v>
      </c>
      <c r="Z337" s="409">
        <v>0.55000000000000004</v>
      </c>
      <c r="AA337" s="410">
        <f t="shared" si="28"/>
        <v>197120.00000000003</v>
      </c>
      <c r="AB337" s="362"/>
      <c r="AC337" s="412">
        <v>0</v>
      </c>
      <c r="AD337" s="405"/>
      <c r="AE337" s="413"/>
      <c r="AF337" s="424">
        <f t="shared" si="30"/>
        <v>197120.00000000003</v>
      </c>
      <c r="AG337" s="405" t="s">
        <v>1069</v>
      </c>
      <c r="AH337" s="395"/>
      <c r="AI337" s="405">
        <v>60</v>
      </c>
      <c r="AJ337" s="405" t="s">
        <v>1200</v>
      </c>
      <c r="AK337" s="405" t="s">
        <v>1176</v>
      </c>
      <c r="AL337" s="425">
        <v>6810</v>
      </c>
      <c r="AM337" s="405" t="s">
        <v>52</v>
      </c>
      <c r="AN337" s="405"/>
      <c r="AO337" s="405"/>
      <c r="AP337" s="405"/>
      <c r="AQ337" s="405"/>
      <c r="AR337" s="405" t="s">
        <v>4015</v>
      </c>
      <c r="AS337" s="363" t="s">
        <v>1072</v>
      </c>
      <c r="AT337" s="335"/>
      <c r="AU337" s="363" t="s">
        <v>1073</v>
      </c>
      <c r="AV337" s="409">
        <v>0.47499999999999998</v>
      </c>
    </row>
    <row r="338" spans="1:48" s="402" customFormat="1" ht="15" customHeight="1">
      <c r="A338" s="278"/>
      <c r="B338" s="279"/>
      <c r="C338" s="279"/>
      <c r="D338" s="374" t="s">
        <v>2804</v>
      </c>
      <c r="E338" s="299" t="s">
        <v>4318</v>
      </c>
      <c r="F338" s="432"/>
      <c r="G338" s="432">
        <v>2022</v>
      </c>
      <c r="H338" s="432"/>
      <c r="I338" s="360" t="s">
        <v>1241</v>
      </c>
      <c r="J338" s="433"/>
      <c r="K338" s="360" t="s">
        <v>4319</v>
      </c>
      <c r="L338" s="432" t="s">
        <v>1195</v>
      </c>
      <c r="M338" s="433">
        <v>44651</v>
      </c>
      <c r="N338" s="433">
        <v>44753</v>
      </c>
      <c r="O338" s="433"/>
      <c r="P338" s="433"/>
      <c r="Q338" s="433"/>
      <c r="R338" s="433"/>
      <c r="S338" s="432" t="s">
        <v>1098</v>
      </c>
      <c r="T338" s="432">
        <v>60</v>
      </c>
      <c r="U338" s="432"/>
      <c r="V338" s="432" t="s">
        <v>973</v>
      </c>
      <c r="W338" s="432">
        <v>400</v>
      </c>
      <c r="X338" s="370">
        <v>1792</v>
      </c>
      <c r="Y338" s="408">
        <f t="shared" si="29"/>
        <v>716800</v>
      </c>
      <c r="Z338" s="409">
        <v>0.53</v>
      </c>
      <c r="AA338" s="410">
        <f t="shared" si="28"/>
        <v>379904</v>
      </c>
      <c r="AB338" s="362"/>
      <c r="AC338" s="412">
        <v>0</v>
      </c>
      <c r="AD338" s="405"/>
      <c r="AE338" s="413"/>
      <c r="AF338" s="424">
        <f t="shared" si="30"/>
        <v>379904</v>
      </c>
      <c r="AG338" s="405" t="s">
        <v>1069</v>
      </c>
      <c r="AH338" s="395"/>
      <c r="AI338" s="405">
        <v>60</v>
      </c>
      <c r="AJ338" s="405" t="s">
        <v>1197</v>
      </c>
      <c r="AK338" s="405" t="s">
        <v>1176</v>
      </c>
      <c r="AL338" s="425">
        <v>6492</v>
      </c>
      <c r="AM338" s="405" t="s">
        <v>52</v>
      </c>
      <c r="AN338" s="405"/>
      <c r="AO338" s="405"/>
      <c r="AP338" s="405"/>
      <c r="AQ338" s="405"/>
      <c r="AR338" s="405" t="s">
        <v>4015</v>
      </c>
      <c r="AS338" s="363" t="s">
        <v>1072</v>
      </c>
      <c r="AT338" s="335"/>
      <c r="AU338" s="363" t="s">
        <v>1073</v>
      </c>
      <c r="AV338" s="409">
        <v>0.47499999999999998</v>
      </c>
    </row>
    <row r="339" spans="1:48" s="402" customFormat="1" ht="15" customHeight="1">
      <c r="A339" s="278"/>
      <c r="B339" s="279"/>
      <c r="C339" s="279"/>
      <c r="D339" s="374" t="s">
        <v>2804</v>
      </c>
      <c r="E339" s="299" t="s">
        <v>4318</v>
      </c>
      <c r="F339" s="432"/>
      <c r="G339" s="432">
        <v>2022</v>
      </c>
      <c r="H339" s="432"/>
      <c r="I339" s="360" t="s">
        <v>1241</v>
      </c>
      <c r="J339" s="433"/>
      <c r="K339" s="360" t="s">
        <v>4320</v>
      </c>
      <c r="L339" s="432" t="s">
        <v>1195</v>
      </c>
      <c r="M339" s="433">
        <v>44651</v>
      </c>
      <c r="N339" s="433">
        <v>44781</v>
      </c>
      <c r="O339" s="433"/>
      <c r="P339" s="433"/>
      <c r="Q339" s="433"/>
      <c r="R339" s="433"/>
      <c r="S339" s="432" t="s">
        <v>1098</v>
      </c>
      <c r="T339" s="432">
        <v>60</v>
      </c>
      <c r="U339" s="432"/>
      <c r="V339" s="432" t="s">
        <v>973</v>
      </c>
      <c r="W339" s="432">
        <v>400</v>
      </c>
      <c r="X339" s="370">
        <v>1792</v>
      </c>
      <c r="Y339" s="408">
        <f t="shared" si="29"/>
        <v>716800</v>
      </c>
      <c r="Z339" s="409">
        <v>0.55000000000000004</v>
      </c>
      <c r="AA339" s="410">
        <f t="shared" si="28"/>
        <v>394240.00000000006</v>
      </c>
      <c r="AB339" s="362"/>
      <c r="AC339" s="412">
        <v>0</v>
      </c>
      <c r="AD339" s="405"/>
      <c r="AE339" s="413"/>
      <c r="AF339" s="424">
        <f t="shared" si="30"/>
        <v>394240.00000000006</v>
      </c>
      <c r="AG339" s="405" t="s">
        <v>1069</v>
      </c>
      <c r="AH339" s="395"/>
      <c r="AI339" s="405">
        <v>60</v>
      </c>
      <c r="AJ339" s="405" t="s">
        <v>1197</v>
      </c>
      <c r="AK339" s="405" t="s">
        <v>1176</v>
      </c>
      <c r="AL339" s="425">
        <v>6492</v>
      </c>
      <c r="AM339" s="405" t="s">
        <v>52</v>
      </c>
      <c r="AN339" s="405"/>
      <c r="AO339" s="405"/>
      <c r="AP339" s="405"/>
      <c r="AQ339" s="405"/>
      <c r="AR339" s="405" t="s">
        <v>4015</v>
      </c>
      <c r="AS339" s="363" t="s">
        <v>1072</v>
      </c>
      <c r="AT339" s="335"/>
      <c r="AU339" s="363" t="s">
        <v>1073</v>
      </c>
      <c r="AV339" s="409">
        <v>0.47499999999999998</v>
      </c>
    </row>
    <row r="340" spans="1:48" s="402" customFormat="1" ht="15" customHeight="1">
      <c r="A340" s="278"/>
      <c r="B340" s="279"/>
      <c r="C340" s="279"/>
      <c r="D340" s="374" t="s">
        <v>2804</v>
      </c>
      <c r="E340" s="299" t="s">
        <v>4318</v>
      </c>
      <c r="F340" s="432"/>
      <c r="G340" s="432">
        <v>2022</v>
      </c>
      <c r="H340" s="432"/>
      <c r="I340" s="360" t="s">
        <v>1241</v>
      </c>
      <c r="J340" s="433"/>
      <c r="K340" s="360" t="s">
        <v>4321</v>
      </c>
      <c r="L340" s="432" t="s">
        <v>1195</v>
      </c>
      <c r="M340" s="433">
        <v>44651</v>
      </c>
      <c r="N340" s="433">
        <v>44816</v>
      </c>
      <c r="O340" s="433"/>
      <c r="P340" s="433"/>
      <c r="Q340" s="433"/>
      <c r="R340" s="433"/>
      <c r="S340" s="432" t="s">
        <v>1098</v>
      </c>
      <c r="T340" s="432">
        <v>60</v>
      </c>
      <c r="U340" s="432"/>
      <c r="V340" s="432" t="s">
        <v>973</v>
      </c>
      <c r="W340" s="432">
        <v>400</v>
      </c>
      <c r="X340" s="370">
        <v>1792</v>
      </c>
      <c r="Y340" s="408">
        <f t="shared" si="29"/>
        <v>716800</v>
      </c>
      <c r="Z340" s="409">
        <v>0.55000000000000004</v>
      </c>
      <c r="AA340" s="410">
        <f t="shared" si="28"/>
        <v>394240.00000000006</v>
      </c>
      <c r="AB340" s="362"/>
      <c r="AC340" s="412">
        <v>0</v>
      </c>
      <c r="AD340" s="405"/>
      <c r="AE340" s="413"/>
      <c r="AF340" s="424">
        <f t="shared" si="30"/>
        <v>394240.00000000006</v>
      </c>
      <c r="AG340" s="405" t="s">
        <v>1069</v>
      </c>
      <c r="AH340" s="395"/>
      <c r="AI340" s="405">
        <v>60</v>
      </c>
      <c r="AJ340" s="405" t="s">
        <v>1197</v>
      </c>
      <c r="AK340" s="405" t="s">
        <v>1176</v>
      </c>
      <c r="AL340" s="425">
        <v>6492</v>
      </c>
      <c r="AM340" s="405" t="s">
        <v>52</v>
      </c>
      <c r="AN340" s="405"/>
      <c r="AO340" s="405"/>
      <c r="AP340" s="405"/>
      <c r="AQ340" s="405"/>
      <c r="AR340" s="405" t="s">
        <v>4015</v>
      </c>
      <c r="AS340" s="363" t="s">
        <v>1072</v>
      </c>
      <c r="AT340" s="335"/>
      <c r="AU340" s="363" t="s">
        <v>1073</v>
      </c>
      <c r="AV340" s="409">
        <v>0.47499999999999998</v>
      </c>
    </row>
    <row r="341" spans="1:48" s="402" customFormat="1" ht="15" customHeight="1">
      <c r="A341" s="278"/>
      <c r="B341" s="279"/>
      <c r="C341" s="279"/>
      <c r="D341" s="374" t="s">
        <v>2804</v>
      </c>
      <c r="E341" s="299" t="s">
        <v>4318</v>
      </c>
      <c r="F341" s="432"/>
      <c r="G341" s="432">
        <v>2022</v>
      </c>
      <c r="H341" s="432"/>
      <c r="I341" s="360" t="s">
        <v>1241</v>
      </c>
      <c r="J341" s="433"/>
      <c r="K341" s="360" t="s">
        <v>4322</v>
      </c>
      <c r="L341" s="432" t="s">
        <v>1195</v>
      </c>
      <c r="M341" s="433">
        <v>44651</v>
      </c>
      <c r="N341" s="433">
        <v>44851</v>
      </c>
      <c r="O341" s="433"/>
      <c r="P341" s="433"/>
      <c r="Q341" s="433"/>
      <c r="R341" s="433"/>
      <c r="S341" s="432" t="s">
        <v>1098</v>
      </c>
      <c r="T341" s="432">
        <v>60</v>
      </c>
      <c r="U341" s="432"/>
      <c r="V341" s="432" t="s">
        <v>973</v>
      </c>
      <c r="W341" s="432">
        <v>400</v>
      </c>
      <c r="X341" s="370">
        <v>1792</v>
      </c>
      <c r="Y341" s="408">
        <f t="shared" si="29"/>
        <v>716800</v>
      </c>
      <c r="Z341" s="409">
        <v>0.55000000000000004</v>
      </c>
      <c r="AA341" s="410">
        <f t="shared" si="28"/>
        <v>394240.00000000006</v>
      </c>
      <c r="AB341" s="362"/>
      <c r="AC341" s="412">
        <v>0</v>
      </c>
      <c r="AD341" s="405"/>
      <c r="AE341" s="413"/>
      <c r="AF341" s="424">
        <f t="shared" si="30"/>
        <v>394240.00000000006</v>
      </c>
      <c r="AG341" s="405" t="s">
        <v>1069</v>
      </c>
      <c r="AH341" s="395"/>
      <c r="AI341" s="405">
        <v>60</v>
      </c>
      <c r="AJ341" s="405" t="s">
        <v>1197</v>
      </c>
      <c r="AK341" s="405" t="s">
        <v>1176</v>
      </c>
      <c r="AL341" s="425">
        <v>6492</v>
      </c>
      <c r="AM341" s="405" t="s">
        <v>52</v>
      </c>
      <c r="AN341" s="405"/>
      <c r="AO341" s="405"/>
      <c r="AP341" s="405"/>
      <c r="AQ341" s="405"/>
      <c r="AR341" s="405" t="s">
        <v>4015</v>
      </c>
      <c r="AS341" s="363" t="s">
        <v>1072</v>
      </c>
      <c r="AT341" s="335"/>
      <c r="AU341" s="363" t="s">
        <v>1073</v>
      </c>
      <c r="AV341" s="409">
        <v>0.47499999999999998</v>
      </c>
    </row>
    <row r="342" spans="1:48" s="402" customFormat="1" ht="15" customHeight="1">
      <c r="A342" s="278"/>
      <c r="B342" s="279"/>
      <c r="C342" s="279"/>
      <c r="D342" s="374" t="s">
        <v>2804</v>
      </c>
      <c r="E342" s="299" t="s">
        <v>4318</v>
      </c>
      <c r="F342" s="432"/>
      <c r="G342" s="432">
        <v>2022</v>
      </c>
      <c r="H342" s="432"/>
      <c r="I342" s="360" t="s">
        <v>1241</v>
      </c>
      <c r="J342" s="433"/>
      <c r="K342" s="360" t="s">
        <v>4323</v>
      </c>
      <c r="L342" s="432" t="s">
        <v>1195</v>
      </c>
      <c r="M342" s="433">
        <v>44651</v>
      </c>
      <c r="N342" s="433">
        <v>44879</v>
      </c>
      <c r="O342" s="433"/>
      <c r="P342" s="433"/>
      <c r="Q342" s="433"/>
      <c r="R342" s="433"/>
      <c r="S342" s="432" t="s">
        <v>1098</v>
      </c>
      <c r="T342" s="432">
        <v>60</v>
      </c>
      <c r="U342" s="432"/>
      <c r="V342" s="432" t="s">
        <v>973</v>
      </c>
      <c r="W342" s="432">
        <v>400</v>
      </c>
      <c r="X342" s="370">
        <v>1792</v>
      </c>
      <c r="Y342" s="408">
        <f t="shared" si="29"/>
        <v>716800</v>
      </c>
      <c r="Z342" s="409">
        <v>0.55000000000000004</v>
      </c>
      <c r="AA342" s="410">
        <f t="shared" si="28"/>
        <v>394240.00000000006</v>
      </c>
      <c r="AB342" s="362"/>
      <c r="AC342" s="412">
        <v>0</v>
      </c>
      <c r="AD342" s="405"/>
      <c r="AE342" s="413"/>
      <c r="AF342" s="424">
        <f t="shared" si="30"/>
        <v>394240.00000000006</v>
      </c>
      <c r="AG342" s="405" t="s">
        <v>1069</v>
      </c>
      <c r="AH342" s="395"/>
      <c r="AI342" s="405">
        <v>60</v>
      </c>
      <c r="AJ342" s="405" t="s">
        <v>1197</v>
      </c>
      <c r="AK342" s="405" t="s">
        <v>1176</v>
      </c>
      <c r="AL342" s="425">
        <v>6492</v>
      </c>
      <c r="AM342" s="405" t="s">
        <v>52</v>
      </c>
      <c r="AN342" s="405"/>
      <c r="AO342" s="405"/>
      <c r="AP342" s="405"/>
      <c r="AQ342" s="405"/>
      <c r="AR342" s="405" t="s">
        <v>4015</v>
      </c>
      <c r="AS342" s="363" t="s">
        <v>1072</v>
      </c>
      <c r="AT342" s="335"/>
      <c r="AU342" s="363" t="s">
        <v>1073</v>
      </c>
      <c r="AV342" s="409">
        <v>0.47499999999999998</v>
      </c>
    </row>
    <row r="343" spans="1:48" s="402" customFormat="1" ht="15" customHeight="1">
      <c r="A343" s="278"/>
      <c r="B343" s="279"/>
      <c r="C343" s="279"/>
      <c r="D343" s="374" t="s">
        <v>2804</v>
      </c>
      <c r="E343" s="299" t="s">
        <v>4318</v>
      </c>
      <c r="F343" s="432"/>
      <c r="G343" s="432">
        <v>2022</v>
      </c>
      <c r="H343" s="432"/>
      <c r="I343" s="360" t="s">
        <v>1241</v>
      </c>
      <c r="J343" s="433"/>
      <c r="K343" s="360" t="s">
        <v>4324</v>
      </c>
      <c r="L343" s="432" t="s">
        <v>1195</v>
      </c>
      <c r="M343" s="433">
        <v>44651</v>
      </c>
      <c r="N343" s="433">
        <v>44907</v>
      </c>
      <c r="O343" s="433"/>
      <c r="P343" s="433"/>
      <c r="Q343" s="433"/>
      <c r="R343" s="433"/>
      <c r="S343" s="432" t="s">
        <v>1098</v>
      </c>
      <c r="T343" s="432">
        <v>60</v>
      </c>
      <c r="U343" s="432"/>
      <c r="V343" s="432" t="s">
        <v>973</v>
      </c>
      <c r="W343" s="432">
        <v>400</v>
      </c>
      <c r="X343" s="370">
        <v>1792</v>
      </c>
      <c r="Y343" s="408">
        <f t="shared" si="29"/>
        <v>716800</v>
      </c>
      <c r="Z343" s="409">
        <v>0.55000000000000004</v>
      </c>
      <c r="AA343" s="410">
        <f t="shared" si="28"/>
        <v>394240.00000000006</v>
      </c>
      <c r="AB343" s="362"/>
      <c r="AC343" s="412">
        <v>0</v>
      </c>
      <c r="AD343" s="405"/>
      <c r="AE343" s="413"/>
      <c r="AF343" s="424">
        <f t="shared" si="30"/>
        <v>394240.00000000006</v>
      </c>
      <c r="AG343" s="405" t="s">
        <v>1069</v>
      </c>
      <c r="AH343" s="395"/>
      <c r="AI343" s="405">
        <v>60</v>
      </c>
      <c r="AJ343" s="405" t="s">
        <v>1197</v>
      </c>
      <c r="AK343" s="405" t="s">
        <v>1176</v>
      </c>
      <c r="AL343" s="425">
        <v>6492</v>
      </c>
      <c r="AM343" s="405" t="s">
        <v>52</v>
      </c>
      <c r="AN343" s="405"/>
      <c r="AO343" s="405"/>
      <c r="AP343" s="405"/>
      <c r="AQ343" s="405"/>
      <c r="AR343" s="405" t="s">
        <v>4015</v>
      </c>
      <c r="AS343" s="363" t="s">
        <v>1072</v>
      </c>
      <c r="AT343" s="335"/>
      <c r="AU343" s="363" t="s">
        <v>1073</v>
      </c>
      <c r="AV343" s="409">
        <v>0.47499999999999998</v>
      </c>
    </row>
    <row r="344" spans="1:48" s="402" customFormat="1" ht="15" customHeight="1">
      <c r="A344" s="278"/>
      <c r="B344" s="279"/>
      <c r="C344" s="279"/>
      <c r="D344" s="374" t="s">
        <v>2804</v>
      </c>
      <c r="E344" s="299" t="s">
        <v>4016</v>
      </c>
      <c r="F344" s="432"/>
      <c r="G344" s="432">
        <v>2022</v>
      </c>
      <c r="H344" s="432"/>
      <c r="I344" s="432" t="s">
        <v>3856</v>
      </c>
      <c r="J344" s="433"/>
      <c r="K344" s="432" t="s">
        <v>4017</v>
      </c>
      <c r="L344" s="432" t="s">
        <v>1250</v>
      </c>
      <c r="M344" s="433">
        <v>44655</v>
      </c>
      <c r="N344" s="433">
        <v>44896</v>
      </c>
      <c r="O344" s="433"/>
      <c r="P344" s="433"/>
      <c r="Q344" s="433"/>
      <c r="R344" s="433"/>
      <c r="S344" s="432" t="s">
        <v>1098</v>
      </c>
      <c r="T344" s="432">
        <v>60</v>
      </c>
      <c r="U344" s="432"/>
      <c r="V344" s="432" t="s">
        <v>973</v>
      </c>
      <c r="W344" s="432">
        <v>400</v>
      </c>
      <c r="X344" s="370">
        <v>768</v>
      </c>
      <c r="Y344" s="408">
        <f t="shared" si="29"/>
        <v>307200</v>
      </c>
      <c r="Z344" s="409">
        <v>0.55000000000000004</v>
      </c>
      <c r="AA344" s="410">
        <f t="shared" si="28"/>
        <v>168960</v>
      </c>
      <c r="AB344" s="362"/>
      <c r="AC344" s="412">
        <v>0</v>
      </c>
      <c r="AD344" s="405"/>
      <c r="AE344" s="413"/>
      <c r="AF344" s="424">
        <f t="shared" si="30"/>
        <v>168960</v>
      </c>
      <c r="AG344" s="405" t="s">
        <v>1069</v>
      </c>
      <c r="AH344" s="395"/>
      <c r="AI344" s="405">
        <v>60</v>
      </c>
      <c r="AJ344" s="405" t="s">
        <v>1251</v>
      </c>
      <c r="AK344" s="405" t="s">
        <v>1252</v>
      </c>
      <c r="AL344" s="425" t="s">
        <v>1253</v>
      </c>
      <c r="AM344" s="405" t="s">
        <v>52</v>
      </c>
      <c r="AN344" s="405"/>
      <c r="AO344" s="405"/>
      <c r="AP344" s="405"/>
      <c r="AQ344" s="405" t="s">
        <v>37</v>
      </c>
      <c r="AR344" s="405"/>
      <c r="AS344" s="363" t="s">
        <v>1073</v>
      </c>
      <c r="AT344" s="335"/>
      <c r="AU344" s="363"/>
      <c r="AV344" s="403"/>
    </row>
    <row r="345" spans="1:48" s="402" customFormat="1" ht="15" customHeight="1">
      <c r="A345" s="278"/>
      <c r="B345" s="279"/>
      <c r="C345" s="279"/>
      <c r="D345" s="374" t="s">
        <v>2804</v>
      </c>
      <c r="E345" s="299" t="s">
        <v>4016</v>
      </c>
      <c r="F345" s="432"/>
      <c r="G345" s="432">
        <v>2022</v>
      </c>
      <c r="H345" s="432"/>
      <c r="I345" s="432" t="s">
        <v>3856</v>
      </c>
      <c r="J345" s="433"/>
      <c r="K345" s="432" t="s">
        <v>4018</v>
      </c>
      <c r="L345" s="432" t="s">
        <v>1250</v>
      </c>
      <c r="M345" s="433">
        <v>44655</v>
      </c>
      <c r="N345" s="433">
        <v>44866</v>
      </c>
      <c r="O345" s="433"/>
      <c r="P345" s="433"/>
      <c r="Q345" s="433"/>
      <c r="R345" s="433"/>
      <c r="S345" s="432" t="s">
        <v>1098</v>
      </c>
      <c r="T345" s="432">
        <v>60</v>
      </c>
      <c r="U345" s="432"/>
      <c r="V345" s="432" t="s">
        <v>973</v>
      </c>
      <c r="W345" s="432">
        <v>400</v>
      </c>
      <c r="X345" s="370">
        <v>768</v>
      </c>
      <c r="Y345" s="408">
        <f t="shared" si="29"/>
        <v>307200</v>
      </c>
      <c r="Z345" s="409">
        <v>0.55000000000000004</v>
      </c>
      <c r="AA345" s="410">
        <f t="shared" si="28"/>
        <v>168960</v>
      </c>
      <c r="AB345" s="362"/>
      <c r="AC345" s="412">
        <v>0</v>
      </c>
      <c r="AD345" s="405"/>
      <c r="AE345" s="413"/>
      <c r="AF345" s="424">
        <f t="shared" si="30"/>
        <v>168960</v>
      </c>
      <c r="AG345" s="405" t="s">
        <v>1069</v>
      </c>
      <c r="AH345" s="395"/>
      <c r="AI345" s="405">
        <v>60</v>
      </c>
      <c r="AJ345" s="405" t="s">
        <v>1251</v>
      </c>
      <c r="AK345" s="405" t="s">
        <v>1252</v>
      </c>
      <c r="AL345" s="425" t="s">
        <v>1253</v>
      </c>
      <c r="AM345" s="405" t="s">
        <v>52</v>
      </c>
      <c r="AN345" s="405"/>
      <c r="AO345" s="405"/>
      <c r="AP345" s="405"/>
      <c r="AQ345" s="405" t="s">
        <v>37</v>
      </c>
      <c r="AR345" s="405"/>
      <c r="AS345" s="363" t="s">
        <v>1073</v>
      </c>
      <c r="AT345" s="335"/>
      <c r="AU345" s="363"/>
      <c r="AV345" s="403"/>
    </row>
    <row r="346" spans="1:48" s="402" customFormat="1" ht="15" customHeight="1">
      <c r="A346" s="278"/>
      <c r="B346" s="279"/>
      <c r="C346" s="279"/>
      <c r="D346" s="374" t="s">
        <v>2804</v>
      </c>
      <c r="E346" s="299" t="s">
        <v>4016</v>
      </c>
      <c r="F346" s="432"/>
      <c r="G346" s="432">
        <v>2022</v>
      </c>
      <c r="H346" s="432"/>
      <c r="I346" s="432" t="s">
        <v>3856</v>
      </c>
      <c r="J346" s="433"/>
      <c r="K346" s="432" t="s">
        <v>4019</v>
      </c>
      <c r="L346" s="432" t="s">
        <v>1250</v>
      </c>
      <c r="M346" s="433">
        <v>44655</v>
      </c>
      <c r="N346" s="433">
        <v>44835</v>
      </c>
      <c r="O346" s="433"/>
      <c r="P346" s="433"/>
      <c r="Q346" s="433"/>
      <c r="R346" s="433"/>
      <c r="S346" s="432" t="s">
        <v>1098</v>
      </c>
      <c r="T346" s="432">
        <v>60</v>
      </c>
      <c r="U346" s="432"/>
      <c r="V346" s="432" t="s">
        <v>973</v>
      </c>
      <c r="W346" s="432">
        <v>400</v>
      </c>
      <c r="X346" s="370">
        <v>768</v>
      </c>
      <c r="Y346" s="408">
        <f t="shared" si="29"/>
        <v>307200</v>
      </c>
      <c r="Z346" s="409">
        <v>0.55000000000000004</v>
      </c>
      <c r="AA346" s="410">
        <f t="shared" si="28"/>
        <v>168960</v>
      </c>
      <c r="AB346" s="362"/>
      <c r="AC346" s="412">
        <v>0</v>
      </c>
      <c r="AD346" s="405"/>
      <c r="AE346" s="413"/>
      <c r="AF346" s="424">
        <f t="shared" si="30"/>
        <v>168960</v>
      </c>
      <c r="AG346" s="405" t="s">
        <v>1069</v>
      </c>
      <c r="AH346" s="395"/>
      <c r="AI346" s="405">
        <v>60</v>
      </c>
      <c r="AJ346" s="405" t="s">
        <v>1251</v>
      </c>
      <c r="AK346" s="405" t="s">
        <v>1252</v>
      </c>
      <c r="AL346" s="425" t="s">
        <v>1253</v>
      </c>
      <c r="AM346" s="405" t="s">
        <v>52</v>
      </c>
      <c r="AN346" s="405"/>
      <c r="AO346" s="405"/>
      <c r="AP346" s="405"/>
      <c r="AQ346" s="405" t="s">
        <v>37</v>
      </c>
      <c r="AR346" s="405"/>
      <c r="AS346" s="363" t="s">
        <v>1073</v>
      </c>
      <c r="AT346" s="335"/>
      <c r="AU346" s="363"/>
      <c r="AV346" s="403"/>
    </row>
    <row r="347" spans="1:48" s="402" customFormat="1" ht="15" customHeight="1">
      <c r="A347" s="278"/>
      <c r="B347" s="279"/>
      <c r="C347" s="279"/>
      <c r="D347" s="374" t="s">
        <v>2804</v>
      </c>
      <c r="E347" s="299" t="s">
        <v>4016</v>
      </c>
      <c r="F347" s="432"/>
      <c r="G347" s="432">
        <v>2022</v>
      </c>
      <c r="H347" s="432"/>
      <c r="I347" s="432" t="s">
        <v>3856</v>
      </c>
      <c r="J347" s="433"/>
      <c r="K347" s="432" t="s">
        <v>4020</v>
      </c>
      <c r="L347" s="432" t="s">
        <v>1250</v>
      </c>
      <c r="M347" s="433">
        <v>44655</v>
      </c>
      <c r="N347" s="433">
        <v>44805</v>
      </c>
      <c r="O347" s="433"/>
      <c r="P347" s="433"/>
      <c r="Q347" s="433"/>
      <c r="R347" s="433"/>
      <c r="S347" s="432" t="s">
        <v>1098</v>
      </c>
      <c r="T347" s="432">
        <v>60</v>
      </c>
      <c r="U347" s="432"/>
      <c r="V347" s="432" t="s">
        <v>973</v>
      </c>
      <c r="W347" s="432">
        <v>400</v>
      </c>
      <c r="X347" s="370">
        <v>768</v>
      </c>
      <c r="Y347" s="408">
        <f t="shared" si="29"/>
        <v>307200</v>
      </c>
      <c r="Z347" s="409">
        <v>0.55000000000000004</v>
      </c>
      <c r="AA347" s="410">
        <f t="shared" si="28"/>
        <v>168960</v>
      </c>
      <c r="AB347" s="362"/>
      <c r="AC347" s="412">
        <v>0</v>
      </c>
      <c r="AD347" s="405"/>
      <c r="AE347" s="413"/>
      <c r="AF347" s="424">
        <f t="shared" si="30"/>
        <v>168960</v>
      </c>
      <c r="AG347" s="405" t="s">
        <v>1069</v>
      </c>
      <c r="AH347" s="395"/>
      <c r="AI347" s="405">
        <v>60</v>
      </c>
      <c r="AJ347" s="405" t="s">
        <v>1251</v>
      </c>
      <c r="AK347" s="405" t="s">
        <v>1252</v>
      </c>
      <c r="AL347" s="425" t="s">
        <v>1253</v>
      </c>
      <c r="AM347" s="405" t="s">
        <v>52</v>
      </c>
      <c r="AN347" s="405"/>
      <c r="AO347" s="405"/>
      <c r="AP347" s="405"/>
      <c r="AQ347" s="405" t="s">
        <v>37</v>
      </c>
      <c r="AR347" s="405"/>
      <c r="AS347" s="363" t="s">
        <v>1073</v>
      </c>
      <c r="AT347" s="363"/>
      <c r="AU347" s="363"/>
      <c r="AV347" s="403"/>
    </row>
    <row r="348" spans="1:48" s="402" customFormat="1" ht="15" customHeight="1">
      <c r="A348" s="278"/>
      <c r="B348" s="279"/>
      <c r="C348" s="279"/>
      <c r="D348" s="374" t="s">
        <v>2804</v>
      </c>
      <c r="E348" s="299" t="s">
        <v>4016</v>
      </c>
      <c r="F348" s="432"/>
      <c r="G348" s="432">
        <v>2022</v>
      </c>
      <c r="H348" s="432"/>
      <c r="I348" s="432" t="s">
        <v>3856</v>
      </c>
      <c r="J348" s="433"/>
      <c r="K348" s="432" t="s">
        <v>4021</v>
      </c>
      <c r="L348" s="432" t="s">
        <v>1250</v>
      </c>
      <c r="M348" s="433">
        <v>44655</v>
      </c>
      <c r="N348" s="433">
        <v>44774</v>
      </c>
      <c r="O348" s="433"/>
      <c r="P348" s="433"/>
      <c r="Q348" s="433"/>
      <c r="R348" s="433"/>
      <c r="S348" s="432" t="s">
        <v>1098</v>
      </c>
      <c r="T348" s="432">
        <v>60</v>
      </c>
      <c r="U348" s="432"/>
      <c r="V348" s="432" t="s">
        <v>973</v>
      </c>
      <c r="W348" s="432">
        <v>400</v>
      </c>
      <c r="X348" s="370">
        <v>768</v>
      </c>
      <c r="Y348" s="408">
        <f t="shared" si="29"/>
        <v>307200</v>
      </c>
      <c r="Z348" s="409">
        <v>0.55000000000000004</v>
      </c>
      <c r="AA348" s="410">
        <f t="shared" si="28"/>
        <v>168960</v>
      </c>
      <c r="AB348" s="362"/>
      <c r="AC348" s="412">
        <v>0</v>
      </c>
      <c r="AD348" s="405"/>
      <c r="AE348" s="413"/>
      <c r="AF348" s="424">
        <f t="shared" si="30"/>
        <v>168960</v>
      </c>
      <c r="AG348" s="405" t="s">
        <v>1069</v>
      </c>
      <c r="AH348" s="395"/>
      <c r="AI348" s="405">
        <v>60</v>
      </c>
      <c r="AJ348" s="405" t="s">
        <v>1251</v>
      </c>
      <c r="AK348" s="405" t="s">
        <v>1252</v>
      </c>
      <c r="AL348" s="425" t="s">
        <v>1253</v>
      </c>
      <c r="AM348" s="405" t="s">
        <v>52</v>
      </c>
      <c r="AN348" s="405"/>
      <c r="AO348" s="405"/>
      <c r="AP348" s="405"/>
      <c r="AQ348" s="405" t="s">
        <v>37</v>
      </c>
      <c r="AR348" s="405"/>
      <c r="AS348" s="363" t="s">
        <v>1073</v>
      </c>
      <c r="AT348" s="363"/>
      <c r="AU348" s="363"/>
      <c r="AV348" s="403"/>
    </row>
    <row r="349" spans="1:48" s="402" customFormat="1" ht="15" customHeight="1">
      <c r="A349" s="278"/>
      <c r="B349" s="279">
        <v>44572</v>
      </c>
      <c r="C349" s="279" t="s">
        <v>1186</v>
      </c>
      <c r="D349" s="374" t="s">
        <v>2804</v>
      </c>
      <c r="E349" s="299" t="s">
        <v>4022</v>
      </c>
      <c r="F349" s="432"/>
      <c r="G349" s="432">
        <v>2022</v>
      </c>
      <c r="H349" s="432"/>
      <c r="I349" s="432" t="s">
        <v>3856</v>
      </c>
      <c r="J349" s="433"/>
      <c r="K349" s="432" t="s">
        <v>4023</v>
      </c>
      <c r="L349" s="432" t="s">
        <v>1250</v>
      </c>
      <c r="M349" s="433">
        <v>44572</v>
      </c>
      <c r="N349" s="433">
        <v>44682</v>
      </c>
      <c r="O349" s="433"/>
      <c r="P349" s="433"/>
      <c r="Q349" s="433"/>
      <c r="R349" s="433"/>
      <c r="S349" s="432" t="s">
        <v>1098</v>
      </c>
      <c r="T349" s="432">
        <v>60</v>
      </c>
      <c r="U349" s="432"/>
      <c r="V349" s="432" t="s">
        <v>973</v>
      </c>
      <c r="W349" s="432">
        <v>400</v>
      </c>
      <c r="X349" s="370">
        <v>768</v>
      </c>
      <c r="Y349" s="408">
        <f t="shared" si="29"/>
        <v>307200</v>
      </c>
      <c r="Z349" s="409">
        <v>0.55000000000000004</v>
      </c>
      <c r="AA349" s="410">
        <f t="shared" si="28"/>
        <v>168960</v>
      </c>
      <c r="AB349" s="362"/>
      <c r="AC349" s="412">
        <v>0</v>
      </c>
      <c r="AD349" s="405"/>
      <c r="AE349" s="413"/>
      <c r="AF349" s="424">
        <f t="shared" si="30"/>
        <v>168960</v>
      </c>
      <c r="AG349" s="405" t="s">
        <v>1069</v>
      </c>
      <c r="AH349" s="395"/>
      <c r="AI349" s="405">
        <v>60</v>
      </c>
      <c r="AJ349" s="405" t="s">
        <v>1251</v>
      </c>
      <c r="AK349" s="405" t="s">
        <v>1252</v>
      </c>
      <c r="AL349" s="425" t="s">
        <v>1253</v>
      </c>
      <c r="AM349" s="405" t="s">
        <v>52</v>
      </c>
      <c r="AN349" s="405"/>
      <c r="AO349" s="405"/>
      <c r="AP349" s="405"/>
      <c r="AQ349" s="405" t="s">
        <v>37</v>
      </c>
      <c r="AR349" s="405"/>
      <c r="AS349" s="363" t="s">
        <v>1073</v>
      </c>
      <c r="AT349" s="363"/>
      <c r="AU349" s="363"/>
      <c r="AV349" s="403"/>
    </row>
    <row r="350" spans="1:48" s="402" customFormat="1" ht="15" customHeight="1">
      <c r="A350" s="278"/>
      <c r="B350" s="279">
        <v>44572</v>
      </c>
      <c r="C350" s="279" t="s">
        <v>1186</v>
      </c>
      <c r="D350" s="374" t="s">
        <v>2804</v>
      </c>
      <c r="E350" s="299" t="s">
        <v>4024</v>
      </c>
      <c r="F350" s="432"/>
      <c r="G350" s="432">
        <v>2022</v>
      </c>
      <c r="H350" s="432"/>
      <c r="I350" s="344" t="s">
        <v>3856</v>
      </c>
      <c r="J350" s="352"/>
      <c r="K350" s="344" t="s">
        <v>4025</v>
      </c>
      <c r="L350" s="344" t="s">
        <v>1250</v>
      </c>
      <c r="M350" s="433">
        <v>44572</v>
      </c>
      <c r="N350" s="433">
        <v>44572</v>
      </c>
      <c r="O350" s="433"/>
      <c r="P350" s="433"/>
      <c r="Q350" s="433"/>
      <c r="R350" s="433"/>
      <c r="S350" s="432" t="s">
        <v>1098</v>
      </c>
      <c r="T350" s="432">
        <v>60</v>
      </c>
      <c r="U350" s="432"/>
      <c r="V350" s="432" t="s">
        <v>973</v>
      </c>
      <c r="W350" s="432">
        <v>400</v>
      </c>
      <c r="X350" s="370">
        <v>768</v>
      </c>
      <c r="Y350" s="408">
        <f t="shared" si="29"/>
        <v>307200</v>
      </c>
      <c r="Z350" s="409">
        <v>0.55000000000000004</v>
      </c>
      <c r="AA350" s="410">
        <f t="shared" si="28"/>
        <v>168960</v>
      </c>
      <c r="AB350" s="362"/>
      <c r="AC350" s="412">
        <v>0</v>
      </c>
      <c r="AD350" s="405"/>
      <c r="AE350" s="413"/>
      <c r="AF350" s="424">
        <f t="shared" si="30"/>
        <v>168960</v>
      </c>
      <c r="AG350" s="405" t="s">
        <v>1069</v>
      </c>
      <c r="AH350" s="395"/>
      <c r="AI350" s="405">
        <v>60</v>
      </c>
      <c r="AJ350" s="405" t="s">
        <v>1251</v>
      </c>
      <c r="AK350" s="405" t="s">
        <v>1252</v>
      </c>
      <c r="AL350" s="425" t="s">
        <v>1253</v>
      </c>
      <c r="AM350" s="405" t="s">
        <v>52</v>
      </c>
      <c r="AN350" s="405"/>
      <c r="AO350" s="405"/>
      <c r="AP350" s="405"/>
      <c r="AQ350" s="405" t="s">
        <v>37</v>
      </c>
      <c r="AR350" s="405"/>
      <c r="AS350" s="363" t="s">
        <v>1073</v>
      </c>
      <c r="AT350" s="363"/>
      <c r="AU350" s="363"/>
      <c r="AV350" s="403"/>
    </row>
    <row r="351" spans="1:48" s="402" customFormat="1" ht="15" customHeight="1">
      <c r="A351" s="278"/>
      <c r="B351" s="279"/>
      <c r="C351" s="279"/>
      <c r="D351" s="374" t="s">
        <v>2804</v>
      </c>
      <c r="E351" s="299" t="s">
        <v>4508</v>
      </c>
      <c r="F351" s="432"/>
      <c r="G351" s="432">
        <v>2022</v>
      </c>
      <c r="H351" s="432"/>
      <c r="I351" s="432" t="s">
        <v>3856</v>
      </c>
      <c r="J351" s="433"/>
      <c r="K351" s="432" t="s">
        <v>4509</v>
      </c>
      <c r="L351" s="432" t="s">
        <v>4510</v>
      </c>
      <c r="M351" s="433">
        <v>44634</v>
      </c>
      <c r="N351" s="433">
        <v>44634</v>
      </c>
      <c r="O351" s="433"/>
      <c r="P351" s="433"/>
      <c r="Q351" s="433"/>
      <c r="R351" s="433"/>
      <c r="S351" s="432" t="s">
        <v>1098</v>
      </c>
      <c r="T351" s="432">
        <v>60</v>
      </c>
      <c r="U351" s="432"/>
      <c r="V351" s="432" t="s">
        <v>973</v>
      </c>
      <c r="W351" s="432">
        <v>400</v>
      </c>
      <c r="X351" s="370">
        <v>768</v>
      </c>
      <c r="Y351" s="408">
        <f t="shared" si="29"/>
        <v>307200</v>
      </c>
      <c r="Z351" s="409">
        <v>0.56999999999999995</v>
      </c>
      <c r="AA351" s="410">
        <f t="shared" si="28"/>
        <v>175103.99999999997</v>
      </c>
      <c r="AB351" s="362"/>
      <c r="AC351" s="412">
        <v>0</v>
      </c>
      <c r="AD351" s="405"/>
      <c r="AE351" s="413"/>
      <c r="AF351" s="424">
        <f t="shared" si="30"/>
        <v>175103.99999999997</v>
      </c>
      <c r="AG351" s="405" t="s">
        <v>47</v>
      </c>
      <c r="AH351" s="395"/>
      <c r="AI351" s="405">
        <v>60</v>
      </c>
      <c r="AJ351" s="405" t="s">
        <v>1374</v>
      </c>
      <c r="AK351" s="405" t="s">
        <v>1130</v>
      </c>
      <c r="AL351" s="425">
        <v>12065</v>
      </c>
      <c r="AM351" s="405" t="s">
        <v>52</v>
      </c>
      <c r="AN351" s="405"/>
      <c r="AO351" s="405"/>
      <c r="AP351" s="405"/>
      <c r="AQ351" s="405" t="s">
        <v>37</v>
      </c>
      <c r="AR351" s="405"/>
      <c r="AS351" s="363" t="s">
        <v>1073</v>
      </c>
      <c r="AT351" s="363"/>
      <c r="AU351" s="363"/>
      <c r="AV351" s="403"/>
    </row>
    <row r="352" spans="1:48" s="402" customFormat="1" ht="15" customHeight="1">
      <c r="A352" s="278"/>
      <c r="B352" s="279"/>
      <c r="C352" s="279"/>
      <c r="D352" s="374" t="s">
        <v>2804</v>
      </c>
      <c r="E352" s="299" t="s">
        <v>4508</v>
      </c>
      <c r="F352" s="432"/>
      <c r="G352" s="432">
        <v>2022</v>
      </c>
      <c r="H352" s="432"/>
      <c r="I352" s="432" t="s">
        <v>3856</v>
      </c>
      <c r="J352" s="433"/>
      <c r="K352" s="432" t="s">
        <v>4511</v>
      </c>
      <c r="L352" s="432" t="s">
        <v>4510</v>
      </c>
      <c r="M352" s="433">
        <v>44634</v>
      </c>
      <c r="N352" s="433">
        <v>44634</v>
      </c>
      <c r="O352" s="433"/>
      <c r="P352" s="433"/>
      <c r="Q352" s="433"/>
      <c r="R352" s="433"/>
      <c r="S352" s="432" t="s">
        <v>1098</v>
      </c>
      <c r="T352" s="432">
        <v>60</v>
      </c>
      <c r="U352" s="432"/>
      <c r="V352" s="432" t="s">
        <v>973</v>
      </c>
      <c r="W352" s="432">
        <v>400</v>
      </c>
      <c r="X352" s="370">
        <v>768</v>
      </c>
      <c r="Y352" s="408">
        <f t="shared" si="29"/>
        <v>307200</v>
      </c>
      <c r="Z352" s="409">
        <v>0.56999999999999995</v>
      </c>
      <c r="AA352" s="410">
        <f t="shared" si="28"/>
        <v>175103.99999999997</v>
      </c>
      <c r="AB352" s="362"/>
      <c r="AC352" s="412">
        <v>0</v>
      </c>
      <c r="AD352" s="405"/>
      <c r="AE352" s="413"/>
      <c r="AF352" s="424">
        <f t="shared" si="30"/>
        <v>175103.99999999997</v>
      </c>
      <c r="AG352" s="405" t="s">
        <v>47</v>
      </c>
      <c r="AH352" s="395"/>
      <c r="AI352" s="405">
        <v>60</v>
      </c>
      <c r="AJ352" s="405" t="s">
        <v>1374</v>
      </c>
      <c r="AK352" s="405" t="s">
        <v>1130</v>
      </c>
      <c r="AL352" s="425">
        <v>12065</v>
      </c>
      <c r="AM352" s="405" t="s">
        <v>52</v>
      </c>
      <c r="AN352" s="405"/>
      <c r="AO352" s="405"/>
      <c r="AP352" s="405"/>
      <c r="AQ352" s="405" t="s">
        <v>37</v>
      </c>
      <c r="AR352" s="405"/>
      <c r="AS352" s="363" t="s">
        <v>1073</v>
      </c>
      <c r="AT352" s="363"/>
      <c r="AU352" s="363"/>
      <c r="AV352" s="403"/>
    </row>
    <row r="353" spans="1:48" s="402" customFormat="1" ht="15" customHeight="1">
      <c r="A353" s="278"/>
      <c r="B353" s="279"/>
      <c r="C353" s="279"/>
      <c r="D353" s="374" t="s">
        <v>2804</v>
      </c>
      <c r="E353" s="299" t="s">
        <v>4508</v>
      </c>
      <c r="F353" s="432"/>
      <c r="G353" s="432">
        <v>2022</v>
      </c>
      <c r="H353" s="432"/>
      <c r="I353" s="432" t="s">
        <v>3856</v>
      </c>
      <c r="J353" s="433"/>
      <c r="K353" s="432" t="s">
        <v>4512</v>
      </c>
      <c r="L353" s="432" t="s">
        <v>4510</v>
      </c>
      <c r="M353" s="433">
        <v>44679</v>
      </c>
      <c r="N353" s="433">
        <v>44679</v>
      </c>
      <c r="O353" s="433"/>
      <c r="P353" s="433"/>
      <c r="Q353" s="433"/>
      <c r="R353" s="433"/>
      <c r="S353" s="432" t="s">
        <v>1098</v>
      </c>
      <c r="T353" s="432">
        <v>60</v>
      </c>
      <c r="U353" s="432"/>
      <c r="V353" s="432" t="s">
        <v>986</v>
      </c>
      <c r="W353" s="432">
        <v>360</v>
      </c>
      <c r="X353" s="370">
        <v>896</v>
      </c>
      <c r="Y353" s="408">
        <f t="shared" si="29"/>
        <v>322560</v>
      </c>
      <c r="Z353" s="409">
        <v>0.63</v>
      </c>
      <c r="AA353" s="410">
        <f t="shared" si="28"/>
        <v>203212.79999999999</v>
      </c>
      <c r="AB353" s="362"/>
      <c r="AC353" s="412">
        <v>0</v>
      </c>
      <c r="AD353" s="405"/>
      <c r="AE353" s="413"/>
      <c r="AF353" s="424">
        <f t="shared" si="30"/>
        <v>203212.79999999999</v>
      </c>
      <c r="AG353" s="405" t="s">
        <v>47</v>
      </c>
      <c r="AH353" s="395"/>
      <c r="AI353" s="405">
        <v>60</v>
      </c>
      <c r="AJ353" s="405" t="s">
        <v>1374</v>
      </c>
      <c r="AK353" s="405" t="s">
        <v>1130</v>
      </c>
      <c r="AL353" s="425">
        <v>12065</v>
      </c>
      <c r="AM353" s="405" t="s">
        <v>52</v>
      </c>
      <c r="AN353" s="405"/>
      <c r="AO353" s="405"/>
      <c r="AP353" s="405"/>
      <c r="AQ353" s="405" t="s">
        <v>37</v>
      </c>
      <c r="AR353" s="405"/>
      <c r="AS353" s="363" t="s">
        <v>1073</v>
      </c>
      <c r="AT353" s="363"/>
      <c r="AU353" s="363"/>
      <c r="AV353" s="403"/>
    </row>
    <row r="354" spans="1:48" s="402" customFormat="1" ht="15" customHeight="1" thickBot="1">
      <c r="A354" s="278"/>
      <c r="B354" s="279"/>
      <c r="C354" s="279"/>
      <c r="D354" s="374" t="s">
        <v>2804</v>
      </c>
      <c r="E354" s="299" t="s">
        <v>4508</v>
      </c>
      <c r="F354" s="432"/>
      <c r="G354" s="432">
        <v>2022</v>
      </c>
      <c r="H354" s="432"/>
      <c r="I354" s="344" t="s">
        <v>3856</v>
      </c>
      <c r="J354" s="352"/>
      <c r="K354" s="344" t="s">
        <v>4513</v>
      </c>
      <c r="L354" s="432" t="s">
        <v>4510</v>
      </c>
      <c r="M354" s="433">
        <v>44679</v>
      </c>
      <c r="N354" s="433">
        <v>44679</v>
      </c>
      <c r="O354" s="433"/>
      <c r="P354" s="433"/>
      <c r="Q354" s="433"/>
      <c r="R354" s="433"/>
      <c r="S354" s="432" t="s">
        <v>1098</v>
      </c>
      <c r="T354" s="432">
        <v>60</v>
      </c>
      <c r="U354" s="432"/>
      <c r="V354" s="432" t="s">
        <v>973</v>
      </c>
      <c r="W354" s="432">
        <v>400</v>
      </c>
      <c r="X354" s="370">
        <v>768</v>
      </c>
      <c r="Y354" s="408">
        <f t="shared" si="29"/>
        <v>307200</v>
      </c>
      <c r="Z354" s="409">
        <v>0.65</v>
      </c>
      <c r="AA354" s="410">
        <f t="shared" si="28"/>
        <v>199680</v>
      </c>
      <c r="AB354" s="362"/>
      <c r="AC354" s="412">
        <v>0</v>
      </c>
      <c r="AD354" s="405"/>
      <c r="AE354" s="413"/>
      <c r="AF354" s="424">
        <f t="shared" si="30"/>
        <v>199680</v>
      </c>
      <c r="AG354" s="405" t="s">
        <v>47</v>
      </c>
      <c r="AH354" s="395"/>
      <c r="AI354" s="405">
        <v>60</v>
      </c>
      <c r="AJ354" s="405" t="s">
        <v>1374</v>
      </c>
      <c r="AK354" s="405" t="s">
        <v>1130</v>
      </c>
      <c r="AL354" s="425">
        <v>12065</v>
      </c>
      <c r="AM354" s="405" t="s">
        <v>52</v>
      </c>
      <c r="AN354" s="405"/>
      <c r="AO354" s="405"/>
      <c r="AP354" s="405"/>
      <c r="AQ354" s="405" t="s">
        <v>37</v>
      </c>
      <c r="AR354" s="405"/>
      <c r="AS354" s="363" t="s">
        <v>1073</v>
      </c>
      <c r="AT354" s="363"/>
      <c r="AU354" s="363"/>
      <c r="AV354" s="403"/>
    </row>
    <row r="355" spans="1:48" s="402" customFormat="1" ht="15" customHeight="1">
      <c r="A355" s="278"/>
      <c r="B355" s="279"/>
      <c r="C355" s="279"/>
      <c r="D355" s="374" t="s">
        <v>2804</v>
      </c>
      <c r="E355" s="299" t="s">
        <v>4325</v>
      </c>
      <c r="F355" s="432"/>
      <c r="G355" s="432">
        <v>2022</v>
      </c>
      <c r="H355" s="471">
        <v>9</v>
      </c>
      <c r="I355" s="492" t="s">
        <v>3856</v>
      </c>
      <c r="J355" s="493"/>
      <c r="K355" s="494" t="s">
        <v>3976</v>
      </c>
      <c r="L355" s="495" t="s">
        <v>1308</v>
      </c>
      <c r="M355" s="477">
        <v>44645</v>
      </c>
      <c r="N355" s="433">
        <v>44805</v>
      </c>
      <c r="O355" s="433"/>
      <c r="P355" s="433"/>
      <c r="Q355" s="433"/>
      <c r="R355" s="433"/>
      <c r="S355" s="432" t="s">
        <v>1098</v>
      </c>
      <c r="T355" s="432">
        <v>60</v>
      </c>
      <c r="U355" s="432"/>
      <c r="V355" s="432" t="s">
        <v>986</v>
      </c>
      <c r="W355" s="432">
        <v>360</v>
      </c>
      <c r="X355" s="370">
        <v>1792</v>
      </c>
      <c r="Y355" s="408">
        <f t="shared" si="29"/>
        <v>645120</v>
      </c>
      <c r="Z355" s="409">
        <v>0.53</v>
      </c>
      <c r="AA355" s="410">
        <f t="shared" si="28"/>
        <v>341913.60000000003</v>
      </c>
      <c r="AB355" s="362"/>
      <c r="AC355" s="412">
        <v>0</v>
      </c>
      <c r="AD355" s="405"/>
      <c r="AE355" s="413"/>
      <c r="AF355" s="424">
        <f t="shared" si="30"/>
        <v>341913.60000000003</v>
      </c>
      <c r="AG355" s="405" t="s">
        <v>1069</v>
      </c>
      <c r="AH355" s="395"/>
      <c r="AI355" s="405">
        <v>60</v>
      </c>
      <c r="AJ355" s="405" t="s">
        <v>1291</v>
      </c>
      <c r="AK355" s="405" t="s">
        <v>1292</v>
      </c>
      <c r="AL355" s="425">
        <v>18360</v>
      </c>
      <c r="AM355" s="405" t="s">
        <v>52</v>
      </c>
      <c r="AN355" s="405"/>
      <c r="AO355" s="405"/>
      <c r="AP355" s="405"/>
      <c r="AQ355" s="405" t="s">
        <v>37</v>
      </c>
      <c r="AR355" s="405"/>
      <c r="AS355" s="363" t="s">
        <v>1073</v>
      </c>
      <c r="AT355" s="363"/>
      <c r="AU355" s="363"/>
      <c r="AV355" s="403"/>
    </row>
    <row r="356" spans="1:48" s="402" customFormat="1" ht="15" customHeight="1">
      <c r="A356" s="278"/>
      <c r="B356" s="279"/>
      <c r="C356" s="279"/>
      <c r="D356" s="374" t="s">
        <v>2804</v>
      </c>
      <c r="E356" s="299" t="s">
        <v>4325</v>
      </c>
      <c r="F356" s="432"/>
      <c r="G356" s="432">
        <v>2022</v>
      </c>
      <c r="H356" s="471">
        <v>10</v>
      </c>
      <c r="I356" s="478" t="s">
        <v>3856</v>
      </c>
      <c r="J356" s="433"/>
      <c r="K356" s="432" t="s">
        <v>3975</v>
      </c>
      <c r="L356" s="479" t="s">
        <v>1308</v>
      </c>
      <c r="M356" s="477">
        <v>44645</v>
      </c>
      <c r="N356" s="433">
        <v>44835</v>
      </c>
      <c r="O356" s="433"/>
      <c r="P356" s="433"/>
      <c r="Q356" s="433"/>
      <c r="R356" s="433"/>
      <c r="S356" s="432" t="s">
        <v>1098</v>
      </c>
      <c r="T356" s="432">
        <v>60</v>
      </c>
      <c r="U356" s="432"/>
      <c r="V356" s="432" t="s">
        <v>986</v>
      </c>
      <c r="W356" s="432">
        <v>360</v>
      </c>
      <c r="X356" s="370">
        <v>1792</v>
      </c>
      <c r="Y356" s="408">
        <f t="shared" si="29"/>
        <v>645120</v>
      </c>
      <c r="Z356" s="409">
        <v>0.53</v>
      </c>
      <c r="AA356" s="410">
        <f t="shared" si="28"/>
        <v>341913.60000000003</v>
      </c>
      <c r="AB356" s="362"/>
      <c r="AC356" s="412">
        <v>0</v>
      </c>
      <c r="AD356" s="405"/>
      <c r="AE356" s="413"/>
      <c r="AF356" s="424">
        <f t="shared" si="30"/>
        <v>341913.60000000003</v>
      </c>
      <c r="AG356" s="405" t="s">
        <v>1069</v>
      </c>
      <c r="AH356" s="395"/>
      <c r="AI356" s="405">
        <v>60</v>
      </c>
      <c r="AJ356" s="405" t="s">
        <v>1291</v>
      </c>
      <c r="AK356" s="405" t="s">
        <v>1292</v>
      </c>
      <c r="AL356" s="425">
        <v>18360</v>
      </c>
      <c r="AM356" s="405" t="s">
        <v>52</v>
      </c>
      <c r="AN356" s="405"/>
      <c r="AO356" s="405"/>
      <c r="AP356" s="405"/>
      <c r="AQ356" s="405" t="s">
        <v>37</v>
      </c>
      <c r="AR356" s="405"/>
      <c r="AS356" s="363" t="s">
        <v>1073</v>
      </c>
      <c r="AT356" s="363"/>
      <c r="AU356" s="363"/>
      <c r="AV356" s="403"/>
    </row>
    <row r="357" spans="1:48" s="402" customFormat="1" ht="15" customHeight="1">
      <c r="A357" s="278"/>
      <c r="B357" s="279"/>
      <c r="C357" s="279"/>
      <c r="D357" s="374" t="s">
        <v>2804</v>
      </c>
      <c r="E357" s="299" t="s">
        <v>4325</v>
      </c>
      <c r="F357" s="432"/>
      <c r="G357" s="432">
        <v>2022</v>
      </c>
      <c r="H357" s="471">
        <v>8</v>
      </c>
      <c r="I357" s="478" t="s">
        <v>3856</v>
      </c>
      <c r="J357" s="433"/>
      <c r="K357" s="432" t="s">
        <v>4327</v>
      </c>
      <c r="L357" s="479" t="s">
        <v>1288</v>
      </c>
      <c r="M357" s="477">
        <v>44648</v>
      </c>
      <c r="N357" s="433">
        <v>44774</v>
      </c>
      <c r="O357" s="433"/>
      <c r="P357" s="433"/>
      <c r="Q357" s="433"/>
      <c r="R357" s="433"/>
      <c r="S357" s="432" t="s">
        <v>1098</v>
      </c>
      <c r="T357" s="432">
        <v>60</v>
      </c>
      <c r="U357" s="432"/>
      <c r="V357" s="432" t="s">
        <v>986</v>
      </c>
      <c r="W357" s="432">
        <v>360</v>
      </c>
      <c r="X357" s="370">
        <v>4992</v>
      </c>
      <c r="Y357" s="408">
        <f t="shared" si="29"/>
        <v>1797120</v>
      </c>
      <c r="Z357" s="409">
        <v>0.53</v>
      </c>
      <c r="AA357" s="410">
        <f t="shared" si="28"/>
        <v>952473.60000000009</v>
      </c>
      <c r="AB357" s="362"/>
      <c r="AC357" s="412">
        <v>0</v>
      </c>
      <c r="AD357" s="405"/>
      <c r="AE357" s="413"/>
      <c r="AF357" s="424">
        <f t="shared" si="30"/>
        <v>952473.60000000009</v>
      </c>
      <c r="AG357" s="405" t="s">
        <v>1069</v>
      </c>
      <c r="AH357" s="395"/>
      <c r="AI357" s="405">
        <v>60</v>
      </c>
      <c r="AJ357" s="405" t="s">
        <v>1289</v>
      </c>
      <c r="AK357" s="405" t="s">
        <v>1082</v>
      </c>
      <c r="AL357" s="425">
        <v>8110</v>
      </c>
      <c r="AM357" s="405" t="s">
        <v>52</v>
      </c>
      <c r="AN357" s="405"/>
      <c r="AO357" s="405"/>
      <c r="AP357" s="405"/>
      <c r="AQ357" s="405" t="s">
        <v>37</v>
      </c>
      <c r="AR357" s="405"/>
      <c r="AS357" s="363" t="s">
        <v>1073</v>
      </c>
      <c r="AT357" s="363"/>
      <c r="AU357" s="363"/>
      <c r="AV357" s="403"/>
    </row>
    <row r="358" spans="1:48" s="402" customFormat="1" ht="15" customHeight="1">
      <c r="A358" s="278"/>
      <c r="B358" s="279"/>
      <c r="C358" s="279"/>
      <c r="D358" s="374" t="s">
        <v>2804</v>
      </c>
      <c r="E358" s="299" t="s">
        <v>4325</v>
      </c>
      <c r="F358" s="432"/>
      <c r="G358" s="432">
        <v>2022</v>
      </c>
      <c r="H358" s="471">
        <v>9</v>
      </c>
      <c r="I358" s="478" t="s">
        <v>3856</v>
      </c>
      <c r="J358" s="433"/>
      <c r="K358" s="432" t="s">
        <v>4328</v>
      </c>
      <c r="L358" s="479" t="s">
        <v>1288</v>
      </c>
      <c r="M358" s="477">
        <v>44648</v>
      </c>
      <c r="N358" s="433">
        <v>44805</v>
      </c>
      <c r="O358" s="433"/>
      <c r="P358" s="433"/>
      <c r="Q358" s="433"/>
      <c r="R358" s="433"/>
      <c r="S358" s="432" t="s">
        <v>1098</v>
      </c>
      <c r="T358" s="432">
        <v>60</v>
      </c>
      <c r="U358" s="432"/>
      <c r="V358" s="432" t="s">
        <v>986</v>
      </c>
      <c r="W358" s="432">
        <v>360</v>
      </c>
      <c r="X358" s="370">
        <v>4992</v>
      </c>
      <c r="Y358" s="408">
        <f t="shared" si="29"/>
        <v>1797120</v>
      </c>
      <c r="Z358" s="409">
        <v>0.53</v>
      </c>
      <c r="AA358" s="410">
        <f t="shared" si="28"/>
        <v>952473.60000000009</v>
      </c>
      <c r="AB358" s="362"/>
      <c r="AC358" s="412">
        <v>0</v>
      </c>
      <c r="AD358" s="405"/>
      <c r="AE358" s="413"/>
      <c r="AF358" s="424">
        <f t="shared" si="30"/>
        <v>952473.60000000009</v>
      </c>
      <c r="AG358" s="405" t="s">
        <v>1069</v>
      </c>
      <c r="AH358" s="395"/>
      <c r="AI358" s="405">
        <v>60</v>
      </c>
      <c r="AJ358" s="405" t="s">
        <v>1289</v>
      </c>
      <c r="AK358" s="405" t="s">
        <v>1082</v>
      </c>
      <c r="AL358" s="425">
        <v>8110</v>
      </c>
      <c r="AM358" s="405" t="s">
        <v>52</v>
      </c>
      <c r="AN358" s="405"/>
      <c r="AO358" s="405"/>
      <c r="AP358" s="405"/>
      <c r="AQ358" s="405" t="s">
        <v>37</v>
      </c>
      <c r="AR358" s="405"/>
      <c r="AS358" s="363" t="s">
        <v>1073</v>
      </c>
      <c r="AT358" s="363"/>
      <c r="AU358" s="363"/>
      <c r="AV358" s="403"/>
    </row>
    <row r="359" spans="1:48" s="402" customFormat="1" ht="15" customHeight="1">
      <c r="A359" s="278"/>
      <c r="B359" s="279"/>
      <c r="C359" s="279"/>
      <c r="D359" s="374" t="s">
        <v>2804</v>
      </c>
      <c r="E359" s="299" t="s">
        <v>4325</v>
      </c>
      <c r="F359" s="432"/>
      <c r="G359" s="432">
        <v>2022</v>
      </c>
      <c r="H359" s="471">
        <v>7</v>
      </c>
      <c r="I359" s="478" t="s">
        <v>3856</v>
      </c>
      <c r="J359" s="433"/>
      <c r="K359" s="432" t="s">
        <v>4329</v>
      </c>
      <c r="L359" s="479" t="s">
        <v>1288</v>
      </c>
      <c r="M359" s="477">
        <v>44648</v>
      </c>
      <c r="N359" s="433">
        <v>44746</v>
      </c>
      <c r="O359" s="433"/>
      <c r="P359" s="433"/>
      <c r="Q359" s="433"/>
      <c r="R359" s="433"/>
      <c r="S359" s="432" t="s">
        <v>1098</v>
      </c>
      <c r="T359" s="432">
        <v>60</v>
      </c>
      <c r="U359" s="432"/>
      <c r="V359" s="432" t="s">
        <v>973</v>
      </c>
      <c r="W359" s="432">
        <v>400</v>
      </c>
      <c r="X359" s="370">
        <v>5376</v>
      </c>
      <c r="Y359" s="408">
        <f t="shared" si="29"/>
        <v>2150400</v>
      </c>
      <c r="Z359" s="409">
        <v>0.55000000000000004</v>
      </c>
      <c r="AA359" s="410">
        <f t="shared" si="28"/>
        <v>1182720</v>
      </c>
      <c r="AB359" s="362"/>
      <c r="AC359" s="412">
        <v>0</v>
      </c>
      <c r="AD359" s="405"/>
      <c r="AE359" s="413"/>
      <c r="AF359" s="424">
        <f t="shared" si="30"/>
        <v>1182720</v>
      </c>
      <c r="AG359" s="405" t="s">
        <v>1069</v>
      </c>
      <c r="AH359" s="395"/>
      <c r="AI359" s="405">
        <v>60</v>
      </c>
      <c r="AJ359" s="405" t="s">
        <v>1289</v>
      </c>
      <c r="AK359" s="405" t="s">
        <v>1082</v>
      </c>
      <c r="AL359" s="425">
        <v>8110</v>
      </c>
      <c r="AM359" s="405" t="s">
        <v>52</v>
      </c>
      <c r="AN359" s="405"/>
      <c r="AO359" s="405"/>
      <c r="AP359" s="405"/>
      <c r="AQ359" s="405" t="s">
        <v>37</v>
      </c>
      <c r="AR359" s="405"/>
      <c r="AS359" s="363" t="s">
        <v>1073</v>
      </c>
      <c r="AT359" s="363"/>
      <c r="AU359" s="363"/>
      <c r="AV359" s="403"/>
    </row>
    <row r="360" spans="1:48" s="402" customFormat="1" ht="15" customHeight="1">
      <c r="A360" s="278"/>
      <c r="B360" s="279"/>
      <c r="C360" s="279"/>
      <c r="D360" s="374" t="s">
        <v>2804</v>
      </c>
      <c r="E360" s="299" t="s">
        <v>4325</v>
      </c>
      <c r="F360" s="432"/>
      <c r="G360" s="432">
        <v>2022</v>
      </c>
      <c r="H360" s="471">
        <v>8</v>
      </c>
      <c r="I360" s="478" t="s">
        <v>3856</v>
      </c>
      <c r="J360" s="433"/>
      <c r="K360" s="432" t="s">
        <v>4330</v>
      </c>
      <c r="L360" s="479" t="s">
        <v>1288</v>
      </c>
      <c r="M360" s="477">
        <v>44648</v>
      </c>
      <c r="N360" s="433">
        <v>44774</v>
      </c>
      <c r="O360" s="433"/>
      <c r="P360" s="433"/>
      <c r="Q360" s="433"/>
      <c r="R360" s="433"/>
      <c r="S360" s="432" t="s">
        <v>1098</v>
      </c>
      <c r="T360" s="432">
        <v>60</v>
      </c>
      <c r="U360" s="432"/>
      <c r="V360" s="432" t="s">
        <v>973</v>
      </c>
      <c r="W360" s="432">
        <v>400</v>
      </c>
      <c r="X360" s="370">
        <v>5376</v>
      </c>
      <c r="Y360" s="408">
        <f t="shared" si="29"/>
        <v>2150400</v>
      </c>
      <c r="Z360" s="409">
        <v>0.55000000000000004</v>
      </c>
      <c r="AA360" s="410">
        <f t="shared" si="28"/>
        <v>1182720</v>
      </c>
      <c r="AB360" s="362"/>
      <c r="AC360" s="412">
        <v>0</v>
      </c>
      <c r="AD360" s="405"/>
      <c r="AE360" s="413"/>
      <c r="AF360" s="424">
        <f t="shared" si="30"/>
        <v>1182720</v>
      </c>
      <c r="AG360" s="405" t="s">
        <v>1069</v>
      </c>
      <c r="AH360" s="395"/>
      <c r="AI360" s="405">
        <v>60</v>
      </c>
      <c r="AJ360" s="405" t="s">
        <v>1289</v>
      </c>
      <c r="AK360" s="405" t="s">
        <v>1082</v>
      </c>
      <c r="AL360" s="425">
        <v>8110</v>
      </c>
      <c r="AM360" s="405" t="s">
        <v>52</v>
      </c>
      <c r="AN360" s="405"/>
      <c r="AO360" s="405"/>
      <c r="AP360" s="405"/>
      <c r="AQ360" s="405" t="s">
        <v>37</v>
      </c>
      <c r="AR360" s="405"/>
      <c r="AS360" s="363" t="s">
        <v>1073</v>
      </c>
      <c r="AT360" s="363"/>
      <c r="AU360" s="363"/>
      <c r="AV360" s="403"/>
    </row>
    <row r="361" spans="1:48" s="402" customFormat="1" ht="15" customHeight="1">
      <c r="A361" s="278"/>
      <c r="B361" s="279"/>
      <c r="C361" s="279"/>
      <c r="D361" s="374" t="s">
        <v>2804</v>
      </c>
      <c r="E361" s="299" t="s">
        <v>4325</v>
      </c>
      <c r="F361" s="432"/>
      <c r="G361" s="432">
        <v>2022</v>
      </c>
      <c r="H361" s="471">
        <v>9</v>
      </c>
      <c r="I361" s="478" t="s">
        <v>3856</v>
      </c>
      <c r="J361" s="433"/>
      <c r="K361" s="432" t="s">
        <v>4331</v>
      </c>
      <c r="L361" s="479" t="s">
        <v>1288</v>
      </c>
      <c r="M361" s="477">
        <v>44648</v>
      </c>
      <c r="N361" s="433">
        <v>44805</v>
      </c>
      <c r="O361" s="433"/>
      <c r="P361" s="433"/>
      <c r="Q361" s="433"/>
      <c r="R361" s="433"/>
      <c r="S361" s="432" t="s">
        <v>1098</v>
      </c>
      <c r="T361" s="432">
        <v>60</v>
      </c>
      <c r="U361" s="432"/>
      <c r="V361" s="432" t="s">
        <v>973</v>
      </c>
      <c r="W361" s="432">
        <v>400</v>
      </c>
      <c r="X361" s="370">
        <v>5376</v>
      </c>
      <c r="Y361" s="408">
        <f t="shared" si="29"/>
        <v>2150400</v>
      </c>
      <c r="Z361" s="409">
        <v>0.55000000000000004</v>
      </c>
      <c r="AA361" s="410">
        <f t="shared" si="28"/>
        <v>1182720</v>
      </c>
      <c r="AB361" s="362"/>
      <c r="AC361" s="412">
        <v>0</v>
      </c>
      <c r="AD361" s="405"/>
      <c r="AE361" s="413"/>
      <c r="AF361" s="424">
        <f t="shared" si="30"/>
        <v>1182720</v>
      </c>
      <c r="AG361" s="405" t="s">
        <v>1069</v>
      </c>
      <c r="AH361" s="395"/>
      <c r="AI361" s="405">
        <v>60</v>
      </c>
      <c r="AJ361" s="405" t="s">
        <v>1289</v>
      </c>
      <c r="AK361" s="405" t="s">
        <v>1082</v>
      </c>
      <c r="AL361" s="425">
        <v>8110</v>
      </c>
      <c r="AM361" s="405" t="s">
        <v>52</v>
      </c>
      <c r="AN361" s="405"/>
      <c r="AO361" s="405"/>
      <c r="AP361" s="405"/>
      <c r="AQ361" s="405" t="s">
        <v>37</v>
      </c>
      <c r="AR361" s="405"/>
      <c r="AS361" s="363" t="s">
        <v>1073</v>
      </c>
      <c r="AT361" s="363"/>
      <c r="AU361" s="363"/>
      <c r="AV361" s="403"/>
    </row>
    <row r="362" spans="1:48" s="402" customFormat="1" ht="15" customHeight="1">
      <c r="A362" s="278"/>
      <c r="B362" s="279"/>
      <c r="C362" s="279"/>
      <c r="D362" s="374" t="s">
        <v>2804</v>
      </c>
      <c r="E362" s="294" t="s">
        <v>4332</v>
      </c>
      <c r="F362" s="432"/>
      <c r="G362" s="432">
        <v>2022</v>
      </c>
      <c r="H362" s="471"/>
      <c r="I362" s="478" t="s">
        <v>4333</v>
      </c>
      <c r="J362" s="433"/>
      <c r="K362" s="432" t="s">
        <v>4334</v>
      </c>
      <c r="L362" s="479" t="s">
        <v>1288</v>
      </c>
      <c r="M362" s="477">
        <v>44648</v>
      </c>
      <c r="N362" s="433" t="s">
        <v>4335</v>
      </c>
      <c r="O362" s="433"/>
      <c r="P362" s="433"/>
      <c r="Q362" s="433"/>
      <c r="R362" s="433"/>
      <c r="S362" s="432" t="s">
        <v>1098</v>
      </c>
      <c r="T362" s="432">
        <v>60</v>
      </c>
      <c r="U362" s="432"/>
      <c r="V362" s="432" t="s">
        <v>986</v>
      </c>
      <c r="W362" s="432">
        <v>360</v>
      </c>
      <c r="X362" s="370">
        <v>24960</v>
      </c>
      <c r="Y362" s="408">
        <f t="shared" si="29"/>
        <v>8985600</v>
      </c>
      <c r="Z362" s="409">
        <v>0.53</v>
      </c>
      <c r="AA362" s="410">
        <f t="shared" si="28"/>
        <v>4762368</v>
      </c>
      <c r="AB362" s="362"/>
      <c r="AC362" s="412">
        <v>0</v>
      </c>
      <c r="AD362" s="405"/>
      <c r="AE362" s="413"/>
      <c r="AF362" s="424">
        <f t="shared" si="30"/>
        <v>4762368</v>
      </c>
      <c r="AG362" s="405" t="s">
        <v>1069</v>
      </c>
      <c r="AH362" s="395"/>
      <c r="AI362" s="405">
        <v>60</v>
      </c>
      <c r="AJ362" s="405" t="s">
        <v>1289</v>
      </c>
      <c r="AK362" s="405" t="s">
        <v>1082</v>
      </c>
      <c r="AL362" s="425">
        <v>8110</v>
      </c>
      <c r="AM362" s="405" t="s">
        <v>52</v>
      </c>
      <c r="AN362" s="405"/>
      <c r="AO362" s="405"/>
      <c r="AP362" s="405"/>
      <c r="AQ362" s="405" t="s">
        <v>37</v>
      </c>
      <c r="AR362" s="405"/>
      <c r="AS362" s="363" t="s">
        <v>1073</v>
      </c>
      <c r="AT362" s="363"/>
      <c r="AU362" s="363"/>
      <c r="AV362" s="403"/>
    </row>
    <row r="363" spans="1:48" s="402" customFormat="1" ht="15" customHeight="1" thickBot="1">
      <c r="A363" s="278"/>
      <c r="B363" s="279"/>
      <c r="C363" s="279"/>
      <c r="D363" s="374" t="s">
        <v>2804</v>
      </c>
      <c r="E363" s="294" t="s">
        <v>4332</v>
      </c>
      <c r="F363" s="432"/>
      <c r="G363" s="432">
        <v>2022</v>
      </c>
      <c r="H363" s="471"/>
      <c r="I363" s="480" t="s">
        <v>4333</v>
      </c>
      <c r="J363" s="481"/>
      <c r="K363" s="482" t="s">
        <v>4334</v>
      </c>
      <c r="L363" s="483" t="s">
        <v>1288</v>
      </c>
      <c r="M363" s="477">
        <v>44648</v>
      </c>
      <c r="N363" s="433" t="s">
        <v>4335</v>
      </c>
      <c r="O363" s="433"/>
      <c r="P363" s="433"/>
      <c r="Q363" s="433"/>
      <c r="R363" s="433"/>
      <c r="S363" s="432" t="s">
        <v>1098</v>
      </c>
      <c r="T363" s="432">
        <v>60</v>
      </c>
      <c r="U363" s="432"/>
      <c r="V363" s="432" t="s">
        <v>973</v>
      </c>
      <c r="W363" s="432">
        <v>400</v>
      </c>
      <c r="X363" s="370">
        <v>26112</v>
      </c>
      <c r="Y363" s="408">
        <f t="shared" si="29"/>
        <v>10444800</v>
      </c>
      <c r="Z363" s="409">
        <v>0.55000000000000004</v>
      </c>
      <c r="AA363" s="410">
        <f t="shared" si="28"/>
        <v>5744640</v>
      </c>
      <c r="AB363" s="362"/>
      <c r="AC363" s="412">
        <v>0</v>
      </c>
      <c r="AD363" s="405"/>
      <c r="AE363" s="413"/>
      <c r="AF363" s="424">
        <f t="shared" si="30"/>
        <v>5744640</v>
      </c>
      <c r="AG363" s="405" t="s">
        <v>1069</v>
      </c>
      <c r="AH363" s="395"/>
      <c r="AI363" s="405">
        <v>60</v>
      </c>
      <c r="AJ363" s="405" t="s">
        <v>1289</v>
      </c>
      <c r="AK363" s="405" t="s">
        <v>1082</v>
      </c>
      <c r="AL363" s="425">
        <v>8110</v>
      </c>
      <c r="AM363" s="405" t="s">
        <v>52</v>
      </c>
      <c r="AN363" s="405"/>
      <c r="AO363" s="405"/>
      <c r="AP363" s="405"/>
      <c r="AQ363" s="405" t="s">
        <v>37</v>
      </c>
      <c r="AR363" s="405"/>
      <c r="AS363" s="363" t="s">
        <v>1073</v>
      </c>
      <c r="AT363" s="363"/>
      <c r="AU363" s="363"/>
      <c r="AV363" s="403"/>
    </row>
    <row r="364" spans="1:48" s="402" customFormat="1" ht="15" customHeight="1">
      <c r="A364" s="278"/>
      <c r="B364" s="279"/>
      <c r="C364" s="279"/>
      <c r="D364" s="374" t="s">
        <v>2804</v>
      </c>
      <c r="E364" s="299" t="s">
        <v>1093</v>
      </c>
      <c r="F364" s="432"/>
      <c r="G364" s="432"/>
      <c r="H364" s="432"/>
      <c r="I364" s="350" t="s">
        <v>1241</v>
      </c>
      <c r="J364" s="349"/>
      <c r="K364" s="469" t="s">
        <v>4026</v>
      </c>
      <c r="L364" s="470" t="s">
        <v>2813</v>
      </c>
      <c r="M364" s="433">
        <v>44613</v>
      </c>
      <c r="N364" s="433">
        <v>44805</v>
      </c>
      <c r="O364" s="433"/>
      <c r="P364" s="433"/>
      <c r="Q364" s="433"/>
      <c r="R364" s="433"/>
      <c r="S364" s="432" t="s">
        <v>1098</v>
      </c>
      <c r="T364" s="432">
        <v>60</v>
      </c>
      <c r="U364" s="432"/>
      <c r="V364" s="432" t="s">
        <v>986</v>
      </c>
      <c r="W364" s="436">
        <v>360</v>
      </c>
      <c r="X364" s="372">
        <v>6656</v>
      </c>
      <c r="Y364" s="408">
        <f t="shared" si="29"/>
        <v>2396160</v>
      </c>
      <c r="Z364" s="409">
        <v>0.53</v>
      </c>
      <c r="AA364" s="410">
        <f>Z364*Y364</f>
        <v>1269964.8</v>
      </c>
      <c r="AB364" s="362"/>
      <c r="AC364" s="412"/>
      <c r="AD364" s="405"/>
      <c r="AE364" s="413"/>
      <c r="AF364" s="424">
        <f t="shared" si="30"/>
        <v>1269964.8</v>
      </c>
      <c r="AG364" s="405" t="s">
        <v>1069</v>
      </c>
      <c r="AH364" s="395"/>
      <c r="AI364" s="405">
        <v>60</v>
      </c>
      <c r="AJ364" s="405" t="s">
        <v>2827</v>
      </c>
      <c r="AK364" s="405" t="s">
        <v>1130</v>
      </c>
      <c r="AL364" s="425">
        <v>11779</v>
      </c>
      <c r="AM364" s="405" t="s">
        <v>52</v>
      </c>
      <c r="AN364" s="405"/>
      <c r="AO364" s="405"/>
      <c r="AP364" s="405"/>
      <c r="AQ364" s="413" t="s">
        <v>37</v>
      </c>
      <c r="AR364" s="405"/>
      <c r="AS364" s="363"/>
      <c r="AT364" s="363"/>
      <c r="AU364" s="363"/>
      <c r="AV364" s="403"/>
    </row>
    <row r="365" spans="1:48" s="402" customFormat="1" ht="15" customHeight="1">
      <c r="A365" s="278"/>
      <c r="B365" s="279"/>
      <c r="C365" s="279"/>
      <c r="D365" s="374" t="s">
        <v>2804</v>
      </c>
      <c r="E365" s="299" t="s">
        <v>1093</v>
      </c>
      <c r="F365" s="432"/>
      <c r="G365" s="432"/>
      <c r="H365" s="432"/>
      <c r="I365" s="432" t="s">
        <v>1241</v>
      </c>
      <c r="J365" s="433"/>
      <c r="K365" s="451" t="s">
        <v>4027</v>
      </c>
      <c r="L365" s="455" t="s">
        <v>2813</v>
      </c>
      <c r="M365" s="433">
        <v>44613</v>
      </c>
      <c r="N365" s="433">
        <v>44774</v>
      </c>
      <c r="O365" s="433"/>
      <c r="P365" s="433"/>
      <c r="Q365" s="433"/>
      <c r="R365" s="433"/>
      <c r="S365" s="432" t="s">
        <v>1098</v>
      </c>
      <c r="T365" s="432">
        <v>60</v>
      </c>
      <c r="U365" s="432"/>
      <c r="V365" s="432" t="s">
        <v>986</v>
      </c>
      <c r="W365" s="436">
        <v>360</v>
      </c>
      <c r="X365" s="372">
        <v>6656</v>
      </c>
      <c r="Y365" s="408">
        <f t="shared" si="29"/>
        <v>2396160</v>
      </c>
      <c r="Z365" s="409">
        <v>0.53</v>
      </c>
      <c r="AA365" s="410">
        <f>Z365*Y365</f>
        <v>1269964.8</v>
      </c>
      <c r="AB365" s="362"/>
      <c r="AC365" s="412"/>
      <c r="AD365" s="405"/>
      <c r="AE365" s="413"/>
      <c r="AF365" s="424">
        <f t="shared" si="30"/>
        <v>1269964.8</v>
      </c>
      <c r="AG365" s="405" t="s">
        <v>1069</v>
      </c>
      <c r="AH365" s="395"/>
      <c r="AI365" s="405">
        <v>60</v>
      </c>
      <c r="AJ365" s="405" t="s">
        <v>2827</v>
      </c>
      <c r="AK365" s="405" t="s">
        <v>1130</v>
      </c>
      <c r="AL365" s="425">
        <v>11779</v>
      </c>
      <c r="AM365" s="405" t="s">
        <v>52</v>
      </c>
      <c r="AN365" s="405"/>
      <c r="AO365" s="405"/>
      <c r="AP365" s="405"/>
      <c r="AQ365" s="413" t="s">
        <v>37</v>
      </c>
      <c r="AR365" s="405"/>
      <c r="AS365" s="363"/>
      <c r="AT365" s="363"/>
      <c r="AU365" s="363"/>
      <c r="AV365" s="403"/>
    </row>
    <row r="366" spans="1:48" s="402" customFormat="1" ht="15" customHeight="1">
      <c r="A366" s="278"/>
      <c r="B366" s="279"/>
      <c r="C366" s="279"/>
      <c r="D366" s="374" t="s">
        <v>2804</v>
      </c>
      <c r="E366" s="299" t="s">
        <v>1093</v>
      </c>
      <c r="F366" s="432"/>
      <c r="G366" s="432"/>
      <c r="H366" s="432"/>
      <c r="I366" s="432" t="s">
        <v>1241</v>
      </c>
      <c r="J366" s="433"/>
      <c r="K366" s="451" t="s">
        <v>4028</v>
      </c>
      <c r="L366" s="455" t="s">
        <v>2813</v>
      </c>
      <c r="M366" s="433">
        <v>44613</v>
      </c>
      <c r="N366" s="433">
        <v>44743</v>
      </c>
      <c r="O366" s="433"/>
      <c r="P366" s="433"/>
      <c r="Q366" s="433"/>
      <c r="R366" s="433"/>
      <c r="S366" s="432" t="s">
        <v>1098</v>
      </c>
      <c r="T366" s="432">
        <v>60</v>
      </c>
      <c r="U366" s="432"/>
      <c r="V366" s="432" t="s">
        <v>986</v>
      </c>
      <c r="W366" s="436">
        <v>360</v>
      </c>
      <c r="X366" s="372">
        <v>6656</v>
      </c>
      <c r="Y366" s="408">
        <f t="shared" si="29"/>
        <v>2396160</v>
      </c>
      <c r="Z366" s="409">
        <v>0.53</v>
      </c>
      <c r="AA366" s="410">
        <f>Z366*Y366</f>
        <v>1269964.8</v>
      </c>
      <c r="AB366" s="362"/>
      <c r="AC366" s="412"/>
      <c r="AD366" s="405"/>
      <c r="AE366" s="413"/>
      <c r="AF366" s="424">
        <f t="shared" si="30"/>
        <v>1269964.8</v>
      </c>
      <c r="AG366" s="405" t="s">
        <v>1069</v>
      </c>
      <c r="AH366" s="395"/>
      <c r="AI366" s="405">
        <v>60</v>
      </c>
      <c r="AJ366" s="405" t="s">
        <v>2827</v>
      </c>
      <c r="AK366" s="405" t="s">
        <v>1130</v>
      </c>
      <c r="AL366" s="425">
        <v>11779</v>
      </c>
      <c r="AM366" s="405" t="s">
        <v>52</v>
      </c>
      <c r="AN366" s="405"/>
      <c r="AO366" s="405"/>
      <c r="AP366" s="405"/>
      <c r="AQ366" s="413" t="s">
        <v>37</v>
      </c>
      <c r="AR366" s="405"/>
      <c r="AS366" s="363"/>
      <c r="AT366" s="363"/>
      <c r="AU366" s="363"/>
      <c r="AV366" s="403"/>
    </row>
    <row r="367" spans="1:48" s="402" customFormat="1" ht="15" customHeight="1">
      <c r="A367" s="278"/>
      <c r="B367" s="279"/>
      <c r="C367" s="284"/>
      <c r="D367" s="374" t="s">
        <v>2804</v>
      </c>
      <c r="E367" s="293" t="s">
        <v>4029</v>
      </c>
      <c r="F367" s="432"/>
      <c r="G367" s="432">
        <v>2022</v>
      </c>
      <c r="H367" s="432">
        <v>4</v>
      </c>
      <c r="I367" s="360"/>
      <c r="J367" s="433"/>
      <c r="K367" s="432" t="s">
        <v>2845</v>
      </c>
      <c r="L367" s="433" t="s">
        <v>2806</v>
      </c>
      <c r="M367" s="433">
        <v>44656</v>
      </c>
      <c r="N367" s="433">
        <v>44656</v>
      </c>
      <c r="O367" s="433"/>
      <c r="P367" s="433"/>
      <c r="Q367" s="433"/>
      <c r="R367" s="433"/>
      <c r="S367" s="432" t="s">
        <v>1098</v>
      </c>
      <c r="T367" s="432">
        <v>60</v>
      </c>
      <c r="U367" s="432"/>
      <c r="V367" s="432" t="s">
        <v>973</v>
      </c>
      <c r="W367" s="436">
        <v>360</v>
      </c>
      <c r="X367" s="372">
        <v>768</v>
      </c>
      <c r="Y367" s="408">
        <f t="shared" si="29"/>
        <v>276480</v>
      </c>
      <c r="Z367" s="409">
        <v>0.47</v>
      </c>
      <c r="AA367" s="410">
        <f>Y367*Z367</f>
        <v>129945.59999999999</v>
      </c>
      <c r="AB367" s="362"/>
      <c r="AC367" s="412">
        <f t="shared" ref="AC367:AC377" si="31">AB367*Y367</f>
        <v>0</v>
      </c>
      <c r="AD367" s="405"/>
      <c r="AE367" s="413"/>
      <c r="AF367" s="424">
        <f t="shared" si="30"/>
        <v>129945.59999999999</v>
      </c>
      <c r="AG367" s="405" t="s">
        <v>47</v>
      </c>
      <c r="AH367" s="395"/>
      <c r="AI367" s="405">
        <v>45</v>
      </c>
      <c r="AJ367" s="405" t="s">
        <v>1679</v>
      </c>
      <c r="AK367" s="405" t="s">
        <v>50</v>
      </c>
      <c r="AL367" s="425">
        <v>91761</v>
      </c>
      <c r="AM367" s="405" t="s">
        <v>52</v>
      </c>
      <c r="AN367" s="405"/>
      <c r="AO367" s="405"/>
      <c r="AP367" s="405" t="s">
        <v>38</v>
      </c>
      <c r="AQ367" s="413" t="s">
        <v>37</v>
      </c>
      <c r="AR367" s="405"/>
      <c r="AS367" s="363" t="s">
        <v>1142</v>
      </c>
      <c r="AT367" s="363" t="s">
        <v>1073</v>
      </c>
      <c r="AU367" s="363" t="s">
        <v>1073</v>
      </c>
      <c r="AV367" s="403"/>
    </row>
    <row r="368" spans="1:48" s="402" customFormat="1" ht="15" customHeight="1">
      <c r="A368" s="278"/>
      <c r="B368" s="279"/>
      <c r="C368" s="284"/>
      <c r="D368" s="374" t="s">
        <v>2804</v>
      </c>
      <c r="E368" s="293" t="s">
        <v>4029</v>
      </c>
      <c r="F368" s="432"/>
      <c r="G368" s="432">
        <v>2022</v>
      </c>
      <c r="H368" s="432">
        <v>4</v>
      </c>
      <c r="I368" s="360"/>
      <c r="J368" s="433"/>
      <c r="K368" s="432" t="s">
        <v>2844</v>
      </c>
      <c r="L368" s="433" t="s">
        <v>2806</v>
      </c>
      <c r="M368" s="433">
        <v>44656</v>
      </c>
      <c r="N368" s="433">
        <v>44656</v>
      </c>
      <c r="O368" s="433"/>
      <c r="P368" s="433"/>
      <c r="Q368" s="433"/>
      <c r="R368" s="433"/>
      <c r="S368" s="432" t="s">
        <v>1098</v>
      </c>
      <c r="T368" s="432">
        <v>60</v>
      </c>
      <c r="U368" s="432"/>
      <c r="V368" s="432" t="s">
        <v>973</v>
      </c>
      <c r="W368" s="436">
        <v>360</v>
      </c>
      <c r="X368" s="372">
        <v>768</v>
      </c>
      <c r="Y368" s="408">
        <f t="shared" si="29"/>
        <v>276480</v>
      </c>
      <c r="Z368" s="409">
        <v>0.47</v>
      </c>
      <c r="AA368" s="410">
        <f>Y368*Z368</f>
        <v>129945.59999999999</v>
      </c>
      <c r="AB368" s="362"/>
      <c r="AC368" s="412">
        <f t="shared" si="31"/>
        <v>0</v>
      </c>
      <c r="AD368" s="405"/>
      <c r="AE368" s="413"/>
      <c r="AF368" s="424">
        <f t="shared" si="30"/>
        <v>129945.59999999999</v>
      </c>
      <c r="AG368" s="405" t="s">
        <v>47</v>
      </c>
      <c r="AH368" s="395"/>
      <c r="AI368" s="405">
        <v>45</v>
      </c>
      <c r="AJ368" s="405" t="s">
        <v>2808</v>
      </c>
      <c r="AK368" s="405" t="s">
        <v>50</v>
      </c>
      <c r="AL368" s="425">
        <v>94551</v>
      </c>
      <c r="AM368" s="405" t="s">
        <v>52</v>
      </c>
      <c r="AN368" s="405"/>
      <c r="AO368" s="405"/>
      <c r="AP368" s="405" t="s">
        <v>38</v>
      </c>
      <c r="AQ368" s="413" t="s">
        <v>37</v>
      </c>
      <c r="AR368" s="405"/>
      <c r="AS368" s="363" t="s">
        <v>1142</v>
      </c>
      <c r="AT368" s="363" t="s">
        <v>1073</v>
      </c>
      <c r="AU368" s="363" t="s">
        <v>1073</v>
      </c>
      <c r="AV368" s="403"/>
    </row>
    <row r="369" spans="1:48" s="402" customFormat="1" ht="15" customHeight="1">
      <c r="A369" s="278"/>
      <c r="B369" s="279"/>
      <c r="C369" s="284"/>
      <c r="D369" s="374" t="s">
        <v>2804</v>
      </c>
      <c r="E369" s="293" t="s">
        <v>4029</v>
      </c>
      <c r="F369" s="432"/>
      <c r="G369" s="432">
        <v>2022</v>
      </c>
      <c r="H369" s="432">
        <v>4</v>
      </c>
      <c r="I369" s="360"/>
      <c r="J369" s="433"/>
      <c r="K369" s="432" t="s">
        <v>2843</v>
      </c>
      <c r="L369" s="433" t="s">
        <v>2806</v>
      </c>
      <c r="M369" s="433">
        <v>44656</v>
      </c>
      <c r="N369" s="433">
        <v>44656</v>
      </c>
      <c r="O369" s="433"/>
      <c r="P369" s="433"/>
      <c r="Q369" s="433"/>
      <c r="R369" s="433"/>
      <c r="S369" s="432" t="s">
        <v>1098</v>
      </c>
      <c r="T369" s="432">
        <v>60</v>
      </c>
      <c r="U369" s="432"/>
      <c r="V369" s="432" t="s">
        <v>973</v>
      </c>
      <c r="W369" s="436">
        <v>360</v>
      </c>
      <c r="X369" s="372">
        <v>768</v>
      </c>
      <c r="Y369" s="408">
        <f t="shared" si="29"/>
        <v>276480</v>
      </c>
      <c r="Z369" s="409">
        <v>0.47</v>
      </c>
      <c r="AA369" s="410">
        <f>Y369*Z369</f>
        <v>129945.59999999999</v>
      </c>
      <c r="AB369" s="362"/>
      <c r="AC369" s="412">
        <f t="shared" si="31"/>
        <v>0</v>
      </c>
      <c r="AD369" s="405"/>
      <c r="AE369" s="413"/>
      <c r="AF369" s="424">
        <f t="shared" si="30"/>
        <v>129945.59999999999</v>
      </c>
      <c r="AG369" s="405" t="s">
        <v>47</v>
      </c>
      <c r="AH369" s="395"/>
      <c r="AI369" s="405">
        <v>45</v>
      </c>
      <c r="AJ369" s="405" t="s">
        <v>1584</v>
      </c>
      <c r="AK369" s="405" t="s">
        <v>50</v>
      </c>
      <c r="AL369" s="425">
        <v>95827</v>
      </c>
      <c r="AM369" s="405" t="s">
        <v>52</v>
      </c>
      <c r="AN369" s="405"/>
      <c r="AO369" s="405"/>
      <c r="AP369" s="405" t="s">
        <v>38</v>
      </c>
      <c r="AQ369" s="413" t="s">
        <v>37</v>
      </c>
      <c r="AR369" s="405"/>
      <c r="AS369" s="363" t="s">
        <v>1142</v>
      </c>
      <c r="AT369" s="363" t="s">
        <v>1073</v>
      </c>
      <c r="AU369" s="363" t="s">
        <v>1073</v>
      </c>
      <c r="AV369" s="403"/>
    </row>
    <row r="370" spans="1:48" s="402" customFormat="1" ht="15" customHeight="1">
      <c r="A370" s="278"/>
      <c r="B370" s="279"/>
      <c r="C370" s="284"/>
      <c r="D370" s="374" t="s">
        <v>2804</v>
      </c>
      <c r="E370" s="293" t="s">
        <v>4029</v>
      </c>
      <c r="F370" s="432"/>
      <c r="G370" s="432">
        <v>2022</v>
      </c>
      <c r="H370" s="432">
        <v>4</v>
      </c>
      <c r="I370" s="360"/>
      <c r="J370" s="433"/>
      <c r="K370" s="432" t="s">
        <v>2842</v>
      </c>
      <c r="L370" s="433" t="s">
        <v>2806</v>
      </c>
      <c r="M370" s="433">
        <v>44656</v>
      </c>
      <c r="N370" s="433">
        <v>44656</v>
      </c>
      <c r="O370" s="433"/>
      <c r="P370" s="433"/>
      <c r="Q370" s="433"/>
      <c r="R370" s="433"/>
      <c r="S370" s="432" t="s">
        <v>1098</v>
      </c>
      <c r="T370" s="432">
        <v>60</v>
      </c>
      <c r="U370" s="432"/>
      <c r="V370" s="432" t="s">
        <v>973</v>
      </c>
      <c r="W370" s="436">
        <v>360</v>
      </c>
      <c r="X370" s="372">
        <v>768</v>
      </c>
      <c r="Y370" s="408">
        <f t="shared" si="29"/>
        <v>276480</v>
      </c>
      <c r="Z370" s="409">
        <v>0.47</v>
      </c>
      <c r="AA370" s="410">
        <f>Y370*Z370</f>
        <v>129945.59999999999</v>
      </c>
      <c r="AB370" s="362"/>
      <c r="AC370" s="412">
        <f t="shared" si="31"/>
        <v>0</v>
      </c>
      <c r="AD370" s="405"/>
      <c r="AE370" s="413"/>
      <c r="AF370" s="424">
        <f t="shared" si="30"/>
        <v>129945.59999999999</v>
      </c>
      <c r="AG370" s="405" t="s">
        <v>47</v>
      </c>
      <c r="AH370" s="395"/>
      <c r="AI370" s="405">
        <v>45</v>
      </c>
      <c r="AJ370" s="405" t="s">
        <v>1573</v>
      </c>
      <c r="AK370" s="405" t="s">
        <v>50</v>
      </c>
      <c r="AL370" s="425">
        <v>93308</v>
      </c>
      <c r="AM370" s="405" t="s">
        <v>52</v>
      </c>
      <c r="AN370" s="405"/>
      <c r="AO370" s="405"/>
      <c r="AP370" s="405" t="s">
        <v>38</v>
      </c>
      <c r="AQ370" s="413" t="s">
        <v>37</v>
      </c>
      <c r="AR370" s="405"/>
      <c r="AS370" s="363" t="s">
        <v>1142</v>
      </c>
      <c r="AT370" s="363" t="s">
        <v>1073</v>
      </c>
      <c r="AU370" s="363" t="s">
        <v>1073</v>
      </c>
      <c r="AV370" s="403"/>
    </row>
    <row r="371" spans="1:48" s="402" customFormat="1">
      <c r="A371" s="282"/>
      <c r="B371" s="279"/>
      <c r="C371" s="284"/>
      <c r="D371" s="374" t="s">
        <v>2804</v>
      </c>
      <c r="E371" s="293" t="s">
        <v>4029</v>
      </c>
      <c r="F371" s="432"/>
      <c r="G371" s="432">
        <v>2022</v>
      </c>
      <c r="H371" s="432">
        <v>4</v>
      </c>
      <c r="I371" s="360"/>
      <c r="J371" s="433"/>
      <c r="K371" s="432" t="s">
        <v>2887</v>
      </c>
      <c r="L371" s="433" t="s">
        <v>2806</v>
      </c>
      <c r="M371" s="433">
        <v>44656</v>
      </c>
      <c r="N371" s="433">
        <v>44656</v>
      </c>
      <c r="O371" s="433"/>
      <c r="P371" s="433"/>
      <c r="Q371" s="433"/>
      <c r="R371" s="433"/>
      <c r="S371" s="432" t="s">
        <v>1098</v>
      </c>
      <c r="T371" s="432">
        <v>60</v>
      </c>
      <c r="U371" s="432"/>
      <c r="V371" s="432" t="s">
        <v>973</v>
      </c>
      <c r="W371" s="436">
        <v>400</v>
      </c>
      <c r="X371" s="372">
        <v>768</v>
      </c>
      <c r="Y371" s="408">
        <f t="shared" si="29"/>
        <v>307200</v>
      </c>
      <c r="Z371" s="409">
        <v>0.48</v>
      </c>
      <c r="AA371" s="410">
        <f>Y371*Z371</f>
        <v>147456</v>
      </c>
      <c r="AB371" s="362"/>
      <c r="AC371" s="412">
        <f t="shared" si="31"/>
        <v>0</v>
      </c>
      <c r="AD371" s="405"/>
      <c r="AE371" s="413"/>
      <c r="AF371" s="424">
        <f t="shared" si="30"/>
        <v>147456</v>
      </c>
      <c r="AG371" s="405" t="s">
        <v>47</v>
      </c>
      <c r="AH371" s="395"/>
      <c r="AI371" s="405">
        <v>45</v>
      </c>
      <c r="AJ371" s="405" t="s">
        <v>2807</v>
      </c>
      <c r="AK371" s="405" t="s">
        <v>1110</v>
      </c>
      <c r="AL371" s="425">
        <v>60517</v>
      </c>
      <c r="AM371" s="405" t="s">
        <v>52</v>
      </c>
      <c r="AN371" s="405"/>
      <c r="AO371" s="405"/>
      <c r="AP371" s="405" t="s">
        <v>38</v>
      </c>
      <c r="AQ371" s="413" t="s">
        <v>37</v>
      </c>
      <c r="AR371" s="405"/>
      <c r="AS371" s="369" t="s">
        <v>1142</v>
      </c>
      <c r="AT371" s="363" t="s">
        <v>1073</v>
      </c>
      <c r="AU371" s="363" t="s">
        <v>1073</v>
      </c>
      <c r="AV371" s="403"/>
    </row>
    <row r="372" spans="1:48" s="402" customFormat="1">
      <c r="A372" s="282"/>
      <c r="B372" s="279"/>
      <c r="C372" s="279"/>
      <c r="D372" s="374" t="s">
        <v>2804</v>
      </c>
      <c r="E372" s="299" t="s">
        <v>4030</v>
      </c>
      <c r="F372" s="432"/>
      <c r="G372" s="432"/>
      <c r="H372" s="432"/>
      <c r="I372" s="360" t="s">
        <v>1241</v>
      </c>
      <c r="J372" s="433"/>
      <c r="K372" s="432" t="s">
        <v>4031</v>
      </c>
      <c r="L372" s="433" t="s">
        <v>1310</v>
      </c>
      <c r="M372" s="433">
        <v>44623</v>
      </c>
      <c r="N372" s="433">
        <v>44623</v>
      </c>
      <c r="O372" s="433"/>
      <c r="P372" s="433"/>
      <c r="Q372" s="433"/>
      <c r="R372" s="433"/>
      <c r="S372" s="432" t="s">
        <v>1098</v>
      </c>
      <c r="T372" s="432">
        <v>60</v>
      </c>
      <c r="U372" s="432"/>
      <c r="V372" s="432" t="s">
        <v>973</v>
      </c>
      <c r="W372" s="436">
        <v>400</v>
      </c>
      <c r="X372" s="372">
        <v>832</v>
      </c>
      <c r="Y372" s="408">
        <f t="shared" si="29"/>
        <v>332800</v>
      </c>
      <c r="Z372" s="409">
        <v>0.55000000000000004</v>
      </c>
      <c r="AA372" s="410">
        <f>Z372*Y372</f>
        <v>183040.00000000003</v>
      </c>
      <c r="AB372" s="411"/>
      <c r="AC372" s="412">
        <f t="shared" si="31"/>
        <v>0</v>
      </c>
      <c r="AD372" s="405"/>
      <c r="AE372" s="413"/>
      <c r="AF372" s="424">
        <f t="shared" si="30"/>
        <v>183040.00000000003</v>
      </c>
      <c r="AG372" s="405" t="s">
        <v>1069</v>
      </c>
      <c r="AH372" s="395"/>
      <c r="AI372" s="405">
        <v>60</v>
      </c>
      <c r="AJ372" s="405" t="s">
        <v>1311</v>
      </c>
      <c r="AK372" s="405" t="s">
        <v>1312</v>
      </c>
      <c r="AL372" s="425">
        <v>5401</v>
      </c>
      <c r="AM372" s="405" t="s">
        <v>52</v>
      </c>
      <c r="AN372" s="405"/>
      <c r="AO372" s="405"/>
      <c r="AP372" s="405"/>
      <c r="AQ372" s="413" t="s">
        <v>37</v>
      </c>
      <c r="AR372" s="405"/>
      <c r="AS372" s="369"/>
      <c r="AT372" s="363"/>
      <c r="AU372" s="363"/>
      <c r="AV372" s="403"/>
    </row>
    <row r="373" spans="1:48" s="402" customFormat="1">
      <c r="A373" s="282"/>
      <c r="B373" s="279">
        <v>44545</v>
      </c>
      <c r="C373" s="279" t="s">
        <v>1186</v>
      </c>
      <c r="D373" s="374" t="s">
        <v>2804</v>
      </c>
      <c r="E373" s="297" t="s">
        <v>3961</v>
      </c>
      <c r="F373" s="432"/>
      <c r="G373" s="432">
        <v>2022</v>
      </c>
      <c r="H373" s="432"/>
      <c r="I373" s="432" t="s">
        <v>3856</v>
      </c>
      <c r="J373" s="433"/>
      <c r="K373" s="432" t="s">
        <v>4032</v>
      </c>
      <c r="L373" s="433" t="s">
        <v>1174</v>
      </c>
      <c r="M373" s="433">
        <v>44545</v>
      </c>
      <c r="N373" s="433">
        <v>44713</v>
      </c>
      <c r="O373" s="433"/>
      <c r="P373" s="433"/>
      <c r="Q373" s="433"/>
      <c r="R373" s="433"/>
      <c r="S373" s="432" t="s">
        <v>1098</v>
      </c>
      <c r="T373" s="432">
        <v>60</v>
      </c>
      <c r="U373" s="432"/>
      <c r="V373" s="432" t="s">
        <v>973</v>
      </c>
      <c r="W373" s="436">
        <v>400</v>
      </c>
      <c r="X373" s="372">
        <v>10816</v>
      </c>
      <c r="Y373" s="408">
        <f t="shared" si="29"/>
        <v>4326400</v>
      </c>
      <c r="Z373" s="409">
        <v>0.52</v>
      </c>
      <c r="AA373" s="410">
        <f>Y373*Z373</f>
        <v>2249728</v>
      </c>
      <c r="AB373" s="411"/>
      <c r="AC373" s="412">
        <f t="shared" si="31"/>
        <v>0</v>
      </c>
      <c r="AD373" s="421"/>
      <c r="AE373" s="413"/>
      <c r="AF373" s="424">
        <f t="shared" si="30"/>
        <v>2249728</v>
      </c>
      <c r="AG373" s="405" t="s">
        <v>1069</v>
      </c>
      <c r="AH373" s="405"/>
      <c r="AI373" s="405">
        <v>60</v>
      </c>
      <c r="AJ373" s="405" t="s">
        <v>3963</v>
      </c>
      <c r="AK373" s="405" t="s">
        <v>1092</v>
      </c>
      <c r="AL373" s="425" t="s">
        <v>3964</v>
      </c>
      <c r="AM373" s="405" t="s">
        <v>52</v>
      </c>
      <c r="AN373" s="405"/>
      <c r="AO373" s="405"/>
      <c r="AP373" s="413"/>
      <c r="AQ373" s="413" t="s">
        <v>37</v>
      </c>
      <c r="AR373" s="405"/>
      <c r="AS373" s="368" t="s">
        <v>1073</v>
      </c>
      <c r="AT373" s="386" t="s">
        <v>1073</v>
      </c>
      <c r="AU373" s="386" t="s">
        <v>1073</v>
      </c>
      <c r="AV373" s="403"/>
    </row>
    <row r="374" spans="1:48" s="402" customFormat="1">
      <c r="A374" s="282"/>
      <c r="B374" s="279">
        <v>44545</v>
      </c>
      <c r="C374" s="279" t="s">
        <v>1186</v>
      </c>
      <c r="D374" s="374" t="s">
        <v>2804</v>
      </c>
      <c r="E374" s="297" t="s">
        <v>4033</v>
      </c>
      <c r="F374" s="432"/>
      <c r="G374" s="432">
        <v>2022</v>
      </c>
      <c r="H374" s="432"/>
      <c r="I374" s="432" t="s">
        <v>3856</v>
      </c>
      <c r="J374" s="433"/>
      <c r="K374" s="432" t="s">
        <v>4034</v>
      </c>
      <c r="L374" s="433" t="s">
        <v>1174</v>
      </c>
      <c r="M374" s="433">
        <v>44545</v>
      </c>
      <c r="N374" s="433">
        <v>44655</v>
      </c>
      <c r="O374" s="433"/>
      <c r="P374" s="433"/>
      <c r="Q374" s="433"/>
      <c r="R374" s="433"/>
      <c r="S374" s="432" t="s">
        <v>1098</v>
      </c>
      <c r="T374" s="432">
        <v>60</v>
      </c>
      <c r="U374" s="432"/>
      <c r="V374" s="432" t="s">
        <v>973</v>
      </c>
      <c r="W374" s="436">
        <v>400</v>
      </c>
      <c r="X374" s="372">
        <f>8320-768-768</f>
        <v>6784</v>
      </c>
      <c r="Y374" s="408">
        <f t="shared" si="29"/>
        <v>2713600</v>
      </c>
      <c r="Z374" s="409">
        <v>0.52</v>
      </c>
      <c r="AA374" s="410">
        <f>Y374*Z374</f>
        <v>1411072</v>
      </c>
      <c r="AB374" s="411"/>
      <c r="AC374" s="412">
        <f t="shared" si="31"/>
        <v>0</v>
      </c>
      <c r="AD374" s="421"/>
      <c r="AE374" s="413"/>
      <c r="AF374" s="424">
        <f t="shared" si="30"/>
        <v>1411072</v>
      </c>
      <c r="AG374" s="405" t="s">
        <v>1069</v>
      </c>
      <c r="AH374" s="405"/>
      <c r="AI374" s="405">
        <v>60</v>
      </c>
      <c r="AJ374" s="405" t="s">
        <v>3963</v>
      </c>
      <c r="AK374" s="405" t="s">
        <v>1092</v>
      </c>
      <c r="AL374" s="425" t="s">
        <v>3964</v>
      </c>
      <c r="AM374" s="405" t="s">
        <v>52</v>
      </c>
      <c r="AN374" s="405"/>
      <c r="AO374" s="405"/>
      <c r="AP374" s="413"/>
      <c r="AQ374" s="413" t="s">
        <v>37</v>
      </c>
      <c r="AR374" s="405" t="s">
        <v>1209</v>
      </c>
      <c r="AS374" s="368" t="s">
        <v>1073</v>
      </c>
      <c r="AT374" s="386" t="s">
        <v>1073</v>
      </c>
      <c r="AU374" s="386" t="s">
        <v>1073</v>
      </c>
      <c r="AV374" s="409">
        <v>0.52</v>
      </c>
    </row>
    <row r="375" spans="1:48" s="402" customFormat="1">
      <c r="A375" s="282"/>
      <c r="B375" s="279">
        <v>44545</v>
      </c>
      <c r="C375" s="279" t="s">
        <v>1186</v>
      </c>
      <c r="D375" s="374" t="s">
        <v>2804</v>
      </c>
      <c r="E375" s="297" t="s">
        <v>4033</v>
      </c>
      <c r="F375" s="432"/>
      <c r="G375" s="432">
        <v>2022</v>
      </c>
      <c r="H375" s="451">
        <v>5</v>
      </c>
      <c r="I375" s="451" t="s">
        <v>4035</v>
      </c>
      <c r="J375" s="433"/>
      <c r="K375" s="432" t="s">
        <v>4034</v>
      </c>
      <c r="L375" s="433" t="s">
        <v>1174</v>
      </c>
      <c r="M375" s="433">
        <v>44545</v>
      </c>
      <c r="N375" s="433">
        <v>44655</v>
      </c>
      <c r="O375" s="433"/>
      <c r="P375" s="433"/>
      <c r="Q375" s="433"/>
      <c r="R375" s="433"/>
      <c r="S375" s="432" t="s">
        <v>1098</v>
      </c>
      <c r="T375" s="432">
        <v>60</v>
      </c>
      <c r="U375" s="432"/>
      <c r="V375" s="432" t="s">
        <v>973</v>
      </c>
      <c r="W375" s="436">
        <v>400</v>
      </c>
      <c r="X375" s="372">
        <v>768</v>
      </c>
      <c r="Y375" s="408">
        <f t="shared" si="29"/>
        <v>307200</v>
      </c>
      <c r="Z375" s="409">
        <v>0.52</v>
      </c>
      <c r="AA375" s="410">
        <f>Y375*Z375</f>
        <v>159744</v>
      </c>
      <c r="AB375" s="411"/>
      <c r="AC375" s="412">
        <f t="shared" si="31"/>
        <v>0</v>
      </c>
      <c r="AD375" s="421"/>
      <c r="AE375" s="413"/>
      <c r="AF375" s="424">
        <f t="shared" si="30"/>
        <v>159744</v>
      </c>
      <c r="AG375" s="405" t="s">
        <v>1069</v>
      </c>
      <c r="AH375" s="405"/>
      <c r="AI375" s="405">
        <v>60</v>
      </c>
      <c r="AJ375" s="405" t="s">
        <v>3963</v>
      </c>
      <c r="AK375" s="405" t="s">
        <v>1092</v>
      </c>
      <c r="AL375" s="425" t="s">
        <v>3964</v>
      </c>
      <c r="AM375" s="405" t="s">
        <v>52</v>
      </c>
      <c r="AN375" s="405"/>
      <c r="AO375" s="405"/>
      <c r="AP375" s="413"/>
      <c r="AQ375" s="413" t="s">
        <v>37</v>
      </c>
      <c r="AR375" s="405" t="s">
        <v>1209</v>
      </c>
      <c r="AS375" s="368" t="s">
        <v>1073</v>
      </c>
      <c r="AT375" s="386" t="s">
        <v>1073</v>
      </c>
      <c r="AU375" s="386" t="s">
        <v>1073</v>
      </c>
      <c r="AV375" s="409">
        <v>0.52</v>
      </c>
    </row>
    <row r="376" spans="1:48" s="402" customFormat="1" ht="15" customHeight="1">
      <c r="A376" s="278"/>
      <c r="B376" s="279">
        <v>44545</v>
      </c>
      <c r="C376" s="279" t="s">
        <v>1186</v>
      </c>
      <c r="D376" s="374" t="s">
        <v>2804</v>
      </c>
      <c r="E376" s="297" t="s">
        <v>4033</v>
      </c>
      <c r="F376" s="432"/>
      <c r="G376" s="432">
        <v>2022</v>
      </c>
      <c r="H376" s="451">
        <v>6</v>
      </c>
      <c r="I376" s="451" t="s">
        <v>4035</v>
      </c>
      <c r="J376" s="433"/>
      <c r="K376" s="432" t="s">
        <v>4034</v>
      </c>
      <c r="L376" s="433" t="s">
        <v>1174</v>
      </c>
      <c r="M376" s="433">
        <v>44545</v>
      </c>
      <c r="N376" s="433">
        <v>44655</v>
      </c>
      <c r="O376" s="433"/>
      <c r="P376" s="433"/>
      <c r="Q376" s="433"/>
      <c r="R376" s="433"/>
      <c r="S376" s="432" t="s">
        <v>1098</v>
      </c>
      <c r="T376" s="432">
        <v>60</v>
      </c>
      <c r="U376" s="432"/>
      <c r="V376" s="432" t="s">
        <v>973</v>
      </c>
      <c r="W376" s="436">
        <v>400</v>
      </c>
      <c r="X376" s="372">
        <v>768</v>
      </c>
      <c r="Y376" s="408">
        <f t="shared" si="29"/>
        <v>307200</v>
      </c>
      <c r="Z376" s="409">
        <v>0.52</v>
      </c>
      <c r="AA376" s="410">
        <f>Y376*Z376</f>
        <v>159744</v>
      </c>
      <c r="AB376" s="411"/>
      <c r="AC376" s="412">
        <f t="shared" si="31"/>
        <v>0</v>
      </c>
      <c r="AD376" s="421"/>
      <c r="AE376" s="413"/>
      <c r="AF376" s="424">
        <f t="shared" si="30"/>
        <v>159744</v>
      </c>
      <c r="AG376" s="405" t="s">
        <v>1069</v>
      </c>
      <c r="AH376" s="405"/>
      <c r="AI376" s="405">
        <v>60</v>
      </c>
      <c r="AJ376" s="405" t="s">
        <v>3963</v>
      </c>
      <c r="AK376" s="405" t="s">
        <v>1092</v>
      </c>
      <c r="AL376" s="425" t="s">
        <v>3964</v>
      </c>
      <c r="AM376" s="405" t="s">
        <v>52</v>
      </c>
      <c r="AN376" s="405"/>
      <c r="AO376" s="405"/>
      <c r="AP376" s="413"/>
      <c r="AQ376" s="413" t="s">
        <v>37</v>
      </c>
      <c r="AR376" s="405" t="s">
        <v>1209</v>
      </c>
      <c r="AS376" s="403" t="s">
        <v>1073</v>
      </c>
      <c r="AT376" s="386" t="s">
        <v>1073</v>
      </c>
      <c r="AU376" s="386" t="s">
        <v>1073</v>
      </c>
      <c r="AV376" s="409">
        <v>0.52</v>
      </c>
    </row>
    <row r="377" spans="1:48" s="402" customFormat="1" ht="15" customHeight="1">
      <c r="A377" s="278"/>
      <c r="B377" s="279">
        <v>44547</v>
      </c>
      <c r="C377" s="279">
        <v>44586</v>
      </c>
      <c r="D377" s="300" t="s">
        <v>2804</v>
      </c>
      <c r="E377" s="301" t="s">
        <v>1239</v>
      </c>
      <c r="F377" s="457"/>
      <c r="G377" s="457">
        <v>2022</v>
      </c>
      <c r="H377" s="457"/>
      <c r="I377" s="302" t="s">
        <v>1241</v>
      </c>
      <c r="J377" s="458"/>
      <c r="K377" s="457">
        <v>179889</v>
      </c>
      <c r="L377" s="457" t="s">
        <v>1097</v>
      </c>
      <c r="M377" s="433">
        <v>44546</v>
      </c>
      <c r="N377" s="433">
        <v>44576</v>
      </c>
      <c r="O377" s="433"/>
      <c r="P377" s="433"/>
      <c r="Q377" s="433"/>
      <c r="R377" s="433"/>
      <c r="S377" s="432" t="s">
        <v>1098</v>
      </c>
      <c r="T377" s="432">
        <v>60</v>
      </c>
      <c r="U377" s="432"/>
      <c r="V377" s="432" t="s">
        <v>973</v>
      </c>
      <c r="W377" s="432">
        <v>400</v>
      </c>
      <c r="X377" s="370">
        <v>768</v>
      </c>
      <c r="Y377" s="408">
        <f t="shared" si="29"/>
        <v>307200</v>
      </c>
      <c r="Z377" s="409">
        <v>0.53</v>
      </c>
      <c r="AA377" s="410">
        <f>Z377*Y377</f>
        <v>162816</v>
      </c>
      <c r="AB377" s="362"/>
      <c r="AC377" s="412">
        <f t="shared" si="31"/>
        <v>0</v>
      </c>
      <c r="AD377" s="405"/>
      <c r="AE377" s="413"/>
      <c r="AF377" s="424">
        <f t="shared" si="30"/>
        <v>162816</v>
      </c>
      <c r="AG377" s="405" t="s">
        <v>47</v>
      </c>
      <c r="AH377" s="395">
        <v>10</v>
      </c>
      <c r="AI377" s="405">
        <v>30</v>
      </c>
      <c r="AJ377" s="405" t="s">
        <v>2805</v>
      </c>
      <c r="AK377" s="405" t="s">
        <v>50</v>
      </c>
      <c r="AL377" s="425">
        <v>92590</v>
      </c>
      <c r="AM377" s="405" t="s">
        <v>52</v>
      </c>
      <c r="AN377" s="405"/>
      <c r="AO377" s="405"/>
      <c r="AP377" s="405"/>
      <c r="AQ377" s="405" t="s">
        <v>1083</v>
      </c>
      <c r="AR377" s="405"/>
      <c r="AS377" s="363" t="s">
        <v>1072</v>
      </c>
      <c r="AT377" s="363" t="s">
        <v>1072</v>
      </c>
      <c r="AU377" s="363" t="s">
        <v>1072</v>
      </c>
      <c r="AV377" s="403"/>
    </row>
    <row r="378" spans="1:48" s="402" customFormat="1">
      <c r="A378" s="403"/>
      <c r="B378" s="397">
        <v>44655</v>
      </c>
      <c r="C378" s="397" t="s">
        <v>1186</v>
      </c>
      <c r="D378" s="432" t="s">
        <v>2330</v>
      </c>
      <c r="E378" s="379" t="s">
        <v>2406</v>
      </c>
      <c r="F378" s="432"/>
      <c r="G378" s="432"/>
      <c r="H378" s="432"/>
      <c r="I378" s="432" t="s">
        <v>2383</v>
      </c>
      <c r="J378" s="444"/>
      <c r="K378" s="432" t="s">
        <v>3623</v>
      </c>
      <c r="L378" s="432" t="s">
        <v>2464</v>
      </c>
      <c r="M378" s="433">
        <v>44655</v>
      </c>
      <c r="N378" s="433">
        <v>44666</v>
      </c>
      <c r="O378" s="433"/>
      <c r="P378" s="433"/>
      <c r="Q378" s="433"/>
      <c r="R378" s="433"/>
      <c r="S378" s="432" t="s">
        <v>2332</v>
      </c>
      <c r="T378" s="432">
        <v>60</v>
      </c>
      <c r="U378" s="432" t="s">
        <v>3624</v>
      </c>
      <c r="V378" s="432" t="s">
        <v>973</v>
      </c>
      <c r="W378" s="432">
        <v>400</v>
      </c>
      <c r="X378" s="436">
        <v>16640</v>
      </c>
      <c r="Y378" s="408">
        <f t="shared" si="29"/>
        <v>6656000</v>
      </c>
      <c r="Z378" s="409">
        <v>0.5</v>
      </c>
      <c r="AA378" s="410">
        <f t="shared" ref="AA378:AA441" si="32">Z378*Y378</f>
        <v>3328000</v>
      </c>
      <c r="AB378" s="410"/>
      <c r="AC378" s="394">
        <v>0</v>
      </c>
      <c r="AD378" s="421"/>
      <c r="AE378" s="413"/>
      <c r="AF378" s="462">
        <f t="shared" ref="AF378:AF441" si="33">AA378+AE378</f>
        <v>3328000</v>
      </c>
      <c r="AG378" s="405" t="s">
        <v>47</v>
      </c>
      <c r="AH378" s="405"/>
      <c r="AI378" s="405">
        <v>30</v>
      </c>
      <c r="AJ378" s="415" t="s">
        <v>1080</v>
      </c>
      <c r="AK378" s="405" t="s">
        <v>1081</v>
      </c>
      <c r="AL378" s="414" t="s">
        <v>2343</v>
      </c>
      <c r="AM378" s="405" t="s">
        <v>52</v>
      </c>
      <c r="AN378" s="405" t="s">
        <v>1071</v>
      </c>
      <c r="AO378" s="405"/>
      <c r="AP378" s="413"/>
      <c r="AQ378" s="413" t="s">
        <v>37</v>
      </c>
      <c r="AR378" s="413" t="s">
        <v>2395</v>
      </c>
      <c r="AS378" s="403" t="s">
        <v>1073</v>
      </c>
      <c r="AT378" s="386" t="s">
        <v>1073</v>
      </c>
      <c r="AU378" s="386" t="s">
        <v>1073</v>
      </c>
      <c r="AV378" s="409">
        <v>0.73</v>
      </c>
    </row>
    <row r="379" spans="1:48" s="402" customFormat="1">
      <c r="A379" s="403"/>
      <c r="B379" s="397">
        <v>44655</v>
      </c>
      <c r="C379" s="397" t="s">
        <v>1186</v>
      </c>
      <c r="D379" s="432" t="s">
        <v>2330</v>
      </c>
      <c r="E379" s="379" t="s">
        <v>2406</v>
      </c>
      <c r="F379" s="432"/>
      <c r="G379" s="432"/>
      <c r="H379" s="432"/>
      <c r="I379" s="432" t="s">
        <v>2383</v>
      </c>
      <c r="J379" s="444"/>
      <c r="K379" s="432" t="s">
        <v>3625</v>
      </c>
      <c r="L379" s="432" t="s">
        <v>2464</v>
      </c>
      <c r="M379" s="433">
        <v>44655</v>
      </c>
      <c r="N379" s="433">
        <v>44666</v>
      </c>
      <c r="O379" s="433"/>
      <c r="P379" s="433"/>
      <c r="Q379" s="433"/>
      <c r="R379" s="433"/>
      <c r="S379" s="432" t="s">
        <v>2332</v>
      </c>
      <c r="T379" s="432">
        <v>60</v>
      </c>
      <c r="U379" s="432" t="s">
        <v>3624</v>
      </c>
      <c r="V379" s="432" t="s">
        <v>973</v>
      </c>
      <c r="W379" s="432">
        <v>400</v>
      </c>
      <c r="X379" s="436">
        <v>11648</v>
      </c>
      <c r="Y379" s="408">
        <f t="shared" si="29"/>
        <v>4659200</v>
      </c>
      <c r="Z379" s="409">
        <v>0.5</v>
      </c>
      <c r="AA379" s="410">
        <f t="shared" si="32"/>
        <v>2329600</v>
      </c>
      <c r="AB379" s="410"/>
      <c r="AC379" s="394">
        <v>0</v>
      </c>
      <c r="AD379" s="421"/>
      <c r="AE379" s="413"/>
      <c r="AF379" s="462">
        <f t="shared" si="33"/>
        <v>2329600</v>
      </c>
      <c r="AG379" s="405" t="s">
        <v>47</v>
      </c>
      <c r="AH379" s="405"/>
      <c r="AI379" s="405">
        <v>30</v>
      </c>
      <c r="AJ379" s="415" t="s">
        <v>1080</v>
      </c>
      <c r="AK379" s="405" t="s">
        <v>1081</v>
      </c>
      <c r="AL379" s="414" t="s">
        <v>2343</v>
      </c>
      <c r="AM379" s="405" t="s">
        <v>52</v>
      </c>
      <c r="AN379" s="405" t="s">
        <v>1071</v>
      </c>
      <c r="AO379" s="405"/>
      <c r="AP379" s="413"/>
      <c r="AQ379" s="413" t="s">
        <v>37</v>
      </c>
      <c r="AR379" s="413" t="s">
        <v>2395</v>
      </c>
      <c r="AS379" s="403" t="s">
        <v>1073</v>
      </c>
      <c r="AT379" s="386" t="s">
        <v>1073</v>
      </c>
      <c r="AU379" s="386" t="s">
        <v>1073</v>
      </c>
      <c r="AV379" s="409">
        <v>0.73</v>
      </c>
    </row>
    <row r="380" spans="1:48" s="402" customFormat="1">
      <c r="A380" s="403"/>
      <c r="B380" s="397">
        <v>44655</v>
      </c>
      <c r="C380" s="397" t="s">
        <v>1186</v>
      </c>
      <c r="D380" s="432" t="s">
        <v>2330</v>
      </c>
      <c r="E380" s="379" t="s">
        <v>2406</v>
      </c>
      <c r="F380" s="432"/>
      <c r="G380" s="432"/>
      <c r="H380" s="432"/>
      <c r="I380" s="432" t="s">
        <v>2383</v>
      </c>
      <c r="J380" s="444"/>
      <c r="K380" s="432" t="s">
        <v>3626</v>
      </c>
      <c r="L380" s="432" t="s">
        <v>2464</v>
      </c>
      <c r="M380" s="433">
        <v>44655</v>
      </c>
      <c r="N380" s="433">
        <v>44666</v>
      </c>
      <c r="O380" s="433"/>
      <c r="P380" s="433"/>
      <c r="Q380" s="433"/>
      <c r="R380" s="433"/>
      <c r="S380" s="432" t="s">
        <v>2332</v>
      </c>
      <c r="T380" s="432">
        <v>60</v>
      </c>
      <c r="U380" s="432" t="s">
        <v>3624</v>
      </c>
      <c r="V380" s="432" t="s">
        <v>973</v>
      </c>
      <c r="W380" s="432">
        <v>400</v>
      </c>
      <c r="X380" s="436">
        <v>11648</v>
      </c>
      <c r="Y380" s="408">
        <f t="shared" si="29"/>
        <v>4659200</v>
      </c>
      <c r="Z380" s="409">
        <v>0.5</v>
      </c>
      <c r="AA380" s="410">
        <f t="shared" si="32"/>
        <v>2329600</v>
      </c>
      <c r="AB380" s="410"/>
      <c r="AC380" s="394">
        <v>0</v>
      </c>
      <c r="AD380" s="421"/>
      <c r="AE380" s="413"/>
      <c r="AF380" s="462">
        <f t="shared" si="33"/>
        <v>2329600</v>
      </c>
      <c r="AG380" s="405" t="s">
        <v>47</v>
      </c>
      <c r="AH380" s="405"/>
      <c r="AI380" s="405">
        <v>30</v>
      </c>
      <c r="AJ380" s="415" t="s">
        <v>1080</v>
      </c>
      <c r="AK380" s="405" t="s">
        <v>1081</v>
      </c>
      <c r="AL380" s="414" t="s">
        <v>2343</v>
      </c>
      <c r="AM380" s="405" t="s">
        <v>52</v>
      </c>
      <c r="AN380" s="405" t="s">
        <v>1071</v>
      </c>
      <c r="AO380" s="405"/>
      <c r="AP380" s="413"/>
      <c r="AQ380" s="413" t="s">
        <v>37</v>
      </c>
      <c r="AR380" s="413" t="s">
        <v>2395</v>
      </c>
      <c r="AS380" s="403" t="s">
        <v>1073</v>
      </c>
      <c r="AT380" s="386" t="s">
        <v>1073</v>
      </c>
      <c r="AU380" s="386" t="s">
        <v>1073</v>
      </c>
      <c r="AV380" s="409">
        <v>0.73</v>
      </c>
    </row>
    <row r="381" spans="1:48" s="402" customFormat="1" ht="13.9" customHeight="1">
      <c r="A381" s="403"/>
      <c r="B381" s="397"/>
      <c r="C381" s="397"/>
      <c r="D381" s="432" t="s">
        <v>2330</v>
      </c>
      <c r="E381" s="379" t="s">
        <v>4656</v>
      </c>
      <c r="F381" s="432"/>
      <c r="G381" s="432"/>
      <c r="H381" s="432"/>
      <c r="I381" s="432" t="s">
        <v>2383</v>
      </c>
      <c r="J381" s="444"/>
      <c r="K381" s="432" t="s">
        <v>3575</v>
      </c>
      <c r="L381" s="432" t="s">
        <v>2443</v>
      </c>
      <c r="M381" s="433">
        <v>44620</v>
      </c>
      <c r="N381" s="433">
        <v>44652</v>
      </c>
      <c r="O381" s="433"/>
      <c r="P381" s="433"/>
      <c r="Q381" s="433"/>
      <c r="R381" s="433"/>
      <c r="S381" s="432" t="s">
        <v>2332</v>
      </c>
      <c r="T381" s="432">
        <v>60</v>
      </c>
      <c r="U381" s="432">
        <v>49204132</v>
      </c>
      <c r="V381" s="432" t="s">
        <v>4985</v>
      </c>
      <c r="W381" s="432">
        <v>360</v>
      </c>
      <c r="X381" s="436">
        <v>728</v>
      </c>
      <c r="Y381" s="422">
        <f t="shared" si="29"/>
        <v>262080</v>
      </c>
      <c r="Z381" s="409">
        <v>0.79</v>
      </c>
      <c r="AA381" s="423">
        <f t="shared" si="32"/>
        <v>207043.20000000001</v>
      </c>
      <c r="AB381" s="423"/>
      <c r="AC381" s="394">
        <v>0</v>
      </c>
      <c r="AD381" s="421"/>
      <c r="AE381" s="413"/>
      <c r="AF381" s="462">
        <f t="shared" si="33"/>
        <v>207043.20000000001</v>
      </c>
      <c r="AG381" s="405" t="s">
        <v>47</v>
      </c>
      <c r="AH381" s="405"/>
      <c r="AI381" s="405">
        <v>30</v>
      </c>
      <c r="AJ381" s="415" t="s">
        <v>2460</v>
      </c>
      <c r="AK381" s="405" t="s">
        <v>1110</v>
      </c>
      <c r="AL381" s="414" t="s">
        <v>2461</v>
      </c>
      <c r="AM381" s="405" t="s">
        <v>52</v>
      </c>
      <c r="AN381" s="405" t="s">
        <v>1071</v>
      </c>
      <c r="AO381" s="405"/>
      <c r="AP381" s="413"/>
      <c r="AQ381" s="413" t="s">
        <v>37</v>
      </c>
      <c r="AR381" s="413"/>
      <c r="AS381" s="403" t="s">
        <v>1073</v>
      </c>
      <c r="AT381" s="386" t="s">
        <v>1073</v>
      </c>
      <c r="AU381" s="386" t="s">
        <v>1073</v>
      </c>
      <c r="AV381" s="409">
        <v>0.73</v>
      </c>
    </row>
    <row r="382" spans="1:48" s="402" customFormat="1" ht="13.9" customHeight="1">
      <c r="A382" s="403"/>
      <c r="B382" s="397"/>
      <c r="C382" s="397"/>
      <c r="D382" s="432" t="s">
        <v>2330</v>
      </c>
      <c r="E382" s="379" t="s">
        <v>4656</v>
      </c>
      <c r="F382" s="432"/>
      <c r="G382" s="432"/>
      <c r="H382" s="432"/>
      <c r="I382" s="432" t="s">
        <v>2383</v>
      </c>
      <c r="J382" s="444"/>
      <c r="K382" s="432" t="s">
        <v>4657</v>
      </c>
      <c r="L382" s="432" t="s">
        <v>2443</v>
      </c>
      <c r="M382" s="433">
        <v>44682</v>
      </c>
      <c r="N382" s="433">
        <v>44652</v>
      </c>
      <c r="O382" s="433"/>
      <c r="P382" s="433"/>
      <c r="Q382" s="433"/>
      <c r="R382" s="433"/>
      <c r="S382" s="432" t="s">
        <v>2332</v>
      </c>
      <c r="T382" s="432">
        <v>60</v>
      </c>
      <c r="U382" s="432">
        <v>49204132</v>
      </c>
      <c r="V382" s="432" t="s">
        <v>1192</v>
      </c>
      <c r="W382" s="432">
        <v>360</v>
      </c>
      <c r="X382" s="436">
        <v>728</v>
      </c>
      <c r="Y382" s="422">
        <f t="shared" si="29"/>
        <v>262080</v>
      </c>
      <c r="Z382" s="409">
        <v>0.79</v>
      </c>
      <c r="AA382" s="423">
        <f t="shared" si="32"/>
        <v>207043.20000000001</v>
      </c>
      <c r="AB382" s="423"/>
      <c r="AC382" s="394">
        <v>0</v>
      </c>
      <c r="AD382" s="421"/>
      <c r="AE382" s="413"/>
      <c r="AF382" s="462">
        <f t="shared" si="33"/>
        <v>207043.20000000001</v>
      </c>
      <c r="AG382" s="405" t="s">
        <v>47</v>
      </c>
      <c r="AH382" s="405"/>
      <c r="AI382" s="405">
        <v>30</v>
      </c>
      <c r="AJ382" s="415" t="s">
        <v>2445</v>
      </c>
      <c r="AK382" s="405" t="s">
        <v>1071</v>
      </c>
      <c r="AL382" s="414" t="s">
        <v>2446</v>
      </c>
      <c r="AM382" s="405" t="s">
        <v>52</v>
      </c>
      <c r="AN382" s="405" t="s">
        <v>1071</v>
      </c>
      <c r="AO382" s="405"/>
      <c r="AP382" s="413"/>
      <c r="AQ382" s="413" t="s">
        <v>37</v>
      </c>
      <c r="AR382" s="413"/>
      <c r="AS382" s="403" t="s">
        <v>1073</v>
      </c>
      <c r="AT382" s="386" t="s">
        <v>1073</v>
      </c>
      <c r="AU382" s="386" t="s">
        <v>1073</v>
      </c>
      <c r="AV382" s="409">
        <v>0.73</v>
      </c>
    </row>
    <row r="383" spans="1:48" s="402" customFormat="1" ht="13.9" customHeight="1">
      <c r="A383" s="403"/>
      <c r="B383" s="397"/>
      <c r="C383" s="397"/>
      <c r="D383" s="432" t="s">
        <v>2330</v>
      </c>
      <c r="E383" s="379" t="s">
        <v>4656</v>
      </c>
      <c r="F383" s="432"/>
      <c r="G383" s="432"/>
      <c r="H383" s="432"/>
      <c r="I383" s="432" t="s">
        <v>2383</v>
      </c>
      <c r="J383" s="444"/>
      <c r="K383" s="432" t="s">
        <v>4658</v>
      </c>
      <c r="L383" s="432" t="s">
        <v>2443</v>
      </c>
      <c r="M383" s="433">
        <v>44682</v>
      </c>
      <c r="N383" s="433">
        <v>44652</v>
      </c>
      <c r="O383" s="433"/>
      <c r="P383" s="433"/>
      <c r="Q383" s="433"/>
      <c r="R383" s="433"/>
      <c r="S383" s="432" t="s">
        <v>2332</v>
      </c>
      <c r="T383" s="432">
        <v>60</v>
      </c>
      <c r="U383" s="432">
        <v>49204132</v>
      </c>
      <c r="V383" s="432" t="s">
        <v>1192</v>
      </c>
      <c r="W383" s="432">
        <v>360</v>
      </c>
      <c r="X383" s="436">
        <v>728</v>
      </c>
      <c r="Y383" s="422">
        <f t="shared" si="29"/>
        <v>262080</v>
      </c>
      <c r="Z383" s="409">
        <v>0.79</v>
      </c>
      <c r="AA383" s="423">
        <f t="shared" si="32"/>
        <v>207043.20000000001</v>
      </c>
      <c r="AB383" s="423"/>
      <c r="AC383" s="394">
        <v>0</v>
      </c>
      <c r="AD383" s="421"/>
      <c r="AE383" s="413"/>
      <c r="AF383" s="462">
        <f t="shared" si="33"/>
        <v>207043.20000000001</v>
      </c>
      <c r="AG383" s="405" t="s">
        <v>47</v>
      </c>
      <c r="AH383" s="405"/>
      <c r="AI383" s="405">
        <v>30</v>
      </c>
      <c r="AJ383" s="415" t="s">
        <v>2447</v>
      </c>
      <c r="AK383" s="405" t="s">
        <v>1071</v>
      </c>
      <c r="AL383" s="414" t="s">
        <v>4659</v>
      </c>
      <c r="AM383" s="405" t="s">
        <v>52</v>
      </c>
      <c r="AN383" s="405" t="s">
        <v>1071</v>
      </c>
      <c r="AO383" s="405"/>
      <c r="AP383" s="413"/>
      <c r="AQ383" s="413" t="s">
        <v>37</v>
      </c>
      <c r="AR383" s="413"/>
      <c r="AS383" s="403" t="s">
        <v>1073</v>
      </c>
      <c r="AT383" s="386" t="s">
        <v>1073</v>
      </c>
      <c r="AU383" s="386" t="s">
        <v>1073</v>
      </c>
      <c r="AV383" s="409">
        <v>0.73</v>
      </c>
    </row>
    <row r="384" spans="1:48" s="402" customFormat="1" ht="13.9" customHeight="1">
      <c r="A384" s="403"/>
      <c r="B384" s="397"/>
      <c r="C384" s="397"/>
      <c r="D384" s="432" t="s">
        <v>2330</v>
      </c>
      <c r="E384" s="379" t="s">
        <v>4656</v>
      </c>
      <c r="F384" s="432"/>
      <c r="G384" s="432"/>
      <c r="H384" s="432"/>
      <c r="I384" s="432" t="s">
        <v>2383</v>
      </c>
      <c r="J384" s="444"/>
      <c r="K384" s="432" t="s">
        <v>4660</v>
      </c>
      <c r="L384" s="432" t="s">
        <v>2443</v>
      </c>
      <c r="M384" s="433">
        <v>44682</v>
      </c>
      <c r="N384" s="433">
        <v>44652</v>
      </c>
      <c r="O384" s="433"/>
      <c r="P384" s="433"/>
      <c r="Q384" s="433"/>
      <c r="R384" s="433"/>
      <c r="S384" s="432" t="s">
        <v>2332</v>
      </c>
      <c r="T384" s="432">
        <v>60</v>
      </c>
      <c r="U384" s="432">
        <v>49204132</v>
      </c>
      <c r="V384" s="432" t="s">
        <v>1192</v>
      </c>
      <c r="W384" s="432">
        <v>360</v>
      </c>
      <c r="X384" s="436">
        <v>728</v>
      </c>
      <c r="Y384" s="422">
        <f t="shared" si="29"/>
        <v>262080</v>
      </c>
      <c r="Z384" s="409">
        <v>0.79</v>
      </c>
      <c r="AA384" s="423">
        <f t="shared" si="32"/>
        <v>207043.20000000001</v>
      </c>
      <c r="AB384" s="423"/>
      <c r="AC384" s="394">
        <v>0</v>
      </c>
      <c r="AD384" s="421"/>
      <c r="AE384" s="413"/>
      <c r="AF384" s="462">
        <f t="shared" si="33"/>
        <v>207043.20000000001</v>
      </c>
      <c r="AG384" s="405" t="s">
        <v>47</v>
      </c>
      <c r="AH384" s="405"/>
      <c r="AI384" s="405">
        <v>30</v>
      </c>
      <c r="AJ384" s="415" t="s">
        <v>2338</v>
      </c>
      <c r="AK384" s="405" t="s">
        <v>1071</v>
      </c>
      <c r="AL384" s="414" t="s">
        <v>2444</v>
      </c>
      <c r="AM384" s="405" t="s">
        <v>52</v>
      </c>
      <c r="AN384" s="405" t="s">
        <v>1071</v>
      </c>
      <c r="AO384" s="405"/>
      <c r="AP384" s="413"/>
      <c r="AQ384" s="413" t="s">
        <v>37</v>
      </c>
      <c r="AR384" s="413"/>
      <c r="AS384" s="403" t="s">
        <v>1073</v>
      </c>
      <c r="AT384" s="386" t="s">
        <v>1073</v>
      </c>
      <c r="AU384" s="386" t="s">
        <v>1073</v>
      </c>
      <c r="AV384" s="409">
        <v>0.73</v>
      </c>
    </row>
    <row r="385" spans="1:48" s="402" customFormat="1" ht="13.9" customHeight="1">
      <c r="A385" s="403"/>
      <c r="B385" s="397"/>
      <c r="C385" s="397"/>
      <c r="D385" s="432" t="s">
        <v>2330</v>
      </c>
      <c r="E385" s="379" t="s">
        <v>4656</v>
      </c>
      <c r="F385" s="432"/>
      <c r="G385" s="432"/>
      <c r="H385" s="432"/>
      <c r="I385" s="432" t="s">
        <v>2383</v>
      </c>
      <c r="J385" s="444"/>
      <c r="K385" s="432" t="s">
        <v>4661</v>
      </c>
      <c r="L385" s="432" t="s">
        <v>2443</v>
      </c>
      <c r="M385" s="433">
        <v>44682</v>
      </c>
      <c r="N385" s="433">
        <v>44652</v>
      </c>
      <c r="O385" s="433"/>
      <c r="P385" s="433"/>
      <c r="Q385" s="433"/>
      <c r="R385" s="433"/>
      <c r="S385" s="432" t="s">
        <v>2332</v>
      </c>
      <c r="T385" s="432">
        <v>60</v>
      </c>
      <c r="U385" s="432">
        <v>49204132</v>
      </c>
      <c r="V385" s="432" t="s">
        <v>1192</v>
      </c>
      <c r="W385" s="432">
        <v>360</v>
      </c>
      <c r="X385" s="436">
        <v>728</v>
      </c>
      <c r="Y385" s="422">
        <f t="shared" si="29"/>
        <v>262080</v>
      </c>
      <c r="Z385" s="409">
        <v>0.79</v>
      </c>
      <c r="AA385" s="423">
        <f t="shared" si="32"/>
        <v>207043.20000000001</v>
      </c>
      <c r="AB385" s="423"/>
      <c r="AC385" s="394">
        <v>0</v>
      </c>
      <c r="AD385" s="421"/>
      <c r="AE385" s="413"/>
      <c r="AF385" s="462">
        <f t="shared" si="33"/>
        <v>207043.20000000001</v>
      </c>
      <c r="AG385" s="405" t="s">
        <v>47</v>
      </c>
      <c r="AH385" s="405"/>
      <c r="AI385" s="405">
        <v>30</v>
      </c>
      <c r="AJ385" s="415" t="s">
        <v>2445</v>
      </c>
      <c r="AK385" s="405" t="s">
        <v>1071</v>
      </c>
      <c r="AL385" s="414" t="s">
        <v>2446</v>
      </c>
      <c r="AM385" s="405" t="s">
        <v>52</v>
      </c>
      <c r="AN385" s="405" t="s">
        <v>1071</v>
      </c>
      <c r="AO385" s="405"/>
      <c r="AP385" s="413"/>
      <c r="AQ385" s="413" t="s">
        <v>37</v>
      </c>
      <c r="AR385" s="413"/>
      <c r="AS385" s="403" t="s">
        <v>1073</v>
      </c>
      <c r="AT385" s="386" t="s">
        <v>1073</v>
      </c>
      <c r="AU385" s="386" t="s">
        <v>1073</v>
      </c>
      <c r="AV385" s="409">
        <v>0.73</v>
      </c>
    </row>
    <row r="386" spans="1:48" s="402" customFormat="1" ht="13.9" customHeight="1">
      <c r="A386" s="403"/>
      <c r="B386" s="397"/>
      <c r="C386" s="397"/>
      <c r="D386" s="432" t="s">
        <v>2330</v>
      </c>
      <c r="E386" s="379" t="s">
        <v>4656</v>
      </c>
      <c r="F386" s="432"/>
      <c r="G386" s="432"/>
      <c r="H386" s="432"/>
      <c r="I386" s="432" t="s">
        <v>2383</v>
      </c>
      <c r="J386" s="444"/>
      <c r="K386" s="432" t="s">
        <v>4662</v>
      </c>
      <c r="L386" s="432" t="s">
        <v>2443</v>
      </c>
      <c r="M386" s="433">
        <v>44682</v>
      </c>
      <c r="N386" s="433">
        <v>44652</v>
      </c>
      <c r="O386" s="433"/>
      <c r="P386" s="433"/>
      <c r="Q386" s="433"/>
      <c r="R386" s="433"/>
      <c r="S386" s="432" t="s">
        <v>2332</v>
      </c>
      <c r="T386" s="432">
        <v>60</v>
      </c>
      <c r="U386" s="432">
        <v>49204132</v>
      </c>
      <c r="V386" s="432" t="s">
        <v>1192</v>
      </c>
      <c r="W386" s="432">
        <v>360</v>
      </c>
      <c r="X386" s="436">
        <v>728</v>
      </c>
      <c r="Y386" s="422">
        <f t="shared" ref="Y386:Y449" si="34">W386*X386</f>
        <v>262080</v>
      </c>
      <c r="Z386" s="409">
        <v>0.79</v>
      </c>
      <c r="AA386" s="423">
        <f t="shared" si="32"/>
        <v>207043.20000000001</v>
      </c>
      <c r="AB386" s="423"/>
      <c r="AC386" s="394">
        <v>0</v>
      </c>
      <c r="AD386" s="421"/>
      <c r="AE386" s="413"/>
      <c r="AF386" s="462">
        <f t="shared" si="33"/>
        <v>207043.20000000001</v>
      </c>
      <c r="AG386" s="405" t="s">
        <v>47</v>
      </c>
      <c r="AH386" s="405"/>
      <c r="AI386" s="405">
        <v>30</v>
      </c>
      <c r="AJ386" s="415" t="s">
        <v>4663</v>
      </c>
      <c r="AK386" s="405" t="s">
        <v>1071</v>
      </c>
      <c r="AL386" s="414" t="s">
        <v>4664</v>
      </c>
      <c r="AM386" s="405" t="s">
        <v>52</v>
      </c>
      <c r="AN386" s="405" t="s">
        <v>1071</v>
      </c>
      <c r="AO386" s="405"/>
      <c r="AP386" s="413"/>
      <c r="AQ386" s="413" t="s">
        <v>37</v>
      </c>
      <c r="AR386" s="413"/>
      <c r="AS386" s="403" t="s">
        <v>1073</v>
      </c>
      <c r="AT386" s="386" t="s">
        <v>1073</v>
      </c>
      <c r="AU386" s="386" t="s">
        <v>1073</v>
      </c>
      <c r="AV386" s="409">
        <v>0.73</v>
      </c>
    </row>
    <row r="387" spans="1:48" s="402" customFormat="1" ht="13.9" customHeight="1">
      <c r="A387" s="403"/>
      <c r="B387" s="397"/>
      <c r="C387" s="397"/>
      <c r="D387" s="432" t="s">
        <v>2330</v>
      </c>
      <c r="E387" s="379" t="s">
        <v>4656</v>
      </c>
      <c r="F387" s="432"/>
      <c r="G387" s="432"/>
      <c r="H387" s="432"/>
      <c r="I387" s="432" t="s">
        <v>2383</v>
      </c>
      <c r="J387" s="444"/>
      <c r="K387" s="432" t="s">
        <v>4665</v>
      </c>
      <c r="L387" s="432" t="s">
        <v>2443</v>
      </c>
      <c r="M387" s="433">
        <v>44682</v>
      </c>
      <c r="N387" s="433">
        <v>44652</v>
      </c>
      <c r="O387" s="433"/>
      <c r="P387" s="433"/>
      <c r="Q387" s="433"/>
      <c r="R387" s="433"/>
      <c r="S387" s="432" t="s">
        <v>2332</v>
      </c>
      <c r="T387" s="432">
        <v>60</v>
      </c>
      <c r="U387" s="432">
        <v>49204132</v>
      </c>
      <c r="V387" s="432" t="s">
        <v>1192</v>
      </c>
      <c r="W387" s="432">
        <v>360</v>
      </c>
      <c r="X387" s="436">
        <v>728</v>
      </c>
      <c r="Y387" s="422">
        <f t="shared" si="34"/>
        <v>262080</v>
      </c>
      <c r="Z387" s="409">
        <v>0.79</v>
      </c>
      <c r="AA387" s="423">
        <f t="shared" si="32"/>
        <v>207043.20000000001</v>
      </c>
      <c r="AB387" s="423"/>
      <c r="AC387" s="394">
        <v>0</v>
      </c>
      <c r="AD387" s="421"/>
      <c r="AE387" s="413"/>
      <c r="AF387" s="462">
        <f t="shared" si="33"/>
        <v>207043.20000000001</v>
      </c>
      <c r="AG387" s="405" t="s">
        <v>47</v>
      </c>
      <c r="AH387" s="405"/>
      <c r="AI387" s="405">
        <v>30</v>
      </c>
      <c r="AJ387" s="415" t="s">
        <v>2338</v>
      </c>
      <c r="AK387" s="405" t="s">
        <v>1071</v>
      </c>
      <c r="AL387" s="414" t="s">
        <v>2444</v>
      </c>
      <c r="AM387" s="405" t="s">
        <v>52</v>
      </c>
      <c r="AN387" s="405" t="s">
        <v>1071</v>
      </c>
      <c r="AO387" s="405"/>
      <c r="AP387" s="413"/>
      <c r="AQ387" s="413" t="s">
        <v>37</v>
      </c>
      <c r="AR387" s="413"/>
      <c r="AS387" s="403" t="s">
        <v>1073</v>
      </c>
      <c r="AT387" s="386" t="s">
        <v>1073</v>
      </c>
      <c r="AU387" s="386" t="s">
        <v>1073</v>
      </c>
      <c r="AV387" s="409">
        <v>0.73</v>
      </c>
    </row>
    <row r="388" spans="1:48" s="402" customFormat="1" ht="13.9" customHeight="1">
      <c r="A388" s="403"/>
      <c r="B388" s="397"/>
      <c r="C388" s="397"/>
      <c r="D388" s="432" t="s">
        <v>2330</v>
      </c>
      <c r="E388" s="379" t="s">
        <v>4656</v>
      </c>
      <c r="F388" s="432"/>
      <c r="G388" s="432"/>
      <c r="H388" s="432"/>
      <c r="I388" s="432" t="s">
        <v>2383</v>
      </c>
      <c r="J388" s="444"/>
      <c r="K388" s="432" t="s">
        <v>4666</v>
      </c>
      <c r="L388" s="432" t="s">
        <v>2443</v>
      </c>
      <c r="M388" s="433">
        <v>44682</v>
      </c>
      <c r="N388" s="433">
        <v>44652</v>
      </c>
      <c r="O388" s="433"/>
      <c r="P388" s="433"/>
      <c r="Q388" s="433"/>
      <c r="R388" s="433"/>
      <c r="S388" s="432" t="s">
        <v>2332</v>
      </c>
      <c r="T388" s="432">
        <v>60</v>
      </c>
      <c r="U388" s="432">
        <v>49204132</v>
      </c>
      <c r="V388" s="432" t="s">
        <v>1192</v>
      </c>
      <c r="W388" s="432">
        <v>360</v>
      </c>
      <c r="X388" s="436">
        <v>728</v>
      </c>
      <c r="Y388" s="422">
        <f t="shared" si="34"/>
        <v>262080</v>
      </c>
      <c r="Z388" s="409">
        <v>0.79</v>
      </c>
      <c r="AA388" s="423">
        <f t="shared" si="32"/>
        <v>207043.20000000001</v>
      </c>
      <c r="AB388" s="423"/>
      <c r="AC388" s="394">
        <v>0</v>
      </c>
      <c r="AD388" s="421"/>
      <c r="AE388" s="413"/>
      <c r="AF388" s="462">
        <f t="shared" si="33"/>
        <v>207043.20000000001</v>
      </c>
      <c r="AG388" s="405" t="s">
        <v>47</v>
      </c>
      <c r="AH388" s="405"/>
      <c r="AI388" s="405">
        <v>30</v>
      </c>
      <c r="AJ388" s="415" t="s">
        <v>2445</v>
      </c>
      <c r="AK388" s="405" t="s">
        <v>1071</v>
      </c>
      <c r="AL388" s="414" t="s">
        <v>2446</v>
      </c>
      <c r="AM388" s="405" t="s">
        <v>52</v>
      </c>
      <c r="AN388" s="405" t="s">
        <v>1071</v>
      </c>
      <c r="AO388" s="405"/>
      <c r="AP388" s="413"/>
      <c r="AQ388" s="413" t="s">
        <v>37</v>
      </c>
      <c r="AR388" s="413"/>
      <c r="AS388" s="403" t="s">
        <v>1073</v>
      </c>
      <c r="AT388" s="386" t="s">
        <v>1073</v>
      </c>
      <c r="AU388" s="386" t="s">
        <v>1073</v>
      </c>
      <c r="AV388" s="409">
        <v>0.73</v>
      </c>
    </row>
    <row r="389" spans="1:48" s="402" customFormat="1" ht="13.9" customHeight="1">
      <c r="A389" s="403"/>
      <c r="B389" s="397"/>
      <c r="C389" s="397"/>
      <c r="D389" s="432" t="s">
        <v>2330</v>
      </c>
      <c r="E389" s="379" t="s">
        <v>4656</v>
      </c>
      <c r="F389" s="432"/>
      <c r="G389" s="432"/>
      <c r="H389" s="432"/>
      <c r="I389" s="432" t="s">
        <v>2383</v>
      </c>
      <c r="J389" s="444"/>
      <c r="K389" s="432" t="s">
        <v>4667</v>
      </c>
      <c r="L389" s="432" t="s">
        <v>2443</v>
      </c>
      <c r="M389" s="433">
        <v>44682</v>
      </c>
      <c r="N389" s="433">
        <v>44652</v>
      </c>
      <c r="O389" s="433"/>
      <c r="P389" s="433"/>
      <c r="Q389" s="433"/>
      <c r="R389" s="433"/>
      <c r="S389" s="432" t="s">
        <v>2332</v>
      </c>
      <c r="T389" s="432">
        <v>60</v>
      </c>
      <c r="U389" s="432">
        <v>49204132</v>
      </c>
      <c r="V389" s="432" t="s">
        <v>1192</v>
      </c>
      <c r="W389" s="432">
        <v>360</v>
      </c>
      <c r="X389" s="436">
        <v>728</v>
      </c>
      <c r="Y389" s="422">
        <f t="shared" si="34"/>
        <v>262080</v>
      </c>
      <c r="Z389" s="409">
        <v>0.79</v>
      </c>
      <c r="AA389" s="423">
        <f t="shared" si="32"/>
        <v>207043.20000000001</v>
      </c>
      <c r="AB389" s="423"/>
      <c r="AC389" s="394">
        <v>0</v>
      </c>
      <c r="AD389" s="421"/>
      <c r="AE389" s="413"/>
      <c r="AF389" s="462">
        <f t="shared" si="33"/>
        <v>207043.20000000001</v>
      </c>
      <c r="AG389" s="405" t="s">
        <v>47</v>
      </c>
      <c r="AH389" s="405"/>
      <c r="AI389" s="405">
        <v>30</v>
      </c>
      <c r="AJ389" s="415" t="s">
        <v>2450</v>
      </c>
      <c r="AK389" s="405" t="s">
        <v>1317</v>
      </c>
      <c r="AL389" s="414" t="s">
        <v>2451</v>
      </c>
      <c r="AM389" s="405" t="s">
        <v>52</v>
      </c>
      <c r="AN389" s="405" t="s">
        <v>1071</v>
      </c>
      <c r="AO389" s="405"/>
      <c r="AP389" s="413"/>
      <c r="AQ389" s="413" t="s">
        <v>37</v>
      </c>
      <c r="AR389" s="413"/>
      <c r="AS389" s="403" t="s">
        <v>1073</v>
      </c>
      <c r="AT389" s="386" t="s">
        <v>1073</v>
      </c>
      <c r="AU389" s="386" t="s">
        <v>1073</v>
      </c>
      <c r="AV389" s="409">
        <v>0.73</v>
      </c>
    </row>
    <row r="390" spans="1:48" s="402" customFormat="1" ht="13.9" customHeight="1">
      <c r="A390" s="403"/>
      <c r="B390" s="397"/>
      <c r="C390" s="397"/>
      <c r="D390" s="432" t="s">
        <v>2330</v>
      </c>
      <c r="E390" s="379"/>
      <c r="F390" s="432"/>
      <c r="G390" s="432"/>
      <c r="H390" s="432"/>
      <c r="I390" s="432" t="s">
        <v>2383</v>
      </c>
      <c r="J390" s="444"/>
      <c r="K390" s="432" t="s">
        <v>4679</v>
      </c>
      <c r="L390" s="432" t="s">
        <v>2443</v>
      </c>
      <c r="M390" s="433">
        <v>44682</v>
      </c>
      <c r="N390" s="433">
        <v>44652</v>
      </c>
      <c r="O390" s="433"/>
      <c r="P390" s="433"/>
      <c r="Q390" s="433"/>
      <c r="R390" s="433"/>
      <c r="S390" s="432" t="s">
        <v>2332</v>
      </c>
      <c r="T390" s="432">
        <v>60</v>
      </c>
      <c r="U390" s="432">
        <v>49203132</v>
      </c>
      <c r="V390" s="432" t="s">
        <v>4669</v>
      </c>
      <c r="W390" s="432">
        <v>360</v>
      </c>
      <c r="X390" s="436">
        <v>832</v>
      </c>
      <c r="Y390" s="422">
        <f t="shared" si="34"/>
        <v>299520</v>
      </c>
      <c r="Z390" s="409">
        <v>0.52</v>
      </c>
      <c r="AA390" s="423">
        <f t="shared" si="32"/>
        <v>155750.39999999999</v>
      </c>
      <c r="AB390" s="423"/>
      <c r="AC390" s="394">
        <v>0</v>
      </c>
      <c r="AD390" s="421"/>
      <c r="AE390" s="413"/>
      <c r="AF390" s="462">
        <f t="shared" si="33"/>
        <v>155750.39999999999</v>
      </c>
      <c r="AG390" s="405" t="s">
        <v>47</v>
      </c>
      <c r="AH390" s="405"/>
      <c r="AI390" s="405">
        <v>30</v>
      </c>
      <c r="AJ390" s="415" t="s">
        <v>1647</v>
      </c>
      <c r="AK390" s="405" t="s">
        <v>1234</v>
      </c>
      <c r="AL390" s="414" t="s">
        <v>4680</v>
      </c>
      <c r="AM390" s="405" t="s">
        <v>52</v>
      </c>
      <c r="AN390" s="405" t="s">
        <v>1071</v>
      </c>
      <c r="AO390" s="405"/>
      <c r="AP390" s="413"/>
      <c r="AQ390" s="413" t="s">
        <v>37</v>
      </c>
      <c r="AR390" s="413"/>
      <c r="AS390" s="403" t="s">
        <v>1073</v>
      </c>
      <c r="AT390" s="386" t="s">
        <v>1073</v>
      </c>
      <c r="AU390" s="386" t="s">
        <v>1073</v>
      </c>
      <c r="AV390" s="409">
        <v>0.73</v>
      </c>
    </row>
    <row r="391" spans="1:48" s="402" customFormat="1" ht="13.9" customHeight="1">
      <c r="A391" s="403"/>
      <c r="B391" s="397"/>
      <c r="C391" s="397"/>
      <c r="D391" s="432" t="s">
        <v>2330</v>
      </c>
      <c r="E391" s="379"/>
      <c r="F391" s="432"/>
      <c r="G391" s="432"/>
      <c r="H391" s="432"/>
      <c r="I391" s="432" t="s">
        <v>2383</v>
      </c>
      <c r="J391" s="444"/>
      <c r="K391" s="432" t="s">
        <v>4681</v>
      </c>
      <c r="L391" s="432" t="s">
        <v>2443</v>
      </c>
      <c r="M391" s="433">
        <v>44682</v>
      </c>
      <c r="N391" s="433">
        <v>44652</v>
      </c>
      <c r="O391" s="433"/>
      <c r="P391" s="433"/>
      <c r="Q391" s="433"/>
      <c r="R391" s="433"/>
      <c r="S391" s="432" t="s">
        <v>2332</v>
      </c>
      <c r="T391" s="432">
        <v>60</v>
      </c>
      <c r="U391" s="432">
        <v>49203132</v>
      </c>
      <c r="V391" s="432" t="s">
        <v>4669</v>
      </c>
      <c r="W391" s="432">
        <v>360</v>
      </c>
      <c r="X391" s="436">
        <v>832</v>
      </c>
      <c r="Y391" s="422">
        <f t="shared" si="34"/>
        <v>299520</v>
      </c>
      <c r="Z391" s="409">
        <v>0.52</v>
      </c>
      <c r="AA391" s="423">
        <f t="shared" si="32"/>
        <v>155750.39999999999</v>
      </c>
      <c r="AB391" s="423"/>
      <c r="AC391" s="394">
        <v>0</v>
      </c>
      <c r="AD391" s="421"/>
      <c r="AE391" s="413"/>
      <c r="AF391" s="462">
        <f t="shared" si="33"/>
        <v>155750.39999999999</v>
      </c>
      <c r="AG391" s="405" t="s">
        <v>47</v>
      </c>
      <c r="AH391" s="405"/>
      <c r="AI391" s="405">
        <v>30</v>
      </c>
      <c r="AJ391" s="415" t="s">
        <v>4682</v>
      </c>
      <c r="AK391" s="405" t="s">
        <v>1183</v>
      </c>
      <c r="AL391" s="414" t="s">
        <v>4683</v>
      </c>
      <c r="AM391" s="405" t="s">
        <v>52</v>
      </c>
      <c r="AN391" s="405" t="s">
        <v>1071</v>
      </c>
      <c r="AO391" s="405"/>
      <c r="AP391" s="413"/>
      <c r="AQ391" s="413" t="s">
        <v>37</v>
      </c>
      <c r="AR391" s="413"/>
      <c r="AS391" s="403" t="s">
        <v>1073</v>
      </c>
      <c r="AT391" s="386" t="s">
        <v>1073</v>
      </c>
      <c r="AU391" s="386" t="s">
        <v>1073</v>
      </c>
      <c r="AV391" s="409">
        <v>0.73</v>
      </c>
    </row>
    <row r="392" spans="1:48" s="402" customFormat="1" ht="13.9" customHeight="1">
      <c r="A392" s="403"/>
      <c r="B392" s="397"/>
      <c r="C392" s="397"/>
      <c r="D392" s="432" t="s">
        <v>2330</v>
      </c>
      <c r="E392" s="379"/>
      <c r="F392" s="432"/>
      <c r="G392" s="432"/>
      <c r="H392" s="432"/>
      <c r="I392" s="432" t="s">
        <v>2383</v>
      </c>
      <c r="J392" s="444"/>
      <c r="K392" s="432" t="s">
        <v>4684</v>
      </c>
      <c r="L392" s="432" t="s">
        <v>2443</v>
      </c>
      <c r="M392" s="433">
        <v>44682</v>
      </c>
      <c r="N392" s="433">
        <v>44652</v>
      </c>
      <c r="O392" s="433"/>
      <c r="P392" s="433"/>
      <c r="Q392" s="433"/>
      <c r="R392" s="433"/>
      <c r="S392" s="432" t="s">
        <v>2332</v>
      </c>
      <c r="T392" s="432">
        <v>60</v>
      </c>
      <c r="U392" s="432">
        <v>49203132</v>
      </c>
      <c r="V392" s="432" t="s">
        <v>4669</v>
      </c>
      <c r="W392" s="432">
        <v>360</v>
      </c>
      <c r="X392" s="436">
        <v>832</v>
      </c>
      <c r="Y392" s="422">
        <f t="shared" si="34"/>
        <v>299520</v>
      </c>
      <c r="Z392" s="409">
        <v>0.52</v>
      </c>
      <c r="AA392" s="423">
        <f t="shared" si="32"/>
        <v>155750.39999999999</v>
      </c>
      <c r="AB392" s="423"/>
      <c r="AC392" s="394">
        <v>0</v>
      </c>
      <c r="AD392" s="421"/>
      <c r="AE392" s="413"/>
      <c r="AF392" s="462">
        <f t="shared" si="33"/>
        <v>155750.39999999999</v>
      </c>
      <c r="AG392" s="405" t="s">
        <v>47</v>
      </c>
      <c r="AH392" s="405"/>
      <c r="AI392" s="405">
        <v>30</v>
      </c>
      <c r="AJ392" s="415" t="s">
        <v>2454</v>
      </c>
      <c r="AK392" s="405" t="s">
        <v>1191</v>
      </c>
      <c r="AL392" s="414" t="s">
        <v>2455</v>
      </c>
      <c r="AM392" s="405" t="s">
        <v>52</v>
      </c>
      <c r="AN392" s="405" t="s">
        <v>1071</v>
      </c>
      <c r="AO392" s="405"/>
      <c r="AP392" s="413"/>
      <c r="AQ392" s="413" t="s">
        <v>37</v>
      </c>
      <c r="AR392" s="413"/>
      <c r="AS392" s="403" t="s">
        <v>1073</v>
      </c>
      <c r="AT392" s="386" t="s">
        <v>1073</v>
      </c>
      <c r="AU392" s="386" t="s">
        <v>1073</v>
      </c>
      <c r="AV392" s="409">
        <v>0.73</v>
      </c>
    </row>
    <row r="393" spans="1:48" s="402" customFormat="1" ht="13.9" customHeight="1">
      <c r="A393" s="403"/>
      <c r="B393" s="397"/>
      <c r="C393" s="397"/>
      <c r="D393" s="432" t="s">
        <v>2330</v>
      </c>
      <c r="E393" s="379"/>
      <c r="F393" s="432"/>
      <c r="G393" s="432"/>
      <c r="H393" s="432"/>
      <c r="I393" s="432" t="s">
        <v>2383</v>
      </c>
      <c r="J393" s="444"/>
      <c r="K393" s="432" t="s">
        <v>4685</v>
      </c>
      <c r="L393" s="432" t="s">
        <v>2443</v>
      </c>
      <c r="M393" s="433">
        <v>44682</v>
      </c>
      <c r="N393" s="433">
        <v>44652</v>
      </c>
      <c r="O393" s="433"/>
      <c r="P393" s="433"/>
      <c r="Q393" s="433"/>
      <c r="R393" s="433"/>
      <c r="S393" s="432" t="s">
        <v>2332</v>
      </c>
      <c r="T393" s="432">
        <v>60</v>
      </c>
      <c r="U393" s="432">
        <v>49203132</v>
      </c>
      <c r="V393" s="432" t="s">
        <v>4669</v>
      </c>
      <c r="W393" s="432">
        <v>360</v>
      </c>
      <c r="X393" s="436">
        <v>832</v>
      </c>
      <c r="Y393" s="422">
        <f t="shared" si="34"/>
        <v>299520</v>
      </c>
      <c r="Z393" s="409">
        <v>0.52</v>
      </c>
      <c r="AA393" s="423">
        <f t="shared" si="32"/>
        <v>155750.39999999999</v>
      </c>
      <c r="AB393" s="423"/>
      <c r="AC393" s="394">
        <v>0</v>
      </c>
      <c r="AD393" s="421"/>
      <c r="AE393" s="413"/>
      <c r="AF393" s="462">
        <f t="shared" si="33"/>
        <v>155750.39999999999</v>
      </c>
      <c r="AG393" s="405" t="s">
        <v>47</v>
      </c>
      <c r="AH393" s="405"/>
      <c r="AI393" s="405">
        <v>30</v>
      </c>
      <c r="AJ393" s="415" t="s">
        <v>4686</v>
      </c>
      <c r="AK393" s="405" t="s">
        <v>1191</v>
      </c>
      <c r="AL393" s="414" t="s">
        <v>2457</v>
      </c>
      <c r="AM393" s="405" t="s">
        <v>52</v>
      </c>
      <c r="AN393" s="405" t="s">
        <v>1071</v>
      </c>
      <c r="AO393" s="405"/>
      <c r="AP393" s="413"/>
      <c r="AQ393" s="413" t="s">
        <v>37</v>
      </c>
      <c r="AR393" s="413"/>
      <c r="AS393" s="403" t="s">
        <v>1073</v>
      </c>
      <c r="AT393" s="386" t="s">
        <v>1073</v>
      </c>
      <c r="AU393" s="386" t="s">
        <v>1073</v>
      </c>
      <c r="AV393" s="409">
        <v>0.73</v>
      </c>
    </row>
    <row r="394" spans="1:48" s="402" customFormat="1" ht="13.9" customHeight="1">
      <c r="A394" s="403"/>
      <c r="B394" s="397"/>
      <c r="C394" s="397"/>
      <c r="D394" s="432" t="s">
        <v>2330</v>
      </c>
      <c r="E394" s="379"/>
      <c r="F394" s="432"/>
      <c r="G394" s="432"/>
      <c r="H394" s="432"/>
      <c r="I394" s="432" t="s">
        <v>2383</v>
      </c>
      <c r="J394" s="444"/>
      <c r="K394" s="432" t="s">
        <v>4687</v>
      </c>
      <c r="L394" s="432" t="s">
        <v>2443</v>
      </c>
      <c r="M394" s="433">
        <v>44682</v>
      </c>
      <c r="N394" s="433">
        <v>44652</v>
      </c>
      <c r="O394" s="433"/>
      <c r="P394" s="433"/>
      <c r="Q394" s="433"/>
      <c r="R394" s="433"/>
      <c r="S394" s="432" t="s">
        <v>2332</v>
      </c>
      <c r="T394" s="432">
        <v>60</v>
      </c>
      <c r="U394" s="432">
        <v>49203132</v>
      </c>
      <c r="V394" s="432" t="s">
        <v>4669</v>
      </c>
      <c r="W394" s="432">
        <v>360</v>
      </c>
      <c r="X394" s="436">
        <v>832</v>
      </c>
      <c r="Y394" s="422">
        <f t="shared" si="34"/>
        <v>299520</v>
      </c>
      <c r="Z394" s="409">
        <v>0.52</v>
      </c>
      <c r="AA394" s="423">
        <f t="shared" si="32"/>
        <v>155750.39999999999</v>
      </c>
      <c r="AB394" s="423"/>
      <c r="AC394" s="394">
        <v>0</v>
      </c>
      <c r="AD394" s="421"/>
      <c r="AE394" s="413"/>
      <c r="AF394" s="462">
        <f t="shared" si="33"/>
        <v>155750.39999999999</v>
      </c>
      <c r="AG394" s="405" t="s">
        <v>47</v>
      </c>
      <c r="AH394" s="405"/>
      <c r="AI394" s="405">
        <v>30</v>
      </c>
      <c r="AJ394" s="415" t="s">
        <v>1177</v>
      </c>
      <c r="AK394" s="405" t="s">
        <v>1953</v>
      </c>
      <c r="AL394" s="414" t="s">
        <v>2456</v>
      </c>
      <c r="AM394" s="405" t="s">
        <v>52</v>
      </c>
      <c r="AN394" s="405" t="s">
        <v>1071</v>
      </c>
      <c r="AO394" s="405"/>
      <c r="AP394" s="413"/>
      <c r="AQ394" s="413" t="s">
        <v>37</v>
      </c>
      <c r="AR394" s="413"/>
      <c r="AS394" s="403" t="s">
        <v>1073</v>
      </c>
      <c r="AT394" s="386" t="s">
        <v>1073</v>
      </c>
      <c r="AU394" s="386" t="s">
        <v>1073</v>
      </c>
      <c r="AV394" s="409">
        <v>0.73</v>
      </c>
    </row>
    <row r="395" spans="1:48" s="402" customFormat="1" ht="13.9" customHeight="1">
      <c r="A395" s="403"/>
      <c r="B395" s="397"/>
      <c r="C395" s="397"/>
      <c r="D395" s="432" t="s">
        <v>2330</v>
      </c>
      <c r="E395" s="379"/>
      <c r="F395" s="432"/>
      <c r="G395" s="432"/>
      <c r="H395" s="432"/>
      <c r="I395" s="432" t="s">
        <v>2383</v>
      </c>
      <c r="J395" s="444"/>
      <c r="K395" s="432" t="s">
        <v>4688</v>
      </c>
      <c r="L395" s="432" t="s">
        <v>2443</v>
      </c>
      <c r="M395" s="433">
        <v>44682</v>
      </c>
      <c r="N395" s="433">
        <v>44652</v>
      </c>
      <c r="O395" s="433"/>
      <c r="P395" s="433"/>
      <c r="Q395" s="433"/>
      <c r="R395" s="433"/>
      <c r="S395" s="432" t="s">
        <v>2332</v>
      </c>
      <c r="T395" s="432">
        <v>60</v>
      </c>
      <c r="U395" s="432">
        <v>49203132</v>
      </c>
      <c r="V395" s="432" t="s">
        <v>4669</v>
      </c>
      <c r="W395" s="432">
        <v>360</v>
      </c>
      <c r="X395" s="436">
        <v>832</v>
      </c>
      <c r="Y395" s="422">
        <f t="shared" si="34"/>
        <v>299520</v>
      </c>
      <c r="Z395" s="409">
        <v>0.52</v>
      </c>
      <c r="AA395" s="423">
        <f t="shared" si="32"/>
        <v>155750.39999999999</v>
      </c>
      <c r="AB395" s="423"/>
      <c r="AC395" s="394">
        <v>0</v>
      </c>
      <c r="AD395" s="421"/>
      <c r="AE395" s="413"/>
      <c r="AF395" s="462">
        <f t="shared" si="33"/>
        <v>155750.39999999999</v>
      </c>
      <c r="AG395" s="405" t="s">
        <v>47</v>
      </c>
      <c r="AH395" s="405"/>
      <c r="AI395" s="405">
        <v>30</v>
      </c>
      <c r="AJ395" s="415" t="s">
        <v>2460</v>
      </c>
      <c r="AK395" s="405" t="s">
        <v>1110</v>
      </c>
      <c r="AL395" s="414" t="s">
        <v>2461</v>
      </c>
      <c r="AM395" s="405" t="s">
        <v>52</v>
      </c>
      <c r="AN395" s="405" t="s">
        <v>1071</v>
      </c>
      <c r="AO395" s="405"/>
      <c r="AP395" s="413"/>
      <c r="AQ395" s="413" t="s">
        <v>37</v>
      </c>
      <c r="AR395" s="413"/>
      <c r="AS395" s="403" t="s">
        <v>1073</v>
      </c>
      <c r="AT395" s="386" t="s">
        <v>1073</v>
      </c>
      <c r="AU395" s="386" t="s">
        <v>1073</v>
      </c>
      <c r="AV395" s="409">
        <v>0.73</v>
      </c>
    </row>
    <row r="396" spans="1:48" s="402" customFormat="1">
      <c r="A396" s="403"/>
      <c r="B396" s="397">
        <v>44573</v>
      </c>
      <c r="C396" s="397" t="s">
        <v>1186</v>
      </c>
      <c r="D396" s="432" t="s">
        <v>2330</v>
      </c>
      <c r="E396" s="379" t="s">
        <v>2406</v>
      </c>
      <c r="F396" s="432"/>
      <c r="G396" s="432"/>
      <c r="H396" s="432"/>
      <c r="I396" s="432" t="s">
        <v>2383</v>
      </c>
      <c r="J396" s="444"/>
      <c r="K396" s="432">
        <v>2200032</v>
      </c>
      <c r="L396" s="432" t="s">
        <v>2438</v>
      </c>
      <c r="M396" s="433">
        <v>44571</v>
      </c>
      <c r="N396" s="433">
        <v>44630</v>
      </c>
      <c r="O396" s="433"/>
      <c r="P396" s="433"/>
      <c r="Q396" s="433"/>
      <c r="R396" s="433"/>
      <c r="S396" s="432" t="s">
        <v>2332</v>
      </c>
      <c r="T396" s="432">
        <v>60</v>
      </c>
      <c r="U396" s="432">
        <v>49202132</v>
      </c>
      <c r="V396" s="432" t="s">
        <v>1192</v>
      </c>
      <c r="W396" s="432">
        <v>360</v>
      </c>
      <c r="X396" s="436">
        <v>728</v>
      </c>
      <c r="Y396" s="408">
        <f t="shared" si="34"/>
        <v>262080</v>
      </c>
      <c r="Z396" s="409">
        <v>0.79</v>
      </c>
      <c r="AA396" s="410">
        <f t="shared" si="32"/>
        <v>207043.20000000001</v>
      </c>
      <c r="AB396" s="410"/>
      <c r="AC396" s="394">
        <v>0</v>
      </c>
      <c r="AD396" s="421"/>
      <c r="AE396" s="413"/>
      <c r="AF396" s="462">
        <f t="shared" si="33"/>
        <v>207043.20000000001</v>
      </c>
      <c r="AG396" s="405" t="s">
        <v>47</v>
      </c>
      <c r="AH396" s="405"/>
      <c r="AI396" s="405">
        <v>60</v>
      </c>
      <c r="AJ396" s="415" t="s">
        <v>2441</v>
      </c>
      <c r="AK396" s="405" t="s">
        <v>1081</v>
      </c>
      <c r="AL396" s="414" t="s">
        <v>2442</v>
      </c>
      <c r="AM396" s="405" t="s">
        <v>52</v>
      </c>
      <c r="AN396" s="405" t="s">
        <v>1071</v>
      </c>
      <c r="AO396" s="405"/>
      <c r="AP396" s="413"/>
      <c r="AQ396" s="413" t="s">
        <v>37</v>
      </c>
      <c r="AR396" s="413"/>
      <c r="AS396" s="403" t="s">
        <v>1073</v>
      </c>
      <c r="AT396" s="386" t="s">
        <v>1073</v>
      </c>
      <c r="AU396" s="386" t="s">
        <v>1073</v>
      </c>
      <c r="AV396" s="409"/>
    </row>
    <row r="397" spans="1:48" s="402" customFormat="1" ht="13.9" customHeight="1">
      <c r="A397" s="403"/>
      <c r="B397" s="397">
        <v>44586</v>
      </c>
      <c r="C397" s="397" t="s">
        <v>1186</v>
      </c>
      <c r="D397" s="432" t="s">
        <v>2330</v>
      </c>
      <c r="E397" s="379" t="s">
        <v>2406</v>
      </c>
      <c r="F397" s="432"/>
      <c r="G397" s="432"/>
      <c r="H397" s="432"/>
      <c r="I397" s="432" t="s">
        <v>2383</v>
      </c>
      <c r="J397" s="444"/>
      <c r="K397" s="432">
        <v>2200094</v>
      </c>
      <c r="L397" s="432" t="s">
        <v>2438</v>
      </c>
      <c r="M397" s="433">
        <v>44586</v>
      </c>
      <c r="N397" s="433">
        <v>44630</v>
      </c>
      <c r="O397" s="433"/>
      <c r="P397" s="433"/>
      <c r="Q397" s="433"/>
      <c r="R397" s="433"/>
      <c r="S397" s="432" t="s">
        <v>2332</v>
      </c>
      <c r="T397" s="432">
        <v>60</v>
      </c>
      <c r="U397" s="432">
        <v>49202132</v>
      </c>
      <c r="V397" s="432" t="s">
        <v>1192</v>
      </c>
      <c r="W397" s="432">
        <v>360</v>
      </c>
      <c r="X397" s="436">
        <v>728</v>
      </c>
      <c r="Y397" s="408">
        <f t="shared" si="34"/>
        <v>262080</v>
      </c>
      <c r="Z397" s="409">
        <v>0.79</v>
      </c>
      <c r="AA397" s="410">
        <f t="shared" si="32"/>
        <v>207043.20000000001</v>
      </c>
      <c r="AB397" s="410"/>
      <c r="AC397" s="394">
        <v>0</v>
      </c>
      <c r="AD397" s="421"/>
      <c r="AE397" s="413"/>
      <c r="AF397" s="462">
        <f t="shared" si="33"/>
        <v>207043.20000000001</v>
      </c>
      <c r="AG397" s="405" t="s">
        <v>47</v>
      </c>
      <c r="AH397" s="405"/>
      <c r="AI397" s="405">
        <v>60</v>
      </c>
      <c r="AJ397" s="415" t="s">
        <v>2441</v>
      </c>
      <c r="AK397" s="405" t="s">
        <v>1081</v>
      </c>
      <c r="AL397" s="414" t="s">
        <v>2442</v>
      </c>
      <c r="AM397" s="405" t="s">
        <v>52</v>
      </c>
      <c r="AN397" s="405" t="s">
        <v>1071</v>
      </c>
      <c r="AO397" s="405"/>
      <c r="AP397" s="413"/>
      <c r="AQ397" s="413" t="s">
        <v>37</v>
      </c>
      <c r="AR397" s="413"/>
      <c r="AS397" s="403" t="s">
        <v>1073</v>
      </c>
      <c r="AT397" s="386" t="s">
        <v>1073</v>
      </c>
      <c r="AU397" s="386" t="s">
        <v>1073</v>
      </c>
      <c r="AV397" s="409"/>
    </row>
    <row r="398" spans="1:48" s="402" customFormat="1" ht="13.9" customHeight="1">
      <c r="A398" s="403"/>
      <c r="B398" s="397">
        <v>44593</v>
      </c>
      <c r="C398" s="397" t="s">
        <v>1186</v>
      </c>
      <c r="D398" s="432" t="s">
        <v>2330</v>
      </c>
      <c r="E398" s="379" t="s">
        <v>2406</v>
      </c>
      <c r="F398" s="432"/>
      <c r="G398" s="432"/>
      <c r="H398" s="432"/>
      <c r="I398" s="432" t="s">
        <v>2383</v>
      </c>
      <c r="J398" s="444"/>
      <c r="K398" s="432">
        <v>2200114</v>
      </c>
      <c r="L398" s="432" t="s">
        <v>2438</v>
      </c>
      <c r="M398" s="433">
        <v>44588</v>
      </c>
      <c r="N398" s="433">
        <v>44868</v>
      </c>
      <c r="O398" s="433"/>
      <c r="P398" s="433"/>
      <c r="Q398" s="433"/>
      <c r="R398" s="433"/>
      <c r="S398" s="432" t="s">
        <v>2332</v>
      </c>
      <c r="T398" s="432">
        <v>60</v>
      </c>
      <c r="U398" s="432">
        <v>49202132</v>
      </c>
      <c r="V398" s="432" t="s">
        <v>1192</v>
      </c>
      <c r="W398" s="432">
        <v>360</v>
      </c>
      <c r="X398" s="436">
        <v>728</v>
      </c>
      <c r="Y398" s="408">
        <f t="shared" si="34"/>
        <v>262080</v>
      </c>
      <c r="Z398" s="409">
        <v>0.79</v>
      </c>
      <c r="AA398" s="410">
        <f t="shared" si="32"/>
        <v>207043.20000000001</v>
      </c>
      <c r="AB398" s="410"/>
      <c r="AC398" s="394">
        <v>0</v>
      </c>
      <c r="AD398" s="421"/>
      <c r="AE398" s="413"/>
      <c r="AF398" s="462">
        <f t="shared" si="33"/>
        <v>207043.20000000001</v>
      </c>
      <c r="AG398" s="405" t="s">
        <v>47</v>
      </c>
      <c r="AH398" s="405"/>
      <c r="AI398" s="405">
        <v>60</v>
      </c>
      <c r="AJ398" s="415" t="s">
        <v>2439</v>
      </c>
      <c r="AK398" s="405" t="s">
        <v>1081</v>
      </c>
      <c r="AL398" s="414" t="s">
        <v>2440</v>
      </c>
      <c r="AM398" s="405" t="s">
        <v>52</v>
      </c>
      <c r="AN398" s="405" t="s">
        <v>1071</v>
      </c>
      <c r="AO398" s="405"/>
      <c r="AP398" s="413"/>
      <c r="AQ398" s="413" t="s">
        <v>37</v>
      </c>
      <c r="AR398" s="413"/>
      <c r="AS398" s="403" t="s">
        <v>1073</v>
      </c>
      <c r="AT398" s="386" t="s">
        <v>1073</v>
      </c>
      <c r="AU398" s="386" t="s">
        <v>1073</v>
      </c>
      <c r="AV398" s="409"/>
    </row>
    <row r="399" spans="1:48" s="402" customFormat="1" ht="13.9" customHeight="1">
      <c r="A399" s="403"/>
      <c r="B399" s="397">
        <v>44642</v>
      </c>
      <c r="C399" s="397" t="s">
        <v>1186</v>
      </c>
      <c r="D399" s="432" t="s">
        <v>2330</v>
      </c>
      <c r="E399" s="379" t="s">
        <v>3600</v>
      </c>
      <c r="F399" s="432"/>
      <c r="G399" s="432"/>
      <c r="H399" s="432"/>
      <c r="I399" s="432" t="s">
        <v>2383</v>
      </c>
      <c r="J399" s="444"/>
      <c r="K399" s="432" t="s">
        <v>3601</v>
      </c>
      <c r="L399" s="432" t="s">
        <v>2408</v>
      </c>
      <c r="M399" s="433">
        <v>44637</v>
      </c>
      <c r="N399" s="433">
        <v>44742</v>
      </c>
      <c r="O399" s="433"/>
      <c r="P399" s="433"/>
      <c r="Q399" s="433"/>
      <c r="R399" s="433"/>
      <c r="S399" s="432" t="s">
        <v>2332</v>
      </c>
      <c r="T399" s="432">
        <v>60</v>
      </c>
      <c r="U399" s="432">
        <v>49403140</v>
      </c>
      <c r="V399" s="432" t="s">
        <v>973</v>
      </c>
      <c r="W399" s="432">
        <v>400</v>
      </c>
      <c r="X399" s="436">
        <v>768</v>
      </c>
      <c r="Y399" s="408">
        <f t="shared" si="34"/>
        <v>307200</v>
      </c>
      <c r="Z399" s="409">
        <v>0.495</v>
      </c>
      <c r="AA399" s="410">
        <f t="shared" si="32"/>
        <v>152064</v>
      </c>
      <c r="AB399" s="410"/>
      <c r="AC399" s="394">
        <v>0</v>
      </c>
      <c r="AD399" s="421"/>
      <c r="AE399" s="413"/>
      <c r="AF399" s="462">
        <f t="shared" si="33"/>
        <v>152064</v>
      </c>
      <c r="AG399" s="405" t="s">
        <v>47</v>
      </c>
      <c r="AH399" s="405"/>
      <c r="AI399" s="405">
        <v>60</v>
      </c>
      <c r="AJ399" s="415" t="s">
        <v>2418</v>
      </c>
      <c r="AK399" s="405" t="s">
        <v>1452</v>
      </c>
      <c r="AL399" s="414" t="s">
        <v>2419</v>
      </c>
      <c r="AM399" s="405" t="s">
        <v>52</v>
      </c>
      <c r="AN399" s="405" t="s">
        <v>1071</v>
      </c>
      <c r="AO399" s="405"/>
      <c r="AP399" s="413"/>
      <c r="AQ399" s="413" t="s">
        <v>37</v>
      </c>
      <c r="AR399" s="413"/>
      <c r="AS399" s="403" t="s">
        <v>1073</v>
      </c>
      <c r="AT399" s="386" t="s">
        <v>1073</v>
      </c>
      <c r="AU399" s="386" t="s">
        <v>1073</v>
      </c>
      <c r="AV399" s="409"/>
    </row>
    <row r="400" spans="1:48" s="402" customFormat="1">
      <c r="A400" s="403"/>
      <c r="B400" s="397">
        <v>44642</v>
      </c>
      <c r="C400" s="397" t="s">
        <v>1186</v>
      </c>
      <c r="D400" s="432" t="s">
        <v>2330</v>
      </c>
      <c r="E400" s="379" t="s">
        <v>3600</v>
      </c>
      <c r="F400" s="432"/>
      <c r="G400" s="432"/>
      <c r="H400" s="432"/>
      <c r="I400" s="432" t="s">
        <v>2383</v>
      </c>
      <c r="J400" s="444"/>
      <c r="K400" s="432" t="s">
        <v>3602</v>
      </c>
      <c r="L400" s="432" t="s">
        <v>2408</v>
      </c>
      <c r="M400" s="433">
        <v>44637</v>
      </c>
      <c r="N400" s="433">
        <v>44742</v>
      </c>
      <c r="O400" s="433"/>
      <c r="P400" s="433"/>
      <c r="Q400" s="433"/>
      <c r="R400" s="433"/>
      <c r="S400" s="432" t="s">
        <v>2332</v>
      </c>
      <c r="T400" s="432">
        <v>60</v>
      </c>
      <c r="U400" s="432">
        <v>49403140</v>
      </c>
      <c r="V400" s="432" t="s">
        <v>973</v>
      </c>
      <c r="W400" s="432">
        <v>400</v>
      </c>
      <c r="X400" s="436">
        <v>768</v>
      </c>
      <c r="Y400" s="408">
        <f t="shared" si="34"/>
        <v>307200</v>
      </c>
      <c r="Z400" s="409">
        <v>0.495</v>
      </c>
      <c r="AA400" s="410">
        <f t="shared" si="32"/>
        <v>152064</v>
      </c>
      <c r="AB400" s="410"/>
      <c r="AC400" s="394">
        <v>0</v>
      </c>
      <c r="AD400" s="421"/>
      <c r="AE400" s="413"/>
      <c r="AF400" s="462">
        <f t="shared" si="33"/>
        <v>152064</v>
      </c>
      <c r="AG400" s="405" t="s">
        <v>47</v>
      </c>
      <c r="AH400" s="405"/>
      <c r="AI400" s="405">
        <v>60</v>
      </c>
      <c r="AJ400" s="415" t="s">
        <v>2418</v>
      </c>
      <c r="AK400" s="405" t="s">
        <v>1452</v>
      </c>
      <c r="AL400" s="414" t="s">
        <v>2419</v>
      </c>
      <c r="AM400" s="405" t="s">
        <v>52</v>
      </c>
      <c r="AN400" s="405" t="s">
        <v>1071</v>
      </c>
      <c r="AO400" s="405"/>
      <c r="AP400" s="413"/>
      <c r="AQ400" s="413" t="s">
        <v>37</v>
      </c>
      <c r="AR400" s="413"/>
      <c r="AS400" s="403" t="s">
        <v>1073</v>
      </c>
      <c r="AT400" s="386" t="s">
        <v>1073</v>
      </c>
      <c r="AU400" s="386" t="s">
        <v>1073</v>
      </c>
      <c r="AV400" s="409"/>
    </row>
    <row r="401" spans="1:48" s="402" customFormat="1">
      <c r="A401" s="403"/>
      <c r="B401" s="397">
        <v>44642</v>
      </c>
      <c r="C401" s="397" t="s">
        <v>1186</v>
      </c>
      <c r="D401" s="432" t="s">
        <v>2330</v>
      </c>
      <c r="E401" s="379" t="s">
        <v>3600</v>
      </c>
      <c r="F401" s="432"/>
      <c r="G401" s="432"/>
      <c r="H401" s="432"/>
      <c r="I401" s="432" t="s">
        <v>2383</v>
      </c>
      <c r="J401" s="444"/>
      <c r="K401" s="432" t="s">
        <v>3603</v>
      </c>
      <c r="L401" s="432" t="s">
        <v>2408</v>
      </c>
      <c r="M401" s="433">
        <v>44637</v>
      </c>
      <c r="N401" s="433">
        <v>44742</v>
      </c>
      <c r="O401" s="433"/>
      <c r="P401" s="433"/>
      <c r="Q401" s="433"/>
      <c r="R401" s="433"/>
      <c r="S401" s="432" t="s">
        <v>2332</v>
      </c>
      <c r="T401" s="432">
        <v>60</v>
      </c>
      <c r="U401" s="432">
        <v>49403140</v>
      </c>
      <c r="V401" s="432" t="s">
        <v>973</v>
      </c>
      <c r="W401" s="432">
        <v>400</v>
      </c>
      <c r="X401" s="436">
        <v>768</v>
      </c>
      <c r="Y401" s="408">
        <f t="shared" si="34"/>
        <v>307200</v>
      </c>
      <c r="Z401" s="409">
        <v>0.495</v>
      </c>
      <c r="AA401" s="410">
        <f t="shared" si="32"/>
        <v>152064</v>
      </c>
      <c r="AB401" s="410"/>
      <c r="AC401" s="394">
        <v>0</v>
      </c>
      <c r="AD401" s="421"/>
      <c r="AE401" s="413"/>
      <c r="AF401" s="462">
        <f t="shared" si="33"/>
        <v>152064</v>
      </c>
      <c r="AG401" s="405" t="s">
        <v>47</v>
      </c>
      <c r="AH401" s="405"/>
      <c r="AI401" s="405">
        <v>60</v>
      </c>
      <c r="AJ401" s="415" t="s">
        <v>2420</v>
      </c>
      <c r="AK401" s="405" t="s">
        <v>1452</v>
      </c>
      <c r="AL401" s="414" t="s">
        <v>2421</v>
      </c>
      <c r="AM401" s="405" t="s">
        <v>52</v>
      </c>
      <c r="AN401" s="405" t="s">
        <v>1071</v>
      </c>
      <c r="AO401" s="405"/>
      <c r="AP401" s="413"/>
      <c r="AQ401" s="413" t="s">
        <v>37</v>
      </c>
      <c r="AR401" s="413"/>
      <c r="AS401" s="403" t="s">
        <v>1073</v>
      </c>
      <c r="AT401" s="386" t="s">
        <v>1073</v>
      </c>
      <c r="AU401" s="386" t="s">
        <v>1073</v>
      </c>
      <c r="AV401" s="409"/>
    </row>
    <row r="402" spans="1:48" s="402" customFormat="1">
      <c r="A402" s="403"/>
      <c r="B402" s="397">
        <v>44642</v>
      </c>
      <c r="C402" s="397" t="s">
        <v>1186</v>
      </c>
      <c r="D402" s="432" t="s">
        <v>2330</v>
      </c>
      <c r="E402" s="379" t="s">
        <v>3600</v>
      </c>
      <c r="F402" s="432"/>
      <c r="G402" s="432"/>
      <c r="H402" s="432"/>
      <c r="I402" s="432" t="s">
        <v>2383</v>
      </c>
      <c r="J402" s="444"/>
      <c r="K402" s="432" t="s">
        <v>3604</v>
      </c>
      <c r="L402" s="432" t="s">
        <v>2408</v>
      </c>
      <c r="M402" s="433">
        <v>44637</v>
      </c>
      <c r="N402" s="433">
        <v>44742</v>
      </c>
      <c r="O402" s="433"/>
      <c r="P402" s="433"/>
      <c r="Q402" s="433"/>
      <c r="R402" s="433"/>
      <c r="S402" s="432" t="s">
        <v>2332</v>
      </c>
      <c r="T402" s="432">
        <v>60</v>
      </c>
      <c r="U402" s="432">
        <v>49403140</v>
      </c>
      <c r="V402" s="432" t="s">
        <v>973</v>
      </c>
      <c r="W402" s="432">
        <v>400</v>
      </c>
      <c r="X402" s="436">
        <v>768</v>
      </c>
      <c r="Y402" s="408">
        <f t="shared" si="34"/>
        <v>307200</v>
      </c>
      <c r="Z402" s="409">
        <v>0.495</v>
      </c>
      <c r="AA402" s="410">
        <f t="shared" si="32"/>
        <v>152064</v>
      </c>
      <c r="AB402" s="410"/>
      <c r="AC402" s="394">
        <v>0</v>
      </c>
      <c r="AD402" s="421"/>
      <c r="AE402" s="413"/>
      <c r="AF402" s="462">
        <f t="shared" si="33"/>
        <v>152064</v>
      </c>
      <c r="AG402" s="405" t="s">
        <v>47</v>
      </c>
      <c r="AH402" s="405"/>
      <c r="AI402" s="405">
        <v>60</v>
      </c>
      <c r="AJ402" s="415" t="s">
        <v>2420</v>
      </c>
      <c r="AK402" s="405" t="s">
        <v>1452</v>
      </c>
      <c r="AL402" s="414" t="s">
        <v>2421</v>
      </c>
      <c r="AM402" s="405" t="s">
        <v>52</v>
      </c>
      <c r="AN402" s="405" t="s">
        <v>1071</v>
      </c>
      <c r="AO402" s="405"/>
      <c r="AP402" s="413"/>
      <c r="AQ402" s="413" t="s">
        <v>37</v>
      </c>
      <c r="AR402" s="413"/>
      <c r="AS402" s="403" t="s">
        <v>1073</v>
      </c>
      <c r="AT402" s="386" t="s">
        <v>1073</v>
      </c>
      <c r="AU402" s="386" t="s">
        <v>1073</v>
      </c>
      <c r="AV402" s="409"/>
    </row>
    <row r="403" spans="1:48" s="402" customFormat="1">
      <c r="A403" s="403"/>
      <c r="B403" s="397">
        <v>44642</v>
      </c>
      <c r="C403" s="397" t="s">
        <v>1186</v>
      </c>
      <c r="D403" s="432" t="s">
        <v>2330</v>
      </c>
      <c r="E403" s="379" t="s">
        <v>3600</v>
      </c>
      <c r="F403" s="432"/>
      <c r="G403" s="432"/>
      <c r="H403" s="432"/>
      <c r="I403" s="432" t="s">
        <v>2383</v>
      </c>
      <c r="J403" s="444"/>
      <c r="K403" s="432" t="s">
        <v>3605</v>
      </c>
      <c r="L403" s="432" t="s">
        <v>2408</v>
      </c>
      <c r="M403" s="433">
        <v>44637</v>
      </c>
      <c r="N403" s="433">
        <v>44742</v>
      </c>
      <c r="O403" s="433"/>
      <c r="P403" s="433"/>
      <c r="Q403" s="433"/>
      <c r="R403" s="433"/>
      <c r="S403" s="432" t="s">
        <v>2332</v>
      </c>
      <c r="T403" s="432">
        <v>60</v>
      </c>
      <c r="U403" s="432">
        <v>49403140</v>
      </c>
      <c r="V403" s="432" t="s">
        <v>973</v>
      </c>
      <c r="W403" s="432">
        <v>400</v>
      </c>
      <c r="X403" s="436">
        <v>768</v>
      </c>
      <c r="Y403" s="408">
        <f t="shared" si="34"/>
        <v>307200</v>
      </c>
      <c r="Z403" s="409">
        <v>0.495</v>
      </c>
      <c r="AA403" s="410">
        <f t="shared" si="32"/>
        <v>152064</v>
      </c>
      <c r="AB403" s="410"/>
      <c r="AC403" s="394">
        <v>0</v>
      </c>
      <c r="AD403" s="421"/>
      <c r="AE403" s="413"/>
      <c r="AF403" s="462">
        <f t="shared" si="33"/>
        <v>152064</v>
      </c>
      <c r="AG403" s="405" t="s">
        <v>47</v>
      </c>
      <c r="AH403" s="405"/>
      <c r="AI403" s="405">
        <v>60</v>
      </c>
      <c r="AJ403" s="415" t="s">
        <v>2416</v>
      </c>
      <c r="AK403" s="405" t="s">
        <v>1148</v>
      </c>
      <c r="AL403" s="414" t="s">
        <v>2417</v>
      </c>
      <c r="AM403" s="405" t="s">
        <v>52</v>
      </c>
      <c r="AN403" s="405" t="s">
        <v>1071</v>
      </c>
      <c r="AO403" s="405"/>
      <c r="AP403" s="413"/>
      <c r="AQ403" s="413" t="s">
        <v>37</v>
      </c>
      <c r="AR403" s="413"/>
      <c r="AS403" s="403" t="s">
        <v>1073</v>
      </c>
      <c r="AT403" s="386" t="s">
        <v>1073</v>
      </c>
      <c r="AU403" s="386" t="s">
        <v>1073</v>
      </c>
      <c r="AV403" s="409"/>
    </row>
    <row r="404" spans="1:48" s="402" customFormat="1">
      <c r="A404" s="403"/>
      <c r="B404" s="397">
        <v>44642</v>
      </c>
      <c r="C404" s="397" t="s">
        <v>1186</v>
      </c>
      <c r="D404" s="432" t="s">
        <v>2330</v>
      </c>
      <c r="E404" s="379" t="s">
        <v>3600</v>
      </c>
      <c r="F404" s="432"/>
      <c r="G404" s="432"/>
      <c r="H404" s="432"/>
      <c r="I404" s="432" t="s">
        <v>2383</v>
      </c>
      <c r="J404" s="444"/>
      <c r="K404" s="432" t="s">
        <v>3606</v>
      </c>
      <c r="L404" s="432" t="s">
        <v>2408</v>
      </c>
      <c r="M404" s="433">
        <v>44637</v>
      </c>
      <c r="N404" s="433">
        <v>44742</v>
      </c>
      <c r="O404" s="433"/>
      <c r="P404" s="433"/>
      <c r="Q404" s="433"/>
      <c r="R404" s="433"/>
      <c r="S404" s="432" t="s">
        <v>2332</v>
      </c>
      <c r="T404" s="432">
        <v>60</v>
      </c>
      <c r="U404" s="432">
        <v>49403140</v>
      </c>
      <c r="V404" s="432" t="s">
        <v>973</v>
      </c>
      <c r="W404" s="432">
        <v>400</v>
      </c>
      <c r="X404" s="436">
        <v>768</v>
      </c>
      <c r="Y404" s="408">
        <f t="shared" si="34"/>
        <v>307200</v>
      </c>
      <c r="Z404" s="409">
        <v>0.495</v>
      </c>
      <c r="AA404" s="410">
        <f t="shared" si="32"/>
        <v>152064</v>
      </c>
      <c r="AB404" s="410"/>
      <c r="AC404" s="394">
        <v>0</v>
      </c>
      <c r="AD404" s="421"/>
      <c r="AE404" s="413"/>
      <c r="AF404" s="462">
        <f t="shared" si="33"/>
        <v>152064</v>
      </c>
      <c r="AG404" s="405" t="s">
        <v>47</v>
      </c>
      <c r="AH404" s="405"/>
      <c r="AI404" s="405">
        <v>60</v>
      </c>
      <c r="AJ404" s="415" t="s">
        <v>2416</v>
      </c>
      <c r="AK404" s="405" t="s">
        <v>1148</v>
      </c>
      <c r="AL404" s="414" t="s">
        <v>2417</v>
      </c>
      <c r="AM404" s="405" t="s">
        <v>52</v>
      </c>
      <c r="AN404" s="405" t="s">
        <v>1071</v>
      </c>
      <c r="AO404" s="405"/>
      <c r="AP404" s="413"/>
      <c r="AQ404" s="413" t="s">
        <v>37</v>
      </c>
      <c r="AR404" s="413"/>
      <c r="AS404" s="403" t="s">
        <v>1073</v>
      </c>
      <c r="AT404" s="386" t="s">
        <v>1073</v>
      </c>
      <c r="AU404" s="386" t="s">
        <v>1073</v>
      </c>
      <c r="AV404" s="409"/>
    </row>
    <row r="405" spans="1:48" s="402" customFormat="1">
      <c r="A405" s="403"/>
      <c r="B405" s="397">
        <v>44642</v>
      </c>
      <c r="C405" s="397" t="s">
        <v>1186</v>
      </c>
      <c r="D405" s="432" t="s">
        <v>2330</v>
      </c>
      <c r="E405" s="379" t="s">
        <v>3600</v>
      </c>
      <c r="F405" s="432"/>
      <c r="G405" s="432"/>
      <c r="H405" s="432"/>
      <c r="I405" s="432" t="s">
        <v>2383</v>
      </c>
      <c r="J405" s="444"/>
      <c r="K405" s="432" t="s">
        <v>3607</v>
      </c>
      <c r="L405" s="432" t="s">
        <v>2408</v>
      </c>
      <c r="M405" s="433">
        <v>44637</v>
      </c>
      <c r="N405" s="433">
        <v>44742</v>
      </c>
      <c r="O405" s="433"/>
      <c r="P405" s="433"/>
      <c r="Q405" s="433"/>
      <c r="R405" s="433"/>
      <c r="S405" s="432" t="s">
        <v>2332</v>
      </c>
      <c r="T405" s="432">
        <v>60</v>
      </c>
      <c r="U405" s="432">
        <v>49403140</v>
      </c>
      <c r="V405" s="432" t="s">
        <v>973</v>
      </c>
      <c r="W405" s="432">
        <v>400</v>
      </c>
      <c r="X405" s="436">
        <v>768</v>
      </c>
      <c r="Y405" s="408">
        <f t="shared" si="34"/>
        <v>307200</v>
      </c>
      <c r="Z405" s="409">
        <v>0.495</v>
      </c>
      <c r="AA405" s="410">
        <f t="shared" si="32"/>
        <v>152064</v>
      </c>
      <c r="AB405" s="410"/>
      <c r="AC405" s="394">
        <v>0</v>
      </c>
      <c r="AD405" s="421"/>
      <c r="AE405" s="413"/>
      <c r="AF405" s="462">
        <f t="shared" si="33"/>
        <v>152064</v>
      </c>
      <c r="AG405" s="405" t="s">
        <v>47</v>
      </c>
      <c r="AH405" s="405"/>
      <c r="AI405" s="405">
        <v>60</v>
      </c>
      <c r="AJ405" s="415" t="s">
        <v>2416</v>
      </c>
      <c r="AK405" s="405" t="s">
        <v>1148</v>
      </c>
      <c r="AL405" s="414" t="s">
        <v>2417</v>
      </c>
      <c r="AM405" s="405" t="s">
        <v>52</v>
      </c>
      <c r="AN405" s="405" t="s">
        <v>1071</v>
      </c>
      <c r="AO405" s="405"/>
      <c r="AP405" s="413"/>
      <c r="AQ405" s="413" t="s">
        <v>37</v>
      </c>
      <c r="AR405" s="413"/>
      <c r="AS405" s="403" t="s">
        <v>1073</v>
      </c>
      <c r="AT405" s="386" t="s">
        <v>1073</v>
      </c>
      <c r="AU405" s="386" t="s">
        <v>1073</v>
      </c>
      <c r="AV405" s="409"/>
    </row>
    <row r="406" spans="1:48" s="402" customFormat="1" ht="13.9" customHeight="1">
      <c r="A406" s="403"/>
      <c r="B406" s="397">
        <v>44642</v>
      </c>
      <c r="C406" s="397" t="s">
        <v>1186</v>
      </c>
      <c r="D406" s="432" t="s">
        <v>2330</v>
      </c>
      <c r="E406" s="379" t="s">
        <v>3600</v>
      </c>
      <c r="F406" s="432"/>
      <c r="G406" s="432"/>
      <c r="H406" s="432"/>
      <c r="I406" s="432" t="s">
        <v>2383</v>
      </c>
      <c r="J406" s="444"/>
      <c r="K406" s="432" t="s">
        <v>3608</v>
      </c>
      <c r="L406" s="432" t="s">
        <v>2408</v>
      </c>
      <c r="M406" s="433">
        <v>44637</v>
      </c>
      <c r="N406" s="433">
        <v>44742</v>
      </c>
      <c r="O406" s="433"/>
      <c r="P406" s="433"/>
      <c r="Q406" s="433"/>
      <c r="R406" s="433"/>
      <c r="S406" s="432" t="s">
        <v>2332</v>
      </c>
      <c r="T406" s="432">
        <v>60</v>
      </c>
      <c r="U406" s="432">
        <v>49403140</v>
      </c>
      <c r="V406" s="432" t="s">
        <v>973</v>
      </c>
      <c r="W406" s="432">
        <v>400</v>
      </c>
      <c r="X406" s="436">
        <v>768</v>
      </c>
      <c r="Y406" s="408">
        <f t="shared" si="34"/>
        <v>307200</v>
      </c>
      <c r="Z406" s="409">
        <v>0.495</v>
      </c>
      <c r="AA406" s="410">
        <f t="shared" si="32"/>
        <v>152064</v>
      </c>
      <c r="AB406" s="410"/>
      <c r="AC406" s="394">
        <v>0</v>
      </c>
      <c r="AD406" s="421"/>
      <c r="AE406" s="413"/>
      <c r="AF406" s="462">
        <f t="shared" si="33"/>
        <v>152064</v>
      </c>
      <c r="AG406" s="405" t="s">
        <v>47</v>
      </c>
      <c r="AH406" s="405"/>
      <c r="AI406" s="405">
        <v>60</v>
      </c>
      <c r="AJ406" s="415" t="s">
        <v>2410</v>
      </c>
      <c r="AK406" s="405" t="s">
        <v>1317</v>
      </c>
      <c r="AL406" s="414" t="s">
        <v>2426</v>
      </c>
      <c r="AM406" s="405" t="s">
        <v>52</v>
      </c>
      <c r="AN406" s="405" t="s">
        <v>1071</v>
      </c>
      <c r="AO406" s="405"/>
      <c r="AP406" s="413"/>
      <c r="AQ406" s="413" t="s">
        <v>37</v>
      </c>
      <c r="AR406" s="413"/>
      <c r="AS406" s="403" t="s">
        <v>1073</v>
      </c>
      <c r="AT406" s="386" t="s">
        <v>1073</v>
      </c>
      <c r="AU406" s="386" t="s">
        <v>1073</v>
      </c>
      <c r="AV406" s="409"/>
    </row>
    <row r="407" spans="1:48" s="402" customFormat="1">
      <c r="A407" s="403"/>
      <c r="B407" s="397">
        <v>44642</v>
      </c>
      <c r="C407" s="397" t="s">
        <v>1186</v>
      </c>
      <c r="D407" s="432" t="s">
        <v>2330</v>
      </c>
      <c r="E407" s="379" t="s">
        <v>3600</v>
      </c>
      <c r="F407" s="432"/>
      <c r="G407" s="432"/>
      <c r="H407" s="432"/>
      <c r="I407" s="432" t="s">
        <v>2383</v>
      </c>
      <c r="J407" s="444"/>
      <c r="K407" s="432"/>
      <c r="L407" s="432" t="s">
        <v>2408</v>
      </c>
      <c r="M407" s="433">
        <v>44637</v>
      </c>
      <c r="N407" s="433">
        <v>44742</v>
      </c>
      <c r="O407" s="433"/>
      <c r="P407" s="433"/>
      <c r="Q407" s="433"/>
      <c r="R407" s="433"/>
      <c r="S407" s="432" t="s">
        <v>2332</v>
      </c>
      <c r="T407" s="432">
        <v>60</v>
      </c>
      <c r="U407" s="432">
        <v>49403140</v>
      </c>
      <c r="V407" s="432" t="s">
        <v>973</v>
      </c>
      <c r="W407" s="432">
        <v>400</v>
      </c>
      <c r="X407" s="436">
        <v>768</v>
      </c>
      <c r="Y407" s="408">
        <f t="shared" si="34"/>
        <v>307200</v>
      </c>
      <c r="Z407" s="409">
        <v>0.495</v>
      </c>
      <c r="AA407" s="410">
        <f t="shared" si="32"/>
        <v>152064</v>
      </c>
      <c r="AB407" s="410"/>
      <c r="AC407" s="394">
        <v>0</v>
      </c>
      <c r="AD407" s="421"/>
      <c r="AE407" s="413"/>
      <c r="AF407" s="462">
        <f t="shared" si="33"/>
        <v>152064</v>
      </c>
      <c r="AG407" s="405" t="s">
        <v>47</v>
      </c>
      <c r="AH407" s="405"/>
      <c r="AI407" s="405">
        <v>60</v>
      </c>
      <c r="AJ407" s="415" t="s">
        <v>2410</v>
      </c>
      <c r="AK407" s="405" t="s">
        <v>1317</v>
      </c>
      <c r="AL407" s="414" t="s">
        <v>2426</v>
      </c>
      <c r="AM407" s="405" t="s">
        <v>52</v>
      </c>
      <c r="AN407" s="405" t="s">
        <v>1071</v>
      </c>
      <c r="AO407" s="405"/>
      <c r="AP407" s="413"/>
      <c r="AQ407" s="413" t="s">
        <v>37</v>
      </c>
      <c r="AR407" s="413"/>
      <c r="AS407" s="403" t="s">
        <v>1073</v>
      </c>
      <c r="AT407" s="386" t="s">
        <v>1073</v>
      </c>
      <c r="AU407" s="386" t="s">
        <v>1073</v>
      </c>
      <c r="AV407" s="409"/>
    </row>
    <row r="408" spans="1:48" s="402" customFormat="1">
      <c r="A408" s="403"/>
      <c r="B408" s="397">
        <v>44642</v>
      </c>
      <c r="C408" s="397" t="s">
        <v>1186</v>
      </c>
      <c r="D408" s="432" t="s">
        <v>2330</v>
      </c>
      <c r="E408" s="379" t="s">
        <v>3600</v>
      </c>
      <c r="F408" s="432"/>
      <c r="G408" s="432"/>
      <c r="H408" s="432"/>
      <c r="I408" s="432" t="s">
        <v>2383</v>
      </c>
      <c r="J408" s="444"/>
      <c r="K408" s="432" t="s">
        <v>3609</v>
      </c>
      <c r="L408" s="432" t="s">
        <v>2408</v>
      </c>
      <c r="M408" s="433">
        <v>44637</v>
      </c>
      <c r="N408" s="433">
        <v>44742</v>
      </c>
      <c r="O408" s="433"/>
      <c r="P408" s="433"/>
      <c r="Q408" s="433"/>
      <c r="R408" s="433"/>
      <c r="S408" s="432" t="s">
        <v>2332</v>
      </c>
      <c r="T408" s="432">
        <v>60</v>
      </c>
      <c r="U408" s="432">
        <v>49403140</v>
      </c>
      <c r="V408" s="432" t="s">
        <v>973</v>
      </c>
      <c r="W408" s="432">
        <v>400</v>
      </c>
      <c r="X408" s="436">
        <v>768</v>
      </c>
      <c r="Y408" s="408">
        <f t="shared" si="34"/>
        <v>307200</v>
      </c>
      <c r="Z408" s="409">
        <v>0.495</v>
      </c>
      <c r="AA408" s="410">
        <f t="shared" si="32"/>
        <v>152064</v>
      </c>
      <c r="AB408" s="410"/>
      <c r="AC408" s="394">
        <v>0</v>
      </c>
      <c r="AD408" s="421"/>
      <c r="AE408" s="413"/>
      <c r="AF408" s="462">
        <f t="shared" si="33"/>
        <v>152064</v>
      </c>
      <c r="AG408" s="405" t="s">
        <v>47</v>
      </c>
      <c r="AH408" s="405"/>
      <c r="AI408" s="405">
        <v>60</v>
      </c>
      <c r="AJ408" s="415" t="s">
        <v>2409</v>
      </c>
      <c r="AK408" s="405" t="s">
        <v>1148</v>
      </c>
      <c r="AL408" s="414" t="s">
        <v>2424</v>
      </c>
      <c r="AM408" s="405" t="s">
        <v>52</v>
      </c>
      <c r="AN408" s="405" t="s">
        <v>1071</v>
      </c>
      <c r="AO408" s="405"/>
      <c r="AP408" s="413"/>
      <c r="AQ408" s="413" t="s">
        <v>37</v>
      </c>
      <c r="AR408" s="413"/>
      <c r="AS408" s="403" t="s">
        <v>1073</v>
      </c>
      <c r="AT408" s="386" t="s">
        <v>1073</v>
      </c>
      <c r="AU408" s="386" t="s">
        <v>1073</v>
      </c>
      <c r="AV408" s="409"/>
    </row>
    <row r="409" spans="1:48" s="402" customFormat="1">
      <c r="A409" s="403"/>
      <c r="B409" s="397">
        <v>44642</v>
      </c>
      <c r="C409" s="397" t="s">
        <v>1186</v>
      </c>
      <c r="D409" s="432" t="s">
        <v>2330</v>
      </c>
      <c r="E409" s="379" t="s">
        <v>3600</v>
      </c>
      <c r="F409" s="432"/>
      <c r="G409" s="432"/>
      <c r="H409" s="432"/>
      <c r="I409" s="432" t="s">
        <v>2383</v>
      </c>
      <c r="J409" s="444"/>
      <c r="K409" s="432" t="s">
        <v>3610</v>
      </c>
      <c r="L409" s="432" t="s">
        <v>2408</v>
      </c>
      <c r="M409" s="433">
        <v>44637</v>
      </c>
      <c r="N409" s="433">
        <v>44742</v>
      </c>
      <c r="O409" s="433"/>
      <c r="P409" s="433"/>
      <c r="Q409" s="433"/>
      <c r="R409" s="433"/>
      <c r="S409" s="432" t="s">
        <v>2332</v>
      </c>
      <c r="T409" s="432">
        <v>60</v>
      </c>
      <c r="U409" s="432">
        <v>49403140</v>
      </c>
      <c r="V409" s="432" t="s">
        <v>973</v>
      </c>
      <c r="W409" s="432">
        <v>400</v>
      </c>
      <c r="X409" s="436">
        <v>768</v>
      </c>
      <c r="Y409" s="408">
        <f t="shared" si="34"/>
        <v>307200</v>
      </c>
      <c r="Z409" s="409">
        <v>0.495</v>
      </c>
      <c r="AA409" s="410">
        <f t="shared" si="32"/>
        <v>152064</v>
      </c>
      <c r="AB409" s="410"/>
      <c r="AC409" s="394">
        <v>0</v>
      </c>
      <c r="AD409" s="421"/>
      <c r="AE409" s="413"/>
      <c r="AF409" s="462">
        <f t="shared" si="33"/>
        <v>152064</v>
      </c>
      <c r="AG409" s="405" t="s">
        <v>47</v>
      </c>
      <c r="AH409" s="405"/>
      <c r="AI409" s="405">
        <v>60</v>
      </c>
      <c r="AJ409" s="415" t="s">
        <v>2409</v>
      </c>
      <c r="AK409" s="405" t="s">
        <v>1148</v>
      </c>
      <c r="AL409" s="414" t="s">
        <v>2424</v>
      </c>
      <c r="AM409" s="405" t="s">
        <v>52</v>
      </c>
      <c r="AN409" s="405" t="s">
        <v>1071</v>
      </c>
      <c r="AO409" s="405"/>
      <c r="AP409" s="413"/>
      <c r="AQ409" s="413" t="s">
        <v>37</v>
      </c>
      <c r="AR409" s="413"/>
      <c r="AS409" s="403" t="s">
        <v>1073</v>
      </c>
      <c r="AT409" s="386" t="s">
        <v>1073</v>
      </c>
      <c r="AU409" s="386" t="s">
        <v>1073</v>
      </c>
      <c r="AV409" s="409"/>
    </row>
    <row r="410" spans="1:48" s="402" customFormat="1">
      <c r="A410" s="403"/>
      <c r="B410" s="397">
        <v>44642</v>
      </c>
      <c r="C410" s="397" t="s">
        <v>1186</v>
      </c>
      <c r="D410" s="432" t="s">
        <v>2330</v>
      </c>
      <c r="E410" s="379" t="s">
        <v>3600</v>
      </c>
      <c r="F410" s="432"/>
      <c r="G410" s="432"/>
      <c r="H410" s="432"/>
      <c r="I410" s="432" t="s">
        <v>2383</v>
      </c>
      <c r="J410" s="444"/>
      <c r="K410" s="432" t="s">
        <v>3611</v>
      </c>
      <c r="L410" s="432" t="s">
        <v>2408</v>
      </c>
      <c r="M410" s="433">
        <v>44637</v>
      </c>
      <c r="N410" s="433">
        <v>44742</v>
      </c>
      <c r="O410" s="433"/>
      <c r="P410" s="433"/>
      <c r="Q410" s="433"/>
      <c r="R410" s="433"/>
      <c r="S410" s="432" t="s">
        <v>2332</v>
      </c>
      <c r="T410" s="432">
        <v>60</v>
      </c>
      <c r="U410" s="432">
        <v>49403140</v>
      </c>
      <c r="V410" s="432" t="s">
        <v>973</v>
      </c>
      <c r="W410" s="432">
        <v>400</v>
      </c>
      <c r="X410" s="436">
        <v>768</v>
      </c>
      <c r="Y410" s="408">
        <f t="shared" si="34"/>
        <v>307200</v>
      </c>
      <c r="Z410" s="409">
        <v>0.495</v>
      </c>
      <c r="AA410" s="410">
        <f t="shared" si="32"/>
        <v>152064</v>
      </c>
      <c r="AB410" s="410"/>
      <c r="AC410" s="394">
        <v>0</v>
      </c>
      <c r="AD410" s="421"/>
      <c r="AE410" s="413"/>
      <c r="AF410" s="462">
        <f t="shared" si="33"/>
        <v>152064</v>
      </c>
      <c r="AG410" s="405" t="s">
        <v>47</v>
      </c>
      <c r="AH410" s="405"/>
      <c r="AI410" s="405">
        <v>60</v>
      </c>
      <c r="AJ410" s="415" t="s">
        <v>2412</v>
      </c>
      <c r="AK410" s="405" t="s">
        <v>1317</v>
      </c>
      <c r="AL410" s="414" t="s">
        <v>2428</v>
      </c>
      <c r="AM410" s="405" t="s">
        <v>52</v>
      </c>
      <c r="AN410" s="405" t="s">
        <v>1071</v>
      </c>
      <c r="AO410" s="405"/>
      <c r="AP410" s="413"/>
      <c r="AQ410" s="413" t="s">
        <v>37</v>
      </c>
      <c r="AR410" s="413"/>
      <c r="AS410" s="403" t="s">
        <v>1073</v>
      </c>
      <c r="AT410" s="386" t="s">
        <v>1073</v>
      </c>
      <c r="AU410" s="386" t="s">
        <v>1073</v>
      </c>
      <c r="AV410" s="409"/>
    </row>
    <row r="411" spans="1:48" s="402" customFormat="1">
      <c r="A411" s="403"/>
      <c r="B411" s="397">
        <v>44642</v>
      </c>
      <c r="C411" s="397" t="s">
        <v>1186</v>
      </c>
      <c r="D411" s="432" t="s">
        <v>2330</v>
      </c>
      <c r="E411" s="379" t="s">
        <v>3600</v>
      </c>
      <c r="F411" s="432"/>
      <c r="G411" s="432"/>
      <c r="H411" s="432"/>
      <c r="I411" s="432" t="s">
        <v>2383</v>
      </c>
      <c r="J411" s="444"/>
      <c r="K411" s="432" t="s">
        <v>3612</v>
      </c>
      <c r="L411" s="432" t="s">
        <v>2408</v>
      </c>
      <c r="M411" s="433">
        <v>44637</v>
      </c>
      <c r="N411" s="433">
        <v>44742</v>
      </c>
      <c r="O411" s="433"/>
      <c r="P411" s="433"/>
      <c r="Q411" s="433"/>
      <c r="R411" s="433"/>
      <c r="S411" s="432" t="s">
        <v>2332</v>
      </c>
      <c r="T411" s="432">
        <v>60</v>
      </c>
      <c r="U411" s="432">
        <v>49403140</v>
      </c>
      <c r="V411" s="432" t="s">
        <v>973</v>
      </c>
      <c r="W411" s="432">
        <v>400</v>
      </c>
      <c r="X411" s="436">
        <v>768</v>
      </c>
      <c r="Y411" s="408">
        <f t="shared" si="34"/>
        <v>307200</v>
      </c>
      <c r="Z411" s="409">
        <v>0.495</v>
      </c>
      <c r="AA411" s="410">
        <f t="shared" si="32"/>
        <v>152064</v>
      </c>
      <c r="AB411" s="410"/>
      <c r="AC411" s="394">
        <v>0</v>
      </c>
      <c r="AD411" s="421"/>
      <c r="AE411" s="413"/>
      <c r="AF411" s="462">
        <f t="shared" si="33"/>
        <v>152064</v>
      </c>
      <c r="AG411" s="405" t="s">
        <v>47</v>
      </c>
      <c r="AH411" s="405"/>
      <c r="AI411" s="405">
        <v>60</v>
      </c>
      <c r="AJ411" s="415" t="s">
        <v>2412</v>
      </c>
      <c r="AK411" s="405" t="s">
        <v>1317</v>
      </c>
      <c r="AL411" s="414" t="s">
        <v>2428</v>
      </c>
      <c r="AM411" s="405" t="s">
        <v>52</v>
      </c>
      <c r="AN411" s="405" t="s">
        <v>1071</v>
      </c>
      <c r="AO411" s="405"/>
      <c r="AP411" s="413"/>
      <c r="AQ411" s="413" t="s">
        <v>37</v>
      </c>
      <c r="AR411" s="413"/>
      <c r="AS411" s="403" t="s">
        <v>1073</v>
      </c>
      <c r="AT411" s="386" t="s">
        <v>1073</v>
      </c>
      <c r="AU411" s="386" t="s">
        <v>1073</v>
      </c>
      <c r="AV411" s="409"/>
    </row>
    <row r="412" spans="1:48" s="402" customFormat="1">
      <c r="A412" s="403"/>
      <c r="B412" s="397">
        <v>44642</v>
      </c>
      <c r="C412" s="397" t="s">
        <v>1186</v>
      </c>
      <c r="D412" s="432" t="s">
        <v>2330</v>
      </c>
      <c r="E412" s="379" t="s">
        <v>3600</v>
      </c>
      <c r="F412" s="432"/>
      <c r="G412" s="432"/>
      <c r="H412" s="432"/>
      <c r="I412" s="432" t="s">
        <v>2383</v>
      </c>
      <c r="J412" s="444"/>
      <c r="K412" s="432" t="s">
        <v>3613</v>
      </c>
      <c r="L412" s="432" t="s">
        <v>2408</v>
      </c>
      <c r="M412" s="433">
        <v>44637</v>
      </c>
      <c r="N412" s="433">
        <v>44742</v>
      </c>
      <c r="O412" s="433"/>
      <c r="P412" s="433"/>
      <c r="Q412" s="433"/>
      <c r="R412" s="433"/>
      <c r="S412" s="432" t="s">
        <v>2332</v>
      </c>
      <c r="T412" s="432">
        <v>60</v>
      </c>
      <c r="U412" s="432">
        <v>49403140</v>
      </c>
      <c r="V412" s="432" t="s">
        <v>973</v>
      </c>
      <c r="W412" s="432">
        <v>400</v>
      </c>
      <c r="X412" s="436">
        <v>768</v>
      </c>
      <c r="Y412" s="408">
        <f t="shared" si="34"/>
        <v>307200</v>
      </c>
      <c r="Z412" s="409">
        <v>0.495</v>
      </c>
      <c r="AA412" s="410">
        <f t="shared" si="32"/>
        <v>152064</v>
      </c>
      <c r="AB412" s="410"/>
      <c r="AC412" s="394">
        <v>0</v>
      </c>
      <c r="AD412" s="421"/>
      <c r="AE412" s="413"/>
      <c r="AF412" s="462">
        <f t="shared" si="33"/>
        <v>152064</v>
      </c>
      <c r="AG412" s="405" t="s">
        <v>47</v>
      </c>
      <c r="AH412" s="405"/>
      <c r="AI412" s="405">
        <v>60</v>
      </c>
      <c r="AJ412" s="415" t="s">
        <v>2412</v>
      </c>
      <c r="AK412" s="405" t="s">
        <v>1317</v>
      </c>
      <c r="AL412" s="414" t="s">
        <v>2428</v>
      </c>
      <c r="AM412" s="405" t="s">
        <v>52</v>
      </c>
      <c r="AN412" s="405" t="s">
        <v>1071</v>
      </c>
      <c r="AO412" s="405"/>
      <c r="AP412" s="413"/>
      <c r="AQ412" s="413" t="s">
        <v>37</v>
      </c>
      <c r="AR412" s="413"/>
      <c r="AS412" s="403" t="s">
        <v>1073</v>
      </c>
      <c r="AT412" s="386" t="s">
        <v>1073</v>
      </c>
      <c r="AU412" s="386" t="s">
        <v>1073</v>
      </c>
      <c r="AV412" s="409"/>
    </row>
    <row r="413" spans="1:48" s="402" customFormat="1">
      <c r="A413" s="403"/>
      <c r="B413" s="397">
        <v>44642</v>
      </c>
      <c r="C413" s="397" t="s">
        <v>1186</v>
      </c>
      <c r="D413" s="432" t="s">
        <v>2330</v>
      </c>
      <c r="E413" s="379" t="s">
        <v>3600</v>
      </c>
      <c r="F413" s="432"/>
      <c r="G413" s="432"/>
      <c r="H413" s="432"/>
      <c r="I413" s="432" t="s">
        <v>2383</v>
      </c>
      <c r="J413" s="444"/>
      <c r="K413" s="432" t="s">
        <v>3614</v>
      </c>
      <c r="L413" s="432" t="s">
        <v>2408</v>
      </c>
      <c r="M413" s="433">
        <v>44637</v>
      </c>
      <c r="N413" s="433">
        <v>44742</v>
      </c>
      <c r="O413" s="433"/>
      <c r="P413" s="433"/>
      <c r="Q413" s="433"/>
      <c r="R413" s="433"/>
      <c r="S413" s="432" t="s">
        <v>2332</v>
      </c>
      <c r="T413" s="432">
        <v>60</v>
      </c>
      <c r="U413" s="432">
        <v>49403140</v>
      </c>
      <c r="V413" s="432" t="s">
        <v>973</v>
      </c>
      <c r="W413" s="432">
        <v>400</v>
      </c>
      <c r="X413" s="436">
        <v>768</v>
      </c>
      <c r="Y413" s="408">
        <f t="shared" si="34"/>
        <v>307200</v>
      </c>
      <c r="Z413" s="409">
        <v>0.495</v>
      </c>
      <c r="AA413" s="410">
        <f t="shared" si="32"/>
        <v>152064</v>
      </c>
      <c r="AB413" s="410"/>
      <c r="AC413" s="394">
        <v>0</v>
      </c>
      <c r="AD413" s="421"/>
      <c r="AE413" s="413"/>
      <c r="AF413" s="462">
        <f t="shared" si="33"/>
        <v>152064</v>
      </c>
      <c r="AG413" s="405" t="s">
        <v>47</v>
      </c>
      <c r="AH413" s="405"/>
      <c r="AI413" s="405">
        <v>60</v>
      </c>
      <c r="AJ413" s="415" t="s">
        <v>2430</v>
      </c>
      <c r="AK413" s="405" t="s">
        <v>1953</v>
      </c>
      <c r="AL413" s="414" t="s">
        <v>2431</v>
      </c>
      <c r="AM413" s="405" t="s">
        <v>52</v>
      </c>
      <c r="AN413" s="405" t="s">
        <v>1071</v>
      </c>
      <c r="AO413" s="405"/>
      <c r="AP413" s="413"/>
      <c r="AQ413" s="413" t="s">
        <v>37</v>
      </c>
      <c r="AR413" s="413"/>
      <c r="AS413" s="403" t="s">
        <v>1073</v>
      </c>
      <c r="AT413" s="386" t="s">
        <v>1073</v>
      </c>
      <c r="AU413" s="386" t="s">
        <v>1073</v>
      </c>
      <c r="AV413" s="409"/>
    </row>
    <row r="414" spans="1:48" s="402" customFormat="1">
      <c r="A414" s="403"/>
      <c r="B414" s="397">
        <v>44642</v>
      </c>
      <c r="C414" s="397" t="s">
        <v>1186</v>
      </c>
      <c r="D414" s="432" t="s">
        <v>2330</v>
      </c>
      <c r="E414" s="379" t="s">
        <v>3600</v>
      </c>
      <c r="F414" s="432"/>
      <c r="G414" s="432"/>
      <c r="H414" s="432"/>
      <c r="I414" s="432" t="s">
        <v>2383</v>
      </c>
      <c r="J414" s="444"/>
      <c r="K414" s="432" t="s">
        <v>3615</v>
      </c>
      <c r="L414" s="432" t="s">
        <v>2408</v>
      </c>
      <c r="M414" s="433">
        <v>44637</v>
      </c>
      <c r="N414" s="433">
        <v>44742</v>
      </c>
      <c r="O414" s="433"/>
      <c r="P414" s="433"/>
      <c r="Q414" s="433"/>
      <c r="R414" s="433"/>
      <c r="S414" s="432" t="s">
        <v>2332</v>
      </c>
      <c r="T414" s="432">
        <v>60</v>
      </c>
      <c r="U414" s="432">
        <v>49403140</v>
      </c>
      <c r="V414" s="432" t="s">
        <v>973</v>
      </c>
      <c r="W414" s="432">
        <v>400</v>
      </c>
      <c r="X414" s="436">
        <v>768</v>
      </c>
      <c r="Y414" s="408">
        <f t="shared" si="34"/>
        <v>307200</v>
      </c>
      <c r="Z414" s="409">
        <v>0.495</v>
      </c>
      <c r="AA414" s="410">
        <f t="shared" si="32"/>
        <v>152064</v>
      </c>
      <c r="AB414" s="410"/>
      <c r="AC414" s="394">
        <v>0</v>
      </c>
      <c r="AD414" s="421"/>
      <c r="AE414" s="413"/>
      <c r="AF414" s="462">
        <f t="shared" si="33"/>
        <v>152064</v>
      </c>
      <c r="AG414" s="405" t="s">
        <v>47</v>
      </c>
      <c r="AH414" s="405"/>
      <c r="AI414" s="405">
        <v>60</v>
      </c>
      <c r="AJ414" s="415" t="s">
        <v>3616</v>
      </c>
      <c r="AK414" s="405" t="s">
        <v>1071</v>
      </c>
      <c r="AL414" s="414" t="s">
        <v>2414</v>
      </c>
      <c r="AM414" s="405" t="s">
        <v>52</v>
      </c>
      <c r="AN414" s="405" t="s">
        <v>1071</v>
      </c>
      <c r="AO414" s="405"/>
      <c r="AP414" s="413"/>
      <c r="AQ414" s="413" t="s">
        <v>37</v>
      </c>
      <c r="AR414" s="413"/>
      <c r="AS414" s="403" t="s">
        <v>1073</v>
      </c>
      <c r="AT414" s="386" t="s">
        <v>1073</v>
      </c>
      <c r="AU414" s="386" t="s">
        <v>1073</v>
      </c>
      <c r="AV414" s="409"/>
    </row>
    <row r="415" spans="1:48" s="402" customFormat="1">
      <c r="A415" s="403"/>
      <c r="B415" s="397">
        <v>44642</v>
      </c>
      <c r="C415" s="397" t="s">
        <v>1186</v>
      </c>
      <c r="D415" s="432" t="s">
        <v>2330</v>
      </c>
      <c r="E415" s="379" t="s">
        <v>3600</v>
      </c>
      <c r="F415" s="432"/>
      <c r="G415" s="432"/>
      <c r="H415" s="432"/>
      <c r="I415" s="432" t="s">
        <v>2383</v>
      </c>
      <c r="J415" s="444"/>
      <c r="K415" s="432" t="s">
        <v>3617</v>
      </c>
      <c r="L415" s="432" t="s">
        <v>2408</v>
      </c>
      <c r="M415" s="433">
        <v>44637</v>
      </c>
      <c r="N415" s="433">
        <v>44742</v>
      </c>
      <c r="O415" s="433"/>
      <c r="P415" s="433"/>
      <c r="Q415" s="433"/>
      <c r="R415" s="433"/>
      <c r="S415" s="432" t="s">
        <v>2332</v>
      </c>
      <c r="T415" s="432">
        <v>60</v>
      </c>
      <c r="U415" s="432">
        <v>49403140</v>
      </c>
      <c r="V415" s="432" t="s">
        <v>973</v>
      </c>
      <c r="W415" s="432">
        <v>400</v>
      </c>
      <c r="X415" s="436">
        <v>768</v>
      </c>
      <c r="Y415" s="408">
        <f t="shared" si="34"/>
        <v>307200</v>
      </c>
      <c r="Z415" s="409">
        <v>0.495</v>
      </c>
      <c r="AA415" s="410">
        <f t="shared" si="32"/>
        <v>152064</v>
      </c>
      <c r="AB415" s="410"/>
      <c r="AC415" s="394">
        <v>0</v>
      </c>
      <c r="AD415" s="421"/>
      <c r="AE415" s="413"/>
      <c r="AF415" s="462">
        <f t="shared" si="33"/>
        <v>152064</v>
      </c>
      <c r="AG415" s="405" t="s">
        <v>47</v>
      </c>
      <c r="AH415" s="405"/>
      <c r="AI415" s="405">
        <v>60</v>
      </c>
      <c r="AJ415" s="415" t="s">
        <v>3616</v>
      </c>
      <c r="AK415" s="405" t="s">
        <v>1071</v>
      </c>
      <c r="AL415" s="414" t="s">
        <v>2414</v>
      </c>
      <c r="AM415" s="405" t="s">
        <v>52</v>
      </c>
      <c r="AN415" s="405" t="s">
        <v>1071</v>
      </c>
      <c r="AO415" s="405"/>
      <c r="AP415" s="413"/>
      <c r="AQ415" s="413" t="s">
        <v>37</v>
      </c>
      <c r="AR415" s="413"/>
      <c r="AS415" s="403" t="s">
        <v>1073</v>
      </c>
      <c r="AT415" s="386" t="s">
        <v>1073</v>
      </c>
      <c r="AU415" s="386" t="s">
        <v>1073</v>
      </c>
      <c r="AV415" s="409"/>
    </row>
    <row r="416" spans="1:48" s="402" customFormat="1">
      <c r="A416" s="403"/>
      <c r="B416" s="397">
        <v>44642</v>
      </c>
      <c r="C416" s="397" t="s">
        <v>1186</v>
      </c>
      <c r="D416" s="432" t="s">
        <v>2330</v>
      </c>
      <c r="E416" s="379" t="s">
        <v>3600</v>
      </c>
      <c r="F416" s="432"/>
      <c r="G416" s="432"/>
      <c r="H416" s="432"/>
      <c r="I416" s="432" t="s">
        <v>2383</v>
      </c>
      <c r="J416" s="444"/>
      <c r="K416" s="432" t="s">
        <v>3618</v>
      </c>
      <c r="L416" s="432" t="s">
        <v>2408</v>
      </c>
      <c r="M416" s="433">
        <v>44637</v>
      </c>
      <c r="N416" s="433">
        <v>44742</v>
      </c>
      <c r="O416" s="433"/>
      <c r="P416" s="433"/>
      <c r="Q416" s="433"/>
      <c r="R416" s="433"/>
      <c r="S416" s="432" t="s">
        <v>2332</v>
      </c>
      <c r="T416" s="432">
        <v>60</v>
      </c>
      <c r="U416" s="432">
        <v>49403140</v>
      </c>
      <c r="V416" s="432" t="s">
        <v>973</v>
      </c>
      <c r="W416" s="432">
        <v>400</v>
      </c>
      <c r="X416" s="436">
        <v>768</v>
      </c>
      <c r="Y416" s="408">
        <f t="shared" si="34"/>
        <v>307200</v>
      </c>
      <c r="Z416" s="409">
        <v>0.495</v>
      </c>
      <c r="AA416" s="410">
        <f t="shared" si="32"/>
        <v>152064</v>
      </c>
      <c r="AB416" s="410"/>
      <c r="AC416" s="394">
        <v>0</v>
      </c>
      <c r="AD416" s="421"/>
      <c r="AE416" s="413"/>
      <c r="AF416" s="462">
        <f t="shared" si="33"/>
        <v>152064</v>
      </c>
      <c r="AG416" s="405" t="s">
        <v>47</v>
      </c>
      <c r="AH416" s="405"/>
      <c r="AI416" s="405">
        <v>60</v>
      </c>
      <c r="AJ416" s="415" t="s">
        <v>3616</v>
      </c>
      <c r="AK416" s="405" t="s">
        <v>1071</v>
      </c>
      <c r="AL416" s="414" t="s">
        <v>2414</v>
      </c>
      <c r="AM416" s="405" t="s">
        <v>52</v>
      </c>
      <c r="AN416" s="405" t="s">
        <v>1071</v>
      </c>
      <c r="AO416" s="405"/>
      <c r="AP416" s="413"/>
      <c r="AQ416" s="413" t="s">
        <v>37</v>
      </c>
      <c r="AR416" s="413"/>
      <c r="AS416" s="403" t="s">
        <v>1073</v>
      </c>
      <c r="AT416" s="386" t="s">
        <v>1073</v>
      </c>
      <c r="AU416" s="386" t="s">
        <v>1073</v>
      </c>
      <c r="AV416" s="409"/>
    </row>
    <row r="417" spans="1:48" s="402" customFormat="1">
      <c r="A417" s="403"/>
      <c r="B417" s="397">
        <v>44559</v>
      </c>
      <c r="C417" s="397" t="s">
        <v>1186</v>
      </c>
      <c r="D417" s="432" t="s">
        <v>2330</v>
      </c>
      <c r="E417" s="379" t="s">
        <v>3549</v>
      </c>
      <c r="F417" s="432"/>
      <c r="G417" s="432"/>
      <c r="H417" s="432"/>
      <c r="I417" s="432" t="s">
        <v>2383</v>
      </c>
      <c r="J417" s="444"/>
      <c r="K417" s="432" t="s">
        <v>3591</v>
      </c>
      <c r="L417" s="432" t="s">
        <v>2013</v>
      </c>
      <c r="M417" s="433">
        <v>44483</v>
      </c>
      <c r="N417" s="433">
        <v>44565</v>
      </c>
      <c r="O417" s="433"/>
      <c r="P417" s="433"/>
      <c r="Q417" s="433"/>
      <c r="R417" s="433"/>
      <c r="S417" s="432" t="s">
        <v>2332</v>
      </c>
      <c r="T417" s="432">
        <v>60</v>
      </c>
      <c r="U417" s="432">
        <v>49201132</v>
      </c>
      <c r="V417" s="432" t="s">
        <v>1192</v>
      </c>
      <c r="W417" s="432">
        <v>360</v>
      </c>
      <c r="X417" s="436">
        <v>6656</v>
      </c>
      <c r="Y417" s="408">
        <f t="shared" si="34"/>
        <v>2396160</v>
      </c>
      <c r="Z417" s="409">
        <v>0.79</v>
      </c>
      <c r="AA417" s="410">
        <f t="shared" si="32"/>
        <v>1892966.4000000001</v>
      </c>
      <c r="AB417" s="410"/>
      <c r="AC417" s="394">
        <v>0</v>
      </c>
      <c r="AD417" s="421"/>
      <c r="AE417" s="413"/>
      <c r="AF417" s="462">
        <f t="shared" si="33"/>
        <v>1892966.4000000001</v>
      </c>
      <c r="AG417" s="405" t="s">
        <v>1069</v>
      </c>
      <c r="AH417" s="405"/>
      <c r="AI417" s="405">
        <v>60</v>
      </c>
      <c r="AJ417" s="415" t="s">
        <v>2014</v>
      </c>
      <c r="AK417" s="405" t="s">
        <v>1081</v>
      </c>
      <c r="AL417" s="414" t="s">
        <v>2015</v>
      </c>
      <c r="AM417" s="405" t="s">
        <v>52</v>
      </c>
      <c r="AN417" s="405" t="s">
        <v>1071</v>
      </c>
      <c r="AO417" s="405"/>
      <c r="AP417" s="413"/>
      <c r="AQ417" s="413" t="s">
        <v>37</v>
      </c>
      <c r="AR417" s="413" t="s">
        <v>2395</v>
      </c>
      <c r="AS417" s="403" t="s">
        <v>1073</v>
      </c>
      <c r="AT417" s="386" t="s">
        <v>1073</v>
      </c>
      <c r="AU417" s="386" t="s">
        <v>1073</v>
      </c>
      <c r="AV417" s="409">
        <v>0.73</v>
      </c>
    </row>
    <row r="418" spans="1:48" s="402" customFormat="1">
      <c r="A418" s="403"/>
      <c r="B418" s="397">
        <v>44559</v>
      </c>
      <c r="C418" s="397" t="s">
        <v>1186</v>
      </c>
      <c r="D418" s="432" t="s">
        <v>2330</v>
      </c>
      <c r="E418" s="379" t="s">
        <v>3549</v>
      </c>
      <c r="F418" s="432"/>
      <c r="G418" s="432"/>
      <c r="H418" s="432"/>
      <c r="I418" s="432" t="s">
        <v>2383</v>
      </c>
      <c r="J418" s="444"/>
      <c r="K418" s="432" t="s">
        <v>3592</v>
      </c>
      <c r="L418" s="432" t="s">
        <v>2013</v>
      </c>
      <c r="M418" s="433">
        <v>44483</v>
      </c>
      <c r="N418" s="433">
        <v>44593</v>
      </c>
      <c r="O418" s="433"/>
      <c r="P418" s="433"/>
      <c r="Q418" s="433"/>
      <c r="R418" s="433"/>
      <c r="S418" s="432" t="s">
        <v>2332</v>
      </c>
      <c r="T418" s="432">
        <v>60</v>
      </c>
      <c r="U418" s="432">
        <v>49201132</v>
      </c>
      <c r="V418" s="432" t="s">
        <v>1192</v>
      </c>
      <c r="W418" s="432">
        <v>360</v>
      </c>
      <c r="X418" s="436">
        <v>6656</v>
      </c>
      <c r="Y418" s="408">
        <f t="shared" si="34"/>
        <v>2396160</v>
      </c>
      <c r="Z418" s="409">
        <v>0.79</v>
      </c>
      <c r="AA418" s="410">
        <f t="shared" si="32"/>
        <v>1892966.4000000001</v>
      </c>
      <c r="AB418" s="410"/>
      <c r="AC418" s="394">
        <v>0</v>
      </c>
      <c r="AD418" s="421"/>
      <c r="AE418" s="413"/>
      <c r="AF418" s="462">
        <f t="shared" si="33"/>
        <v>1892966.4000000001</v>
      </c>
      <c r="AG418" s="405" t="s">
        <v>1069</v>
      </c>
      <c r="AH418" s="405"/>
      <c r="AI418" s="405">
        <v>60</v>
      </c>
      <c r="AJ418" s="415" t="s">
        <v>2014</v>
      </c>
      <c r="AK418" s="405" t="s">
        <v>1081</v>
      </c>
      <c r="AL418" s="414" t="s">
        <v>2015</v>
      </c>
      <c r="AM418" s="405" t="s">
        <v>52</v>
      </c>
      <c r="AN418" s="405" t="s">
        <v>1071</v>
      </c>
      <c r="AO418" s="405"/>
      <c r="AP418" s="413"/>
      <c r="AQ418" s="413" t="s">
        <v>37</v>
      </c>
      <c r="AR418" s="413" t="s">
        <v>2395</v>
      </c>
      <c r="AS418" s="403" t="s">
        <v>1073</v>
      </c>
      <c r="AT418" s="386" t="s">
        <v>1073</v>
      </c>
      <c r="AU418" s="386" t="s">
        <v>1073</v>
      </c>
      <c r="AV418" s="409">
        <v>0.73</v>
      </c>
    </row>
    <row r="419" spans="1:48" s="402" customFormat="1">
      <c r="A419" s="403"/>
      <c r="B419" s="397">
        <v>44559</v>
      </c>
      <c r="C419" s="397" t="s">
        <v>1186</v>
      </c>
      <c r="D419" s="432" t="s">
        <v>2330</v>
      </c>
      <c r="E419" s="379" t="s">
        <v>3549</v>
      </c>
      <c r="F419" s="432"/>
      <c r="G419" s="432"/>
      <c r="H419" s="432"/>
      <c r="I419" s="432" t="s">
        <v>2383</v>
      </c>
      <c r="J419" s="444"/>
      <c r="K419" s="432" t="s">
        <v>3593</v>
      </c>
      <c r="L419" s="432" t="s">
        <v>2013</v>
      </c>
      <c r="M419" s="433">
        <v>44483</v>
      </c>
      <c r="N419" s="433">
        <v>44621</v>
      </c>
      <c r="O419" s="433"/>
      <c r="P419" s="433"/>
      <c r="Q419" s="433"/>
      <c r="R419" s="433"/>
      <c r="S419" s="432" t="s">
        <v>2332</v>
      </c>
      <c r="T419" s="432">
        <v>60</v>
      </c>
      <c r="U419" s="432">
        <v>49201132</v>
      </c>
      <c r="V419" s="432" t="s">
        <v>1192</v>
      </c>
      <c r="W419" s="432">
        <v>360</v>
      </c>
      <c r="X419" s="436">
        <v>6656</v>
      </c>
      <c r="Y419" s="408">
        <f t="shared" si="34"/>
        <v>2396160</v>
      </c>
      <c r="Z419" s="409">
        <v>0.79</v>
      </c>
      <c r="AA419" s="410">
        <f t="shared" si="32"/>
        <v>1892966.4000000001</v>
      </c>
      <c r="AB419" s="410"/>
      <c r="AC419" s="394">
        <v>0</v>
      </c>
      <c r="AD419" s="421"/>
      <c r="AE419" s="413"/>
      <c r="AF419" s="462">
        <f t="shared" si="33"/>
        <v>1892966.4000000001</v>
      </c>
      <c r="AG419" s="405" t="s">
        <v>1069</v>
      </c>
      <c r="AH419" s="405"/>
      <c r="AI419" s="405">
        <v>60</v>
      </c>
      <c r="AJ419" s="415" t="s">
        <v>2014</v>
      </c>
      <c r="AK419" s="405" t="s">
        <v>1081</v>
      </c>
      <c r="AL419" s="414" t="s">
        <v>2015</v>
      </c>
      <c r="AM419" s="405" t="s">
        <v>52</v>
      </c>
      <c r="AN419" s="405" t="s">
        <v>1071</v>
      </c>
      <c r="AO419" s="405"/>
      <c r="AP419" s="413"/>
      <c r="AQ419" s="413" t="s">
        <v>37</v>
      </c>
      <c r="AR419" s="413" t="s">
        <v>2395</v>
      </c>
      <c r="AS419" s="403" t="s">
        <v>1073</v>
      </c>
      <c r="AT419" s="386" t="s">
        <v>1073</v>
      </c>
      <c r="AU419" s="386" t="s">
        <v>1073</v>
      </c>
      <c r="AV419" s="409">
        <v>0.73</v>
      </c>
    </row>
    <row r="420" spans="1:48" s="402" customFormat="1">
      <c r="A420" s="403"/>
      <c r="B420" s="397">
        <v>44566</v>
      </c>
      <c r="C420" s="397" t="s">
        <v>1186</v>
      </c>
      <c r="D420" s="432" t="s">
        <v>2330</v>
      </c>
      <c r="E420" s="379" t="s">
        <v>2406</v>
      </c>
      <c r="F420" s="432"/>
      <c r="G420" s="432"/>
      <c r="H420" s="432"/>
      <c r="I420" s="432" t="s">
        <v>2383</v>
      </c>
      <c r="J420" s="444"/>
      <c r="K420" s="432" t="s">
        <v>3594</v>
      </c>
      <c r="L420" s="432" t="s">
        <v>2013</v>
      </c>
      <c r="M420" s="433">
        <v>44566</v>
      </c>
      <c r="N420" s="433">
        <v>44662</v>
      </c>
      <c r="O420" s="433"/>
      <c r="P420" s="433"/>
      <c r="Q420" s="433"/>
      <c r="R420" s="433"/>
      <c r="S420" s="432" t="s">
        <v>2332</v>
      </c>
      <c r="T420" s="432">
        <v>60</v>
      </c>
      <c r="U420" s="432">
        <v>49201132</v>
      </c>
      <c r="V420" s="432" t="s">
        <v>986</v>
      </c>
      <c r="W420" s="432">
        <v>360</v>
      </c>
      <c r="X420" s="436">
        <v>8320</v>
      </c>
      <c r="Y420" s="408">
        <f t="shared" si="34"/>
        <v>2995200</v>
      </c>
      <c r="Z420" s="409">
        <v>0.53</v>
      </c>
      <c r="AA420" s="410">
        <f t="shared" si="32"/>
        <v>1587456</v>
      </c>
      <c r="AB420" s="410"/>
      <c r="AC420" s="394">
        <v>0</v>
      </c>
      <c r="AD420" s="421"/>
      <c r="AE420" s="413"/>
      <c r="AF420" s="462">
        <f t="shared" si="33"/>
        <v>1587456</v>
      </c>
      <c r="AG420" s="405" t="s">
        <v>1069</v>
      </c>
      <c r="AH420" s="405"/>
      <c r="AI420" s="405">
        <v>60</v>
      </c>
      <c r="AJ420" s="415" t="s">
        <v>2014</v>
      </c>
      <c r="AK420" s="405" t="s">
        <v>1081</v>
      </c>
      <c r="AL420" s="414" t="s">
        <v>2015</v>
      </c>
      <c r="AM420" s="405" t="s">
        <v>52</v>
      </c>
      <c r="AN420" s="405" t="s">
        <v>1071</v>
      </c>
      <c r="AO420" s="405"/>
      <c r="AP420" s="413"/>
      <c r="AQ420" s="413" t="s">
        <v>37</v>
      </c>
      <c r="AR420" s="413"/>
      <c r="AS420" s="403" t="s">
        <v>1073</v>
      </c>
      <c r="AT420" s="386" t="s">
        <v>1073</v>
      </c>
      <c r="AU420" s="386" t="s">
        <v>1073</v>
      </c>
      <c r="AV420" s="409"/>
    </row>
    <row r="421" spans="1:48" s="402" customFormat="1">
      <c r="A421" s="403"/>
      <c r="B421" s="397">
        <v>44566</v>
      </c>
      <c r="C421" s="397" t="s">
        <v>1186</v>
      </c>
      <c r="D421" s="432" t="s">
        <v>2330</v>
      </c>
      <c r="E421" s="379" t="s">
        <v>2406</v>
      </c>
      <c r="F421" s="432"/>
      <c r="G421" s="432"/>
      <c r="H421" s="432"/>
      <c r="I421" s="432" t="s">
        <v>2383</v>
      </c>
      <c r="J421" s="444"/>
      <c r="K421" s="432" t="s">
        <v>3594</v>
      </c>
      <c r="L421" s="432" t="s">
        <v>2013</v>
      </c>
      <c r="M421" s="433">
        <v>44566</v>
      </c>
      <c r="N421" s="433">
        <v>44662</v>
      </c>
      <c r="O421" s="433"/>
      <c r="P421" s="433"/>
      <c r="Q421" s="433"/>
      <c r="R421" s="433"/>
      <c r="S421" s="432" t="s">
        <v>2332</v>
      </c>
      <c r="T421" s="432">
        <v>60</v>
      </c>
      <c r="U421" s="432">
        <v>49401140</v>
      </c>
      <c r="V421" s="432" t="s">
        <v>973</v>
      </c>
      <c r="W421" s="432">
        <v>400</v>
      </c>
      <c r="X421" s="436">
        <v>9152</v>
      </c>
      <c r="Y421" s="408">
        <f t="shared" si="34"/>
        <v>3660800</v>
      </c>
      <c r="Z421" s="409">
        <v>0.55000000000000004</v>
      </c>
      <c r="AA421" s="410">
        <f t="shared" si="32"/>
        <v>2013440.0000000002</v>
      </c>
      <c r="AB421" s="410"/>
      <c r="AC421" s="394">
        <v>0</v>
      </c>
      <c r="AD421" s="421"/>
      <c r="AE421" s="413"/>
      <c r="AF421" s="462">
        <f t="shared" si="33"/>
        <v>2013440.0000000002</v>
      </c>
      <c r="AG421" s="405" t="s">
        <v>1069</v>
      </c>
      <c r="AH421" s="405"/>
      <c r="AI421" s="405">
        <v>60</v>
      </c>
      <c r="AJ421" s="415" t="s">
        <v>2014</v>
      </c>
      <c r="AK421" s="405" t="s">
        <v>1081</v>
      </c>
      <c r="AL421" s="414" t="s">
        <v>2015</v>
      </c>
      <c r="AM421" s="405" t="s">
        <v>52</v>
      </c>
      <c r="AN421" s="405" t="s">
        <v>1071</v>
      </c>
      <c r="AO421" s="405"/>
      <c r="AP421" s="413"/>
      <c r="AQ421" s="413" t="s">
        <v>37</v>
      </c>
      <c r="AR421" s="413"/>
      <c r="AS421" s="403" t="s">
        <v>1073</v>
      </c>
      <c r="AT421" s="386" t="s">
        <v>1073</v>
      </c>
      <c r="AU421" s="386" t="s">
        <v>1073</v>
      </c>
      <c r="AV421" s="409"/>
    </row>
    <row r="422" spans="1:48" s="402" customFormat="1">
      <c r="A422" s="403"/>
      <c r="B422" s="397">
        <v>44566</v>
      </c>
      <c r="C422" s="397" t="s">
        <v>1186</v>
      </c>
      <c r="D422" s="432" t="s">
        <v>2330</v>
      </c>
      <c r="E422" s="379" t="s">
        <v>2406</v>
      </c>
      <c r="F422" s="432"/>
      <c r="G422" s="432"/>
      <c r="H422" s="432"/>
      <c r="I422" s="432" t="s">
        <v>2383</v>
      </c>
      <c r="J422" s="444"/>
      <c r="K422" s="432" t="s">
        <v>3595</v>
      </c>
      <c r="L422" s="432" t="s">
        <v>2013</v>
      </c>
      <c r="M422" s="433">
        <v>44566</v>
      </c>
      <c r="N422" s="433">
        <v>44691</v>
      </c>
      <c r="O422" s="433"/>
      <c r="P422" s="433"/>
      <c r="Q422" s="433"/>
      <c r="R422" s="433"/>
      <c r="S422" s="432" t="s">
        <v>2332</v>
      </c>
      <c r="T422" s="432">
        <v>60</v>
      </c>
      <c r="U422" s="432">
        <v>49201132</v>
      </c>
      <c r="V422" s="432" t="s">
        <v>986</v>
      </c>
      <c r="W422" s="432">
        <v>360</v>
      </c>
      <c r="X422" s="436">
        <v>8320</v>
      </c>
      <c r="Y422" s="408">
        <f t="shared" si="34"/>
        <v>2995200</v>
      </c>
      <c r="Z422" s="409">
        <v>0.53</v>
      </c>
      <c r="AA422" s="410">
        <f t="shared" si="32"/>
        <v>1587456</v>
      </c>
      <c r="AB422" s="410"/>
      <c r="AC422" s="394">
        <v>0</v>
      </c>
      <c r="AD422" s="421"/>
      <c r="AE422" s="413"/>
      <c r="AF422" s="462">
        <f t="shared" si="33"/>
        <v>1587456</v>
      </c>
      <c r="AG422" s="405" t="s">
        <v>1069</v>
      </c>
      <c r="AH422" s="405"/>
      <c r="AI422" s="405">
        <v>60</v>
      </c>
      <c r="AJ422" s="415" t="s">
        <v>2014</v>
      </c>
      <c r="AK422" s="405" t="s">
        <v>1081</v>
      </c>
      <c r="AL422" s="414" t="s">
        <v>2015</v>
      </c>
      <c r="AM422" s="405" t="s">
        <v>52</v>
      </c>
      <c r="AN422" s="405" t="s">
        <v>1071</v>
      </c>
      <c r="AO422" s="405"/>
      <c r="AP422" s="413"/>
      <c r="AQ422" s="413" t="s">
        <v>37</v>
      </c>
      <c r="AR422" s="413"/>
      <c r="AS422" s="403" t="s">
        <v>1073</v>
      </c>
      <c r="AT422" s="386" t="s">
        <v>1073</v>
      </c>
      <c r="AU422" s="386" t="s">
        <v>1073</v>
      </c>
      <c r="AV422" s="409"/>
    </row>
    <row r="423" spans="1:48" s="402" customFormat="1">
      <c r="A423" s="403"/>
      <c r="B423" s="397">
        <v>44566</v>
      </c>
      <c r="C423" s="397" t="s">
        <v>1186</v>
      </c>
      <c r="D423" s="432" t="s">
        <v>2330</v>
      </c>
      <c r="E423" s="379" t="s">
        <v>3596</v>
      </c>
      <c r="F423" s="432"/>
      <c r="G423" s="432"/>
      <c r="H423" s="432"/>
      <c r="I423" s="432" t="s">
        <v>2383</v>
      </c>
      <c r="J423" s="444"/>
      <c r="K423" s="432" t="s">
        <v>3595</v>
      </c>
      <c r="L423" s="432" t="s">
        <v>2013</v>
      </c>
      <c r="M423" s="433">
        <v>44566</v>
      </c>
      <c r="N423" s="433">
        <v>44691</v>
      </c>
      <c r="O423" s="433"/>
      <c r="P423" s="433"/>
      <c r="Q423" s="433"/>
      <c r="R423" s="433"/>
      <c r="S423" s="432" t="s">
        <v>2332</v>
      </c>
      <c r="T423" s="432">
        <v>60</v>
      </c>
      <c r="U423" s="432">
        <v>49401140</v>
      </c>
      <c r="V423" s="432" t="s">
        <v>973</v>
      </c>
      <c r="W423" s="432">
        <v>400</v>
      </c>
      <c r="X423" s="436">
        <v>9152</v>
      </c>
      <c r="Y423" s="408">
        <f t="shared" si="34"/>
        <v>3660800</v>
      </c>
      <c r="Z423" s="409">
        <v>0.55000000000000004</v>
      </c>
      <c r="AA423" s="410">
        <f t="shared" si="32"/>
        <v>2013440.0000000002</v>
      </c>
      <c r="AB423" s="410"/>
      <c r="AC423" s="394">
        <v>0</v>
      </c>
      <c r="AD423" s="421"/>
      <c r="AE423" s="413"/>
      <c r="AF423" s="462">
        <f t="shared" si="33"/>
        <v>2013440.0000000002</v>
      </c>
      <c r="AG423" s="405" t="s">
        <v>1069</v>
      </c>
      <c r="AH423" s="405"/>
      <c r="AI423" s="405">
        <v>60</v>
      </c>
      <c r="AJ423" s="415" t="s">
        <v>2014</v>
      </c>
      <c r="AK423" s="405" t="s">
        <v>1081</v>
      </c>
      <c r="AL423" s="414" t="s">
        <v>2015</v>
      </c>
      <c r="AM423" s="405" t="s">
        <v>52</v>
      </c>
      <c r="AN423" s="405" t="s">
        <v>1071</v>
      </c>
      <c r="AO423" s="405"/>
      <c r="AP423" s="413"/>
      <c r="AQ423" s="413" t="s">
        <v>37</v>
      </c>
      <c r="AR423" s="413"/>
      <c r="AS423" s="403" t="s">
        <v>1073</v>
      </c>
      <c r="AT423" s="386" t="s">
        <v>1073</v>
      </c>
      <c r="AU423" s="386" t="s">
        <v>1073</v>
      </c>
      <c r="AV423" s="409"/>
    </row>
    <row r="424" spans="1:48" s="402" customFormat="1">
      <c r="A424" s="403"/>
      <c r="B424" s="397">
        <v>44566</v>
      </c>
      <c r="C424" s="397" t="s">
        <v>1186</v>
      </c>
      <c r="D424" s="432" t="s">
        <v>2330</v>
      </c>
      <c r="E424" s="379" t="s">
        <v>2406</v>
      </c>
      <c r="F424" s="432"/>
      <c r="G424" s="432"/>
      <c r="H424" s="432"/>
      <c r="I424" s="432" t="s">
        <v>2383</v>
      </c>
      <c r="J424" s="444"/>
      <c r="K424" s="432" t="s">
        <v>3597</v>
      </c>
      <c r="L424" s="432" t="s">
        <v>2013</v>
      </c>
      <c r="M424" s="433">
        <v>44566</v>
      </c>
      <c r="N424" s="433">
        <v>44721</v>
      </c>
      <c r="O424" s="433"/>
      <c r="P424" s="433"/>
      <c r="Q424" s="433"/>
      <c r="R424" s="433"/>
      <c r="S424" s="432" t="s">
        <v>2332</v>
      </c>
      <c r="T424" s="432">
        <v>60</v>
      </c>
      <c r="U424" s="432">
        <v>49201132</v>
      </c>
      <c r="V424" s="432" t="s">
        <v>986</v>
      </c>
      <c r="W424" s="432">
        <v>360</v>
      </c>
      <c r="X424" s="436">
        <v>8320</v>
      </c>
      <c r="Y424" s="408">
        <f t="shared" si="34"/>
        <v>2995200</v>
      </c>
      <c r="Z424" s="409">
        <v>0.53</v>
      </c>
      <c r="AA424" s="410">
        <f t="shared" si="32"/>
        <v>1587456</v>
      </c>
      <c r="AB424" s="410"/>
      <c r="AC424" s="394">
        <v>0</v>
      </c>
      <c r="AD424" s="421"/>
      <c r="AE424" s="413"/>
      <c r="AF424" s="462">
        <f t="shared" si="33"/>
        <v>1587456</v>
      </c>
      <c r="AG424" s="405" t="s">
        <v>1069</v>
      </c>
      <c r="AH424" s="405"/>
      <c r="AI424" s="405">
        <v>60</v>
      </c>
      <c r="AJ424" s="415" t="s">
        <v>2014</v>
      </c>
      <c r="AK424" s="405" t="s">
        <v>1081</v>
      </c>
      <c r="AL424" s="414" t="s">
        <v>2015</v>
      </c>
      <c r="AM424" s="405" t="s">
        <v>52</v>
      </c>
      <c r="AN424" s="405" t="s">
        <v>1071</v>
      </c>
      <c r="AO424" s="405"/>
      <c r="AP424" s="413"/>
      <c r="AQ424" s="413" t="s">
        <v>37</v>
      </c>
      <c r="AR424" s="413"/>
      <c r="AS424" s="403" t="s">
        <v>1073</v>
      </c>
      <c r="AT424" s="386" t="s">
        <v>1073</v>
      </c>
      <c r="AU424" s="386" t="s">
        <v>1073</v>
      </c>
      <c r="AV424" s="409"/>
    </row>
    <row r="425" spans="1:48" s="402" customFormat="1">
      <c r="A425" s="403"/>
      <c r="B425" s="397">
        <v>44566</v>
      </c>
      <c r="C425" s="397" t="s">
        <v>1186</v>
      </c>
      <c r="D425" s="432" t="s">
        <v>2330</v>
      </c>
      <c r="E425" s="379" t="s">
        <v>2406</v>
      </c>
      <c r="F425" s="432"/>
      <c r="G425" s="432"/>
      <c r="H425" s="432"/>
      <c r="I425" s="432" t="s">
        <v>2383</v>
      </c>
      <c r="J425" s="444"/>
      <c r="K425" s="432" t="s">
        <v>3597</v>
      </c>
      <c r="L425" s="432" t="s">
        <v>2013</v>
      </c>
      <c r="M425" s="433">
        <v>44566</v>
      </c>
      <c r="N425" s="433">
        <v>44721</v>
      </c>
      <c r="O425" s="433"/>
      <c r="P425" s="433"/>
      <c r="Q425" s="433"/>
      <c r="R425" s="433"/>
      <c r="S425" s="432" t="s">
        <v>2332</v>
      </c>
      <c r="T425" s="432">
        <v>60</v>
      </c>
      <c r="U425" s="432">
        <v>49401140</v>
      </c>
      <c r="V425" s="432" t="s">
        <v>973</v>
      </c>
      <c r="W425" s="432">
        <v>400</v>
      </c>
      <c r="X425" s="436">
        <v>9152</v>
      </c>
      <c r="Y425" s="408">
        <f t="shared" si="34"/>
        <v>3660800</v>
      </c>
      <c r="Z425" s="409">
        <v>0.55000000000000004</v>
      </c>
      <c r="AA425" s="410">
        <f t="shared" si="32"/>
        <v>2013440.0000000002</v>
      </c>
      <c r="AB425" s="410"/>
      <c r="AC425" s="394">
        <v>0</v>
      </c>
      <c r="AD425" s="421"/>
      <c r="AE425" s="413"/>
      <c r="AF425" s="462">
        <f t="shared" si="33"/>
        <v>2013440.0000000002</v>
      </c>
      <c r="AG425" s="405" t="s">
        <v>1069</v>
      </c>
      <c r="AH425" s="405"/>
      <c r="AI425" s="405">
        <v>60</v>
      </c>
      <c r="AJ425" s="415" t="s">
        <v>2014</v>
      </c>
      <c r="AK425" s="405" t="s">
        <v>1081</v>
      </c>
      <c r="AL425" s="414" t="s">
        <v>2015</v>
      </c>
      <c r="AM425" s="405" t="s">
        <v>52</v>
      </c>
      <c r="AN425" s="405" t="s">
        <v>1071</v>
      </c>
      <c r="AO425" s="405"/>
      <c r="AP425" s="413"/>
      <c r="AQ425" s="413" t="s">
        <v>37</v>
      </c>
      <c r="AR425" s="413"/>
      <c r="AS425" s="403" t="s">
        <v>1073</v>
      </c>
      <c r="AT425" s="386" t="s">
        <v>1073</v>
      </c>
      <c r="AU425" s="386" t="s">
        <v>1073</v>
      </c>
      <c r="AV425" s="409"/>
    </row>
    <row r="426" spans="1:48" s="402" customFormat="1">
      <c r="A426" s="403"/>
      <c r="B426" s="397">
        <v>44603</v>
      </c>
      <c r="C426" s="397" t="s">
        <v>1186</v>
      </c>
      <c r="D426" s="432" t="s">
        <v>2330</v>
      </c>
      <c r="E426" s="379" t="s">
        <v>3596</v>
      </c>
      <c r="F426" s="432"/>
      <c r="G426" s="432"/>
      <c r="H426" s="432"/>
      <c r="I426" s="432" t="s">
        <v>2383</v>
      </c>
      <c r="J426" s="444"/>
      <c r="K426" s="432" t="s">
        <v>3598</v>
      </c>
      <c r="L426" s="432" t="s">
        <v>2013</v>
      </c>
      <c r="M426" s="433">
        <v>44582</v>
      </c>
      <c r="N426" s="433">
        <v>44652</v>
      </c>
      <c r="O426" s="433"/>
      <c r="P426" s="433"/>
      <c r="Q426" s="433"/>
      <c r="R426" s="433"/>
      <c r="S426" s="432" t="s">
        <v>2332</v>
      </c>
      <c r="T426" s="432">
        <v>60</v>
      </c>
      <c r="U426" s="432">
        <v>49403140</v>
      </c>
      <c r="V426" s="432" t="s">
        <v>973</v>
      </c>
      <c r="W426" s="432">
        <v>400</v>
      </c>
      <c r="X426" s="436">
        <v>6912</v>
      </c>
      <c r="Y426" s="408">
        <f t="shared" si="34"/>
        <v>2764800</v>
      </c>
      <c r="Z426" s="409">
        <v>0.55000000000000004</v>
      </c>
      <c r="AA426" s="410">
        <f t="shared" si="32"/>
        <v>1520640.0000000002</v>
      </c>
      <c r="AB426" s="410"/>
      <c r="AC426" s="394">
        <v>0</v>
      </c>
      <c r="AD426" s="421"/>
      <c r="AE426" s="413"/>
      <c r="AF426" s="462">
        <f t="shared" si="33"/>
        <v>1520640.0000000002</v>
      </c>
      <c r="AG426" s="405" t="s">
        <v>1069</v>
      </c>
      <c r="AH426" s="405"/>
      <c r="AI426" s="405">
        <v>60</v>
      </c>
      <c r="AJ426" s="415" t="s">
        <v>2014</v>
      </c>
      <c r="AK426" s="405" t="s">
        <v>1081</v>
      </c>
      <c r="AL426" s="414" t="s">
        <v>2015</v>
      </c>
      <c r="AM426" s="405" t="s">
        <v>52</v>
      </c>
      <c r="AN426" s="405" t="s">
        <v>1071</v>
      </c>
      <c r="AO426" s="405"/>
      <c r="AP426" s="413"/>
      <c r="AQ426" s="413" t="s">
        <v>37</v>
      </c>
      <c r="AR426" s="413" t="s">
        <v>2395</v>
      </c>
      <c r="AS426" s="403" t="s">
        <v>1073</v>
      </c>
      <c r="AT426" s="386" t="s">
        <v>1073</v>
      </c>
      <c r="AU426" s="386" t="s">
        <v>1073</v>
      </c>
      <c r="AV426" s="409">
        <v>0.73</v>
      </c>
    </row>
    <row r="427" spans="1:48" s="402" customFormat="1">
      <c r="A427" s="403"/>
      <c r="B427" s="397">
        <v>44603</v>
      </c>
      <c r="C427" s="397" t="s">
        <v>1186</v>
      </c>
      <c r="D427" s="432" t="s">
        <v>2330</v>
      </c>
      <c r="E427" s="379" t="s">
        <v>3596</v>
      </c>
      <c r="F427" s="432"/>
      <c r="G427" s="432"/>
      <c r="H427" s="432"/>
      <c r="I427" s="432" t="s">
        <v>2383</v>
      </c>
      <c r="J427" s="444"/>
      <c r="K427" s="432" t="s">
        <v>3599</v>
      </c>
      <c r="L427" s="432" t="s">
        <v>2013</v>
      </c>
      <c r="M427" s="433">
        <v>44582</v>
      </c>
      <c r="N427" s="433">
        <v>44682</v>
      </c>
      <c r="O427" s="433"/>
      <c r="P427" s="433"/>
      <c r="Q427" s="433"/>
      <c r="R427" s="433"/>
      <c r="S427" s="432" t="s">
        <v>2332</v>
      </c>
      <c r="T427" s="432">
        <v>60</v>
      </c>
      <c r="U427" s="432">
        <v>49403140</v>
      </c>
      <c r="V427" s="432" t="s">
        <v>973</v>
      </c>
      <c r="W427" s="432">
        <v>400</v>
      </c>
      <c r="X427" s="436">
        <v>6912</v>
      </c>
      <c r="Y427" s="408">
        <f t="shared" si="34"/>
        <v>2764800</v>
      </c>
      <c r="Z427" s="409">
        <v>0.55000000000000004</v>
      </c>
      <c r="AA427" s="410">
        <f t="shared" si="32"/>
        <v>1520640.0000000002</v>
      </c>
      <c r="AB427" s="410"/>
      <c r="AC427" s="394">
        <v>0</v>
      </c>
      <c r="AD427" s="421"/>
      <c r="AE427" s="413"/>
      <c r="AF427" s="462">
        <f t="shared" si="33"/>
        <v>1520640.0000000002</v>
      </c>
      <c r="AG427" s="405" t="s">
        <v>1069</v>
      </c>
      <c r="AH427" s="405"/>
      <c r="AI427" s="405">
        <v>60</v>
      </c>
      <c r="AJ427" s="415" t="s">
        <v>2014</v>
      </c>
      <c r="AK427" s="405" t="s">
        <v>1081</v>
      </c>
      <c r="AL427" s="414" t="s">
        <v>2015</v>
      </c>
      <c r="AM427" s="405" t="s">
        <v>52</v>
      </c>
      <c r="AN427" s="405" t="s">
        <v>1071</v>
      </c>
      <c r="AO427" s="405"/>
      <c r="AP427" s="413"/>
      <c r="AQ427" s="413" t="s">
        <v>37</v>
      </c>
      <c r="AR427" s="413" t="s">
        <v>2395</v>
      </c>
      <c r="AS427" s="403" t="s">
        <v>1073</v>
      </c>
      <c r="AT427" s="386" t="s">
        <v>1073</v>
      </c>
      <c r="AU427" s="386" t="s">
        <v>1073</v>
      </c>
      <c r="AV427" s="409">
        <v>0.73</v>
      </c>
    </row>
    <row r="428" spans="1:48" s="402" customFormat="1">
      <c r="A428" s="403"/>
      <c r="B428" s="397">
        <v>44642</v>
      </c>
      <c r="C428" s="397" t="s">
        <v>1186</v>
      </c>
      <c r="D428" s="432" t="s">
        <v>2330</v>
      </c>
      <c r="E428" s="379" t="s">
        <v>3619</v>
      </c>
      <c r="F428" s="432"/>
      <c r="G428" s="432"/>
      <c r="H428" s="432"/>
      <c r="I428" s="432" t="s">
        <v>2383</v>
      </c>
      <c r="J428" s="444"/>
      <c r="K428" s="432" t="s">
        <v>3620</v>
      </c>
      <c r="L428" s="432" t="s">
        <v>2013</v>
      </c>
      <c r="M428" s="433">
        <v>44641</v>
      </c>
      <c r="N428" s="433">
        <v>44743</v>
      </c>
      <c r="O428" s="433"/>
      <c r="P428" s="433"/>
      <c r="Q428" s="433"/>
      <c r="R428" s="433"/>
      <c r="S428" s="432" t="s">
        <v>2332</v>
      </c>
      <c r="T428" s="432">
        <v>60</v>
      </c>
      <c r="U428" s="432">
        <v>49403140</v>
      </c>
      <c r="V428" s="432" t="s">
        <v>973</v>
      </c>
      <c r="W428" s="432">
        <v>400</v>
      </c>
      <c r="X428" s="436">
        <v>832</v>
      </c>
      <c r="Y428" s="408">
        <f t="shared" si="34"/>
        <v>332800</v>
      </c>
      <c r="Z428" s="409">
        <v>0.55000000000000004</v>
      </c>
      <c r="AA428" s="410">
        <f t="shared" si="32"/>
        <v>183040.00000000003</v>
      </c>
      <c r="AB428" s="410"/>
      <c r="AC428" s="394">
        <v>0</v>
      </c>
      <c r="AD428" s="421"/>
      <c r="AE428" s="413"/>
      <c r="AF428" s="462">
        <f t="shared" si="33"/>
        <v>183040.00000000003</v>
      </c>
      <c r="AG428" s="405" t="s">
        <v>1069</v>
      </c>
      <c r="AH428" s="405"/>
      <c r="AI428" s="405">
        <v>60</v>
      </c>
      <c r="AJ428" s="415" t="s">
        <v>2014</v>
      </c>
      <c r="AK428" s="405" t="s">
        <v>1081</v>
      </c>
      <c r="AL428" s="414" t="s">
        <v>2015</v>
      </c>
      <c r="AM428" s="405" t="s">
        <v>52</v>
      </c>
      <c r="AN428" s="405" t="s">
        <v>1071</v>
      </c>
      <c r="AO428" s="405"/>
      <c r="AP428" s="413"/>
      <c r="AQ428" s="413" t="s">
        <v>37</v>
      </c>
      <c r="AR428" s="413" t="s">
        <v>2395</v>
      </c>
      <c r="AS428" s="403" t="s">
        <v>1073</v>
      </c>
      <c r="AT428" s="386" t="s">
        <v>1073</v>
      </c>
      <c r="AU428" s="386" t="s">
        <v>1073</v>
      </c>
      <c r="AV428" s="409">
        <v>0.73</v>
      </c>
    </row>
    <row r="429" spans="1:48" s="402" customFormat="1">
      <c r="A429" s="403"/>
      <c r="B429" s="397">
        <v>44642</v>
      </c>
      <c r="C429" s="397" t="s">
        <v>1186</v>
      </c>
      <c r="D429" s="432" t="s">
        <v>2330</v>
      </c>
      <c r="E429" s="379" t="s">
        <v>3619</v>
      </c>
      <c r="F429" s="432"/>
      <c r="G429" s="432"/>
      <c r="H429" s="432"/>
      <c r="I429" s="432" t="s">
        <v>2383</v>
      </c>
      <c r="J429" s="444"/>
      <c r="K429" s="432" t="s">
        <v>3621</v>
      </c>
      <c r="L429" s="432" t="s">
        <v>2013</v>
      </c>
      <c r="M429" s="433">
        <v>44641</v>
      </c>
      <c r="N429" s="433">
        <v>44805</v>
      </c>
      <c r="O429" s="433"/>
      <c r="P429" s="433"/>
      <c r="Q429" s="433"/>
      <c r="R429" s="433"/>
      <c r="S429" s="432" t="s">
        <v>2332</v>
      </c>
      <c r="T429" s="432">
        <v>60</v>
      </c>
      <c r="U429" s="432">
        <v>49403140</v>
      </c>
      <c r="V429" s="432" t="s">
        <v>973</v>
      </c>
      <c r="W429" s="432">
        <v>400</v>
      </c>
      <c r="X429" s="436">
        <v>832</v>
      </c>
      <c r="Y429" s="408">
        <f t="shared" si="34"/>
        <v>332800</v>
      </c>
      <c r="Z429" s="409">
        <v>0.55000000000000004</v>
      </c>
      <c r="AA429" s="410">
        <f t="shared" si="32"/>
        <v>183040.00000000003</v>
      </c>
      <c r="AB429" s="410"/>
      <c r="AC429" s="394">
        <v>0</v>
      </c>
      <c r="AD429" s="421"/>
      <c r="AE429" s="413"/>
      <c r="AF429" s="462">
        <f t="shared" si="33"/>
        <v>183040.00000000003</v>
      </c>
      <c r="AG429" s="405" t="s">
        <v>1069</v>
      </c>
      <c r="AH429" s="405"/>
      <c r="AI429" s="405">
        <v>60</v>
      </c>
      <c r="AJ429" s="415" t="s">
        <v>2014</v>
      </c>
      <c r="AK429" s="405" t="s">
        <v>1081</v>
      </c>
      <c r="AL429" s="414" t="s">
        <v>2015</v>
      </c>
      <c r="AM429" s="405" t="s">
        <v>52</v>
      </c>
      <c r="AN429" s="405" t="s">
        <v>1071</v>
      </c>
      <c r="AO429" s="405"/>
      <c r="AP429" s="413"/>
      <c r="AQ429" s="413" t="s">
        <v>37</v>
      </c>
      <c r="AR429" s="413" t="s">
        <v>2395</v>
      </c>
      <c r="AS429" s="403" t="s">
        <v>1073</v>
      </c>
      <c r="AT429" s="386" t="s">
        <v>1073</v>
      </c>
      <c r="AU429" s="386" t="s">
        <v>1073</v>
      </c>
      <c r="AV429" s="409">
        <v>0.73</v>
      </c>
    </row>
    <row r="430" spans="1:48" s="402" customFormat="1">
      <c r="A430" s="403"/>
      <c r="B430" s="397">
        <v>44642</v>
      </c>
      <c r="C430" s="397" t="s">
        <v>1186</v>
      </c>
      <c r="D430" s="432" t="s">
        <v>2330</v>
      </c>
      <c r="E430" s="379" t="s">
        <v>3619</v>
      </c>
      <c r="F430" s="432"/>
      <c r="G430" s="432"/>
      <c r="H430" s="432"/>
      <c r="I430" s="432" t="s">
        <v>2383</v>
      </c>
      <c r="J430" s="444"/>
      <c r="K430" s="432" t="s">
        <v>3622</v>
      </c>
      <c r="L430" s="432" t="s">
        <v>2013</v>
      </c>
      <c r="M430" s="433">
        <v>44641</v>
      </c>
      <c r="N430" s="433">
        <v>44866</v>
      </c>
      <c r="O430" s="433"/>
      <c r="P430" s="433"/>
      <c r="Q430" s="433"/>
      <c r="R430" s="433"/>
      <c r="S430" s="432" t="s">
        <v>2332</v>
      </c>
      <c r="T430" s="432">
        <v>60</v>
      </c>
      <c r="U430" s="432">
        <v>49403140</v>
      </c>
      <c r="V430" s="432" t="s">
        <v>973</v>
      </c>
      <c r="W430" s="432">
        <v>400</v>
      </c>
      <c r="X430" s="436">
        <v>832</v>
      </c>
      <c r="Y430" s="408">
        <f t="shared" si="34"/>
        <v>332800</v>
      </c>
      <c r="Z430" s="409">
        <v>0.55000000000000004</v>
      </c>
      <c r="AA430" s="410">
        <f t="shared" si="32"/>
        <v>183040.00000000003</v>
      </c>
      <c r="AB430" s="410"/>
      <c r="AC430" s="394">
        <v>0</v>
      </c>
      <c r="AD430" s="421"/>
      <c r="AE430" s="413"/>
      <c r="AF430" s="462">
        <f t="shared" si="33"/>
        <v>183040.00000000003</v>
      </c>
      <c r="AG430" s="405" t="s">
        <v>1069</v>
      </c>
      <c r="AH430" s="405"/>
      <c r="AI430" s="405">
        <v>60</v>
      </c>
      <c r="AJ430" s="415" t="s">
        <v>2014</v>
      </c>
      <c r="AK430" s="405" t="s">
        <v>1081</v>
      </c>
      <c r="AL430" s="414" t="s">
        <v>2015</v>
      </c>
      <c r="AM430" s="405" t="s">
        <v>52</v>
      </c>
      <c r="AN430" s="405" t="s">
        <v>1071</v>
      </c>
      <c r="AO430" s="405"/>
      <c r="AP430" s="413"/>
      <c r="AQ430" s="413" t="s">
        <v>37</v>
      </c>
      <c r="AR430" s="413" t="s">
        <v>2395</v>
      </c>
      <c r="AS430" s="403" t="s">
        <v>1073</v>
      </c>
      <c r="AT430" s="386" t="s">
        <v>1073</v>
      </c>
      <c r="AU430" s="386" t="s">
        <v>1073</v>
      </c>
      <c r="AV430" s="409">
        <v>0.73</v>
      </c>
    </row>
    <row r="431" spans="1:48" s="402" customFormat="1">
      <c r="A431" s="403"/>
      <c r="B431" s="397">
        <v>44603</v>
      </c>
      <c r="C431" s="397" t="s">
        <v>1186</v>
      </c>
      <c r="D431" s="432" t="s">
        <v>2330</v>
      </c>
      <c r="E431" s="379" t="s">
        <v>3619</v>
      </c>
      <c r="F431" s="432"/>
      <c r="G431" s="432"/>
      <c r="H431" s="432"/>
      <c r="I431" s="432" t="s">
        <v>2383</v>
      </c>
      <c r="J431" s="444"/>
      <c r="K431" s="432" t="s">
        <v>3634</v>
      </c>
      <c r="L431" s="432" t="s">
        <v>2013</v>
      </c>
      <c r="M431" s="433">
        <v>44582</v>
      </c>
      <c r="N431" s="433">
        <v>44713</v>
      </c>
      <c r="O431" s="433"/>
      <c r="P431" s="433"/>
      <c r="Q431" s="433"/>
      <c r="R431" s="433"/>
      <c r="S431" s="432" t="s">
        <v>2332</v>
      </c>
      <c r="T431" s="432">
        <v>60</v>
      </c>
      <c r="U431" s="432">
        <v>49403140</v>
      </c>
      <c r="V431" s="432" t="s">
        <v>973</v>
      </c>
      <c r="W431" s="432">
        <v>400</v>
      </c>
      <c r="X431" s="436">
        <v>6912</v>
      </c>
      <c r="Y431" s="408">
        <f t="shared" si="34"/>
        <v>2764800</v>
      </c>
      <c r="Z431" s="409">
        <v>0.55000000000000004</v>
      </c>
      <c r="AA431" s="410">
        <f t="shared" si="32"/>
        <v>1520640.0000000002</v>
      </c>
      <c r="AB431" s="410"/>
      <c r="AC431" s="394">
        <v>0</v>
      </c>
      <c r="AD431" s="421"/>
      <c r="AE431" s="413"/>
      <c r="AF431" s="462">
        <f t="shared" si="33"/>
        <v>1520640.0000000002</v>
      </c>
      <c r="AG431" s="405" t="s">
        <v>1069</v>
      </c>
      <c r="AH431" s="405"/>
      <c r="AI431" s="405">
        <v>60</v>
      </c>
      <c r="AJ431" s="415" t="s">
        <v>2014</v>
      </c>
      <c r="AK431" s="405" t="s">
        <v>1081</v>
      </c>
      <c r="AL431" s="414" t="s">
        <v>2015</v>
      </c>
      <c r="AM431" s="405" t="s">
        <v>52</v>
      </c>
      <c r="AN431" s="405" t="s">
        <v>1071</v>
      </c>
      <c r="AO431" s="405"/>
      <c r="AP431" s="413"/>
      <c r="AQ431" s="413" t="s">
        <v>37</v>
      </c>
      <c r="AR431" s="413" t="s">
        <v>2395</v>
      </c>
      <c r="AS431" s="403" t="s">
        <v>1073</v>
      </c>
      <c r="AT431" s="386" t="s">
        <v>1073</v>
      </c>
      <c r="AU431" s="386" t="s">
        <v>1073</v>
      </c>
      <c r="AV431" s="409">
        <v>0.73</v>
      </c>
    </row>
    <row r="432" spans="1:48" s="402" customFormat="1">
      <c r="A432" s="403"/>
      <c r="B432" s="397">
        <v>44573</v>
      </c>
      <c r="C432" s="397" t="s">
        <v>1186</v>
      </c>
      <c r="D432" s="432" t="s">
        <v>2330</v>
      </c>
      <c r="E432" s="379" t="s">
        <v>3549</v>
      </c>
      <c r="F432" s="432"/>
      <c r="G432" s="432"/>
      <c r="H432" s="432"/>
      <c r="I432" s="432" t="s">
        <v>2383</v>
      </c>
      <c r="J432" s="444"/>
      <c r="K432" s="432" t="s">
        <v>3584</v>
      </c>
      <c r="L432" s="432" t="s">
        <v>2360</v>
      </c>
      <c r="M432" s="433">
        <v>44509</v>
      </c>
      <c r="N432" s="433">
        <v>44606</v>
      </c>
      <c r="O432" s="433"/>
      <c r="P432" s="433"/>
      <c r="Q432" s="433"/>
      <c r="R432" s="433"/>
      <c r="S432" s="432" t="s">
        <v>2332</v>
      </c>
      <c r="T432" s="432">
        <v>60</v>
      </c>
      <c r="U432" s="432">
        <v>49403140</v>
      </c>
      <c r="V432" s="432" t="s">
        <v>985</v>
      </c>
      <c r="W432" s="432">
        <v>400</v>
      </c>
      <c r="X432" s="436">
        <v>832</v>
      </c>
      <c r="Y432" s="408">
        <f t="shared" si="34"/>
        <v>332800</v>
      </c>
      <c r="Z432" s="409">
        <v>0.47499999999999998</v>
      </c>
      <c r="AA432" s="410">
        <f t="shared" si="32"/>
        <v>158080</v>
      </c>
      <c r="AB432" s="410"/>
      <c r="AC432" s="394">
        <v>0</v>
      </c>
      <c r="AD432" s="421"/>
      <c r="AE432" s="413"/>
      <c r="AF432" s="462">
        <f t="shared" si="33"/>
        <v>158080</v>
      </c>
      <c r="AG432" s="405" t="s">
        <v>1069</v>
      </c>
      <c r="AH432" s="405"/>
      <c r="AI432" s="405">
        <v>60</v>
      </c>
      <c r="AJ432" s="415" t="s">
        <v>2361</v>
      </c>
      <c r="AK432" s="405" t="s">
        <v>1148</v>
      </c>
      <c r="AL432" s="414" t="s">
        <v>2362</v>
      </c>
      <c r="AM432" s="405" t="s">
        <v>52</v>
      </c>
      <c r="AN432" s="405" t="s">
        <v>1071</v>
      </c>
      <c r="AO432" s="405"/>
      <c r="AP432" s="413"/>
      <c r="AQ432" s="413" t="s">
        <v>37</v>
      </c>
      <c r="AR432" s="413" t="s">
        <v>1209</v>
      </c>
      <c r="AS432" s="403" t="s">
        <v>1073</v>
      </c>
      <c r="AT432" s="386" t="s">
        <v>1073</v>
      </c>
      <c r="AU432" s="386" t="s">
        <v>1073</v>
      </c>
      <c r="AV432" s="409">
        <v>0.47499999999999998</v>
      </c>
    </row>
    <row r="433" spans="1:48" s="402" customFormat="1">
      <c r="A433" s="403"/>
      <c r="B433" s="397">
        <v>44573</v>
      </c>
      <c r="C433" s="397" t="s">
        <v>1186</v>
      </c>
      <c r="D433" s="432" t="s">
        <v>2330</v>
      </c>
      <c r="E433" s="379" t="s">
        <v>3549</v>
      </c>
      <c r="F433" s="432"/>
      <c r="G433" s="432"/>
      <c r="H433" s="432"/>
      <c r="I433" s="432" t="s">
        <v>2383</v>
      </c>
      <c r="J433" s="444"/>
      <c r="K433" s="432" t="s">
        <v>3585</v>
      </c>
      <c r="L433" s="432" t="s">
        <v>2360</v>
      </c>
      <c r="M433" s="433">
        <v>44509</v>
      </c>
      <c r="N433" s="433">
        <v>44634</v>
      </c>
      <c r="O433" s="433"/>
      <c r="P433" s="433"/>
      <c r="Q433" s="433"/>
      <c r="R433" s="433"/>
      <c r="S433" s="432" t="s">
        <v>2332</v>
      </c>
      <c r="T433" s="432">
        <v>60</v>
      </c>
      <c r="U433" s="432">
        <v>49403140</v>
      </c>
      <c r="V433" s="432" t="s">
        <v>985</v>
      </c>
      <c r="W433" s="432">
        <v>400</v>
      </c>
      <c r="X433" s="436">
        <v>832</v>
      </c>
      <c r="Y433" s="408">
        <f t="shared" si="34"/>
        <v>332800</v>
      </c>
      <c r="Z433" s="409">
        <v>0.47499999999999998</v>
      </c>
      <c r="AA433" s="410">
        <f t="shared" si="32"/>
        <v>158080</v>
      </c>
      <c r="AB433" s="410"/>
      <c r="AC433" s="394">
        <v>0</v>
      </c>
      <c r="AD433" s="421"/>
      <c r="AE433" s="413"/>
      <c r="AF433" s="462">
        <f t="shared" si="33"/>
        <v>158080</v>
      </c>
      <c r="AG433" s="405" t="s">
        <v>1069</v>
      </c>
      <c r="AH433" s="405"/>
      <c r="AI433" s="405">
        <v>60</v>
      </c>
      <c r="AJ433" s="415" t="s">
        <v>2361</v>
      </c>
      <c r="AK433" s="405" t="s">
        <v>1148</v>
      </c>
      <c r="AL433" s="414" t="s">
        <v>2362</v>
      </c>
      <c r="AM433" s="405" t="s">
        <v>52</v>
      </c>
      <c r="AN433" s="405" t="s">
        <v>1071</v>
      </c>
      <c r="AO433" s="405"/>
      <c r="AP433" s="413"/>
      <c r="AQ433" s="413" t="s">
        <v>37</v>
      </c>
      <c r="AR433" s="413" t="s">
        <v>1209</v>
      </c>
      <c r="AS433" s="403" t="s">
        <v>1073</v>
      </c>
      <c r="AT433" s="386" t="s">
        <v>1073</v>
      </c>
      <c r="AU433" s="386" t="s">
        <v>1073</v>
      </c>
      <c r="AV433" s="409">
        <v>0.47499999999999998</v>
      </c>
    </row>
    <row r="434" spans="1:48" s="402" customFormat="1">
      <c r="A434" s="403"/>
      <c r="B434" s="397">
        <v>44573</v>
      </c>
      <c r="C434" s="397" t="s">
        <v>1186</v>
      </c>
      <c r="D434" s="432" t="s">
        <v>2330</v>
      </c>
      <c r="E434" s="379" t="s">
        <v>3549</v>
      </c>
      <c r="F434" s="432"/>
      <c r="G434" s="432"/>
      <c r="H434" s="432"/>
      <c r="I434" s="432" t="s">
        <v>2383</v>
      </c>
      <c r="J434" s="444"/>
      <c r="K434" s="432" t="s">
        <v>3586</v>
      </c>
      <c r="L434" s="432" t="s">
        <v>2360</v>
      </c>
      <c r="M434" s="433">
        <v>44509</v>
      </c>
      <c r="N434" s="433">
        <v>44621</v>
      </c>
      <c r="O434" s="433"/>
      <c r="P434" s="433"/>
      <c r="Q434" s="433"/>
      <c r="R434" s="433"/>
      <c r="S434" s="432" t="s">
        <v>2332</v>
      </c>
      <c r="T434" s="432">
        <v>60</v>
      </c>
      <c r="U434" s="432">
        <v>49403140</v>
      </c>
      <c r="V434" s="432" t="s">
        <v>985</v>
      </c>
      <c r="W434" s="432">
        <v>400</v>
      </c>
      <c r="X434" s="436">
        <v>832</v>
      </c>
      <c r="Y434" s="408">
        <f t="shared" si="34"/>
        <v>332800</v>
      </c>
      <c r="Z434" s="409">
        <v>0.47499999999999998</v>
      </c>
      <c r="AA434" s="410">
        <f t="shared" si="32"/>
        <v>158080</v>
      </c>
      <c r="AB434" s="410"/>
      <c r="AC434" s="394">
        <v>0</v>
      </c>
      <c r="AD434" s="421"/>
      <c r="AE434" s="413"/>
      <c r="AF434" s="462">
        <f t="shared" si="33"/>
        <v>158080</v>
      </c>
      <c r="AG434" s="405" t="s">
        <v>1069</v>
      </c>
      <c r="AH434" s="405"/>
      <c r="AI434" s="405">
        <v>60</v>
      </c>
      <c r="AJ434" s="415" t="s">
        <v>2361</v>
      </c>
      <c r="AK434" s="405" t="s">
        <v>1148</v>
      </c>
      <c r="AL434" s="414" t="s">
        <v>2362</v>
      </c>
      <c r="AM434" s="405" t="s">
        <v>52</v>
      </c>
      <c r="AN434" s="405" t="s">
        <v>1071</v>
      </c>
      <c r="AO434" s="405"/>
      <c r="AP434" s="413"/>
      <c r="AQ434" s="413" t="s">
        <v>37</v>
      </c>
      <c r="AR434" s="413" t="s">
        <v>1209</v>
      </c>
      <c r="AS434" s="403" t="s">
        <v>1073</v>
      </c>
      <c r="AT434" s="386" t="s">
        <v>1073</v>
      </c>
      <c r="AU434" s="386" t="s">
        <v>1073</v>
      </c>
      <c r="AV434" s="409">
        <v>0.47499999999999998</v>
      </c>
    </row>
    <row r="435" spans="1:48" s="402" customFormat="1">
      <c r="A435" s="403"/>
      <c r="B435" s="397">
        <v>44553</v>
      </c>
      <c r="C435" s="397" t="s">
        <v>1186</v>
      </c>
      <c r="D435" s="432" t="s">
        <v>2330</v>
      </c>
      <c r="E435" s="379" t="s">
        <v>3549</v>
      </c>
      <c r="F435" s="432"/>
      <c r="G435" s="432"/>
      <c r="H435" s="432"/>
      <c r="I435" s="432" t="s">
        <v>2383</v>
      </c>
      <c r="J435" s="444"/>
      <c r="K435" s="432" t="s">
        <v>3587</v>
      </c>
      <c r="L435" s="432" t="s">
        <v>2360</v>
      </c>
      <c r="M435" s="433">
        <v>44551</v>
      </c>
      <c r="N435" s="433">
        <v>44743</v>
      </c>
      <c r="O435" s="433"/>
      <c r="P435" s="433"/>
      <c r="Q435" s="433"/>
      <c r="R435" s="433"/>
      <c r="S435" s="432" t="s">
        <v>2332</v>
      </c>
      <c r="T435" s="432">
        <v>60</v>
      </c>
      <c r="U435" s="432">
        <v>49403140</v>
      </c>
      <c r="V435" s="432" t="s">
        <v>985</v>
      </c>
      <c r="W435" s="432">
        <v>400</v>
      </c>
      <c r="X435" s="436">
        <v>5824</v>
      </c>
      <c r="Y435" s="408">
        <f t="shared" si="34"/>
        <v>2329600</v>
      </c>
      <c r="Z435" s="409">
        <v>0.49</v>
      </c>
      <c r="AA435" s="410">
        <f t="shared" si="32"/>
        <v>1141504</v>
      </c>
      <c r="AB435" s="410"/>
      <c r="AC435" s="394">
        <v>0</v>
      </c>
      <c r="AD435" s="421"/>
      <c r="AE435" s="413"/>
      <c r="AF435" s="462">
        <f t="shared" si="33"/>
        <v>1141504</v>
      </c>
      <c r="AG435" s="405" t="s">
        <v>1069</v>
      </c>
      <c r="AH435" s="405"/>
      <c r="AI435" s="405">
        <v>60</v>
      </c>
      <c r="AJ435" s="415" t="s">
        <v>2361</v>
      </c>
      <c r="AK435" s="405" t="s">
        <v>1148</v>
      </c>
      <c r="AL435" s="414" t="s">
        <v>2362</v>
      </c>
      <c r="AM435" s="405" t="s">
        <v>52</v>
      </c>
      <c r="AN435" s="405"/>
      <c r="AO435" s="405"/>
      <c r="AP435" s="413"/>
      <c r="AQ435" s="413" t="s">
        <v>37</v>
      </c>
      <c r="AR435" s="413" t="s">
        <v>1243</v>
      </c>
      <c r="AS435" s="403" t="s">
        <v>1073</v>
      </c>
      <c r="AT435" s="386" t="s">
        <v>1073</v>
      </c>
      <c r="AU435" s="386" t="s">
        <v>1073</v>
      </c>
      <c r="AV435" s="409">
        <v>0.49</v>
      </c>
    </row>
    <row r="436" spans="1:48" s="402" customFormat="1">
      <c r="A436" s="403"/>
      <c r="B436" s="397">
        <v>44553</v>
      </c>
      <c r="C436" s="397" t="s">
        <v>1186</v>
      </c>
      <c r="D436" s="432" t="s">
        <v>2330</v>
      </c>
      <c r="E436" s="379" t="s">
        <v>3549</v>
      </c>
      <c r="F436" s="432"/>
      <c r="G436" s="432"/>
      <c r="H436" s="432"/>
      <c r="I436" s="432" t="s">
        <v>2383</v>
      </c>
      <c r="J436" s="444"/>
      <c r="K436" s="432" t="s">
        <v>3588</v>
      </c>
      <c r="L436" s="432" t="s">
        <v>2360</v>
      </c>
      <c r="M436" s="433">
        <v>44551</v>
      </c>
      <c r="N436" s="433">
        <v>44774</v>
      </c>
      <c r="O436" s="433"/>
      <c r="P436" s="433"/>
      <c r="Q436" s="433"/>
      <c r="R436" s="433"/>
      <c r="S436" s="432" t="s">
        <v>2332</v>
      </c>
      <c r="T436" s="432">
        <v>60</v>
      </c>
      <c r="U436" s="432">
        <v>49403140</v>
      </c>
      <c r="V436" s="432" t="s">
        <v>973</v>
      </c>
      <c r="W436" s="432">
        <v>400</v>
      </c>
      <c r="X436" s="436">
        <v>5824</v>
      </c>
      <c r="Y436" s="408">
        <f t="shared" si="34"/>
        <v>2329600</v>
      </c>
      <c r="Z436" s="409">
        <v>0.49</v>
      </c>
      <c r="AA436" s="410">
        <f t="shared" si="32"/>
        <v>1141504</v>
      </c>
      <c r="AB436" s="410"/>
      <c r="AC436" s="394">
        <v>0</v>
      </c>
      <c r="AD436" s="421"/>
      <c r="AE436" s="413"/>
      <c r="AF436" s="462">
        <f t="shared" si="33"/>
        <v>1141504</v>
      </c>
      <c r="AG436" s="405" t="s">
        <v>1069</v>
      </c>
      <c r="AH436" s="405"/>
      <c r="AI436" s="405">
        <v>60</v>
      </c>
      <c r="AJ436" s="415" t="s">
        <v>2361</v>
      </c>
      <c r="AK436" s="405" t="s">
        <v>1148</v>
      </c>
      <c r="AL436" s="414" t="s">
        <v>2362</v>
      </c>
      <c r="AM436" s="405" t="s">
        <v>52</v>
      </c>
      <c r="AN436" s="405"/>
      <c r="AO436" s="405"/>
      <c r="AP436" s="413"/>
      <c r="AQ436" s="413" t="s">
        <v>37</v>
      </c>
      <c r="AR436" s="413" t="s">
        <v>1243</v>
      </c>
      <c r="AS436" s="403" t="s">
        <v>1073</v>
      </c>
      <c r="AT436" s="386" t="s">
        <v>1073</v>
      </c>
      <c r="AU436" s="386" t="s">
        <v>1073</v>
      </c>
      <c r="AV436" s="409">
        <v>0.49</v>
      </c>
    </row>
    <row r="437" spans="1:48" s="402" customFormat="1">
      <c r="A437" s="403"/>
      <c r="B437" s="397">
        <v>44574</v>
      </c>
      <c r="C437" s="397" t="s">
        <v>1186</v>
      </c>
      <c r="D437" s="432" t="s">
        <v>2330</v>
      </c>
      <c r="E437" s="379" t="s">
        <v>3589</v>
      </c>
      <c r="F437" s="432"/>
      <c r="G437" s="432"/>
      <c r="H437" s="432"/>
      <c r="I437" s="432" t="s">
        <v>2383</v>
      </c>
      <c r="J437" s="444"/>
      <c r="K437" s="432" t="s">
        <v>3590</v>
      </c>
      <c r="L437" s="432" t="s">
        <v>2360</v>
      </c>
      <c r="M437" s="433">
        <v>44551</v>
      </c>
      <c r="N437" s="433">
        <v>44805</v>
      </c>
      <c r="O437" s="433"/>
      <c r="P437" s="433"/>
      <c r="Q437" s="433"/>
      <c r="R437" s="433"/>
      <c r="S437" s="432" t="s">
        <v>2332</v>
      </c>
      <c r="T437" s="432">
        <v>60</v>
      </c>
      <c r="U437" s="432">
        <v>49403140</v>
      </c>
      <c r="V437" s="432" t="s">
        <v>973</v>
      </c>
      <c r="W437" s="432">
        <v>400</v>
      </c>
      <c r="X437" s="436">
        <v>5824</v>
      </c>
      <c r="Y437" s="408">
        <f t="shared" si="34"/>
        <v>2329600</v>
      </c>
      <c r="Z437" s="409">
        <v>0.49</v>
      </c>
      <c r="AA437" s="410">
        <f t="shared" si="32"/>
        <v>1141504</v>
      </c>
      <c r="AB437" s="410"/>
      <c r="AC437" s="394">
        <v>0</v>
      </c>
      <c r="AD437" s="421"/>
      <c r="AE437" s="413"/>
      <c r="AF437" s="462">
        <f t="shared" si="33"/>
        <v>1141504</v>
      </c>
      <c r="AG437" s="405" t="s">
        <v>1069</v>
      </c>
      <c r="AH437" s="405"/>
      <c r="AI437" s="405">
        <v>60</v>
      </c>
      <c r="AJ437" s="415" t="s">
        <v>2361</v>
      </c>
      <c r="AK437" s="405" t="s">
        <v>1148</v>
      </c>
      <c r="AL437" s="414" t="s">
        <v>2362</v>
      </c>
      <c r="AM437" s="405" t="s">
        <v>52</v>
      </c>
      <c r="AN437" s="405"/>
      <c r="AO437" s="405"/>
      <c r="AP437" s="413"/>
      <c r="AQ437" s="413" t="s">
        <v>37</v>
      </c>
      <c r="AR437" s="413" t="s">
        <v>1243</v>
      </c>
      <c r="AS437" s="403" t="s">
        <v>1073</v>
      </c>
      <c r="AT437" s="386" t="s">
        <v>1073</v>
      </c>
      <c r="AU437" s="386" t="s">
        <v>1073</v>
      </c>
      <c r="AV437" s="409">
        <v>0.49</v>
      </c>
    </row>
    <row r="438" spans="1:48" s="402" customFormat="1">
      <c r="A438" s="403"/>
      <c r="B438" s="397" t="s">
        <v>1186</v>
      </c>
      <c r="C438" s="397" t="s">
        <v>1186</v>
      </c>
      <c r="D438" s="432" t="s">
        <v>2330</v>
      </c>
      <c r="E438" s="379" t="s">
        <v>3571</v>
      </c>
      <c r="F438" s="432"/>
      <c r="G438" s="432"/>
      <c r="H438" s="432"/>
      <c r="I438" s="432" t="s">
        <v>2383</v>
      </c>
      <c r="J438" s="444"/>
      <c r="K438" s="432" t="s">
        <v>3577</v>
      </c>
      <c r="L438" s="432" t="s">
        <v>2348</v>
      </c>
      <c r="M438" s="433">
        <v>44664</v>
      </c>
      <c r="N438" s="433">
        <v>44835</v>
      </c>
      <c r="O438" s="433"/>
      <c r="P438" s="433"/>
      <c r="Q438" s="433"/>
      <c r="R438" s="433"/>
      <c r="S438" s="432" t="s">
        <v>2332</v>
      </c>
      <c r="T438" s="432">
        <v>60</v>
      </c>
      <c r="U438" s="432">
        <v>49204132</v>
      </c>
      <c r="V438" s="432" t="s">
        <v>1192</v>
      </c>
      <c r="W438" s="432">
        <v>360</v>
      </c>
      <c r="X438" s="436">
        <v>6656</v>
      </c>
      <c r="Y438" s="408">
        <f t="shared" si="34"/>
        <v>2396160</v>
      </c>
      <c r="Z438" s="409">
        <v>0.8</v>
      </c>
      <c r="AA438" s="410">
        <f t="shared" si="32"/>
        <v>1916928</v>
      </c>
      <c r="AB438" s="410"/>
      <c r="AC438" s="394">
        <v>0</v>
      </c>
      <c r="AD438" s="421"/>
      <c r="AE438" s="413"/>
      <c r="AF438" s="462">
        <f t="shared" si="33"/>
        <v>1916928</v>
      </c>
      <c r="AG438" s="405" t="s">
        <v>1069</v>
      </c>
      <c r="AH438" s="405"/>
      <c r="AI438" s="405">
        <v>60</v>
      </c>
      <c r="AJ438" s="415" t="s">
        <v>1881</v>
      </c>
      <c r="AK438" s="405" t="s">
        <v>1081</v>
      </c>
      <c r="AL438" s="414" t="s">
        <v>2349</v>
      </c>
      <c r="AM438" s="405" t="s">
        <v>52</v>
      </c>
      <c r="AN438" s="405" t="s">
        <v>1071</v>
      </c>
      <c r="AO438" s="405"/>
      <c r="AP438" s="413"/>
      <c r="AQ438" s="413" t="s">
        <v>37</v>
      </c>
      <c r="AR438" s="413" t="s">
        <v>2352</v>
      </c>
      <c r="AS438" s="403" t="s">
        <v>1072</v>
      </c>
      <c r="AT438" s="386" t="s">
        <v>1084</v>
      </c>
      <c r="AU438" s="386" t="s">
        <v>1073</v>
      </c>
      <c r="AV438" s="409">
        <v>0.73</v>
      </c>
    </row>
    <row r="439" spans="1:48" s="402" customFormat="1">
      <c r="A439" s="403"/>
      <c r="B439" s="397" t="s">
        <v>1186</v>
      </c>
      <c r="C439" s="397" t="s">
        <v>1186</v>
      </c>
      <c r="D439" s="432" t="s">
        <v>2330</v>
      </c>
      <c r="E439" s="379" t="s">
        <v>3571</v>
      </c>
      <c r="F439" s="432"/>
      <c r="G439" s="432"/>
      <c r="H439" s="432"/>
      <c r="I439" s="432" t="s">
        <v>2383</v>
      </c>
      <c r="J439" s="444"/>
      <c r="K439" s="432" t="s">
        <v>3578</v>
      </c>
      <c r="L439" s="432" t="s">
        <v>2348</v>
      </c>
      <c r="M439" s="433">
        <v>44664</v>
      </c>
      <c r="N439" s="433">
        <v>44866</v>
      </c>
      <c r="O439" s="433"/>
      <c r="P439" s="433"/>
      <c r="Q439" s="433"/>
      <c r="R439" s="433"/>
      <c r="S439" s="432" t="s">
        <v>2332</v>
      </c>
      <c r="T439" s="432">
        <v>60</v>
      </c>
      <c r="U439" s="432">
        <v>49204132</v>
      </c>
      <c r="V439" s="432" t="s">
        <v>1192</v>
      </c>
      <c r="W439" s="432">
        <v>360</v>
      </c>
      <c r="X439" s="436">
        <v>8320</v>
      </c>
      <c r="Y439" s="408">
        <f t="shared" si="34"/>
        <v>2995200</v>
      </c>
      <c r="Z439" s="409">
        <v>0.8</v>
      </c>
      <c r="AA439" s="410">
        <f t="shared" si="32"/>
        <v>2396160</v>
      </c>
      <c r="AB439" s="410"/>
      <c r="AC439" s="394">
        <v>0</v>
      </c>
      <c r="AD439" s="421"/>
      <c r="AE439" s="413"/>
      <c r="AF439" s="462">
        <f t="shared" si="33"/>
        <v>2396160</v>
      </c>
      <c r="AG439" s="405" t="s">
        <v>1069</v>
      </c>
      <c r="AH439" s="405"/>
      <c r="AI439" s="405">
        <v>60</v>
      </c>
      <c r="AJ439" s="415" t="s">
        <v>1881</v>
      </c>
      <c r="AK439" s="405" t="s">
        <v>1081</v>
      </c>
      <c r="AL439" s="414" t="s">
        <v>2349</v>
      </c>
      <c r="AM439" s="405" t="s">
        <v>52</v>
      </c>
      <c r="AN439" s="405" t="s">
        <v>1071</v>
      </c>
      <c r="AO439" s="405"/>
      <c r="AP439" s="413"/>
      <c r="AQ439" s="413" t="s">
        <v>37</v>
      </c>
      <c r="AR439" s="413" t="s">
        <v>2352</v>
      </c>
      <c r="AS439" s="403" t="s">
        <v>1072</v>
      </c>
      <c r="AT439" s="386" t="s">
        <v>1084</v>
      </c>
      <c r="AU439" s="386" t="s">
        <v>1073</v>
      </c>
      <c r="AV439" s="409">
        <v>0.73</v>
      </c>
    </row>
    <row r="440" spans="1:48" s="402" customFormat="1">
      <c r="A440" s="403"/>
      <c r="B440" s="397" t="s">
        <v>1186</v>
      </c>
      <c r="C440" s="397" t="s">
        <v>1186</v>
      </c>
      <c r="D440" s="432" t="s">
        <v>2330</v>
      </c>
      <c r="E440" s="379" t="s">
        <v>3571</v>
      </c>
      <c r="F440" s="432"/>
      <c r="G440" s="432"/>
      <c r="H440" s="432"/>
      <c r="I440" s="432" t="s">
        <v>2383</v>
      </c>
      <c r="J440" s="444"/>
      <c r="K440" s="432" t="s">
        <v>3579</v>
      </c>
      <c r="L440" s="432" t="s">
        <v>2348</v>
      </c>
      <c r="M440" s="433">
        <v>44664</v>
      </c>
      <c r="N440" s="433">
        <v>44896</v>
      </c>
      <c r="O440" s="433"/>
      <c r="P440" s="433"/>
      <c r="Q440" s="433"/>
      <c r="R440" s="433"/>
      <c r="S440" s="432" t="s">
        <v>2332</v>
      </c>
      <c r="T440" s="432">
        <v>60</v>
      </c>
      <c r="U440" s="432">
        <v>49204132</v>
      </c>
      <c r="V440" s="432" t="s">
        <v>1192</v>
      </c>
      <c r="W440" s="432">
        <v>360</v>
      </c>
      <c r="X440" s="436">
        <v>8320</v>
      </c>
      <c r="Y440" s="408">
        <f t="shared" si="34"/>
        <v>2995200</v>
      </c>
      <c r="Z440" s="409">
        <v>0.8</v>
      </c>
      <c r="AA440" s="410">
        <f t="shared" si="32"/>
        <v>2396160</v>
      </c>
      <c r="AB440" s="410"/>
      <c r="AC440" s="394">
        <v>0</v>
      </c>
      <c r="AD440" s="421"/>
      <c r="AE440" s="413"/>
      <c r="AF440" s="462">
        <f t="shared" si="33"/>
        <v>2396160</v>
      </c>
      <c r="AG440" s="405" t="s">
        <v>1069</v>
      </c>
      <c r="AH440" s="405"/>
      <c r="AI440" s="405">
        <v>60</v>
      </c>
      <c r="AJ440" s="415" t="s">
        <v>1881</v>
      </c>
      <c r="AK440" s="405" t="s">
        <v>1081</v>
      </c>
      <c r="AL440" s="414" t="s">
        <v>2349</v>
      </c>
      <c r="AM440" s="405" t="s">
        <v>52</v>
      </c>
      <c r="AN440" s="405" t="s">
        <v>1071</v>
      </c>
      <c r="AO440" s="405"/>
      <c r="AP440" s="413"/>
      <c r="AQ440" s="413" t="s">
        <v>37</v>
      </c>
      <c r="AR440" s="413" t="s">
        <v>2352</v>
      </c>
      <c r="AS440" s="403" t="s">
        <v>1072</v>
      </c>
      <c r="AT440" s="386" t="s">
        <v>1084</v>
      </c>
      <c r="AU440" s="386" t="s">
        <v>1073</v>
      </c>
      <c r="AV440" s="409">
        <v>0.73</v>
      </c>
    </row>
    <row r="441" spans="1:48" s="402" customFormat="1">
      <c r="A441" s="403"/>
      <c r="B441" s="397" t="s">
        <v>1186</v>
      </c>
      <c r="C441" s="397" t="s">
        <v>1186</v>
      </c>
      <c r="D441" s="432" t="s">
        <v>2330</v>
      </c>
      <c r="E441" s="379" t="s">
        <v>3571</v>
      </c>
      <c r="F441" s="432"/>
      <c r="G441" s="432"/>
      <c r="H441" s="432"/>
      <c r="I441" s="432" t="s">
        <v>2383</v>
      </c>
      <c r="J441" s="444"/>
      <c r="K441" s="432" t="s">
        <v>3580</v>
      </c>
      <c r="L441" s="432" t="s">
        <v>2348</v>
      </c>
      <c r="M441" s="433">
        <v>44664</v>
      </c>
      <c r="N441" s="433">
        <v>44743</v>
      </c>
      <c r="O441" s="433"/>
      <c r="P441" s="433"/>
      <c r="Q441" s="433"/>
      <c r="R441" s="433"/>
      <c r="S441" s="432" t="s">
        <v>2332</v>
      </c>
      <c r="T441" s="432">
        <v>60</v>
      </c>
      <c r="U441" s="432">
        <v>49204132</v>
      </c>
      <c r="V441" s="432" t="s">
        <v>1192</v>
      </c>
      <c r="W441" s="432">
        <v>360</v>
      </c>
      <c r="X441" s="436">
        <v>6656</v>
      </c>
      <c r="Y441" s="408">
        <f t="shared" si="34"/>
        <v>2396160</v>
      </c>
      <c r="Z441" s="409">
        <v>0.8</v>
      </c>
      <c r="AA441" s="410">
        <f t="shared" si="32"/>
        <v>1916928</v>
      </c>
      <c r="AB441" s="410"/>
      <c r="AC441" s="394">
        <v>0</v>
      </c>
      <c r="AD441" s="421"/>
      <c r="AE441" s="413"/>
      <c r="AF441" s="462">
        <f t="shared" si="33"/>
        <v>1916928</v>
      </c>
      <c r="AG441" s="405" t="s">
        <v>1069</v>
      </c>
      <c r="AH441" s="405"/>
      <c r="AI441" s="405">
        <v>60</v>
      </c>
      <c r="AJ441" s="415" t="s">
        <v>1881</v>
      </c>
      <c r="AK441" s="405" t="s">
        <v>1081</v>
      </c>
      <c r="AL441" s="414" t="s">
        <v>2349</v>
      </c>
      <c r="AM441" s="405" t="s">
        <v>52</v>
      </c>
      <c r="AN441" s="405" t="s">
        <v>1071</v>
      </c>
      <c r="AO441" s="405"/>
      <c r="AP441" s="413"/>
      <c r="AQ441" s="413" t="s">
        <v>37</v>
      </c>
      <c r="AR441" s="413" t="s">
        <v>2352</v>
      </c>
      <c r="AS441" s="403" t="s">
        <v>1072</v>
      </c>
      <c r="AT441" s="386" t="s">
        <v>1084</v>
      </c>
      <c r="AU441" s="386" t="s">
        <v>1073</v>
      </c>
      <c r="AV441" s="409">
        <v>0.73</v>
      </c>
    </row>
    <row r="442" spans="1:48" s="402" customFormat="1">
      <c r="A442" s="403"/>
      <c r="B442" s="397" t="s">
        <v>1186</v>
      </c>
      <c r="C442" s="397" t="s">
        <v>1186</v>
      </c>
      <c r="D442" s="432" t="s">
        <v>2330</v>
      </c>
      <c r="E442" s="379" t="s">
        <v>3571</v>
      </c>
      <c r="F442" s="432"/>
      <c r="G442" s="432"/>
      <c r="H442" s="432"/>
      <c r="I442" s="432" t="s">
        <v>2383</v>
      </c>
      <c r="J442" s="444"/>
      <c r="K442" s="432" t="s">
        <v>3581</v>
      </c>
      <c r="L442" s="432" t="s">
        <v>2348</v>
      </c>
      <c r="M442" s="433">
        <v>44664</v>
      </c>
      <c r="N442" s="433">
        <v>44774</v>
      </c>
      <c r="O442" s="433"/>
      <c r="P442" s="433"/>
      <c r="Q442" s="433"/>
      <c r="R442" s="433"/>
      <c r="S442" s="432" t="s">
        <v>2332</v>
      </c>
      <c r="T442" s="432">
        <v>60</v>
      </c>
      <c r="U442" s="432">
        <v>49204132</v>
      </c>
      <c r="V442" s="432" t="s">
        <v>1192</v>
      </c>
      <c r="W442" s="432">
        <v>360</v>
      </c>
      <c r="X442" s="436">
        <v>6656</v>
      </c>
      <c r="Y442" s="408">
        <f t="shared" si="34"/>
        <v>2396160</v>
      </c>
      <c r="Z442" s="409">
        <v>0.8</v>
      </c>
      <c r="AA442" s="410">
        <f t="shared" ref="AA442:AA505" si="35">Z442*Y442</f>
        <v>1916928</v>
      </c>
      <c r="AB442" s="410"/>
      <c r="AC442" s="394">
        <v>0</v>
      </c>
      <c r="AD442" s="421"/>
      <c r="AE442" s="413"/>
      <c r="AF442" s="462">
        <f t="shared" ref="AF442:AF505" si="36">AA442+AE442</f>
        <v>1916928</v>
      </c>
      <c r="AG442" s="405" t="s">
        <v>1069</v>
      </c>
      <c r="AH442" s="405"/>
      <c r="AI442" s="405">
        <v>60</v>
      </c>
      <c r="AJ442" s="415" t="s">
        <v>1881</v>
      </c>
      <c r="AK442" s="405" t="s">
        <v>1081</v>
      </c>
      <c r="AL442" s="414" t="s">
        <v>2349</v>
      </c>
      <c r="AM442" s="405" t="s">
        <v>52</v>
      </c>
      <c r="AN442" s="405" t="s">
        <v>1071</v>
      </c>
      <c r="AO442" s="405"/>
      <c r="AP442" s="413"/>
      <c r="AQ442" s="413" t="s">
        <v>37</v>
      </c>
      <c r="AR442" s="413" t="s">
        <v>2352</v>
      </c>
      <c r="AS442" s="403" t="s">
        <v>1072</v>
      </c>
      <c r="AT442" s="386" t="s">
        <v>1084</v>
      </c>
      <c r="AU442" s="386" t="s">
        <v>1073</v>
      </c>
      <c r="AV442" s="409">
        <v>0.73</v>
      </c>
    </row>
    <row r="443" spans="1:48" s="402" customFormat="1">
      <c r="A443" s="403"/>
      <c r="B443" s="397" t="s">
        <v>1186</v>
      </c>
      <c r="C443" s="397" t="s">
        <v>1186</v>
      </c>
      <c r="D443" s="432" t="s">
        <v>2330</v>
      </c>
      <c r="E443" s="379" t="s">
        <v>3571</v>
      </c>
      <c r="F443" s="432"/>
      <c r="G443" s="432"/>
      <c r="H443" s="432"/>
      <c r="I443" s="432" t="s">
        <v>2383</v>
      </c>
      <c r="J443" s="444"/>
      <c r="K443" s="432" t="s">
        <v>3582</v>
      </c>
      <c r="L443" s="432" t="s">
        <v>2348</v>
      </c>
      <c r="M443" s="433">
        <v>44664</v>
      </c>
      <c r="N443" s="433">
        <v>44805</v>
      </c>
      <c r="O443" s="433"/>
      <c r="P443" s="433"/>
      <c r="Q443" s="433"/>
      <c r="R443" s="433"/>
      <c r="S443" s="432" t="s">
        <v>2332</v>
      </c>
      <c r="T443" s="432">
        <v>60</v>
      </c>
      <c r="U443" s="432">
        <v>49204132</v>
      </c>
      <c r="V443" s="432" t="s">
        <v>1192</v>
      </c>
      <c r="W443" s="432">
        <v>360</v>
      </c>
      <c r="X443" s="436">
        <v>6656</v>
      </c>
      <c r="Y443" s="408">
        <f t="shared" si="34"/>
        <v>2396160</v>
      </c>
      <c r="Z443" s="409">
        <v>0.8</v>
      </c>
      <c r="AA443" s="410">
        <f t="shared" si="35"/>
        <v>1916928</v>
      </c>
      <c r="AB443" s="410"/>
      <c r="AC443" s="394">
        <v>0</v>
      </c>
      <c r="AD443" s="421"/>
      <c r="AE443" s="413"/>
      <c r="AF443" s="462">
        <f t="shared" si="36"/>
        <v>1916928</v>
      </c>
      <c r="AG443" s="405" t="s">
        <v>1069</v>
      </c>
      <c r="AH443" s="405"/>
      <c r="AI443" s="405">
        <v>60</v>
      </c>
      <c r="AJ443" s="415" t="s">
        <v>1881</v>
      </c>
      <c r="AK443" s="405" t="s">
        <v>1081</v>
      </c>
      <c r="AL443" s="414" t="s">
        <v>2349</v>
      </c>
      <c r="AM443" s="405" t="s">
        <v>52</v>
      </c>
      <c r="AN443" s="405" t="s">
        <v>1071</v>
      </c>
      <c r="AO443" s="405"/>
      <c r="AP443" s="413"/>
      <c r="AQ443" s="413" t="s">
        <v>37</v>
      </c>
      <c r="AR443" s="413" t="s">
        <v>2352</v>
      </c>
      <c r="AS443" s="403" t="s">
        <v>1072</v>
      </c>
      <c r="AT443" s="386" t="s">
        <v>1084</v>
      </c>
      <c r="AU443" s="386" t="s">
        <v>1073</v>
      </c>
      <c r="AV443" s="409">
        <v>0.73</v>
      </c>
    </row>
    <row r="444" spans="1:48" s="402" customFormat="1">
      <c r="A444" s="403"/>
      <c r="B444" s="397" t="s">
        <v>1186</v>
      </c>
      <c r="C444" s="397" t="s">
        <v>1186</v>
      </c>
      <c r="D444" s="432" t="s">
        <v>2330</v>
      </c>
      <c r="E444" s="379" t="s">
        <v>3571</v>
      </c>
      <c r="F444" s="432"/>
      <c r="G444" s="432"/>
      <c r="H444" s="432"/>
      <c r="I444" s="432" t="s">
        <v>2383</v>
      </c>
      <c r="J444" s="444"/>
      <c r="K444" s="432" t="s">
        <v>3583</v>
      </c>
      <c r="L444" s="432" t="s">
        <v>2348</v>
      </c>
      <c r="M444" s="433">
        <v>44664</v>
      </c>
      <c r="N444" s="433">
        <v>44671</v>
      </c>
      <c r="O444" s="433"/>
      <c r="P444" s="433"/>
      <c r="Q444" s="433"/>
      <c r="R444" s="433"/>
      <c r="S444" s="432" t="s">
        <v>2332</v>
      </c>
      <c r="T444" s="432">
        <v>60</v>
      </c>
      <c r="U444" s="432">
        <v>49204132</v>
      </c>
      <c r="V444" s="432" t="s">
        <v>1192</v>
      </c>
      <c r="W444" s="432">
        <v>360</v>
      </c>
      <c r="X444" s="436">
        <v>9984</v>
      </c>
      <c r="Y444" s="408">
        <f t="shared" si="34"/>
        <v>3594240</v>
      </c>
      <c r="Z444" s="409">
        <v>0.8</v>
      </c>
      <c r="AA444" s="410">
        <f t="shared" si="35"/>
        <v>2875392</v>
      </c>
      <c r="AB444" s="410"/>
      <c r="AC444" s="394">
        <v>0</v>
      </c>
      <c r="AD444" s="421"/>
      <c r="AE444" s="413"/>
      <c r="AF444" s="462">
        <f t="shared" si="36"/>
        <v>2875392</v>
      </c>
      <c r="AG444" s="405" t="s">
        <v>1069</v>
      </c>
      <c r="AH444" s="405"/>
      <c r="AI444" s="405">
        <v>60</v>
      </c>
      <c r="AJ444" s="415" t="s">
        <v>1881</v>
      </c>
      <c r="AK444" s="405" t="s">
        <v>1081</v>
      </c>
      <c r="AL444" s="414" t="s">
        <v>2349</v>
      </c>
      <c r="AM444" s="405" t="s">
        <v>52</v>
      </c>
      <c r="AN444" s="405" t="s">
        <v>1071</v>
      </c>
      <c r="AO444" s="405"/>
      <c r="AP444" s="413"/>
      <c r="AQ444" s="413" t="s">
        <v>37</v>
      </c>
      <c r="AR444" s="413" t="s">
        <v>2352</v>
      </c>
      <c r="AS444" s="403" t="s">
        <v>1072</v>
      </c>
      <c r="AT444" s="386" t="s">
        <v>1084</v>
      </c>
      <c r="AU444" s="386" t="s">
        <v>1073</v>
      </c>
      <c r="AV444" s="409">
        <v>0.73</v>
      </c>
    </row>
    <row r="445" spans="1:48" s="402" customFormat="1">
      <c r="A445" s="403"/>
      <c r="B445" s="397" t="s">
        <v>1186</v>
      </c>
      <c r="C445" s="397" t="s">
        <v>1186</v>
      </c>
      <c r="D445" s="432" t="s">
        <v>2330</v>
      </c>
      <c r="E445" s="379" t="s">
        <v>3571</v>
      </c>
      <c r="F445" s="432"/>
      <c r="G445" s="432"/>
      <c r="H445" s="432"/>
      <c r="I445" s="432" t="s">
        <v>2383</v>
      </c>
      <c r="J445" s="444"/>
      <c r="K445" s="432" t="s">
        <v>2384</v>
      </c>
      <c r="L445" s="432" t="s">
        <v>2348</v>
      </c>
      <c r="M445" s="433">
        <v>44664</v>
      </c>
      <c r="N445" s="433">
        <v>44835</v>
      </c>
      <c r="O445" s="433"/>
      <c r="P445" s="433"/>
      <c r="Q445" s="433"/>
      <c r="R445" s="433"/>
      <c r="S445" s="432" t="s">
        <v>2332</v>
      </c>
      <c r="T445" s="432">
        <v>60</v>
      </c>
      <c r="U445" s="432">
        <v>49405140</v>
      </c>
      <c r="V445" s="432" t="s">
        <v>973</v>
      </c>
      <c r="W445" s="432">
        <v>400</v>
      </c>
      <c r="X445" s="436">
        <v>9984</v>
      </c>
      <c r="Y445" s="408">
        <f t="shared" si="34"/>
        <v>3993600</v>
      </c>
      <c r="Z445" s="409">
        <v>0.55000000000000004</v>
      </c>
      <c r="AA445" s="410">
        <f t="shared" si="35"/>
        <v>2196480</v>
      </c>
      <c r="AB445" s="410"/>
      <c r="AC445" s="394">
        <v>0</v>
      </c>
      <c r="AD445" s="421"/>
      <c r="AE445" s="413"/>
      <c r="AF445" s="462">
        <f t="shared" si="36"/>
        <v>2196480</v>
      </c>
      <c r="AG445" s="405" t="s">
        <v>1069</v>
      </c>
      <c r="AH445" s="405"/>
      <c r="AI445" s="405">
        <v>60</v>
      </c>
      <c r="AJ445" s="415" t="s">
        <v>1881</v>
      </c>
      <c r="AK445" s="405" t="s">
        <v>1081</v>
      </c>
      <c r="AL445" s="414" t="s">
        <v>2349</v>
      </c>
      <c r="AM445" s="405" t="s">
        <v>52</v>
      </c>
      <c r="AN445" s="405" t="s">
        <v>1071</v>
      </c>
      <c r="AO445" s="405"/>
      <c r="AP445" s="413"/>
      <c r="AQ445" s="413" t="s">
        <v>37</v>
      </c>
      <c r="AR445" s="413" t="s">
        <v>2352</v>
      </c>
      <c r="AS445" s="403" t="s">
        <v>1072</v>
      </c>
      <c r="AT445" s="386" t="s">
        <v>1084</v>
      </c>
      <c r="AU445" s="386" t="s">
        <v>1073</v>
      </c>
      <c r="AV445" s="409">
        <v>0.73</v>
      </c>
    </row>
    <row r="446" spans="1:48" s="402" customFormat="1">
      <c r="A446" s="403"/>
      <c r="B446" s="397" t="s">
        <v>1186</v>
      </c>
      <c r="C446" s="397" t="s">
        <v>1186</v>
      </c>
      <c r="D446" s="432" t="s">
        <v>2330</v>
      </c>
      <c r="E446" s="379" t="s">
        <v>3571</v>
      </c>
      <c r="F446" s="432"/>
      <c r="G446" s="432"/>
      <c r="H446" s="432"/>
      <c r="I446" s="432" t="s">
        <v>2383</v>
      </c>
      <c r="J446" s="444"/>
      <c r="K446" s="432" t="s">
        <v>2404</v>
      </c>
      <c r="L446" s="432" t="s">
        <v>2348</v>
      </c>
      <c r="M446" s="433">
        <v>44664</v>
      </c>
      <c r="N446" s="433">
        <v>44866</v>
      </c>
      <c r="O446" s="433"/>
      <c r="P446" s="433"/>
      <c r="Q446" s="433"/>
      <c r="R446" s="433"/>
      <c r="S446" s="432" t="s">
        <v>2332</v>
      </c>
      <c r="T446" s="432">
        <v>60</v>
      </c>
      <c r="U446" s="432">
        <v>49405140</v>
      </c>
      <c r="V446" s="432" t="s">
        <v>973</v>
      </c>
      <c r="W446" s="432">
        <v>400</v>
      </c>
      <c r="X446" s="436">
        <v>9984</v>
      </c>
      <c r="Y446" s="408">
        <f t="shared" si="34"/>
        <v>3993600</v>
      </c>
      <c r="Z446" s="409">
        <v>0.55000000000000004</v>
      </c>
      <c r="AA446" s="410">
        <f t="shared" si="35"/>
        <v>2196480</v>
      </c>
      <c r="AB446" s="410"/>
      <c r="AC446" s="394">
        <v>0</v>
      </c>
      <c r="AD446" s="421"/>
      <c r="AE446" s="413"/>
      <c r="AF446" s="462">
        <f t="shared" si="36"/>
        <v>2196480</v>
      </c>
      <c r="AG446" s="405" t="s">
        <v>1069</v>
      </c>
      <c r="AH446" s="405"/>
      <c r="AI446" s="405">
        <v>60</v>
      </c>
      <c r="AJ446" s="415" t="s">
        <v>1881</v>
      </c>
      <c r="AK446" s="405" t="s">
        <v>1081</v>
      </c>
      <c r="AL446" s="414" t="s">
        <v>2349</v>
      </c>
      <c r="AM446" s="405" t="s">
        <v>52</v>
      </c>
      <c r="AN446" s="405" t="s">
        <v>1071</v>
      </c>
      <c r="AO446" s="405"/>
      <c r="AP446" s="413"/>
      <c r="AQ446" s="413" t="s">
        <v>37</v>
      </c>
      <c r="AR446" s="413" t="s">
        <v>2352</v>
      </c>
      <c r="AS446" s="403" t="s">
        <v>1072</v>
      </c>
      <c r="AT446" s="386" t="s">
        <v>1084</v>
      </c>
      <c r="AU446" s="386" t="s">
        <v>1073</v>
      </c>
      <c r="AV446" s="409">
        <v>0.73</v>
      </c>
    </row>
    <row r="447" spans="1:48" s="402" customFormat="1">
      <c r="A447" s="403"/>
      <c r="B447" s="397" t="s">
        <v>1186</v>
      </c>
      <c r="C447" s="397" t="s">
        <v>1186</v>
      </c>
      <c r="D447" s="432" t="s">
        <v>2330</v>
      </c>
      <c r="E447" s="379" t="s">
        <v>3571</v>
      </c>
      <c r="F447" s="432"/>
      <c r="G447" s="432"/>
      <c r="H447" s="432"/>
      <c r="I447" s="432" t="s">
        <v>2383</v>
      </c>
      <c r="J447" s="444"/>
      <c r="K447" s="432" t="s">
        <v>2462</v>
      </c>
      <c r="L447" s="432" t="s">
        <v>2348</v>
      </c>
      <c r="M447" s="433">
        <v>44664</v>
      </c>
      <c r="N447" s="433">
        <v>44896</v>
      </c>
      <c r="O447" s="433"/>
      <c r="P447" s="433"/>
      <c r="Q447" s="433"/>
      <c r="R447" s="433"/>
      <c r="S447" s="432" t="s">
        <v>2332</v>
      </c>
      <c r="T447" s="432">
        <v>60</v>
      </c>
      <c r="U447" s="432">
        <v>49405140</v>
      </c>
      <c r="V447" s="432" t="s">
        <v>973</v>
      </c>
      <c r="W447" s="432">
        <v>400</v>
      </c>
      <c r="X447" s="436">
        <v>11648</v>
      </c>
      <c r="Y447" s="408">
        <f t="shared" si="34"/>
        <v>4659200</v>
      </c>
      <c r="Z447" s="409">
        <v>0.55000000000000004</v>
      </c>
      <c r="AA447" s="410">
        <f t="shared" si="35"/>
        <v>2562560</v>
      </c>
      <c r="AB447" s="410"/>
      <c r="AC447" s="394">
        <v>0</v>
      </c>
      <c r="AD447" s="421"/>
      <c r="AE447" s="413"/>
      <c r="AF447" s="462">
        <f t="shared" si="36"/>
        <v>2562560</v>
      </c>
      <c r="AG447" s="405" t="s">
        <v>1069</v>
      </c>
      <c r="AH447" s="405"/>
      <c r="AI447" s="405">
        <v>60</v>
      </c>
      <c r="AJ447" s="415" t="s">
        <v>1881</v>
      </c>
      <c r="AK447" s="405" t="s">
        <v>1081</v>
      </c>
      <c r="AL447" s="414" t="s">
        <v>2349</v>
      </c>
      <c r="AM447" s="405" t="s">
        <v>52</v>
      </c>
      <c r="AN447" s="405" t="s">
        <v>1071</v>
      </c>
      <c r="AO447" s="405"/>
      <c r="AP447" s="413"/>
      <c r="AQ447" s="413" t="s">
        <v>37</v>
      </c>
      <c r="AR447" s="413" t="s">
        <v>2352</v>
      </c>
      <c r="AS447" s="403" t="s">
        <v>1072</v>
      </c>
      <c r="AT447" s="386" t="s">
        <v>1084</v>
      </c>
      <c r="AU447" s="386" t="s">
        <v>1073</v>
      </c>
      <c r="AV447" s="409">
        <v>0.73</v>
      </c>
    </row>
    <row r="448" spans="1:48" s="402" customFormat="1">
      <c r="A448" s="403"/>
      <c r="B448" s="397" t="s">
        <v>1186</v>
      </c>
      <c r="C448" s="397" t="s">
        <v>1186</v>
      </c>
      <c r="D448" s="432" t="s">
        <v>2330</v>
      </c>
      <c r="E448" s="379" t="s">
        <v>3571</v>
      </c>
      <c r="F448" s="432"/>
      <c r="G448" s="432"/>
      <c r="H448" s="432"/>
      <c r="I448" s="432" t="s">
        <v>2383</v>
      </c>
      <c r="J448" s="444"/>
      <c r="K448" s="432" t="s">
        <v>2369</v>
      </c>
      <c r="L448" s="432" t="s">
        <v>2348</v>
      </c>
      <c r="M448" s="433">
        <v>44664</v>
      </c>
      <c r="N448" s="433">
        <v>44743</v>
      </c>
      <c r="O448" s="433"/>
      <c r="P448" s="433"/>
      <c r="Q448" s="433"/>
      <c r="R448" s="433"/>
      <c r="S448" s="432" t="s">
        <v>2332</v>
      </c>
      <c r="T448" s="432">
        <v>60</v>
      </c>
      <c r="U448" s="432">
        <v>49405140</v>
      </c>
      <c r="V448" s="432" t="s">
        <v>973</v>
      </c>
      <c r="W448" s="432">
        <v>400</v>
      </c>
      <c r="X448" s="436">
        <v>8320</v>
      </c>
      <c r="Y448" s="408">
        <f t="shared" si="34"/>
        <v>3328000</v>
      </c>
      <c r="Z448" s="409">
        <v>0.55000000000000004</v>
      </c>
      <c r="AA448" s="410">
        <f t="shared" si="35"/>
        <v>1830400.0000000002</v>
      </c>
      <c r="AB448" s="410"/>
      <c r="AC448" s="394">
        <v>0</v>
      </c>
      <c r="AD448" s="421"/>
      <c r="AE448" s="413"/>
      <c r="AF448" s="462">
        <f t="shared" si="36"/>
        <v>1830400.0000000002</v>
      </c>
      <c r="AG448" s="405" t="s">
        <v>1069</v>
      </c>
      <c r="AH448" s="405"/>
      <c r="AI448" s="405">
        <v>60</v>
      </c>
      <c r="AJ448" s="415" t="s">
        <v>1881</v>
      </c>
      <c r="AK448" s="405" t="s">
        <v>1081</v>
      </c>
      <c r="AL448" s="414" t="s">
        <v>2349</v>
      </c>
      <c r="AM448" s="405" t="s">
        <v>52</v>
      </c>
      <c r="AN448" s="405" t="s">
        <v>1071</v>
      </c>
      <c r="AO448" s="405"/>
      <c r="AP448" s="413"/>
      <c r="AQ448" s="413" t="s">
        <v>37</v>
      </c>
      <c r="AR448" s="413" t="s">
        <v>2352</v>
      </c>
      <c r="AS448" s="403" t="s">
        <v>1072</v>
      </c>
      <c r="AT448" s="386" t="s">
        <v>1084</v>
      </c>
      <c r="AU448" s="386" t="s">
        <v>1073</v>
      </c>
      <c r="AV448" s="409">
        <v>0.73</v>
      </c>
    </row>
    <row r="449" spans="1:48" s="402" customFormat="1">
      <c r="A449" s="403"/>
      <c r="B449" s="397" t="s">
        <v>1186</v>
      </c>
      <c r="C449" s="397" t="s">
        <v>1186</v>
      </c>
      <c r="D449" s="432" t="s">
        <v>2330</v>
      </c>
      <c r="E449" s="379" t="s">
        <v>3571</v>
      </c>
      <c r="F449" s="432"/>
      <c r="G449" s="432"/>
      <c r="H449" s="432"/>
      <c r="I449" s="432" t="s">
        <v>2383</v>
      </c>
      <c r="J449" s="444"/>
      <c r="K449" s="432" t="s">
        <v>2373</v>
      </c>
      <c r="L449" s="432" t="s">
        <v>2348</v>
      </c>
      <c r="M449" s="433">
        <v>44664</v>
      </c>
      <c r="N449" s="433">
        <v>44774</v>
      </c>
      <c r="O449" s="433"/>
      <c r="P449" s="433"/>
      <c r="Q449" s="433"/>
      <c r="R449" s="433"/>
      <c r="S449" s="432" t="s">
        <v>2332</v>
      </c>
      <c r="T449" s="432">
        <v>60</v>
      </c>
      <c r="U449" s="432">
        <v>49405140</v>
      </c>
      <c r="V449" s="432" t="s">
        <v>973</v>
      </c>
      <c r="W449" s="432">
        <v>400</v>
      </c>
      <c r="X449" s="436">
        <v>8320</v>
      </c>
      <c r="Y449" s="408">
        <f t="shared" si="34"/>
        <v>3328000</v>
      </c>
      <c r="Z449" s="409">
        <v>0.55000000000000004</v>
      </c>
      <c r="AA449" s="410">
        <f t="shared" si="35"/>
        <v>1830400.0000000002</v>
      </c>
      <c r="AB449" s="410"/>
      <c r="AC449" s="394">
        <v>0</v>
      </c>
      <c r="AD449" s="421"/>
      <c r="AE449" s="413"/>
      <c r="AF449" s="462">
        <f t="shared" si="36"/>
        <v>1830400.0000000002</v>
      </c>
      <c r="AG449" s="405" t="s">
        <v>1069</v>
      </c>
      <c r="AH449" s="405"/>
      <c r="AI449" s="405">
        <v>60</v>
      </c>
      <c r="AJ449" s="415" t="s">
        <v>1881</v>
      </c>
      <c r="AK449" s="405" t="s">
        <v>1081</v>
      </c>
      <c r="AL449" s="414" t="s">
        <v>2349</v>
      </c>
      <c r="AM449" s="405" t="s">
        <v>52</v>
      </c>
      <c r="AN449" s="405" t="s">
        <v>1071</v>
      </c>
      <c r="AO449" s="405"/>
      <c r="AP449" s="413"/>
      <c r="AQ449" s="413" t="s">
        <v>37</v>
      </c>
      <c r="AR449" s="413" t="s">
        <v>2352</v>
      </c>
      <c r="AS449" s="403" t="s">
        <v>1072</v>
      </c>
      <c r="AT449" s="386" t="s">
        <v>1084</v>
      </c>
      <c r="AU449" s="386" t="s">
        <v>1073</v>
      </c>
      <c r="AV449" s="409">
        <v>0.73</v>
      </c>
    </row>
    <row r="450" spans="1:48" s="402" customFormat="1">
      <c r="A450" s="403"/>
      <c r="B450" s="397" t="s">
        <v>1186</v>
      </c>
      <c r="C450" s="397" t="s">
        <v>1186</v>
      </c>
      <c r="D450" s="432" t="s">
        <v>2330</v>
      </c>
      <c r="E450" s="379" t="s">
        <v>3571</v>
      </c>
      <c r="F450" s="432"/>
      <c r="G450" s="432"/>
      <c r="H450" s="432"/>
      <c r="I450" s="432" t="s">
        <v>2383</v>
      </c>
      <c r="J450" s="444"/>
      <c r="K450" s="432" t="s">
        <v>2376</v>
      </c>
      <c r="L450" s="432" t="s">
        <v>2348</v>
      </c>
      <c r="M450" s="433">
        <v>44664</v>
      </c>
      <c r="N450" s="433">
        <v>44805</v>
      </c>
      <c r="O450" s="433"/>
      <c r="P450" s="433"/>
      <c r="Q450" s="433"/>
      <c r="R450" s="433"/>
      <c r="S450" s="432" t="s">
        <v>2332</v>
      </c>
      <c r="T450" s="432">
        <v>60</v>
      </c>
      <c r="U450" s="432">
        <v>49405140</v>
      </c>
      <c r="V450" s="432" t="s">
        <v>973</v>
      </c>
      <c r="W450" s="432">
        <v>400</v>
      </c>
      <c r="X450" s="436">
        <v>8320</v>
      </c>
      <c r="Y450" s="408">
        <f t="shared" ref="Y450:Y513" si="37">W450*X450</f>
        <v>3328000</v>
      </c>
      <c r="Z450" s="409">
        <v>0.55000000000000004</v>
      </c>
      <c r="AA450" s="410">
        <f t="shared" si="35"/>
        <v>1830400.0000000002</v>
      </c>
      <c r="AB450" s="410"/>
      <c r="AC450" s="394">
        <v>0</v>
      </c>
      <c r="AD450" s="421"/>
      <c r="AE450" s="413"/>
      <c r="AF450" s="462">
        <f t="shared" si="36"/>
        <v>1830400.0000000002</v>
      </c>
      <c r="AG450" s="405" t="s">
        <v>1069</v>
      </c>
      <c r="AH450" s="405"/>
      <c r="AI450" s="405">
        <v>60</v>
      </c>
      <c r="AJ450" s="415" t="s">
        <v>1881</v>
      </c>
      <c r="AK450" s="405" t="s">
        <v>1081</v>
      </c>
      <c r="AL450" s="414" t="s">
        <v>2349</v>
      </c>
      <c r="AM450" s="405" t="s">
        <v>52</v>
      </c>
      <c r="AN450" s="405" t="s">
        <v>1071</v>
      </c>
      <c r="AO450" s="405"/>
      <c r="AP450" s="413"/>
      <c r="AQ450" s="413" t="s">
        <v>37</v>
      </c>
      <c r="AR450" s="413" t="s">
        <v>2352</v>
      </c>
      <c r="AS450" s="403" t="s">
        <v>1072</v>
      </c>
      <c r="AT450" s="386" t="s">
        <v>1084</v>
      </c>
      <c r="AU450" s="386" t="s">
        <v>1073</v>
      </c>
      <c r="AV450" s="409">
        <v>0.73</v>
      </c>
    </row>
    <row r="451" spans="1:48" s="402" customFormat="1">
      <c r="A451" s="403"/>
      <c r="B451" s="397" t="s">
        <v>1186</v>
      </c>
      <c r="C451" s="397" t="s">
        <v>1186</v>
      </c>
      <c r="D451" s="432" t="s">
        <v>2330</v>
      </c>
      <c r="E451" s="379" t="s">
        <v>3571</v>
      </c>
      <c r="F451" s="432"/>
      <c r="G451" s="432"/>
      <c r="H451" s="432"/>
      <c r="I451" s="432" t="s">
        <v>2383</v>
      </c>
      <c r="J451" s="444"/>
      <c r="K451" s="432" t="s">
        <v>4072</v>
      </c>
      <c r="L451" s="432" t="s">
        <v>2342</v>
      </c>
      <c r="M451" s="433">
        <v>44664</v>
      </c>
      <c r="N451" s="433">
        <v>44785</v>
      </c>
      <c r="O451" s="433"/>
      <c r="P451" s="433"/>
      <c r="Q451" s="433"/>
      <c r="R451" s="433"/>
      <c r="S451" s="432" t="s">
        <v>2332</v>
      </c>
      <c r="T451" s="432">
        <v>60</v>
      </c>
      <c r="U451" s="432">
        <v>49405140</v>
      </c>
      <c r="V451" s="432" t="s">
        <v>973</v>
      </c>
      <c r="W451" s="432">
        <v>400</v>
      </c>
      <c r="X451" s="436">
        <v>3072</v>
      </c>
      <c r="Y451" s="408">
        <f t="shared" si="37"/>
        <v>1228800</v>
      </c>
      <c r="Z451" s="409">
        <v>0.55000000000000004</v>
      </c>
      <c r="AA451" s="410">
        <f t="shared" si="35"/>
        <v>675840</v>
      </c>
      <c r="AB451" s="410"/>
      <c r="AC451" s="394">
        <v>0</v>
      </c>
      <c r="AD451" s="421"/>
      <c r="AE451" s="413"/>
      <c r="AF451" s="462">
        <f t="shared" si="36"/>
        <v>675840</v>
      </c>
      <c r="AG451" s="405" t="s">
        <v>1069</v>
      </c>
      <c r="AH451" s="405"/>
      <c r="AI451" s="405">
        <v>60</v>
      </c>
      <c r="AJ451" s="415" t="s">
        <v>1881</v>
      </c>
      <c r="AK451" s="405" t="s">
        <v>1081</v>
      </c>
      <c r="AL451" s="414" t="s">
        <v>2349</v>
      </c>
      <c r="AM451" s="405" t="s">
        <v>52</v>
      </c>
      <c r="AN451" s="405" t="s">
        <v>1071</v>
      </c>
      <c r="AO451" s="405"/>
      <c r="AP451" s="413"/>
      <c r="AQ451" s="413" t="s">
        <v>37</v>
      </c>
      <c r="AR451" s="413" t="s">
        <v>2352</v>
      </c>
      <c r="AS451" s="403" t="s">
        <v>1072</v>
      </c>
      <c r="AT451" s="386" t="s">
        <v>1084</v>
      </c>
      <c r="AU451" s="386" t="s">
        <v>1073</v>
      </c>
      <c r="AV451" s="409">
        <v>0.73</v>
      </c>
    </row>
    <row r="452" spans="1:48" s="402" customFormat="1">
      <c r="A452" s="403"/>
      <c r="B452" s="397" t="s">
        <v>1186</v>
      </c>
      <c r="C452" s="397" t="s">
        <v>1186</v>
      </c>
      <c r="D452" s="432" t="s">
        <v>2330</v>
      </c>
      <c r="E452" s="379" t="s">
        <v>3571</v>
      </c>
      <c r="F452" s="432"/>
      <c r="G452" s="432"/>
      <c r="H452" s="432"/>
      <c r="I452" s="432" t="s">
        <v>2383</v>
      </c>
      <c r="J452" s="444"/>
      <c r="K452" s="432" t="s">
        <v>4073</v>
      </c>
      <c r="L452" s="432" t="s">
        <v>2342</v>
      </c>
      <c r="M452" s="433">
        <v>44664</v>
      </c>
      <c r="N452" s="433">
        <v>44816</v>
      </c>
      <c r="O452" s="433"/>
      <c r="P452" s="433"/>
      <c r="Q452" s="433"/>
      <c r="R452" s="433"/>
      <c r="S452" s="432" t="s">
        <v>2332</v>
      </c>
      <c r="T452" s="432">
        <v>60</v>
      </c>
      <c r="U452" s="432">
        <v>49405140</v>
      </c>
      <c r="V452" s="432" t="s">
        <v>973</v>
      </c>
      <c r="W452" s="432">
        <v>400</v>
      </c>
      <c r="X452" s="436">
        <v>3072</v>
      </c>
      <c r="Y452" s="408">
        <f t="shared" si="37"/>
        <v>1228800</v>
      </c>
      <c r="Z452" s="409">
        <v>0.55000000000000004</v>
      </c>
      <c r="AA452" s="410">
        <f t="shared" si="35"/>
        <v>675840</v>
      </c>
      <c r="AB452" s="410"/>
      <c r="AC452" s="394">
        <v>0</v>
      </c>
      <c r="AD452" s="421"/>
      <c r="AE452" s="413"/>
      <c r="AF452" s="462">
        <f t="shared" si="36"/>
        <v>675840</v>
      </c>
      <c r="AG452" s="405" t="s">
        <v>1069</v>
      </c>
      <c r="AH452" s="405"/>
      <c r="AI452" s="405">
        <v>60</v>
      </c>
      <c r="AJ452" s="415" t="s">
        <v>1881</v>
      </c>
      <c r="AK452" s="405" t="s">
        <v>1081</v>
      </c>
      <c r="AL452" s="414" t="s">
        <v>2349</v>
      </c>
      <c r="AM452" s="405" t="s">
        <v>52</v>
      </c>
      <c r="AN452" s="405" t="s">
        <v>1071</v>
      </c>
      <c r="AO452" s="405"/>
      <c r="AP452" s="413"/>
      <c r="AQ452" s="413" t="s">
        <v>37</v>
      </c>
      <c r="AR452" s="413" t="s">
        <v>2352</v>
      </c>
      <c r="AS452" s="403" t="s">
        <v>1072</v>
      </c>
      <c r="AT452" s="386" t="s">
        <v>1084</v>
      </c>
      <c r="AU452" s="386" t="s">
        <v>1073</v>
      </c>
      <c r="AV452" s="409">
        <v>0.73</v>
      </c>
    </row>
    <row r="453" spans="1:48" s="402" customFormat="1">
      <c r="A453" s="403"/>
      <c r="B453" s="397" t="s">
        <v>1186</v>
      </c>
      <c r="C453" s="397" t="s">
        <v>1186</v>
      </c>
      <c r="D453" s="432" t="s">
        <v>2330</v>
      </c>
      <c r="E453" s="379" t="s">
        <v>3571</v>
      </c>
      <c r="F453" s="432"/>
      <c r="G453" s="432"/>
      <c r="H453" s="432"/>
      <c r="I453" s="432" t="s">
        <v>2383</v>
      </c>
      <c r="J453" s="444"/>
      <c r="K453" s="432" t="s">
        <v>4074</v>
      </c>
      <c r="L453" s="432" t="s">
        <v>2342</v>
      </c>
      <c r="M453" s="433">
        <v>44664</v>
      </c>
      <c r="N453" s="433">
        <v>44846</v>
      </c>
      <c r="O453" s="433"/>
      <c r="P453" s="433"/>
      <c r="Q453" s="433"/>
      <c r="R453" s="433"/>
      <c r="S453" s="432" t="s">
        <v>2332</v>
      </c>
      <c r="T453" s="432">
        <v>60</v>
      </c>
      <c r="U453" s="432">
        <v>49405140</v>
      </c>
      <c r="V453" s="432" t="s">
        <v>973</v>
      </c>
      <c r="W453" s="432">
        <v>400</v>
      </c>
      <c r="X453" s="436">
        <v>3072</v>
      </c>
      <c r="Y453" s="408">
        <f t="shared" si="37"/>
        <v>1228800</v>
      </c>
      <c r="Z453" s="409">
        <v>0.55000000000000004</v>
      </c>
      <c r="AA453" s="410">
        <f t="shared" si="35"/>
        <v>675840</v>
      </c>
      <c r="AB453" s="410"/>
      <c r="AC453" s="394">
        <v>0</v>
      </c>
      <c r="AD453" s="421"/>
      <c r="AE453" s="413"/>
      <c r="AF453" s="462">
        <f t="shared" si="36"/>
        <v>675840</v>
      </c>
      <c r="AG453" s="405" t="s">
        <v>1069</v>
      </c>
      <c r="AH453" s="405"/>
      <c r="AI453" s="405">
        <v>60</v>
      </c>
      <c r="AJ453" s="415" t="s">
        <v>1881</v>
      </c>
      <c r="AK453" s="405" t="s">
        <v>1081</v>
      </c>
      <c r="AL453" s="414" t="s">
        <v>2349</v>
      </c>
      <c r="AM453" s="405" t="s">
        <v>52</v>
      </c>
      <c r="AN453" s="405" t="s">
        <v>1071</v>
      </c>
      <c r="AO453" s="405"/>
      <c r="AP453" s="413"/>
      <c r="AQ453" s="413" t="s">
        <v>37</v>
      </c>
      <c r="AR453" s="413" t="s">
        <v>2352</v>
      </c>
      <c r="AS453" s="403" t="s">
        <v>1072</v>
      </c>
      <c r="AT453" s="386" t="s">
        <v>1084</v>
      </c>
      <c r="AU453" s="386" t="s">
        <v>1073</v>
      </c>
      <c r="AV453" s="409">
        <v>0.73</v>
      </c>
    </row>
    <row r="454" spans="1:48" s="402" customFormat="1">
      <c r="A454" s="403"/>
      <c r="B454" s="397" t="s">
        <v>1186</v>
      </c>
      <c r="C454" s="397" t="s">
        <v>1186</v>
      </c>
      <c r="D454" s="432" t="s">
        <v>2330</v>
      </c>
      <c r="E454" s="379" t="s">
        <v>3571</v>
      </c>
      <c r="F454" s="432"/>
      <c r="G454" s="432"/>
      <c r="H454" s="432"/>
      <c r="I454" s="432" t="s">
        <v>2383</v>
      </c>
      <c r="J454" s="444"/>
      <c r="K454" s="432" t="s">
        <v>4075</v>
      </c>
      <c r="L454" s="432" t="s">
        <v>2342</v>
      </c>
      <c r="M454" s="433">
        <v>44664</v>
      </c>
      <c r="N454" s="433">
        <v>44876</v>
      </c>
      <c r="O454" s="433"/>
      <c r="P454" s="433"/>
      <c r="Q454" s="433"/>
      <c r="R454" s="433"/>
      <c r="S454" s="432" t="s">
        <v>2332</v>
      </c>
      <c r="T454" s="432">
        <v>60</v>
      </c>
      <c r="U454" s="432">
        <v>49405140</v>
      </c>
      <c r="V454" s="432" t="s">
        <v>973</v>
      </c>
      <c r="W454" s="432">
        <v>400</v>
      </c>
      <c r="X454" s="436">
        <v>3072</v>
      </c>
      <c r="Y454" s="408">
        <f t="shared" si="37"/>
        <v>1228800</v>
      </c>
      <c r="Z454" s="409">
        <v>0.55000000000000004</v>
      </c>
      <c r="AA454" s="410">
        <f t="shared" si="35"/>
        <v>675840</v>
      </c>
      <c r="AB454" s="410"/>
      <c r="AC454" s="394">
        <v>0</v>
      </c>
      <c r="AD454" s="421"/>
      <c r="AE454" s="413"/>
      <c r="AF454" s="462">
        <f t="shared" si="36"/>
        <v>675840</v>
      </c>
      <c r="AG454" s="405" t="s">
        <v>1069</v>
      </c>
      <c r="AH454" s="405"/>
      <c r="AI454" s="405">
        <v>60</v>
      </c>
      <c r="AJ454" s="415" t="s">
        <v>1881</v>
      </c>
      <c r="AK454" s="405" t="s">
        <v>1081</v>
      </c>
      <c r="AL454" s="414" t="s">
        <v>2349</v>
      </c>
      <c r="AM454" s="405" t="s">
        <v>52</v>
      </c>
      <c r="AN454" s="405" t="s">
        <v>1071</v>
      </c>
      <c r="AO454" s="405"/>
      <c r="AP454" s="413"/>
      <c r="AQ454" s="413" t="s">
        <v>37</v>
      </c>
      <c r="AR454" s="413" t="s">
        <v>2352</v>
      </c>
      <c r="AS454" s="403" t="s">
        <v>1072</v>
      </c>
      <c r="AT454" s="386" t="s">
        <v>1084</v>
      </c>
      <c r="AU454" s="386" t="s">
        <v>1073</v>
      </c>
      <c r="AV454" s="409">
        <v>0.73</v>
      </c>
    </row>
    <row r="455" spans="1:48" s="402" customFormat="1">
      <c r="A455" s="403"/>
      <c r="B455" s="397" t="s">
        <v>1186</v>
      </c>
      <c r="C455" s="397" t="s">
        <v>1186</v>
      </c>
      <c r="D455" s="432" t="s">
        <v>2330</v>
      </c>
      <c r="E455" s="379" t="s">
        <v>3571</v>
      </c>
      <c r="F455" s="432"/>
      <c r="G455" s="432"/>
      <c r="H455" s="432"/>
      <c r="I455" s="432" t="s">
        <v>2383</v>
      </c>
      <c r="J455" s="444"/>
      <c r="K455" s="432" t="s">
        <v>4076</v>
      </c>
      <c r="L455" s="432" t="s">
        <v>2342</v>
      </c>
      <c r="M455" s="433">
        <v>44664</v>
      </c>
      <c r="N455" s="433">
        <v>44907</v>
      </c>
      <c r="O455" s="433"/>
      <c r="P455" s="433"/>
      <c r="Q455" s="433"/>
      <c r="R455" s="433"/>
      <c r="S455" s="432" t="s">
        <v>2332</v>
      </c>
      <c r="T455" s="432">
        <v>60</v>
      </c>
      <c r="U455" s="432">
        <v>49405140</v>
      </c>
      <c r="V455" s="432" t="s">
        <v>973</v>
      </c>
      <c r="W455" s="432">
        <v>400</v>
      </c>
      <c r="X455" s="436">
        <v>3072</v>
      </c>
      <c r="Y455" s="408">
        <f t="shared" si="37"/>
        <v>1228800</v>
      </c>
      <c r="Z455" s="409">
        <v>0.55000000000000004</v>
      </c>
      <c r="AA455" s="410">
        <f t="shared" si="35"/>
        <v>675840</v>
      </c>
      <c r="AB455" s="410"/>
      <c r="AC455" s="394">
        <v>0</v>
      </c>
      <c r="AD455" s="421"/>
      <c r="AE455" s="413"/>
      <c r="AF455" s="462">
        <f t="shared" si="36"/>
        <v>675840</v>
      </c>
      <c r="AG455" s="405" t="s">
        <v>1069</v>
      </c>
      <c r="AH455" s="405"/>
      <c r="AI455" s="405">
        <v>60</v>
      </c>
      <c r="AJ455" s="415" t="s">
        <v>1881</v>
      </c>
      <c r="AK455" s="405" t="s">
        <v>1081</v>
      </c>
      <c r="AL455" s="414" t="s">
        <v>2349</v>
      </c>
      <c r="AM455" s="405" t="s">
        <v>52</v>
      </c>
      <c r="AN455" s="405" t="s">
        <v>1071</v>
      </c>
      <c r="AO455" s="405"/>
      <c r="AP455" s="413"/>
      <c r="AQ455" s="413" t="s">
        <v>37</v>
      </c>
      <c r="AR455" s="413" t="s">
        <v>2352</v>
      </c>
      <c r="AS455" s="403" t="s">
        <v>1072</v>
      </c>
      <c r="AT455" s="386" t="s">
        <v>1084</v>
      </c>
      <c r="AU455" s="386" t="s">
        <v>1073</v>
      </c>
      <c r="AV455" s="409">
        <v>0.73</v>
      </c>
    </row>
    <row r="456" spans="1:48" s="402" customFormat="1">
      <c r="A456" s="403"/>
      <c r="B456" s="397">
        <v>44573</v>
      </c>
      <c r="C456" s="397" t="s">
        <v>1186</v>
      </c>
      <c r="D456" s="432" t="s">
        <v>2330</v>
      </c>
      <c r="E456" s="379" t="s">
        <v>3549</v>
      </c>
      <c r="F456" s="432"/>
      <c r="G456" s="432"/>
      <c r="H456" s="432"/>
      <c r="I456" s="432" t="s">
        <v>2383</v>
      </c>
      <c r="J456" s="444"/>
      <c r="K456" s="432" t="s">
        <v>3550</v>
      </c>
      <c r="L456" s="432" t="s">
        <v>2334</v>
      </c>
      <c r="M456" s="433">
        <v>44546</v>
      </c>
      <c r="N456" s="433">
        <v>44565</v>
      </c>
      <c r="O456" s="433"/>
      <c r="P456" s="433"/>
      <c r="Q456" s="433"/>
      <c r="R456" s="433"/>
      <c r="S456" s="432" t="s">
        <v>2332</v>
      </c>
      <c r="T456" s="432">
        <v>60</v>
      </c>
      <c r="U456" s="432">
        <v>49401140</v>
      </c>
      <c r="V456" s="432" t="s">
        <v>973</v>
      </c>
      <c r="W456" s="432">
        <v>400</v>
      </c>
      <c r="X456" s="436">
        <v>768</v>
      </c>
      <c r="Y456" s="422">
        <f t="shared" si="37"/>
        <v>307200</v>
      </c>
      <c r="Z456" s="409">
        <v>0.55000000000000004</v>
      </c>
      <c r="AA456" s="423">
        <f t="shared" si="35"/>
        <v>168960</v>
      </c>
      <c r="AB456" s="423"/>
      <c r="AC456" s="394">
        <v>0</v>
      </c>
      <c r="AD456" s="421"/>
      <c r="AE456" s="413"/>
      <c r="AF456" s="462">
        <f t="shared" si="36"/>
        <v>168960</v>
      </c>
      <c r="AG456" s="405" t="s">
        <v>1069</v>
      </c>
      <c r="AH456" s="405"/>
      <c r="AI456" s="405">
        <v>60</v>
      </c>
      <c r="AJ456" s="415" t="s">
        <v>2335</v>
      </c>
      <c r="AK456" s="405" t="s">
        <v>1953</v>
      </c>
      <c r="AL456" s="414" t="s">
        <v>2362</v>
      </c>
      <c r="AM456" s="405" t="s">
        <v>52</v>
      </c>
      <c r="AN456" s="405" t="s">
        <v>1071</v>
      </c>
      <c r="AO456" s="405"/>
      <c r="AP456" s="413"/>
      <c r="AQ456" s="413" t="s">
        <v>37</v>
      </c>
      <c r="AR456" s="413" t="s">
        <v>1243</v>
      </c>
      <c r="AS456" s="403" t="s">
        <v>1073</v>
      </c>
      <c r="AT456" s="386" t="s">
        <v>1073</v>
      </c>
      <c r="AU456" s="386" t="s">
        <v>1073</v>
      </c>
      <c r="AV456" s="409">
        <v>0.49</v>
      </c>
    </row>
    <row r="457" spans="1:48" s="402" customFormat="1">
      <c r="A457" s="403"/>
      <c r="B457" s="397">
        <v>44573</v>
      </c>
      <c r="C457" s="397" t="s">
        <v>1186</v>
      </c>
      <c r="D457" s="432" t="s">
        <v>2330</v>
      </c>
      <c r="E457" s="379" t="s">
        <v>3549</v>
      </c>
      <c r="F457" s="432"/>
      <c r="G457" s="432"/>
      <c r="H457" s="432"/>
      <c r="I457" s="432" t="s">
        <v>2383</v>
      </c>
      <c r="J457" s="444"/>
      <c r="K457" s="432" t="s">
        <v>3551</v>
      </c>
      <c r="L457" s="432" t="s">
        <v>2334</v>
      </c>
      <c r="M457" s="433">
        <v>44546</v>
      </c>
      <c r="N457" s="433">
        <v>44572</v>
      </c>
      <c r="O457" s="433"/>
      <c r="P457" s="433"/>
      <c r="Q457" s="433"/>
      <c r="R457" s="433"/>
      <c r="S457" s="432" t="s">
        <v>2332</v>
      </c>
      <c r="T457" s="432">
        <v>60</v>
      </c>
      <c r="U457" s="432">
        <v>49401140</v>
      </c>
      <c r="V457" s="432" t="s">
        <v>973</v>
      </c>
      <c r="W457" s="432">
        <v>400</v>
      </c>
      <c r="X457" s="436">
        <v>768</v>
      </c>
      <c r="Y457" s="422">
        <f t="shared" si="37"/>
        <v>307200</v>
      </c>
      <c r="Z457" s="409">
        <v>0.55000000000000004</v>
      </c>
      <c r="AA457" s="423">
        <f t="shared" si="35"/>
        <v>168960</v>
      </c>
      <c r="AB457" s="423"/>
      <c r="AC457" s="394">
        <v>0</v>
      </c>
      <c r="AD457" s="421"/>
      <c r="AE457" s="413"/>
      <c r="AF457" s="462">
        <f t="shared" si="36"/>
        <v>168960</v>
      </c>
      <c r="AG457" s="405" t="s">
        <v>1069</v>
      </c>
      <c r="AH457" s="405"/>
      <c r="AI457" s="405">
        <v>60</v>
      </c>
      <c r="AJ457" s="415" t="s">
        <v>2335</v>
      </c>
      <c r="AK457" s="405" t="s">
        <v>1953</v>
      </c>
      <c r="AL457" s="414" t="s">
        <v>2362</v>
      </c>
      <c r="AM457" s="405" t="s">
        <v>52</v>
      </c>
      <c r="AN457" s="405" t="s">
        <v>1071</v>
      </c>
      <c r="AO457" s="405"/>
      <c r="AP457" s="413"/>
      <c r="AQ457" s="413" t="s">
        <v>37</v>
      </c>
      <c r="AR457" s="413" t="s">
        <v>1686</v>
      </c>
      <c r="AS457" s="403" t="s">
        <v>1073</v>
      </c>
      <c r="AT457" s="386" t="s">
        <v>1073</v>
      </c>
      <c r="AU457" s="386" t="s">
        <v>1073</v>
      </c>
      <c r="AV457" s="409">
        <v>0.49</v>
      </c>
    </row>
    <row r="458" spans="1:48" s="402" customFormat="1">
      <c r="A458" s="403"/>
      <c r="B458" s="397">
        <v>44573</v>
      </c>
      <c r="C458" s="397" t="s">
        <v>1186</v>
      </c>
      <c r="D458" s="432" t="s">
        <v>2330</v>
      </c>
      <c r="E458" s="379" t="s">
        <v>3549</v>
      </c>
      <c r="F458" s="432"/>
      <c r="G458" s="432"/>
      <c r="H458" s="432"/>
      <c r="I458" s="432" t="s">
        <v>2383</v>
      </c>
      <c r="J458" s="444"/>
      <c r="K458" s="432" t="s">
        <v>3552</v>
      </c>
      <c r="L458" s="432" t="s">
        <v>2334</v>
      </c>
      <c r="M458" s="433">
        <v>44546</v>
      </c>
      <c r="N458" s="433">
        <v>44600</v>
      </c>
      <c r="O458" s="433"/>
      <c r="P458" s="433"/>
      <c r="Q458" s="433"/>
      <c r="R458" s="433"/>
      <c r="S458" s="432" t="s">
        <v>2332</v>
      </c>
      <c r="T458" s="432">
        <v>60</v>
      </c>
      <c r="U458" s="432">
        <v>49401140</v>
      </c>
      <c r="V458" s="432" t="s">
        <v>973</v>
      </c>
      <c r="W458" s="432">
        <v>400</v>
      </c>
      <c r="X458" s="436">
        <v>768</v>
      </c>
      <c r="Y458" s="422">
        <f t="shared" si="37"/>
        <v>307200</v>
      </c>
      <c r="Z458" s="409">
        <v>0.55000000000000004</v>
      </c>
      <c r="AA458" s="423">
        <f t="shared" si="35"/>
        <v>168960</v>
      </c>
      <c r="AB458" s="423"/>
      <c r="AC458" s="394">
        <v>0</v>
      </c>
      <c r="AD458" s="421"/>
      <c r="AE458" s="413"/>
      <c r="AF458" s="462">
        <f t="shared" si="36"/>
        <v>168960</v>
      </c>
      <c r="AG458" s="405" t="s">
        <v>1069</v>
      </c>
      <c r="AH458" s="405"/>
      <c r="AI458" s="405">
        <v>60</v>
      </c>
      <c r="AJ458" s="415" t="s">
        <v>2335</v>
      </c>
      <c r="AK458" s="405" t="s">
        <v>1953</v>
      </c>
      <c r="AL458" s="414" t="s">
        <v>2362</v>
      </c>
      <c r="AM458" s="405" t="s">
        <v>52</v>
      </c>
      <c r="AN458" s="405" t="s">
        <v>1071</v>
      </c>
      <c r="AO458" s="405"/>
      <c r="AP458" s="413"/>
      <c r="AQ458" s="413" t="s">
        <v>37</v>
      </c>
      <c r="AR458" s="413" t="s">
        <v>1243</v>
      </c>
      <c r="AS458" s="403" t="s">
        <v>1073</v>
      </c>
      <c r="AT458" s="386" t="s">
        <v>1073</v>
      </c>
      <c r="AU458" s="386" t="s">
        <v>1073</v>
      </c>
      <c r="AV458" s="409">
        <v>0.49</v>
      </c>
    </row>
    <row r="459" spans="1:48" s="402" customFormat="1">
      <c r="A459" s="403"/>
      <c r="B459" s="397">
        <v>44573</v>
      </c>
      <c r="C459" s="397" t="s">
        <v>1186</v>
      </c>
      <c r="D459" s="432" t="s">
        <v>2330</v>
      </c>
      <c r="E459" s="379" t="s">
        <v>3549</v>
      </c>
      <c r="F459" s="432"/>
      <c r="G459" s="432"/>
      <c r="H459" s="432"/>
      <c r="I459" s="432" t="s">
        <v>2383</v>
      </c>
      <c r="J459" s="444"/>
      <c r="K459" s="432" t="s">
        <v>3553</v>
      </c>
      <c r="L459" s="432" t="s">
        <v>2334</v>
      </c>
      <c r="M459" s="433">
        <v>44546</v>
      </c>
      <c r="N459" s="433">
        <v>44607</v>
      </c>
      <c r="O459" s="433"/>
      <c r="P459" s="433"/>
      <c r="Q459" s="433"/>
      <c r="R459" s="433"/>
      <c r="S459" s="432" t="s">
        <v>2332</v>
      </c>
      <c r="T459" s="432">
        <v>60</v>
      </c>
      <c r="U459" s="432">
        <v>49401140</v>
      </c>
      <c r="V459" s="432" t="s">
        <v>973</v>
      </c>
      <c r="W459" s="432">
        <v>400</v>
      </c>
      <c r="X459" s="436">
        <v>768</v>
      </c>
      <c r="Y459" s="422">
        <f t="shared" si="37"/>
        <v>307200</v>
      </c>
      <c r="Z459" s="409">
        <v>0.55000000000000004</v>
      </c>
      <c r="AA459" s="423">
        <f t="shared" si="35"/>
        <v>168960</v>
      </c>
      <c r="AB459" s="423"/>
      <c r="AC459" s="394">
        <v>0</v>
      </c>
      <c r="AD459" s="421"/>
      <c r="AE459" s="413"/>
      <c r="AF459" s="462">
        <f t="shared" si="36"/>
        <v>168960</v>
      </c>
      <c r="AG459" s="405" t="s">
        <v>1069</v>
      </c>
      <c r="AH459" s="405"/>
      <c r="AI459" s="405">
        <v>60</v>
      </c>
      <c r="AJ459" s="415" t="s">
        <v>2335</v>
      </c>
      <c r="AK459" s="405" t="s">
        <v>1953</v>
      </c>
      <c r="AL459" s="414" t="s">
        <v>2362</v>
      </c>
      <c r="AM459" s="405" t="s">
        <v>52</v>
      </c>
      <c r="AN459" s="405" t="s">
        <v>1071</v>
      </c>
      <c r="AO459" s="405"/>
      <c r="AP459" s="413"/>
      <c r="AQ459" s="413" t="s">
        <v>37</v>
      </c>
      <c r="AR459" s="413" t="s">
        <v>1686</v>
      </c>
      <c r="AS459" s="403" t="s">
        <v>1073</v>
      </c>
      <c r="AT459" s="386" t="s">
        <v>1073</v>
      </c>
      <c r="AU459" s="386" t="s">
        <v>1073</v>
      </c>
      <c r="AV459" s="409">
        <v>0.49</v>
      </c>
    </row>
    <row r="460" spans="1:48" s="402" customFormat="1">
      <c r="A460" s="403"/>
      <c r="B460" s="397">
        <v>44573</v>
      </c>
      <c r="C460" s="397" t="s">
        <v>1186</v>
      </c>
      <c r="D460" s="432" t="s">
        <v>2330</v>
      </c>
      <c r="E460" s="379" t="s">
        <v>3549</v>
      </c>
      <c r="F460" s="432"/>
      <c r="G460" s="432"/>
      <c r="H460" s="432"/>
      <c r="I460" s="432" t="s">
        <v>2383</v>
      </c>
      <c r="J460" s="444"/>
      <c r="K460" s="432" t="s">
        <v>3554</v>
      </c>
      <c r="L460" s="432" t="s">
        <v>2334</v>
      </c>
      <c r="M460" s="433">
        <v>44546</v>
      </c>
      <c r="N460" s="433">
        <v>44628</v>
      </c>
      <c r="O460" s="433"/>
      <c r="P460" s="433"/>
      <c r="Q460" s="433"/>
      <c r="R460" s="433"/>
      <c r="S460" s="432" t="s">
        <v>2332</v>
      </c>
      <c r="T460" s="432">
        <v>60</v>
      </c>
      <c r="U460" s="432">
        <v>49401140</v>
      </c>
      <c r="V460" s="432" t="s">
        <v>973</v>
      </c>
      <c r="W460" s="432">
        <v>400</v>
      </c>
      <c r="X460" s="436">
        <v>768</v>
      </c>
      <c r="Y460" s="422">
        <f t="shared" si="37"/>
        <v>307200</v>
      </c>
      <c r="Z460" s="409">
        <v>0.55000000000000004</v>
      </c>
      <c r="AA460" s="423">
        <f t="shared" si="35"/>
        <v>168960</v>
      </c>
      <c r="AB460" s="423"/>
      <c r="AC460" s="394">
        <v>0</v>
      </c>
      <c r="AD460" s="421"/>
      <c r="AE460" s="413"/>
      <c r="AF460" s="462">
        <f t="shared" si="36"/>
        <v>168960</v>
      </c>
      <c r="AG460" s="405" t="s">
        <v>1069</v>
      </c>
      <c r="AH460" s="405"/>
      <c r="AI460" s="405">
        <v>60</v>
      </c>
      <c r="AJ460" s="415" t="s">
        <v>2335</v>
      </c>
      <c r="AK460" s="405" t="s">
        <v>1953</v>
      </c>
      <c r="AL460" s="414" t="s">
        <v>2362</v>
      </c>
      <c r="AM460" s="405" t="s">
        <v>52</v>
      </c>
      <c r="AN460" s="405" t="s">
        <v>1071</v>
      </c>
      <c r="AO460" s="405"/>
      <c r="AP460" s="413"/>
      <c r="AQ460" s="413" t="s">
        <v>37</v>
      </c>
      <c r="AR460" s="413" t="s">
        <v>1243</v>
      </c>
      <c r="AS460" s="403" t="s">
        <v>1073</v>
      </c>
      <c r="AT460" s="386" t="s">
        <v>1073</v>
      </c>
      <c r="AU460" s="386" t="s">
        <v>1073</v>
      </c>
      <c r="AV460" s="409">
        <v>0.49</v>
      </c>
    </row>
    <row r="461" spans="1:48" s="402" customFormat="1">
      <c r="A461" s="403"/>
      <c r="B461" s="397">
        <v>44573</v>
      </c>
      <c r="C461" s="397" t="s">
        <v>1186</v>
      </c>
      <c r="D461" s="432" t="s">
        <v>2330</v>
      </c>
      <c r="E461" s="379" t="s">
        <v>3549</v>
      </c>
      <c r="F461" s="432"/>
      <c r="G461" s="432"/>
      <c r="H461" s="432"/>
      <c r="I461" s="432" t="s">
        <v>2383</v>
      </c>
      <c r="J461" s="444"/>
      <c r="K461" s="432" t="s">
        <v>3555</v>
      </c>
      <c r="L461" s="432" t="s">
        <v>2334</v>
      </c>
      <c r="M461" s="433">
        <v>44546</v>
      </c>
      <c r="N461" s="433">
        <v>44635</v>
      </c>
      <c r="O461" s="433"/>
      <c r="P461" s="433"/>
      <c r="Q461" s="433"/>
      <c r="R461" s="433"/>
      <c r="S461" s="432" t="s">
        <v>2332</v>
      </c>
      <c r="T461" s="432">
        <v>60</v>
      </c>
      <c r="U461" s="432">
        <v>49401140</v>
      </c>
      <c r="V461" s="432" t="s">
        <v>973</v>
      </c>
      <c r="W461" s="432">
        <v>400</v>
      </c>
      <c r="X461" s="436">
        <v>768</v>
      </c>
      <c r="Y461" s="422">
        <f t="shared" si="37"/>
        <v>307200</v>
      </c>
      <c r="Z461" s="409">
        <v>0.55000000000000004</v>
      </c>
      <c r="AA461" s="423">
        <f t="shared" si="35"/>
        <v>168960</v>
      </c>
      <c r="AB461" s="423"/>
      <c r="AC461" s="394">
        <v>0</v>
      </c>
      <c r="AD461" s="421"/>
      <c r="AE461" s="413"/>
      <c r="AF461" s="462">
        <f t="shared" si="36"/>
        <v>168960</v>
      </c>
      <c r="AG461" s="405" t="s">
        <v>1069</v>
      </c>
      <c r="AH461" s="405"/>
      <c r="AI461" s="405">
        <v>60</v>
      </c>
      <c r="AJ461" s="415" t="s">
        <v>2335</v>
      </c>
      <c r="AK461" s="405" t="s">
        <v>1953</v>
      </c>
      <c r="AL461" s="414" t="s">
        <v>2362</v>
      </c>
      <c r="AM461" s="405" t="s">
        <v>52</v>
      </c>
      <c r="AN461" s="405" t="s">
        <v>1071</v>
      </c>
      <c r="AO461" s="405"/>
      <c r="AP461" s="413"/>
      <c r="AQ461" s="413" t="s">
        <v>37</v>
      </c>
      <c r="AR461" s="413" t="s">
        <v>1686</v>
      </c>
      <c r="AS461" s="403" t="s">
        <v>1073</v>
      </c>
      <c r="AT461" s="386" t="s">
        <v>1073</v>
      </c>
      <c r="AU461" s="386" t="s">
        <v>1073</v>
      </c>
      <c r="AV461" s="409">
        <v>0.49</v>
      </c>
    </row>
    <row r="462" spans="1:48" s="402" customFormat="1">
      <c r="A462" s="403"/>
      <c r="B462" s="397"/>
      <c r="C462" s="397"/>
      <c r="D462" s="432" t="s">
        <v>2330</v>
      </c>
      <c r="E462" s="379" t="s">
        <v>3556</v>
      </c>
      <c r="F462" s="432"/>
      <c r="G462" s="432"/>
      <c r="H462" s="432"/>
      <c r="I462" s="432" t="s">
        <v>2383</v>
      </c>
      <c r="J462" s="444"/>
      <c r="K462" s="432" t="s">
        <v>3557</v>
      </c>
      <c r="L462" s="432" t="s">
        <v>2334</v>
      </c>
      <c r="M462" s="433">
        <v>44537</v>
      </c>
      <c r="N462" s="433">
        <v>44655</v>
      </c>
      <c r="O462" s="433"/>
      <c r="P462" s="433"/>
      <c r="Q462" s="433"/>
      <c r="R462" s="433"/>
      <c r="S462" s="432" t="s">
        <v>2332</v>
      </c>
      <c r="T462" s="432">
        <v>60</v>
      </c>
      <c r="U462" s="432">
        <v>49401140</v>
      </c>
      <c r="V462" s="432" t="s">
        <v>973</v>
      </c>
      <c r="W462" s="432">
        <v>400</v>
      </c>
      <c r="X462" s="436">
        <v>3072</v>
      </c>
      <c r="Y462" s="422">
        <f t="shared" si="37"/>
        <v>1228800</v>
      </c>
      <c r="Z462" s="409">
        <v>0.55000000000000004</v>
      </c>
      <c r="AA462" s="423">
        <f t="shared" si="35"/>
        <v>675840</v>
      </c>
      <c r="AB462" s="423"/>
      <c r="AC462" s="394">
        <v>0</v>
      </c>
      <c r="AD462" s="421"/>
      <c r="AE462" s="413"/>
      <c r="AF462" s="462">
        <f t="shared" si="36"/>
        <v>675840</v>
      </c>
      <c r="AG462" s="405" t="s">
        <v>1069</v>
      </c>
      <c r="AH462" s="405"/>
      <c r="AI462" s="405">
        <v>60</v>
      </c>
      <c r="AJ462" s="415" t="s">
        <v>2335</v>
      </c>
      <c r="AK462" s="405" t="s">
        <v>1953</v>
      </c>
      <c r="AL462" s="414" t="s">
        <v>2336</v>
      </c>
      <c r="AM462" s="405" t="s">
        <v>52</v>
      </c>
      <c r="AN462" s="405" t="s">
        <v>1071</v>
      </c>
      <c r="AO462" s="405"/>
      <c r="AP462" s="413"/>
      <c r="AQ462" s="413" t="s">
        <v>37</v>
      </c>
      <c r="AR462" s="413" t="s">
        <v>1499</v>
      </c>
      <c r="AS462" s="403" t="s">
        <v>1073</v>
      </c>
      <c r="AT462" s="386" t="s">
        <v>1073</v>
      </c>
      <c r="AU462" s="386" t="s">
        <v>1073</v>
      </c>
      <c r="AV462" s="409">
        <v>0.45500000000000002</v>
      </c>
    </row>
    <row r="463" spans="1:48" s="402" customFormat="1">
      <c r="A463" s="380"/>
      <c r="B463" s="381">
        <v>44573</v>
      </c>
      <c r="C463" s="397" t="s">
        <v>1186</v>
      </c>
      <c r="D463" s="432" t="s">
        <v>2330</v>
      </c>
      <c r="E463" s="379" t="s">
        <v>2406</v>
      </c>
      <c r="F463" s="432"/>
      <c r="G463" s="432"/>
      <c r="H463" s="432"/>
      <c r="I463" s="432" t="s">
        <v>2383</v>
      </c>
      <c r="J463" s="444"/>
      <c r="K463" s="432" t="s">
        <v>3558</v>
      </c>
      <c r="L463" s="432" t="s">
        <v>2334</v>
      </c>
      <c r="M463" s="433">
        <v>44537</v>
      </c>
      <c r="N463" s="433">
        <v>44655</v>
      </c>
      <c r="O463" s="433"/>
      <c r="P463" s="433"/>
      <c r="Q463" s="433"/>
      <c r="R463" s="433"/>
      <c r="S463" s="432" t="s">
        <v>2332</v>
      </c>
      <c r="T463" s="432">
        <v>60</v>
      </c>
      <c r="U463" s="432">
        <v>49401140</v>
      </c>
      <c r="V463" s="432" t="s">
        <v>973</v>
      </c>
      <c r="W463" s="432">
        <v>400</v>
      </c>
      <c r="X463" s="436">
        <v>8448</v>
      </c>
      <c r="Y463" s="422">
        <f t="shared" si="37"/>
        <v>3379200</v>
      </c>
      <c r="Z463" s="409">
        <v>0.55000000000000004</v>
      </c>
      <c r="AA463" s="423">
        <f t="shared" si="35"/>
        <v>1858560.0000000002</v>
      </c>
      <c r="AB463" s="423"/>
      <c r="AC463" s="394">
        <v>0</v>
      </c>
      <c r="AD463" s="421"/>
      <c r="AE463" s="413"/>
      <c r="AF463" s="462">
        <f t="shared" si="36"/>
        <v>1858560.0000000002</v>
      </c>
      <c r="AG463" s="405" t="s">
        <v>1069</v>
      </c>
      <c r="AH463" s="405"/>
      <c r="AI463" s="405">
        <v>60</v>
      </c>
      <c r="AJ463" s="415" t="s">
        <v>2335</v>
      </c>
      <c r="AK463" s="405" t="s">
        <v>1953</v>
      </c>
      <c r="AL463" s="414" t="s">
        <v>2336</v>
      </c>
      <c r="AM463" s="405" t="s">
        <v>52</v>
      </c>
      <c r="AN463" s="405" t="s">
        <v>1071</v>
      </c>
      <c r="AO463" s="405"/>
      <c r="AP463" s="413"/>
      <c r="AQ463" s="413" t="s">
        <v>37</v>
      </c>
      <c r="AR463" s="413"/>
      <c r="AS463" s="403" t="s">
        <v>1073</v>
      </c>
      <c r="AT463" s="386" t="s">
        <v>1073</v>
      </c>
      <c r="AU463" s="386" t="s">
        <v>1073</v>
      </c>
      <c r="AV463" s="409"/>
    </row>
    <row r="464" spans="1:48" s="402" customFormat="1">
      <c r="A464" s="403"/>
      <c r="B464" s="397">
        <v>44573</v>
      </c>
      <c r="C464" s="397" t="s">
        <v>1186</v>
      </c>
      <c r="D464" s="432" t="s">
        <v>2330</v>
      </c>
      <c r="E464" s="379" t="s">
        <v>3549</v>
      </c>
      <c r="F464" s="432"/>
      <c r="G464" s="432"/>
      <c r="H464" s="432"/>
      <c r="I464" s="432" t="s">
        <v>2383</v>
      </c>
      <c r="J464" s="444"/>
      <c r="K464" s="432" t="s">
        <v>3559</v>
      </c>
      <c r="L464" s="432" t="s">
        <v>2334</v>
      </c>
      <c r="M464" s="433">
        <v>44546</v>
      </c>
      <c r="N464" s="433">
        <v>44656</v>
      </c>
      <c r="O464" s="433"/>
      <c r="P464" s="433"/>
      <c r="Q464" s="433"/>
      <c r="R464" s="433"/>
      <c r="S464" s="432" t="s">
        <v>2332</v>
      </c>
      <c r="T464" s="432">
        <v>60</v>
      </c>
      <c r="U464" s="432">
        <v>49401140</v>
      </c>
      <c r="V464" s="432" t="s">
        <v>973</v>
      </c>
      <c r="W464" s="432">
        <v>400</v>
      </c>
      <c r="X464" s="436">
        <v>768</v>
      </c>
      <c r="Y464" s="422">
        <f t="shared" si="37"/>
        <v>307200</v>
      </c>
      <c r="Z464" s="409">
        <v>0.55000000000000004</v>
      </c>
      <c r="AA464" s="423">
        <f t="shared" si="35"/>
        <v>168960</v>
      </c>
      <c r="AB464" s="423"/>
      <c r="AC464" s="394">
        <v>0</v>
      </c>
      <c r="AD464" s="421"/>
      <c r="AE464" s="413"/>
      <c r="AF464" s="462">
        <f t="shared" si="36"/>
        <v>168960</v>
      </c>
      <c r="AG464" s="405" t="s">
        <v>1069</v>
      </c>
      <c r="AH464" s="405"/>
      <c r="AI464" s="405">
        <v>60</v>
      </c>
      <c r="AJ464" s="415" t="s">
        <v>2335</v>
      </c>
      <c r="AK464" s="405" t="s">
        <v>1953</v>
      </c>
      <c r="AL464" s="414" t="s">
        <v>2362</v>
      </c>
      <c r="AM464" s="405" t="s">
        <v>52</v>
      </c>
      <c r="AN464" s="405" t="s">
        <v>1071</v>
      </c>
      <c r="AO464" s="405"/>
      <c r="AP464" s="413"/>
      <c r="AQ464" s="413" t="s">
        <v>37</v>
      </c>
      <c r="AR464" s="413" t="s">
        <v>1243</v>
      </c>
      <c r="AS464" s="403" t="s">
        <v>1073</v>
      </c>
      <c r="AT464" s="386" t="s">
        <v>1073</v>
      </c>
      <c r="AU464" s="386" t="s">
        <v>1073</v>
      </c>
      <c r="AV464" s="409">
        <v>0.49</v>
      </c>
    </row>
    <row r="465" spans="1:48" s="402" customFormat="1">
      <c r="A465" s="403"/>
      <c r="B465" s="397">
        <v>44573</v>
      </c>
      <c r="C465" s="397" t="s">
        <v>1186</v>
      </c>
      <c r="D465" s="432" t="s">
        <v>2330</v>
      </c>
      <c r="E465" s="379" t="s">
        <v>3549</v>
      </c>
      <c r="F465" s="432"/>
      <c r="G465" s="432"/>
      <c r="H465" s="432"/>
      <c r="I465" s="432" t="s">
        <v>2383</v>
      </c>
      <c r="J465" s="444"/>
      <c r="K465" s="432" t="s">
        <v>3560</v>
      </c>
      <c r="L465" s="432" t="s">
        <v>2334</v>
      </c>
      <c r="M465" s="433">
        <v>44546</v>
      </c>
      <c r="N465" s="433">
        <v>44663</v>
      </c>
      <c r="O465" s="433"/>
      <c r="P465" s="433"/>
      <c r="Q465" s="433"/>
      <c r="R465" s="433"/>
      <c r="S465" s="432" t="s">
        <v>2332</v>
      </c>
      <c r="T465" s="432">
        <v>60</v>
      </c>
      <c r="U465" s="432">
        <v>49401140</v>
      </c>
      <c r="V465" s="432" t="s">
        <v>973</v>
      </c>
      <c r="W465" s="432">
        <v>400</v>
      </c>
      <c r="X465" s="436">
        <v>768</v>
      </c>
      <c r="Y465" s="422">
        <f t="shared" si="37"/>
        <v>307200</v>
      </c>
      <c r="Z465" s="409">
        <v>0.55000000000000004</v>
      </c>
      <c r="AA465" s="423">
        <f t="shared" si="35"/>
        <v>168960</v>
      </c>
      <c r="AB465" s="423"/>
      <c r="AC465" s="394">
        <v>0</v>
      </c>
      <c r="AD465" s="421"/>
      <c r="AE465" s="413"/>
      <c r="AF465" s="462">
        <f t="shared" si="36"/>
        <v>168960</v>
      </c>
      <c r="AG465" s="405" t="s">
        <v>1069</v>
      </c>
      <c r="AH465" s="405"/>
      <c r="AI465" s="405">
        <v>60</v>
      </c>
      <c r="AJ465" s="415" t="s">
        <v>2335</v>
      </c>
      <c r="AK465" s="405" t="s">
        <v>1953</v>
      </c>
      <c r="AL465" s="414" t="s">
        <v>2362</v>
      </c>
      <c r="AM465" s="405" t="s">
        <v>52</v>
      </c>
      <c r="AN465" s="405" t="s">
        <v>1071</v>
      </c>
      <c r="AO465" s="405"/>
      <c r="AP465" s="413"/>
      <c r="AQ465" s="413" t="s">
        <v>37</v>
      </c>
      <c r="AR465" s="413" t="s">
        <v>1686</v>
      </c>
      <c r="AS465" s="403" t="s">
        <v>1073</v>
      </c>
      <c r="AT465" s="386" t="s">
        <v>1073</v>
      </c>
      <c r="AU465" s="386" t="s">
        <v>1073</v>
      </c>
      <c r="AV465" s="409">
        <v>0.49</v>
      </c>
    </row>
    <row r="466" spans="1:48" s="402" customFormat="1">
      <c r="A466" s="403"/>
      <c r="B466" s="397">
        <v>44573</v>
      </c>
      <c r="C466" s="397" t="s">
        <v>1186</v>
      </c>
      <c r="D466" s="432" t="s">
        <v>2330</v>
      </c>
      <c r="E466" s="379" t="s">
        <v>3549</v>
      </c>
      <c r="F466" s="432"/>
      <c r="G466" s="432"/>
      <c r="H466" s="432"/>
      <c r="I466" s="432" t="s">
        <v>2383</v>
      </c>
      <c r="J466" s="444"/>
      <c r="K466" s="432" t="s">
        <v>3561</v>
      </c>
      <c r="L466" s="432" t="s">
        <v>2334</v>
      </c>
      <c r="M466" s="433">
        <v>44546</v>
      </c>
      <c r="N466" s="433">
        <v>44684</v>
      </c>
      <c r="O466" s="433"/>
      <c r="P466" s="433"/>
      <c r="Q466" s="433"/>
      <c r="R466" s="433"/>
      <c r="S466" s="432" t="s">
        <v>2332</v>
      </c>
      <c r="T466" s="432">
        <v>60</v>
      </c>
      <c r="U466" s="432">
        <v>49401140</v>
      </c>
      <c r="V466" s="432" t="s">
        <v>973</v>
      </c>
      <c r="W466" s="432">
        <v>400</v>
      </c>
      <c r="X466" s="436">
        <v>768</v>
      </c>
      <c r="Y466" s="422">
        <f t="shared" si="37"/>
        <v>307200</v>
      </c>
      <c r="Z466" s="409">
        <v>0.55000000000000004</v>
      </c>
      <c r="AA466" s="423">
        <f t="shared" si="35"/>
        <v>168960</v>
      </c>
      <c r="AB466" s="423"/>
      <c r="AC466" s="394">
        <v>0</v>
      </c>
      <c r="AD466" s="421"/>
      <c r="AE466" s="413"/>
      <c r="AF466" s="462">
        <f t="shared" si="36"/>
        <v>168960</v>
      </c>
      <c r="AG466" s="405" t="s">
        <v>1069</v>
      </c>
      <c r="AH466" s="405"/>
      <c r="AI466" s="405">
        <v>60</v>
      </c>
      <c r="AJ466" s="415" t="s">
        <v>2335</v>
      </c>
      <c r="AK466" s="405" t="s">
        <v>1953</v>
      </c>
      <c r="AL466" s="414" t="s">
        <v>2362</v>
      </c>
      <c r="AM466" s="405" t="s">
        <v>52</v>
      </c>
      <c r="AN466" s="405" t="s">
        <v>1071</v>
      </c>
      <c r="AO466" s="405"/>
      <c r="AP466" s="413"/>
      <c r="AQ466" s="413" t="s">
        <v>37</v>
      </c>
      <c r="AR466" s="413" t="s">
        <v>1243</v>
      </c>
      <c r="AS466" s="403" t="s">
        <v>1073</v>
      </c>
      <c r="AT466" s="386" t="s">
        <v>1073</v>
      </c>
      <c r="AU466" s="386" t="s">
        <v>1073</v>
      </c>
      <c r="AV466" s="409">
        <v>0.49</v>
      </c>
    </row>
    <row r="467" spans="1:48" s="402" customFormat="1">
      <c r="A467" s="403"/>
      <c r="B467" s="397"/>
      <c r="C467" s="397"/>
      <c r="D467" s="432" t="s">
        <v>2330</v>
      </c>
      <c r="E467" s="379" t="s">
        <v>3562</v>
      </c>
      <c r="F467" s="432"/>
      <c r="G467" s="432"/>
      <c r="H467" s="432"/>
      <c r="I467" s="432" t="s">
        <v>2383</v>
      </c>
      <c r="J467" s="444"/>
      <c r="K467" s="432" t="s">
        <v>3563</v>
      </c>
      <c r="L467" s="432" t="s">
        <v>2334</v>
      </c>
      <c r="M467" s="433">
        <v>44537</v>
      </c>
      <c r="N467" s="433">
        <v>44685</v>
      </c>
      <c r="O467" s="433"/>
      <c r="P467" s="433"/>
      <c r="Q467" s="433"/>
      <c r="R467" s="433"/>
      <c r="S467" s="432" t="s">
        <v>2332</v>
      </c>
      <c r="T467" s="432">
        <v>60</v>
      </c>
      <c r="U467" s="432">
        <v>49401140</v>
      </c>
      <c r="V467" s="432" t="s">
        <v>973</v>
      </c>
      <c r="W467" s="432">
        <v>400</v>
      </c>
      <c r="X467" s="436">
        <v>3072</v>
      </c>
      <c r="Y467" s="422">
        <f t="shared" si="37"/>
        <v>1228800</v>
      </c>
      <c r="Z467" s="409">
        <v>0.55000000000000004</v>
      </c>
      <c r="AA467" s="423">
        <f t="shared" si="35"/>
        <v>675840</v>
      </c>
      <c r="AB467" s="423"/>
      <c r="AC467" s="394">
        <v>0</v>
      </c>
      <c r="AD467" s="421"/>
      <c r="AE467" s="413"/>
      <c r="AF467" s="462">
        <f t="shared" si="36"/>
        <v>675840</v>
      </c>
      <c r="AG467" s="405" t="s">
        <v>1069</v>
      </c>
      <c r="AH467" s="405"/>
      <c r="AI467" s="405">
        <v>60</v>
      </c>
      <c r="AJ467" s="415" t="s">
        <v>2335</v>
      </c>
      <c r="AK467" s="405" t="s">
        <v>1953</v>
      </c>
      <c r="AL467" s="414" t="s">
        <v>2336</v>
      </c>
      <c r="AM467" s="405" t="s">
        <v>52</v>
      </c>
      <c r="AN467" s="405" t="s">
        <v>1071</v>
      </c>
      <c r="AO467" s="405"/>
      <c r="AP467" s="413"/>
      <c r="AQ467" s="413" t="s">
        <v>37</v>
      </c>
      <c r="AR467" s="389" t="s">
        <v>1499</v>
      </c>
      <c r="AS467" s="403" t="s">
        <v>1073</v>
      </c>
      <c r="AT467" s="386" t="s">
        <v>1073</v>
      </c>
      <c r="AU467" s="386" t="s">
        <v>1073</v>
      </c>
      <c r="AV467" s="409">
        <v>0.45500000000000002</v>
      </c>
    </row>
    <row r="468" spans="1:48" s="402" customFormat="1">
      <c r="A468" s="403"/>
      <c r="B468" s="397">
        <v>44573</v>
      </c>
      <c r="C468" s="397" t="s">
        <v>1186</v>
      </c>
      <c r="D468" s="432" t="s">
        <v>2330</v>
      </c>
      <c r="E468" s="379" t="s">
        <v>2406</v>
      </c>
      <c r="F468" s="432"/>
      <c r="G468" s="432"/>
      <c r="H468" s="432"/>
      <c r="I468" s="432" t="s">
        <v>2383</v>
      </c>
      <c r="J468" s="444"/>
      <c r="K468" s="432" t="s">
        <v>3564</v>
      </c>
      <c r="L468" s="432" t="s">
        <v>2334</v>
      </c>
      <c r="M468" s="433">
        <v>44537</v>
      </c>
      <c r="N468" s="433">
        <v>44685</v>
      </c>
      <c r="O468" s="433"/>
      <c r="P468" s="433"/>
      <c r="Q468" s="433"/>
      <c r="R468" s="433"/>
      <c r="S468" s="432" t="s">
        <v>2332</v>
      </c>
      <c r="T468" s="432">
        <v>60</v>
      </c>
      <c r="U468" s="432">
        <v>49401140</v>
      </c>
      <c r="V468" s="432" t="s">
        <v>973</v>
      </c>
      <c r="W468" s="432">
        <v>400</v>
      </c>
      <c r="X468" s="436">
        <v>8448</v>
      </c>
      <c r="Y468" s="422">
        <f t="shared" si="37"/>
        <v>3379200</v>
      </c>
      <c r="Z468" s="409">
        <v>0.55000000000000004</v>
      </c>
      <c r="AA468" s="423">
        <f t="shared" si="35"/>
        <v>1858560.0000000002</v>
      </c>
      <c r="AB468" s="423"/>
      <c r="AC468" s="394">
        <v>0</v>
      </c>
      <c r="AD468" s="421"/>
      <c r="AE468" s="413"/>
      <c r="AF468" s="462">
        <f t="shared" si="36"/>
        <v>1858560.0000000002</v>
      </c>
      <c r="AG468" s="405" t="s">
        <v>1069</v>
      </c>
      <c r="AH468" s="405"/>
      <c r="AI468" s="405">
        <v>60</v>
      </c>
      <c r="AJ468" s="415" t="s">
        <v>2335</v>
      </c>
      <c r="AK468" s="405" t="s">
        <v>1953</v>
      </c>
      <c r="AL468" s="414" t="s">
        <v>2336</v>
      </c>
      <c r="AM468" s="405" t="s">
        <v>52</v>
      </c>
      <c r="AN468" s="405" t="s">
        <v>1071</v>
      </c>
      <c r="AO468" s="405"/>
      <c r="AP468" s="413"/>
      <c r="AQ468" s="413" t="s">
        <v>37</v>
      </c>
      <c r="AR468" s="413"/>
      <c r="AS468" s="403" t="s">
        <v>1073</v>
      </c>
      <c r="AT468" s="386" t="s">
        <v>1073</v>
      </c>
      <c r="AU468" s="386" t="s">
        <v>1073</v>
      </c>
      <c r="AV468" s="409"/>
    </row>
    <row r="469" spans="1:48" s="402" customFormat="1">
      <c r="A469" s="403"/>
      <c r="B469" s="397">
        <v>44573</v>
      </c>
      <c r="C469" s="397" t="s">
        <v>1186</v>
      </c>
      <c r="D469" s="432" t="s">
        <v>2330</v>
      </c>
      <c r="E469" s="379" t="s">
        <v>3549</v>
      </c>
      <c r="F469" s="432"/>
      <c r="G469" s="432"/>
      <c r="H469" s="432"/>
      <c r="I469" s="432" t="s">
        <v>2383</v>
      </c>
      <c r="J469" s="444"/>
      <c r="K469" s="432" t="s">
        <v>3565</v>
      </c>
      <c r="L469" s="432" t="s">
        <v>2334</v>
      </c>
      <c r="M469" s="433">
        <v>44546</v>
      </c>
      <c r="N469" s="433">
        <v>44691</v>
      </c>
      <c r="O469" s="433"/>
      <c r="P469" s="433"/>
      <c r="Q469" s="433"/>
      <c r="R469" s="433"/>
      <c r="S469" s="432" t="s">
        <v>2332</v>
      </c>
      <c r="T469" s="432">
        <v>60</v>
      </c>
      <c r="U469" s="432">
        <v>49401140</v>
      </c>
      <c r="V469" s="432" t="s">
        <v>973</v>
      </c>
      <c r="W469" s="432">
        <v>400</v>
      </c>
      <c r="X469" s="436">
        <v>768</v>
      </c>
      <c r="Y469" s="408">
        <f t="shared" si="37"/>
        <v>307200</v>
      </c>
      <c r="Z469" s="409">
        <v>0.55000000000000004</v>
      </c>
      <c r="AA469" s="410">
        <f t="shared" si="35"/>
        <v>168960</v>
      </c>
      <c r="AB469" s="410"/>
      <c r="AC469" s="394">
        <v>0</v>
      </c>
      <c r="AD469" s="421"/>
      <c r="AE469" s="413"/>
      <c r="AF469" s="462">
        <f t="shared" si="36"/>
        <v>168960</v>
      </c>
      <c r="AG469" s="405" t="s">
        <v>1069</v>
      </c>
      <c r="AH469" s="405"/>
      <c r="AI469" s="405">
        <v>60</v>
      </c>
      <c r="AJ469" s="415" t="s">
        <v>2335</v>
      </c>
      <c r="AK469" s="405" t="s">
        <v>1953</v>
      </c>
      <c r="AL469" s="414" t="s">
        <v>2362</v>
      </c>
      <c r="AM469" s="405" t="s">
        <v>52</v>
      </c>
      <c r="AN469" s="405" t="s">
        <v>1071</v>
      </c>
      <c r="AO469" s="405"/>
      <c r="AP469" s="413"/>
      <c r="AQ469" s="413" t="s">
        <v>37</v>
      </c>
      <c r="AR469" s="413" t="s">
        <v>1686</v>
      </c>
      <c r="AS469" s="403" t="s">
        <v>1073</v>
      </c>
      <c r="AT469" s="386" t="s">
        <v>1073</v>
      </c>
      <c r="AU469" s="386" t="s">
        <v>1073</v>
      </c>
      <c r="AV469" s="409">
        <v>0.49</v>
      </c>
    </row>
    <row r="470" spans="1:48" s="402" customFormat="1">
      <c r="A470" s="403"/>
      <c r="B470" s="397"/>
      <c r="C470" s="397"/>
      <c r="D470" s="432" t="s">
        <v>2330</v>
      </c>
      <c r="E470" s="379" t="s">
        <v>3566</v>
      </c>
      <c r="F470" s="432"/>
      <c r="G470" s="432"/>
      <c r="H470" s="432"/>
      <c r="I470" s="432" t="s">
        <v>2383</v>
      </c>
      <c r="J470" s="444"/>
      <c r="K470" s="432" t="s">
        <v>3567</v>
      </c>
      <c r="L470" s="432" t="s">
        <v>2334</v>
      </c>
      <c r="M470" s="433">
        <v>44537</v>
      </c>
      <c r="N470" s="433">
        <v>44716</v>
      </c>
      <c r="O470" s="433"/>
      <c r="P470" s="433"/>
      <c r="Q470" s="433"/>
      <c r="R470" s="433"/>
      <c r="S470" s="432" t="s">
        <v>2332</v>
      </c>
      <c r="T470" s="432">
        <v>60</v>
      </c>
      <c r="U470" s="432">
        <v>49401140</v>
      </c>
      <c r="V470" s="432" t="s">
        <v>973</v>
      </c>
      <c r="W470" s="432">
        <v>400</v>
      </c>
      <c r="X470" s="436">
        <v>3072</v>
      </c>
      <c r="Y470" s="422">
        <f t="shared" si="37"/>
        <v>1228800</v>
      </c>
      <c r="Z470" s="409">
        <v>0.55000000000000004</v>
      </c>
      <c r="AA470" s="423">
        <f t="shared" si="35"/>
        <v>675840</v>
      </c>
      <c r="AB470" s="423"/>
      <c r="AC470" s="394">
        <v>0</v>
      </c>
      <c r="AD470" s="421"/>
      <c r="AE470" s="413"/>
      <c r="AF470" s="462">
        <f t="shared" si="36"/>
        <v>675840</v>
      </c>
      <c r="AG470" s="405" t="s">
        <v>1069</v>
      </c>
      <c r="AH470" s="405"/>
      <c r="AI470" s="405">
        <v>60</v>
      </c>
      <c r="AJ470" s="415" t="s">
        <v>2335</v>
      </c>
      <c r="AK470" s="405" t="s">
        <v>1953</v>
      </c>
      <c r="AL470" s="414" t="s">
        <v>2336</v>
      </c>
      <c r="AM470" s="405" t="s">
        <v>52</v>
      </c>
      <c r="AN470" s="405" t="s">
        <v>1071</v>
      </c>
      <c r="AO470" s="405"/>
      <c r="AP470" s="413"/>
      <c r="AQ470" s="413" t="s">
        <v>37</v>
      </c>
      <c r="AR470" s="389" t="s">
        <v>1499</v>
      </c>
      <c r="AS470" s="403" t="s">
        <v>1073</v>
      </c>
      <c r="AT470" s="386" t="s">
        <v>1073</v>
      </c>
      <c r="AU470" s="386" t="s">
        <v>1073</v>
      </c>
      <c r="AV470" s="409">
        <v>0.45500000000000002</v>
      </c>
    </row>
    <row r="471" spans="1:48" s="402" customFormat="1">
      <c r="A471" s="403"/>
      <c r="B471" s="397">
        <v>44573</v>
      </c>
      <c r="C471" s="397" t="s">
        <v>1186</v>
      </c>
      <c r="D471" s="432" t="s">
        <v>2330</v>
      </c>
      <c r="E471" s="379" t="s">
        <v>2406</v>
      </c>
      <c r="F471" s="432"/>
      <c r="G471" s="432"/>
      <c r="H471" s="432"/>
      <c r="I471" s="432" t="s">
        <v>2383</v>
      </c>
      <c r="J471" s="444"/>
      <c r="K471" s="432" t="s">
        <v>3568</v>
      </c>
      <c r="L471" s="432" t="s">
        <v>2334</v>
      </c>
      <c r="M471" s="433">
        <v>44537</v>
      </c>
      <c r="N471" s="433">
        <v>44716</v>
      </c>
      <c r="O471" s="433"/>
      <c r="P471" s="433"/>
      <c r="Q471" s="433"/>
      <c r="R471" s="433"/>
      <c r="S471" s="432" t="s">
        <v>2332</v>
      </c>
      <c r="T471" s="432">
        <v>60</v>
      </c>
      <c r="U471" s="432">
        <v>49401140</v>
      </c>
      <c r="V471" s="432" t="s">
        <v>973</v>
      </c>
      <c r="W471" s="432">
        <v>400</v>
      </c>
      <c r="X471" s="436">
        <v>8448</v>
      </c>
      <c r="Y471" s="422">
        <f t="shared" si="37"/>
        <v>3379200</v>
      </c>
      <c r="Z471" s="409">
        <v>0.55000000000000004</v>
      </c>
      <c r="AA471" s="423">
        <f t="shared" si="35"/>
        <v>1858560.0000000002</v>
      </c>
      <c r="AB471" s="423"/>
      <c r="AC471" s="394">
        <v>0</v>
      </c>
      <c r="AD471" s="421"/>
      <c r="AE471" s="413"/>
      <c r="AF471" s="462">
        <f t="shared" si="36"/>
        <v>1858560.0000000002</v>
      </c>
      <c r="AG471" s="405" t="s">
        <v>1069</v>
      </c>
      <c r="AH471" s="405"/>
      <c r="AI471" s="405">
        <v>60</v>
      </c>
      <c r="AJ471" s="415" t="s">
        <v>2335</v>
      </c>
      <c r="AK471" s="405" t="s">
        <v>1953</v>
      </c>
      <c r="AL471" s="414" t="s">
        <v>2336</v>
      </c>
      <c r="AM471" s="405" t="s">
        <v>52</v>
      </c>
      <c r="AN471" s="405" t="s">
        <v>1071</v>
      </c>
      <c r="AO471" s="405"/>
      <c r="AP471" s="413"/>
      <c r="AQ471" s="413" t="s">
        <v>37</v>
      </c>
      <c r="AR471" s="413"/>
      <c r="AS471" s="403" t="s">
        <v>1073</v>
      </c>
      <c r="AT471" s="386" t="s">
        <v>1073</v>
      </c>
      <c r="AU471" s="386" t="s">
        <v>1073</v>
      </c>
      <c r="AV471" s="409"/>
    </row>
    <row r="472" spans="1:48" s="402" customFormat="1">
      <c r="A472" s="403"/>
      <c r="B472" s="397">
        <v>44573</v>
      </c>
      <c r="C472" s="397" t="s">
        <v>1186</v>
      </c>
      <c r="D472" s="432" t="s">
        <v>2330</v>
      </c>
      <c r="E472" s="379" t="s">
        <v>3549</v>
      </c>
      <c r="F472" s="432"/>
      <c r="G472" s="432"/>
      <c r="H472" s="432"/>
      <c r="I472" s="432" t="s">
        <v>2383</v>
      </c>
      <c r="J472" s="444"/>
      <c r="K472" s="432" t="s">
        <v>3569</v>
      </c>
      <c r="L472" s="432" t="s">
        <v>2334</v>
      </c>
      <c r="M472" s="433">
        <v>44546</v>
      </c>
      <c r="N472" s="433">
        <v>44719</v>
      </c>
      <c r="O472" s="433"/>
      <c r="P472" s="433"/>
      <c r="Q472" s="433"/>
      <c r="R472" s="433"/>
      <c r="S472" s="432" t="s">
        <v>2332</v>
      </c>
      <c r="T472" s="432">
        <v>60</v>
      </c>
      <c r="U472" s="432">
        <v>49401140</v>
      </c>
      <c r="V472" s="432" t="s">
        <v>973</v>
      </c>
      <c r="W472" s="432">
        <v>400</v>
      </c>
      <c r="X472" s="436">
        <v>768</v>
      </c>
      <c r="Y472" s="422">
        <f t="shared" si="37"/>
        <v>307200</v>
      </c>
      <c r="Z472" s="409">
        <v>0.55000000000000004</v>
      </c>
      <c r="AA472" s="423">
        <f t="shared" si="35"/>
        <v>168960</v>
      </c>
      <c r="AB472" s="423"/>
      <c r="AC472" s="394">
        <v>0</v>
      </c>
      <c r="AD472" s="421"/>
      <c r="AE472" s="413"/>
      <c r="AF472" s="462">
        <f t="shared" si="36"/>
        <v>168960</v>
      </c>
      <c r="AG472" s="405" t="s">
        <v>1069</v>
      </c>
      <c r="AH472" s="405"/>
      <c r="AI472" s="405">
        <v>60</v>
      </c>
      <c r="AJ472" s="415" t="s">
        <v>2335</v>
      </c>
      <c r="AK472" s="405" t="s">
        <v>1953</v>
      </c>
      <c r="AL472" s="414" t="s">
        <v>2362</v>
      </c>
      <c r="AM472" s="405" t="s">
        <v>52</v>
      </c>
      <c r="AN472" s="405" t="s">
        <v>1071</v>
      </c>
      <c r="AO472" s="405"/>
      <c r="AP472" s="413"/>
      <c r="AQ472" s="413" t="s">
        <v>37</v>
      </c>
      <c r="AR472" s="413" t="s">
        <v>1243</v>
      </c>
      <c r="AS472" s="403" t="s">
        <v>1073</v>
      </c>
      <c r="AT472" s="386" t="s">
        <v>1073</v>
      </c>
      <c r="AU472" s="386" t="s">
        <v>1073</v>
      </c>
      <c r="AV472" s="409">
        <v>0.49</v>
      </c>
    </row>
    <row r="473" spans="1:48" s="402" customFormat="1">
      <c r="A473" s="403"/>
      <c r="B473" s="397">
        <v>44573</v>
      </c>
      <c r="C473" s="397" t="s">
        <v>1186</v>
      </c>
      <c r="D473" s="432" t="s">
        <v>2330</v>
      </c>
      <c r="E473" s="379" t="s">
        <v>3549</v>
      </c>
      <c r="F473" s="432"/>
      <c r="G473" s="432"/>
      <c r="H473" s="432"/>
      <c r="I473" s="432" t="s">
        <v>2383</v>
      </c>
      <c r="J473" s="444"/>
      <c r="K473" s="432" t="s">
        <v>3570</v>
      </c>
      <c r="L473" s="432" t="s">
        <v>2334</v>
      </c>
      <c r="M473" s="433">
        <v>44546</v>
      </c>
      <c r="N473" s="433">
        <v>44726</v>
      </c>
      <c r="O473" s="433"/>
      <c r="P473" s="433"/>
      <c r="Q473" s="433"/>
      <c r="R473" s="433"/>
      <c r="S473" s="432" t="s">
        <v>2332</v>
      </c>
      <c r="T473" s="432">
        <v>60</v>
      </c>
      <c r="U473" s="432">
        <v>49401140</v>
      </c>
      <c r="V473" s="432" t="s">
        <v>973</v>
      </c>
      <c r="W473" s="432">
        <v>400</v>
      </c>
      <c r="X473" s="436">
        <v>768</v>
      </c>
      <c r="Y473" s="422">
        <f t="shared" si="37"/>
        <v>307200</v>
      </c>
      <c r="Z473" s="409">
        <v>0.55000000000000004</v>
      </c>
      <c r="AA473" s="423">
        <f t="shared" si="35"/>
        <v>168960</v>
      </c>
      <c r="AB473" s="423"/>
      <c r="AC473" s="394">
        <v>0</v>
      </c>
      <c r="AD473" s="421"/>
      <c r="AE473" s="413"/>
      <c r="AF473" s="462">
        <f t="shared" si="36"/>
        <v>168960</v>
      </c>
      <c r="AG473" s="405" t="s">
        <v>1069</v>
      </c>
      <c r="AH473" s="405"/>
      <c r="AI473" s="405">
        <v>60</v>
      </c>
      <c r="AJ473" s="415" t="s">
        <v>2335</v>
      </c>
      <c r="AK473" s="405" t="s">
        <v>1953</v>
      </c>
      <c r="AL473" s="414" t="s">
        <v>2362</v>
      </c>
      <c r="AM473" s="405" t="s">
        <v>52</v>
      </c>
      <c r="AN473" s="405" t="s">
        <v>1071</v>
      </c>
      <c r="AO473" s="405"/>
      <c r="AP473" s="413"/>
      <c r="AQ473" s="413" t="s">
        <v>37</v>
      </c>
      <c r="AR473" s="413" t="s">
        <v>1686</v>
      </c>
      <c r="AS473" s="403" t="s">
        <v>1073</v>
      </c>
      <c r="AT473" s="386" t="s">
        <v>1073</v>
      </c>
      <c r="AU473" s="386" t="s">
        <v>1073</v>
      </c>
      <c r="AV473" s="409">
        <v>0.49</v>
      </c>
    </row>
    <row r="474" spans="1:48" s="402" customFormat="1">
      <c r="A474" s="403"/>
      <c r="B474" s="397">
        <v>44655</v>
      </c>
      <c r="C474" s="397">
        <v>44671</v>
      </c>
      <c r="D474" s="432" t="s">
        <v>2330</v>
      </c>
      <c r="E474" s="379" t="s">
        <v>2406</v>
      </c>
      <c r="F474" s="432"/>
      <c r="G474" s="432"/>
      <c r="H474" s="432"/>
      <c r="I474" s="432" t="s">
        <v>2383</v>
      </c>
      <c r="J474" s="444"/>
      <c r="K474" s="432" t="s">
        <v>3627</v>
      </c>
      <c r="L474" s="432" t="s">
        <v>3628</v>
      </c>
      <c r="M474" s="433">
        <v>44644</v>
      </c>
      <c r="N474" s="433">
        <v>44743</v>
      </c>
      <c r="O474" s="433"/>
      <c r="P474" s="433"/>
      <c r="Q474" s="433"/>
      <c r="R474" s="433"/>
      <c r="S474" s="432" t="s">
        <v>2332</v>
      </c>
      <c r="T474" s="432">
        <v>60</v>
      </c>
      <c r="U474" s="432">
        <v>49405140</v>
      </c>
      <c r="V474" s="432" t="s">
        <v>973</v>
      </c>
      <c r="W474" s="432">
        <v>400</v>
      </c>
      <c r="X474" s="436">
        <v>12480</v>
      </c>
      <c r="Y474" s="408">
        <f t="shared" si="37"/>
        <v>4992000</v>
      </c>
      <c r="Z474" s="409">
        <v>0.55000000000000004</v>
      </c>
      <c r="AA474" s="410">
        <f t="shared" si="35"/>
        <v>2745600</v>
      </c>
      <c r="AB474" s="410"/>
      <c r="AC474" s="394">
        <v>0</v>
      </c>
      <c r="AD474" s="421"/>
      <c r="AE474" s="413"/>
      <c r="AF474" s="462">
        <f t="shared" si="36"/>
        <v>2745600</v>
      </c>
      <c r="AG474" s="405" t="s">
        <v>1069</v>
      </c>
      <c r="AH474" s="405"/>
      <c r="AI474" s="405">
        <v>60</v>
      </c>
      <c r="AJ474" s="415" t="s">
        <v>2014</v>
      </c>
      <c r="AK474" s="405" t="s">
        <v>1081</v>
      </c>
      <c r="AL474" s="414" t="s">
        <v>2015</v>
      </c>
      <c r="AM474" s="405" t="s">
        <v>52</v>
      </c>
      <c r="AN474" s="405" t="s">
        <v>1071</v>
      </c>
      <c r="AO474" s="405"/>
      <c r="AP474" s="413"/>
      <c r="AQ474" s="413" t="s">
        <v>37</v>
      </c>
      <c r="AR474" s="413" t="s">
        <v>2395</v>
      </c>
      <c r="AS474" s="403" t="s">
        <v>1073</v>
      </c>
      <c r="AT474" s="386" t="s">
        <v>1073</v>
      </c>
      <c r="AU474" s="386" t="s">
        <v>1073</v>
      </c>
      <c r="AV474" s="409">
        <v>0.73</v>
      </c>
    </row>
    <row r="475" spans="1:48" s="402" customFormat="1">
      <c r="A475" s="403"/>
      <c r="B475" s="397">
        <v>44655</v>
      </c>
      <c r="C475" s="397">
        <v>44671</v>
      </c>
      <c r="D475" s="432" t="s">
        <v>2330</v>
      </c>
      <c r="E475" s="379" t="s">
        <v>2406</v>
      </c>
      <c r="F475" s="432"/>
      <c r="G475" s="432"/>
      <c r="H475" s="432"/>
      <c r="I475" s="432" t="s">
        <v>2383</v>
      </c>
      <c r="J475" s="444"/>
      <c r="K475" s="432" t="s">
        <v>3627</v>
      </c>
      <c r="L475" s="432" t="s">
        <v>3628</v>
      </c>
      <c r="M475" s="433">
        <v>44644</v>
      </c>
      <c r="N475" s="433">
        <v>44743</v>
      </c>
      <c r="O475" s="433"/>
      <c r="P475" s="433"/>
      <c r="Q475" s="433"/>
      <c r="R475" s="433"/>
      <c r="S475" s="432" t="s">
        <v>2332</v>
      </c>
      <c r="T475" s="432">
        <v>60</v>
      </c>
      <c r="U475" s="432">
        <v>49204132</v>
      </c>
      <c r="V475" s="432" t="s">
        <v>1192</v>
      </c>
      <c r="W475" s="432">
        <v>360</v>
      </c>
      <c r="X475" s="436">
        <v>3328</v>
      </c>
      <c r="Y475" s="408">
        <f t="shared" si="37"/>
        <v>1198080</v>
      </c>
      <c r="Z475" s="409">
        <v>0.79</v>
      </c>
      <c r="AA475" s="410">
        <f t="shared" si="35"/>
        <v>946483.20000000007</v>
      </c>
      <c r="AB475" s="410"/>
      <c r="AC475" s="394">
        <v>0</v>
      </c>
      <c r="AD475" s="421"/>
      <c r="AE475" s="413"/>
      <c r="AF475" s="462">
        <f t="shared" si="36"/>
        <v>946483.20000000007</v>
      </c>
      <c r="AG475" s="405" t="s">
        <v>1069</v>
      </c>
      <c r="AH475" s="405"/>
      <c r="AI475" s="405">
        <v>60</v>
      </c>
      <c r="AJ475" s="415" t="s">
        <v>2014</v>
      </c>
      <c r="AK475" s="405" t="s">
        <v>1081</v>
      </c>
      <c r="AL475" s="414" t="s">
        <v>2015</v>
      </c>
      <c r="AM475" s="405" t="s">
        <v>52</v>
      </c>
      <c r="AN475" s="405" t="s">
        <v>1071</v>
      </c>
      <c r="AO475" s="405"/>
      <c r="AP475" s="413"/>
      <c r="AQ475" s="413" t="s">
        <v>37</v>
      </c>
      <c r="AR475" s="413" t="s">
        <v>2395</v>
      </c>
      <c r="AS475" s="403" t="s">
        <v>1073</v>
      </c>
      <c r="AT475" s="386" t="s">
        <v>1073</v>
      </c>
      <c r="AU475" s="386" t="s">
        <v>1073</v>
      </c>
      <c r="AV475" s="409">
        <v>0.73</v>
      </c>
    </row>
    <row r="476" spans="1:48" s="402" customFormat="1">
      <c r="A476" s="403"/>
      <c r="B476" s="397">
        <v>44655</v>
      </c>
      <c r="C476" s="397">
        <v>44671</v>
      </c>
      <c r="D476" s="432" t="s">
        <v>2330</v>
      </c>
      <c r="E476" s="379" t="s">
        <v>2406</v>
      </c>
      <c r="F476" s="432"/>
      <c r="G476" s="432"/>
      <c r="H476" s="432"/>
      <c r="I476" s="432" t="s">
        <v>2383</v>
      </c>
      <c r="J476" s="444"/>
      <c r="K476" s="432" t="s">
        <v>3627</v>
      </c>
      <c r="L476" s="432" t="s">
        <v>3628</v>
      </c>
      <c r="M476" s="433">
        <v>44644</v>
      </c>
      <c r="N476" s="433">
        <v>44743</v>
      </c>
      <c r="O476" s="433"/>
      <c r="P476" s="433"/>
      <c r="Q476" s="433"/>
      <c r="R476" s="433"/>
      <c r="S476" s="432" t="s">
        <v>2332</v>
      </c>
      <c r="T476" s="432">
        <v>60</v>
      </c>
      <c r="U476" s="432">
        <v>49203132</v>
      </c>
      <c r="V476" s="432" t="s">
        <v>986</v>
      </c>
      <c r="W476" s="432">
        <v>360</v>
      </c>
      <c r="X476" s="436">
        <v>8320</v>
      </c>
      <c r="Y476" s="408">
        <f t="shared" si="37"/>
        <v>2995200</v>
      </c>
      <c r="Z476" s="409">
        <v>0.53</v>
      </c>
      <c r="AA476" s="410">
        <f t="shared" si="35"/>
        <v>1587456</v>
      </c>
      <c r="AB476" s="410"/>
      <c r="AC476" s="394">
        <v>0</v>
      </c>
      <c r="AD476" s="421"/>
      <c r="AE476" s="413"/>
      <c r="AF476" s="462">
        <f t="shared" si="36"/>
        <v>1587456</v>
      </c>
      <c r="AG476" s="405" t="s">
        <v>1069</v>
      </c>
      <c r="AH476" s="405"/>
      <c r="AI476" s="405">
        <v>60</v>
      </c>
      <c r="AJ476" s="415" t="s">
        <v>2014</v>
      </c>
      <c r="AK476" s="405" t="s">
        <v>1081</v>
      </c>
      <c r="AL476" s="414" t="s">
        <v>2015</v>
      </c>
      <c r="AM476" s="405" t="s">
        <v>52</v>
      </c>
      <c r="AN476" s="405" t="s">
        <v>1071</v>
      </c>
      <c r="AO476" s="405"/>
      <c r="AP476" s="413"/>
      <c r="AQ476" s="413" t="s">
        <v>37</v>
      </c>
      <c r="AR476" s="413" t="s">
        <v>2395</v>
      </c>
      <c r="AS476" s="403" t="s">
        <v>1073</v>
      </c>
      <c r="AT476" s="386" t="s">
        <v>1073</v>
      </c>
      <c r="AU476" s="386" t="s">
        <v>1073</v>
      </c>
      <c r="AV476" s="409">
        <v>0.73</v>
      </c>
    </row>
    <row r="477" spans="1:48" s="402" customFormat="1">
      <c r="A477" s="403"/>
      <c r="B477" s="397">
        <v>44655</v>
      </c>
      <c r="C477" s="397">
        <v>44671</v>
      </c>
      <c r="D477" s="432" t="s">
        <v>2330</v>
      </c>
      <c r="E477" s="379" t="s">
        <v>2406</v>
      </c>
      <c r="F477" s="432"/>
      <c r="G477" s="432"/>
      <c r="H477" s="432"/>
      <c r="I477" s="432" t="s">
        <v>2383</v>
      </c>
      <c r="J477" s="444"/>
      <c r="K477" s="432" t="s">
        <v>3629</v>
      </c>
      <c r="L477" s="432" t="s">
        <v>3628</v>
      </c>
      <c r="M477" s="433">
        <v>44644</v>
      </c>
      <c r="N477" s="433">
        <v>44774</v>
      </c>
      <c r="O477" s="433"/>
      <c r="P477" s="433"/>
      <c r="Q477" s="433"/>
      <c r="R477" s="433"/>
      <c r="S477" s="432" t="s">
        <v>2332</v>
      </c>
      <c r="T477" s="432">
        <v>60</v>
      </c>
      <c r="U477" s="432">
        <v>49204132</v>
      </c>
      <c r="V477" s="432" t="s">
        <v>1192</v>
      </c>
      <c r="W477" s="432">
        <v>360</v>
      </c>
      <c r="X477" s="436">
        <v>3328</v>
      </c>
      <c r="Y477" s="408">
        <f t="shared" si="37"/>
        <v>1198080</v>
      </c>
      <c r="Z477" s="409">
        <v>0.79</v>
      </c>
      <c r="AA477" s="410">
        <f t="shared" si="35"/>
        <v>946483.20000000007</v>
      </c>
      <c r="AB477" s="410"/>
      <c r="AC477" s="394">
        <v>0</v>
      </c>
      <c r="AD477" s="421"/>
      <c r="AE477" s="413"/>
      <c r="AF477" s="462">
        <f t="shared" si="36"/>
        <v>946483.20000000007</v>
      </c>
      <c r="AG477" s="405" t="s">
        <v>1069</v>
      </c>
      <c r="AH477" s="405"/>
      <c r="AI477" s="405">
        <v>60</v>
      </c>
      <c r="AJ477" s="415" t="s">
        <v>2014</v>
      </c>
      <c r="AK477" s="405" t="s">
        <v>1081</v>
      </c>
      <c r="AL477" s="414" t="s">
        <v>2015</v>
      </c>
      <c r="AM477" s="405" t="s">
        <v>52</v>
      </c>
      <c r="AN477" s="405" t="s">
        <v>1071</v>
      </c>
      <c r="AO477" s="405"/>
      <c r="AP477" s="413"/>
      <c r="AQ477" s="413" t="s">
        <v>37</v>
      </c>
      <c r="AR477" s="413" t="s">
        <v>2395</v>
      </c>
      <c r="AS477" s="403" t="s">
        <v>1073</v>
      </c>
      <c r="AT477" s="386" t="s">
        <v>1073</v>
      </c>
      <c r="AU477" s="386" t="s">
        <v>1073</v>
      </c>
      <c r="AV477" s="409">
        <v>0.73</v>
      </c>
    </row>
    <row r="478" spans="1:48" s="402" customFormat="1">
      <c r="A478" s="403"/>
      <c r="B478" s="397">
        <v>44655</v>
      </c>
      <c r="C478" s="397">
        <v>44671</v>
      </c>
      <c r="D478" s="432" t="s">
        <v>2330</v>
      </c>
      <c r="E478" s="379" t="s">
        <v>2406</v>
      </c>
      <c r="F478" s="432"/>
      <c r="G478" s="432"/>
      <c r="H478" s="432"/>
      <c r="I478" s="432" t="s">
        <v>2383</v>
      </c>
      <c r="J478" s="444"/>
      <c r="K478" s="432" t="s">
        <v>3629</v>
      </c>
      <c r="L478" s="432" t="s">
        <v>3628</v>
      </c>
      <c r="M478" s="433">
        <v>44644</v>
      </c>
      <c r="N478" s="433">
        <v>44774</v>
      </c>
      <c r="O478" s="433"/>
      <c r="P478" s="433"/>
      <c r="Q478" s="433"/>
      <c r="R478" s="433"/>
      <c r="S478" s="432" t="s">
        <v>2332</v>
      </c>
      <c r="T478" s="432">
        <v>60</v>
      </c>
      <c r="U478" s="432">
        <v>49203132</v>
      </c>
      <c r="V478" s="432" t="s">
        <v>986</v>
      </c>
      <c r="W478" s="432">
        <v>360</v>
      </c>
      <c r="X478" s="436">
        <v>8320</v>
      </c>
      <c r="Y478" s="408">
        <f t="shared" si="37"/>
        <v>2995200</v>
      </c>
      <c r="Z478" s="409">
        <v>0.53</v>
      </c>
      <c r="AA478" s="410">
        <f t="shared" si="35"/>
        <v>1587456</v>
      </c>
      <c r="AB478" s="410"/>
      <c r="AC478" s="394">
        <v>0</v>
      </c>
      <c r="AD478" s="421"/>
      <c r="AE478" s="413"/>
      <c r="AF478" s="462">
        <f t="shared" si="36"/>
        <v>1587456</v>
      </c>
      <c r="AG478" s="405" t="s">
        <v>1069</v>
      </c>
      <c r="AH478" s="405"/>
      <c r="AI478" s="405">
        <v>60</v>
      </c>
      <c r="AJ478" s="415" t="s">
        <v>2014</v>
      </c>
      <c r="AK478" s="405" t="s">
        <v>1081</v>
      </c>
      <c r="AL478" s="414" t="s">
        <v>2015</v>
      </c>
      <c r="AM478" s="405" t="s">
        <v>52</v>
      </c>
      <c r="AN478" s="405" t="s">
        <v>1071</v>
      </c>
      <c r="AO478" s="405"/>
      <c r="AP478" s="413"/>
      <c r="AQ478" s="413" t="s">
        <v>37</v>
      </c>
      <c r="AR478" s="413" t="s">
        <v>2395</v>
      </c>
      <c r="AS478" s="403" t="s">
        <v>1073</v>
      </c>
      <c r="AT478" s="386" t="s">
        <v>1073</v>
      </c>
      <c r="AU478" s="386" t="s">
        <v>1073</v>
      </c>
      <c r="AV478" s="409">
        <v>0.73</v>
      </c>
    </row>
    <row r="479" spans="1:48" s="402" customFormat="1">
      <c r="A479" s="403"/>
      <c r="B479" s="397">
        <v>44655</v>
      </c>
      <c r="C479" s="397">
        <v>44671</v>
      </c>
      <c r="D479" s="432" t="s">
        <v>2330</v>
      </c>
      <c r="E479" s="379" t="s">
        <v>2406</v>
      </c>
      <c r="F479" s="432"/>
      <c r="G479" s="432"/>
      <c r="H479" s="432"/>
      <c r="I479" s="432" t="s">
        <v>2383</v>
      </c>
      <c r="J479" s="444"/>
      <c r="K479" s="432" t="s">
        <v>3629</v>
      </c>
      <c r="L479" s="432" t="s">
        <v>3628</v>
      </c>
      <c r="M479" s="433">
        <v>44644</v>
      </c>
      <c r="N479" s="433">
        <v>44774</v>
      </c>
      <c r="O479" s="433"/>
      <c r="P479" s="433"/>
      <c r="Q479" s="433"/>
      <c r="R479" s="433"/>
      <c r="S479" s="432" t="s">
        <v>2332</v>
      </c>
      <c r="T479" s="432">
        <v>60</v>
      </c>
      <c r="U479" s="432">
        <v>49405140</v>
      </c>
      <c r="V479" s="432" t="s">
        <v>973</v>
      </c>
      <c r="W479" s="432">
        <v>400</v>
      </c>
      <c r="X479" s="436">
        <v>12480</v>
      </c>
      <c r="Y479" s="408">
        <f t="shared" si="37"/>
        <v>4992000</v>
      </c>
      <c r="Z479" s="409">
        <v>0.55000000000000004</v>
      </c>
      <c r="AA479" s="410">
        <f t="shared" si="35"/>
        <v>2745600</v>
      </c>
      <c r="AB479" s="410"/>
      <c r="AC479" s="394">
        <v>0</v>
      </c>
      <c r="AD479" s="421"/>
      <c r="AE479" s="413"/>
      <c r="AF479" s="462">
        <f t="shared" si="36"/>
        <v>2745600</v>
      </c>
      <c r="AG479" s="405" t="s">
        <v>1069</v>
      </c>
      <c r="AH479" s="405"/>
      <c r="AI479" s="405">
        <v>60</v>
      </c>
      <c r="AJ479" s="415" t="s">
        <v>2014</v>
      </c>
      <c r="AK479" s="405" t="s">
        <v>1081</v>
      </c>
      <c r="AL479" s="414" t="s">
        <v>2015</v>
      </c>
      <c r="AM479" s="405" t="s">
        <v>52</v>
      </c>
      <c r="AN479" s="405" t="s">
        <v>1071</v>
      </c>
      <c r="AO479" s="405"/>
      <c r="AP479" s="413"/>
      <c r="AQ479" s="413" t="s">
        <v>37</v>
      </c>
      <c r="AR479" s="413" t="s">
        <v>2395</v>
      </c>
      <c r="AS479" s="403" t="s">
        <v>1073</v>
      </c>
      <c r="AT479" s="386" t="s">
        <v>1073</v>
      </c>
      <c r="AU479" s="386" t="s">
        <v>1073</v>
      </c>
      <c r="AV479" s="409">
        <v>0.73</v>
      </c>
    </row>
    <row r="480" spans="1:48" s="402" customFormat="1">
      <c r="A480" s="403"/>
      <c r="B480" s="397">
        <v>44655</v>
      </c>
      <c r="C480" s="397">
        <v>44671</v>
      </c>
      <c r="D480" s="432" t="s">
        <v>2330</v>
      </c>
      <c r="E480" s="379" t="s">
        <v>2406</v>
      </c>
      <c r="F480" s="432"/>
      <c r="G480" s="432"/>
      <c r="H480" s="432"/>
      <c r="I480" s="432" t="s">
        <v>2383</v>
      </c>
      <c r="J480" s="444"/>
      <c r="K480" s="432" t="s">
        <v>3630</v>
      </c>
      <c r="L480" s="432" t="s">
        <v>3628</v>
      </c>
      <c r="M480" s="433">
        <v>44644</v>
      </c>
      <c r="N480" s="433">
        <v>44805</v>
      </c>
      <c r="O480" s="433"/>
      <c r="P480" s="433"/>
      <c r="Q480" s="433"/>
      <c r="R480" s="433"/>
      <c r="S480" s="432" t="s">
        <v>2332</v>
      </c>
      <c r="T480" s="432">
        <v>60</v>
      </c>
      <c r="U480" s="432">
        <v>49203132</v>
      </c>
      <c r="V480" s="432" t="s">
        <v>986</v>
      </c>
      <c r="W480" s="432">
        <v>360</v>
      </c>
      <c r="X480" s="436">
        <v>8320</v>
      </c>
      <c r="Y480" s="408">
        <f t="shared" si="37"/>
        <v>2995200</v>
      </c>
      <c r="Z480" s="409">
        <v>0.53</v>
      </c>
      <c r="AA480" s="410">
        <f t="shared" si="35"/>
        <v>1587456</v>
      </c>
      <c r="AB480" s="410"/>
      <c r="AC480" s="394">
        <v>0</v>
      </c>
      <c r="AD480" s="421"/>
      <c r="AE480" s="413"/>
      <c r="AF480" s="462">
        <f t="shared" si="36"/>
        <v>1587456</v>
      </c>
      <c r="AG480" s="405" t="s">
        <v>1069</v>
      </c>
      <c r="AH480" s="405"/>
      <c r="AI480" s="405">
        <v>60</v>
      </c>
      <c r="AJ480" s="415" t="s">
        <v>2014</v>
      </c>
      <c r="AK480" s="405" t="s">
        <v>1081</v>
      </c>
      <c r="AL480" s="414" t="s">
        <v>2015</v>
      </c>
      <c r="AM480" s="405" t="s">
        <v>52</v>
      </c>
      <c r="AN480" s="405" t="s">
        <v>1071</v>
      </c>
      <c r="AO480" s="405"/>
      <c r="AP480" s="413"/>
      <c r="AQ480" s="413" t="s">
        <v>37</v>
      </c>
      <c r="AR480" s="413" t="s">
        <v>2395</v>
      </c>
      <c r="AS480" s="403" t="s">
        <v>1073</v>
      </c>
      <c r="AT480" s="386" t="s">
        <v>1073</v>
      </c>
      <c r="AU480" s="386" t="s">
        <v>1073</v>
      </c>
      <c r="AV480" s="409">
        <v>0.73</v>
      </c>
    </row>
    <row r="481" spans="1:48" s="402" customFormat="1">
      <c r="A481" s="403"/>
      <c r="B481" s="397">
        <v>44655</v>
      </c>
      <c r="C481" s="397">
        <v>44671</v>
      </c>
      <c r="D481" s="432" t="s">
        <v>2330</v>
      </c>
      <c r="E481" s="379" t="s">
        <v>2406</v>
      </c>
      <c r="F481" s="432"/>
      <c r="G481" s="432"/>
      <c r="H481" s="432"/>
      <c r="I481" s="432" t="s">
        <v>2383</v>
      </c>
      <c r="J481" s="444"/>
      <c r="K481" s="432" t="s">
        <v>3630</v>
      </c>
      <c r="L481" s="432" t="s">
        <v>3628</v>
      </c>
      <c r="M481" s="433">
        <v>44644</v>
      </c>
      <c r="N481" s="433">
        <v>44805</v>
      </c>
      <c r="O481" s="433"/>
      <c r="P481" s="433"/>
      <c r="Q481" s="433"/>
      <c r="R481" s="433"/>
      <c r="S481" s="432" t="s">
        <v>2332</v>
      </c>
      <c r="T481" s="432">
        <v>60</v>
      </c>
      <c r="U481" s="432">
        <v>49204132</v>
      </c>
      <c r="V481" s="432" t="s">
        <v>1192</v>
      </c>
      <c r="W481" s="432">
        <v>360</v>
      </c>
      <c r="X481" s="436">
        <v>3328</v>
      </c>
      <c r="Y481" s="408">
        <f t="shared" si="37"/>
        <v>1198080</v>
      </c>
      <c r="Z481" s="409">
        <v>0.79</v>
      </c>
      <c r="AA481" s="410">
        <f t="shared" si="35"/>
        <v>946483.20000000007</v>
      </c>
      <c r="AB481" s="410"/>
      <c r="AC481" s="394">
        <v>0</v>
      </c>
      <c r="AD481" s="421"/>
      <c r="AE481" s="413"/>
      <c r="AF481" s="462">
        <f t="shared" si="36"/>
        <v>946483.20000000007</v>
      </c>
      <c r="AG481" s="405" t="s">
        <v>1069</v>
      </c>
      <c r="AH481" s="405"/>
      <c r="AI481" s="405">
        <v>60</v>
      </c>
      <c r="AJ481" s="415" t="s">
        <v>2014</v>
      </c>
      <c r="AK481" s="405" t="s">
        <v>1081</v>
      </c>
      <c r="AL481" s="414" t="s">
        <v>2015</v>
      </c>
      <c r="AM481" s="405" t="s">
        <v>52</v>
      </c>
      <c r="AN481" s="405" t="s">
        <v>1071</v>
      </c>
      <c r="AO481" s="405"/>
      <c r="AP481" s="413"/>
      <c r="AQ481" s="413" t="s">
        <v>37</v>
      </c>
      <c r="AR481" s="413" t="s">
        <v>2395</v>
      </c>
      <c r="AS481" s="403" t="s">
        <v>1073</v>
      </c>
      <c r="AT481" s="386" t="s">
        <v>1073</v>
      </c>
      <c r="AU481" s="386" t="s">
        <v>1073</v>
      </c>
      <c r="AV481" s="409">
        <v>0.73</v>
      </c>
    </row>
    <row r="482" spans="1:48" s="402" customFormat="1">
      <c r="A482" s="403"/>
      <c r="B482" s="397">
        <v>44655</v>
      </c>
      <c r="C482" s="397">
        <v>44671</v>
      </c>
      <c r="D482" s="432" t="s">
        <v>2330</v>
      </c>
      <c r="E482" s="379" t="s">
        <v>2406</v>
      </c>
      <c r="F482" s="432"/>
      <c r="G482" s="432"/>
      <c r="H482" s="432"/>
      <c r="I482" s="432" t="s">
        <v>2383</v>
      </c>
      <c r="J482" s="444"/>
      <c r="K482" s="432" t="s">
        <v>3630</v>
      </c>
      <c r="L482" s="432" t="s">
        <v>3628</v>
      </c>
      <c r="M482" s="433">
        <v>44644</v>
      </c>
      <c r="N482" s="433">
        <v>44805</v>
      </c>
      <c r="O482" s="433"/>
      <c r="P482" s="433"/>
      <c r="Q482" s="433"/>
      <c r="R482" s="433"/>
      <c r="S482" s="432" t="s">
        <v>2332</v>
      </c>
      <c r="T482" s="432">
        <v>60</v>
      </c>
      <c r="U482" s="432">
        <v>49405140</v>
      </c>
      <c r="V482" s="432" t="s">
        <v>973</v>
      </c>
      <c r="W482" s="432">
        <v>400</v>
      </c>
      <c r="X482" s="436">
        <v>12480</v>
      </c>
      <c r="Y482" s="408">
        <f t="shared" si="37"/>
        <v>4992000</v>
      </c>
      <c r="Z482" s="409">
        <v>0.55000000000000004</v>
      </c>
      <c r="AA482" s="410">
        <f t="shared" si="35"/>
        <v>2745600</v>
      </c>
      <c r="AB482" s="410"/>
      <c r="AC482" s="394">
        <v>0</v>
      </c>
      <c r="AD482" s="421"/>
      <c r="AE482" s="413"/>
      <c r="AF482" s="462">
        <f t="shared" si="36"/>
        <v>2745600</v>
      </c>
      <c r="AG482" s="405" t="s">
        <v>1069</v>
      </c>
      <c r="AH482" s="405"/>
      <c r="AI482" s="405">
        <v>60</v>
      </c>
      <c r="AJ482" s="415" t="s">
        <v>2014</v>
      </c>
      <c r="AK482" s="405" t="s">
        <v>1081</v>
      </c>
      <c r="AL482" s="414" t="s">
        <v>2015</v>
      </c>
      <c r="AM482" s="405" t="s">
        <v>52</v>
      </c>
      <c r="AN482" s="405" t="s">
        <v>1071</v>
      </c>
      <c r="AO482" s="405"/>
      <c r="AP482" s="413"/>
      <c r="AQ482" s="413" t="s">
        <v>37</v>
      </c>
      <c r="AR482" s="413" t="s">
        <v>2395</v>
      </c>
      <c r="AS482" s="403" t="s">
        <v>1073</v>
      </c>
      <c r="AT482" s="386" t="s">
        <v>1073</v>
      </c>
      <c r="AU482" s="386" t="s">
        <v>1073</v>
      </c>
      <c r="AV482" s="409">
        <v>0.73</v>
      </c>
    </row>
    <row r="483" spans="1:48" s="402" customFormat="1">
      <c r="A483" s="403"/>
      <c r="B483" s="397">
        <v>44656</v>
      </c>
      <c r="C483" s="397"/>
      <c r="D483" s="432" t="s">
        <v>2330</v>
      </c>
      <c r="E483" s="379" t="s">
        <v>3600</v>
      </c>
      <c r="F483" s="432"/>
      <c r="G483" s="432"/>
      <c r="H483" s="432"/>
      <c r="I483" s="432" t="s">
        <v>2383</v>
      </c>
      <c r="J483" s="444"/>
      <c r="K483" s="432" t="s">
        <v>3631</v>
      </c>
      <c r="L483" s="432" t="s">
        <v>3628</v>
      </c>
      <c r="M483" s="433">
        <v>44655</v>
      </c>
      <c r="N483" s="433">
        <v>44835</v>
      </c>
      <c r="O483" s="433"/>
      <c r="P483" s="433"/>
      <c r="Q483" s="433"/>
      <c r="R483" s="433"/>
      <c r="S483" s="432" t="s">
        <v>2332</v>
      </c>
      <c r="T483" s="432">
        <v>60</v>
      </c>
      <c r="U483" s="432">
        <v>49405140</v>
      </c>
      <c r="V483" s="432" t="s">
        <v>973</v>
      </c>
      <c r="W483" s="432">
        <v>400</v>
      </c>
      <c r="X483" s="436">
        <v>13312</v>
      </c>
      <c r="Y483" s="408">
        <f t="shared" si="37"/>
        <v>5324800</v>
      </c>
      <c r="Z483" s="409">
        <v>0.55000000000000004</v>
      </c>
      <c r="AA483" s="410">
        <f t="shared" si="35"/>
        <v>2928640.0000000005</v>
      </c>
      <c r="AB483" s="410"/>
      <c r="AC483" s="394">
        <v>0</v>
      </c>
      <c r="AD483" s="421"/>
      <c r="AE483" s="413"/>
      <c r="AF483" s="462">
        <f t="shared" si="36"/>
        <v>2928640.0000000005</v>
      </c>
      <c r="AG483" s="405" t="s">
        <v>1069</v>
      </c>
      <c r="AH483" s="405"/>
      <c r="AI483" s="405">
        <v>60</v>
      </c>
      <c r="AJ483" s="415" t="s">
        <v>2014</v>
      </c>
      <c r="AK483" s="405" t="s">
        <v>1081</v>
      </c>
      <c r="AL483" s="414" t="s">
        <v>2015</v>
      </c>
      <c r="AM483" s="405" t="s">
        <v>52</v>
      </c>
      <c r="AN483" s="405" t="s">
        <v>1071</v>
      </c>
      <c r="AO483" s="405"/>
      <c r="AP483" s="413"/>
      <c r="AQ483" s="413" t="s">
        <v>37</v>
      </c>
      <c r="AR483" s="413" t="s">
        <v>2395</v>
      </c>
      <c r="AS483" s="403" t="s">
        <v>1073</v>
      </c>
      <c r="AT483" s="386" t="s">
        <v>1073</v>
      </c>
      <c r="AU483" s="386" t="s">
        <v>1073</v>
      </c>
      <c r="AV483" s="409">
        <v>0.73</v>
      </c>
    </row>
    <row r="484" spans="1:48" s="402" customFormat="1">
      <c r="A484" s="403"/>
      <c r="B484" s="397">
        <v>44656</v>
      </c>
      <c r="C484" s="397"/>
      <c r="D484" s="432" t="s">
        <v>2330</v>
      </c>
      <c r="E484" s="379" t="s">
        <v>3600</v>
      </c>
      <c r="F484" s="432"/>
      <c r="G484" s="432"/>
      <c r="H484" s="432"/>
      <c r="I484" s="432" t="s">
        <v>2383</v>
      </c>
      <c r="J484" s="444"/>
      <c r="K484" s="432" t="s">
        <v>3631</v>
      </c>
      <c r="L484" s="432" t="s">
        <v>3628</v>
      </c>
      <c r="M484" s="433">
        <v>44655</v>
      </c>
      <c r="N484" s="433">
        <v>44835</v>
      </c>
      <c r="O484" s="433"/>
      <c r="P484" s="433"/>
      <c r="Q484" s="433"/>
      <c r="R484" s="433"/>
      <c r="S484" s="432" t="s">
        <v>2332</v>
      </c>
      <c r="T484" s="432">
        <v>60</v>
      </c>
      <c r="U484" s="432">
        <v>49203132</v>
      </c>
      <c r="V484" s="432" t="s">
        <v>986</v>
      </c>
      <c r="W484" s="432">
        <v>360</v>
      </c>
      <c r="X484" s="436">
        <v>9152</v>
      </c>
      <c r="Y484" s="408">
        <f t="shared" si="37"/>
        <v>3294720</v>
      </c>
      <c r="Z484" s="409">
        <v>0.53</v>
      </c>
      <c r="AA484" s="410">
        <f t="shared" si="35"/>
        <v>1746201.6000000001</v>
      </c>
      <c r="AB484" s="410"/>
      <c r="AC484" s="394">
        <v>0</v>
      </c>
      <c r="AD484" s="421"/>
      <c r="AE484" s="413"/>
      <c r="AF484" s="462">
        <f t="shared" si="36"/>
        <v>1746201.6000000001</v>
      </c>
      <c r="AG484" s="405" t="s">
        <v>1069</v>
      </c>
      <c r="AH484" s="405"/>
      <c r="AI484" s="405">
        <v>60</v>
      </c>
      <c r="AJ484" s="415" t="s">
        <v>2014</v>
      </c>
      <c r="AK484" s="405" t="s">
        <v>1081</v>
      </c>
      <c r="AL484" s="414" t="s">
        <v>2015</v>
      </c>
      <c r="AM484" s="405" t="s">
        <v>52</v>
      </c>
      <c r="AN484" s="405" t="s">
        <v>1071</v>
      </c>
      <c r="AO484" s="405"/>
      <c r="AP484" s="413"/>
      <c r="AQ484" s="413" t="s">
        <v>37</v>
      </c>
      <c r="AR484" s="413" t="s">
        <v>2395</v>
      </c>
      <c r="AS484" s="403" t="s">
        <v>1073</v>
      </c>
      <c r="AT484" s="386" t="s">
        <v>1073</v>
      </c>
      <c r="AU484" s="386" t="s">
        <v>1073</v>
      </c>
      <c r="AV484" s="409">
        <v>0.73</v>
      </c>
    </row>
    <row r="485" spans="1:48" s="402" customFormat="1">
      <c r="A485" s="403"/>
      <c r="B485" s="397">
        <v>44656</v>
      </c>
      <c r="C485" s="397"/>
      <c r="D485" s="432" t="s">
        <v>2330</v>
      </c>
      <c r="E485" s="379" t="s">
        <v>3600</v>
      </c>
      <c r="F485" s="432"/>
      <c r="G485" s="432"/>
      <c r="H485" s="432"/>
      <c r="I485" s="432" t="s">
        <v>2383</v>
      </c>
      <c r="J485" s="444"/>
      <c r="K485" s="432" t="s">
        <v>3631</v>
      </c>
      <c r="L485" s="432" t="s">
        <v>3628</v>
      </c>
      <c r="M485" s="433">
        <v>44655</v>
      </c>
      <c r="N485" s="433">
        <v>44835</v>
      </c>
      <c r="O485" s="433"/>
      <c r="P485" s="433"/>
      <c r="Q485" s="433"/>
      <c r="R485" s="433"/>
      <c r="S485" s="432" t="s">
        <v>2332</v>
      </c>
      <c r="T485" s="432">
        <v>60</v>
      </c>
      <c r="U485" s="432">
        <v>49204132</v>
      </c>
      <c r="V485" s="432" t="s">
        <v>1192</v>
      </c>
      <c r="W485" s="432">
        <v>360</v>
      </c>
      <c r="X485" s="436">
        <v>4160</v>
      </c>
      <c r="Y485" s="408">
        <f t="shared" si="37"/>
        <v>1497600</v>
      </c>
      <c r="Z485" s="409">
        <v>0.79</v>
      </c>
      <c r="AA485" s="410">
        <f t="shared" si="35"/>
        <v>1183104</v>
      </c>
      <c r="AB485" s="410"/>
      <c r="AC485" s="394">
        <v>0</v>
      </c>
      <c r="AD485" s="421"/>
      <c r="AE485" s="413"/>
      <c r="AF485" s="462">
        <f t="shared" si="36"/>
        <v>1183104</v>
      </c>
      <c r="AG485" s="405" t="s">
        <v>1069</v>
      </c>
      <c r="AH485" s="405"/>
      <c r="AI485" s="405">
        <v>60</v>
      </c>
      <c r="AJ485" s="415" t="s">
        <v>2014</v>
      </c>
      <c r="AK485" s="405" t="s">
        <v>1081</v>
      </c>
      <c r="AL485" s="414" t="s">
        <v>2015</v>
      </c>
      <c r="AM485" s="405" t="s">
        <v>52</v>
      </c>
      <c r="AN485" s="405" t="s">
        <v>1071</v>
      </c>
      <c r="AO485" s="405"/>
      <c r="AP485" s="413"/>
      <c r="AQ485" s="413" t="s">
        <v>37</v>
      </c>
      <c r="AR485" s="413" t="s">
        <v>2395</v>
      </c>
      <c r="AS485" s="403" t="s">
        <v>1073</v>
      </c>
      <c r="AT485" s="386" t="s">
        <v>1073</v>
      </c>
      <c r="AU485" s="386" t="s">
        <v>1073</v>
      </c>
      <c r="AV485" s="409">
        <v>0.73</v>
      </c>
    </row>
    <row r="486" spans="1:48" s="402" customFormat="1">
      <c r="A486" s="403"/>
      <c r="B486" s="397">
        <v>44656</v>
      </c>
      <c r="C486" s="397"/>
      <c r="D486" s="432" t="s">
        <v>2330</v>
      </c>
      <c r="E486" s="379" t="s">
        <v>3600</v>
      </c>
      <c r="F486" s="432"/>
      <c r="G486" s="432"/>
      <c r="H486" s="432"/>
      <c r="I486" s="432" t="s">
        <v>2383</v>
      </c>
      <c r="J486" s="444"/>
      <c r="K486" s="432" t="s">
        <v>3632</v>
      </c>
      <c r="L486" s="432" t="s">
        <v>3628</v>
      </c>
      <c r="M486" s="433">
        <v>44655</v>
      </c>
      <c r="N486" s="433">
        <v>44866</v>
      </c>
      <c r="O486" s="433"/>
      <c r="P486" s="433"/>
      <c r="Q486" s="433"/>
      <c r="R486" s="433"/>
      <c r="S486" s="432" t="s">
        <v>2332</v>
      </c>
      <c r="T486" s="432">
        <v>60</v>
      </c>
      <c r="U486" s="432">
        <v>49405140</v>
      </c>
      <c r="V486" s="432" t="s">
        <v>973</v>
      </c>
      <c r="W486" s="432">
        <v>400</v>
      </c>
      <c r="X486" s="436">
        <v>13312</v>
      </c>
      <c r="Y486" s="408">
        <f t="shared" si="37"/>
        <v>5324800</v>
      </c>
      <c r="Z486" s="409">
        <v>0.55000000000000004</v>
      </c>
      <c r="AA486" s="410">
        <f t="shared" si="35"/>
        <v>2928640.0000000005</v>
      </c>
      <c r="AB486" s="410"/>
      <c r="AC486" s="394">
        <v>0</v>
      </c>
      <c r="AD486" s="421"/>
      <c r="AE486" s="413"/>
      <c r="AF486" s="462">
        <f t="shared" si="36"/>
        <v>2928640.0000000005</v>
      </c>
      <c r="AG486" s="405" t="s">
        <v>1069</v>
      </c>
      <c r="AH486" s="405"/>
      <c r="AI486" s="405">
        <v>60</v>
      </c>
      <c r="AJ486" s="415" t="s">
        <v>2014</v>
      </c>
      <c r="AK486" s="405" t="s">
        <v>1081</v>
      </c>
      <c r="AL486" s="414" t="s">
        <v>2015</v>
      </c>
      <c r="AM486" s="405" t="s">
        <v>52</v>
      </c>
      <c r="AN486" s="405" t="s">
        <v>1071</v>
      </c>
      <c r="AO486" s="405"/>
      <c r="AP486" s="413"/>
      <c r="AQ486" s="413" t="s">
        <v>37</v>
      </c>
      <c r="AR486" s="413" t="s">
        <v>2395</v>
      </c>
      <c r="AS486" s="403" t="s">
        <v>1073</v>
      </c>
      <c r="AT486" s="386" t="s">
        <v>1073</v>
      </c>
      <c r="AU486" s="386" t="s">
        <v>1073</v>
      </c>
      <c r="AV486" s="409">
        <v>0.73</v>
      </c>
    </row>
    <row r="487" spans="1:48" s="402" customFormat="1">
      <c r="A487" s="403"/>
      <c r="B487" s="397">
        <v>44656</v>
      </c>
      <c r="C487" s="397"/>
      <c r="D487" s="432" t="s">
        <v>2330</v>
      </c>
      <c r="E487" s="379" t="s">
        <v>3600</v>
      </c>
      <c r="F487" s="432"/>
      <c r="G487" s="432"/>
      <c r="H487" s="432"/>
      <c r="I487" s="432" t="s">
        <v>2383</v>
      </c>
      <c r="J487" s="444"/>
      <c r="K487" s="432" t="s">
        <v>3632</v>
      </c>
      <c r="L487" s="432" t="s">
        <v>3628</v>
      </c>
      <c r="M487" s="433">
        <v>44655</v>
      </c>
      <c r="N487" s="433">
        <v>44866</v>
      </c>
      <c r="O487" s="433"/>
      <c r="P487" s="433"/>
      <c r="Q487" s="433"/>
      <c r="R487" s="433"/>
      <c r="S487" s="432" t="s">
        <v>2332</v>
      </c>
      <c r="T487" s="432">
        <v>60</v>
      </c>
      <c r="U487" s="432">
        <v>49203132</v>
      </c>
      <c r="V487" s="432" t="s">
        <v>986</v>
      </c>
      <c r="W487" s="432">
        <v>360</v>
      </c>
      <c r="X487" s="436">
        <v>9152</v>
      </c>
      <c r="Y487" s="408">
        <f t="shared" si="37"/>
        <v>3294720</v>
      </c>
      <c r="Z487" s="409">
        <v>0.53</v>
      </c>
      <c r="AA487" s="410">
        <f t="shared" si="35"/>
        <v>1746201.6000000001</v>
      </c>
      <c r="AB487" s="410"/>
      <c r="AC487" s="394">
        <v>0</v>
      </c>
      <c r="AD487" s="421"/>
      <c r="AE487" s="413"/>
      <c r="AF487" s="462">
        <f t="shared" si="36"/>
        <v>1746201.6000000001</v>
      </c>
      <c r="AG487" s="405" t="s">
        <v>1069</v>
      </c>
      <c r="AH487" s="405"/>
      <c r="AI487" s="405">
        <v>60</v>
      </c>
      <c r="AJ487" s="415" t="s">
        <v>2014</v>
      </c>
      <c r="AK487" s="405" t="s">
        <v>1081</v>
      </c>
      <c r="AL487" s="414" t="s">
        <v>2015</v>
      </c>
      <c r="AM487" s="405" t="s">
        <v>52</v>
      </c>
      <c r="AN487" s="405" t="s">
        <v>1071</v>
      </c>
      <c r="AO487" s="405"/>
      <c r="AP487" s="413"/>
      <c r="AQ487" s="413" t="s">
        <v>37</v>
      </c>
      <c r="AR487" s="413" t="s">
        <v>2395</v>
      </c>
      <c r="AS487" s="403" t="s">
        <v>1073</v>
      </c>
      <c r="AT487" s="386" t="s">
        <v>1073</v>
      </c>
      <c r="AU487" s="386" t="s">
        <v>1073</v>
      </c>
      <c r="AV487" s="409">
        <v>0.73</v>
      </c>
    </row>
    <row r="488" spans="1:48" s="402" customFormat="1">
      <c r="A488" s="403"/>
      <c r="B488" s="397">
        <v>44656</v>
      </c>
      <c r="C488" s="397"/>
      <c r="D488" s="432" t="s">
        <v>2330</v>
      </c>
      <c r="E488" s="379" t="s">
        <v>3600</v>
      </c>
      <c r="F488" s="432"/>
      <c r="G488" s="432"/>
      <c r="H488" s="432"/>
      <c r="I488" s="432" t="s">
        <v>2383</v>
      </c>
      <c r="J488" s="444"/>
      <c r="K488" s="432" t="s">
        <v>3632</v>
      </c>
      <c r="L488" s="432" t="s">
        <v>3628</v>
      </c>
      <c r="M488" s="433">
        <v>44655</v>
      </c>
      <c r="N488" s="433">
        <v>44866</v>
      </c>
      <c r="O488" s="433"/>
      <c r="P488" s="433"/>
      <c r="Q488" s="433"/>
      <c r="R488" s="433"/>
      <c r="S488" s="432" t="s">
        <v>2332</v>
      </c>
      <c r="T488" s="432">
        <v>60</v>
      </c>
      <c r="U488" s="432">
        <v>49204132</v>
      </c>
      <c r="V488" s="432" t="s">
        <v>1192</v>
      </c>
      <c r="W488" s="432">
        <v>360</v>
      </c>
      <c r="X488" s="436">
        <v>4160</v>
      </c>
      <c r="Y488" s="408">
        <f t="shared" si="37"/>
        <v>1497600</v>
      </c>
      <c r="Z488" s="409">
        <v>0.79</v>
      </c>
      <c r="AA488" s="410">
        <f t="shared" si="35"/>
        <v>1183104</v>
      </c>
      <c r="AB488" s="410"/>
      <c r="AC488" s="394">
        <v>0</v>
      </c>
      <c r="AD488" s="421"/>
      <c r="AE488" s="413"/>
      <c r="AF488" s="462">
        <f t="shared" si="36"/>
        <v>1183104</v>
      </c>
      <c r="AG488" s="405" t="s">
        <v>1069</v>
      </c>
      <c r="AH488" s="405"/>
      <c r="AI488" s="405">
        <v>60</v>
      </c>
      <c r="AJ488" s="415" t="s">
        <v>2014</v>
      </c>
      <c r="AK488" s="405" t="s">
        <v>1081</v>
      </c>
      <c r="AL488" s="414" t="s">
        <v>2015</v>
      </c>
      <c r="AM488" s="405" t="s">
        <v>52</v>
      </c>
      <c r="AN488" s="405" t="s">
        <v>1071</v>
      </c>
      <c r="AO488" s="405"/>
      <c r="AP488" s="413"/>
      <c r="AQ488" s="413" t="s">
        <v>37</v>
      </c>
      <c r="AR488" s="413" t="s">
        <v>2395</v>
      </c>
      <c r="AS488" s="403" t="s">
        <v>1073</v>
      </c>
      <c r="AT488" s="386" t="s">
        <v>1073</v>
      </c>
      <c r="AU488" s="386" t="s">
        <v>1073</v>
      </c>
      <c r="AV488" s="409">
        <v>0.73</v>
      </c>
    </row>
    <row r="489" spans="1:48" s="402" customFormat="1">
      <c r="A489" s="403"/>
      <c r="B489" s="397">
        <v>44656</v>
      </c>
      <c r="C489" s="397"/>
      <c r="D489" s="432" t="s">
        <v>2330</v>
      </c>
      <c r="E489" s="379" t="s">
        <v>3600</v>
      </c>
      <c r="F489" s="432"/>
      <c r="G489" s="432"/>
      <c r="H489" s="432"/>
      <c r="I489" s="432" t="s">
        <v>2383</v>
      </c>
      <c r="J489" s="444"/>
      <c r="K489" s="432" t="s">
        <v>3633</v>
      </c>
      <c r="L489" s="432" t="s">
        <v>3628</v>
      </c>
      <c r="M489" s="433">
        <v>44655</v>
      </c>
      <c r="N489" s="433">
        <v>44866</v>
      </c>
      <c r="O489" s="433"/>
      <c r="P489" s="433"/>
      <c r="Q489" s="433"/>
      <c r="R489" s="433"/>
      <c r="S489" s="432" t="s">
        <v>2332</v>
      </c>
      <c r="T489" s="432">
        <v>60</v>
      </c>
      <c r="U489" s="432">
        <v>49405140</v>
      </c>
      <c r="V489" s="432" t="s">
        <v>973</v>
      </c>
      <c r="W489" s="432">
        <v>400</v>
      </c>
      <c r="X489" s="436">
        <v>13312</v>
      </c>
      <c r="Y489" s="408">
        <f t="shared" si="37"/>
        <v>5324800</v>
      </c>
      <c r="Z489" s="409">
        <v>0.55000000000000004</v>
      </c>
      <c r="AA489" s="410">
        <f t="shared" si="35"/>
        <v>2928640.0000000005</v>
      </c>
      <c r="AB489" s="410"/>
      <c r="AC489" s="394">
        <v>0</v>
      </c>
      <c r="AD489" s="421"/>
      <c r="AE489" s="413"/>
      <c r="AF489" s="462">
        <f t="shared" si="36"/>
        <v>2928640.0000000005</v>
      </c>
      <c r="AG489" s="405" t="s">
        <v>1069</v>
      </c>
      <c r="AH489" s="405"/>
      <c r="AI489" s="405">
        <v>60</v>
      </c>
      <c r="AJ489" s="415" t="s">
        <v>2014</v>
      </c>
      <c r="AK489" s="405" t="s">
        <v>1081</v>
      </c>
      <c r="AL489" s="414" t="s">
        <v>2015</v>
      </c>
      <c r="AM489" s="405" t="s">
        <v>52</v>
      </c>
      <c r="AN489" s="405" t="s">
        <v>1071</v>
      </c>
      <c r="AO489" s="405"/>
      <c r="AP489" s="413"/>
      <c r="AQ489" s="413" t="s">
        <v>37</v>
      </c>
      <c r="AR489" s="413" t="s">
        <v>2395</v>
      </c>
      <c r="AS489" s="403" t="s">
        <v>1073</v>
      </c>
      <c r="AT489" s="386" t="s">
        <v>1073</v>
      </c>
      <c r="AU489" s="386" t="s">
        <v>1073</v>
      </c>
      <c r="AV489" s="409">
        <v>0.73</v>
      </c>
    </row>
    <row r="490" spans="1:48" s="402" customFormat="1">
      <c r="A490" s="403"/>
      <c r="B490" s="397">
        <v>44656</v>
      </c>
      <c r="C490" s="397"/>
      <c r="D490" s="432" t="s">
        <v>2330</v>
      </c>
      <c r="E490" s="379" t="s">
        <v>3600</v>
      </c>
      <c r="F490" s="432"/>
      <c r="G490" s="432"/>
      <c r="H490" s="432"/>
      <c r="I490" s="432" t="s">
        <v>2383</v>
      </c>
      <c r="J490" s="444"/>
      <c r="K490" s="432" t="s">
        <v>3633</v>
      </c>
      <c r="L490" s="432" t="s">
        <v>3628</v>
      </c>
      <c r="M490" s="433">
        <v>44655</v>
      </c>
      <c r="N490" s="433">
        <v>44866</v>
      </c>
      <c r="O490" s="433"/>
      <c r="P490" s="433"/>
      <c r="Q490" s="433"/>
      <c r="R490" s="433"/>
      <c r="S490" s="432" t="s">
        <v>2332</v>
      </c>
      <c r="T490" s="432">
        <v>60</v>
      </c>
      <c r="U490" s="432">
        <v>49203132</v>
      </c>
      <c r="V490" s="432" t="s">
        <v>986</v>
      </c>
      <c r="W490" s="432">
        <v>360</v>
      </c>
      <c r="X490" s="436">
        <v>9152</v>
      </c>
      <c r="Y490" s="408">
        <f t="shared" si="37"/>
        <v>3294720</v>
      </c>
      <c r="Z490" s="409">
        <v>0.55000000000000004</v>
      </c>
      <c r="AA490" s="410">
        <f t="shared" si="35"/>
        <v>1812096.0000000002</v>
      </c>
      <c r="AB490" s="410"/>
      <c r="AC490" s="394">
        <v>0</v>
      </c>
      <c r="AD490" s="421"/>
      <c r="AE490" s="413"/>
      <c r="AF490" s="462">
        <f t="shared" si="36"/>
        <v>1812096.0000000002</v>
      </c>
      <c r="AG490" s="405" t="s">
        <v>1069</v>
      </c>
      <c r="AH490" s="405"/>
      <c r="AI490" s="405">
        <v>60</v>
      </c>
      <c r="AJ490" s="415" t="s">
        <v>2014</v>
      </c>
      <c r="AK490" s="405" t="s">
        <v>1081</v>
      </c>
      <c r="AL490" s="414" t="s">
        <v>2015</v>
      </c>
      <c r="AM490" s="405" t="s">
        <v>52</v>
      </c>
      <c r="AN490" s="405" t="s">
        <v>1071</v>
      </c>
      <c r="AO490" s="405"/>
      <c r="AP490" s="413"/>
      <c r="AQ490" s="413" t="s">
        <v>37</v>
      </c>
      <c r="AR490" s="413" t="s">
        <v>2395</v>
      </c>
      <c r="AS490" s="403" t="s">
        <v>1073</v>
      </c>
      <c r="AT490" s="386" t="s">
        <v>1073</v>
      </c>
      <c r="AU490" s="386" t="s">
        <v>1073</v>
      </c>
      <c r="AV490" s="409">
        <v>0.73</v>
      </c>
    </row>
    <row r="491" spans="1:48" s="402" customFormat="1">
      <c r="A491" s="403"/>
      <c r="B491" s="397">
        <v>44656</v>
      </c>
      <c r="C491" s="397"/>
      <c r="D491" s="432" t="s">
        <v>2330</v>
      </c>
      <c r="E491" s="379" t="s">
        <v>3600</v>
      </c>
      <c r="F491" s="432"/>
      <c r="G491" s="432"/>
      <c r="H491" s="432"/>
      <c r="I491" s="432" t="s">
        <v>2383</v>
      </c>
      <c r="J491" s="444"/>
      <c r="K491" s="432" t="s">
        <v>3633</v>
      </c>
      <c r="L491" s="432" t="s">
        <v>3628</v>
      </c>
      <c r="M491" s="433">
        <v>44655</v>
      </c>
      <c r="N491" s="433">
        <v>44866</v>
      </c>
      <c r="O491" s="433"/>
      <c r="P491" s="433"/>
      <c r="Q491" s="433"/>
      <c r="R491" s="433"/>
      <c r="S491" s="432" t="s">
        <v>2332</v>
      </c>
      <c r="T491" s="432">
        <v>60</v>
      </c>
      <c r="U491" s="432">
        <v>49204132</v>
      </c>
      <c r="V491" s="432" t="s">
        <v>1192</v>
      </c>
      <c r="W491" s="432">
        <v>360</v>
      </c>
      <c r="X491" s="436">
        <v>4160</v>
      </c>
      <c r="Y491" s="408">
        <f t="shared" si="37"/>
        <v>1497600</v>
      </c>
      <c r="Z491" s="409">
        <v>0.79</v>
      </c>
      <c r="AA491" s="410">
        <f t="shared" si="35"/>
        <v>1183104</v>
      </c>
      <c r="AB491" s="410"/>
      <c r="AC491" s="394">
        <v>0</v>
      </c>
      <c r="AD491" s="421"/>
      <c r="AE491" s="413"/>
      <c r="AF491" s="462">
        <f t="shared" si="36"/>
        <v>1183104</v>
      </c>
      <c r="AG491" s="405" t="s">
        <v>1069</v>
      </c>
      <c r="AH491" s="405"/>
      <c r="AI491" s="405">
        <v>60</v>
      </c>
      <c r="AJ491" s="415" t="s">
        <v>2014</v>
      </c>
      <c r="AK491" s="405" t="s">
        <v>1081</v>
      </c>
      <c r="AL491" s="414" t="s">
        <v>2015</v>
      </c>
      <c r="AM491" s="405" t="s">
        <v>52</v>
      </c>
      <c r="AN491" s="405" t="s">
        <v>1071</v>
      </c>
      <c r="AO491" s="405"/>
      <c r="AP491" s="413"/>
      <c r="AQ491" s="413" t="s">
        <v>37</v>
      </c>
      <c r="AR491" s="413" t="s">
        <v>2395</v>
      </c>
      <c r="AS491" s="403" t="s">
        <v>1073</v>
      </c>
      <c r="AT491" s="386" t="s">
        <v>1073</v>
      </c>
      <c r="AU491" s="386" t="s">
        <v>1073</v>
      </c>
      <c r="AV491" s="409">
        <v>0.73</v>
      </c>
    </row>
    <row r="492" spans="1:48" s="402" customFormat="1">
      <c r="A492" s="403"/>
      <c r="B492" s="397">
        <v>44656</v>
      </c>
      <c r="C492" s="397"/>
      <c r="D492" s="432" t="s">
        <v>2330</v>
      </c>
      <c r="E492" s="379" t="s">
        <v>3600</v>
      </c>
      <c r="F492" s="432"/>
      <c r="G492" s="432"/>
      <c r="H492" s="432"/>
      <c r="I492" s="432" t="s">
        <v>2383</v>
      </c>
      <c r="J492" s="444"/>
      <c r="K492" s="432">
        <v>1174</v>
      </c>
      <c r="L492" s="432" t="s">
        <v>4577</v>
      </c>
      <c r="M492" s="433">
        <v>44655</v>
      </c>
      <c r="N492" s="433">
        <v>44866</v>
      </c>
      <c r="O492" s="433"/>
      <c r="P492" s="433"/>
      <c r="Q492" s="433"/>
      <c r="R492" s="433"/>
      <c r="S492" s="432" t="s">
        <v>2332</v>
      </c>
      <c r="T492" s="432">
        <v>60</v>
      </c>
      <c r="U492" s="432" t="s">
        <v>1943</v>
      </c>
      <c r="V492" s="432" t="s">
        <v>973</v>
      </c>
      <c r="W492" s="432">
        <v>395</v>
      </c>
      <c r="X492" s="436">
        <v>352</v>
      </c>
      <c r="Y492" s="408">
        <f t="shared" si="37"/>
        <v>139040</v>
      </c>
      <c r="Z492" s="409">
        <v>0.55000000000000004</v>
      </c>
      <c r="AA492" s="410">
        <f t="shared" si="35"/>
        <v>76472</v>
      </c>
      <c r="AB492" s="410"/>
      <c r="AC492" s="394">
        <v>0</v>
      </c>
      <c r="AD492" s="421"/>
      <c r="AE492" s="413"/>
      <c r="AF492" s="462">
        <f t="shared" si="36"/>
        <v>76472</v>
      </c>
      <c r="AG492" s="405" t="s">
        <v>1069</v>
      </c>
      <c r="AH492" s="405">
        <v>100</v>
      </c>
      <c r="AI492" s="405">
        <v>0</v>
      </c>
      <c r="AJ492" s="415" t="s">
        <v>4578</v>
      </c>
      <c r="AK492" s="405" t="s">
        <v>1452</v>
      </c>
      <c r="AL492" s="414" t="s">
        <v>2015</v>
      </c>
      <c r="AM492" s="405" t="s">
        <v>52</v>
      </c>
      <c r="AN492" s="405" t="s">
        <v>1998</v>
      </c>
      <c r="AO492" s="405"/>
      <c r="AP492" s="413"/>
      <c r="AQ492" s="413" t="s">
        <v>37</v>
      </c>
      <c r="AR492" s="413" t="s">
        <v>2395</v>
      </c>
      <c r="AS492" s="403" t="s">
        <v>1073</v>
      </c>
      <c r="AT492" s="386" t="s">
        <v>1073</v>
      </c>
      <c r="AU492" s="386" t="s">
        <v>1073</v>
      </c>
      <c r="AV492" s="409">
        <v>0.73</v>
      </c>
    </row>
    <row r="493" spans="1:48" s="402" customFormat="1">
      <c r="A493" s="403"/>
      <c r="B493" s="397">
        <v>44656</v>
      </c>
      <c r="C493" s="397"/>
      <c r="D493" s="432" t="s">
        <v>2330</v>
      </c>
      <c r="E493" s="379" t="s">
        <v>3600</v>
      </c>
      <c r="F493" s="432"/>
      <c r="G493" s="432"/>
      <c r="H493" s="432"/>
      <c r="I493" s="432" t="s">
        <v>2383</v>
      </c>
      <c r="J493" s="444"/>
      <c r="K493" s="432">
        <v>1174</v>
      </c>
      <c r="L493" s="432" t="s">
        <v>4577</v>
      </c>
      <c r="M493" s="433">
        <v>44655</v>
      </c>
      <c r="N493" s="433">
        <v>44866</v>
      </c>
      <c r="O493" s="433"/>
      <c r="P493" s="433"/>
      <c r="Q493" s="433"/>
      <c r="R493" s="433"/>
      <c r="S493" s="432" t="s">
        <v>2332</v>
      </c>
      <c r="T493" s="432">
        <v>60</v>
      </c>
      <c r="U493" s="432">
        <v>46212128</v>
      </c>
      <c r="V493" s="432" t="s">
        <v>4889</v>
      </c>
      <c r="W493" s="432">
        <v>340</v>
      </c>
      <c r="X493" s="436">
        <v>23</v>
      </c>
      <c r="Y493" s="408">
        <f t="shared" si="37"/>
        <v>7820</v>
      </c>
      <c r="Z493" s="409">
        <v>0.55000000000000004</v>
      </c>
      <c r="AA493" s="410">
        <f t="shared" si="35"/>
        <v>4301</v>
      </c>
      <c r="AB493" s="410"/>
      <c r="AC493" s="394">
        <v>0</v>
      </c>
      <c r="AD493" s="421"/>
      <c r="AE493" s="413"/>
      <c r="AF493" s="462">
        <f t="shared" si="36"/>
        <v>4301</v>
      </c>
      <c r="AG493" s="405" t="s">
        <v>1069</v>
      </c>
      <c r="AH493" s="405">
        <v>100</v>
      </c>
      <c r="AI493" s="405">
        <v>0</v>
      </c>
      <c r="AJ493" s="415" t="s">
        <v>4578</v>
      </c>
      <c r="AK493" s="405" t="s">
        <v>1452</v>
      </c>
      <c r="AL493" s="414" t="s">
        <v>2015</v>
      </c>
      <c r="AM493" s="405" t="s">
        <v>52</v>
      </c>
      <c r="AN493" s="405" t="s">
        <v>1071</v>
      </c>
      <c r="AO493" s="405"/>
      <c r="AP493" s="413"/>
      <c r="AQ493" s="413" t="s">
        <v>37</v>
      </c>
      <c r="AR493" s="413" t="s">
        <v>2395</v>
      </c>
      <c r="AS493" s="403" t="s">
        <v>1073</v>
      </c>
      <c r="AT493" s="386" t="s">
        <v>1073</v>
      </c>
      <c r="AU493" s="386" t="s">
        <v>1073</v>
      </c>
      <c r="AV493" s="409">
        <v>0.73</v>
      </c>
    </row>
    <row r="494" spans="1:48" s="402" customFormat="1">
      <c r="A494" s="403"/>
      <c r="B494" s="397">
        <v>44656</v>
      </c>
      <c r="C494" s="397"/>
      <c r="D494" s="432" t="s">
        <v>2330</v>
      </c>
      <c r="E494" s="379" t="s">
        <v>3600</v>
      </c>
      <c r="F494" s="432"/>
      <c r="G494" s="432"/>
      <c r="H494" s="432"/>
      <c r="I494" s="432" t="s">
        <v>2383</v>
      </c>
      <c r="J494" s="444"/>
      <c r="K494" s="432">
        <v>1174</v>
      </c>
      <c r="L494" s="432" t="s">
        <v>4577</v>
      </c>
      <c r="M494" s="433">
        <v>44655</v>
      </c>
      <c r="N494" s="433">
        <v>44866</v>
      </c>
      <c r="O494" s="433"/>
      <c r="P494" s="433"/>
      <c r="Q494" s="433"/>
      <c r="R494" s="433"/>
      <c r="S494" s="432" t="s">
        <v>2332</v>
      </c>
      <c r="T494" s="432">
        <v>60</v>
      </c>
      <c r="U494" s="432">
        <v>46220128</v>
      </c>
      <c r="V494" s="432" t="s">
        <v>4889</v>
      </c>
      <c r="W494" s="432">
        <v>340</v>
      </c>
      <c r="X494" s="436">
        <v>2</v>
      </c>
      <c r="Y494" s="408">
        <f t="shared" si="37"/>
        <v>680</v>
      </c>
      <c r="Z494" s="409">
        <v>0.55000000000000004</v>
      </c>
      <c r="AA494" s="410">
        <f t="shared" si="35"/>
        <v>374.00000000000006</v>
      </c>
      <c r="AB494" s="410"/>
      <c r="AC494" s="394">
        <v>0</v>
      </c>
      <c r="AD494" s="421"/>
      <c r="AE494" s="413"/>
      <c r="AF494" s="462">
        <f t="shared" si="36"/>
        <v>374.00000000000006</v>
      </c>
      <c r="AG494" s="405" t="s">
        <v>1069</v>
      </c>
      <c r="AH494" s="405">
        <v>100</v>
      </c>
      <c r="AI494" s="405">
        <v>0</v>
      </c>
      <c r="AJ494" s="415" t="s">
        <v>4578</v>
      </c>
      <c r="AK494" s="405" t="s">
        <v>1452</v>
      </c>
      <c r="AL494" s="414" t="s">
        <v>2015</v>
      </c>
      <c r="AM494" s="405" t="s">
        <v>52</v>
      </c>
      <c r="AN494" s="405" t="s">
        <v>1071</v>
      </c>
      <c r="AO494" s="405"/>
      <c r="AP494" s="413"/>
      <c r="AQ494" s="413" t="s">
        <v>37</v>
      </c>
      <c r="AR494" s="413" t="s">
        <v>2395</v>
      </c>
      <c r="AS494" s="403" t="s">
        <v>1073</v>
      </c>
      <c r="AT494" s="386" t="s">
        <v>1073</v>
      </c>
      <c r="AU494" s="386" t="s">
        <v>1073</v>
      </c>
      <c r="AV494" s="409">
        <v>0.73</v>
      </c>
    </row>
    <row r="495" spans="1:48" s="402" customFormat="1">
      <c r="A495" s="403"/>
      <c r="B495" s="397">
        <v>44656</v>
      </c>
      <c r="C495" s="397"/>
      <c r="D495" s="432" t="s">
        <v>2330</v>
      </c>
      <c r="E495" s="379" t="s">
        <v>3600</v>
      </c>
      <c r="F495" s="432"/>
      <c r="G495" s="432"/>
      <c r="H495" s="432"/>
      <c r="I495" s="432" t="s">
        <v>2383</v>
      </c>
      <c r="J495" s="444"/>
      <c r="K495" s="432">
        <v>1174</v>
      </c>
      <c r="L495" s="432" t="s">
        <v>4577</v>
      </c>
      <c r="M495" s="433">
        <v>44655</v>
      </c>
      <c r="N495" s="433">
        <v>44866</v>
      </c>
      <c r="O495" s="433"/>
      <c r="P495" s="433"/>
      <c r="Q495" s="433"/>
      <c r="R495" s="433"/>
      <c r="S495" s="432" t="s">
        <v>2332</v>
      </c>
      <c r="T495" s="432">
        <v>60</v>
      </c>
      <c r="U495" s="432">
        <v>46220528</v>
      </c>
      <c r="V495" s="432" t="s">
        <v>4889</v>
      </c>
      <c r="W495" s="432">
        <v>340</v>
      </c>
      <c r="X495" s="436">
        <v>8</v>
      </c>
      <c r="Y495" s="408">
        <f t="shared" si="37"/>
        <v>2720</v>
      </c>
      <c r="Z495" s="409">
        <v>0.55000000000000004</v>
      </c>
      <c r="AA495" s="410">
        <f t="shared" si="35"/>
        <v>1496.0000000000002</v>
      </c>
      <c r="AB495" s="410"/>
      <c r="AC495" s="394">
        <v>0</v>
      </c>
      <c r="AD495" s="421"/>
      <c r="AE495" s="413"/>
      <c r="AF495" s="462">
        <f t="shared" si="36"/>
        <v>1496.0000000000002</v>
      </c>
      <c r="AG495" s="405" t="s">
        <v>1069</v>
      </c>
      <c r="AH495" s="405">
        <v>100</v>
      </c>
      <c r="AI495" s="405">
        <v>0</v>
      </c>
      <c r="AJ495" s="415" t="s">
        <v>4578</v>
      </c>
      <c r="AK495" s="405" t="s">
        <v>1452</v>
      </c>
      <c r="AL495" s="414" t="s">
        <v>2015</v>
      </c>
      <c r="AM495" s="405" t="s">
        <v>52</v>
      </c>
      <c r="AN495" s="405" t="s">
        <v>1071</v>
      </c>
      <c r="AO495" s="405"/>
      <c r="AP495" s="413"/>
      <c r="AQ495" s="413" t="s">
        <v>37</v>
      </c>
      <c r="AR495" s="413" t="s">
        <v>2395</v>
      </c>
      <c r="AS495" s="403" t="s">
        <v>1073</v>
      </c>
      <c r="AT495" s="386" t="s">
        <v>1073</v>
      </c>
      <c r="AU495" s="386" t="s">
        <v>1073</v>
      </c>
      <c r="AV495" s="409">
        <v>0.73</v>
      </c>
    </row>
    <row r="496" spans="1:48" s="402" customFormat="1">
      <c r="A496" s="403"/>
      <c r="B496" s="397">
        <v>44656</v>
      </c>
      <c r="C496" s="397"/>
      <c r="D496" s="432" t="s">
        <v>2330</v>
      </c>
      <c r="E496" s="379" t="s">
        <v>3600</v>
      </c>
      <c r="F496" s="432"/>
      <c r="G496" s="432"/>
      <c r="H496" s="432"/>
      <c r="I496" s="432" t="s">
        <v>2383</v>
      </c>
      <c r="J496" s="444"/>
      <c r="K496" s="432">
        <v>1174</v>
      </c>
      <c r="L496" s="432" t="s">
        <v>4577</v>
      </c>
      <c r="M496" s="433">
        <v>44655</v>
      </c>
      <c r="N496" s="433">
        <v>44866</v>
      </c>
      <c r="O496" s="433"/>
      <c r="P496" s="433"/>
      <c r="Q496" s="433"/>
      <c r="R496" s="433"/>
      <c r="S496" s="432" t="s">
        <v>2332</v>
      </c>
      <c r="T496" s="432">
        <v>60</v>
      </c>
      <c r="U496" s="432">
        <v>46212528</v>
      </c>
      <c r="V496" s="432" t="s">
        <v>4889</v>
      </c>
      <c r="W496" s="432">
        <v>340</v>
      </c>
      <c r="X496" s="436">
        <v>1</v>
      </c>
      <c r="Y496" s="408">
        <f t="shared" si="37"/>
        <v>340</v>
      </c>
      <c r="Z496" s="409">
        <v>0.55000000000000004</v>
      </c>
      <c r="AA496" s="410">
        <f t="shared" si="35"/>
        <v>187.00000000000003</v>
      </c>
      <c r="AB496" s="410"/>
      <c r="AC496" s="394">
        <v>0</v>
      </c>
      <c r="AD496" s="421"/>
      <c r="AE496" s="413"/>
      <c r="AF496" s="462">
        <f t="shared" si="36"/>
        <v>187.00000000000003</v>
      </c>
      <c r="AG496" s="405" t="s">
        <v>1069</v>
      </c>
      <c r="AH496" s="405">
        <v>100</v>
      </c>
      <c r="AI496" s="405">
        <v>0</v>
      </c>
      <c r="AJ496" s="415" t="s">
        <v>4578</v>
      </c>
      <c r="AK496" s="405" t="s">
        <v>1452</v>
      </c>
      <c r="AL496" s="414" t="s">
        <v>2015</v>
      </c>
      <c r="AM496" s="405" t="s">
        <v>52</v>
      </c>
      <c r="AN496" s="405" t="s">
        <v>1071</v>
      </c>
      <c r="AO496" s="405"/>
      <c r="AP496" s="413"/>
      <c r="AQ496" s="413" t="s">
        <v>37</v>
      </c>
      <c r="AR496" s="413" t="s">
        <v>2395</v>
      </c>
      <c r="AS496" s="403" t="s">
        <v>1073</v>
      </c>
      <c r="AT496" s="386" t="s">
        <v>1073</v>
      </c>
      <c r="AU496" s="386" t="s">
        <v>1073</v>
      </c>
      <c r="AV496" s="409">
        <v>0.73</v>
      </c>
    </row>
    <row r="497" spans="1:48" s="402" customFormat="1">
      <c r="A497" s="403"/>
      <c r="B497" s="397">
        <v>44656</v>
      </c>
      <c r="C497" s="397"/>
      <c r="D497" s="432" t="s">
        <v>2330</v>
      </c>
      <c r="E497" s="379" t="s">
        <v>3600</v>
      </c>
      <c r="F497" s="432"/>
      <c r="G497" s="432"/>
      <c r="H497" s="432"/>
      <c r="I497" s="432" t="s">
        <v>2383</v>
      </c>
      <c r="J497" s="444"/>
      <c r="K497" s="432">
        <v>1174</v>
      </c>
      <c r="L497" s="432" t="s">
        <v>4577</v>
      </c>
      <c r="M497" s="433">
        <v>44655</v>
      </c>
      <c r="N497" s="433">
        <v>44866</v>
      </c>
      <c r="O497" s="433"/>
      <c r="P497" s="433"/>
      <c r="Q497" s="433"/>
      <c r="R497" s="433"/>
      <c r="S497" s="432" t="s">
        <v>2332</v>
      </c>
      <c r="T497" s="432">
        <v>60</v>
      </c>
      <c r="U497" s="432">
        <v>46222128</v>
      </c>
      <c r="V497" s="432" t="s">
        <v>4889</v>
      </c>
      <c r="W497" s="432">
        <v>340</v>
      </c>
      <c r="X497" s="436">
        <v>15</v>
      </c>
      <c r="Y497" s="408">
        <f t="shared" si="37"/>
        <v>5100</v>
      </c>
      <c r="Z497" s="409">
        <v>0.55000000000000004</v>
      </c>
      <c r="AA497" s="410">
        <f t="shared" si="35"/>
        <v>2805</v>
      </c>
      <c r="AB497" s="410"/>
      <c r="AC497" s="394">
        <v>0</v>
      </c>
      <c r="AD497" s="421"/>
      <c r="AE497" s="413"/>
      <c r="AF497" s="462">
        <f t="shared" si="36"/>
        <v>2805</v>
      </c>
      <c r="AG497" s="405" t="s">
        <v>1069</v>
      </c>
      <c r="AH497" s="405">
        <v>100</v>
      </c>
      <c r="AI497" s="405">
        <v>0</v>
      </c>
      <c r="AJ497" s="415" t="s">
        <v>4578</v>
      </c>
      <c r="AK497" s="405" t="s">
        <v>1452</v>
      </c>
      <c r="AL497" s="414" t="s">
        <v>2015</v>
      </c>
      <c r="AM497" s="405" t="s">
        <v>52</v>
      </c>
      <c r="AN497" s="405" t="s">
        <v>1071</v>
      </c>
      <c r="AO497" s="405"/>
      <c r="AP497" s="413"/>
      <c r="AQ497" s="413" t="s">
        <v>37</v>
      </c>
      <c r="AR497" s="413" t="s">
        <v>2395</v>
      </c>
      <c r="AS497" s="403" t="s">
        <v>1073</v>
      </c>
      <c r="AT497" s="386" t="s">
        <v>1073</v>
      </c>
      <c r="AU497" s="386" t="s">
        <v>1073</v>
      </c>
      <c r="AV497" s="409">
        <v>0.73</v>
      </c>
    </row>
    <row r="498" spans="1:48" s="402" customFormat="1">
      <c r="A498" s="403"/>
      <c r="B498" s="397">
        <v>44656</v>
      </c>
      <c r="C498" s="397"/>
      <c r="D498" s="432" t="s">
        <v>2330</v>
      </c>
      <c r="E498" s="379" t="s">
        <v>3600</v>
      </c>
      <c r="F498" s="432"/>
      <c r="G498" s="432"/>
      <c r="H498" s="432"/>
      <c r="I498" s="432" t="s">
        <v>2383</v>
      </c>
      <c r="J498" s="444"/>
      <c r="K498" s="432">
        <v>1174</v>
      </c>
      <c r="L498" s="432" t="s">
        <v>4577</v>
      </c>
      <c r="M498" s="433">
        <v>44655</v>
      </c>
      <c r="N498" s="433">
        <v>44866</v>
      </c>
      <c r="O498" s="433"/>
      <c r="P498" s="433"/>
      <c r="Q498" s="433"/>
      <c r="R498" s="433"/>
      <c r="S498" s="432" t="s">
        <v>2332</v>
      </c>
      <c r="T498" s="432">
        <v>60</v>
      </c>
      <c r="U498" s="432">
        <v>46226128</v>
      </c>
      <c r="V498" s="432" t="s">
        <v>4889</v>
      </c>
      <c r="W498" s="432">
        <v>340</v>
      </c>
      <c r="X498" s="436">
        <v>91</v>
      </c>
      <c r="Y498" s="408">
        <f t="shared" si="37"/>
        <v>30940</v>
      </c>
      <c r="Z498" s="409">
        <v>0.55000000000000004</v>
      </c>
      <c r="AA498" s="410">
        <f t="shared" si="35"/>
        <v>17017</v>
      </c>
      <c r="AB498" s="410"/>
      <c r="AC498" s="394">
        <v>0</v>
      </c>
      <c r="AD498" s="421"/>
      <c r="AE498" s="413"/>
      <c r="AF498" s="462">
        <f t="shared" si="36"/>
        <v>17017</v>
      </c>
      <c r="AG498" s="405" t="s">
        <v>1069</v>
      </c>
      <c r="AH498" s="405">
        <v>100</v>
      </c>
      <c r="AI498" s="405">
        <v>0</v>
      </c>
      <c r="AJ498" s="415" t="s">
        <v>4578</v>
      </c>
      <c r="AK498" s="405" t="s">
        <v>1452</v>
      </c>
      <c r="AL498" s="414" t="s">
        <v>2015</v>
      </c>
      <c r="AM498" s="405" t="s">
        <v>52</v>
      </c>
      <c r="AN498" s="405" t="s">
        <v>1071</v>
      </c>
      <c r="AO498" s="405"/>
      <c r="AP498" s="413"/>
      <c r="AQ498" s="413" t="s">
        <v>37</v>
      </c>
      <c r="AR498" s="413" t="s">
        <v>2395</v>
      </c>
      <c r="AS498" s="403" t="s">
        <v>1073</v>
      </c>
      <c r="AT498" s="386" t="s">
        <v>1073</v>
      </c>
      <c r="AU498" s="386" t="s">
        <v>1073</v>
      </c>
      <c r="AV498" s="409">
        <v>0.73</v>
      </c>
    </row>
    <row r="499" spans="1:48" s="402" customFormat="1">
      <c r="A499" s="403"/>
      <c r="B499" s="397">
        <v>44656</v>
      </c>
      <c r="C499" s="397"/>
      <c r="D499" s="432" t="s">
        <v>2330</v>
      </c>
      <c r="E499" s="379" t="s">
        <v>3600</v>
      </c>
      <c r="F499" s="432"/>
      <c r="G499" s="432"/>
      <c r="H499" s="432"/>
      <c r="I499" s="432" t="s">
        <v>2383</v>
      </c>
      <c r="J499" s="444"/>
      <c r="K499" s="432">
        <v>1174</v>
      </c>
      <c r="L499" s="432" t="s">
        <v>4577</v>
      </c>
      <c r="M499" s="433">
        <v>44655</v>
      </c>
      <c r="N499" s="433">
        <v>44866</v>
      </c>
      <c r="O499" s="433"/>
      <c r="P499" s="433"/>
      <c r="Q499" s="433"/>
      <c r="R499" s="433"/>
      <c r="S499" s="432" t="s">
        <v>2332</v>
      </c>
      <c r="T499" s="432">
        <v>60</v>
      </c>
      <c r="U499" s="432">
        <v>46220127</v>
      </c>
      <c r="V499" s="432" t="s">
        <v>4889</v>
      </c>
      <c r="W499" s="432">
        <v>335</v>
      </c>
      <c r="X499" s="436">
        <v>24</v>
      </c>
      <c r="Y499" s="408">
        <f t="shared" si="37"/>
        <v>8040</v>
      </c>
      <c r="Z499" s="409">
        <v>0.55000000000000004</v>
      </c>
      <c r="AA499" s="410">
        <f t="shared" si="35"/>
        <v>4422</v>
      </c>
      <c r="AB499" s="410"/>
      <c r="AC499" s="394">
        <v>0</v>
      </c>
      <c r="AD499" s="421"/>
      <c r="AE499" s="413"/>
      <c r="AF499" s="462">
        <f t="shared" si="36"/>
        <v>4422</v>
      </c>
      <c r="AG499" s="405" t="s">
        <v>1069</v>
      </c>
      <c r="AH499" s="405">
        <v>100</v>
      </c>
      <c r="AI499" s="405">
        <v>0</v>
      </c>
      <c r="AJ499" s="415" t="s">
        <v>4578</v>
      </c>
      <c r="AK499" s="405" t="s">
        <v>1452</v>
      </c>
      <c r="AL499" s="414" t="s">
        <v>2015</v>
      </c>
      <c r="AM499" s="405" t="s">
        <v>52</v>
      </c>
      <c r="AN499" s="405" t="s">
        <v>1071</v>
      </c>
      <c r="AO499" s="405"/>
      <c r="AP499" s="413"/>
      <c r="AQ499" s="413" t="s">
        <v>37</v>
      </c>
      <c r="AR499" s="413" t="s">
        <v>2395</v>
      </c>
      <c r="AS499" s="403" t="s">
        <v>1073</v>
      </c>
      <c r="AT499" s="386" t="s">
        <v>1073</v>
      </c>
      <c r="AU499" s="386" t="s">
        <v>1073</v>
      </c>
      <c r="AV499" s="409">
        <v>0.73</v>
      </c>
    </row>
    <row r="500" spans="1:48" s="402" customFormat="1">
      <c r="A500" s="403"/>
      <c r="B500" s="397">
        <v>44656</v>
      </c>
      <c r="C500" s="397"/>
      <c r="D500" s="432" t="s">
        <v>2330</v>
      </c>
      <c r="E500" s="379" t="s">
        <v>3600</v>
      </c>
      <c r="F500" s="432"/>
      <c r="G500" s="432"/>
      <c r="H500" s="432"/>
      <c r="I500" s="432" t="s">
        <v>2383</v>
      </c>
      <c r="J500" s="444"/>
      <c r="K500" s="432">
        <v>1174</v>
      </c>
      <c r="L500" s="432" t="s">
        <v>4577</v>
      </c>
      <c r="M500" s="433">
        <v>44655</v>
      </c>
      <c r="N500" s="433">
        <v>44866</v>
      </c>
      <c r="O500" s="433"/>
      <c r="P500" s="433"/>
      <c r="Q500" s="433"/>
      <c r="R500" s="433"/>
      <c r="S500" s="432" t="s">
        <v>2332</v>
      </c>
      <c r="T500" s="432">
        <v>60</v>
      </c>
      <c r="U500" s="432">
        <v>46222127</v>
      </c>
      <c r="V500" s="432" t="s">
        <v>4889</v>
      </c>
      <c r="W500" s="432">
        <v>335</v>
      </c>
      <c r="X500" s="436">
        <v>12</v>
      </c>
      <c r="Y500" s="408">
        <f t="shared" si="37"/>
        <v>4020</v>
      </c>
      <c r="Z500" s="409">
        <v>0.55000000000000004</v>
      </c>
      <c r="AA500" s="410">
        <f t="shared" si="35"/>
        <v>2211</v>
      </c>
      <c r="AB500" s="410"/>
      <c r="AC500" s="394">
        <v>0</v>
      </c>
      <c r="AD500" s="421"/>
      <c r="AE500" s="413"/>
      <c r="AF500" s="462">
        <f t="shared" si="36"/>
        <v>2211</v>
      </c>
      <c r="AG500" s="405" t="s">
        <v>1069</v>
      </c>
      <c r="AH500" s="405">
        <v>100</v>
      </c>
      <c r="AI500" s="405">
        <v>0</v>
      </c>
      <c r="AJ500" s="415" t="s">
        <v>4578</v>
      </c>
      <c r="AK500" s="405" t="s">
        <v>1452</v>
      </c>
      <c r="AL500" s="414" t="s">
        <v>2015</v>
      </c>
      <c r="AM500" s="405" t="s">
        <v>52</v>
      </c>
      <c r="AN500" s="405" t="s">
        <v>1071</v>
      </c>
      <c r="AO500" s="405"/>
      <c r="AP500" s="413"/>
      <c r="AQ500" s="413" t="s">
        <v>37</v>
      </c>
      <c r="AR500" s="413" t="s">
        <v>2395</v>
      </c>
      <c r="AS500" s="403" t="s">
        <v>1073</v>
      </c>
      <c r="AT500" s="386" t="s">
        <v>1073</v>
      </c>
      <c r="AU500" s="386" t="s">
        <v>1073</v>
      </c>
      <c r="AV500" s="409">
        <v>0.73</v>
      </c>
    </row>
    <row r="501" spans="1:48" s="402" customFormat="1">
      <c r="A501" s="403"/>
      <c r="B501" s="397">
        <v>44656</v>
      </c>
      <c r="C501" s="397"/>
      <c r="D501" s="432" t="s">
        <v>2330</v>
      </c>
      <c r="E501" s="379" t="s">
        <v>3600</v>
      </c>
      <c r="F501" s="432"/>
      <c r="G501" s="432"/>
      <c r="H501" s="432"/>
      <c r="I501" s="432" t="s">
        <v>2383</v>
      </c>
      <c r="J501" s="444"/>
      <c r="K501" s="432">
        <v>1174</v>
      </c>
      <c r="L501" s="432" t="s">
        <v>4577</v>
      </c>
      <c r="M501" s="433">
        <v>44655</v>
      </c>
      <c r="N501" s="433">
        <v>44866</v>
      </c>
      <c r="O501" s="433"/>
      <c r="P501" s="433"/>
      <c r="Q501" s="433"/>
      <c r="R501" s="433"/>
      <c r="S501" s="432" t="s">
        <v>2332</v>
      </c>
      <c r="T501" s="432">
        <v>60</v>
      </c>
      <c r="U501" s="432">
        <v>46212127</v>
      </c>
      <c r="V501" s="432" t="s">
        <v>4889</v>
      </c>
      <c r="W501" s="432">
        <v>335</v>
      </c>
      <c r="X501" s="436">
        <v>3</v>
      </c>
      <c r="Y501" s="408">
        <f t="shared" si="37"/>
        <v>1005</v>
      </c>
      <c r="Z501" s="409">
        <v>0.55000000000000004</v>
      </c>
      <c r="AA501" s="410">
        <f t="shared" si="35"/>
        <v>552.75</v>
      </c>
      <c r="AB501" s="410"/>
      <c r="AC501" s="394">
        <v>0</v>
      </c>
      <c r="AD501" s="421"/>
      <c r="AE501" s="413"/>
      <c r="AF501" s="462">
        <f t="shared" si="36"/>
        <v>552.75</v>
      </c>
      <c r="AG501" s="405" t="s">
        <v>1069</v>
      </c>
      <c r="AH501" s="405">
        <v>100</v>
      </c>
      <c r="AI501" s="405">
        <v>0</v>
      </c>
      <c r="AJ501" s="415" t="s">
        <v>4578</v>
      </c>
      <c r="AK501" s="405" t="s">
        <v>1452</v>
      </c>
      <c r="AL501" s="414" t="s">
        <v>2015</v>
      </c>
      <c r="AM501" s="405" t="s">
        <v>52</v>
      </c>
      <c r="AN501" s="405" t="s">
        <v>1071</v>
      </c>
      <c r="AO501" s="405"/>
      <c r="AP501" s="413"/>
      <c r="AQ501" s="413" t="s">
        <v>37</v>
      </c>
      <c r="AR501" s="413" t="s">
        <v>2395</v>
      </c>
      <c r="AS501" s="403" t="s">
        <v>1073</v>
      </c>
      <c r="AT501" s="386" t="s">
        <v>1073</v>
      </c>
      <c r="AU501" s="386" t="s">
        <v>1073</v>
      </c>
      <c r="AV501" s="409">
        <v>0.73</v>
      </c>
    </row>
    <row r="502" spans="1:48" s="402" customFormat="1">
      <c r="A502" s="403"/>
      <c r="B502" s="397">
        <v>44656</v>
      </c>
      <c r="C502" s="397"/>
      <c r="D502" s="432" t="s">
        <v>2330</v>
      </c>
      <c r="E502" s="379" t="s">
        <v>3600</v>
      </c>
      <c r="F502" s="432"/>
      <c r="G502" s="432"/>
      <c r="H502" s="432"/>
      <c r="I502" s="432" t="s">
        <v>2383</v>
      </c>
      <c r="J502" s="444"/>
      <c r="K502" s="432">
        <v>1174</v>
      </c>
      <c r="L502" s="432" t="s">
        <v>4577</v>
      </c>
      <c r="M502" s="433">
        <v>44655</v>
      </c>
      <c r="N502" s="433">
        <v>44866</v>
      </c>
      <c r="O502" s="433"/>
      <c r="P502" s="433"/>
      <c r="Q502" s="433"/>
      <c r="R502" s="433"/>
      <c r="S502" s="432" t="s">
        <v>2332</v>
      </c>
      <c r="T502" s="432">
        <v>60</v>
      </c>
      <c r="U502" s="432">
        <v>46222126</v>
      </c>
      <c r="V502" s="432" t="s">
        <v>4889</v>
      </c>
      <c r="W502" s="432">
        <v>330</v>
      </c>
      <c r="X502" s="436">
        <v>1</v>
      </c>
      <c r="Y502" s="408">
        <f t="shared" si="37"/>
        <v>330</v>
      </c>
      <c r="Z502" s="409">
        <v>0.55000000000000004</v>
      </c>
      <c r="AA502" s="410">
        <f t="shared" si="35"/>
        <v>181.50000000000003</v>
      </c>
      <c r="AB502" s="410"/>
      <c r="AC502" s="394">
        <v>0</v>
      </c>
      <c r="AD502" s="421"/>
      <c r="AE502" s="413"/>
      <c r="AF502" s="462">
        <f t="shared" si="36"/>
        <v>181.50000000000003</v>
      </c>
      <c r="AG502" s="405" t="s">
        <v>1069</v>
      </c>
      <c r="AH502" s="405">
        <v>100</v>
      </c>
      <c r="AI502" s="405">
        <v>0</v>
      </c>
      <c r="AJ502" s="415" t="s">
        <v>4578</v>
      </c>
      <c r="AK502" s="405" t="s">
        <v>1452</v>
      </c>
      <c r="AL502" s="414" t="s">
        <v>2015</v>
      </c>
      <c r="AM502" s="405" t="s">
        <v>52</v>
      </c>
      <c r="AN502" s="405" t="s">
        <v>1071</v>
      </c>
      <c r="AO502" s="405"/>
      <c r="AP502" s="413"/>
      <c r="AQ502" s="413" t="s">
        <v>37</v>
      </c>
      <c r="AR502" s="413" t="s">
        <v>2395</v>
      </c>
      <c r="AS502" s="403" t="s">
        <v>1073</v>
      </c>
      <c r="AT502" s="386" t="s">
        <v>1073</v>
      </c>
      <c r="AU502" s="386" t="s">
        <v>1073</v>
      </c>
      <c r="AV502" s="409">
        <v>0.73</v>
      </c>
    </row>
    <row r="503" spans="1:48" s="402" customFormat="1">
      <c r="A503" s="403"/>
      <c r="B503" s="397">
        <v>44697</v>
      </c>
      <c r="C503" s="397" t="s">
        <v>1186</v>
      </c>
      <c r="D503" s="432" t="s">
        <v>2330</v>
      </c>
      <c r="E503" s="379" t="s">
        <v>3619</v>
      </c>
      <c r="F503" s="432"/>
      <c r="G503" s="432"/>
      <c r="H503" s="432"/>
      <c r="I503" s="432" t="s">
        <v>2383</v>
      </c>
      <c r="J503" s="444"/>
      <c r="K503" s="432" t="s">
        <v>4986</v>
      </c>
      <c r="L503" s="432" t="s">
        <v>2360</v>
      </c>
      <c r="M503" s="433">
        <v>44694</v>
      </c>
      <c r="N503" s="433">
        <v>44900</v>
      </c>
      <c r="O503" s="433"/>
      <c r="P503" s="433"/>
      <c r="Q503" s="433"/>
      <c r="R503" s="433"/>
      <c r="S503" s="432" t="s">
        <v>2332</v>
      </c>
      <c r="T503" s="432">
        <v>60</v>
      </c>
      <c r="U503" s="432">
        <v>49405140</v>
      </c>
      <c r="V503" s="432" t="s">
        <v>973</v>
      </c>
      <c r="W503" s="432">
        <v>400</v>
      </c>
      <c r="X503" s="436">
        <v>5824</v>
      </c>
      <c r="Y503" s="408">
        <f t="shared" si="37"/>
        <v>2329600</v>
      </c>
      <c r="Z503" s="409">
        <v>0.64</v>
      </c>
      <c r="AA503" s="410">
        <f t="shared" si="35"/>
        <v>1490944</v>
      </c>
      <c r="AB503" s="410"/>
      <c r="AC503" s="394">
        <v>0</v>
      </c>
      <c r="AD503" s="421"/>
      <c r="AE503" s="413"/>
      <c r="AF503" s="462">
        <f t="shared" si="36"/>
        <v>1490944</v>
      </c>
      <c r="AG503" s="405" t="s">
        <v>1069</v>
      </c>
      <c r="AH503" s="405"/>
      <c r="AI503" s="405">
        <v>60</v>
      </c>
      <c r="AJ503" s="415" t="s">
        <v>2361</v>
      </c>
      <c r="AK503" s="405" t="s">
        <v>1148</v>
      </c>
      <c r="AL503" s="414" t="s">
        <v>2015</v>
      </c>
      <c r="AM503" s="405" t="s">
        <v>52</v>
      </c>
      <c r="AN503" s="405" t="s">
        <v>1101</v>
      </c>
      <c r="AO503" s="405"/>
      <c r="AP503" s="413"/>
      <c r="AQ503" s="413" t="s">
        <v>37</v>
      </c>
      <c r="AR503" s="413" t="s">
        <v>2395</v>
      </c>
      <c r="AS503" s="403" t="s">
        <v>1073</v>
      </c>
      <c r="AT503" s="386" t="s">
        <v>1073</v>
      </c>
      <c r="AU503" s="386" t="s">
        <v>1073</v>
      </c>
      <c r="AV503" s="409">
        <v>0.73</v>
      </c>
    </row>
    <row r="504" spans="1:48" s="402" customFormat="1">
      <c r="A504" s="403"/>
      <c r="B504" s="397">
        <v>44697</v>
      </c>
      <c r="C504" s="397" t="s">
        <v>1186</v>
      </c>
      <c r="D504" s="432" t="s">
        <v>2330</v>
      </c>
      <c r="E504" s="379" t="s">
        <v>3619</v>
      </c>
      <c r="F504" s="432"/>
      <c r="G504" s="432"/>
      <c r="H504" s="432"/>
      <c r="I504" s="432" t="s">
        <v>2383</v>
      </c>
      <c r="J504" s="444"/>
      <c r="K504" s="432" t="s">
        <v>4987</v>
      </c>
      <c r="L504" s="432" t="s">
        <v>2360</v>
      </c>
      <c r="M504" s="433">
        <v>44694</v>
      </c>
      <c r="N504" s="433">
        <v>44868</v>
      </c>
      <c r="O504" s="433"/>
      <c r="P504" s="433"/>
      <c r="Q504" s="433"/>
      <c r="R504" s="433"/>
      <c r="S504" s="432" t="s">
        <v>2332</v>
      </c>
      <c r="T504" s="432">
        <v>60</v>
      </c>
      <c r="U504" s="432">
        <v>49405140</v>
      </c>
      <c r="V504" s="432" t="s">
        <v>973</v>
      </c>
      <c r="W504" s="432">
        <v>400</v>
      </c>
      <c r="X504" s="436">
        <v>5824</v>
      </c>
      <c r="Y504" s="408">
        <f t="shared" si="37"/>
        <v>2329600</v>
      </c>
      <c r="Z504" s="409">
        <v>0.64</v>
      </c>
      <c r="AA504" s="410">
        <f t="shared" si="35"/>
        <v>1490944</v>
      </c>
      <c r="AB504" s="410"/>
      <c r="AC504" s="394">
        <v>0</v>
      </c>
      <c r="AD504" s="421"/>
      <c r="AE504" s="413"/>
      <c r="AF504" s="462">
        <f t="shared" si="36"/>
        <v>1490944</v>
      </c>
      <c r="AG504" s="405" t="s">
        <v>1069</v>
      </c>
      <c r="AH504" s="405"/>
      <c r="AI504" s="405">
        <v>60</v>
      </c>
      <c r="AJ504" s="415" t="s">
        <v>2361</v>
      </c>
      <c r="AK504" s="405" t="s">
        <v>1148</v>
      </c>
      <c r="AL504" s="414" t="s">
        <v>2015</v>
      </c>
      <c r="AM504" s="405" t="s">
        <v>52</v>
      </c>
      <c r="AN504" s="405" t="s">
        <v>1101</v>
      </c>
      <c r="AO504" s="405"/>
      <c r="AP504" s="413"/>
      <c r="AQ504" s="413" t="s">
        <v>37</v>
      </c>
      <c r="AR504" s="413" t="s">
        <v>2395</v>
      </c>
      <c r="AS504" s="403" t="s">
        <v>1073</v>
      </c>
      <c r="AT504" s="386" t="s">
        <v>1073</v>
      </c>
      <c r="AU504" s="386" t="s">
        <v>1073</v>
      </c>
      <c r="AV504" s="409">
        <v>0.73</v>
      </c>
    </row>
    <row r="505" spans="1:48" s="402" customFormat="1">
      <c r="A505" s="403"/>
      <c r="B505" s="397">
        <v>44697</v>
      </c>
      <c r="C505" s="397" t="s">
        <v>1186</v>
      </c>
      <c r="D505" s="432" t="s">
        <v>2330</v>
      </c>
      <c r="E505" s="379" t="s">
        <v>3619</v>
      </c>
      <c r="F505" s="432"/>
      <c r="G505" s="432"/>
      <c r="H505" s="432"/>
      <c r="I505" s="432" t="s">
        <v>2383</v>
      </c>
      <c r="J505" s="444"/>
      <c r="K505" s="432" t="s">
        <v>4988</v>
      </c>
      <c r="L505" s="432" t="s">
        <v>2360</v>
      </c>
      <c r="M505" s="433">
        <v>44694</v>
      </c>
      <c r="N505" s="433">
        <v>44837</v>
      </c>
      <c r="O505" s="433"/>
      <c r="P505" s="433"/>
      <c r="Q505" s="433"/>
      <c r="R505" s="433"/>
      <c r="S505" s="432" t="s">
        <v>2332</v>
      </c>
      <c r="T505" s="432">
        <v>60</v>
      </c>
      <c r="U505" s="432">
        <v>49405140</v>
      </c>
      <c r="V505" s="432" t="s">
        <v>973</v>
      </c>
      <c r="W505" s="432">
        <v>400</v>
      </c>
      <c r="X505" s="436">
        <v>4992</v>
      </c>
      <c r="Y505" s="408">
        <f t="shared" si="37"/>
        <v>1996800</v>
      </c>
      <c r="Z505" s="409">
        <v>0.64</v>
      </c>
      <c r="AA505" s="410">
        <f t="shared" si="35"/>
        <v>1277952</v>
      </c>
      <c r="AB505" s="410"/>
      <c r="AC505" s="394">
        <v>0</v>
      </c>
      <c r="AD505" s="421"/>
      <c r="AE505" s="413"/>
      <c r="AF505" s="462">
        <f t="shared" si="36"/>
        <v>1277952</v>
      </c>
      <c r="AG505" s="405" t="s">
        <v>1069</v>
      </c>
      <c r="AH505" s="405"/>
      <c r="AI505" s="405">
        <v>60</v>
      </c>
      <c r="AJ505" s="415" t="s">
        <v>2361</v>
      </c>
      <c r="AK505" s="405" t="s">
        <v>1148</v>
      </c>
      <c r="AL505" s="414" t="s">
        <v>2015</v>
      </c>
      <c r="AM505" s="405" t="s">
        <v>52</v>
      </c>
      <c r="AN505" s="405" t="s">
        <v>1101</v>
      </c>
      <c r="AO505" s="405"/>
      <c r="AP505" s="413"/>
      <c r="AQ505" s="413" t="s">
        <v>37</v>
      </c>
      <c r="AR505" s="413" t="s">
        <v>2395</v>
      </c>
      <c r="AS505" s="403" t="s">
        <v>1073</v>
      </c>
      <c r="AT505" s="386" t="s">
        <v>1073</v>
      </c>
      <c r="AU505" s="386" t="s">
        <v>1073</v>
      </c>
      <c r="AV505" s="409">
        <v>0.73</v>
      </c>
    </row>
    <row r="506" spans="1:48" s="402" customFormat="1">
      <c r="A506" s="426"/>
      <c r="B506" s="376">
        <v>44635</v>
      </c>
      <c r="C506" s="426"/>
      <c r="D506" s="443" t="s">
        <v>86</v>
      </c>
      <c r="E506" s="331"/>
      <c r="F506" s="432"/>
      <c r="G506" s="350">
        <v>2022</v>
      </c>
      <c r="H506" s="350" t="s">
        <v>2978</v>
      </c>
      <c r="I506" s="432" t="s">
        <v>1498</v>
      </c>
      <c r="J506" s="433"/>
      <c r="K506" s="432" t="s">
        <v>2979</v>
      </c>
      <c r="L506" s="432" t="s">
        <v>1514</v>
      </c>
      <c r="M506" s="433">
        <v>44631</v>
      </c>
      <c r="N506" s="433">
        <v>44837</v>
      </c>
      <c r="O506" s="433"/>
      <c r="P506" s="332"/>
      <c r="Q506" s="433"/>
      <c r="R506" s="433"/>
      <c r="S506" s="432" t="s">
        <v>88</v>
      </c>
      <c r="T506" s="432">
        <v>60</v>
      </c>
      <c r="U506" s="432" t="s">
        <v>1102</v>
      </c>
      <c r="V506" s="441" t="s">
        <v>986</v>
      </c>
      <c r="W506" s="432">
        <v>360</v>
      </c>
      <c r="X506" s="333">
        <v>832</v>
      </c>
      <c r="Y506" s="367">
        <f t="shared" si="37"/>
        <v>299520</v>
      </c>
      <c r="Z506" s="409">
        <f>190.8/360</f>
        <v>0.53</v>
      </c>
      <c r="AA506" s="410">
        <f t="shared" ref="AA506:AA569" si="38">Z506*Y506</f>
        <v>158745.60000000001</v>
      </c>
      <c r="AB506" s="411"/>
      <c r="AC506" s="412">
        <f t="shared" ref="AC506:AC525" si="39">AB506*Y506</f>
        <v>0</v>
      </c>
      <c r="AD506" s="405"/>
      <c r="AE506" s="405"/>
      <c r="AF506" s="424">
        <f t="shared" ref="AF506:AF569" si="40">AE506+AD506+AA506</f>
        <v>158745.60000000001</v>
      </c>
      <c r="AG506" s="405" t="s">
        <v>1069</v>
      </c>
      <c r="AH506" s="405">
        <v>100</v>
      </c>
      <c r="AI506" s="405">
        <v>0</v>
      </c>
      <c r="AJ506" s="406" t="s">
        <v>2980</v>
      </c>
      <c r="AK506" s="406" t="s">
        <v>50</v>
      </c>
      <c r="AL506" s="414">
        <v>92806</v>
      </c>
      <c r="AM506" s="405" t="s">
        <v>52</v>
      </c>
      <c r="AN506" s="361"/>
      <c r="AO506" s="405" t="s">
        <v>1073</v>
      </c>
      <c r="AP506" s="405"/>
      <c r="AQ506" s="413" t="s">
        <v>37</v>
      </c>
      <c r="AR506" s="405" t="s">
        <v>1188</v>
      </c>
      <c r="AS506" s="404"/>
      <c r="AT506" s="330"/>
      <c r="AU506" s="409">
        <f t="shared" ref="AU506:AU517" si="41">212/400</f>
        <v>0.53</v>
      </c>
    </row>
    <row r="507" spans="1:48" s="402" customFormat="1">
      <c r="A507" s="426"/>
      <c r="B507" s="376">
        <v>44635</v>
      </c>
      <c r="C507" s="426"/>
      <c r="D507" s="443" t="s">
        <v>86</v>
      </c>
      <c r="E507" s="331"/>
      <c r="F507" s="432"/>
      <c r="G507" s="350">
        <v>2022</v>
      </c>
      <c r="H507" s="350" t="s">
        <v>2978</v>
      </c>
      <c r="I507" s="432" t="s">
        <v>1498</v>
      </c>
      <c r="J507" s="433"/>
      <c r="K507" s="432" t="s">
        <v>2979</v>
      </c>
      <c r="L507" s="432" t="s">
        <v>1514</v>
      </c>
      <c r="M507" s="433">
        <v>44631</v>
      </c>
      <c r="N507" s="433">
        <v>44837</v>
      </c>
      <c r="O507" s="433"/>
      <c r="P507" s="332"/>
      <c r="Q507" s="433"/>
      <c r="R507" s="433"/>
      <c r="S507" s="432" t="s">
        <v>88</v>
      </c>
      <c r="T507" s="432">
        <v>60</v>
      </c>
      <c r="U507" s="432" t="s">
        <v>1102</v>
      </c>
      <c r="V507" s="441" t="s">
        <v>973</v>
      </c>
      <c r="W507" s="432">
        <v>400</v>
      </c>
      <c r="X507" s="333">
        <v>1536</v>
      </c>
      <c r="Y507" s="367">
        <f t="shared" si="37"/>
        <v>614400</v>
      </c>
      <c r="Z507" s="409">
        <f>220/400</f>
        <v>0.55000000000000004</v>
      </c>
      <c r="AA507" s="410">
        <f t="shared" si="38"/>
        <v>337920</v>
      </c>
      <c r="AB507" s="411"/>
      <c r="AC507" s="412">
        <f t="shared" si="39"/>
        <v>0</v>
      </c>
      <c r="AD507" s="405"/>
      <c r="AE507" s="405"/>
      <c r="AF507" s="424">
        <f t="shared" si="40"/>
        <v>337920</v>
      </c>
      <c r="AG507" s="405" t="s">
        <v>1069</v>
      </c>
      <c r="AH507" s="405">
        <v>100</v>
      </c>
      <c r="AI507" s="405">
        <v>0</v>
      </c>
      <c r="AJ507" s="406" t="s">
        <v>2980</v>
      </c>
      <c r="AK507" s="406" t="s">
        <v>50</v>
      </c>
      <c r="AL507" s="414">
        <v>92806</v>
      </c>
      <c r="AM507" s="405" t="s">
        <v>52</v>
      </c>
      <c r="AN507" s="361"/>
      <c r="AO507" s="405" t="s">
        <v>1073</v>
      </c>
      <c r="AP507" s="405"/>
      <c r="AQ507" s="413" t="s">
        <v>37</v>
      </c>
      <c r="AR507" s="405" t="s">
        <v>1188</v>
      </c>
      <c r="AS507" s="404"/>
      <c r="AT507" s="330"/>
      <c r="AU507" s="409">
        <f t="shared" si="41"/>
        <v>0.53</v>
      </c>
    </row>
    <row r="508" spans="1:48" s="402" customFormat="1">
      <c r="A508" s="426"/>
      <c r="B508" s="376">
        <v>44635</v>
      </c>
      <c r="C508" s="426"/>
      <c r="D508" s="443" t="s">
        <v>86</v>
      </c>
      <c r="E508" s="331"/>
      <c r="F508" s="432"/>
      <c r="G508" s="350">
        <v>2022</v>
      </c>
      <c r="H508" s="350" t="s">
        <v>2978</v>
      </c>
      <c r="I508" s="432" t="s">
        <v>1498</v>
      </c>
      <c r="J508" s="433"/>
      <c r="K508" s="432" t="s">
        <v>2981</v>
      </c>
      <c r="L508" s="432" t="s">
        <v>1514</v>
      </c>
      <c r="M508" s="433">
        <v>44631</v>
      </c>
      <c r="N508" s="433">
        <v>44867</v>
      </c>
      <c r="O508" s="433"/>
      <c r="P508" s="332"/>
      <c r="Q508" s="433"/>
      <c r="R508" s="433"/>
      <c r="S508" s="432" t="s">
        <v>88</v>
      </c>
      <c r="T508" s="432">
        <v>60</v>
      </c>
      <c r="U508" s="432" t="s">
        <v>1102</v>
      </c>
      <c r="V508" s="441" t="s">
        <v>986</v>
      </c>
      <c r="W508" s="432">
        <v>360</v>
      </c>
      <c r="X508" s="333">
        <v>832</v>
      </c>
      <c r="Y508" s="367">
        <f t="shared" si="37"/>
        <v>299520</v>
      </c>
      <c r="Z508" s="409">
        <f>190.8/360</f>
        <v>0.53</v>
      </c>
      <c r="AA508" s="410">
        <f t="shared" si="38"/>
        <v>158745.60000000001</v>
      </c>
      <c r="AB508" s="411"/>
      <c r="AC508" s="412">
        <f t="shared" si="39"/>
        <v>0</v>
      </c>
      <c r="AD508" s="405"/>
      <c r="AE508" s="405"/>
      <c r="AF508" s="424">
        <f t="shared" si="40"/>
        <v>158745.60000000001</v>
      </c>
      <c r="AG508" s="405" t="s">
        <v>1069</v>
      </c>
      <c r="AH508" s="405">
        <v>100</v>
      </c>
      <c r="AI508" s="405">
        <v>0</v>
      </c>
      <c r="AJ508" s="406" t="s">
        <v>2980</v>
      </c>
      <c r="AK508" s="406" t="s">
        <v>50</v>
      </c>
      <c r="AL508" s="414">
        <v>92806</v>
      </c>
      <c r="AM508" s="405" t="s">
        <v>52</v>
      </c>
      <c r="AN508" s="361"/>
      <c r="AO508" s="405" t="s">
        <v>1073</v>
      </c>
      <c r="AP508" s="405"/>
      <c r="AQ508" s="413" t="s">
        <v>37</v>
      </c>
      <c r="AR508" s="405" t="s">
        <v>1188</v>
      </c>
      <c r="AS508" s="404"/>
      <c r="AT508" s="330"/>
      <c r="AU508" s="409">
        <f t="shared" si="41"/>
        <v>0.53</v>
      </c>
    </row>
    <row r="509" spans="1:48" s="402" customFormat="1">
      <c r="A509" s="426"/>
      <c r="B509" s="376">
        <v>44635</v>
      </c>
      <c r="C509" s="426"/>
      <c r="D509" s="443" t="s">
        <v>86</v>
      </c>
      <c r="E509" s="331"/>
      <c r="F509" s="432"/>
      <c r="G509" s="350">
        <v>2022</v>
      </c>
      <c r="H509" s="350" t="s">
        <v>2978</v>
      </c>
      <c r="I509" s="432" t="s">
        <v>1498</v>
      </c>
      <c r="J509" s="433"/>
      <c r="K509" s="432" t="s">
        <v>2981</v>
      </c>
      <c r="L509" s="432" t="s">
        <v>1514</v>
      </c>
      <c r="M509" s="433">
        <v>44631</v>
      </c>
      <c r="N509" s="433">
        <v>44867</v>
      </c>
      <c r="O509" s="433"/>
      <c r="P509" s="332"/>
      <c r="Q509" s="433"/>
      <c r="R509" s="433"/>
      <c r="S509" s="432" t="s">
        <v>88</v>
      </c>
      <c r="T509" s="432">
        <v>60</v>
      </c>
      <c r="U509" s="432" t="s">
        <v>1102</v>
      </c>
      <c r="V509" s="441" t="s">
        <v>973</v>
      </c>
      <c r="W509" s="432">
        <v>400</v>
      </c>
      <c r="X509" s="333">
        <v>1536</v>
      </c>
      <c r="Y509" s="367">
        <f t="shared" si="37"/>
        <v>614400</v>
      </c>
      <c r="Z509" s="409">
        <f>220/400</f>
        <v>0.55000000000000004</v>
      </c>
      <c r="AA509" s="410">
        <f t="shared" si="38"/>
        <v>337920</v>
      </c>
      <c r="AB509" s="411"/>
      <c r="AC509" s="412">
        <f t="shared" si="39"/>
        <v>0</v>
      </c>
      <c r="AD509" s="405"/>
      <c r="AE509" s="405"/>
      <c r="AF509" s="424">
        <f t="shared" si="40"/>
        <v>337920</v>
      </c>
      <c r="AG509" s="405" t="s">
        <v>1069</v>
      </c>
      <c r="AH509" s="405">
        <v>100</v>
      </c>
      <c r="AI509" s="405">
        <v>0</v>
      </c>
      <c r="AJ509" s="406" t="s">
        <v>2980</v>
      </c>
      <c r="AK509" s="406" t="s">
        <v>50</v>
      </c>
      <c r="AL509" s="414">
        <v>92806</v>
      </c>
      <c r="AM509" s="405" t="s">
        <v>52</v>
      </c>
      <c r="AN509" s="361"/>
      <c r="AO509" s="405" t="s">
        <v>1073</v>
      </c>
      <c r="AP509" s="405"/>
      <c r="AQ509" s="413" t="s">
        <v>37</v>
      </c>
      <c r="AR509" s="405" t="s">
        <v>1188</v>
      </c>
      <c r="AS509" s="404"/>
      <c r="AT509" s="330"/>
      <c r="AU509" s="409">
        <f t="shared" si="41"/>
        <v>0.53</v>
      </c>
    </row>
    <row r="510" spans="1:48" s="402" customFormat="1">
      <c r="A510" s="426"/>
      <c r="B510" s="376">
        <v>44635</v>
      </c>
      <c r="C510" s="426"/>
      <c r="D510" s="443" t="s">
        <v>86</v>
      </c>
      <c r="E510" s="331"/>
      <c r="F510" s="432"/>
      <c r="G510" s="350">
        <v>2022</v>
      </c>
      <c r="H510" s="350" t="s">
        <v>2978</v>
      </c>
      <c r="I510" s="432" t="s">
        <v>1498</v>
      </c>
      <c r="J510" s="433"/>
      <c r="K510" s="432" t="s">
        <v>2982</v>
      </c>
      <c r="L510" s="432" t="s">
        <v>1514</v>
      </c>
      <c r="M510" s="433">
        <v>44631</v>
      </c>
      <c r="N510" s="433">
        <v>44896</v>
      </c>
      <c r="O510" s="433"/>
      <c r="P510" s="332"/>
      <c r="Q510" s="433"/>
      <c r="R510" s="433"/>
      <c r="S510" s="432" t="s">
        <v>88</v>
      </c>
      <c r="T510" s="432">
        <v>60</v>
      </c>
      <c r="U510" s="432" t="s">
        <v>1102</v>
      </c>
      <c r="V510" s="441" t="s">
        <v>986</v>
      </c>
      <c r="W510" s="432">
        <v>360</v>
      </c>
      <c r="X510" s="333">
        <v>832</v>
      </c>
      <c r="Y510" s="367">
        <f t="shared" si="37"/>
        <v>299520</v>
      </c>
      <c r="Z510" s="409">
        <f>190.8/360</f>
        <v>0.53</v>
      </c>
      <c r="AA510" s="410">
        <f t="shared" si="38"/>
        <v>158745.60000000001</v>
      </c>
      <c r="AB510" s="411"/>
      <c r="AC510" s="412">
        <f t="shared" si="39"/>
        <v>0</v>
      </c>
      <c r="AD510" s="405"/>
      <c r="AE510" s="405"/>
      <c r="AF510" s="424">
        <f t="shared" si="40"/>
        <v>158745.60000000001</v>
      </c>
      <c r="AG510" s="405" t="s">
        <v>1069</v>
      </c>
      <c r="AH510" s="405">
        <v>100</v>
      </c>
      <c r="AI510" s="405">
        <v>0</v>
      </c>
      <c r="AJ510" s="406" t="s">
        <v>2980</v>
      </c>
      <c r="AK510" s="406" t="s">
        <v>50</v>
      </c>
      <c r="AL510" s="414">
        <v>92806</v>
      </c>
      <c r="AM510" s="405" t="s">
        <v>52</v>
      </c>
      <c r="AN510" s="361"/>
      <c r="AO510" s="405" t="s">
        <v>1073</v>
      </c>
      <c r="AP510" s="405"/>
      <c r="AQ510" s="413" t="s">
        <v>37</v>
      </c>
      <c r="AR510" s="405" t="s">
        <v>1188</v>
      </c>
      <c r="AS510" s="404"/>
      <c r="AT510" s="330"/>
      <c r="AU510" s="409">
        <f t="shared" si="41"/>
        <v>0.53</v>
      </c>
    </row>
    <row r="511" spans="1:48" s="402" customFormat="1">
      <c r="A511" s="426"/>
      <c r="B511" s="376">
        <v>44635</v>
      </c>
      <c r="C511" s="426"/>
      <c r="D511" s="443" t="s">
        <v>86</v>
      </c>
      <c r="E511" s="331"/>
      <c r="F511" s="432"/>
      <c r="G511" s="350">
        <v>2022</v>
      </c>
      <c r="H511" s="350" t="s">
        <v>2978</v>
      </c>
      <c r="I511" s="432" t="s">
        <v>1498</v>
      </c>
      <c r="J511" s="433"/>
      <c r="K511" s="432" t="s">
        <v>2982</v>
      </c>
      <c r="L511" s="432" t="s">
        <v>1514</v>
      </c>
      <c r="M511" s="433">
        <v>44631</v>
      </c>
      <c r="N511" s="433">
        <v>44896</v>
      </c>
      <c r="O511" s="433"/>
      <c r="P511" s="332"/>
      <c r="Q511" s="433"/>
      <c r="R511" s="433"/>
      <c r="S511" s="432" t="s">
        <v>88</v>
      </c>
      <c r="T511" s="432">
        <v>60</v>
      </c>
      <c r="U511" s="432" t="s">
        <v>1102</v>
      </c>
      <c r="V511" s="441" t="s">
        <v>973</v>
      </c>
      <c r="W511" s="432">
        <v>400</v>
      </c>
      <c r="X511" s="333">
        <v>1536</v>
      </c>
      <c r="Y511" s="367">
        <f t="shared" si="37"/>
        <v>614400</v>
      </c>
      <c r="Z511" s="409">
        <f>220/400</f>
        <v>0.55000000000000004</v>
      </c>
      <c r="AA511" s="410">
        <f t="shared" si="38"/>
        <v>337920</v>
      </c>
      <c r="AB511" s="411"/>
      <c r="AC511" s="412">
        <f t="shared" si="39"/>
        <v>0</v>
      </c>
      <c r="AD511" s="405"/>
      <c r="AE511" s="405"/>
      <c r="AF511" s="424">
        <f t="shared" si="40"/>
        <v>337920</v>
      </c>
      <c r="AG511" s="405" t="s">
        <v>1069</v>
      </c>
      <c r="AH511" s="405">
        <v>100</v>
      </c>
      <c r="AI511" s="405">
        <v>0</v>
      </c>
      <c r="AJ511" s="406" t="s">
        <v>2980</v>
      </c>
      <c r="AK511" s="406" t="s">
        <v>50</v>
      </c>
      <c r="AL511" s="414">
        <v>92806</v>
      </c>
      <c r="AM511" s="405" t="s">
        <v>52</v>
      </c>
      <c r="AN511" s="361"/>
      <c r="AO511" s="405" t="s">
        <v>1073</v>
      </c>
      <c r="AP511" s="405"/>
      <c r="AQ511" s="413" t="s">
        <v>37</v>
      </c>
      <c r="AR511" s="405" t="s">
        <v>1188</v>
      </c>
      <c r="AS511" s="404"/>
      <c r="AT511" s="330"/>
      <c r="AU511" s="409">
        <f t="shared" si="41"/>
        <v>0.53</v>
      </c>
    </row>
    <row r="512" spans="1:48" s="402" customFormat="1">
      <c r="A512" s="426"/>
      <c r="B512" s="376">
        <v>44635</v>
      </c>
      <c r="C512" s="426"/>
      <c r="D512" s="443" t="s">
        <v>86</v>
      </c>
      <c r="E512" s="331"/>
      <c r="F512" s="432"/>
      <c r="G512" s="350">
        <v>2022</v>
      </c>
      <c r="H512" s="350" t="s">
        <v>2978</v>
      </c>
      <c r="I512" s="432" t="s">
        <v>1498</v>
      </c>
      <c r="J512" s="433"/>
      <c r="K512" s="432" t="s">
        <v>2983</v>
      </c>
      <c r="L512" s="432" t="s">
        <v>1514</v>
      </c>
      <c r="M512" s="433">
        <v>44631</v>
      </c>
      <c r="N512" s="433">
        <v>44747</v>
      </c>
      <c r="O512" s="433"/>
      <c r="P512" s="332"/>
      <c r="Q512" s="433"/>
      <c r="R512" s="433"/>
      <c r="S512" s="432" t="s">
        <v>88</v>
      </c>
      <c r="T512" s="432">
        <v>60</v>
      </c>
      <c r="U512" s="432" t="s">
        <v>1102</v>
      </c>
      <c r="V512" s="441" t="s">
        <v>986</v>
      </c>
      <c r="W512" s="432">
        <v>360</v>
      </c>
      <c r="X512" s="333">
        <v>832</v>
      </c>
      <c r="Y512" s="367">
        <f t="shared" si="37"/>
        <v>299520</v>
      </c>
      <c r="Z512" s="409">
        <f>190.8/360</f>
        <v>0.53</v>
      </c>
      <c r="AA512" s="410">
        <f t="shared" si="38"/>
        <v>158745.60000000001</v>
      </c>
      <c r="AB512" s="411"/>
      <c r="AC512" s="412">
        <f t="shared" si="39"/>
        <v>0</v>
      </c>
      <c r="AD512" s="405"/>
      <c r="AE512" s="405"/>
      <c r="AF512" s="424">
        <f t="shared" si="40"/>
        <v>158745.60000000001</v>
      </c>
      <c r="AG512" s="405" t="s">
        <v>1069</v>
      </c>
      <c r="AH512" s="405">
        <v>100</v>
      </c>
      <c r="AI512" s="405">
        <v>0</v>
      </c>
      <c r="AJ512" s="406" t="s">
        <v>2980</v>
      </c>
      <c r="AK512" s="406" t="s">
        <v>50</v>
      </c>
      <c r="AL512" s="414">
        <v>92806</v>
      </c>
      <c r="AM512" s="405" t="s">
        <v>52</v>
      </c>
      <c r="AN512" s="361"/>
      <c r="AO512" s="405" t="s">
        <v>1073</v>
      </c>
      <c r="AP512" s="405"/>
      <c r="AQ512" s="413" t="s">
        <v>37</v>
      </c>
      <c r="AR512" s="405" t="s">
        <v>1188</v>
      </c>
      <c r="AS512" s="404"/>
      <c r="AT512" s="330"/>
      <c r="AU512" s="409">
        <f t="shared" si="41"/>
        <v>0.53</v>
      </c>
    </row>
    <row r="513" spans="1:47" s="402" customFormat="1">
      <c r="A513" s="426"/>
      <c r="B513" s="376">
        <v>44635</v>
      </c>
      <c r="C513" s="426"/>
      <c r="D513" s="443" t="s">
        <v>86</v>
      </c>
      <c r="E513" s="331"/>
      <c r="F513" s="432"/>
      <c r="G513" s="350">
        <v>2022</v>
      </c>
      <c r="H513" s="350" t="s">
        <v>2978</v>
      </c>
      <c r="I513" s="432" t="s">
        <v>1498</v>
      </c>
      <c r="J513" s="433"/>
      <c r="K513" s="432" t="s">
        <v>2983</v>
      </c>
      <c r="L513" s="432" t="s">
        <v>1514</v>
      </c>
      <c r="M513" s="433">
        <v>44631</v>
      </c>
      <c r="N513" s="433">
        <v>44747</v>
      </c>
      <c r="O513" s="433"/>
      <c r="P513" s="332"/>
      <c r="Q513" s="433"/>
      <c r="R513" s="433"/>
      <c r="S513" s="432" t="s">
        <v>88</v>
      </c>
      <c r="T513" s="432">
        <v>60</v>
      </c>
      <c r="U513" s="432" t="s">
        <v>1102</v>
      </c>
      <c r="V513" s="441" t="s">
        <v>973</v>
      </c>
      <c r="W513" s="432">
        <v>400</v>
      </c>
      <c r="X513" s="333">
        <v>1536</v>
      </c>
      <c r="Y513" s="367">
        <f t="shared" si="37"/>
        <v>614400</v>
      </c>
      <c r="Z513" s="409">
        <f>220/400</f>
        <v>0.55000000000000004</v>
      </c>
      <c r="AA513" s="410">
        <f t="shared" si="38"/>
        <v>337920</v>
      </c>
      <c r="AB513" s="411"/>
      <c r="AC513" s="412">
        <f t="shared" si="39"/>
        <v>0</v>
      </c>
      <c r="AD513" s="405"/>
      <c r="AE513" s="405"/>
      <c r="AF513" s="424">
        <f t="shared" si="40"/>
        <v>337920</v>
      </c>
      <c r="AG513" s="405" t="s">
        <v>1069</v>
      </c>
      <c r="AH513" s="405">
        <v>100</v>
      </c>
      <c r="AI513" s="405">
        <v>0</v>
      </c>
      <c r="AJ513" s="406" t="s">
        <v>2980</v>
      </c>
      <c r="AK513" s="406" t="s">
        <v>50</v>
      </c>
      <c r="AL513" s="414">
        <v>92806</v>
      </c>
      <c r="AM513" s="405" t="s">
        <v>52</v>
      </c>
      <c r="AN513" s="361"/>
      <c r="AO513" s="405" t="s">
        <v>1073</v>
      </c>
      <c r="AP513" s="405"/>
      <c r="AQ513" s="413" t="s">
        <v>37</v>
      </c>
      <c r="AR513" s="405" t="s">
        <v>1188</v>
      </c>
      <c r="AS513" s="404"/>
      <c r="AT513" s="330"/>
      <c r="AU513" s="409">
        <f t="shared" si="41"/>
        <v>0.53</v>
      </c>
    </row>
    <row r="514" spans="1:47" s="402" customFormat="1">
      <c r="A514" s="426"/>
      <c r="B514" s="376">
        <v>44635</v>
      </c>
      <c r="C514" s="426"/>
      <c r="D514" s="443" t="s">
        <v>86</v>
      </c>
      <c r="E514" s="331"/>
      <c r="F514" s="432"/>
      <c r="G514" s="350">
        <v>2022</v>
      </c>
      <c r="H514" s="350" t="s">
        <v>2978</v>
      </c>
      <c r="I514" s="432" t="s">
        <v>1498</v>
      </c>
      <c r="J514" s="433"/>
      <c r="K514" s="432" t="s">
        <v>2984</v>
      </c>
      <c r="L514" s="432" t="s">
        <v>1514</v>
      </c>
      <c r="M514" s="433">
        <v>44631</v>
      </c>
      <c r="N514" s="433">
        <v>44774</v>
      </c>
      <c r="O514" s="433"/>
      <c r="P514" s="332"/>
      <c r="Q514" s="433"/>
      <c r="R514" s="433"/>
      <c r="S514" s="432" t="s">
        <v>88</v>
      </c>
      <c r="T514" s="432">
        <v>60</v>
      </c>
      <c r="U514" s="432" t="s">
        <v>1102</v>
      </c>
      <c r="V514" s="441" t="s">
        <v>986</v>
      </c>
      <c r="W514" s="432">
        <v>360</v>
      </c>
      <c r="X514" s="333">
        <v>832</v>
      </c>
      <c r="Y514" s="367">
        <f t="shared" ref="Y514:Y533" si="42">W514*X514</f>
        <v>299520</v>
      </c>
      <c r="Z514" s="409">
        <f>190.8/360</f>
        <v>0.53</v>
      </c>
      <c r="AA514" s="410">
        <f t="shared" si="38"/>
        <v>158745.60000000001</v>
      </c>
      <c r="AB514" s="411"/>
      <c r="AC514" s="412">
        <f t="shared" si="39"/>
        <v>0</v>
      </c>
      <c r="AD514" s="405"/>
      <c r="AE514" s="405"/>
      <c r="AF514" s="424">
        <f t="shared" si="40"/>
        <v>158745.60000000001</v>
      </c>
      <c r="AG514" s="405" t="s">
        <v>1069</v>
      </c>
      <c r="AH514" s="405">
        <v>100</v>
      </c>
      <c r="AI514" s="405">
        <v>0</v>
      </c>
      <c r="AJ514" s="406" t="s">
        <v>2980</v>
      </c>
      <c r="AK514" s="406" t="s">
        <v>50</v>
      </c>
      <c r="AL514" s="414">
        <v>92806</v>
      </c>
      <c r="AM514" s="405" t="s">
        <v>52</v>
      </c>
      <c r="AN514" s="361"/>
      <c r="AO514" s="405" t="s">
        <v>1073</v>
      </c>
      <c r="AP514" s="405"/>
      <c r="AQ514" s="413" t="s">
        <v>37</v>
      </c>
      <c r="AR514" s="405" t="s">
        <v>1188</v>
      </c>
      <c r="AS514" s="404"/>
      <c r="AT514" s="330"/>
      <c r="AU514" s="409">
        <f t="shared" si="41"/>
        <v>0.53</v>
      </c>
    </row>
    <row r="515" spans="1:47" s="402" customFormat="1">
      <c r="A515" s="426"/>
      <c r="B515" s="376">
        <v>44635</v>
      </c>
      <c r="C515" s="426"/>
      <c r="D515" s="443" t="s">
        <v>86</v>
      </c>
      <c r="E515" s="331"/>
      <c r="F515" s="432"/>
      <c r="G515" s="350">
        <v>2022</v>
      </c>
      <c r="H515" s="350" t="s">
        <v>2978</v>
      </c>
      <c r="I515" s="432" t="s">
        <v>1498</v>
      </c>
      <c r="J515" s="433"/>
      <c r="K515" s="432" t="s">
        <v>2984</v>
      </c>
      <c r="L515" s="432" t="s">
        <v>1514</v>
      </c>
      <c r="M515" s="433">
        <v>44631</v>
      </c>
      <c r="N515" s="433">
        <v>44774</v>
      </c>
      <c r="O515" s="433"/>
      <c r="P515" s="332"/>
      <c r="Q515" s="433"/>
      <c r="R515" s="433"/>
      <c r="S515" s="432" t="s">
        <v>88</v>
      </c>
      <c r="T515" s="432">
        <v>60</v>
      </c>
      <c r="U515" s="432" t="s">
        <v>1102</v>
      </c>
      <c r="V515" s="441" t="s">
        <v>973</v>
      </c>
      <c r="W515" s="432">
        <v>400</v>
      </c>
      <c r="X515" s="333">
        <v>1536</v>
      </c>
      <c r="Y515" s="367">
        <f t="shared" si="42"/>
        <v>614400</v>
      </c>
      <c r="Z515" s="409">
        <f>220/400</f>
        <v>0.55000000000000004</v>
      </c>
      <c r="AA515" s="410">
        <f t="shared" si="38"/>
        <v>337920</v>
      </c>
      <c r="AB515" s="411"/>
      <c r="AC515" s="412">
        <f t="shared" si="39"/>
        <v>0</v>
      </c>
      <c r="AD515" s="405"/>
      <c r="AE515" s="405"/>
      <c r="AF515" s="424">
        <f t="shared" si="40"/>
        <v>337920</v>
      </c>
      <c r="AG515" s="405" t="s">
        <v>1069</v>
      </c>
      <c r="AH515" s="405">
        <v>100</v>
      </c>
      <c r="AI515" s="405">
        <v>0</v>
      </c>
      <c r="AJ515" s="406" t="s">
        <v>2980</v>
      </c>
      <c r="AK515" s="406" t="s">
        <v>50</v>
      </c>
      <c r="AL515" s="414">
        <v>92806</v>
      </c>
      <c r="AM515" s="405" t="s">
        <v>52</v>
      </c>
      <c r="AN515" s="361"/>
      <c r="AO515" s="405" t="s">
        <v>1073</v>
      </c>
      <c r="AP515" s="405"/>
      <c r="AQ515" s="413" t="s">
        <v>37</v>
      </c>
      <c r="AR515" s="405" t="s">
        <v>1188</v>
      </c>
      <c r="AS515" s="404"/>
      <c r="AT515" s="330"/>
      <c r="AU515" s="409">
        <f t="shared" si="41"/>
        <v>0.53</v>
      </c>
    </row>
    <row r="516" spans="1:47" s="402" customFormat="1">
      <c r="A516" s="426"/>
      <c r="B516" s="376">
        <v>44635</v>
      </c>
      <c r="C516" s="426"/>
      <c r="D516" s="443" t="s">
        <v>86</v>
      </c>
      <c r="E516" s="331"/>
      <c r="F516" s="432"/>
      <c r="G516" s="350">
        <v>2022</v>
      </c>
      <c r="H516" s="350" t="s">
        <v>2978</v>
      </c>
      <c r="I516" s="432" t="s">
        <v>1498</v>
      </c>
      <c r="J516" s="433"/>
      <c r="K516" s="432" t="s">
        <v>2985</v>
      </c>
      <c r="L516" s="432" t="s">
        <v>1514</v>
      </c>
      <c r="M516" s="433">
        <v>44631</v>
      </c>
      <c r="N516" s="433">
        <v>44809</v>
      </c>
      <c r="O516" s="433"/>
      <c r="P516" s="332"/>
      <c r="Q516" s="433"/>
      <c r="R516" s="433"/>
      <c r="S516" s="432" t="s">
        <v>88</v>
      </c>
      <c r="T516" s="432">
        <v>60</v>
      </c>
      <c r="U516" s="432" t="s">
        <v>1102</v>
      </c>
      <c r="V516" s="441" t="s">
        <v>986</v>
      </c>
      <c r="W516" s="432">
        <v>360</v>
      </c>
      <c r="X516" s="333">
        <v>832</v>
      </c>
      <c r="Y516" s="367">
        <f t="shared" si="42"/>
        <v>299520</v>
      </c>
      <c r="Z516" s="409">
        <f>190.8/360</f>
        <v>0.53</v>
      </c>
      <c r="AA516" s="410">
        <f t="shared" si="38"/>
        <v>158745.60000000001</v>
      </c>
      <c r="AB516" s="411"/>
      <c r="AC516" s="412">
        <f t="shared" si="39"/>
        <v>0</v>
      </c>
      <c r="AD516" s="405"/>
      <c r="AE516" s="405"/>
      <c r="AF516" s="424">
        <f t="shared" si="40"/>
        <v>158745.60000000001</v>
      </c>
      <c r="AG516" s="405" t="s">
        <v>1069</v>
      </c>
      <c r="AH516" s="405">
        <v>100</v>
      </c>
      <c r="AI516" s="405">
        <v>0</v>
      </c>
      <c r="AJ516" s="406" t="s">
        <v>2980</v>
      </c>
      <c r="AK516" s="406" t="s">
        <v>50</v>
      </c>
      <c r="AL516" s="414">
        <v>92806</v>
      </c>
      <c r="AM516" s="405" t="s">
        <v>52</v>
      </c>
      <c r="AN516" s="361"/>
      <c r="AO516" s="405" t="s">
        <v>1073</v>
      </c>
      <c r="AP516" s="405"/>
      <c r="AQ516" s="413" t="s">
        <v>37</v>
      </c>
      <c r="AR516" s="405" t="s">
        <v>1188</v>
      </c>
      <c r="AS516" s="404"/>
      <c r="AT516" s="330"/>
      <c r="AU516" s="409">
        <f t="shared" si="41"/>
        <v>0.53</v>
      </c>
    </row>
    <row r="517" spans="1:47" s="402" customFormat="1">
      <c r="A517" s="426"/>
      <c r="B517" s="376">
        <v>44635</v>
      </c>
      <c r="C517" s="426"/>
      <c r="D517" s="443" t="s">
        <v>86</v>
      </c>
      <c r="E517" s="331"/>
      <c r="F517" s="432"/>
      <c r="G517" s="350">
        <v>2022</v>
      </c>
      <c r="H517" s="350" t="s">
        <v>2978</v>
      </c>
      <c r="I517" s="432" t="s">
        <v>1498</v>
      </c>
      <c r="J517" s="433"/>
      <c r="K517" s="432" t="s">
        <v>2985</v>
      </c>
      <c r="L517" s="432" t="s">
        <v>1514</v>
      </c>
      <c r="M517" s="433">
        <v>44631</v>
      </c>
      <c r="N517" s="433">
        <v>44809</v>
      </c>
      <c r="O517" s="433"/>
      <c r="P517" s="332"/>
      <c r="Q517" s="433"/>
      <c r="R517" s="433"/>
      <c r="S517" s="432" t="s">
        <v>88</v>
      </c>
      <c r="T517" s="432">
        <v>60</v>
      </c>
      <c r="U517" s="432" t="s">
        <v>1102</v>
      </c>
      <c r="V517" s="441" t="s">
        <v>973</v>
      </c>
      <c r="W517" s="432">
        <v>400</v>
      </c>
      <c r="X517" s="333">
        <v>1536</v>
      </c>
      <c r="Y517" s="367">
        <f t="shared" si="42"/>
        <v>614400</v>
      </c>
      <c r="Z517" s="409">
        <f>220/400</f>
        <v>0.55000000000000004</v>
      </c>
      <c r="AA517" s="410">
        <f t="shared" si="38"/>
        <v>337920</v>
      </c>
      <c r="AB517" s="411"/>
      <c r="AC517" s="412">
        <f t="shared" si="39"/>
        <v>0</v>
      </c>
      <c r="AD517" s="405"/>
      <c r="AE517" s="405"/>
      <c r="AF517" s="424">
        <f t="shared" si="40"/>
        <v>337920</v>
      </c>
      <c r="AG517" s="405" t="s">
        <v>1069</v>
      </c>
      <c r="AH517" s="405">
        <v>100</v>
      </c>
      <c r="AI517" s="405">
        <v>0</v>
      </c>
      <c r="AJ517" s="406" t="s">
        <v>2980</v>
      </c>
      <c r="AK517" s="406" t="s">
        <v>50</v>
      </c>
      <c r="AL517" s="414">
        <v>92806</v>
      </c>
      <c r="AM517" s="405" t="s">
        <v>52</v>
      </c>
      <c r="AN517" s="361"/>
      <c r="AO517" s="405" t="s">
        <v>1073</v>
      </c>
      <c r="AP517" s="405"/>
      <c r="AQ517" s="413" t="s">
        <v>37</v>
      </c>
      <c r="AR517" s="405" t="s">
        <v>1188</v>
      </c>
      <c r="AS517" s="404"/>
      <c r="AT517" s="330"/>
      <c r="AU517" s="409">
        <f t="shared" si="41"/>
        <v>0.53</v>
      </c>
    </row>
    <row r="518" spans="1:47" s="402" customFormat="1">
      <c r="A518" s="426"/>
      <c r="B518" s="376"/>
      <c r="C518" s="426"/>
      <c r="D518" s="443" t="s">
        <v>86</v>
      </c>
      <c r="E518" s="331"/>
      <c r="F518" s="432"/>
      <c r="G518" s="350">
        <v>2022</v>
      </c>
      <c r="H518" s="350" t="s">
        <v>2383</v>
      </c>
      <c r="I518" s="432" t="s">
        <v>1498</v>
      </c>
      <c r="J518" s="433"/>
      <c r="K518" s="432" t="s">
        <v>2986</v>
      </c>
      <c r="L518" s="432" t="s">
        <v>1572</v>
      </c>
      <c r="M518" s="433">
        <v>44571</v>
      </c>
      <c r="N518" s="433">
        <v>44713</v>
      </c>
      <c r="O518" s="433"/>
      <c r="P518" s="332"/>
      <c r="Q518" s="433"/>
      <c r="R518" s="433"/>
      <c r="S518" s="432" t="s">
        <v>88</v>
      </c>
      <c r="T518" s="432">
        <v>60</v>
      </c>
      <c r="U518" s="432"/>
      <c r="V518" s="441" t="s">
        <v>1557</v>
      </c>
      <c r="W518" s="432">
        <v>360</v>
      </c>
      <c r="X518" s="333">
        <v>832</v>
      </c>
      <c r="Y518" s="367">
        <f t="shared" si="42"/>
        <v>299520</v>
      </c>
      <c r="Z518" s="409">
        <f t="shared" ref="Z518:Z519" si="43">190.8/360</f>
        <v>0.53</v>
      </c>
      <c r="AA518" s="410">
        <f t="shared" si="38"/>
        <v>158745.60000000001</v>
      </c>
      <c r="AB518" s="411"/>
      <c r="AC518" s="412">
        <f t="shared" si="39"/>
        <v>0</v>
      </c>
      <c r="AD518" s="405"/>
      <c r="AE518" s="405"/>
      <c r="AF518" s="424">
        <f t="shared" si="40"/>
        <v>158745.60000000001</v>
      </c>
      <c r="AG518" s="405" t="s">
        <v>1069</v>
      </c>
      <c r="AH518" s="405"/>
      <c r="AI518" s="405">
        <v>60</v>
      </c>
      <c r="AJ518" s="406" t="s">
        <v>1573</v>
      </c>
      <c r="AK518" s="406" t="s">
        <v>50</v>
      </c>
      <c r="AL518" s="414" t="s">
        <v>1529</v>
      </c>
      <c r="AM518" s="405" t="s">
        <v>52</v>
      </c>
      <c r="AN518" s="361"/>
      <c r="AO518" s="405"/>
      <c r="AP518" s="405"/>
      <c r="AQ518" s="413"/>
      <c r="AR518" s="405"/>
      <c r="AS518" s="404" t="s">
        <v>1072</v>
      </c>
      <c r="AT518" s="330"/>
      <c r="AU518" s="409">
        <f>183.6/360</f>
        <v>0.51</v>
      </c>
    </row>
    <row r="519" spans="1:47" s="402" customFormat="1">
      <c r="A519" s="426"/>
      <c r="B519" s="376"/>
      <c r="C519" s="426"/>
      <c r="D519" s="443" t="s">
        <v>86</v>
      </c>
      <c r="E519" s="331"/>
      <c r="F519" s="432"/>
      <c r="G519" s="350">
        <v>2022</v>
      </c>
      <c r="H519" s="350" t="s">
        <v>2383</v>
      </c>
      <c r="I519" s="432" t="s">
        <v>1498</v>
      </c>
      <c r="J519" s="433"/>
      <c r="K519" s="432" t="s">
        <v>2987</v>
      </c>
      <c r="L519" s="432" t="s">
        <v>1572</v>
      </c>
      <c r="M519" s="433">
        <v>44571</v>
      </c>
      <c r="N519" s="433">
        <v>44734</v>
      </c>
      <c r="O519" s="433"/>
      <c r="P519" s="332"/>
      <c r="Q519" s="433"/>
      <c r="R519" s="433"/>
      <c r="S519" s="432" t="s">
        <v>88</v>
      </c>
      <c r="T519" s="432">
        <v>60</v>
      </c>
      <c r="U519" s="432"/>
      <c r="V519" s="441" t="s">
        <v>1557</v>
      </c>
      <c r="W519" s="432">
        <v>360</v>
      </c>
      <c r="X519" s="333">
        <v>832</v>
      </c>
      <c r="Y519" s="367">
        <f t="shared" si="42"/>
        <v>299520</v>
      </c>
      <c r="Z519" s="409">
        <f t="shared" si="43"/>
        <v>0.53</v>
      </c>
      <c r="AA519" s="410">
        <f t="shared" si="38"/>
        <v>158745.60000000001</v>
      </c>
      <c r="AB519" s="411"/>
      <c r="AC519" s="412">
        <f t="shared" si="39"/>
        <v>0</v>
      </c>
      <c r="AD519" s="405"/>
      <c r="AE519" s="405"/>
      <c r="AF519" s="424">
        <f t="shared" si="40"/>
        <v>158745.60000000001</v>
      </c>
      <c r="AG519" s="405" t="s">
        <v>1069</v>
      </c>
      <c r="AH519" s="405"/>
      <c r="AI519" s="405">
        <v>60</v>
      </c>
      <c r="AJ519" s="406" t="s">
        <v>1573</v>
      </c>
      <c r="AK519" s="406" t="s">
        <v>50</v>
      </c>
      <c r="AL519" s="414" t="s">
        <v>1529</v>
      </c>
      <c r="AM519" s="405" t="s">
        <v>52</v>
      </c>
      <c r="AN519" s="361"/>
      <c r="AO519" s="405"/>
      <c r="AP519" s="405"/>
      <c r="AQ519" s="413"/>
      <c r="AR519" s="405"/>
      <c r="AS519" s="404" t="s">
        <v>1072</v>
      </c>
      <c r="AT519" s="330"/>
      <c r="AU519" s="409">
        <f>183.6/360</f>
        <v>0.51</v>
      </c>
    </row>
    <row r="520" spans="1:47" s="402" customFormat="1">
      <c r="A520" s="426"/>
      <c r="B520" s="376"/>
      <c r="C520" s="426"/>
      <c r="D520" s="443" t="s">
        <v>86</v>
      </c>
      <c r="E520" s="331"/>
      <c r="F520" s="432"/>
      <c r="G520" s="350">
        <v>2022</v>
      </c>
      <c r="H520" s="350" t="s">
        <v>2383</v>
      </c>
      <c r="I520" s="432" t="s">
        <v>1498</v>
      </c>
      <c r="J520" s="433"/>
      <c r="K520" s="432" t="s">
        <v>2988</v>
      </c>
      <c r="L520" s="432" t="s">
        <v>1572</v>
      </c>
      <c r="M520" s="433">
        <v>44571</v>
      </c>
      <c r="N520" s="433">
        <v>44694</v>
      </c>
      <c r="O520" s="433"/>
      <c r="P520" s="332"/>
      <c r="Q520" s="433"/>
      <c r="R520" s="433"/>
      <c r="S520" s="432" t="s">
        <v>88</v>
      </c>
      <c r="T520" s="432">
        <v>60</v>
      </c>
      <c r="U520" s="432"/>
      <c r="V520" s="441" t="s">
        <v>1557</v>
      </c>
      <c r="W520" s="432">
        <v>360</v>
      </c>
      <c r="X520" s="333">
        <v>832</v>
      </c>
      <c r="Y520" s="367">
        <f t="shared" si="42"/>
        <v>299520</v>
      </c>
      <c r="Z520" s="409">
        <f>190.8/360</f>
        <v>0.53</v>
      </c>
      <c r="AA520" s="410">
        <f t="shared" si="38"/>
        <v>158745.60000000001</v>
      </c>
      <c r="AB520" s="411"/>
      <c r="AC520" s="412">
        <f t="shared" si="39"/>
        <v>0</v>
      </c>
      <c r="AD520" s="405"/>
      <c r="AE520" s="405"/>
      <c r="AF520" s="424">
        <f t="shared" si="40"/>
        <v>158745.60000000001</v>
      </c>
      <c r="AG520" s="405" t="s">
        <v>1069</v>
      </c>
      <c r="AH520" s="405"/>
      <c r="AI520" s="405">
        <v>60</v>
      </c>
      <c r="AJ520" s="406" t="s">
        <v>1573</v>
      </c>
      <c r="AK520" s="406" t="s">
        <v>50</v>
      </c>
      <c r="AL520" s="414" t="s">
        <v>1529</v>
      </c>
      <c r="AM520" s="405" t="s">
        <v>52</v>
      </c>
      <c r="AN520" s="361"/>
      <c r="AO520" s="405"/>
      <c r="AP520" s="405"/>
      <c r="AQ520" s="413"/>
      <c r="AR520" s="405"/>
      <c r="AS520" s="404" t="s">
        <v>1072</v>
      </c>
      <c r="AT520" s="330"/>
      <c r="AU520" s="409">
        <f>183.6/360</f>
        <v>0.51</v>
      </c>
    </row>
    <row r="521" spans="1:47" s="402" customFormat="1">
      <c r="A521" s="426"/>
      <c r="B521" s="376"/>
      <c r="C521" s="426"/>
      <c r="D521" s="443" t="s">
        <v>86</v>
      </c>
      <c r="E521" s="331"/>
      <c r="F521" s="432"/>
      <c r="G521" s="350">
        <v>2022</v>
      </c>
      <c r="H521" s="350" t="s">
        <v>2383</v>
      </c>
      <c r="I521" s="432" t="s">
        <v>1498</v>
      </c>
      <c r="J521" s="433"/>
      <c r="K521" s="432" t="s">
        <v>2989</v>
      </c>
      <c r="L521" s="432" t="s">
        <v>1572</v>
      </c>
      <c r="M521" s="433">
        <v>44571</v>
      </c>
      <c r="N521" s="433">
        <v>44680</v>
      </c>
      <c r="O521" s="433"/>
      <c r="P521" s="332"/>
      <c r="Q521" s="433"/>
      <c r="R521" s="433"/>
      <c r="S521" s="432" t="s">
        <v>88</v>
      </c>
      <c r="T521" s="432">
        <v>60</v>
      </c>
      <c r="U521" s="432"/>
      <c r="V521" s="441" t="s">
        <v>1557</v>
      </c>
      <c r="W521" s="432">
        <v>360</v>
      </c>
      <c r="X521" s="333">
        <v>832</v>
      </c>
      <c r="Y521" s="367">
        <f t="shared" si="42"/>
        <v>299520</v>
      </c>
      <c r="Z521" s="409">
        <f>190.8/360</f>
        <v>0.53</v>
      </c>
      <c r="AA521" s="410">
        <f t="shared" si="38"/>
        <v>158745.60000000001</v>
      </c>
      <c r="AB521" s="411"/>
      <c r="AC521" s="412">
        <f t="shared" si="39"/>
        <v>0</v>
      </c>
      <c r="AD521" s="405"/>
      <c r="AE521" s="405"/>
      <c r="AF521" s="424">
        <f t="shared" si="40"/>
        <v>158745.60000000001</v>
      </c>
      <c r="AG521" s="405" t="s">
        <v>1069</v>
      </c>
      <c r="AH521" s="405"/>
      <c r="AI521" s="405">
        <v>60</v>
      </c>
      <c r="AJ521" s="406" t="s">
        <v>1573</v>
      </c>
      <c r="AK521" s="406" t="s">
        <v>50</v>
      </c>
      <c r="AL521" s="414" t="s">
        <v>1529</v>
      </c>
      <c r="AM521" s="405" t="s">
        <v>52</v>
      </c>
      <c r="AN521" s="361"/>
      <c r="AO521" s="405"/>
      <c r="AP521" s="405"/>
      <c r="AQ521" s="413"/>
      <c r="AR521" s="405"/>
      <c r="AS521" s="404" t="s">
        <v>1072</v>
      </c>
      <c r="AT521" s="330"/>
      <c r="AU521" s="409">
        <f>183.6/360</f>
        <v>0.51</v>
      </c>
    </row>
    <row r="522" spans="1:47" s="402" customFormat="1">
      <c r="A522" s="426"/>
      <c r="B522" s="376"/>
      <c r="C522" s="426"/>
      <c r="D522" s="443" t="s">
        <v>86</v>
      </c>
      <c r="E522" s="331" t="s">
        <v>2990</v>
      </c>
      <c r="F522" s="432"/>
      <c r="G522" s="350">
        <v>2022</v>
      </c>
      <c r="H522" s="350" t="s">
        <v>2383</v>
      </c>
      <c r="I522" s="432" t="s">
        <v>1498</v>
      </c>
      <c r="J522" s="433"/>
      <c r="K522" s="432" t="s">
        <v>2991</v>
      </c>
      <c r="L522" s="432" t="s">
        <v>1567</v>
      </c>
      <c r="M522" s="433">
        <v>44536</v>
      </c>
      <c r="N522" s="433">
        <v>44599</v>
      </c>
      <c r="O522" s="433"/>
      <c r="P522" s="332"/>
      <c r="Q522" s="433"/>
      <c r="R522" s="433"/>
      <c r="S522" s="432" t="s">
        <v>1520</v>
      </c>
      <c r="T522" s="432">
        <v>60</v>
      </c>
      <c r="U522" s="432"/>
      <c r="V522" s="441" t="s">
        <v>986</v>
      </c>
      <c r="W522" s="432">
        <v>360</v>
      </c>
      <c r="X522" s="333">
        <v>832</v>
      </c>
      <c r="Y522" s="367">
        <f t="shared" si="42"/>
        <v>299520</v>
      </c>
      <c r="Z522" s="409">
        <f>180/360</f>
        <v>0.5</v>
      </c>
      <c r="AA522" s="410">
        <f t="shared" si="38"/>
        <v>149760</v>
      </c>
      <c r="AB522" s="411"/>
      <c r="AC522" s="412">
        <f t="shared" si="39"/>
        <v>0</v>
      </c>
      <c r="AD522" s="405"/>
      <c r="AE522" s="405"/>
      <c r="AF522" s="424">
        <f t="shared" si="40"/>
        <v>149760</v>
      </c>
      <c r="AG522" s="405" t="s">
        <v>1069</v>
      </c>
      <c r="AH522" s="405"/>
      <c r="AI522" s="405">
        <v>60</v>
      </c>
      <c r="AJ522" s="406" t="s">
        <v>1524</v>
      </c>
      <c r="AK522" s="406" t="s">
        <v>1522</v>
      </c>
      <c r="AL522" s="414" t="s">
        <v>1568</v>
      </c>
      <c r="AM522" s="405" t="s">
        <v>52</v>
      </c>
      <c r="AN522" s="361" t="s">
        <v>1071</v>
      </c>
      <c r="AO522" s="405" t="s">
        <v>1073</v>
      </c>
      <c r="AP522" s="405"/>
      <c r="AQ522" s="413" t="s">
        <v>37</v>
      </c>
      <c r="AR522" s="405"/>
      <c r="AS522" s="404"/>
      <c r="AT522" s="330"/>
      <c r="AU522" s="409">
        <f t="shared" ref="AU522:AU525" si="44">180/360</f>
        <v>0.5</v>
      </c>
    </row>
    <row r="523" spans="1:47" s="402" customFormat="1">
      <c r="A523" s="426"/>
      <c r="B523" s="376">
        <v>44595</v>
      </c>
      <c r="C523" s="426"/>
      <c r="D523" s="443" t="s">
        <v>86</v>
      </c>
      <c r="E523" s="331"/>
      <c r="F523" s="432"/>
      <c r="G523" s="350">
        <v>2022</v>
      </c>
      <c r="H523" s="350" t="s">
        <v>2383</v>
      </c>
      <c r="I523" s="432" t="s">
        <v>1498</v>
      </c>
      <c r="J523" s="433"/>
      <c r="K523" s="432" t="s">
        <v>2992</v>
      </c>
      <c r="L523" s="432" t="s">
        <v>1567</v>
      </c>
      <c r="M523" s="433">
        <v>44593</v>
      </c>
      <c r="N523" s="433">
        <v>44652</v>
      </c>
      <c r="O523" s="433"/>
      <c r="P523" s="332"/>
      <c r="Q523" s="433"/>
      <c r="R523" s="433"/>
      <c r="S523" s="432" t="s">
        <v>1520</v>
      </c>
      <c r="T523" s="432">
        <v>60</v>
      </c>
      <c r="U523" s="432"/>
      <c r="V523" s="441" t="s">
        <v>986</v>
      </c>
      <c r="W523" s="432">
        <v>360</v>
      </c>
      <c r="X523" s="333">
        <v>832</v>
      </c>
      <c r="Y523" s="367">
        <f t="shared" si="42"/>
        <v>299520</v>
      </c>
      <c r="Z523" s="409">
        <f>190.8/360</f>
        <v>0.53</v>
      </c>
      <c r="AA523" s="410">
        <f t="shared" si="38"/>
        <v>158745.60000000001</v>
      </c>
      <c r="AB523" s="411"/>
      <c r="AC523" s="412">
        <f t="shared" si="39"/>
        <v>0</v>
      </c>
      <c r="AD523" s="405"/>
      <c r="AE523" s="405"/>
      <c r="AF523" s="424">
        <f t="shared" si="40"/>
        <v>158745.60000000001</v>
      </c>
      <c r="AG523" s="405" t="s">
        <v>1069</v>
      </c>
      <c r="AH523" s="405"/>
      <c r="AI523" s="405">
        <v>60</v>
      </c>
      <c r="AJ523" s="406" t="s">
        <v>1524</v>
      </c>
      <c r="AK523" s="406" t="s">
        <v>1522</v>
      </c>
      <c r="AL523" s="414" t="s">
        <v>1568</v>
      </c>
      <c r="AM523" s="405" t="s">
        <v>52</v>
      </c>
      <c r="AN523" s="361" t="s">
        <v>1071</v>
      </c>
      <c r="AO523" s="405" t="s">
        <v>1073</v>
      </c>
      <c r="AP523" s="405"/>
      <c r="AQ523" s="413" t="s">
        <v>37</v>
      </c>
      <c r="AR523" s="405"/>
      <c r="AS523" s="404"/>
      <c r="AT523" s="330"/>
      <c r="AU523" s="409">
        <f t="shared" si="44"/>
        <v>0.5</v>
      </c>
    </row>
    <row r="524" spans="1:47" s="402" customFormat="1">
      <c r="A524" s="426"/>
      <c r="B524" s="376">
        <v>44615</v>
      </c>
      <c r="C524" s="426"/>
      <c r="D524" s="443" t="s">
        <v>86</v>
      </c>
      <c r="E524" s="331"/>
      <c r="F524" s="432"/>
      <c r="G524" s="350">
        <v>2022</v>
      </c>
      <c r="H524" s="350" t="s">
        <v>2383</v>
      </c>
      <c r="I524" s="432" t="s">
        <v>1498</v>
      </c>
      <c r="J524" s="433"/>
      <c r="K524" s="432" t="s">
        <v>2993</v>
      </c>
      <c r="L524" s="432" t="s">
        <v>1567</v>
      </c>
      <c r="M524" s="433">
        <v>44615</v>
      </c>
      <c r="N524" s="433">
        <v>44835</v>
      </c>
      <c r="O524" s="433"/>
      <c r="P524" s="332"/>
      <c r="Q524" s="433"/>
      <c r="R524" s="433"/>
      <c r="S524" s="432" t="s">
        <v>1520</v>
      </c>
      <c r="T524" s="432">
        <v>60</v>
      </c>
      <c r="U524" s="432"/>
      <c r="V524" s="441" t="s">
        <v>986</v>
      </c>
      <c r="W524" s="432">
        <v>360</v>
      </c>
      <c r="X524" s="333">
        <v>832</v>
      </c>
      <c r="Y524" s="367">
        <f t="shared" si="42"/>
        <v>299520</v>
      </c>
      <c r="Z524" s="409">
        <f>190.8/360</f>
        <v>0.53</v>
      </c>
      <c r="AA524" s="410">
        <f t="shared" si="38"/>
        <v>158745.60000000001</v>
      </c>
      <c r="AB524" s="411"/>
      <c r="AC524" s="412">
        <f t="shared" si="39"/>
        <v>0</v>
      </c>
      <c r="AD524" s="405"/>
      <c r="AE524" s="405"/>
      <c r="AF524" s="424">
        <f t="shared" si="40"/>
        <v>158745.60000000001</v>
      </c>
      <c r="AG524" s="405" t="s">
        <v>1069</v>
      </c>
      <c r="AH524" s="405"/>
      <c r="AI524" s="405">
        <v>60</v>
      </c>
      <c r="AJ524" s="406" t="s">
        <v>1524</v>
      </c>
      <c r="AK524" s="406" t="s">
        <v>1522</v>
      </c>
      <c r="AL524" s="414" t="s">
        <v>1568</v>
      </c>
      <c r="AM524" s="405" t="s">
        <v>52</v>
      </c>
      <c r="AN524" s="361" t="s">
        <v>1071</v>
      </c>
      <c r="AO524" s="405" t="s">
        <v>1073</v>
      </c>
      <c r="AP524" s="405"/>
      <c r="AQ524" s="413" t="s">
        <v>37</v>
      </c>
      <c r="AR524" s="405"/>
      <c r="AS524" s="404"/>
      <c r="AT524" s="330"/>
      <c r="AU524" s="409">
        <f t="shared" si="44"/>
        <v>0.5</v>
      </c>
    </row>
    <row r="525" spans="1:47" s="402" customFormat="1">
      <c r="A525" s="426"/>
      <c r="B525" s="376">
        <v>44615</v>
      </c>
      <c r="C525" s="426"/>
      <c r="D525" s="443" t="s">
        <v>86</v>
      </c>
      <c r="E525" s="331"/>
      <c r="F525" s="432"/>
      <c r="G525" s="350">
        <v>2022</v>
      </c>
      <c r="H525" s="350" t="s">
        <v>2383</v>
      </c>
      <c r="I525" s="432" t="s">
        <v>1498</v>
      </c>
      <c r="J525" s="433"/>
      <c r="K525" s="432" t="s">
        <v>2993</v>
      </c>
      <c r="L525" s="432" t="s">
        <v>1567</v>
      </c>
      <c r="M525" s="433">
        <v>44615</v>
      </c>
      <c r="N525" s="433">
        <v>44835</v>
      </c>
      <c r="O525" s="433"/>
      <c r="P525" s="332"/>
      <c r="Q525" s="433"/>
      <c r="R525" s="433"/>
      <c r="S525" s="432" t="s">
        <v>1520</v>
      </c>
      <c r="T525" s="432">
        <v>60</v>
      </c>
      <c r="U525" s="432"/>
      <c r="V525" s="441" t="s">
        <v>973</v>
      </c>
      <c r="W525" s="432">
        <v>400</v>
      </c>
      <c r="X525" s="333">
        <v>768</v>
      </c>
      <c r="Y525" s="367">
        <f t="shared" si="42"/>
        <v>307200</v>
      </c>
      <c r="Z525" s="409">
        <f t="shared" ref="Z525:Z534" si="45">220/400</f>
        <v>0.55000000000000004</v>
      </c>
      <c r="AA525" s="410">
        <f t="shared" si="38"/>
        <v>168960</v>
      </c>
      <c r="AB525" s="411"/>
      <c r="AC525" s="412">
        <f t="shared" si="39"/>
        <v>0</v>
      </c>
      <c r="AD525" s="405"/>
      <c r="AE525" s="405"/>
      <c r="AF525" s="424">
        <f t="shared" si="40"/>
        <v>168960</v>
      </c>
      <c r="AG525" s="405" t="s">
        <v>1069</v>
      </c>
      <c r="AH525" s="405"/>
      <c r="AI525" s="405">
        <v>60</v>
      </c>
      <c r="AJ525" s="406" t="s">
        <v>1524</v>
      </c>
      <c r="AK525" s="406" t="s">
        <v>1522</v>
      </c>
      <c r="AL525" s="414" t="s">
        <v>1568</v>
      </c>
      <c r="AM525" s="405" t="s">
        <v>52</v>
      </c>
      <c r="AN525" s="361" t="s">
        <v>1071</v>
      </c>
      <c r="AO525" s="405" t="s">
        <v>1073</v>
      </c>
      <c r="AP525" s="405"/>
      <c r="AQ525" s="413" t="s">
        <v>37</v>
      </c>
      <c r="AR525" s="405"/>
      <c r="AS525" s="404"/>
      <c r="AT525" s="330"/>
      <c r="AU525" s="409">
        <f t="shared" si="44"/>
        <v>0.5</v>
      </c>
    </row>
    <row r="526" spans="1:47" s="402" customFormat="1">
      <c r="A526" s="426"/>
      <c r="B526" s="376"/>
      <c r="C526" s="426"/>
      <c r="D526" s="443" t="s">
        <v>86</v>
      </c>
      <c r="E526" s="331"/>
      <c r="F526" s="432"/>
      <c r="G526" s="350">
        <v>2022</v>
      </c>
      <c r="H526" s="350" t="s">
        <v>2383</v>
      </c>
      <c r="I526" s="432" t="s">
        <v>1498</v>
      </c>
      <c r="J526" s="433"/>
      <c r="K526" s="432" t="s">
        <v>2994</v>
      </c>
      <c r="L526" s="432" t="s">
        <v>1576</v>
      </c>
      <c r="M526" s="433">
        <v>44546</v>
      </c>
      <c r="N526" s="433">
        <v>44648</v>
      </c>
      <c r="O526" s="433"/>
      <c r="P526" s="332"/>
      <c r="Q526" s="433"/>
      <c r="R526" s="433"/>
      <c r="S526" s="432" t="s">
        <v>1520</v>
      </c>
      <c r="T526" s="432">
        <v>60</v>
      </c>
      <c r="U526" s="432"/>
      <c r="V526" s="441" t="s">
        <v>973</v>
      </c>
      <c r="W526" s="432">
        <v>400</v>
      </c>
      <c r="X526" s="333">
        <v>768</v>
      </c>
      <c r="Y526" s="367">
        <f t="shared" ref="Y526:Y531" si="46">X526*W526</f>
        <v>307200</v>
      </c>
      <c r="Z526" s="409">
        <f t="shared" si="45"/>
        <v>0.55000000000000004</v>
      </c>
      <c r="AA526" s="410">
        <f t="shared" si="38"/>
        <v>168960</v>
      </c>
      <c r="AB526" s="411"/>
      <c r="AC526" s="412"/>
      <c r="AD526" s="405"/>
      <c r="AE526" s="405"/>
      <c r="AF526" s="424">
        <f t="shared" si="40"/>
        <v>168960</v>
      </c>
      <c r="AG526" s="405" t="s">
        <v>1069</v>
      </c>
      <c r="AH526" s="405"/>
      <c r="AI526" s="405">
        <v>60</v>
      </c>
      <c r="AJ526" s="406" t="s">
        <v>1577</v>
      </c>
      <c r="AK526" s="406" t="s">
        <v>1341</v>
      </c>
      <c r="AL526" s="414">
        <v>83642</v>
      </c>
      <c r="AM526" s="405" t="s">
        <v>52</v>
      </c>
      <c r="AN526" s="361" t="s">
        <v>1071</v>
      </c>
      <c r="AO526" s="405" t="s">
        <v>1073</v>
      </c>
      <c r="AP526" s="405"/>
      <c r="AQ526" s="413" t="s">
        <v>37</v>
      </c>
      <c r="AR526" s="405" t="s">
        <v>1243</v>
      </c>
      <c r="AS526" s="404"/>
      <c r="AT526" s="330"/>
      <c r="AU526" s="409">
        <f t="shared" ref="AU526:AU531" si="47">196/400</f>
        <v>0.49</v>
      </c>
    </row>
    <row r="527" spans="1:47" s="402" customFormat="1">
      <c r="A527" s="426"/>
      <c r="B527" s="376"/>
      <c r="C527" s="426"/>
      <c r="D527" s="443" t="s">
        <v>86</v>
      </c>
      <c r="E527" s="331"/>
      <c r="F527" s="432"/>
      <c r="G527" s="350">
        <v>2022</v>
      </c>
      <c r="H527" s="350" t="s">
        <v>2383</v>
      </c>
      <c r="I527" s="432" t="s">
        <v>1498</v>
      </c>
      <c r="J527" s="433"/>
      <c r="K527" s="432" t="s">
        <v>2995</v>
      </c>
      <c r="L527" s="432" t="s">
        <v>1576</v>
      </c>
      <c r="M527" s="433">
        <v>44546</v>
      </c>
      <c r="N527" s="433">
        <v>44655</v>
      </c>
      <c r="O527" s="433"/>
      <c r="P527" s="332"/>
      <c r="Q527" s="433"/>
      <c r="R527" s="433"/>
      <c r="S527" s="432" t="s">
        <v>1520</v>
      </c>
      <c r="T527" s="432">
        <v>60</v>
      </c>
      <c r="U527" s="432"/>
      <c r="V527" s="441" t="s">
        <v>973</v>
      </c>
      <c r="W527" s="432">
        <v>400</v>
      </c>
      <c r="X527" s="333">
        <v>768</v>
      </c>
      <c r="Y527" s="367">
        <f t="shared" si="46"/>
        <v>307200</v>
      </c>
      <c r="Z527" s="409">
        <f t="shared" si="45"/>
        <v>0.55000000000000004</v>
      </c>
      <c r="AA527" s="410">
        <f t="shared" si="38"/>
        <v>168960</v>
      </c>
      <c r="AB527" s="411"/>
      <c r="AC527" s="412"/>
      <c r="AD527" s="405"/>
      <c r="AE527" s="405"/>
      <c r="AF527" s="424">
        <f t="shared" si="40"/>
        <v>168960</v>
      </c>
      <c r="AG527" s="405" t="s">
        <v>1069</v>
      </c>
      <c r="AH527" s="405"/>
      <c r="AI527" s="405">
        <v>60</v>
      </c>
      <c r="AJ527" s="406" t="s">
        <v>1577</v>
      </c>
      <c r="AK527" s="406" t="s">
        <v>1341</v>
      </c>
      <c r="AL527" s="414">
        <v>83642</v>
      </c>
      <c r="AM527" s="405" t="s">
        <v>52</v>
      </c>
      <c r="AN527" s="361" t="s">
        <v>1071</v>
      </c>
      <c r="AO527" s="405" t="s">
        <v>1073</v>
      </c>
      <c r="AP527" s="405"/>
      <c r="AQ527" s="413" t="s">
        <v>37</v>
      </c>
      <c r="AR527" s="405" t="s">
        <v>1243</v>
      </c>
      <c r="AS527" s="404"/>
      <c r="AT527" s="330"/>
      <c r="AU527" s="409">
        <f t="shared" si="47"/>
        <v>0.49</v>
      </c>
    </row>
    <row r="528" spans="1:47" s="402" customFormat="1">
      <c r="A528" s="426"/>
      <c r="B528" s="376"/>
      <c r="C528" s="426"/>
      <c r="D528" s="443" t="s">
        <v>86</v>
      </c>
      <c r="E528" s="331"/>
      <c r="F528" s="432"/>
      <c r="G528" s="350">
        <v>2022</v>
      </c>
      <c r="H528" s="350" t="s">
        <v>2383</v>
      </c>
      <c r="I528" s="432" t="s">
        <v>1498</v>
      </c>
      <c r="J528" s="433"/>
      <c r="K528" s="432" t="s">
        <v>2996</v>
      </c>
      <c r="L528" s="432" t="s">
        <v>1576</v>
      </c>
      <c r="M528" s="433">
        <v>44546</v>
      </c>
      <c r="N528" s="433">
        <v>44669</v>
      </c>
      <c r="O528" s="433"/>
      <c r="P528" s="332"/>
      <c r="Q528" s="433"/>
      <c r="R528" s="433"/>
      <c r="S528" s="432" t="s">
        <v>1520</v>
      </c>
      <c r="T528" s="432">
        <v>60</v>
      </c>
      <c r="U528" s="432"/>
      <c r="V528" s="441" t="s">
        <v>973</v>
      </c>
      <c r="W528" s="432">
        <v>400</v>
      </c>
      <c r="X528" s="333">
        <v>768</v>
      </c>
      <c r="Y528" s="367">
        <f t="shared" si="46"/>
        <v>307200</v>
      </c>
      <c r="Z528" s="409">
        <f t="shared" si="45"/>
        <v>0.55000000000000004</v>
      </c>
      <c r="AA528" s="410">
        <f t="shared" si="38"/>
        <v>168960</v>
      </c>
      <c r="AB528" s="411"/>
      <c r="AC528" s="412"/>
      <c r="AD528" s="405"/>
      <c r="AE528" s="405"/>
      <c r="AF528" s="424">
        <f t="shared" si="40"/>
        <v>168960</v>
      </c>
      <c r="AG528" s="405" t="s">
        <v>1069</v>
      </c>
      <c r="AH528" s="405"/>
      <c r="AI528" s="405">
        <v>60</v>
      </c>
      <c r="AJ528" s="406" t="s">
        <v>1577</v>
      </c>
      <c r="AK528" s="406" t="s">
        <v>1341</v>
      </c>
      <c r="AL528" s="414">
        <v>83642</v>
      </c>
      <c r="AM528" s="405" t="s">
        <v>52</v>
      </c>
      <c r="AN528" s="361" t="s">
        <v>1071</v>
      </c>
      <c r="AO528" s="405" t="s">
        <v>1073</v>
      </c>
      <c r="AP528" s="405"/>
      <c r="AQ528" s="413" t="s">
        <v>37</v>
      </c>
      <c r="AR528" s="405" t="s">
        <v>1243</v>
      </c>
      <c r="AS528" s="404"/>
      <c r="AT528" s="330"/>
      <c r="AU528" s="409">
        <f t="shared" si="47"/>
        <v>0.49</v>
      </c>
    </row>
    <row r="529" spans="1:47" s="402" customFormat="1">
      <c r="A529" s="426"/>
      <c r="B529" s="376"/>
      <c r="C529" s="426"/>
      <c r="D529" s="443" t="s">
        <v>86</v>
      </c>
      <c r="E529" s="331"/>
      <c r="F529" s="432"/>
      <c r="G529" s="350">
        <v>2022</v>
      </c>
      <c r="H529" s="350" t="s">
        <v>2383</v>
      </c>
      <c r="I529" s="432" t="s">
        <v>1498</v>
      </c>
      <c r="J529" s="433"/>
      <c r="K529" s="432" t="s">
        <v>2997</v>
      </c>
      <c r="L529" s="432" t="s">
        <v>1576</v>
      </c>
      <c r="M529" s="433">
        <v>44546</v>
      </c>
      <c r="N529" s="433">
        <v>44680</v>
      </c>
      <c r="O529" s="433"/>
      <c r="P529" s="332"/>
      <c r="Q529" s="433"/>
      <c r="R529" s="433"/>
      <c r="S529" s="432" t="s">
        <v>1520</v>
      </c>
      <c r="T529" s="432">
        <v>60</v>
      </c>
      <c r="U529" s="432"/>
      <c r="V529" s="441" t="s">
        <v>973</v>
      </c>
      <c r="W529" s="432">
        <v>400</v>
      </c>
      <c r="X529" s="333">
        <v>768</v>
      </c>
      <c r="Y529" s="367">
        <f t="shared" si="46"/>
        <v>307200</v>
      </c>
      <c r="Z529" s="409">
        <f t="shared" si="45"/>
        <v>0.55000000000000004</v>
      </c>
      <c r="AA529" s="410">
        <f t="shared" si="38"/>
        <v>168960</v>
      </c>
      <c r="AB529" s="411"/>
      <c r="AC529" s="412"/>
      <c r="AD529" s="405"/>
      <c r="AE529" s="405"/>
      <c r="AF529" s="424">
        <f t="shared" si="40"/>
        <v>168960</v>
      </c>
      <c r="AG529" s="405" t="s">
        <v>1069</v>
      </c>
      <c r="AH529" s="405"/>
      <c r="AI529" s="405">
        <v>60</v>
      </c>
      <c r="AJ529" s="406" t="s">
        <v>1577</v>
      </c>
      <c r="AK529" s="406" t="s">
        <v>1341</v>
      </c>
      <c r="AL529" s="414">
        <v>83642</v>
      </c>
      <c r="AM529" s="405" t="s">
        <v>52</v>
      </c>
      <c r="AN529" s="361" t="s">
        <v>1071</v>
      </c>
      <c r="AO529" s="405" t="s">
        <v>1073</v>
      </c>
      <c r="AP529" s="405"/>
      <c r="AQ529" s="413" t="s">
        <v>37</v>
      </c>
      <c r="AR529" s="405" t="s">
        <v>1243</v>
      </c>
      <c r="AS529" s="404"/>
      <c r="AT529" s="330"/>
      <c r="AU529" s="409">
        <f t="shared" si="47"/>
        <v>0.49</v>
      </c>
    </row>
    <row r="530" spans="1:47" s="402" customFormat="1">
      <c r="A530" s="426"/>
      <c r="B530" s="376"/>
      <c r="C530" s="426"/>
      <c r="D530" s="443" t="s">
        <v>86</v>
      </c>
      <c r="E530" s="331"/>
      <c r="F530" s="432"/>
      <c r="G530" s="350">
        <v>2022</v>
      </c>
      <c r="H530" s="350" t="s">
        <v>2383</v>
      </c>
      <c r="I530" s="432" t="s">
        <v>1498</v>
      </c>
      <c r="J530" s="433"/>
      <c r="K530" s="432" t="s">
        <v>2998</v>
      </c>
      <c r="L530" s="432" t="s">
        <v>1576</v>
      </c>
      <c r="M530" s="433">
        <v>44546</v>
      </c>
      <c r="N530" s="433">
        <v>44690</v>
      </c>
      <c r="O530" s="433"/>
      <c r="P530" s="332"/>
      <c r="Q530" s="433"/>
      <c r="R530" s="433"/>
      <c r="S530" s="432" t="s">
        <v>1520</v>
      </c>
      <c r="T530" s="432">
        <v>60</v>
      </c>
      <c r="U530" s="432"/>
      <c r="V530" s="441" t="s">
        <v>973</v>
      </c>
      <c r="W530" s="432">
        <v>400</v>
      </c>
      <c r="X530" s="333">
        <v>768</v>
      </c>
      <c r="Y530" s="367">
        <f t="shared" si="46"/>
        <v>307200</v>
      </c>
      <c r="Z530" s="409">
        <f t="shared" si="45"/>
        <v>0.55000000000000004</v>
      </c>
      <c r="AA530" s="410">
        <f t="shared" si="38"/>
        <v>168960</v>
      </c>
      <c r="AB530" s="411"/>
      <c r="AC530" s="412"/>
      <c r="AD530" s="405"/>
      <c r="AE530" s="405"/>
      <c r="AF530" s="424">
        <f t="shared" si="40"/>
        <v>168960</v>
      </c>
      <c r="AG530" s="405" t="s">
        <v>1069</v>
      </c>
      <c r="AH530" s="405"/>
      <c r="AI530" s="405">
        <v>60</v>
      </c>
      <c r="AJ530" s="406" t="s">
        <v>1577</v>
      </c>
      <c r="AK530" s="406" t="s">
        <v>1341</v>
      </c>
      <c r="AL530" s="414">
        <v>83642</v>
      </c>
      <c r="AM530" s="405" t="s">
        <v>52</v>
      </c>
      <c r="AN530" s="361" t="s">
        <v>1071</v>
      </c>
      <c r="AO530" s="405" t="s">
        <v>1073</v>
      </c>
      <c r="AP530" s="405"/>
      <c r="AQ530" s="413" t="s">
        <v>37</v>
      </c>
      <c r="AR530" s="405" t="s">
        <v>1243</v>
      </c>
      <c r="AS530" s="404"/>
      <c r="AT530" s="330"/>
      <c r="AU530" s="409">
        <f t="shared" si="47"/>
        <v>0.49</v>
      </c>
    </row>
    <row r="531" spans="1:47" s="402" customFormat="1">
      <c r="A531" s="426"/>
      <c r="B531" s="376"/>
      <c r="C531" s="426"/>
      <c r="D531" s="443" t="s">
        <v>86</v>
      </c>
      <c r="E531" s="331"/>
      <c r="F531" s="432"/>
      <c r="G531" s="350">
        <v>2022</v>
      </c>
      <c r="H531" s="350" t="s">
        <v>2383</v>
      </c>
      <c r="I531" s="432" t="s">
        <v>1498</v>
      </c>
      <c r="J531" s="433"/>
      <c r="K531" s="432" t="s">
        <v>2999</v>
      </c>
      <c r="L531" s="432" t="s">
        <v>1576</v>
      </c>
      <c r="M531" s="433">
        <v>44546</v>
      </c>
      <c r="N531" s="433">
        <v>44690</v>
      </c>
      <c r="O531" s="433"/>
      <c r="P531" s="332"/>
      <c r="Q531" s="433"/>
      <c r="R531" s="433"/>
      <c r="S531" s="432" t="s">
        <v>1520</v>
      </c>
      <c r="T531" s="432">
        <v>60</v>
      </c>
      <c r="U531" s="432"/>
      <c r="V531" s="441" t="s">
        <v>973</v>
      </c>
      <c r="W531" s="432">
        <v>400</v>
      </c>
      <c r="X531" s="333">
        <v>768</v>
      </c>
      <c r="Y531" s="367">
        <f t="shared" si="46"/>
        <v>307200</v>
      </c>
      <c r="Z531" s="409">
        <f t="shared" si="45"/>
        <v>0.55000000000000004</v>
      </c>
      <c r="AA531" s="410">
        <f t="shared" si="38"/>
        <v>168960</v>
      </c>
      <c r="AB531" s="411"/>
      <c r="AC531" s="412"/>
      <c r="AD531" s="405"/>
      <c r="AE531" s="405"/>
      <c r="AF531" s="424">
        <f t="shared" si="40"/>
        <v>168960</v>
      </c>
      <c r="AG531" s="405" t="s">
        <v>1069</v>
      </c>
      <c r="AH531" s="405"/>
      <c r="AI531" s="405">
        <v>60</v>
      </c>
      <c r="AJ531" s="406" t="s">
        <v>1577</v>
      </c>
      <c r="AK531" s="406" t="s">
        <v>1341</v>
      </c>
      <c r="AL531" s="414">
        <v>83642</v>
      </c>
      <c r="AM531" s="405" t="s">
        <v>52</v>
      </c>
      <c r="AN531" s="361" t="s">
        <v>1071</v>
      </c>
      <c r="AO531" s="405" t="s">
        <v>1073</v>
      </c>
      <c r="AP531" s="405"/>
      <c r="AQ531" s="413" t="s">
        <v>37</v>
      </c>
      <c r="AR531" s="405" t="s">
        <v>1243</v>
      </c>
      <c r="AS531" s="404"/>
      <c r="AT531" s="330"/>
      <c r="AU531" s="409">
        <f t="shared" si="47"/>
        <v>0.49</v>
      </c>
    </row>
    <row r="532" spans="1:47" s="402" customFormat="1">
      <c r="A532" s="426"/>
      <c r="B532" s="376"/>
      <c r="C532" s="426"/>
      <c r="D532" s="443" t="s">
        <v>86</v>
      </c>
      <c r="E532" s="331"/>
      <c r="F532" s="432"/>
      <c r="G532" s="350">
        <v>2022</v>
      </c>
      <c r="H532" s="350" t="s">
        <v>2978</v>
      </c>
      <c r="I532" s="432" t="s">
        <v>1498</v>
      </c>
      <c r="J532" s="433"/>
      <c r="K532" s="432" t="s">
        <v>3000</v>
      </c>
      <c r="L532" s="432" t="s">
        <v>1581</v>
      </c>
      <c r="M532" s="433">
        <v>44647</v>
      </c>
      <c r="N532" s="433">
        <v>44866</v>
      </c>
      <c r="O532" s="433"/>
      <c r="P532" s="332"/>
      <c r="Q532" s="433"/>
      <c r="R532" s="433"/>
      <c r="S532" s="432" t="s">
        <v>1520</v>
      </c>
      <c r="T532" s="432">
        <v>60</v>
      </c>
      <c r="U532" s="432" t="s">
        <v>1102</v>
      </c>
      <c r="V532" s="441" t="s">
        <v>973</v>
      </c>
      <c r="W532" s="432">
        <v>400</v>
      </c>
      <c r="X532" s="333">
        <v>768</v>
      </c>
      <c r="Y532" s="367">
        <f t="shared" ref="Y532:Y538" si="48">W532*X532</f>
        <v>307200</v>
      </c>
      <c r="Z532" s="409">
        <f t="shared" si="45"/>
        <v>0.55000000000000004</v>
      </c>
      <c r="AA532" s="410">
        <f t="shared" si="38"/>
        <v>168960</v>
      </c>
      <c r="AB532" s="411"/>
      <c r="AC532" s="412">
        <f t="shared" ref="AC532:AC538" si="49">AB532*Y532</f>
        <v>0</v>
      </c>
      <c r="AD532" s="405"/>
      <c r="AE532" s="405"/>
      <c r="AF532" s="424">
        <f t="shared" si="40"/>
        <v>168960</v>
      </c>
      <c r="AG532" s="405" t="s">
        <v>1069</v>
      </c>
      <c r="AH532" s="405">
        <v>100</v>
      </c>
      <c r="AI532" s="405">
        <v>0</v>
      </c>
      <c r="AJ532" s="406" t="s">
        <v>1582</v>
      </c>
      <c r="AK532" s="406" t="s">
        <v>1583</v>
      </c>
      <c r="AL532" s="414">
        <v>59715</v>
      </c>
      <c r="AM532" s="405" t="s">
        <v>52</v>
      </c>
      <c r="AN532" s="361"/>
      <c r="AO532" s="405" t="s">
        <v>1073</v>
      </c>
      <c r="AP532" s="405"/>
      <c r="AQ532" s="413" t="s">
        <v>37</v>
      </c>
      <c r="AR532" s="405" t="s">
        <v>1188</v>
      </c>
      <c r="AS532" s="404"/>
      <c r="AT532" s="330"/>
      <c r="AU532" s="409">
        <f>212/400</f>
        <v>0.53</v>
      </c>
    </row>
    <row r="533" spans="1:47" s="402" customFormat="1">
      <c r="A533" s="426"/>
      <c r="B533" s="376"/>
      <c r="C533" s="426"/>
      <c r="D533" s="443" t="s">
        <v>86</v>
      </c>
      <c r="E533" s="331"/>
      <c r="F533" s="432"/>
      <c r="G533" s="350">
        <v>2022</v>
      </c>
      <c r="H533" s="350" t="s">
        <v>2978</v>
      </c>
      <c r="I533" s="432" t="s">
        <v>1498</v>
      </c>
      <c r="J533" s="433"/>
      <c r="K533" s="432" t="s">
        <v>3001</v>
      </c>
      <c r="L533" s="432" t="s">
        <v>1581</v>
      </c>
      <c r="M533" s="433">
        <v>44647</v>
      </c>
      <c r="N533" s="433">
        <v>44805</v>
      </c>
      <c r="O533" s="433"/>
      <c r="P533" s="332"/>
      <c r="Q533" s="433"/>
      <c r="R533" s="433"/>
      <c r="S533" s="432" t="s">
        <v>1520</v>
      </c>
      <c r="T533" s="432">
        <v>60</v>
      </c>
      <c r="U533" s="432" t="s">
        <v>1102</v>
      </c>
      <c r="V533" s="441" t="s">
        <v>973</v>
      </c>
      <c r="W533" s="432">
        <v>400</v>
      </c>
      <c r="X533" s="333">
        <v>768</v>
      </c>
      <c r="Y533" s="367">
        <f t="shared" si="48"/>
        <v>307200</v>
      </c>
      <c r="Z533" s="409">
        <f t="shared" si="45"/>
        <v>0.55000000000000004</v>
      </c>
      <c r="AA533" s="410">
        <f t="shared" si="38"/>
        <v>168960</v>
      </c>
      <c r="AB533" s="411"/>
      <c r="AC533" s="412">
        <f t="shared" si="49"/>
        <v>0</v>
      </c>
      <c r="AD533" s="405"/>
      <c r="AE533" s="405"/>
      <c r="AF533" s="424">
        <f t="shared" si="40"/>
        <v>168960</v>
      </c>
      <c r="AG533" s="405" t="s">
        <v>1069</v>
      </c>
      <c r="AH533" s="405">
        <v>100</v>
      </c>
      <c r="AI533" s="405">
        <v>0</v>
      </c>
      <c r="AJ533" s="406" t="s">
        <v>1582</v>
      </c>
      <c r="AK533" s="406" t="s">
        <v>1583</v>
      </c>
      <c r="AL533" s="414">
        <v>59715</v>
      </c>
      <c r="AM533" s="405" t="s">
        <v>52</v>
      </c>
      <c r="AN533" s="361"/>
      <c r="AO533" s="405" t="s">
        <v>1073</v>
      </c>
      <c r="AP533" s="405"/>
      <c r="AQ533" s="413" t="s">
        <v>37</v>
      </c>
      <c r="AR533" s="405" t="s">
        <v>1188</v>
      </c>
      <c r="AS533" s="404"/>
      <c r="AT533" s="330"/>
      <c r="AU533" s="409">
        <f>212/400</f>
        <v>0.53</v>
      </c>
    </row>
    <row r="534" spans="1:47" s="402" customFormat="1">
      <c r="A534" s="426"/>
      <c r="B534" s="376"/>
      <c r="C534" s="426"/>
      <c r="D534" s="443" t="s">
        <v>86</v>
      </c>
      <c r="E534" s="331"/>
      <c r="F534" s="432"/>
      <c r="G534" s="350">
        <v>2022</v>
      </c>
      <c r="H534" s="350" t="s">
        <v>2978</v>
      </c>
      <c r="I534" s="432" t="s">
        <v>1498</v>
      </c>
      <c r="J534" s="433"/>
      <c r="K534" s="432" t="s">
        <v>3002</v>
      </c>
      <c r="L534" s="432" t="s">
        <v>1608</v>
      </c>
      <c r="M534" s="433">
        <v>44595</v>
      </c>
      <c r="N534" s="433">
        <v>44684</v>
      </c>
      <c r="O534" s="433"/>
      <c r="P534" s="332"/>
      <c r="Q534" s="433"/>
      <c r="R534" s="433"/>
      <c r="S534" s="432" t="s">
        <v>1510</v>
      </c>
      <c r="T534" s="432">
        <v>60</v>
      </c>
      <c r="U534" s="432"/>
      <c r="V534" s="441" t="s">
        <v>973</v>
      </c>
      <c r="W534" s="432">
        <v>400</v>
      </c>
      <c r="X534" s="333">
        <v>832</v>
      </c>
      <c r="Y534" s="367">
        <f t="shared" si="48"/>
        <v>332800</v>
      </c>
      <c r="Z534" s="409">
        <f t="shared" si="45"/>
        <v>0.55000000000000004</v>
      </c>
      <c r="AA534" s="410">
        <f t="shared" si="38"/>
        <v>183040.00000000003</v>
      </c>
      <c r="AB534" s="411"/>
      <c r="AC534" s="412">
        <f t="shared" si="49"/>
        <v>0</v>
      </c>
      <c r="AD534" s="405"/>
      <c r="AE534" s="405"/>
      <c r="AF534" s="424">
        <f t="shared" si="40"/>
        <v>183040.00000000003</v>
      </c>
      <c r="AG534" s="405" t="s">
        <v>1069</v>
      </c>
      <c r="AH534" s="405"/>
      <c r="AI534" s="405">
        <v>60</v>
      </c>
      <c r="AJ534" s="406" t="s">
        <v>1616</v>
      </c>
      <c r="AK534" s="406" t="s">
        <v>50</v>
      </c>
      <c r="AL534" s="414" t="s">
        <v>1617</v>
      </c>
      <c r="AM534" s="405" t="s">
        <v>52</v>
      </c>
      <c r="AN534" s="361"/>
      <c r="AO534" s="405" t="s">
        <v>1073</v>
      </c>
      <c r="AP534" s="405"/>
      <c r="AQ534" s="413" t="s">
        <v>37</v>
      </c>
      <c r="AR534" s="405" t="s">
        <v>1188</v>
      </c>
      <c r="AS534" s="404" t="s">
        <v>1392</v>
      </c>
      <c r="AT534" s="330"/>
      <c r="AU534" s="409">
        <f>180/360</f>
        <v>0.5</v>
      </c>
    </row>
    <row r="535" spans="1:47" s="402" customFormat="1">
      <c r="A535" s="426"/>
      <c r="B535" s="376"/>
      <c r="C535" s="426"/>
      <c r="D535" s="443" t="s">
        <v>86</v>
      </c>
      <c r="E535" s="331"/>
      <c r="F535" s="432"/>
      <c r="G535" s="350">
        <v>2022</v>
      </c>
      <c r="H535" s="350" t="s">
        <v>2383</v>
      </c>
      <c r="I535" s="432" t="s">
        <v>1498</v>
      </c>
      <c r="J535" s="433"/>
      <c r="K535" s="432" t="s">
        <v>3003</v>
      </c>
      <c r="L535" s="432" t="s">
        <v>1608</v>
      </c>
      <c r="M535" s="433">
        <v>44558</v>
      </c>
      <c r="N535" s="433">
        <v>44709</v>
      </c>
      <c r="O535" s="433"/>
      <c r="P535" s="332"/>
      <c r="Q535" s="433"/>
      <c r="R535" s="433"/>
      <c r="S535" s="432" t="s">
        <v>1510</v>
      </c>
      <c r="T535" s="432">
        <v>60</v>
      </c>
      <c r="U535" s="432"/>
      <c r="V535" s="441" t="s">
        <v>1192</v>
      </c>
      <c r="W535" s="432">
        <v>360</v>
      </c>
      <c r="X535" s="333">
        <v>676</v>
      </c>
      <c r="Y535" s="367">
        <f t="shared" si="48"/>
        <v>243360</v>
      </c>
      <c r="Z535" s="409">
        <f>298.8/360</f>
        <v>0.83000000000000007</v>
      </c>
      <c r="AA535" s="410">
        <f t="shared" si="38"/>
        <v>201988.80000000002</v>
      </c>
      <c r="AB535" s="411"/>
      <c r="AC535" s="412">
        <f t="shared" si="49"/>
        <v>0</v>
      </c>
      <c r="AD535" s="405"/>
      <c r="AE535" s="405"/>
      <c r="AF535" s="424">
        <f t="shared" si="40"/>
        <v>201988.80000000002</v>
      </c>
      <c r="AG535" s="405" t="s">
        <v>1069</v>
      </c>
      <c r="AH535" s="405"/>
      <c r="AI535" s="405">
        <v>60</v>
      </c>
      <c r="AJ535" s="406" t="s">
        <v>1616</v>
      </c>
      <c r="AK535" s="406" t="s">
        <v>50</v>
      </c>
      <c r="AL535" s="414" t="s">
        <v>1623</v>
      </c>
      <c r="AM535" s="405" t="s">
        <v>52</v>
      </c>
      <c r="AN535" s="361"/>
      <c r="AO535" s="405" t="s">
        <v>1073</v>
      </c>
      <c r="AP535" s="405"/>
      <c r="AQ535" s="413" t="s">
        <v>37</v>
      </c>
      <c r="AR535" s="405" t="s">
        <v>1620</v>
      </c>
      <c r="AS535" s="404"/>
      <c r="AT535" s="330"/>
      <c r="AU535" s="409">
        <f>273.6/360</f>
        <v>0.76</v>
      </c>
    </row>
    <row r="536" spans="1:47" s="402" customFormat="1">
      <c r="A536" s="426"/>
      <c r="B536" s="376"/>
      <c r="C536" s="426"/>
      <c r="D536" s="443" t="s">
        <v>86</v>
      </c>
      <c r="E536" s="331"/>
      <c r="F536" s="432"/>
      <c r="G536" s="350">
        <v>2022</v>
      </c>
      <c r="H536" s="350" t="s">
        <v>2383</v>
      </c>
      <c r="I536" s="432" t="s">
        <v>1498</v>
      </c>
      <c r="J536" s="433"/>
      <c r="K536" s="432" t="s">
        <v>3004</v>
      </c>
      <c r="L536" s="432" t="s">
        <v>1608</v>
      </c>
      <c r="M536" s="433">
        <v>44558</v>
      </c>
      <c r="N536" s="433">
        <v>44740</v>
      </c>
      <c r="O536" s="433"/>
      <c r="P536" s="332"/>
      <c r="Q536" s="433"/>
      <c r="R536" s="433"/>
      <c r="S536" s="432" t="s">
        <v>1510</v>
      </c>
      <c r="T536" s="432">
        <v>60</v>
      </c>
      <c r="U536" s="432"/>
      <c r="V536" s="441" t="s">
        <v>1192</v>
      </c>
      <c r="W536" s="432">
        <v>360</v>
      </c>
      <c r="X536" s="333">
        <v>676</v>
      </c>
      <c r="Y536" s="367">
        <f t="shared" si="48"/>
        <v>243360</v>
      </c>
      <c r="Z536" s="409">
        <f>298.8/360</f>
        <v>0.83000000000000007</v>
      </c>
      <c r="AA536" s="410">
        <f t="shared" si="38"/>
        <v>201988.80000000002</v>
      </c>
      <c r="AB536" s="411"/>
      <c r="AC536" s="412">
        <f t="shared" si="49"/>
        <v>0</v>
      </c>
      <c r="AD536" s="405"/>
      <c r="AE536" s="405"/>
      <c r="AF536" s="424">
        <f t="shared" si="40"/>
        <v>201988.80000000002</v>
      </c>
      <c r="AG536" s="405" t="s">
        <v>1069</v>
      </c>
      <c r="AH536" s="405"/>
      <c r="AI536" s="405">
        <v>60</v>
      </c>
      <c r="AJ536" s="406" t="s">
        <v>1616</v>
      </c>
      <c r="AK536" s="406" t="s">
        <v>50</v>
      </c>
      <c r="AL536" s="414" t="s">
        <v>1623</v>
      </c>
      <c r="AM536" s="405" t="s">
        <v>52</v>
      </c>
      <c r="AN536" s="361"/>
      <c r="AO536" s="405" t="s">
        <v>1073</v>
      </c>
      <c r="AP536" s="405"/>
      <c r="AQ536" s="413" t="s">
        <v>37</v>
      </c>
      <c r="AR536" s="405" t="s">
        <v>1620</v>
      </c>
      <c r="AS536" s="404"/>
      <c r="AT536" s="330"/>
      <c r="AU536" s="409">
        <f>273.6/360</f>
        <v>0.76</v>
      </c>
    </row>
    <row r="537" spans="1:47" s="402" customFormat="1">
      <c r="A537" s="426"/>
      <c r="B537" s="376"/>
      <c r="C537" s="426"/>
      <c r="D537" s="443" t="s">
        <v>86</v>
      </c>
      <c r="E537" s="331"/>
      <c r="F537" s="432" t="s">
        <v>1898</v>
      </c>
      <c r="G537" s="350">
        <v>2022</v>
      </c>
      <c r="H537" s="350" t="s">
        <v>2383</v>
      </c>
      <c r="I537" s="432" t="s">
        <v>1498</v>
      </c>
      <c r="J537" s="433"/>
      <c r="K537" s="432" t="s">
        <v>3005</v>
      </c>
      <c r="L537" s="432" t="s">
        <v>3006</v>
      </c>
      <c r="M537" s="433">
        <v>44504</v>
      </c>
      <c r="N537" s="433">
        <v>44504</v>
      </c>
      <c r="O537" s="433"/>
      <c r="P537" s="332"/>
      <c r="Q537" s="433"/>
      <c r="R537" s="433"/>
      <c r="S537" s="432" t="s">
        <v>88</v>
      </c>
      <c r="T537" s="432">
        <v>60</v>
      </c>
      <c r="U537" s="432"/>
      <c r="V537" s="441" t="s">
        <v>986</v>
      </c>
      <c r="W537" s="432">
        <v>360</v>
      </c>
      <c r="X537" s="333">
        <v>832</v>
      </c>
      <c r="Y537" s="367">
        <f t="shared" si="48"/>
        <v>299520</v>
      </c>
      <c r="Z537" s="409">
        <f>198/360</f>
        <v>0.55000000000000004</v>
      </c>
      <c r="AA537" s="410">
        <f t="shared" si="38"/>
        <v>164736</v>
      </c>
      <c r="AB537" s="411"/>
      <c r="AC537" s="412">
        <f t="shared" si="49"/>
        <v>0</v>
      </c>
      <c r="AD537" s="405"/>
      <c r="AE537" s="405"/>
      <c r="AF537" s="424">
        <f t="shared" si="40"/>
        <v>164736</v>
      </c>
      <c r="AG537" s="405" t="s">
        <v>1069</v>
      </c>
      <c r="AH537" s="405"/>
      <c r="AI537" s="405">
        <v>60</v>
      </c>
      <c r="AJ537" s="406" t="s">
        <v>3007</v>
      </c>
      <c r="AK537" s="406" t="s">
        <v>1501</v>
      </c>
      <c r="AL537" s="414" t="s">
        <v>3008</v>
      </c>
      <c r="AM537" s="405" t="s">
        <v>52</v>
      </c>
      <c r="AN537" s="361" t="s">
        <v>1071</v>
      </c>
      <c r="AO537" s="405" t="s">
        <v>1073</v>
      </c>
      <c r="AP537" s="405"/>
      <c r="AQ537" s="413" t="s">
        <v>37</v>
      </c>
      <c r="AR537" s="405" t="s">
        <v>1188</v>
      </c>
      <c r="AS537" s="404"/>
      <c r="AT537" s="330"/>
      <c r="AU537" s="409">
        <f>187.2/360</f>
        <v>0.52</v>
      </c>
    </row>
    <row r="538" spans="1:47" s="402" customFormat="1">
      <c r="A538" s="426"/>
      <c r="B538" s="376"/>
      <c r="C538" s="426"/>
      <c r="D538" s="443" t="s">
        <v>86</v>
      </c>
      <c r="E538" s="331"/>
      <c r="F538" s="432" t="s">
        <v>1898</v>
      </c>
      <c r="G538" s="350">
        <v>2022</v>
      </c>
      <c r="H538" s="350" t="s">
        <v>2383</v>
      </c>
      <c r="I538" s="432" t="s">
        <v>1498</v>
      </c>
      <c r="J538" s="433"/>
      <c r="K538" s="432" t="s">
        <v>3009</v>
      </c>
      <c r="L538" s="432" t="s">
        <v>3006</v>
      </c>
      <c r="M538" s="433">
        <v>44586</v>
      </c>
      <c r="N538" s="433">
        <v>44586</v>
      </c>
      <c r="O538" s="433"/>
      <c r="P538" s="332"/>
      <c r="Q538" s="433"/>
      <c r="R538" s="433"/>
      <c r="S538" s="432" t="s">
        <v>88</v>
      </c>
      <c r="T538" s="432">
        <v>60</v>
      </c>
      <c r="U538" s="432"/>
      <c r="V538" s="441" t="s">
        <v>973</v>
      </c>
      <c r="W538" s="432">
        <v>400</v>
      </c>
      <c r="X538" s="333">
        <v>832</v>
      </c>
      <c r="Y538" s="367">
        <f t="shared" si="48"/>
        <v>332800</v>
      </c>
      <c r="Z538" s="409">
        <f>228/400</f>
        <v>0.56999999999999995</v>
      </c>
      <c r="AA538" s="410">
        <f t="shared" si="38"/>
        <v>189695.99999999997</v>
      </c>
      <c r="AB538" s="411"/>
      <c r="AC538" s="412">
        <f t="shared" si="49"/>
        <v>0</v>
      </c>
      <c r="AD538" s="405"/>
      <c r="AE538" s="405"/>
      <c r="AF538" s="424">
        <f t="shared" si="40"/>
        <v>189695.99999999997</v>
      </c>
      <c r="AG538" s="405" t="s">
        <v>1069</v>
      </c>
      <c r="AH538" s="405"/>
      <c r="AI538" s="405">
        <v>60</v>
      </c>
      <c r="AJ538" s="406" t="s">
        <v>3007</v>
      </c>
      <c r="AK538" s="406" t="s">
        <v>1501</v>
      </c>
      <c r="AL538" s="414" t="s">
        <v>3008</v>
      </c>
      <c r="AM538" s="405" t="s">
        <v>52</v>
      </c>
      <c r="AN538" s="361" t="s">
        <v>1071</v>
      </c>
      <c r="AO538" s="405" t="s">
        <v>1073</v>
      </c>
      <c r="AP538" s="405"/>
      <c r="AQ538" s="413" t="s">
        <v>37</v>
      </c>
      <c r="AR538" s="405" t="s">
        <v>1188</v>
      </c>
      <c r="AS538" s="404"/>
      <c r="AT538" s="330"/>
      <c r="AU538" s="409">
        <f>187.2/360</f>
        <v>0.52</v>
      </c>
    </row>
    <row r="539" spans="1:47" s="402" customFormat="1">
      <c r="A539" s="426"/>
      <c r="B539" s="376">
        <v>44635</v>
      </c>
      <c r="C539" s="426"/>
      <c r="D539" s="443" t="s">
        <v>86</v>
      </c>
      <c r="E539" s="331"/>
      <c r="F539" s="432"/>
      <c r="G539" s="350">
        <v>2022</v>
      </c>
      <c r="H539" s="350" t="s">
        <v>2978</v>
      </c>
      <c r="I539" s="432" t="s">
        <v>1498</v>
      </c>
      <c r="J539" s="433"/>
      <c r="K539" s="432" t="s">
        <v>3010</v>
      </c>
      <c r="L539" s="432" t="s">
        <v>1642</v>
      </c>
      <c r="M539" s="433">
        <v>44546</v>
      </c>
      <c r="N539" s="433">
        <v>44655</v>
      </c>
      <c r="O539" s="433"/>
      <c r="P539" s="332"/>
      <c r="Q539" s="433"/>
      <c r="R539" s="433"/>
      <c r="S539" s="432" t="s">
        <v>1520</v>
      </c>
      <c r="T539" s="432">
        <v>60</v>
      </c>
      <c r="U539" s="432"/>
      <c r="V539" s="441" t="s">
        <v>973</v>
      </c>
      <c r="W539" s="432">
        <v>400</v>
      </c>
      <c r="X539" s="333">
        <v>768</v>
      </c>
      <c r="Y539" s="367">
        <f>X539*W539</f>
        <v>307200</v>
      </c>
      <c r="Z539" s="409">
        <f>220/400</f>
        <v>0.55000000000000004</v>
      </c>
      <c r="AA539" s="410">
        <f t="shared" si="38"/>
        <v>168960</v>
      </c>
      <c r="AB539" s="411"/>
      <c r="AC539" s="412"/>
      <c r="AD539" s="405"/>
      <c r="AE539" s="405"/>
      <c r="AF539" s="424">
        <f t="shared" si="40"/>
        <v>168960</v>
      </c>
      <c r="AG539" s="405" t="s">
        <v>1069</v>
      </c>
      <c r="AH539" s="405"/>
      <c r="AI539" s="405">
        <v>60</v>
      </c>
      <c r="AJ539" s="406" t="s">
        <v>1643</v>
      </c>
      <c r="AK539" s="406" t="s">
        <v>1341</v>
      </c>
      <c r="AL539" s="414">
        <v>83202</v>
      </c>
      <c r="AM539" s="405" t="s">
        <v>52</v>
      </c>
      <c r="AN539" s="361" t="s">
        <v>1071</v>
      </c>
      <c r="AO539" s="405" t="s">
        <v>1073</v>
      </c>
      <c r="AP539" s="405"/>
      <c r="AQ539" s="413" t="s">
        <v>37</v>
      </c>
      <c r="AR539" s="405" t="s">
        <v>1243</v>
      </c>
      <c r="AS539" s="404"/>
      <c r="AT539" s="330"/>
      <c r="AU539" s="409">
        <f>196/400</f>
        <v>0.49</v>
      </c>
    </row>
    <row r="540" spans="1:47" s="402" customFormat="1">
      <c r="A540" s="426"/>
      <c r="B540" s="376">
        <v>44635</v>
      </c>
      <c r="C540" s="426"/>
      <c r="D540" s="443" t="s">
        <v>86</v>
      </c>
      <c r="E540" s="331"/>
      <c r="F540" s="432"/>
      <c r="G540" s="350">
        <v>2022</v>
      </c>
      <c r="H540" s="350" t="s">
        <v>2978</v>
      </c>
      <c r="I540" s="432" t="s">
        <v>1498</v>
      </c>
      <c r="J540" s="433"/>
      <c r="K540" s="432" t="s">
        <v>3011</v>
      </c>
      <c r="L540" s="432" t="s">
        <v>1642</v>
      </c>
      <c r="M540" s="433">
        <v>44546</v>
      </c>
      <c r="N540" s="433">
        <v>44666</v>
      </c>
      <c r="O540" s="433"/>
      <c r="P540" s="332"/>
      <c r="Q540" s="433"/>
      <c r="R540" s="433"/>
      <c r="S540" s="432" t="s">
        <v>1520</v>
      </c>
      <c r="T540" s="432">
        <v>60</v>
      </c>
      <c r="U540" s="432"/>
      <c r="V540" s="441" t="s">
        <v>973</v>
      </c>
      <c r="W540" s="432">
        <v>400</v>
      </c>
      <c r="X540" s="333">
        <v>768</v>
      </c>
      <c r="Y540" s="367">
        <f>X540*W540</f>
        <v>307200</v>
      </c>
      <c r="Z540" s="409">
        <f>220/400</f>
        <v>0.55000000000000004</v>
      </c>
      <c r="AA540" s="410">
        <f t="shared" si="38"/>
        <v>168960</v>
      </c>
      <c r="AB540" s="411"/>
      <c r="AC540" s="412"/>
      <c r="AD540" s="405"/>
      <c r="AE540" s="405"/>
      <c r="AF540" s="424">
        <f t="shared" si="40"/>
        <v>168960</v>
      </c>
      <c r="AG540" s="405" t="s">
        <v>1069</v>
      </c>
      <c r="AH540" s="405"/>
      <c r="AI540" s="405">
        <v>60</v>
      </c>
      <c r="AJ540" s="406" t="s">
        <v>1643</v>
      </c>
      <c r="AK540" s="406" t="s">
        <v>1341</v>
      </c>
      <c r="AL540" s="414">
        <v>83202</v>
      </c>
      <c r="AM540" s="405" t="s">
        <v>52</v>
      </c>
      <c r="AN540" s="361" t="s">
        <v>1071</v>
      </c>
      <c r="AO540" s="405" t="s">
        <v>1073</v>
      </c>
      <c r="AP540" s="405"/>
      <c r="AQ540" s="413" t="s">
        <v>37</v>
      </c>
      <c r="AR540" s="405" t="s">
        <v>1243</v>
      </c>
      <c r="AS540" s="404"/>
      <c r="AT540" s="330"/>
      <c r="AU540" s="409">
        <f>196/400</f>
        <v>0.49</v>
      </c>
    </row>
    <row r="541" spans="1:47" s="402" customFormat="1">
      <c r="A541" s="426"/>
      <c r="B541" s="376">
        <v>44635</v>
      </c>
      <c r="C541" s="426"/>
      <c r="D541" s="443" t="s">
        <v>86</v>
      </c>
      <c r="E541" s="331"/>
      <c r="F541" s="432"/>
      <c r="G541" s="350">
        <v>2022</v>
      </c>
      <c r="H541" s="350" t="s">
        <v>2978</v>
      </c>
      <c r="I541" s="432" t="s">
        <v>1498</v>
      </c>
      <c r="J541" s="433"/>
      <c r="K541" s="432" t="s">
        <v>3012</v>
      </c>
      <c r="L541" s="432" t="s">
        <v>1642</v>
      </c>
      <c r="M541" s="433">
        <v>44546</v>
      </c>
      <c r="N541" s="433">
        <v>44676</v>
      </c>
      <c r="O541" s="433"/>
      <c r="P541" s="332"/>
      <c r="Q541" s="433"/>
      <c r="R541" s="433"/>
      <c r="S541" s="432" t="s">
        <v>1520</v>
      </c>
      <c r="T541" s="432">
        <v>60</v>
      </c>
      <c r="U541" s="432"/>
      <c r="V541" s="441" t="s">
        <v>973</v>
      </c>
      <c r="W541" s="432">
        <v>400</v>
      </c>
      <c r="X541" s="333">
        <v>768</v>
      </c>
      <c r="Y541" s="367">
        <f>X541*W541</f>
        <v>307200</v>
      </c>
      <c r="Z541" s="409">
        <f>220/400</f>
        <v>0.55000000000000004</v>
      </c>
      <c r="AA541" s="410">
        <f t="shared" si="38"/>
        <v>168960</v>
      </c>
      <c r="AB541" s="411"/>
      <c r="AC541" s="412"/>
      <c r="AD541" s="405"/>
      <c r="AE541" s="405"/>
      <c r="AF541" s="424">
        <f t="shared" si="40"/>
        <v>168960</v>
      </c>
      <c r="AG541" s="405" t="s">
        <v>1069</v>
      </c>
      <c r="AH541" s="405"/>
      <c r="AI541" s="405">
        <v>60</v>
      </c>
      <c r="AJ541" s="406" t="s">
        <v>1643</v>
      </c>
      <c r="AK541" s="406" t="s">
        <v>1341</v>
      </c>
      <c r="AL541" s="414">
        <v>83202</v>
      </c>
      <c r="AM541" s="405" t="s">
        <v>52</v>
      </c>
      <c r="AN541" s="361" t="s">
        <v>1071</v>
      </c>
      <c r="AO541" s="405" t="s">
        <v>1073</v>
      </c>
      <c r="AP541" s="405"/>
      <c r="AQ541" s="413" t="s">
        <v>37</v>
      </c>
      <c r="AR541" s="405" t="s">
        <v>1243</v>
      </c>
      <c r="AS541" s="404"/>
      <c r="AT541" s="330"/>
      <c r="AU541" s="409">
        <f>196/400</f>
        <v>0.49</v>
      </c>
    </row>
    <row r="542" spans="1:47" s="402" customFormat="1">
      <c r="A542" s="426"/>
      <c r="B542" s="376">
        <v>44635</v>
      </c>
      <c r="C542" s="426"/>
      <c r="D542" s="443" t="s">
        <v>86</v>
      </c>
      <c r="E542" s="331"/>
      <c r="F542" s="432"/>
      <c r="G542" s="350">
        <v>2022</v>
      </c>
      <c r="H542" s="350" t="s">
        <v>2978</v>
      </c>
      <c r="I542" s="432" t="s">
        <v>1498</v>
      </c>
      <c r="J542" s="433"/>
      <c r="K542" s="432" t="s">
        <v>3013</v>
      </c>
      <c r="L542" s="432" t="s">
        <v>1642</v>
      </c>
      <c r="M542" s="433">
        <v>44546</v>
      </c>
      <c r="N542" s="433">
        <v>44690</v>
      </c>
      <c r="O542" s="433"/>
      <c r="P542" s="332"/>
      <c r="Q542" s="433"/>
      <c r="R542" s="433"/>
      <c r="S542" s="432" t="s">
        <v>1520</v>
      </c>
      <c r="T542" s="432">
        <v>60</v>
      </c>
      <c r="U542" s="432"/>
      <c r="V542" s="441" t="s">
        <v>973</v>
      </c>
      <c r="W542" s="432">
        <v>400</v>
      </c>
      <c r="X542" s="333">
        <v>768</v>
      </c>
      <c r="Y542" s="367">
        <f>X542*W542</f>
        <v>307200</v>
      </c>
      <c r="Z542" s="409">
        <f>220/400</f>
        <v>0.55000000000000004</v>
      </c>
      <c r="AA542" s="410">
        <f t="shared" si="38"/>
        <v>168960</v>
      </c>
      <c r="AB542" s="411"/>
      <c r="AC542" s="412"/>
      <c r="AD542" s="405"/>
      <c r="AE542" s="405"/>
      <c r="AF542" s="424">
        <f t="shared" si="40"/>
        <v>168960</v>
      </c>
      <c r="AG542" s="405" t="s">
        <v>1069</v>
      </c>
      <c r="AH542" s="405"/>
      <c r="AI542" s="405">
        <v>60</v>
      </c>
      <c r="AJ542" s="406" t="s">
        <v>1643</v>
      </c>
      <c r="AK542" s="406" t="s">
        <v>1341</v>
      </c>
      <c r="AL542" s="414">
        <v>83202</v>
      </c>
      <c r="AM542" s="405" t="s">
        <v>52</v>
      </c>
      <c r="AN542" s="361" t="s">
        <v>1071</v>
      </c>
      <c r="AO542" s="405" t="s">
        <v>1073</v>
      </c>
      <c r="AP542" s="405"/>
      <c r="AQ542" s="413" t="s">
        <v>37</v>
      </c>
      <c r="AR542" s="405" t="s">
        <v>1243</v>
      </c>
      <c r="AS542" s="404"/>
      <c r="AT542" s="330"/>
      <c r="AU542" s="409">
        <f>196/400</f>
        <v>0.49</v>
      </c>
    </row>
    <row r="543" spans="1:47" s="402" customFormat="1">
      <c r="A543" s="426"/>
      <c r="B543" s="376">
        <v>44628</v>
      </c>
      <c r="C543" s="426"/>
      <c r="D543" s="443" t="s">
        <v>86</v>
      </c>
      <c r="E543" s="331"/>
      <c r="F543" s="432"/>
      <c r="G543" s="350">
        <v>2022</v>
      </c>
      <c r="H543" s="350" t="s">
        <v>2383</v>
      </c>
      <c r="I543" s="432" t="s">
        <v>1498</v>
      </c>
      <c r="J543" s="433"/>
      <c r="K543" s="432" t="s">
        <v>1636</v>
      </c>
      <c r="L543" s="432" t="s">
        <v>1633</v>
      </c>
      <c r="M543" s="433">
        <v>44588</v>
      </c>
      <c r="N543" s="433">
        <v>44619</v>
      </c>
      <c r="O543" s="433"/>
      <c r="P543" s="332"/>
      <c r="Q543" s="433"/>
      <c r="R543" s="433"/>
      <c r="S543" s="432" t="s">
        <v>1520</v>
      </c>
      <c r="T543" s="432">
        <v>60</v>
      </c>
      <c r="U543" s="432"/>
      <c r="V543" s="441" t="s">
        <v>986</v>
      </c>
      <c r="W543" s="432">
        <v>360</v>
      </c>
      <c r="X543" s="333">
        <v>768</v>
      </c>
      <c r="Y543" s="367">
        <f t="shared" ref="Y543:Y606" si="50">W543*X543</f>
        <v>276480</v>
      </c>
      <c r="Z543" s="409">
        <f>190.8/360</f>
        <v>0.53</v>
      </c>
      <c r="AA543" s="410">
        <f t="shared" si="38"/>
        <v>146534.39999999999</v>
      </c>
      <c r="AB543" s="411"/>
      <c r="AC543" s="412">
        <f t="shared" ref="AC543:AC561" si="51">AB543*Y543</f>
        <v>0</v>
      </c>
      <c r="AD543" s="405"/>
      <c r="AE543" s="405"/>
      <c r="AF543" s="424">
        <f t="shared" si="40"/>
        <v>146534.39999999999</v>
      </c>
      <c r="AG543" s="405" t="s">
        <v>1069</v>
      </c>
      <c r="AH543" s="405"/>
      <c r="AI543" s="405">
        <v>60</v>
      </c>
      <c r="AJ543" s="406" t="s">
        <v>1637</v>
      </c>
      <c r="AK543" s="406" t="s">
        <v>1599</v>
      </c>
      <c r="AL543" s="414" t="s">
        <v>1638</v>
      </c>
      <c r="AM543" s="405" t="s">
        <v>52</v>
      </c>
      <c r="AN543" s="361" t="s">
        <v>1071</v>
      </c>
      <c r="AO543" s="405" t="s">
        <v>1073</v>
      </c>
      <c r="AP543" s="405"/>
      <c r="AQ543" s="413" t="s">
        <v>37</v>
      </c>
      <c r="AR543" s="405" t="s">
        <v>1188</v>
      </c>
      <c r="AS543" s="404" t="s">
        <v>1392</v>
      </c>
      <c r="AT543" s="330"/>
      <c r="AU543" s="409">
        <f t="shared" ref="AU543:AU561" si="52">208/400</f>
        <v>0.52</v>
      </c>
    </row>
    <row r="544" spans="1:47" s="402" customFormat="1">
      <c r="A544" s="426"/>
      <c r="B544" s="376">
        <v>44628</v>
      </c>
      <c r="C544" s="426"/>
      <c r="D544" s="443" t="s">
        <v>86</v>
      </c>
      <c r="E544" s="331"/>
      <c r="F544" s="432"/>
      <c r="G544" s="350">
        <v>2022</v>
      </c>
      <c r="H544" s="350" t="s">
        <v>2383</v>
      </c>
      <c r="I544" s="432" t="s">
        <v>1498</v>
      </c>
      <c r="J544" s="433"/>
      <c r="K544" s="432" t="s">
        <v>1644</v>
      </c>
      <c r="L544" s="432" t="s">
        <v>1633</v>
      </c>
      <c r="M544" s="433">
        <v>44588</v>
      </c>
      <c r="N544" s="433">
        <v>44647</v>
      </c>
      <c r="O544" s="433"/>
      <c r="P544" s="332"/>
      <c r="Q544" s="433"/>
      <c r="R544" s="433"/>
      <c r="S544" s="432" t="s">
        <v>1520</v>
      </c>
      <c r="T544" s="432">
        <v>60</v>
      </c>
      <c r="U544" s="432"/>
      <c r="V544" s="441" t="s">
        <v>986</v>
      </c>
      <c r="W544" s="432">
        <v>360</v>
      </c>
      <c r="X544" s="333">
        <v>1536</v>
      </c>
      <c r="Y544" s="367">
        <f t="shared" si="50"/>
        <v>552960</v>
      </c>
      <c r="Z544" s="409">
        <f>190.8/360</f>
        <v>0.53</v>
      </c>
      <c r="AA544" s="410">
        <f t="shared" si="38"/>
        <v>293068.79999999999</v>
      </c>
      <c r="AB544" s="411"/>
      <c r="AC544" s="412">
        <f t="shared" si="51"/>
        <v>0</v>
      </c>
      <c r="AD544" s="405"/>
      <c r="AE544" s="405"/>
      <c r="AF544" s="424">
        <f t="shared" si="40"/>
        <v>293068.79999999999</v>
      </c>
      <c r="AG544" s="405" t="s">
        <v>1069</v>
      </c>
      <c r="AH544" s="405"/>
      <c r="AI544" s="405">
        <v>60</v>
      </c>
      <c r="AJ544" s="406" t="s">
        <v>1637</v>
      </c>
      <c r="AK544" s="406" t="s">
        <v>1599</v>
      </c>
      <c r="AL544" s="414" t="s">
        <v>1638</v>
      </c>
      <c r="AM544" s="405" t="s">
        <v>52</v>
      </c>
      <c r="AN544" s="361" t="s">
        <v>1071</v>
      </c>
      <c r="AO544" s="405" t="s">
        <v>1073</v>
      </c>
      <c r="AP544" s="405"/>
      <c r="AQ544" s="413" t="s">
        <v>37</v>
      </c>
      <c r="AR544" s="405" t="s">
        <v>1188</v>
      </c>
      <c r="AS544" s="404" t="s">
        <v>1392</v>
      </c>
      <c r="AT544" s="330"/>
      <c r="AU544" s="409">
        <f t="shared" si="52"/>
        <v>0.52</v>
      </c>
    </row>
    <row r="545" spans="1:47" s="402" customFormat="1">
      <c r="A545" s="426"/>
      <c r="B545" s="376">
        <v>44628</v>
      </c>
      <c r="C545" s="426"/>
      <c r="D545" s="443" t="s">
        <v>86</v>
      </c>
      <c r="E545" s="331"/>
      <c r="F545" s="432"/>
      <c r="G545" s="350">
        <v>2022</v>
      </c>
      <c r="H545" s="350" t="s">
        <v>2383</v>
      </c>
      <c r="I545" s="432" t="s">
        <v>1498</v>
      </c>
      <c r="J545" s="433"/>
      <c r="K545" s="432" t="s">
        <v>1734</v>
      </c>
      <c r="L545" s="432" t="s">
        <v>1633</v>
      </c>
      <c r="M545" s="433">
        <v>44588</v>
      </c>
      <c r="N545" s="433">
        <v>44678</v>
      </c>
      <c r="O545" s="433"/>
      <c r="P545" s="332"/>
      <c r="Q545" s="433"/>
      <c r="R545" s="433"/>
      <c r="S545" s="432" t="s">
        <v>1520</v>
      </c>
      <c r="T545" s="432">
        <v>60</v>
      </c>
      <c r="U545" s="432"/>
      <c r="V545" s="441" t="s">
        <v>986</v>
      </c>
      <c r="W545" s="432">
        <v>360</v>
      </c>
      <c r="X545" s="333">
        <v>1536</v>
      </c>
      <c r="Y545" s="367">
        <f t="shared" si="50"/>
        <v>552960</v>
      </c>
      <c r="Z545" s="409">
        <f>190.8/360</f>
        <v>0.53</v>
      </c>
      <c r="AA545" s="410">
        <f t="shared" si="38"/>
        <v>293068.79999999999</v>
      </c>
      <c r="AB545" s="411"/>
      <c r="AC545" s="412">
        <f t="shared" si="51"/>
        <v>0</v>
      </c>
      <c r="AD545" s="405"/>
      <c r="AE545" s="405"/>
      <c r="AF545" s="424">
        <f t="shared" si="40"/>
        <v>293068.79999999999</v>
      </c>
      <c r="AG545" s="405" t="s">
        <v>1069</v>
      </c>
      <c r="AH545" s="405"/>
      <c r="AI545" s="405">
        <v>60</v>
      </c>
      <c r="AJ545" s="406" t="s">
        <v>1637</v>
      </c>
      <c r="AK545" s="406" t="s">
        <v>1599</v>
      </c>
      <c r="AL545" s="414" t="s">
        <v>1638</v>
      </c>
      <c r="AM545" s="405" t="s">
        <v>52</v>
      </c>
      <c r="AN545" s="361" t="s">
        <v>1071</v>
      </c>
      <c r="AO545" s="405" t="s">
        <v>1073</v>
      </c>
      <c r="AP545" s="405"/>
      <c r="AQ545" s="413" t="s">
        <v>37</v>
      </c>
      <c r="AR545" s="405" t="s">
        <v>1188</v>
      </c>
      <c r="AS545" s="404" t="s">
        <v>1392</v>
      </c>
      <c r="AT545" s="330"/>
      <c r="AU545" s="409">
        <f t="shared" si="52"/>
        <v>0.52</v>
      </c>
    </row>
    <row r="546" spans="1:47" s="402" customFormat="1">
      <c r="A546" s="426"/>
      <c r="B546" s="376">
        <v>44628</v>
      </c>
      <c r="C546" s="426"/>
      <c r="D546" s="443" t="s">
        <v>86</v>
      </c>
      <c r="E546" s="331"/>
      <c r="F546" s="432"/>
      <c r="G546" s="350">
        <v>2022</v>
      </c>
      <c r="H546" s="350" t="s">
        <v>2383</v>
      </c>
      <c r="I546" s="432" t="s">
        <v>1498</v>
      </c>
      <c r="J546" s="433"/>
      <c r="K546" s="432" t="s">
        <v>1735</v>
      </c>
      <c r="L546" s="432" t="s">
        <v>1633</v>
      </c>
      <c r="M546" s="433">
        <v>44588</v>
      </c>
      <c r="N546" s="433">
        <v>44708</v>
      </c>
      <c r="O546" s="433"/>
      <c r="P546" s="332"/>
      <c r="Q546" s="433"/>
      <c r="R546" s="433"/>
      <c r="S546" s="432" t="s">
        <v>1520</v>
      </c>
      <c r="T546" s="432">
        <v>60</v>
      </c>
      <c r="U546" s="432"/>
      <c r="V546" s="441" t="s">
        <v>986</v>
      </c>
      <c r="W546" s="432">
        <v>360</v>
      </c>
      <c r="X546" s="333">
        <v>1536</v>
      </c>
      <c r="Y546" s="367">
        <f t="shared" si="50"/>
        <v>552960</v>
      </c>
      <c r="Z546" s="409">
        <f>190.8/360</f>
        <v>0.53</v>
      </c>
      <c r="AA546" s="410">
        <f t="shared" si="38"/>
        <v>293068.79999999999</v>
      </c>
      <c r="AB546" s="411"/>
      <c r="AC546" s="412">
        <f t="shared" si="51"/>
        <v>0</v>
      </c>
      <c r="AD546" s="405"/>
      <c r="AE546" s="405"/>
      <c r="AF546" s="424">
        <f t="shared" si="40"/>
        <v>293068.79999999999</v>
      </c>
      <c r="AG546" s="405" t="s">
        <v>1069</v>
      </c>
      <c r="AH546" s="405"/>
      <c r="AI546" s="405">
        <v>60</v>
      </c>
      <c r="AJ546" s="406" t="s">
        <v>1637</v>
      </c>
      <c r="AK546" s="406" t="s">
        <v>1599</v>
      </c>
      <c r="AL546" s="414" t="s">
        <v>1638</v>
      </c>
      <c r="AM546" s="405" t="s">
        <v>52</v>
      </c>
      <c r="AN546" s="361" t="s">
        <v>1071</v>
      </c>
      <c r="AO546" s="405" t="s">
        <v>1073</v>
      </c>
      <c r="AP546" s="405"/>
      <c r="AQ546" s="413" t="s">
        <v>37</v>
      </c>
      <c r="AR546" s="405" t="s">
        <v>1188</v>
      </c>
      <c r="AS546" s="404" t="s">
        <v>1392</v>
      </c>
      <c r="AT546" s="330"/>
      <c r="AU546" s="409">
        <f t="shared" si="52"/>
        <v>0.52</v>
      </c>
    </row>
    <row r="547" spans="1:47" s="402" customFormat="1">
      <c r="A547" s="426"/>
      <c r="B547" s="376">
        <v>44628</v>
      </c>
      <c r="C547" s="426"/>
      <c r="D547" s="443" t="s">
        <v>86</v>
      </c>
      <c r="E547" s="331"/>
      <c r="F547" s="432"/>
      <c r="G547" s="350">
        <v>2022</v>
      </c>
      <c r="H547" s="350" t="s">
        <v>2383</v>
      </c>
      <c r="I547" s="432" t="s">
        <v>1498</v>
      </c>
      <c r="J547" s="433"/>
      <c r="K547" s="432" t="s">
        <v>3014</v>
      </c>
      <c r="L547" s="432" t="s">
        <v>1633</v>
      </c>
      <c r="M547" s="433">
        <v>44588</v>
      </c>
      <c r="N547" s="433">
        <v>44708</v>
      </c>
      <c r="O547" s="433"/>
      <c r="P547" s="332"/>
      <c r="Q547" s="433"/>
      <c r="R547" s="433"/>
      <c r="S547" s="432" t="s">
        <v>1520</v>
      </c>
      <c r="T547" s="432">
        <v>60</v>
      </c>
      <c r="U547" s="432"/>
      <c r="V547" s="441" t="s">
        <v>1192</v>
      </c>
      <c r="W547" s="432">
        <v>360</v>
      </c>
      <c r="X547" s="333">
        <v>676</v>
      </c>
      <c r="Y547" s="367">
        <f t="shared" si="50"/>
        <v>243360</v>
      </c>
      <c r="Z547" s="409">
        <f>298.8/360</f>
        <v>0.83000000000000007</v>
      </c>
      <c r="AA547" s="410">
        <f t="shared" si="38"/>
        <v>201988.80000000002</v>
      </c>
      <c r="AB547" s="411"/>
      <c r="AC547" s="412">
        <f t="shared" si="51"/>
        <v>0</v>
      </c>
      <c r="AD547" s="405"/>
      <c r="AE547" s="405"/>
      <c r="AF547" s="424">
        <f t="shared" si="40"/>
        <v>201988.80000000002</v>
      </c>
      <c r="AG547" s="405" t="s">
        <v>1069</v>
      </c>
      <c r="AH547" s="405"/>
      <c r="AI547" s="405">
        <v>60</v>
      </c>
      <c r="AJ547" s="406" t="s">
        <v>1637</v>
      </c>
      <c r="AK547" s="406" t="s">
        <v>1599</v>
      </c>
      <c r="AL547" s="414" t="s">
        <v>1638</v>
      </c>
      <c r="AM547" s="405" t="s">
        <v>52</v>
      </c>
      <c r="AN547" s="361" t="s">
        <v>1071</v>
      </c>
      <c r="AO547" s="405" t="s">
        <v>1073</v>
      </c>
      <c r="AP547" s="405"/>
      <c r="AQ547" s="413" t="s">
        <v>37</v>
      </c>
      <c r="AR547" s="405" t="s">
        <v>1188</v>
      </c>
      <c r="AS547" s="404" t="s">
        <v>1392</v>
      </c>
      <c r="AT547" s="330"/>
      <c r="AU547" s="409">
        <f t="shared" si="52"/>
        <v>0.52</v>
      </c>
    </row>
    <row r="548" spans="1:47" s="402" customFormat="1">
      <c r="A548" s="426"/>
      <c r="B548" s="376"/>
      <c r="C548" s="426"/>
      <c r="D548" s="443" t="s">
        <v>86</v>
      </c>
      <c r="E548" s="331"/>
      <c r="F548" s="432"/>
      <c r="G548" s="350">
        <v>2022</v>
      </c>
      <c r="H548" s="350" t="s">
        <v>2383</v>
      </c>
      <c r="I548" s="432" t="s">
        <v>1498</v>
      </c>
      <c r="J548" s="433"/>
      <c r="K548" s="432" t="s">
        <v>3015</v>
      </c>
      <c r="L548" s="432" t="s">
        <v>1633</v>
      </c>
      <c r="M548" s="433">
        <v>44636</v>
      </c>
      <c r="N548" s="433">
        <v>44713</v>
      </c>
      <c r="O548" s="433"/>
      <c r="P548" s="332"/>
      <c r="Q548" s="433"/>
      <c r="R548" s="433"/>
      <c r="S548" s="432" t="s">
        <v>1520</v>
      </c>
      <c r="T548" s="432">
        <v>60</v>
      </c>
      <c r="U548" s="432"/>
      <c r="V548" s="441" t="s">
        <v>973</v>
      </c>
      <c r="W548" s="432">
        <v>400</v>
      </c>
      <c r="X548" s="333">
        <v>3072</v>
      </c>
      <c r="Y548" s="367">
        <f t="shared" si="50"/>
        <v>1228800</v>
      </c>
      <c r="Z548" s="409">
        <f t="shared" ref="Z548:Z565" si="53">220/400</f>
        <v>0.55000000000000004</v>
      </c>
      <c r="AA548" s="410">
        <f t="shared" si="38"/>
        <v>675840</v>
      </c>
      <c r="AB548" s="411"/>
      <c r="AC548" s="412">
        <f t="shared" si="51"/>
        <v>0</v>
      </c>
      <c r="AD548" s="405"/>
      <c r="AE548" s="405"/>
      <c r="AF548" s="424">
        <f t="shared" si="40"/>
        <v>675840</v>
      </c>
      <c r="AG548" s="405" t="s">
        <v>1069</v>
      </c>
      <c r="AH548" s="405"/>
      <c r="AI548" s="405">
        <v>60</v>
      </c>
      <c r="AJ548" s="406" t="s">
        <v>3016</v>
      </c>
      <c r="AK548" s="406" t="s">
        <v>1599</v>
      </c>
      <c r="AL548" s="414" t="s">
        <v>1635</v>
      </c>
      <c r="AM548" s="405" t="s">
        <v>52</v>
      </c>
      <c r="AN548" s="361" t="s">
        <v>1071</v>
      </c>
      <c r="AO548" s="405" t="s">
        <v>1073</v>
      </c>
      <c r="AP548" s="405"/>
      <c r="AQ548" s="413" t="s">
        <v>37</v>
      </c>
      <c r="AR548" s="405" t="s">
        <v>1188</v>
      </c>
      <c r="AS548" s="404" t="s">
        <v>1392</v>
      </c>
      <c r="AT548" s="330"/>
      <c r="AU548" s="409">
        <f t="shared" si="52"/>
        <v>0.52</v>
      </c>
    </row>
    <row r="549" spans="1:47" s="402" customFormat="1">
      <c r="A549" s="426"/>
      <c r="B549" s="376"/>
      <c r="C549" s="426"/>
      <c r="D549" s="443" t="s">
        <v>86</v>
      </c>
      <c r="E549" s="331"/>
      <c r="F549" s="432"/>
      <c r="G549" s="350">
        <v>2022</v>
      </c>
      <c r="H549" s="350" t="s">
        <v>2383</v>
      </c>
      <c r="I549" s="432" t="s">
        <v>1498</v>
      </c>
      <c r="J549" s="433"/>
      <c r="K549" s="432" t="s">
        <v>3017</v>
      </c>
      <c r="L549" s="432" t="s">
        <v>1633</v>
      </c>
      <c r="M549" s="433">
        <v>44636</v>
      </c>
      <c r="N549" s="433">
        <v>44743</v>
      </c>
      <c r="O549" s="433"/>
      <c r="P549" s="332"/>
      <c r="Q549" s="433"/>
      <c r="R549" s="433"/>
      <c r="S549" s="432" t="s">
        <v>1520</v>
      </c>
      <c r="T549" s="432">
        <v>60</v>
      </c>
      <c r="U549" s="432"/>
      <c r="V549" s="441" t="s">
        <v>973</v>
      </c>
      <c r="W549" s="432">
        <v>400</v>
      </c>
      <c r="X549" s="333">
        <v>3072</v>
      </c>
      <c r="Y549" s="367">
        <f t="shared" si="50"/>
        <v>1228800</v>
      </c>
      <c r="Z549" s="409">
        <f t="shared" si="53"/>
        <v>0.55000000000000004</v>
      </c>
      <c r="AA549" s="410">
        <f t="shared" si="38"/>
        <v>675840</v>
      </c>
      <c r="AB549" s="411"/>
      <c r="AC549" s="412">
        <f t="shared" si="51"/>
        <v>0</v>
      </c>
      <c r="AD549" s="405"/>
      <c r="AE549" s="405"/>
      <c r="AF549" s="424">
        <f t="shared" si="40"/>
        <v>675840</v>
      </c>
      <c r="AG549" s="405" t="s">
        <v>1069</v>
      </c>
      <c r="AH549" s="405"/>
      <c r="AI549" s="405">
        <v>60</v>
      </c>
      <c r="AJ549" s="406" t="s">
        <v>3016</v>
      </c>
      <c r="AK549" s="406" t="s">
        <v>1599</v>
      </c>
      <c r="AL549" s="414" t="s">
        <v>1635</v>
      </c>
      <c r="AM549" s="405" t="s">
        <v>52</v>
      </c>
      <c r="AN549" s="361" t="s">
        <v>1071</v>
      </c>
      <c r="AO549" s="405" t="s">
        <v>1073</v>
      </c>
      <c r="AP549" s="405"/>
      <c r="AQ549" s="413" t="s">
        <v>37</v>
      </c>
      <c r="AR549" s="405" t="s">
        <v>1188</v>
      </c>
      <c r="AS549" s="404" t="s">
        <v>1392</v>
      </c>
      <c r="AT549" s="330"/>
      <c r="AU549" s="409">
        <f t="shared" si="52"/>
        <v>0.52</v>
      </c>
    </row>
    <row r="550" spans="1:47" s="402" customFormat="1">
      <c r="A550" s="426"/>
      <c r="B550" s="376"/>
      <c r="C550" s="426"/>
      <c r="D550" s="443" t="s">
        <v>86</v>
      </c>
      <c r="E550" s="331"/>
      <c r="F550" s="432"/>
      <c r="G550" s="350">
        <v>2022</v>
      </c>
      <c r="H550" s="350" t="s">
        <v>2383</v>
      </c>
      <c r="I550" s="432" t="s">
        <v>1498</v>
      </c>
      <c r="J550" s="433"/>
      <c r="K550" s="432" t="s">
        <v>3018</v>
      </c>
      <c r="L550" s="432" t="s">
        <v>1633</v>
      </c>
      <c r="M550" s="433">
        <v>44636</v>
      </c>
      <c r="N550" s="433">
        <v>44774</v>
      </c>
      <c r="O550" s="433"/>
      <c r="P550" s="332"/>
      <c r="Q550" s="433"/>
      <c r="R550" s="433"/>
      <c r="S550" s="432" t="s">
        <v>1520</v>
      </c>
      <c r="T550" s="432">
        <v>60</v>
      </c>
      <c r="U550" s="432"/>
      <c r="V550" s="441" t="s">
        <v>973</v>
      </c>
      <c r="W550" s="432">
        <v>400</v>
      </c>
      <c r="X550" s="333">
        <v>3072</v>
      </c>
      <c r="Y550" s="367">
        <f t="shared" si="50"/>
        <v>1228800</v>
      </c>
      <c r="Z550" s="409">
        <f t="shared" si="53"/>
        <v>0.55000000000000004</v>
      </c>
      <c r="AA550" s="410">
        <f t="shared" si="38"/>
        <v>675840</v>
      </c>
      <c r="AB550" s="411"/>
      <c r="AC550" s="412">
        <f t="shared" si="51"/>
        <v>0</v>
      </c>
      <c r="AD550" s="405"/>
      <c r="AE550" s="405"/>
      <c r="AF550" s="424">
        <f t="shared" si="40"/>
        <v>675840</v>
      </c>
      <c r="AG550" s="405" t="s">
        <v>1069</v>
      </c>
      <c r="AH550" s="405"/>
      <c r="AI550" s="405">
        <v>60</v>
      </c>
      <c r="AJ550" s="406" t="s">
        <v>3016</v>
      </c>
      <c r="AK550" s="406" t="s">
        <v>1599</v>
      </c>
      <c r="AL550" s="414" t="s">
        <v>1635</v>
      </c>
      <c r="AM550" s="405" t="s">
        <v>52</v>
      </c>
      <c r="AN550" s="361" t="s">
        <v>1071</v>
      </c>
      <c r="AO550" s="405" t="s">
        <v>1073</v>
      </c>
      <c r="AP550" s="405"/>
      <c r="AQ550" s="413" t="s">
        <v>37</v>
      </c>
      <c r="AR550" s="405" t="s">
        <v>1188</v>
      </c>
      <c r="AS550" s="404" t="s">
        <v>1392</v>
      </c>
      <c r="AT550" s="330"/>
      <c r="AU550" s="409">
        <f t="shared" si="52"/>
        <v>0.52</v>
      </c>
    </row>
    <row r="551" spans="1:47" s="402" customFormat="1">
      <c r="A551" s="426"/>
      <c r="B551" s="376"/>
      <c r="C551" s="426"/>
      <c r="D551" s="443" t="s">
        <v>86</v>
      </c>
      <c r="E551" s="331"/>
      <c r="F551" s="432"/>
      <c r="G551" s="350">
        <v>2022</v>
      </c>
      <c r="H551" s="350" t="s">
        <v>2383</v>
      </c>
      <c r="I551" s="432" t="s">
        <v>1498</v>
      </c>
      <c r="J551" s="433"/>
      <c r="K551" s="432" t="s">
        <v>3019</v>
      </c>
      <c r="L551" s="432" t="s">
        <v>1633</v>
      </c>
      <c r="M551" s="433">
        <v>44636</v>
      </c>
      <c r="N551" s="433">
        <v>44805</v>
      </c>
      <c r="O551" s="433"/>
      <c r="P551" s="332"/>
      <c r="Q551" s="433"/>
      <c r="R551" s="433"/>
      <c r="S551" s="432" t="s">
        <v>1520</v>
      </c>
      <c r="T551" s="432">
        <v>60</v>
      </c>
      <c r="U551" s="432"/>
      <c r="V551" s="441" t="s">
        <v>973</v>
      </c>
      <c r="W551" s="432">
        <v>400</v>
      </c>
      <c r="X551" s="333">
        <v>3072</v>
      </c>
      <c r="Y551" s="367">
        <f t="shared" si="50"/>
        <v>1228800</v>
      </c>
      <c r="Z551" s="409">
        <f t="shared" si="53"/>
        <v>0.55000000000000004</v>
      </c>
      <c r="AA551" s="410">
        <f t="shared" si="38"/>
        <v>675840</v>
      </c>
      <c r="AB551" s="411"/>
      <c r="AC551" s="412">
        <f t="shared" si="51"/>
        <v>0</v>
      </c>
      <c r="AD551" s="405"/>
      <c r="AE551" s="405"/>
      <c r="AF551" s="424">
        <f t="shared" si="40"/>
        <v>675840</v>
      </c>
      <c r="AG551" s="405" t="s">
        <v>1069</v>
      </c>
      <c r="AH551" s="405"/>
      <c r="AI551" s="405">
        <v>60</v>
      </c>
      <c r="AJ551" s="406" t="s">
        <v>3016</v>
      </c>
      <c r="AK551" s="406" t="s">
        <v>1599</v>
      </c>
      <c r="AL551" s="414" t="s">
        <v>1635</v>
      </c>
      <c r="AM551" s="405" t="s">
        <v>52</v>
      </c>
      <c r="AN551" s="361" t="s">
        <v>1071</v>
      </c>
      <c r="AO551" s="405" t="s">
        <v>1073</v>
      </c>
      <c r="AP551" s="405"/>
      <c r="AQ551" s="413" t="s">
        <v>37</v>
      </c>
      <c r="AR551" s="405" t="s">
        <v>1188</v>
      </c>
      <c r="AS551" s="404" t="s">
        <v>1392</v>
      </c>
      <c r="AT551" s="330"/>
      <c r="AU551" s="409">
        <f t="shared" si="52"/>
        <v>0.52</v>
      </c>
    </row>
    <row r="552" spans="1:47" s="402" customFormat="1">
      <c r="A552" s="426"/>
      <c r="B552" s="376"/>
      <c r="C552" s="426"/>
      <c r="D552" s="443" t="s">
        <v>86</v>
      </c>
      <c r="E552" s="331"/>
      <c r="F552" s="432"/>
      <c r="G552" s="350">
        <v>2022</v>
      </c>
      <c r="H552" s="350" t="s">
        <v>2383</v>
      </c>
      <c r="I552" s="432" t="s">
        <v>1498</v>
      </c>
      <c r="J552" s="433"/>
      <c r="K552" s="432" t="s">
        <v>3020</v>
      </c>
      <c r="L552" s="432" t="s">
        <v>1633</v>
      </c>
      <c r="M552" s="433">
        <v>44636</v>
      </c>
      <c r="N552" s="433">
        <v>44835</v>
      </c>
      <c r="O552" s="433"/>
      <c r="P552" s="332"/>
      <c r="Q552" s="433"/>
      <c r="R552" s="433"/>
      <c r="S552" s="432" t="s">
        <v>1520</v>
      </c>
      <c r="T552" s="432">
        <v>60</v>
      </c>
      <c r="U552" s="432"/>
      <c r="V552" s="441" t="s">
        <v>973</v>
      </c>
      <c r="W552" s="432">
        <v>400</v>
      </c>
      <c r="X552" s="333">
        <v>3072</v>
      </c>
      <c r="Y552" s="367">
        <f t="shared" si="50"/>
        <v>1228800</v>
      </c>
      <c r="Z552" s="409">
        <f t="shared" si="53"/>
        <v>0.55000000000000004</v>
      </c>
      <c r="AA552" s="410">
        <f t="shared" si="38"/>
        <v>675840</v>
      </c>
      <c r="AB552" s="411"/>
      <c r="AC552" s="412">
        <f t="shared" si="51"/>
        <v>0</v>
      </c>
      <c r="AD552" s="405"/>
      <c r="AE552" s="405"/>
      <c r="AF552" s="424">
        <f t="shared" si="40"/>
        <v>675840</v>
      </c>
      <c r="AG552" s="405" t="s">
        <v>1069</v>
      </c>
      <c r="AH552" s="405"/>
      <c r="AI552" s="405">
        <v>60</v>
      </c>
      <c r="AJ552" s="406" t="s">
        <v>3016</v>
      </c>
      <c r="AK552" s="406" t="s">
        <v>1599</v>
      </c>
      <c r="AL552" s="414" t="s">
        <v>1635</v>
      </c>
      <c r="AM552" s="405" t="s">
        <v>52</v>
      </c>
      <c r="AN552" s="361" t="s">
        <v>1071</v>
      </c>
      <c r="AO552" s="405" t="s">
        <v>1073</v>
      </c>
      <c r="AP552" s="405"/>
      <c r="AQ552" s="413" t="s">
        <v>37</v>
      </c>
      <c r="AR552" s="405" t="s">
        <v>1188</v>
      </c>
      <c r="AS552" s="404" t="s">
        <v>1392</v>
      </c>
      <c r="AT552" s="330"/>
      <c r="AU552" s="409">
        <f t="shared" si="52"/>
        <v>0.52</v>
      </c>
    </row>
    <row r="553" spans="1:47" s="402" customFormat="1">
      <c r="A553" s="426"/>
      <c r="B553" s="376"/>
      <c r="C553" s="426"/>
      <c r="D553" s="443" t="s">
        <v>86</v>
      </c>
      <c r="E553" s="331"/>
      <c r="F553" s="432"/>
      <c r="G553" s="350">
        <v>2022</v>
      </c>
      <c r="H553" s="350" t="s">
        <v>2383</v>
      </c>
      <c r="I553" s="432" t="s">
        <v>1498</v>
      </c>
      <c r="J553" s="433"/>
      <c r="K553" s="432" t="s">
        <v>3021</v>
      </c>
      <c r="L553" s="432" t="s">
        <v>1633</v>
      </c>
      <c r="M553" s="433">
        <v>44636</v>
      </c>
      <c r="N553" s="433">
        <v>44866</v>
      </c>
      <c r="O553" s="433"/>
      <c r="P553" s="332"/>
      <c r="Q553" s="433"/>
      <c r="R553" s="433"/>
      <c r="S553" s="432" t="s">
        <v>1520</v>
      </c>
      <c r="T553" s="432">
        <v>60</v>
      </c>
      <c r="U553" s="432"/>
      <c r="V553" s="441" t="s">
        <v>973</v>
      </c>
      <c r="W553" s="432">
        <v>400</v>
      </c>
      <c r="X553" s="333">
        <v>3072</v>
      </c>
      <c r="Y553" s="367">
        <f t="shared" si="50"/>
        <v>1228800</v>
      </c>
      <c r="Z553" s="409">
        <f t="shared" si="53"/>
        <v>0.55000000000000004</v>
      </c>
      <c r="AA553" s="410">
        <f t="shared" si="38"/>
        <v>675840</v>
      </c>
      <c r="AB553" s="411"/>
      <c r="AC553" s="412">
        <f t="shared" si="51"/>
        <v>0</v>
      </c>
      <c r="AD553" s="405"/>
      <c r="AE553" s="405"/>
      <c r="AF553" s="424">
        <f t="shared" si="40"/>
        <v>675840</v>
      </c>
      <c r="AG553" s="405" t="s">
        <v>1069</v>
      </c>
      <c r="AH553" s="405"/>
      <c r="AI553" s="405">
        <v>60</v>
      </c>
      <c r="AJ553" s="406" t="s">
        <v>3016</v>
      </c>
      <c r="AK553" s="406" t="s">
        <v>1599</v>
      </c>
      <c r="AL553" s="414" t="s">
        <v>1635</v>
      </c>
      <c r="AM553" s="405" t="s">
        <v>52</v>
      </c>
      <c r="AN553" s="361" t="s">
        <v>1071</v>
      </c>
      <c r="AO553" s="405" t="s">
        <v>1073</v>
      </c>
      <c r="AP553" s="405"/>
      <c r="AQ553" s="413" t="s">
        <v>37</v>
      </c>
      <c r="AR553" s="405" t="s">
        <v>1188</v>
      </c>
      <c r="AS553" s="404" t="s">
        <v>1392</v>
      </c>
      <c r="AT553" s="330"/>
      <c r="AU553" s="409">
        <f t="shared" si="52"/>
        <v>0.52</v>
      </c>
    </row>
    <row r="554" spans="1:47" s="402" customFormat="1">
      <c r="A554" s="426"/>
      <c r="B554" s="376"/>
      <c r="C554" s="426"/>
      <c r="D554" s="443" t="s">
        <v>86</v>
      </c>
      <c r="E554" s="331"/>
      <c r="F554" s="432"/>
      <c r="G554" s="350">
        <v>2022</v>
      </c>
      <c r="H554" s="350" t="s">
        <v>2383</v>
      </c>
      <c r="I554" s="432" t="s">
        <v>1498</v>
      </c>
      <c r="J554" s="433"/>
      <c r="K554" s="432" t="s">
        <v>3022</v>
      </c>
      <c r="L554" s="432" t="s">
        <v>1633</v>
      </c>
      <c r="M554" s="433">
        <v>44636</v>
      </c>
      <c r="N554" s="433">
        <v>44896</v>
      </c>
      <c r="O554" s="433"/>
      <c r="P554" s="332"/>
      <c r="Q554" s="433"/>
      <c r="R554" s="433"/>
      <c r="S554" s="432" t="s">
        <v>1520</v>
      </c>
      <c r="T554" s="432">
        <v>60</v>
      </c>
      <c r="U554" s="432"/>
      <c r="V554" s="441" t="s">
        <v>973</v>
      </c>
      <c r="W554" s="432">
        <v>400</v>
      </c>
      <c r="X554" s="333">
        <v>3072</v>
      </c>
      <c r="Y554" s="367">
        <f t="shared" si="50"/>
        <v>1228800</v>
      </c>
      <c r="Z554" s="409">
        <f t="shared" si="53"/>
        <v>0.55000000000000004</v>
      </c>
      <c r="AA554" s="410">
        <f t="shared" si="38"/>
        <v>675840</v>
      </c>
      <c r="AB554" s="411"/>
      <c r="AC554" s="412">
        <f t="shared" si="51"/>
        <v>0</v>
      </c>
      <c r="AD554" s="405"/>
      <c r="AE554" s="405"/>
      <c r="AF554" s="424">
        <f t="shared" si="40"/>
        <v>675840</v>
      </c>
      <c r="AG554" s="405" t="s">
        <v>1069</v>
      </c>
      <c r="AH554" s="405"/>
      <c r="AI554" s="405">
        <v>60</v>
      </c>
      <c r="AJ554" s="406" t="s">
        <v>3016</v>
      </c>
      <c r="AK554" s="406" t="s">
        <v>1599</v>
      </c>
      <c r="AL554" s="414" t="s">
        <v>1635</v>
      </c>
      <c r="AM554" s="405" t="s">
        <v>52</v>
      </c>
      <c r="AN554" s="361" t="s">
        <v>1071</v>
      </c>
      <c r="AO554" s="405" t="s">
        <v>1073</v>
      </c>
      <c r="AP554" s="405"/>
      <c r="AQ554" s="413" t="s">
        <v>37</v>
      </c>
      <c r="AR554" s="405" t="s">
        <v>1188</v>
      </c>
      <c r="AS554" s="404" t="s">
        <v>1392</v>
      </c>
      <c r="AT554" s="330"/>
      <c r="AU554" s="409">
        <f t="shared" si="52"/>
        <v>0.52</v>
      </c>
    </row>
    <row r="555" spans="1:47" s="402" customFormat="1">
      <c r="A555" s="426"/>
      <c r="B555" s="376"/>
      <c r="C555" s="426"/>
      <c r="D555" s="443" t="s">
        <v>86</v>
      </c>
      <c r="E555" s="331" t="s">
        <v>4441</v>
      </c>
      <c r="F555" s="432"/>
      <c r="G555" s="350">
        <v>2022</v>
      </c>
      <c r="H555" s="350" t="s">
        <v>2383</v>
      </c>
      <c r="I555" s="432" t="s">
        <v>1498</v>
      </c>
      <c r="J555" s="433"/>
      <c r="K555" s="432" t="s">
        <v>4442</v>
      </c>
      <c r="L555" s="432" t="s">
        <v>1633</v>
      </c>
      <c r="M555" s="433">
        <v>44676</v>
      </c>
      <c r="N555" s="433">
        <v>44740</v>
      </c>
      <c r="O555" s="433"/>
      <c r="P555" s="332"/>
      <c r="Q555" s="433"/>
      <c r="R555" s="433"/>
      <c r="S555" s="432" t="s">
        <v>1520</v>
      </c>
      <c r="T555" s="432">
        <v>60</v>
      </c>
      <c r="U555" s="432"/>
      <c r="V555" s="441" t="s">
        <v>973</v>
      </c>
      <c r="W555" s="432">
        <v>400</v>
      </c>
      <c r="X555" s="333">
        <v>3072</v>
      </c>
      <c r="Y555" s="367">
        <f t="shared" si="50"/>
        <v>1228800</v>
      </c>
      <c r="Z555" s="409">
        <f>256/400</f>
        <v>0.64</v>
      </c>
      <c r="AA555" s="410">
        <f t="shared" si="38"/>
        <v>786432</v>
      </c>
      <c r="AB555" s="411"/>
      <c r="AC555" s="412">
        <f t="shared" si="51"/>
        <v>0</v>
      </c>
      <c r="AD555" s="405"/>
      <c r="AE555" s="405"/>
      <c r="AF555" s="424">
        <f t="shared" si="40"/>
        <v>786432</v>
      </c>
      <c r="AG555" s="405" t="s">
        <v>1069</v>
      </c>
      <c r="AH555" s="405"/>
      <c r="AI555" s="405">
        <v>60</v>
      </c>
      <c r="AJ555" s="406" t="s">
        <v>3016</v>
      </c>
      <c r="AK555" s="406" t="s">
        <v>1599</v>
      </c>
      <c r="AL555" s="414" t="s">
        <v>1635</v>
      </c>
      <c r="AM555" s="405" t="s">
        <v>52</v>
      </c>
      <c r="AN555" s="361" t="s">
        <v>1071</v>
      </c>
      <c r="AO555" s="405" t="s">
        <v>1073</v>
      </c>
      <c r="AP555" s="405"/>
      <c r="AQ555" s="413" t="s">
        <v>37</v>
      </c>
      <c r="AR555" s="405" t="s">
        <v>1188</v>
      </c>
      <c r="AS555" s="404" t="s">
        <v>1392</v>
      </c>
      <c r="AT555" s="330"/>
      <c r="AU555" s="409">
        <f t="shared" si="52"/>
        <v>0.52</v>
      </c>
    </row>
    <row r="556" spans="1:47" s="402" customFormat="1">
      <c r="A556" s="426"/>
      <c r="B556" s="376"/>
      <c r="C556" s="426"/>
      <c r="D556" s="443" t="s">
        <v>86</v>
      </c>
      <c r="E556" s="331" t="s">
        <v>4441</v>
      </c>
      <c r="F556" s="432"/>
      <c r="G556" s="350">
        <v>2022</v>
      </c>
      <c r="H556" s="350" t="s">
        <v>2383</v>
      </c>
      <c r="I556" s="432" t="s">
        <v>1498</v>
      </c>
      <c r="J556" s="433"/>
      <c r="K556" s="432" t="s">
        <v>4443</v>
      </c>
      <c r="L556" s="432" t="s">
        <v>1633</v>
      </c>
      <c r="M556" s="433">
        <v>44676</v>
      </c>
      <c r="N556" s="433">
        <v>44770</v>
      </c>
      <c r="O556" s="433"/>
      <c r="P556" s="332"/>
      <c r="Q556" s="433"/>
      <c r="R556" s="433"/>
      <c r="S556" s="432" t="s">
        <v>1520</v>
      </c>
      <c r="T556" s="432">
        <v>60</v>
      </c>
      <c r="U556" s="432"/>
      <c r="V556" s="441" t="s">
        <v>973</v>
      </c>
      <c r="W556" s="432">
        <v>400</v>
      </c>
      <c r="X556" s="333">
        <v>3072</v>
      </c>
      <c r="Y556" s="367">
        <f t="shared" si="50"/>
        <v>1228800</v>
      </c>
      <c r="Z556" s="409">
        <f>256/400</f>
        <v>0.64</v>
      </c>
      <c r="AA556" s="410">
        <f t="shared" si="38"/>
        <v>786432</v>
      </c>
      <c r="AB556" s="411"/>
      <c r="AC556" s="412">
        <f t="shared" si="51"/>
        <v>0</v>
      </c>
      <c r="AD556" s="405"/>
      <c r="AE556" s="405"/>
      <c r="AF556" s="424">
        <f t="shared" si="40"/>
        <v>786432</v>
      </c>
      <c r="AG556" s="405" t="s">
        <v>1069</v>
      </c>
      <c r="AH556" s="405"/>
      <c r="AI556" s="405">
        <v>60</v>
      </c>
      <c r="AJ556" s="406" t="s">
        <v>3016</v>
      </c>
      <c r="AK556" s="406" t="s">
        <v>1599</v>
      </c>
      <c r="AL556" s="414" t="s">
        <v>1635</v>
      </c>
      <c r="AM556" s="405" t="s">
        <v>52</v>
      </c>
      <c r="AN556" s="361" t="s">
        <v>1071</v>
      </c>
      <c r="AO556" s="405" t="s">
        <v>1073</v>
      </c>
      <c r="AP556" s="405"/>
      <c r="AQ556" s="413" t="s">
        <v>37</v>
      </c>
      <c r="AR556" s="405" t="s">
        <v>1188</v>
      </c>
      <c r="AS556" s="404" t="s">
        <v>1392</v>
      </c>
      <c r="AT556" s="330"/>
      <c r="AU556" s="409">
        <f t="shared" si="52"/>
        <v>0.52</v>
      </c>
    </row>
    <row r="557" spans="1:47" s="402" customFormat="1">
      <c r="A557" s="426"/>
      <c r="B557" s="376"/>
      <c r="C557" s="426"/>
      <c r="D557" s="443" t="s">
        <v>86</v>
      </c>
      <c r="E557" s="331" t="s">
        <v>4441</v>
      </c>
      <c r="F557" s="432"/>
      <c r="G557" s="350">
        <v>2022</v>
      </c>
      <c r="H557" s="350" t="s">
        <v>2383</v>
      </c>
      <c r="I557" s="432" t="s">
        <v>1498</v>
      </c>
      <c r="J557" s="433"/>
      <c r="K557" s="432" t="s">
        <v>4444</v>
      </c>
      <c r="L557" s="432" t="s">
        <v>1633</v>
      </c>
      <c r="M557" s="433">
        <v>44676</v>
      </c>
      <c r="N557" s="433">
        <v>44801</v>
      </c>
      <c r="O557" s="433"/>
      <c r="P557" s="332"/>
      <c r="Q557" s="433"/>
      <c r="R557" s="433"/>
      <c r="S557" s="432" t="s">
        <v>1520</v>
      </c>
      <c r="T557" s="432">
        <v>60</v>
      </c>
      <c r="U557" s="432"/>
      <c r="V557" s="441" t="s">
        <v>973</v>
      </c>
      <c r="W557" s="432">
        <v>400</v>
      </c>
      <c r="X557" s="333">
        <v>3072</v>
      </c>
      <c r="Y557" s="367">
        <f t="shared" si="50"/>
        <v>1228800</v>
      </c>
      <c r="Z557" s="409">
        <f>256/400</f>
        <v>0.64</v>
      </c>
      <c r="AA557" s="410">
        <f t="shared" si="38"/>
        <v>786432</v>
      </c>
      <c r="AB557" s="411"/>
      <c r="AC557" s="412">
        <f t="shared" si="51"/>
        <v>0</v>
      </c>
      <c r="AD557" s="405"/>
      <c r="AE557" s="405"/>
      <c r="AF557" s="424">
        <f t="shared" si="40"/>
        <v>786432</v>
      </c>
      <c r="AG557" s="405" t="s">
        <v>1069</v>
      </c>
      <c r="AH557" s="405"/>
      <c r="AI557" s="405">
        <v>60</v>
      </c>
      <c r="AJ557" s="406" t="s">
        <v>3016</v>
      </c>
      <c r="AK557" s="406" t="s">
        <v>1599</v>
      </c>
      <c r="AL557" s="414" t="s">
        <v>1635</v>
      </c>
      <c r="AM557" s="405" t="s">
        <v>52</v>
      </c>
      <c r="AN557" s="361" t="s">
        <v>1071</v>
      </c>
      <c r="AO557" s="405" t="s">
        <v>1073</v>
      </c>
      <c r="AP557" s="405"/>
      <c r="AQ557" s="413" t="s">
        <v>37</v>
      </c>
      <c r="AR557" s="405" t="s">
        <v>1188</v>
      </c>
      <c r="AS557" s="404" t="s">
        <v>1392</v>
      </c>
      <c r="AT557" s="330"/>
      <c r="AU557" s="409">
        <f t="shared" si="52"/>
        <v>0.52</v>
      </c>
    </row>
    <row r="558" spans="1:47" s="402" customFormat="1">
      <c r="A558" s="426"/>
      <c r="B558" s="376"/>
      <c r="C558" s="426"/>
      <c r="D558" s="443" t="s">
        <v>86</v>
      </c>
      <c r="E558" s="331" t="s">
        <v>4441</v>
      </c>
      <c r="F558" s="432"/>
      <c r="G558" s="350">
        <v>2022</v>
      </c>
      <c r="H558" s="350" t="s">
        <v>2383</v>
      </c>
      <c r="I558" s="432" t="s">
        <v>1498</v>
      </c>
      <c r="J558" s="433"/>
      <c r="K558" s="432" t="s">
        <v>4445</v>
      </c>
      <c r="L558" s="432" t="s">
        <v>1633</v>
      </c>
      <c r="M558" s="433">
        <v>44676</v>
      </c>
      <c r="N558" s="433">
        <v>44832</v>
      </c>
      <c r="O558" s="433"/>
      <c r="P558" s="332"/>
      <c r="Q558" s="433"/>
      <c r="R558" s="433"/>
      <c r="S558" s="432" t="s">
        <v>1520</v>
      </c>
      <c r="T558" s="432">
        <v>60</v>
      </c>
      <c r="U558" s="432"/>
      <c r="V558" s="441" t="s">
        <v>973</v>
      </c>
      <c r="W558" s="432">
        <v>400</v>
      </c>
      <c r="X558" s="333">
        <v>3072</v>
      </c>
      <c r="Y558" s="367">
        <f t="shared" si="50"/>
        <v>1228800</v>
      </c>
      <c r="Z558" s="409">
        <f>256/400</f>
        <v>0.64</v>
      </c>
      <c r="AA558" s="410">
        <f t="shared" si="38"/>
        <v>786432</v>
      </c>
      <c r="AB558" s="411"/>
      <c r="AC558" s="412">
        <f t="shared" si="51"/>
        <v>0</v>
      </c>
      <c r="AD558" s="405"/>
      <c r="AE558" s="405"/>
      <c r="AF558" s="424">
        <f t="shared" si="40"/>
        <v>786432</v>
      </c>
      <c r="AG558" s="405" t="s">
        <v>1069</v>
      </c>
      <c r="AH558" s="405"/>
      <c r="AI558" s="405">
        <v>60</v>
      </c>
      <c r="AJ558" s="406" t="s">
        <v>3016</v>
      </c>
      <c r="AK558" s="406" t="s">
        <v>1599</v>
      </c>
      <c r="AL558" s="414" t="s">
        <v>1635</v>
      </c>
      <c r="AM558" s="405" t="s">
        <v>52</v>
      </c>
      <c r="AN558" s="361" t="s">
        <v>1071</v>
      </c>
      <c r="AO558" s="405" t="s">
        <v>1073</v>
      </c>
      <c r="AP558" s="405"/>
      <c r="AQ558" s="413" t="s">
        <v>37</v>
      </c>
      <c r="AR558" s="405" t="s">
        <v>1188</v>
      </c>
      <c r="AS558" s="404" t="s">
        <v>1392</v>
      </c>
      <c r="AT558" s="330"/>
      <c r="AU558" s="409">
        <f t="shared" si="52"/>
        <v>0.52</v>
      </c>
    </row>
    <row r="559" spans="1:47" s="402" customFormat="1">
      <c r="A559" s="426"/>
      <c r="B559" s="376"/>
      <c r="C559" s="426"/>
      <c r="D559" s="443" t="s">
        <v>86</v>
      </c>
      <c r="E559" s="331" t="s">
        <v>4441</v>
      </c>
      <c r="F559" s="432"/>
      <c r="G559" s="350">
        <v>2022</v>
      </c>
      <c r="H559" s="350" t="s">
        <v>2383</v>
      </c>
      <c r="I559" s="432" t="s">
        <v>1498</v>
      </c>
      <c r="J559" s="433"/>
      <c r="K559" s="432" t="s">
        <v>4446</v>
      </c>
      <c r="L559" s="432" t="s">
        <v>1633</v>
      </c>
      <c r="M559" s="433">
        <v>44676</v>
      </c>
      <c r="N559" s="433">
        <v>44862</v>
      </c>
      <c r="O559" s="433"/>
      <c r="P559" s="332"/>
      <c r="Q559" s="433"/>
      <c r="R559" s="433"/>
      <c r="S559" s="432" t="s">
        <v>1520</v>
      </c>
      <c r="T559" s="432">
        <v>60</v>
      </c>
      <c r="U559" s="432"/>
      <c r="V559" s="441" t="s">
        <v>973</v>
      </c>
      <c r="W559" s="432">
        <v>400</v>
      </c>
      <c r="X559" s="333">
        <v>3072</v>
      </c>
      <c r="Y559" s="367">
        <f t="shared" si="50"/>
        <v>1228800</v>
      </c>
      <c r="Z559" s="409">
        <f>256/400</f>
        <v>0.64</v>
      </c>
      <c r="AA559" s="410">
        <f t="shared" si="38"/>
        <v>786432</v>
      </c>
      <c r="AB559" s="411"/>
      <c r="AC559" s="412">
        <f t="shared" si="51"/>
        <v>0</v>
      </c>
      <c r="AD559" s="405"/>
      <c r="AE559" s="405"/>
      <c r="AF559" s="424">
        <f t="shared" si="40"/>
        <v>786432</v>
      </c>
      <c r="AG559" s="405" t="s">
        <v>1069</v>
      </c>
      <c r="AH559" s="405"/>
      <c r="AI559" s="405">
        <v>60</v>
      </c>
      <c r="AJ559" s="406" t="s">
        <v>3016</v>
      </c>
      <c r="AK559" s="406" t="s">
        <v>1599</v>
      </c>
      <c r="AL559" s="414" t="s">
        <v>1635</v>
      </c>
      <c r="AM559" s="405" t="s">
        <v>52</v>
      </c>
      <c r="AN559" s="361" t="s">
        <v>1071</v>
      </c>
      <c r="AO559" s="405" t="s">
        <v>1073</v>
      </c>
      <c r="AP559" s="405"/>
      <c r="AQ559" s="413" t="s">
        <v>37</v>
      </c>
      <c r="AR559" s="405" t="s">
        <v>1188</v>
      </c>
      <c r="AS559" s="404" t="s">
        <v>1392</v>
      </c>
      <c r="AT559" s="330"/>
      <c r="AU559" s="409">
        <f t="shared" si="52"/>
        <v>0.52</v>
      </c>
    </row>
    <row r="560" spans="1:47" s="402" customFormat="1">
      <c r="A560" s="426"/>
      <c r="B560" s="376"/>
      <c r="C560" s="426"/>
      <c r="D560" s="443" t="s">
        <v>86</v>
      </c>
      <c r="E560" s="331" t="s">
        <v>4441</v>
      </c>
      <c r="F560" s="432"/>
      <c r="G560" s="350">
        <v>2022</v>
      </c>
      <c r="H560" s="350" t="s">
        <v>2383</v>
      </c>
      <c r="I560" s="432" t="s">
        <v>1498</v>
      </c>
      <c r="J560" s="433"/>
      <c r="K560" s="432" t="s">
        <v>4447</v>
      </c>
      <c r="L560" s="432" t="s">
        <v>1633</v>
      </c>
      <c r="M560" s="433">
        <v>44676</v>
      </c>
      <c r="N560" s="433">
        <v>44893</v>
      </c>
      <c r="O560" s="433"/>
      <c r="P560" s="332"/>
      <c r="Q560" s="433"/>
      <c r="R560" s="433"/>
      <c r="S560" s="432" t="s">
        <v>1520</v>
      </c>
      <c r="T560" s="432">
        <v>60</v>
      </c>
      <c r="U560" s="432"/>
      <c r="V560" s="441" t="s">
        <v>973</v>
      </c>
      <c r="W560" s="432">
        <v>400</v>
      </c>
      <c r="X560" s="333">
        <v>3072</v>
      </c>
      <c r="Y560" s="367">
        <f t="shared" si="50"/>
        <v>1228800</v>
      </c>
      <c r="Z560" s="409">
        <f t="shared" ref="Z560:Z561" si="54">256/400</f>
        <v>0.64</v>
      </c>
      <c r="AA560" s="410">
        <f t="shared" si="38"/>
        <v>786432</v>
      </c>
      <c r="AB560" s="411"/>
      <c r="AC560" s="412">
        <f t="shared" si="51"/>
        <v>0</v>
      </c>
      <c r="AD560" s="405"/>
      <c r="AE560" s="405"/>
      <c r="AF560" s="424">
        <f t="shared" si="40"/>
        <v>786432</v>
      </c>
      <c r="AG560" s="405" t="s">
        <v>1069</v>
      </c>
      <c r="AH560" s="405"/>
      <c r="AI560" s="405">
        <v>60</v>
      </c>
      <c r="AJ560" s="406" t="s">
        <v>3016</v>
      </c>
      <c r="AK560" s="406" t="s">
        <v>1599</v>
      </c>
      <c r="AL560" s="414" t="s">
        <v>1635</v>
      </c>
      <c r="AM560" s="405" t="s">
        <v>52</v>
      </c>
      <c r="AN560" s="361" t="s">
        <v>1071</v>
      </c>
      <c r="AO560" s="405" t="s">
        <v>1073</v>
      </c>
      <c r="AP560" s="405"/>
      <c r="AQ560" s="413" t="s">
        <v>37</v>
      </c>
      <c r="AR560" s="405" t="s">
        <v>1188</v>
      </c>
      <c r="AS560" s="404" t="s">
        <v>1392</v>
      </c>
      <c r="AT560" s="330"/>
      <c r="AU560" s="409">
        <f t="shared" si="52"/>
        <v>0.52</v>
      </c>
    </row>
    <row r="561" spans="1:47" s="402" customFormat="1">
      <c r="A561" s="426"/>
      <c r="B561" s="376"/>
      <c r="C561" s="426"/>
      <c r="D561" s="443" t="s">
        <v>86</v>
      </c>
      <c r="E561" s="331" t="s">
        <v>4441</v>
      </c>
      <c r="F561" s="432"/>
      <c r="G561" s="350">
        <v>2022</v>
      </c>
      <c r="H561" s="350" t="s">
        <v>2383</v>
      </c>
      <c r="I561" s="432" t="s">
        <v>1498</v>
      </c>
      <c r="J561" s="433"/>
      <c r="K561" s="432" t="s">
        <v>4448</v>
      </c>
      <c r="L561" s="432" t="s">
        <v>1633</v>
      </c>
      <c r="M561" s="433">
        <v>44676</v>
      </c>
      <c r="N561" s="433">
        <v>44923</v>
      </c>
      <c r="O561" s="433"/>
      <c r="P561" s="332"/>
      <c r="Q561" s="433"/>
      <c r="R561" s="433"/>
      <c r="S561" s="432" t="s">
        <v>1520</v>
      </c>
      <c r="T561" s="432">
        <v>60</v>
      </c>
      <c r="U561" s="432"/>
      <c r="V561" s="441" t="s">
        <v>973</v>
      </c>
      <c r="W561" s="432">
        <v>400</v>
      </c>
      <c r="X561" s="333">
        <v>3072</v>
      </c>
      <c r="Y561" s="367">
        <f t="shared" si="50"/>
        <v>1228800</v>
      </c>
      <c r="Z561" s="409">
        <f t="shared" si="54"/>
        <v>0.64</v>
      </c>
      <c r="AA561" s="410">
        <f t="shared" si="38"/>
        <v>786432</v>
      </c>
      <c r="AB561" s="411"/>
      <c r="AC561" s="412">
        <f t="shared" si="51"/>
        <v>0</v>
      </c>
      <c r="AD561" s="405"/>
      <c r="AE561" s="405"/>
      <c r="AF561" s="424">
        <f t="shared" si="40"/>
        <v>786432</v>
      </c>
      <c r="AG561" s="405" t="s">
        <v>1069</v>
      </c>
      <c r="AH561" s="405"/>
      <c r="AI561" s="405">
        <v>60</v>
      </c>
      <c r="AJ561" s="406" t="s">
        <v>3016</v>
      </c>
      <c r="AK561" s="406" t="s">
        <v>1599</v>
      </c>
      <c r="AL561" s="414" t="s">
        <v>1635</v>
      </c>
      <c r="AM561" s="405" t="s">
        <v>52</v>
      </c>
      <c r="AN561" s="361" t="s">
        <v>1071</v>
      </c>
      <c r="AO561" s="405" t="s">
        <v>1073</v>
      </c>
      <c r="AP561" s="405"/>
      <c r="AQ561" s="413" t="s">
        <v>37</v>
      </c>
      <c r="AR561" s="405" t="s">
        <v>1188</v>
      </c>
      <c r="AS561" s="404" t="s">
        <v>1392</v>
      </c>
      <c r="AT561" s="330"/>
      <c r="AU561" s="409">
        <f t="shared" si="52"/>
        <v>0.52</v>
      </c>
    </row>
    <row r="562" spans="1:47" s="402" customFormat="1">
      <c r="A562" s="426"/>
      <c r="B562" s="376"/>
      <c r="C562" s="426"/>
      <c r="D562" s="443" t="s">
        <v>86</v>
      </c>
      <c r="E562" s="331"/>
      <c r="F562" s="432"/>
      <c r="G562" s="350">
        <v>2022</v>
      </c>
      <c r="H562" s="350" t="s">
        <v>2383</v>
      </c>
      <c r="I562" s="432" t="s">
        <v>1498</v>
      </c>
      <c r="J562" s="433"/>
      <c r="K562" s="432" t="s">
        <v>3023</v>
      </c>
      <c r="L562" s="432" t="s">
        <v>1646</v>
      </c>
      <c r="M562" s="433">
        <v>44516</v>
      </c>
      <c r="N562" s="433">
        <v>44683</v>
      </c>
      <c r="O562" s="433"/>
      <c r="P562" s="332"/>
      <c r="Q562" s="433"/>
      <c r="R562" s="433"/>
      <c r="S562" s="432" t="s">
        <v>1510</v>
      </c>
      <c r="T562" s="432">
        <v>60</v>
      </c>
      <c r="U562" s="432"/>
      <c r="V562" s="441" t="s">
        <v>973</v>
      </c>
      <c r="W562" s="432">
        <v>400</v>
      </c>
      <c r="X562" s="333">
        <v>3840</v>
      </c>
      <c r="Y562" s="367">
        <f t="shared" si="50"/>
        <v>1536000</v>
      </c>
      <c r="Z562" s="409">
        <f t="shared" si="53"/>
        <v>0.55000000000000004</v>
      </c>
      <c r="AA562" s="410">
        <f t="shared" si="38"/>
        <v>844800.00000000012</v>
      </c>
      <c r="AB562" s="411"/>
      <c r="AC562" s="412">
        <v>0</v>
      </c>
      <c r="AD562" s="405"/>
      <c r="AE562" s="405"/>
      <c r="AF562" s="424">
        <f t="shared" si="40"/>
        <v>844800.00000000012</v>
      </c>
      <c r="AG562" s="405" t="s">
        <v>1069</v>
      </c>
      <c r="AH562" s="405"/>
      <c r="AI562" s="405">
        <v>60</v>
      </c>
      <c r="AJ562" s="406" t="s">
        <v>1647</v>
      </c>
      <c r="AK562" s="406" t="s">
        <v>50</v>
      </c>
      <c r="AL562" s="414" t="s">
        <v>1648</v>
      </c>
      <c r="AM562" s="405" t="s">
        <v>52</v>
      </c>
      <c r="AN562" s="361" t="s">
        <v>50</v>
      </c>
      <c r="AO562" s="405" t="s">
        <v>1073</v>
      </c>
      <c r="AP562" s="405" t="s">
        <v>38</v>
      </c>
      <c r="AQ562" s="413" t="s">
        <v>37</v>
      </c>
      <c r="AR562" s="405" t="s">
        <v>1649</v>
      </c>
      <c r="AS562" s="404"/>
      <c r="AT562" s="330"/>
      <c r="AU562" s="409">
        <f>196/400</f>
        <v>0.49</v>
      </c>
    </row>
    <row r="563" spans="1:47" s="402" customFormat="1">
      <c r="A563" s="426"/>
      <c r="B563" s="376"/>
      <c r="C563" s="426"/>
      <c r="D563" s="443" t="s">
        <v>86</v>
      </c>
      <c r="E563" s="331"/>
      <c r="F563" s="432"/>
      <c r="G563" s="350">
        <v>2022</v>
      </c>
      <c r="H563" s="350" t="s">
        <v>2383</v>
      </c>
      <c r="I563" s="432" t="s">
        <v>1498</v>
      </c>
      <c r="J563" s="433"/>
      <c r="K563" s="432" t="s">
        <v>3024</v>
      </c>
      <c r="L563" s="432" t="s">
        <v>1646</v>
      </c>
      <c r="M563" s="433">
        <v>44516</v>
      </c>
      <c r="N563" s="433">
        <v>44621</v>
      </c>
      <c r="O563" s="433"/>
      <c r="P563" s="332"/>
      <c r="Q563" s="433"/>
      <c r="R563" s="433"/>
      <c r="S563" s="432" t="s">
        <v>1510</v>
      </c>
      <c r="T563" s="432">
        <v>60</v>
      </c>
      <c r="U563" s="432"/>
      <c r="V563" s="441" t="s">
        <v>973</v>
      </c>
      <c r="W563" s="432">
        <v>400</v>
      </c>
      <c r="X563" s="333">
        <v>3840</v>
      </c>
      <c r="Y563" s="367">
        <f t="shared" si="50"/>
        <v>1536000</v>
      </c>
      <c r="Z563" s="409">
        <f t="shared" si="53"/>
        <v>0.55000000000000004</v>
      </c>
      <c r="AA563" s="410">
        <f t="shared" si="38"/>
        <v>844800.00000000012</v>
      </c>
      <c r="AB563" s="411"/>
      <c r="AC563" s="412">
        <v>0</v>
      </c>
      <c r="AD563" s="405"/>
      <c r="AE563" s="405"/>
      <c r="AF563" s="424">
        <f t="shared" si="40"/>
        <v>844800.00000000012</v>
      </c>
      <c r="AG563" s="405" t="s">
        <v>1069</v>
      </c>
      <c r="AH563" s="405"/>
      <c r="AI563" s="405">
        <v>60</v>
      </c>
      <c r="AJ563" s="406" t="s">
        <v>1647</v>
      </c>
      <c r="AK563" s="406" t="s">
        <v>50</v>
      </c>
      <c r="AL563" s="414" t="s">
        <v>1648</v>
      </c>
      <c r="AM563" s="405" t="s">
        <v>52</v>
      </c>
      <c r="AN563" s="361" t="s">
        <v>50</v>
      </c>
      <c r="AO563" s="405" t="s">
        <v>1073</v>
      </c>
      <c r="AP563" s="405" t="s">
        <v>38</v>
      </c>
      <c r="AQ563" s="413" t="s">
        <v>37</v>
      </c>
      <c r="AR563" s="405" t="s">
        <v>1649</v>
      </c>
      <c r="AS563" s="404"/>
      <c r="AT563" s="330"/>
      <c r="AU563" s="409">
        <f>196/400</f>
        <v>0.49</v>
      </c>
    </row>
    <row r="564" spans="1:47" s="402" customFormat="1">
      <c r="A564" s="426"/>
      <c r="B564" s="376"/>
      <c r="C564" s="426"/>
      <c r="D564" s="443" t="s">
        <v>86</v>
      </c>
      <c r="E564" s="331"/>
      <c r="F564" s="432"/>
      <c r="G564" s="350">
        <v>2022</v>
      </c>
      <c r="H564" s="350" t="s">
        <v>2383</v>
      </c>
      <c r="I564" s="432" t="s">
        <v>1498</v>
      </c>
      <c r="J564" s="433"/>
      <c r="K564" s="432" t="s">
        <v>3025</v>
      </c>
      <c r="L564" s="432" t="s">
        <v>1646</v>
      </c>
      <c r="M564" s="433">
        <v>44516</v>
      </c>
      <c r="N564" s="433">
        <v>44593</v>
      </c>
      <c r="O564" s="433"/>
      <c r="P564" s="332"/>
      <c r="Q564" s="433"/>
      <c r="R564" s="433"/>
      <c r="S564" s="432" t="s">
        <v>1510</v>
      </c>
      <c r="T564" s="432">
        <v>60</v>
      </c>
      <c r="U564" s="432"/>
      <c r="V564" s="441" t="s">
        <v>973</v>
      </c>
      <c r="W564" s="432">
        <v>400</v>
      </c>
      <c r="X564" s="333">
        <v>3840</v>
      </c>
      <c r="Y564" s="367">
        <f t="shared" si="50"/>
        <v>1536000</v>
      </c>
      <c r="Z564" s="409">
        <f t="shared" si="53"/>
        <v>0.55000000000000004</v>
      </c>
      <c r="AA564" s="410">
        <f t="shared" si="38"/>
        <v>844800.00000000012</v>
      </c>
      <c r="AB564" s="411"/>
      <c r="AC564" s="412">
        <v>0</v>
      </c>
      <c r="AD564" s="405"/>
      <c r="AE564" s="405"/>
      <c r="AF564" s="424">
        <f t="shared" si="40"/>
        <v>844800.00000000012</v>
      </c>
      <c r="AG564" s="405" t="s">
        <v>1069</v>
      </c>
      <c r="AH564" s="405"/>
      <c r="AI564" s="405">
        <v>60</v>
      </c>
      <c r="AJ564" s="406" t="s">
        <v>1647</v>
      </c>
      <c r="AK564" s="406" t="s">
        <v>50</v>
      </c>
      <c r="AL564" s="414" t="s">
        <v>1648</v>
      </c>
      <c r="AM564" s="405" t="s">
        <v>52</v>
      </c>
      <c r="AN564" s="361" t="s">
        <v>50</v>
      </c>
      <c r="AO564" s="405" t="s">
        <v>1073</v>
      </c>
      <c r="AP564" s="405" t="s">
        <v>38</v>
      </c>
      <c r="AQ564" s="413" t="s">
        <v>37</v>
      </c>
      <c r="AR564" s="405" t="s">
        <v>1649</v>
      </c>
      <c r="AS564" s="404"/>
      <c r="AT564" s="330"/>
      <c r="AU564" s="409">
        <f>196/400</f>
        <v>0.49</v>
      </c>
    </row>
    <row r="565" spans="1:47" s="402" customFormat="1">
      <c r="A565" s="426"/>
      <c r="B565" s="376"/>
      <c r="C565" s="426"/>
      <c r="D565" s="443" t="s">
        <v>86</v>
      </c>
      <c r="E565" s="331"/>
      <c r="F565" s="432"/>
      <c r="G565" s="350">
        <v>2022</v>
      </c>
      <c r="H565" s="350" t="s">
        <v>2383</v>
      </c>
      <c r="I565" s="432" t="s">
        <v>1498</v>
      </c>
      <c r="J565" s="433"/>
      <c r="K565" s="432" t="s">
        <v>3026</v>
      </c>
      <c r="L565" s="432" t="s">
        <v>1646</v>
      </c>
      <c r="M565" s="433">
        <v>44516</v>
      </c>
      <c r="N565" s="433">
        <v>44718</v>
      </c>
      <c r="O565" s="433"/>
      <c r="P565" s="332"/>
      <c r="Q565" s="433"/>
      <c r="R565" s="433"/>
      <c r="S565" s="432" t="s">
        <v>1510</v>
      </c>
      <c r="T565" s="432">
        <v>60</v>
      </c>
      <c r="U565" s="432"/>
      <c r="V565" s="441" t="s">
        <v>973</v>
      </c>
      <c r="W565" s="432">
        <v>400</v>
      </c>
      <c r="X565" s="333">
        <v>3840</v>
      </c>
      <c r="Y565" s="367">
        <f t="shared" si="50"/>
        <v>1536000</v>
      </c>
      <c r="Z565" s="409">
        <f t="shared" si="53"/>
        <v>0.55000000000000004</v>
      </c>
      <c r="AA565" s="410">
        <f t="shared" si="38"/>
        <v>844800.00000000012</v>
      </c>
      <c r="AB565" s="411"/>
      <c r="AC565" s="412">
        <v>0</v>
      </c>
      <c r="AD565" s="405"/>
      <c r="AE565" s="405"/>
      <c r="AF565" s="424">
        <f t="shared" si="40"/>
        <v>844800.00000000012</v>
      </c>
      <c r="AG565" s="405" t="s">
        <v>1069</v>
      </c>
      <c r="AH565" s="405"/>
      <c r="AI565" s="405">
        <v>60</v>
      </c>
      <c r="AJ565" s="406" t="s">
        <v>1647</v>
      </c>
      <c r="AK565" s="406" t="s">
        <v>50</v>
      </c>
      <c r="AL565" s="414" t="s">
        <v>1648</v>
      </c>
      <c r="AM565" s="405" t="s">
        <v>52</v>
      </c>
      <c r="AN565" s="361" t="s">
        <v>50</v>
      </c>
      <c r="AO565" s="405" t="s">
        <v>1073</v>
      </c>
      <c r="AP565" s="405" t="s">
        <v>38</v>
      </c>
      <c r="AQ565" s="413" t="s">
        <v>37</v>
      </c>
      <c r="AR565" s="405" t="s">
        <v>1649</v>
      </c>
      <c r="AS565" s="404"/>
      <c r="AT565" s="330"/>
      <c r="AU565" s="409">
        <f>196/400</f>
        <v>0.49</v>
      </c>
    </row>
    <row r="566" spans="1:47" s="402" customFormat="1">
      <c r="A566" s="426"/>
      <c r="B566" s="376">
        <v>44581</v>
      </c>
      <c r="C566" s="426"/>
      <c r="D566" s="443" t="s">
        <v>86</v>
      </c>
      <c r="E566" s="331" t="s">
        <v>2837</v>
      </c>
      <c r="F566" s="432"/>
      <c r="G566" s="350">
        <v>2022</v>
      </c>
      <c r="H566" s="350" t="s">
        <v>2383</v>
      </c>
      <c r="I566" s="432" t="s">
        <v>1498</v>
      </c>
      <c r="J566" s="433"/>
      <c r="K566" s="432" t="s">
        <v>3027</v>
      </c>
      <c r="L566" s="432" t="s">
        <v>1646</v>
      </c>
      <c r="M566" s="433">
        <v>44510</v>
      </c>
      <c r="N566" s="433">
        <v>44718</v>
      </c>
      <c r="O566" s="433"/>
      <c r="P566" s="332"/>
      <c r="Q566" s="433"/>
      <c r="R566" s="433"/>
      <c r="S566" s="432" t="s">
        <v>1510</v>
      </c>
      <c r="T566" s="432">
        <v>60</v>
      </c>
      <c r="U566" s="432"/>
      <c r="V566" s="441" t="s">
        <v>986</v>
      </c>
      <c r="W566" s="432">
        <v>360</v>
      </c>
      <c r="X566" s="333">
        <v>3328</v>
      </c>
      <c r="Y566" s="367">
        <f t="shared" si="50"/>
        <v>1198080</v>
      </c>
      <c r="Z566" s="409">
        <f>190.8/360</f>
        <v>0.53</v>
      </c>
      <c r="AA566" s="410">
        <f t="shared" si="38"/>
        <v>634982.40000000002</v>
      </c>
      <c r="AB566" s="411"/>
      <c r="AC566" s="412">
        <v>0</v>
      </c>
      <c r="AD566" s="405"/>
      <c r="AE566" s="405"/>
      <c r="AF566" s="424">
        <f t="shared" si="40"/>
        <v>634982.40000000002</v>
      </c>
      <c r="AG566" s="405" t="s">
        <v>1069</v>
      </c>
      <c r="AH566" s="405"/>
      <c r="AI566" s="405">
        <v>60</v>
      </c>
      <c r="AJ566" s="406" t="s">
        <v>1647</v>
      </c>
      <c r="AK566" s="406" t="s">
        <v>50</v>
      </c>
      <c r="AL566" s="414" t="s">
        <v>1648</v>
      </c>
      <c r="AM566" s="405" t="s">
        <v>52</v>
      </c>
      <c r="AN566" s="361" t="s">
        <v>50</v>
      </c>
      <c r="AO566" s="405" t="s">
        <v>1073</v>
      </c>
      <c r="AP566" s="405" t="s">
        <v>38</v>
      </c>
      <c r="AQ566" s="413" t="s">
        <v>37</v>
      </c>
      <c r="AR566" s="405" t="s">
        <v>1188</v>
      </c>
      <c r="AS566" s="404"/>
      <c r="AT566" s="330"/>
      <c r="AU566" s="409">
        <f>180/360</f>
        <v>0.5</v>
      </c>
    </row>
    <row r="567" spans="1:47" s="402" customFormat="1">
      <c r="A567" s="426"/>
      <c r="B567" s="376">
        <v>44657</v>
      </c>
      <c r="C567" s="426"/>
      <c r="D567" s="443" t="s">
        <v>86</v>
      </c>
      <c r="E567" s="331"/>
      <c r="F567" s="432"/>
      <c r="G567" s="350">
        <v>2022</v>
      </c>
      <c r="H567" s="350" t="s">
        <v>2383</v>
      </c>
      <c r="I567" s="432" t="s">
        <v>1498</v>
      </c>
      <c r="J567" s="433"/>
      <c r="K567" s="432" t="s">
        <v>3028</v>
      </c>
      <c r="L567" s="432" t="s">
        <v>1646</v>
      </c>
      <c r="M567" s="433">
        <v>44510</v>
      </c>
      <c r="N567" s="433">
        <v>44683</v>
      </c>
      <c r="O567" s="433"/>
      <c r="P567" s="332"/>
      <c r="Q567" s="433"/>
      <c r="R567" s="433"/>
      <c r="S567" s="432" t="s">
        <v>1510</v>
      </c>
      <c r="T567" s="432">
        <v>60</v>
      </c>
      <c r="U567" s="432"/>
      <c r="V567" s="441" t="s">
        <v>986</v>
      </c>
      <c r="W567" s="432">
        <v>360</v>
      </c>
      <c r="X567" s="333">
        <v>3328</v>
      </c>
      <c r="Y567" s="367">
        <f t="shared" si="50"/>
        <v>1198080</v>
      </c>
      <c r="Z567" s="409">
        <f>190.8/360</f>
        <v>0.53</v>
      </c>
      <c r="AA567" s="410">
        <f t="shared" si="38"/>
        <v>634982.40000000002</v>
      </c>
      <c r="AB567" s="411"/>
      <c r="AC567" s="412">
        <v>0</v>
      </c>
      <c r="AD567" s="405"/>
      <c r="AE567" s="405"/>
      <c r="AF567" s="424">
        <f t="shared" si="40"/>
        <v>634982.40000000002</v>
      </c>
      <c r="AG567" s="405" t="s">
        <v>1069</v>
      </c>
      <c r="AH567" s="405"/>
      <c r="AI567" s="405">
        <v>60</v>
      </c>
      <c r="AJ567" s="406" t="s">
        <v>1647</v>
      </c>
      <c r="AK567" s="406" t="s">
        <v>50</v>
      </c>
      <c r="AL567" s="414" t="s">
        <v>1648</v>
      </c>
      <c r="AM567" s="405" t="s">
        <v>52</v>
      </c>
      <c r="AN567" s="361" t="s">
        <v>50</v>
      </c>
      <c r="AO567" s="405" t="s">
        <v>1073</v>
      </c>
      <c r="AP567" s="405" t="s">
        <v>38</v>
      </c>
      <c r="AQ567" s="413" t="s">
        <v>37</v>
      </c>
      <c r="AR567" s="405" t="s">
        <v>1188</v>
      </c>
      <c r="AS567" s="404"/>
      <c r="AT567" s="330"/>
      <c r="AU567" s="409">
        <f>180/360</f>
        <v>0.5</v>
      </c>
    </row>
    <row r="568" spans="1:47" s="402" customFormat="1">
      <c r="A568" s="426"/>
      <c r="B568" s="376">
        <v>44657</v>
      </c>
      <c r="C568" s="426"/>
      <c r="D568" s="443" t="s">
        <v>86</v>
      </c>
      <c r="E568" s="331"/>
      <c r="F568" s="432"/>
      <c r="G568" s="350">
        <v>2022</v>
      </c>
      <c r="H568" s="350" t="s">
        <v>2383</v>
      </c>
      <c r="I568" s="432" t="s">
        <v>1498</v>
      </c>
      <c r="J568" s="433"/>
      <c r="K568" s="432" t="s">
        <v>3029</v>
      </c>
      <c r="L568" s="432" t="s">
        <v>1646</v>
      </c>
      <c r="M568" s="433">
        <v>44510</v>
      </c>
      <c r="N568" s="433">
        <v>44655</v>
      </c>
      <c r="O568" s="433"/>
      <c r="P568" s="332"/>
      <c r="Q568" s="433"/>
      <c r="R568" s="433"/>
      <c r="S568" s="432" t="s">
        <v>1510</v>
      </c>
      <c r="T568" s="432">
        <v>60</v>
      </c>
      <c r="U568" s="432"/>
      <c r="V568" s="441" t="s">
        <v>986</v>
      </c>
      <c r="W568" s="432">
        <v>360</v>
      </c>
      <c r="X568" s="333">
        <v>3328</v>
      </c>
      <c r="Y568" s="367">
        <f t="shared" si="50"/>
        <v>1198080</v>
      </c>
      <c r="Z568" s="409">
        <f>190.8/360</f>
        <v>0.53</v>
      </c>
      <c r="AA568" s="410">
        <f t="shared" si="38"/>
        <v>634982.40000000002</v>
      </c>
      <c r="AB568" s="411"/>
      <c r="AC568" s="412">
        <v>0</v>
      </c>
      <c r="AD568" s="405"/>
      <c r="AE568" s="405"/>
      <c r="AF568" s="424">
        <f t="shared" si="40"/>
        <v>634982.40000000002</v>
      </c>
      <c r="AG568" s="405" t="s">
        <v>1069</v>
      </c>
      <c r="AH568" s="405"/>
      <c r="AI568" s="405">
        <v>60</v>
      </c>
      <c r="AJ568" s="406" t="s">
        <v>1647</v>
      </c>
      <c r="AK568" s="406" t="s">
        <v>50</v>
      </c>
      <c r="AL568" s="414" t="s">
        <v>1648</v>
      </c>
      <c r="AM568" s="405" t="s">
        <v>52</v>
      </c>
      <c r="AN568" s="361" t="s">
        <v>50</v>
      </c>
      <c r="AO568" s="405" t="s">
        <v>1073</v>
      </c>
      <c r="AP568" s="405" t="s">
        <v>38</v>
      </c>
      <c r="AQ568" s="413" t="s">
        <v>37</v>
      </c>
      <c r="AR568" s="405" t="s">
        <v>1188</v>
      </c>
      <c r="AS568" s="404"/>
      <c r="AT568" s="330"/>
      <c r="AU568" s="409">
        <f>180/360</f>
        <v>0.5</v>
      </c>
    </row>
    <row r="569" spans="1:47" s="402" customFormat="1">
      <c r="A569" s="426"/>
      <c r="B569" s="376">
        <v>44627</v>
      </c>
      <c r="C569" s="426"/>
      <c r="D569" s="443" t="s">
        <v>86</v>
      </c>
      <c r="E569" s="331"/>
      <c r="F569" s="432"/>
      <c r="G569" s="350">
        <v>2022</v>
      </c>
      <c r="H569" s="350" t="s">
        <v>2978</v>
      </c>
      <c r="I569" s="432" t="s">
        <v>1498</v>
      </c>
      <c r="J569" s="433"/>
      <c r="K569" s="432" t="s">
        <v>4649</v>
      </c>
      <c r="L569" s="432" t="s">
        <v>1682</v>
      </c>
      <c r="M569" s="433">
        <v>44617</v>
      </c>
      <c r="N569" s="433">
        <v>44728</v>
      </c>
      <c r="O569" s="433"/>
      <c r="P569" s="332"/>
      <c r="Q569" s="433"/>
      <c r="R569" s="433"/>
      <c r="S569" s="432" t="s">
        <v>1520</v>
      </c>
      <c r="T569" s="432">
        <v>60</v>
      </c>
      <c r="U569" s="432" t="s">
        <v>1102</v>
      </c>
      <c r="V569" s="441" t="s">
        <v>973</v>
      </c>
      <c r="W569" s="432">
        <v>400</v>
      </c>
      <c r="X569" s="333">
        <v>768</v>
      </c>
      <c r="Y569" s="367">
        <f t="shared" si="50"/>
        <v>307200</v>
      </c>
      <c r="Z569" s="409">
        <f t="shared" ref="Z569:Z574" si="55">220/400</f>
        <v>0.55000000000000004</v>
      </c>
      <c r="AA569" s="410">
        <f t="shared" si="38"/>
        <v>168960</v>
      </c>
      <c r="AB569" s="411"/>
      <c r="AC569" s="412">
        <f t="shared" ref="AC569:AC579" si="56">AB569*Y569</f>
        <v>0</v>
      </c>
      <c r="AD569" s="405"/>
      <c r="AE569" s="405"/>
      <c r="AF569" s="424">
        <f t="shared" si="40"/>
        <v>168960</v>
      </c>
      <c r="AG569" s="405" t="s">
        <v>1069</v>
      </c>
      <c r="AH569" s="405">
        <v>100</v>
      </c>
      <c r="AI569" s="405">
        <v>0</v>
      </c>
      <c r="AJ569" s="406" t="s">
        <v>1760</v>
      </c>
      <c r="AK569" s="406" t="s">
        <v>50</v>
      </c>
      <c r="AL569" s="414">
        <v>92058</v>
      </c>
      <c r="AM569" s="405" t="s">
        <v>52</v>
      </c>
      <c r="AN569" s="361"/>
      <c r="AO569" s="405" t="s">
        <v>1073</v>
      </c>
      <c r="AP569" s="405"/>
      <c r="AQ569" s="413" t="s">
        <v>37</v>
      </c>
      <c r="AR569" s="405" t="s">
        <v>1188</v>
      </c>
      <c r="AS569" s="404"/>
      <c r="AT569" s="330"/>
      <c r="AU569" s="409">
        <f t="shared" ref="AU569:AU579" si="57">212/400</f>
        <v>0.53</v>
      </c>
    </row>
    <row r="570" spans="1:47" s="402" customFormat="1">
      <c r="A570" s="426"/>
      <c r="B570" s="376">
        <v>44627</v>
      </c>
      <c r="C570" s="426"/>
      <c r="D570" s="443" t="s">
        <v>86</v>
      </c>
      <c r="E570" s="331"/>
      <c r="F570" s="432"/>
      <c r="G570" s="350">
        <v>2022</v>
      </c>
      <c r="H570" s="350" t="s">
        <v>2978</v>
      </c>
      <c r="I570" s="432" t="s">
        <v>1498</v>
      </c>
      <c r="J570" s="433"/>
      <c r="K570" s="432" t="s">
        <v>3030</v>
      </c>
      <c r="L570" s="432" t="s">
        <v>1682</v>
      </c>
      <c r="M570" s="433">
        <v>44615</v>
      </c>
      <c r="N570" s="433">
        <v>44763</v>
      </c>
      <c r="O570" s="433"/>
      <c r="P570" s="332"/>
      <c r="Q570" s="433"/>
      <c r="R570" s="433"/>
      <c r="S570" s="432" t="s">
        <v>1520</v>
      </c>
      <c r="T570" s="432">
        <v>60</v>
      </c>
      <c r="U570" s="432" t="s">
        <v>1102</v>
      </c>
      <c r="V570" s="441" t="s">
        <v>973</v>
      </c>
      <c r="W570" s="432">
        <v>400</v>
      </c>
      <c r="X570" s="333">
        <v>1536</v>
      </c>
      <c r="Y570" s="367">
        <f t="shared" si="50"/>
        <v>614400</v>
      </c>
      <c r="Z570" s="409">
        <f t="shared" si="55"/>
        <v>0.55000000000000004</v>
      </c>
      <c r="AA570" s="410">
        <f t="shared" ref="AA570:AA642" si="58">Z570*Y570</f>
        <v>337920</v>
      </c>
      <c r="AB570" s="411"/>
      <c r="AC570" s="412">
        <f t="shared" si="56"/>
        <v>0</v>
      </c>
      <c r="AD570" s="405"/>
      <c r="AE570" s="405"/>
      <c r="AF570" s="424">
        <f t="shared" ref="AF570:AF625" si="59">AE570+AD570+AA570</f>
        <v>337920</v>
      </c>
      <c r="AG570" s="405" t="s">
        <v>1069</v>
      </c>
      <c r="AH570" s="405">
        <v>100</v>
      </c>
      <c r="AI570" s="405">
        <v>0</v>
      </c>
      <c r="AJ570" s="406" t="s">
        <v>1760</v>
      </c>
      <c r="AK570" s="406" t="s">
        <v>50</v>
      </c>
      <c r="AL570" s="414">
        <v>92058</v>
      </c>
      <c r="AM570" s="405" t="s">
        <v>52</v>
      </c>
      <c r="AN570" s="361"/>
      <c r="AO570" s="405" t="s">
        <v>1073</v>
      </c>
      <c r="AP570" s="405"/>
      <c r="AQ570" s="413" t="s">
        <v>37</v>
      </c>
      <c r="AR570" s="405" t="s">
        <v>1188</v>
      </c>
      <c r="AS570" s="404"/>
      <c r="AT570" s="330"/>
      <c r="AU570" s="409">
        <f t="shared" si="57"/>
        <v>0.53</v>
      </c>
    </row>
    <row r="571" spans="1:47" s="402" customFormat="1">
      <c r="A571" s="426"/>
      <c r="B571" s="376">
        <v>44627</v>
      </c>
      <c r="C571" s="426"/>
      <c r="D571" s="443" t="s">
        <v>86</v>
      </c>
      <c r="E571" s="331"/>
      <c r="F571" s="432"/>
      <c r="G571" s="350">
        <v>2022</v>
      </c>
      <c r="H571" s="350" t="s">
        <v>2978</v>
      </c>
      <c r="I571" s="432" t="s">
        <v>1498</v>
      </c>
      <c r="J571" s="433"/>
      <c r="K571" s="432" t="s">
        <v>3031</v>
      </c>
      <c r="L571" s="432" t="s">
        <v>1682</v>
      </c>
      <c r="M571" s="433">
        <v>44615</v>
      </c>
      <c r="N571" s="433">
        <v>44790</v>
      </c>
      <c r="O571" s="433"/>
      <c r="P571" s="332"/>
      <c r="Q571" s="433"/>
      <c r="R571" s="433"/>
      <c r="S571" s="432" t="s">
        <v>1520</v>
      </c>
      <c r="T571" s="432">
        <v>60</v>
      </c>
      <c r="U571" s="432" t="s">
        <v>1102</v>
      </c>
      <c r="V571" s="441" t="s">
        <v>973</v>
      </c>
      <c r="W571" s="432">
        <v>400</v>
      </c>
      <c r="X571" s="333">
        <v>1536</v>
      </c>
      <c r="Y571" s="367">
        <f t="shared" si="50"/>
        <v>614400</v>
      </c>
      <c r="Z571" s="409">
        <f t="shared" si="55"/>
        <v>0.55000000000000004</v>
      </c>
      <c r="AA571" s="410">
        <f t="shared" si="58"/>
        <v>337920</v>
      </c>
      <c r="AB571" s="411"/>
      <c r="AC571" s="412">
        <f t="shared" si="56"/>
        <v>0</v>
      </c>
      <c r="AD571" s="405"/>
      <c r="AE571" s="405"/>
      <c r="AF571" s="424">
        <f t="shared" si="59"/>
        <v>337920</v>
      </c>
      <c r="AG571" s="405" t="s">
        <v>1069</v>
      </c>
      <c r="AH571" s="405">
        <v>100</v>
      </c>
      <c r="AI571" s="405">
        <v>0</v>
      </c>
      <c r="AJ571" s="406" t="s">
        <v>1760</v>
      </c>
      <c r="AK571" s="406" t="s">
        <v>50</v>
      </c>
      <c r="AL571" s="414">
        <v>92058</v>
      </c>
      <c r="AM571" s="405" t="s">
        <v>52</v>
      </c>
      <c r="AN571" s="361"/>
      <c r="AO571" s="405" t="s">
        <v>1073</v>
      </c>
      <c r="AP571" s="405"/>
      <c r="AQ571" s="413" t="s">
        <v>37</v>
      </c>
      <c r="AR571" s="405" t="s">
        <v>1188</v>
      </c>
      <c r="AS571" s="404"/>
      <c r="AT571" s="330"/>
      <c r="AU571" s="409">
        <f t="shared" si="57"/>
        <v>0.53</v>
      </c>
    </row>
    <row r="572" spans="1:47" s="402" customFormat="1">
      <c r="A572" s="426"/>
      <c r="B572" s="376">
        <v>44627</v>
      </c>
      <c r="C572" s="426"/>
      <c r="D572" s="443" t="s">
        <v>86</v>
      </c>
      <c r="E572" s="331"/>
      <c r="F572" s="432"/>
      <c r="G572" s="350">
        <v>2022</v>
      </c>
      <c r="H572" s="350" t="s">
        <v>2978</v>
      </c>
      <c r="I572" s="432" t="s">
        <v>1498</v>
      </c>
      <c r="J572" s="433"/>
      <c r="K572" s="432" t="s">
        <v>3032</v>
      </c>
      <c r="L572" s="432" t="s">
        <v>1682</v>
      </c>
      <c r="M572" s="433">
        <v>44615</v>
      </c>
      <c r="N572" s="433">
        <v>44819</v>
      </c>
      <c r="O572" s="433"/>
      <c r="P572" s="332"/>
      <c r="Q572" s="433"/>
      <c r="R572" s="433"/>
      <c r="S572" s="432" t="s">
        <v>1520</v>
      </c>
      <c r="T572" s="432">
        <v>60</v>
      </c>
      <c r="U572" s="432" t="s">
        <v>1102</v>
      </c>
      <c r="V572" s="441" t="s">
        <v>973</v>
      </c>
      <c r="W572" s="432">
        <v>400</v>
      </c>
      <c r="X572" s="333">
        <v>1536</v>
      </c>
      <c r="Y572" s="367">
        <f t="shared" si="50"/>
        <v>614400</v>
      </c>
      <c r="Z572" s="409">
        <f t="shared" si="55"/>
        <v>0.55000000000000004</v>
      </c>
      <c r="AA572" s="410">
        <f t="shared" si="58"/>
        <v>337920</v>
      </c>
      <c r="AB572" s="411"/>
      <c r="AC572" s="412">
        <f t="shared" si="56"/>
        <v>0</v>
      </c>
      <c r="AD572" s="405"/>
      <c r="AE572" s="405"/>
      <c r="AF572" s="424">
        <f t="shared" si="59"/>
        <v>337920</v>
      </c>
      <c r="AG572" s="405" t="s">
        <v>1069</v>
      </c>
      <c r="AH572" s="405">
        <v>100</v>
      </c>
      <c r="AI572" s="405">
        <v>0</v>
      </c>
      <c r="AJ572" s="406" t="s">
        <v>1760</v>
      </c>
      <c r="AK572" s="406" t="s">
        <v>50</v>
      </c>
      <c r="AL572" s="414">
        <v>92058</v>
      </c>
      <c r="AM572" s="405" t="s">
        <v>52</v>
      </c>
      <c r="AN572" s="361"/>
      <c r="AO572" s="405" t="s">
        <v>1073</v>
      </c>
      <c r="AP572" s="405"/>
      <c r="AQ572" s="413" t="s">
        <v>37</v>
      </c>
      <c r="AR572" s="405" t="s">
        <v>1188</v>
      </c>
      <c r="AS572" s="404"/>
      <c r="AT572" s="330"/>
      <c r="AU572" s="409">
        <f t="shared" si="57"/>
        <v>0.53</v>
      </c>
    </row>
    <row r="573" spans="1:47" s="402" customFormat="1">
      <c r="A573" s="426"/>
      <c r="B573" s="376">
        <v>44627</v>
      </c>
      <c r="C573" s="426"/>
      <c r="D573" s="443" t="s">
        <v>86</v>
      </c>
      <c r="E573" s="331"/>
      <c r="F573" s="432"/>
      <c r="G573" s="350">
        <v>2022</v>
      </c>
      <c r="H573" s="350" t="s">
        <v>2978</v>
      </c>
      <c r="I573" s="432" t="s">
        <v>1498</v>
      </c>
      <c r="J573" s="433"/>
      <c r="K573" s="432" t="s">
        <v>3033</v>
      </c>
      <c r="L573" s="432" t="s">
        <v>1682</v>
      </c>
      <c r="M573" s="433">
        <v>44652</v>
      </c>
      <c r="N573" s="433">
        <v>44900</v>
      </c>
      <c r="O573" s="433"/>
      <c r="P573" s="332"/>
      <c r="Q573" s="433"/>
      <c r="R573" s="433"/>
      <c r="S573" s="432" t="s">
        <v>1520</v>
      </c>
      <c r="T573" s="432">
        <v>60</v>
      </c>
      <c r="U573" s="432" t="s">
        <v>1102</v>
      </c>
      <c r="V573" s="441" t="s">
        <v>973</v>
      </c>
      <c r="W573" s="432">
        <v>400</v>
      </c>
      <c r="X573" s="333">
        <v>9984</v>
      </c>
      <c r="Y573" s="367">
        <f t="shared" si="50"/>
        <v>3993600</v>
      </c>
      <c r="Z573" s="409">
        <f t="shared" si="55"/>
        <v>0.55000000000000004</v>
      </c>
      <c r="AA573" s="410">
        <f t="shared" si="58"/>
        <v>2196480</v>
      </c>
      <c r="AB573" s="411"/>
      <c r="AC573" s="412">
        <f t="shared" si="56"/>
        <v>0</v>
      </c>
      <c r="AD573" s="405"/>
      <c r="AE573" s="405"/>
      <c r="AF573" s="424">
        <f t="shared" si="59"/>
        <v>2196480</v>
      </c>
      <c r="AG573" s="405" t="s">
        <v>1069</v>
      </c>
      <c r="AH573" s="405">
        <v>100</v>
      </c>
      <c r="AI573" s="405">
        <v>0</v>
      </c>
      <c r="AJ573" s="406" t="s">
        <v>1760</v>
      </c>
      <c r="AK573" s="406" t="s">
        <v>50</v>
      </c>
      <c r="AL573" s="414">
        <v>92058</v>
      </c>
      <c r="AM573" s="405" t="s">
        <v>52</v>
      </c>
      <c r="AN573" s="361"/>
      <c r="AO573" s="405" t="s">
        <v>1073</v>
      </c>
      <c r="AP573" s="405"/>
      <c r="AQ573" s="413" t="s">
        <v>37</v>
      </c>
      <c r="AR573" s="405" t="s">
        <v>1188</v>
      </c>
      <c r="AS573" s="404"/>
      <c r="AT573" s="330"/>
      <c r="AU573" s="409">
        <f t="shared" si="57"/>
        <v>0.53</v>
      </c>
    </row>
    <row r="574" spans="1:47" s="402" customFormat="1">
      <c r="A574" s="426"/>
      <c r="B574" s="376">
        <v>44627</v>
      </c>
      <c r="C574" s="426"/>
      <c r="D574" s="443" t="s">
        <v>86</v>
      </c>
      <c r="E574" s="331"/>
      <c r="F574" s="432"/>
      <c r="G574" s="350">
        <v>2022</v>
      </c>
      <c r="H574" s="350" t="s">
        <v>2978</v>
      </c>
      <c r="I574" s="432" t="s">
        <v>1498</v>
      </c>
      <c r="J574" s="433"/>
      <c r="K574" s="432" t="s">
        <v>3034</v>
      </c>
      <c r="L574" s="432" t="s">
        <v>1682</v>
      </c>
      <c r="M574" s="433">
        <v>44652</v>
      </c>
      <c r="N574" s="433">
        <v>44868</v>
      </c>
      <c r="O574" s="433"/>
      <c r="P574" s="332"/>
      <c r="Q574" s="433"/>
      <c r="R574" s="433"/>
      <c r="S574" s="432" t="s">
        <v>1520</v>
      </c>
      <c r="T574" s="432">
        <v>60</v>
      </c>
      <c r="U574" s="432" t="s">
        <v>1102</v>
      </c>
      <c r="V574" s="441" t="s">
        <v>973</v>
      </c>
      <c r="W574" s="432">
        <v>400</v>
      </c>
      <c r="X574" s="333">
        <v>9984</v>
      </c>
      <c r="Y574" s="367">
        <f t="shared" si="50"/>
        <v>3993600</v>
      </c>
      <c r="Z574" s="409">
        <f t="shared" si="55"/>
        <v>0.55000000000000004</v>
      </c>
      <c r="AA574" s="410">
        <f t="shared" si="58"/>
        <v>2196480</v>
      </c>
      <c r="AB574" s="411"/>
      <c r="AC574" s="412">
        <f t="shared" si="56"/>
        <v>0</v>
      </c>
      <c r="AD574" s="405"/>
      <c r="AE574" s="405"/>
      <c r="AF574" s="424">
        <f t="shared" si="59"/>
        <v>2196480</v>
      </c>
      <c r="AG574" s="405" t="s">
        <v>1069</v>
      </c>
      <c r="AH574" s="405">
        <v>100</v>
      </c>
      <c r="AI574" s="405">
        <v>0</v>
      </c>
      <c r="AJ574" s="406" t="s">
        <v>1760</v>
      </c>
      <c r="AK574" s="406" t="s">
        <v>50</v>
      </c>
      <c r="AL574" s="414">
        <v>92058</v>
      </c>
      <c r="AM574" s="405" t="s">
        <v>52</v>
      </c>
      <c r="AN574" s="361"/>
      <c r="AO574" s="405" t="s">
        <v>1073</v>
      </c>
      <c r="AP574" s="405"/>
      <c r="AQ574" s="413" t="s">
        <v>37</v>
      </c>
      <c r="AR574" s="405" t="s">
        <v>1188</v>
      </c>
      <c r="AS574" s="404"/>
      <c r="AT574" s="330"/>
      <c r="AU574" s="409">
        <f t="shared" si="57"/>
        <v>0.53</v>
      </c>
    </row>
    <row r="575" spans="1:47" s="402" customFormat="1">
      <c r="A575" s="426"/>
      <c r="B575" s="376">
        <v>44627</v>
      </c>
      <c r="C575" s="426"/>
      <c r="D575" s="443" t="s">
        <v>86</v>
      </c>
      <c r="E575" s="331"/>
      <c r="F575" s="432"/>
      <c r="G575" s="350">
        <v>2022</v>
      </c>
      <c r="H575" s="350" t="s">
        <v>2978</v>
      </c>
      <c r="I575" s="432" t="s">
        <v>1498</v>
      </c>
      <c r="J575" s="433"/>
      <c r="K575" s="432" t="s">
        <v>4557</v>
      </c>
      <c r="L575" s="432" t="s">
        <v>1682</v>
      </c>
      <c r="M575" s="433">
        <v>44683</v>
      </c>
      <c r="N575" s="433">
        <v>44900</v>
      </c>
      <c r="O575" s="433"/>
      <c r="P575" s="332"/>
      <c r="Q575" s="433"/>
      <c r="R575" s="433"/>
      <c r="S575" s="432" t="s">
        <v>1520</v>
      </c>
      <c r="T575" s="432">
        <v>60</v>
      </c>
      <c r="U575" s="432" t="s">
        <v>1102</v>
      </c>
      <c r="V575" s="441" t="s">
        <v>973</v>
      </c>
      <c r="W575" s="432">
        <v>400</v>
      </c>
      <c r="X575" s="333">
        <v>2304</v>
      </c>
      <c r="Y575" s="367">
        <f t="shared" si="50"/>
        <v>921600</v>
      </c>
      <c r="Z575" s="409">
        <f>256/400</f>
        <v>0.64</v>
      </c>
      <c r="AA575" s="410">
        <f t="shared" si="58"/>
        <v>589824</v>
      </c>
      <c r="AB575" s="411"/>
      <c r="AC575" s="412">
        <f t="shared" si="56"/>
        <v>0</v>
      </c>
      <c r="AD575" s="405"/>
      <c r="AE575" s="405"/>
      <c r="AF575" s="424">
        <f t="shared" si="59"/>
        <v>589824</v>
      </c>
      <c r="AG575" s="405" t="s">
        <v>1069</v>
      </c>
      <c r="AH575" s="405">
        <v>100</v>
      </c>
      <c r="AI575" s="405">
        <v>0</v>
      </c>
      <c r="AJ575" s="406" t="s">
        <v>1760</v>
      </c>
      <c r="AK575" s="406" t="s">
        <v>50</v>
      </c>
      <c r="AL575" s="414">
        <v>92058</v>
      </c>
      <c r="AM575" s="405" t="s">
        <v>52</v>
      </c>
      <c r="AN575" s="361"/>
      <c r="AO575" s="405" t="s">
        <v>1073</v>
      </c>
      <c r="AP575" s="405"/>
      <c r="AQ575" s="413" t="s">
        <v>37</v>
      </c>
      <c r="AR575" s="405" t="s">
        <v>1188</v>
      </c>
      <c r="AS575" s="404"/>
      <c r="AT575" s="330"/>
      <c r="AU575" s="409">
        <f t="shared" si="57"/>
        <v>0.53</v>
      </c>
    </row>
    <row r="576" spans="1:47" s="402" customFormat="1">
      <c r="A576" s="426"/>
      <c r="B576" s="376">
        <v>44627</v>
      </c>
      <c r="C576" s="426"/>
      <c r="D576" s="443" t="s">
        <v>86</v>
      </c>
      <c r="E576" s="331"/>
      <c r="F576" s="432"/>
      <c r="G576" s="350">
        <v>2022</v>
      </c>
      <c r="H576" s="350" t="s">
        <v>2978</v>
      </c>
      <c r="I576" s="432" t="s">
        <v>1498</v>
      </c>
      <c r="J576" s="433"/>
      <c r="K576" s="432" t="s">
        <v>4558</v>
      </c>
      <c r="L576" s="432" t="s">
        <v>1682</v>
      </c>
      <c r="M576" s="433">
        <v>44683</v>
      </c>
      <c r="N576" s="433">
        <v>44869</v>
      </c>
      <c r="O576" s="433"/>
      <c r="P576" s="332"/>
      <c r="Q576" s="433"/>
      <c r="R576" s="433"/>
      <c r="S576" s="432" t="s">
        <v>1520</v>
      </c>
      <c r="T576" s="432">
        <v>60</v>
      </c>
      <c r="U576" s="432" t="s">
        <v>1102</v>
      </c>
      <c r="V576" s="441" t="s">
        <v>973</v>
      </c>
      <c r="W576" s="432">
        <v>400</v>
      </c>
      <c r="X576" s="333">
        <v>2304</v>
      </c>
      <c r="Y576" s="367">
        <f t="shared" si="50"/>
        <v>921600</v>
      </c>
      <c r="Z576" s="409">
        <f>256/400</f>
        <v>0.64</v>
      </c>
      <c r="AA576" s="410">
        <f t="shared" si="58"/>
        <v>589824</v>
      </c>
      <c r="AB576" s="411"/>
      <c r="AC576" s="412">
        <f t="shared" si="56"/>
        <v>0</v>
      </c>
      <c r="AD576" s="405"/>
      <c r="AE576" s="405"/>
      <c r="AF576" s="424">
        <f t="shared" si="59"/>
        <v>589824</v>
      </c>
      <c r="AG576" s="405" t="s">
        <v>1069</v>
      </c>
      <c r="AH576" s="405">
        <v>100</v>
      </c>
      <c r="AI576" s="405">
        <v>0</v>
      </c>
      <c r="AJ576" s="406" t="s">
        <v>1760</v>
      </c>
      <c r="AK576" s="406" t="s">
        <v>50</v>
      </c>
      <c r="AL576" s="414">
        <v>92058</v>
      </c>
      <c r="AM576" s="405" t="s">
        <v>52</v>
      </c>
      <c r="AN576" s="361"/>
      <c r="AO576" s="405" t="s">
        <v>1073</v>
      </c>
      <c r="AP576" s="405"/>
      <c r="AQ576" s="413" t="s">
        <v>37</v>
      </c>
      <c r="AR576" s="405" t="s">
        <v>1188</v>
      </c>
      <c r="AS576" s="404"/>
      <c r="AT576" s="330"/>
      <c r="AU576" s="409">
        <f t="shared" si="57"/>
        <v>0.53</v>
      </c>
    </row>
    <row r="577" spans="1:47" s="402" customFormat="1">
      <c r="A577" s="426"/>
      <c r="B577" s="376">
        <v>44627</v>
      </c>
      <c r="C577" s="426"/>
      <c r="D577" s="443" t="s">
        <v>86</v>
      </c>
      <c r="E577" s="331"/>
      <c r="F577" s="432"/>
      <c r="G577" s="350">
        <v>2022</v>
      </c>
      <c r="H577" s="350" t="s">
        <v>2978</v>
      </c>
      <c r="I577" s="432" t="s">
        <v>1498</v>
      </c>
      <c r="J577" s="433"/>
      <c r="K577" s="432" t="s">
        <v>4559</v>
      </c>
      <c r="L577" s="432" t="s">
        <v>1682</v>
      </c>
      <c r="M577" s="433">
        <v>44683</v>
      </c>
      <c r="N577" s="433">
        <v>44838</v>
      </c>
      <c r="O577" s="433"/>
      <c r="P577" s="332"/>
      <c r="Q577" s="433"/>
      <c r="R577" s="433"/>
      <c r="S577" s="432" t="s">
        <v>1520</v>
      </c>
      <c r="T577" s="432">
        <v>60</v>
      </c>
      <c r="U577" s="432" t="s">
        <v>1102</v>
      </c>
      <c r="V577" s="441" t="s">
        <v>973</v>
      </c>
      <c r="W577" s="432">
        <v>400</v>
      </c>
      <c r="X577" s="333">
        <v>2304</v>
      </c>
      <c r="Y577" s="367">
        <f t="shared" si="50"/>
        <v>921600</v>
      </c>
      <c r="Z577" s="409">
        <f>256/400</f>
        <v>0.64</v>
      </c>
      <c r="AA577" s="410">
        <f t="shared" si="58"/>
        <v>589824</v>
      </c>
      <c r="AB577" s="411"/>
      <c r="AC577" s="412">
        <f t="shared" si="56"/>
        <v>0</v>
      </c>
      <c r="AD577" s="405"/>
      <c r="AE577" s="405"/>
      <c r="AF577" s="424">
        <f t="shared" si="59"/>
        <v>589824</v>
      </c>
      <c r="AG577" s="405" t="s">
        <v>1069</v>
      </c>
      <c r="AH577" s="405">
        <v>100</v>
      </c>
      <c r="AI577" s="405">
        <v>0</v>
      </c>
      <c r="AJ577" s="406" t="s">
        <v>1760</v>
      </c>
      <c r="AK577" s="406" t="s">
        <v>50</v>
      </c>
      <c r="AL577" s="414">
        <v>92058</v>
      </c>
      <c r="AM577" s="405" t="s">
        <v>52</v>
      </c>
      <c r="AN577" s="361"/>
      <c r="AO577" s="405" t="s">
        <v>1073</v>
      </c>
      <c r="AP577" s="405"/>
      <c r="AQ577" s="413" t="s">
        <v>37</v>
      </c>
      <c r="AR577" s="405" t="s">
        <v>1188</v>
      </c>
      <c r="AS577" s="404"/>
      <c r="AT577" s="330"/>
      <c r="AU577" s="409">
        <f t="shared" si="57"/>
        <v>0.53</v>
      </c>
    </row>
    <row r="578" spans="1:47" s="402" customFormat="1">
      <c r="A578" s="426"/>
      <c r="B578" s="376">
        <v>44627</v>
      </c>
      <c r="C578" s="426"/>
      <c r="D578" s="443" t="s">
        <v>86</v>
      </c>
      <c r="E578" s="331"/>
      <c r="F578" s="432"/>
      <c r="G578" s="350">
        <v>2022</v>
      </c>
      <c r="H578" s="350" t="s">
        <v>2978</v>
      </c>
      <c r="I578" s="432" t="s">
        <v>1498</v>
      </c>
      <c r="J578" s="433"/>
      <c r="K578" s="432" t="s">
        <v>4560</v>
      </c>
      <c r="L578" s="432" t="s">
        <v>1682</v>
      </c>
      <c r="M578" s="433">
        <v>44683</v>
      </c>
      <c r="N578" s="433">
        <v>44809</v>
      </c>
      <c r="O578" s="433"/>
      <c r="P578" s="332"/>
      <c r="Q578" s="433"/>
      <c r="R578" s="433"/>
      <c r="S578" s="432" t="s">
        <v>1520</v>
      </c>
      <c r="T578" s="432">
        <v>60</v>
      </c>
      <c r="U578" s="432" t="s">
        <v>1102</v>
      </c>
      <c r="V578" s="441" t="s">
        <v>973</v>
      </c>
      <c r="W578" s="432">
        <v>400</v>
      </c>
      <c r="X578" s="333">
        <v>2304</v>
      </c>
      <c r="Y578" s="367">
        <f t="shared" si="50"/>
        <v>921600</v>
      </c>
      <c r="Z578" s="409">
        <f>256/400</f>
        <v>0.64</v>
      </c>
      <c r="AA578" s="410">
        <f t="shared" si="58"/>
        <v>589824</v>
      </c>
      <c r="AB578" s="411"/>
      <c r="AC578" s="412">
        <f t="shared" si="56"/>
        <v>0</v>
      </c>
      <c r="AD578" s="405"/>
      <c r="AE578" s="405"/>
      <c r="AF578" s="424">
        <f t="shared" si="59"/>
        <v>589824</v>
      </c>
      <c r="AG578" s="405" t="s">
        <v>1069</v>
      </c>
      <c r="AH578" s="405">
        <v>100</v>
      </c>
      <c r="AI578" s="405">
        <v>0</v>
      </c>
      <c r="AJ578" s="406" t="s">
        <v>1760</v>
      </c>
      <c r="AK578" s="406" t="s">
        <v>50</v>
      </c>
      <c r="AL578" s="414">
        <v>92058</v>
      </c>
      <c r="AM578" s="405" t="s">
        <v>52</v>
      </c>
      <c r="AN578" s="361"/>
      <c r="AO578" s="405" t="s">
        <v>1073</v>
      </c>
      <c r="AP578" s="405"/>
      <c r="AQ578" s="413" t="s">
        <v>37</v>
      </c>
      <c r="AR578" s="405" t="s">
        <v>1188</v>
      </c>
      <c r="AS578" s="404"/>
      <c r="AT578" s="330"/>
      <c r="AU578" s="409">
        <f t="shared" si="57"/>
        <v>0.53</v>
      </c>
    </row>
    <row r="579" spans="1:47" s="402" customFormat="1">
      <c r="A579" s="426"/>
      <c r="B579" s="376">
        <v>44627</v>
      </c>
      <c r="C579" s="426"/>
      <c r="D579" s="443" t="s">
        <v>86</v>
      </c>
      <c r="E579" s="331"/>
      <c r="F579" s="432"/>
      <c r="G579" s="350">
        <v>2022</v>
      </c>
      <c r="H579" s="350" t="s">
        <v>2978</v>
      </c>
      <c r="I579" s="432" t="s">
        <v>1498</v>
      </c>
      <c r="J579" s="433"/>
      <c r="K579" s="432" t="s">
        <v>4561</v>
      </c>
      <c r="L579" s="432" t="s">
        <v>1682</v>
      </c>
      <c r="M579" s="433">
        <v>44683</v>
      </c>
      <c r="N579" s="433">
        <v>44777</v>
      </c>
      <c r="O579" s="433"/>
      <c r="P579" s="332"/>
      <c r="Q579" s="433"/>
      <c r="R579" s="433"/>
      <c r="S579" s="432" t="s">
        <v>1520</v>
      </c>
      <c r="T579" s="432">
        <v>60</v>
      </c>
      <c r="U579" s="432" t="s">
        <v>1102</v>
      </c>
      <c r="V579" s="441" t="s">
        <v>973</v>
      </c>
      <c r="W579" s="432">
        <v>400</v>
      </c>
      <c r="X579" s="333">
        <v>2304</v>
      </c>
      <c r="Y579" s="367">
        <f t="shared" si="50"/>
        <v>921600</v>
      </c>
      <c r="Z579" s="409">
        <f>256/400</f>
        <v>0.64</v>
      </c>
      <c r="AA579" s="410">
        <f t="shared" si="58"/>
        <v>589824</v>
      </c>
      <c r="AB579" s="411"/>
      <c r="AC579" s="412">
        <f t="shared" si="56"/>
        <v>0</v>
      </c>
      <c r="AD579" s="405"/>
      <c r="AE579" s="405"/>
      <c r="AF579" s="424">
        <f t="shared" si="59"/>
        <v>589824</v>
      </c>
      <c r="AG579" s="405" t="s">
        <v>1069</v>
      </c>
      <c r="AH579" s="405">
        <v>100</v>
      </c>
      <c r="AI579" s="405">
        <v>0</v>
      </c>
      <c r="AJ579" s="406" t="s">
        <v>1760</v>
      </c>
      <c r="AK579" s="406" t="s">
        <v>50</v>
      </c>
      <c r="AL579" s="414">
        <v>92058</v>
      </c>
      <c r="AM579" s="405" t="s">
        <v>52</v>
      </c>
      <c r="AN579" s="361"/>
      <c r="AO579" s="405" t="s">
        <v>1073</v>
      </c>
      <c r="AP579" s="405"/>
      <c r="AQ579" s="413" t="s">
        <v>37</v>
      </c>
      <c r="AR579" s="405" t="s">
        <v>1188</v>
      </c>
      <c r="AS579" s="404"/>
      <c r="AT579" s="330"/>
      <c r="AU579" s="409">
        <f t="shared" si="57"/>
        <v>0.53</v>
      </c>
    </row>
    <row r="580" spans="1:47" s="402" customFormat="1">
      <c r="A580" s="426"/>
      <c r="B580" s="376">
        <v>44642</v>
      </c>
      <c r="C580" s="426"/>
      <c r="D580" s="443" t="s">
        <v>86</v>
      </c>
      <c r="E580" s="331"/>
      <c r="F580" s="432"/>
      <c r="G580" s="350">
        <v>2022</v>
      </c>
      <c r="H580" s="350" t="s">
        <v>2978</v>
      </c>
      <c r="I580" s="432" t="s">
        <v>1498</v>
      </c>
      <c r="J580" s="433"/>
      <c r="K580" s="432" t="s">
        <v>3036</v>
      </c>
      <c r="L580" s="432" t="s">
        <v>1517</v>
      </c>
      <c r="M580" s="433">
        <v>44571</v>
      </c>
      <c r="N580" s="433">
        <v>44704</v>
      </c>
      <c r="O580" s="433"/>
      <c r="P580" s="332"/>
      <c r="Q580" s="433"/>
      <c r="R580" s="433"/>
      <c r="S580" s="432" t="s">
        <v>88</v>
      </c>
      <c r="T580" s="432">
        <v>60</v>
      </c>
      <c r="U580" s="432"/>
      <c r="V580" s="441" t="s">
        <v>986</v>
      </c>
      <c r="W580" s="432">
        <v>360</v>
      </c>
      <c r="X580" s="333">
        <v>5376</v>
      </c>
      <c r="Y580" s="367">
        <f t="shared" si="50"/>
        <v>1935360</v>
      </c>
      <c r="Z580" s="409">
        <f>190.8/360</f>
        <v>0.53</v>
      </c>
      <c r="AA580" s="410">
        <f t="shared" si="58"/>
        <v>1025740.8</v>
      </c>
      <c r="AB580" s="411"/>
      <c r="AC580" s="412">
        <v>0</v>
      </c>
      <c r="AD580" s="405"/>
      <c r="AE580" s="405"/>
      <c r="AF580" s="424">
        <f t="shared" si="59"/>
        <v>1025740.8</v>
      </c>
      <c r="AG580" s="405" t="s">
        <v>1069</v>
      </c>
      <c r="AH580" s="405"/>
      <c r="AI580" s="405">
        <v>60</v>
      </c>
      <c r="AJ580" s="406" t="s">
        <v>1518</v>
      </c>
      <c r="AK580" s="406" t="s">
        <v>50</v>
      </c>
      <c r="AL580" s="414">
        <v>92126</v>
      </c>
      <c r="AM580" s="405" t="s">
        <v>52</v>
      </c>
      <c r="AN580" s="361"/>
      <c r="AO580" s="405" t="s">
        <v>1073</v>
      </c>
      <c r="AP580" s="405" t="s">
        <v>92</v>
      </c>
      <c r="AQ580" s="413" t="s">
        <v>37</v>
      </c>
      <c r="AR580" s="405" t="s">
        <v>1188</v>
      </c>
      <c r="AS580" s="404" t="s">
        <v>1392</v>
      </c>
      <c r="AT580" s="330"/>
      <c r="AU580" s="409">
        <f>180/360</f>
        <v>0.5</v>
      </c>
    </row>
    <row r="581" spans="1:47" s="402" customFormat="1">
      <c r="A581" s="426"/>
      <c r="B581" s="376"/>
      <c r="C581" s="426"/>
      <c r="D581" s="443" t="s">
        <v>86</v>
      </c>
      <c r="E581" s="331"/>
      <c r="F581" s="432"/>
      <c r="G581" s="350">
        <v>2022</v>
      </c>
      <c r="H581" s="350" t="s">
        <v>2383</v>
      </c>
      <c r="I581" s="432" t="s">
        <v>1498</v>
      </c>
      <c r="J581" s="433"/>
      <c r="K581" s="432" t="s">
        <v>3037</v>
      </c>
      <c r="L581" s="432" t="s">
        <v>1517</v>
      </c>
      <c r="M581" s="433">
        <v>44606</v>
      </c>
      <c r="N581" s="433">
        <v>44752</v>
      </c>
      <c r="O581" s="433"/>
      <c r="P581" s="332"/>
      <c r="Q581" s="433"/>
      <c r="R581" s="433"/>
      <c r="S581" s="432" t="s">
        <v>88</v>
      </c>
      <c r="T581" s="432">
        <v>60</v>
      </c>
      <c r="U581" s="432"/>
      <c r="V581" s="441" t="s">
        <v>986</v>
      </c>
      <c r="W581" s="432">
        <v>360</v>
      </c>
      <c r="X581" s="333">
        <v>1536</v>
      </c>
      <c r="Y581" s="367">
        <f t="shared" si="50"/>
        <v>552960</v>
      </c>
      <c r="Z581" s="409">
        <f>190.8/360</f>
        <v>0.53</v>
      </c>
      <c r="AA581" s="410">
        <f t="shared" si="58"/>
        <v>293068.79999999999</v>
      </c>
      <c r="AB581" s="411"/>
      <c r="AC581" s="412">
        <v>0</v>
      </c>
      <c r="AD581" s="405"/>
      <c r="AE581" s="405"/>
      <c r="AF581" s="424">
        <f t="shared" si="59"/>
        <v>293068.79999999999</v>
      </c>
      <c r="AG581" s="405" t="s">
        <v>1069</v>
      </c>
      <c r="AH581" s="405"/>
      <c r="AI581" s="405">
        <v>60</v>
      </c>
      <c r="AJ581" s="406" t="s">
        <v>1518</v>
      </c>
      <c r="AK581" s="406" t="s">
        <v>50</v>
      </c>
      <c r="AL581" s="414">
        <v>92126</v>
      </c>
      <c r="AM581" s="405" t="s">
        <v>52</v>
      </c>
      <c r="AN581" s="361"/>
      <c r="AO581" s="405" t="s">
        <v>1073</v>
      </c>
      <c r="AP581" s="405"/>
      <c r="AQ581" s="413" t="s">
        <v>37</v>
      </c>
      <c r="AR581" s="405"/>
      <c r="AS581" s="404" t="s">
        <v>1392</v>
      </c>
      <c r="AT581" s="330"/>
      <c r="AU581" s="409">
        <f>208/400</f>
        <v>0.52</v>
      </c>
    </row>
    <row r="582" spans="1:47" s="402" customFormat="1">
      <c r="A582" s="426"/>
      <c r="B582" s="376"/>
      <c r="C582" s="426"/>
      <c r="D582" s="443" t="s">
        <v>86</v>
      </c>
      <c r="E582" s="331"/>
      <c r="F582" s="432"/>
      <c r="G582" s="350">
        <v>2022</v>
      </c>
      <c r="H582" s="350" t="s">
        <v>2383</v>
      </c>
      <c r="I582" s="432" t="s">
        <v>1498</v>
      </c>
      <c r="J582" s="433"/>
      <c r="K582" s="432" t="s">
        <v>3038</v>
      </c>
      <c r="L582" s="432" t="s">
        <v>1517</v>
      </c>
      <c r="M582" s="433">
        <v>44571</v>
      </c>
      <c r="N582" s="433">
        <v>44783</v>
      </c>
      <c r="O582" s="433"/>
      <c r="P582" s="332"/>
      <c r="Q582" s="433"/>
      <c r="R582" s="433"/>
      <c r="S582" s="432" t="s">
        <v>88</v>
      </c>
      <c r="T582" s="432">
        <v>60</v>
      </c>
      <c r="U582" s="432"/>
      <c r="V582" s="441" t="s">
        <v>986</v>
      </c>
      <c r="W582" s="432">
        <v>360</v>
      </c>
      <c r="X582" s="333">
        <v>3072</v>
      </c>
      <c r="Y582" s="367">
        <f t="shared" si="50"/>
        <v>1105920</v>
      </c>
      <c r="Z582" s="409">
        <f>190.8/360</f>
        <v>0.53</v>
      </c>
      <c r="AA582" s="410">
        <f t="shared" si="58"/>
        <v>586137.59999999998</v>
      </c>
      <c r="AB582" s="411"/>
      <c r="AC582" s="412">
        <v>0</v>
      </c>
      <c r="AD582" s="405"/>
      <c r="AE582" s="405"/>
      <c r="AF582" s="424">
        <f t="shared" si="59"/>
        <v>586137.59999999998</v>
      </c>
      <c r="AG582" s="405" t="s">
        <v>1069</v>
      </c>
      <c r="AH582" s="405"/>
      <c r="AI582" s="405">
        <v>60</v>
      </c>
      <c r="AJ582" s="406" t="s">
        <v>1518</v>
      </c>
      <c r="AK582" s="406" t="s">
        <v>50</v>
      </c>
      <c r="AL582" s="414">
        <v>92126</v>
      </c>
      <c r="AM582" s="405" t="s">
        <v>52</v>
      </c>
      <c r="AN582" s="361"/>
      <c r="AO582" s="405" t="s">
        <v>1073</v>
      </c>
      <c r="AP582" s="405"/>
      <c r="AQ582" s="413" t="s">
        <v>37</v>
      </c>
      <c r="AR582" s="405"/>
      <c r="AS582" s="404" t="s">
        <v>1392</v>
      </c>
      <c r="AT582" s="330"/>
      <c r="AU582" s="409">
        <f>208/400</f>
        <v>0.52</v>
      </c>
    </row>
    <row r="583" spans="1:47" s="402" customFormat="1">
      <c r="A583" s="426"/>
      <c r="B583" s="376"/>
      <c r="C583" s="426"/>
      <c r="D583" s="443" t="s">
        <v>86</v>
      </c>
      <c r="E583" s="331"/>
      <c r="F583" s="432"/>
      <c r="G583" s="350">
        <v>2022</v>
      </c>
      <c r="H583" s="350" t="s">
        <v>2978</v>
      </c>
      <c r="I583" s="432" t="s">
        <v>1498</v>
      </c>
      <c r="J583" s="433"/>
      <c r="K583" s="432" t="s">
        <v>3039</v>
      </c>
      <c r="L583" s="432" t="s">
        <v>1517</v>
      </c>
      <c r="M583" s="433">
        <v>44571</v>
      </c>
      <c r="N583" s="433">
        <v>44824</v>
      </c>
      <c r="O583" s="433"/>
      <c r="P583" s="332"/>
      <c r="Q583" s="433"/>
      <c r="R583" s="433"/>
      <c r="S583" s="432" t="s">
        <v>88</v>
      </c>
      <c r="T583" s="432">
        <v>60</v>
      </c>
      <c r="U583" s="432"/>
      <c r="V583" s="441" t="s">
        <v>986</v>
      </c>
      <c r="W583" s="432">
        <v>360</v>
      </c>
      <c r="X583" s="333">
        <v>3072</v>
      </c>
      <c r="Y583" s="367">
        <f t="shared" si="50"/>
        <v>1105920</v>
      </c>
      <c r="Z583" s="409">
        <f>190.8/360</f>
        <v>0.53</v>
      </c>
      <c r="AA583" s="410">
        <f t="shared" si="58"/>
        <v>586137.59999999998</v>
      </c>
      <c r="AB583" s="411"/>
      <c r="AC583" s="412">
        <v>0</v>
      </c>
      <c r="AD583" s="405"/>
      <c r="AE583" s="405"/>
      <c r="AF583" s="424">
        <f t="shared" si="59"/>
        <v>586137.59999999998</v>
      </c>
      <c r="AG583" s="405" t="s">
        <v>1069</v>
      </c>
      <c r="AH583" s="405"/>
      <c r="AI583" s="405">
        <v>60</v>
      </c>
      <c r="AJ583" s="406" t="s">
        <v>1518</v>
      </c>
      <c r="AK583" s="406" t="s">
        <v>50</v>
      </c>
      <c r="AL583" s="414">
        <v>92126</v>
      </c>
      <c r="AM583" s="405" t="s">
        <v>52</v>
      </c>
      <c r="AN583" s="361"/>
      <c r="AO583" s="405" t="s">
        <v>1073</v>
      </c>
      <c r="AP583" s="405" t="s">
        <v>92</v>
      </c>
      <c r="AQ583" s="413" t="s">
        <v>37</v>
      </c>
      <c r="AR583" s="405" t="s">
        <v>1188</v>
      </c>
      <c r="AS583" s="404" t="s">
        <v>1392</v>
      </c>
      <c r="AT583" s="330"/>
      <c r="AU583" s="409">
        <f>180/360</f>
        <v>0.5</v>
      </c>
    </row>
    <row r="584" spans="1:47" s="402" customFormat="1">
      <c r="A584" s="426"/>
      <c r="B584" s="376">
        <v>44642</v>
      </c>
      <c r="C584" s="426"/>
      <c r="D584" s="443" t="s">
        <v>86</v>
      </c>
      <c r="E584" s="331" t="s">
        <v>1708</v>
      </c>
      <c r="F584" s="432"/>
      <c r="G584" s="350">
        <v>2022</v>
      </c>
      <c r="H584" s="350" t="s">
        <v>2383</v>
      </c>
      <c r="I584" s="432" t="s">
        <v>1498</v>
      </c>
      <c r="J584" s="433"/>
      <c r="K584" s="432" t="s">
        <v>3041</v>
      </c>
      <c r="L584" s="432" t="s">
        <v>1517</v>
      </c>
      <c r="M584" s="433">
        <v>44587</v>
      </c>
      <c r="N584" s="433">
        <v>44677</v>
      </c>
      <c r="O584" s="433"/>
      <c r="P584" s="332"/>
      <c r="Q584" s="433"/>
      <c r="R584" s="433"/>
      <c r="S584" s="432" t="s">
        <v>88</v>
      </c>
      <c r="T584" s="432">
        <v>60</v>
      </c>
      <c r="U584" s="432"/>
      <c r="V584" s="441" t="s">
        <v>973</v>
      </c>
      <c r="W584" s="432">
        <v>400</v>
      </c>
      <c r="X584" s="333">
        <v>768</v>
      </c>
      <c r="Y584" s="367">
        <f t="shared" si="50"/>
        <v>307200</v>
      </c>
      <c r="Z584" s="409">
        <f t="shared" ref="Z584:Z589" si="60">220/400</f>
        <v>0.55000000000000004</v>
      </c>
      <c r="AA584" s="410">
        <f t="shared" si="58"/>
        <v>168960</v>
      </c>
      <c r="AB584" s="411"/>
      <c r="AC584" s="412">
        <v>0</v>
      </c>
      <c r="AD584" s="405"/>
      <c r="AE584" s="405"/>
      <c r="AF584" s="424">
        <f t="shared" si="59"/>
        <v>168960</v>
      </c>
      <c r="AG584" s="405" t="s">
        <v>1069</v>
      </c>
      <c r="AH584" s="405"/>
      <c r="AI584" s="405">
        <v>60</v>
      </c>
      <c r="AJ584" s="406" t="s">
        <v>1518</v>
      </c>
      <c r="AK584" s="406" t="s">
        <v>50</v>
      </c>
      <c r="AL584" s="414">
        <v>92126</v>
      </c>
      <c r="AM584" s="405" t="s">
        <v>52</v>
      </c>
      <c r="AN584" s="361"/>
      <c r="AO584" s="405" t="s">
        <v>1073</v>
      </c>
      <c r="AP584" s="405"/>
      <c r="AQ584" s="413" t="s">
        <v>37</v>
      </c>
      <c r="AR584" s="405"/>
      <c r="AS584" s="404" t="s">
        <v>1392</v>
      </c>
      <c r="AT584" s="330"/>
      <c r="AU584" s="409">
        <f t="shared" ref="AU584:AU591" si="61">208/400</f>
        <v>0.52</v>
      </c>
    </row>
    <row r="585" spans="1:47" s="402" customFormat="1">
      <c r="A585" s="426"/>
      <c r="B585" s="376">
        <v>44642</v>
      </c>
      <c r="C585" s="426"/>
      <c r="D585" s="443" t="s">
        <v>86</v>
      </c>
      <c r="E585" s="331" t="s">
        <v>1708</v>
      </c>
      <c r="F585" s="432"/>
      <c r="G585" s="350">
        <v>2022</v>
      </c>
      <c r="H585" s="350" t="s">
        <v>2383</v>
      </c>
      <c r="I585" s="432" t="s">
        <v>1498</v>
      </c>
      <c r="J585" s="433"/>
      <c r="K585" s="432" t="s">
        <v>3042</v>
      </c>
      <c r="L585" s="432" t="s">
        <v>1517</v>
      </c>
      <c r="M585" s="433">
        <v>44587</v>
      </c>
      <c r="N585" s="433">
        <v>44707</v>
      </c>
      <c r="O585" s="433"/>
      <c r="P585" s="332"/>
      <c r="Q585" s="433"/>
      <c r="R585" s="433"/>
      <c r="S585" s="432" t="s">
        <v>88</v>
      </c>
      <c r="T585" s="432">
        <v>60</v>
      </c>
      <c r="U585" s="432"/>
      <c r="V585" s="441" t="s">
        <v>973</v>
      </c>
      <c r="W585" s="432">
        <v>400</v>
      </c>
      <c r="X585" s="333">
        <v>2304</v>
      </c>
      <c r="Y585" s="367">
        <f t="shared" si="50"/>
        <v>921600</v>
      </c>
      <c r="Z585" s="409">
        <f t="shared" si="60"/>
        <v>0.55000000000000004</v>
      </c>
      <c r="AA585" s="410">
        <f t="shared" si="58"/>
        <v>506880.00000000006</v>
      </c>
      <c r="AB585" s="411"/>
      <c r="AC585" s="412">
        <v>0</v>
      </c>
      <c r="AD585" s="405"/>
      <c r="AE585" s="405"/>
      <c r="AF585" s="424">
        <f t="shared" si="59"/>
        <v>506880.00000000006</v>
      </c>
      <c r="AG585" s="405" t="s">
        <v>1069</v>
      </c>
      <c r="AH585" s="405"/>
      <c r="AI585" s="405">
        <v>60</v>
      </c>
      <c r="AJ585" s="406" t="s">
        <v>1518</v>
      </c>
      <c r="AK585" s="406" t="s">
        <v>50</v>
      </c>
      <c r="AL585" s="414">
        <v>92126</v>
      </c>
      <c r="AM585" s="405" t="s">
        <v>52</v>
      </c>
      <c r="AN585" s="361"/>
      <c r="AO585" s="405" t="s">
        <v>1073</v>
      </c>
      <c r="AP585" s="405"/>
      <c r="AQ585" s="413" t="s">
        <v>37</v>
      </c>
      <c r="AR585" s="405"/>
      <c r="AS585" s="404" t="s">
        <v>1392</v>
      </c>
      <c r="AT585" s="330"/>
      <c r="AU585" s="409">
        <f t="shared" si="61"/>
        <v>0.52</v>
      </c>
    </row>
    <row r="586" spans="1:47" s="402" customFormat="1">
      <c r="A586" s="426"/>
      <c r="B586" s="376">
        <v>44642</v>
      </c>
      <c r="C586" s="426"/>
      <c r="D586" s="443" t="s">
        <v>86</v>
      </c>
      <c r="E586" s="331" t="s">
        <v>1708</v>
      </c>
      <c r="F586" s="432"/>
      <c r="G586" s="350">
        <v>2022</v>
      </c>
      <c r="H586" s="350" t="s">
        <v>2383</v>
      </c>
      <c r="I586" s="432" t="s">
        <v>1498</v>
      </c>
      <c r="J586" s="433"/>
      <c r="K586" s="432" t="s">
        <v>4989</v>
      </c>
      <c r="L586" s="432" t="s">
        <v>1517</v>
      </c>
      <c r="M586" s="433">
        <v>44587</v>
      </c>
      <c r="N586" s="433">
        <v>44707</v>
      </c>
      <c r="O586" s="433"/>
      <c r="P586" s="332"/>
      <c r="Q586" s="433"/>
      <c r="R586" s="433"/>
      <c r="S586" s="432" t="s">
        <v>88</v>
      </c>
      <c r="T586" s="432">
        <v>60</v>
      </c>
      <c r="U586" s="432"/>
      <c r="V586" s="441" t="s">
        <v>973</v>
      </c>
      <c r="W586" s="432">
        <v>400</v>
      </c>
      <c r="X586" s="333">
        <v>2304</v>
      </c>
      <c r="Y586" s="367">
        <f t="shared" si="50"/>
        <v>921600</v>
      </c>
      <c r="Z586" s="409">
        <f t="shared" si="60"/>
        <v>0.55000000000000004</v>
      </c>
      <c r="AA586" s="410">
        <f t="shared" si="58"/>
        <v>506880.00000000006</v>
      </c>
      <c r="AB586" s="411"/>
      <c r="AC586" s="412">
        <v>0</v>
      </c>
      <c r="AD586" s="405"/>
      <c r="AE586" s="405"/>
      <c r="AF586" s="424">
        <f t="shared" si="59"/>
        <v>506880.00000000006</v>
      </c>
      <c r="AG586" s="405" t="s">
        <v>1069</v>
      </c>
      <c r="AH586" s="405"/>
      <c r="AI586" s="405">
        <v>60</v>
      </c>
      <c r="AJ586" s="406" t="s">
        <v>1518</v>
      </c>
      <c r="AK586" s="406" t="s">
        <v>50</v>
      </c>
      <c r="AL586" s="414">
        <v>92126</v>
      </c>
      <c r="AM586" s="405" t="s">
        <v>52</v>
      </c>
      <c r="AN586" s="361"/>
      <c r="AO586" s="405" t="s">
        <v>1073</v>
      </c>
      <c r="AP586" s="405"/>
      <c r="AQ586" s="413" t="s">
        <v>37</v>
      </c>
      <c r="AR586" s="405"/>
      <c r="AS586" s="404" t="s">
        <v>1392</v>
      </c>
      <c r="AT586" s="330"/>
      <c r="AU586" s="409">
        <f t="shared" si="61"/>
        <v>0.52</v>
      </c>
    </row>
    <row r="587" spans="1:47" s="402" customFormat="1">
      <c r="A587" s="426"/>
      <c r="B587" s="376"/>
      <c r="C587" s="426"/>
      <c r="D587" s="443" t="s">
        <v>86</v>
      </c>
      <c r="E587" s="331" t="s">
        <v>3043</v>
      </c>
      <c r="F587" s="432"/>
      <c r="G587" s="350">
        <v>2022</v>
      </c>
      <c r="H587" s="350" t="s">
        <v>2383</v>
      </c>
      <c r="I587" s="432" t="s">
        <v>1498</v>
      </c>
      <c r="J587" s="433"/>
      <c r="K587" s="432" t="s">
        <v>3045</v>
      </c>
      <c r="L587" s="432" t="s">
        <v>1517</v>
      </c>
      <c r="M587" s="433">
        <v>44615</v>
      </c>
      <c r="N587" s="433">
        <v>44765</v>
      </c>
      <c r="O587" s="433"/>
      <c r="P587" s="332"/>
      <c r="Q587" s="433"/>
      <c r="R587" s="433"/>
      <c r="S587" s="432" t="s">
        <v>88</v>
      </c>
      <c r="T587" s="432">
        <v>60</v>
      </c>
      <c r="U587" s="432"/>
      <c r="V587" s="441" t="s">
        <v>973</v>
      </c>
      <c r="W587" s="432">
        <v>400</v>
      </c>
      <c r="X587" s="333">
        <v>5376</v>
      </c>
      <c r="Y587" s="367">
        <f t="shared" si="50"/>
        <v>2150400</v>
      </c>
      <c r="Z587" s="409">
        <f t="shared" si="60"/>
        <v>0.55000000000000004</v>
      </c>
      <c r="AA587" s="410">
        <f t="shared" si="58"/>
        <v>1182720</v>
      </c>
      <c r="AB587" s="411"/>
      <c r="AC587" s="412">
        <v>0</v>
      </c>
      <c r="AD587" s="405"/>
      <c r="AE587" s="405"/>
      <c r="AF587" s="424">
        <f t="shared" si="59"/>
        <v>1182720</v>
      </c>
      <c r="AG587" s="405" t="s">
        <v>1069</v>
      </c>
      <c r="AH587" s="405"/>
      <c r="AI587" s="405">
        <v>60</v>
      </c>
      <c r="AJ587" s="406" t="s">
        <v>1518</v>
      </c>
      <c r="AK587" s="406" t="s">
        <v>50</v>
      </c>
      <c r="AL587" s="414">
        <v>92126</v>
      </c>
      <c r="AM587" s="405" t="s">
        <v>52</v>
      </c>
      <c r="AN587" s="361"/>
      <c r="AO587" s="405" t="s">
        <v>1073</v>
      </c>
      <c r="AP587" s="405"/>
      <c r="AQ587" s="413" t="s">
        <v>37</v>
      </c>
      <c r="AR587" s="405"/>
      <c r="AS587" s="404" t="s">
        <v>1392</v>
      </c>
      <c r="AT587" s="330"/>
      <c r="AU587" s="409">
        <f t="shared" si="61"/>
        <v>0.52</v>
      </c>
    </row>
    <row r="588" spans="1:47" s="402" customFormat="1">
      <c r="A588" s="426"/>
      <c r="B588" s="376"/>
      <c r="C588" s="426"/>
      <c r="D588" s="443" t="s">
        <v>86</v>
      </c>
      <c r="E588" s="331" t="s">
        <v>3044</v>
      </c>
      <c r="F588" s="432"/>
      <c r="G588" s="350">
        <v>2022</v>
      </c>
      <c r="H588" s="350" t="s">
        <v>2383</v>
      </c>
      <c r="I588" s="432" t="s">
        <v>1498</v>
      </c>
      <c r="J588" s="433"/>
      <c r="K588" s="432" t="s">
        <v>4380</v>
      </c>
      <c r="L588" s="432" t="s">
        <v>1517</v>
      </c>
      <c r="M588" s="433">
        <v>44615</v>
      </c>
      <c r="N588" s="433">
        <v>44796</v>
      </c>
      <c r="O588" s="433"/>
      <c r="P588" s="332"/>
      <c r="Q588" s="433"/>
      <c r="R588" s="433"/>
      <c r="S588" s="432" t="s">
        <v>88</v>
      </c>
      <c r="T588" s="432">
        <v>60</v>
      </c>
      <c r="U588" s="432"/>
      <c r="V588" s="441" t="s">
        <v>973</v>
      </c>
      <c r="W588" s="432">
        <v>400</v>
      </c>
      <c r="X588" s="333">
        <v>5376</v>
      </c>
      <c r="Y588" s="367">
        <f t="shared" si="50"/>
        <v>2150400</v>
      </c>
      <c r="Z588" s="409">
        <f t="shared" si="60"/>
        <v>0.55000000000000004</v>
      </c>
      <c r="AA588" s="410">
        <f t="shared" si="58"/>
        <v>1182720</v>
      </c>
      <c r="AB588" s="411"/>
      <c r="AC588" s="412">
        <v>0</v>
      </c>
      <c r="AD588" s="405"/>
      <c r="AE588" s="405"/>
      <c r="AF588" s="424">
        <f t="shared" si="59"/>
        <v>1182720</v>
      </c>
      <c r="AG588" s="405" t="s">
        <v>1069</v>
      </c>
      <c r="AH588" s="405"/>
      <c r="AI588" s="405">
        <v>60</v>
      </c>
      <c r="AJ588" s="406" t="s">
        <v>1518</v>
      </c>
      <c r="AK588" s="406" t="s">
        <v>50</v>
      </c>
      <c r="AL588" s="414">
        <v>92126</v>
      </c>
      <c r="AM588" s="405" t="s">
        <v>52</v>
      </c>
      <c r="AN588" s="361"/>
      <c r="AO588" s="405" t="s">
        <v>1073</v>
      </c>
      <c r="AP588" s="405"/>
      <c r="AQ588" s="413" t="s">
        <v>37</v>
      </c>
      <c r="AR588" s="405"/>
      <c r="AS588" s="404" t="s">
        <v>1392</v>
      </c>
      <c r="AT588" s="330"/>
      <c r="AU588" s="409">
        <f t="shared" si="61"/>
        <v>0.52</v>
      </c>
    </row>
    <row r="589" spans="1:47" s="402" customFormat="1">
      <c r="A589" s="426"/>
      <c r="B589" s="376"/>
      <c r="C589" s="426"/>
      <c r="D589" s="443" t="s">
        <v>86</v>
      </c>
      <c r="E589" s="331" t="s">
        <v>4381</v>
      </c>
      <c r="F589" s="432"/>
      <c r="G589" s="350">
        <v>2022</v>
      </c>
      <c r="H589" s="350" t="s">
        <v>2383</v>
      </c>
      <c r="I589" s="432" t="s">
        <v>1498</v>
      </c>
      <c r="J589" s="433"/>
      <c r="K589" s="432" t="s">
        <v>4380</v>
      </c>
      <c r="L589" s="432" t="s">
        <v>1517</v>
      </c>
      <c r="M589" s="433">
        <v>44615</v>
      </c>
      <c r="N589" s="433">
        <v>44827</v>
      </c>
      <c r="O589" s="433"/>
      <c r="P589" s="332"/>
      <c r="Q589" s="433"/>
      <c r="R589" s="433"/>
      <c r="S589" s="432" t="s">
        <v>88</v>
      </c>
      <c r="T589" s="432">
        <v>60</v>
      </c>
      <c r="U589" s="432"/>
      <c r="V589" s="441" t="s">
        <v>973</v>
      </c>
      <c r="W589" s="432">
        <v>400</v>
      </c>
      <c r="X589" s="333">
        <v>6144</v>
      </c>
      <c r="Y589" s="367">
        <f t="shared" si="50"/>
        <v>2457600</v>
      </c>
      <c r="Z589" s="409">
        <f t="shared" si="60"/>
        <v>0.55000000000000004</v>
      </c>
      <c r="AA589" s="410">
        <f t="shared" si="58"/>
        <v>1351680</v>
      </c>
      <c r="AB589" s="411"/>
      <c r="AC589" s="412">
        <v>0</v>
      </c>
      <c r="AD589" s="405"/>
      <c r="AE589" s="405"/>
      <c r="AF589" s="424">
        <f t="shared" si="59"/>
        <v>1351680</v>
      </c>
      <c r="AG589" s="405" t="s">
        <v>1069</v>
      </c>
      <c r="AH589" s="405"/>
      <c r="AI589" s="405">
        <v>60</v>
      </c>
      <c r="AJ589" s="406" t="s">
        <v>1518</v>
      </c>
      <c r="AK589" s="406" t="s">
        <v>50</v>
      </c>
      <c r="AL589" s="414">
        <v>92126</v>
      </c>
      <c r="AM589" s="405" t="s">
        <v>52</v>
      </c>
      <c r="AN589" s="361"/>
      <c r="AO589" s="405" t="s">
        <v>1073</v>
      </c>
      <c r="AP589" s="405"/>
      <c r="AQ589" s="413" t="s">
        <v>37</v>
      </c>
      <c r="AR589" s="405"/>
      <c r="AS589" s="404" t="s">
        <v>1392</v>
      </c>
      <c r="AT589" s="330"/>
      <c r="AU589" s="409">
        <f t="shared" si="61"/>
        <v>0.52</v>
      </c>
    </row>
    <row r="590" spans="1:47" s="402" customFormat="1">
      <c r="A590" s="426"/>
      <c r="B590" s="376"/>
      <c r="C590" s="426"/>
      <c r="D590" s="443" t="s">
        <v>86</v>
      </c>
      <c r="E590" s="331" t="s">
        <v>1838</v>
      </c>
      <c r="F590" s="432"/>
      <c r="G590" s="350">
        <v>2022</v>
      </c>
      <c r="H590" s="350" t="s">
        <v>2383</v>
      </c>
      <c r="I590" s="432" t="s">
        <v>1498</v>
      </c>
      <c r="J590" s="433"/>
      <c r="K590" s="432" t="s">
        <v>3047</v>
      </c>
      <c r="L590" s="432" t="s">
        <v>1768</v>
      </c>
      <c r="M590" s="433">
        <v>44573</v>
      </c>
      <c r="N590" s="433">
        <v>44788</v>
      </c>
      <c r="O590" s="433"/>
      <c r="P590" s="332"/>
      <c r="Q590" s="433"/>
      <c r="R590" s="433"/>
      <c r="S590" s="432" t="s">
        <v>88</v>
      </c>
      <c r="T590" s="432">
        <v>60</v>
      </c>
      <c r="U590" s="432"/>
      <c r="V590" s="441" t="s">
        <v>973</v>
      </c>
      <c r="W590" s="432">
        <v>400</v>
      </c>
      <c r="X590" s="333">
        <v>832</v>
      </c>
      <c r="Y590" s="367">
        <f t="shared" si="50"/>
        <v>332800</v>
      </c>
      <c r="Z590" s="409">
        <f>208/400</f>
        <v>0.52</v>
      </c>
      <c r="AA590" s="410">
        <f t="shared" si="58"/>
        <v>173056</v>
      </c>
      <c r="AB590" s="411"/>
      <c r="AC590" s="412">
        <f t="shared" ref="AC590:AC625" si="62">AB590*Y590</f>
        <v>0</v>
      </c>
      <c r="AD590" s="405"/>
      <c r="AE590" s="405"/>
      <c r="AF590" s="424">
        <f t="shared" si="59"/>
        <v>173056</v>
      </c>
      <c r="AG590" s="405" t="s">
        <v>1069</v>
      </c>
      <c r="AH590" s="405"/>
      <c r="AI590" s="405">
        <v>60</v>
      </c>
      <c r="AJ590" s="406" t="s">
        <v>1777</v>
      </c>
      <c r="AK590" s="406" t="s">
        <v>50</v>
      </c>
      <c r="AL590" s="414" t="s">
        <v>1778</v>
      </c>
      <c r="AM590" s="405" t="s">
        <v>52</v>
      </c>
      <c r="AN590" s="361" t="s">
        <v>1071</v>
      </c>
      <c r="AO590" s="405" t="s">
        <v>1073</v>
      </c>
      <c r="AP590" s="405"/>
      <c r="AQ590" s="413" t="s">
        <v>37</v>
      </c>
      <c r="AR590" s="405" t="s">
        <v>1188</v>
      </c>
      <c r="AS590" s="404" t="s">
        <v>1392</v>
      </c>
      <c r="AT590" s="330"/>
      <c r="AU590" s="409">
        <f t="shared" si="61"/>
        <v>0.52</v>
      </c>
    </row>
    <row r="591" spans="1:47" s="402" customFormat="1">
      <c r="A591" s="426"/>
      <c r="B591" s="376"/>
      <c r="C591" s="426"/>
      <c r="D591" s="443" t="s">
        <v>86</v>
      </c>
      <c r="E591" s="331" t="s">
        <v>1838</v>
      </c>
      <c r="F591" s="432"/>
      <c r="G591" s="350">
        <v>2022</v>
      </c>
      <c r="H591" s="350" t="s">
        <v>2383</v>
      </c>
      <c r="I591" s="432" t="s">
        <v>1498</v>
      </c>
      <c r="J591" s="433"/>
      <c r="K591" s="432" t="s">
        <v>3048</v>
      </c>
      <c r="L591" s="432" t="s">
        <v>1768</v>
      </c>
      <c r="M591" s="433">
        <v>44573</v>
      </c>
      <c r="N591" s="433">
        <v>44823</v>
      </c>
      <c r="O591" s="433"/>
      <c r="P591" s="332"/>
      <c r="Q591" s="433"/>
      <c r="R591" s="433"/>
      <c r="S591" s="432" t="s">
        <v>88</v>
      </c>
      <c r="T591" s="432">
        <v>60</v>
      </c>
      <c r="U591" s="432"/>
      <c r="V591" s="441" t="s">
        <v>973</v>
      </c>
      <c r="W591" s="432">
        <v>400</v>
      </c>
      <c r="X591" s="333">
        <v>832</v>
      </c>
      <c r="Y591" s="367">
        <f t="shared" si="50"/>
        <v>332800</v>
      </c>
      <c r="Z591" s="409">
        <f>208/400</f>
        <v>0.52</v>
      </c>
      <c r="AA591" s="410">
        <f t="shared" si="58"/>
        <v>173056</v>
      </c>
      <c r="AB591" s="411"/>
      <c r="AC591" s="412">
        <f t="shared" si="62"/>
        <v>0</v>
      </c>
      <c r="AD591" s="405"/>
      <c r="AE591" s="405"/>
      <c r="AF591" s="424">
        <f t="shared" si="59"/>
        <v>173056</v>
      </c>
      <c r="AG591" s="405" t="s">
        <v>1069</v>
      </c>
      <c r="AH591" s="405"/>
      <c r="AI591" s="405">
        <v>60</v>
      </c>
      <c r="AJ591" s="406" t="s">
        <v>1777</v>
      </c>
      <c r="AK591" s="406" t="s">
        <v>50</v>
      </c>
      <c r="AL591" s="414" t="s">
        <v>1778</v>
      </c>
      <c r="AM591" s="405" t="s">
        <v>52</v>
      </c>
      <c r="AN591" s="361" t="s">
        <v>1071</v>
      </c>
      <c r="AO591" s="405" t="s">
        <v>1073</v>
      </c>
      <c r="AP591" s="405"/>
      <c r="AQ591" s="413" t="s">
        <v>37</v>
      </c>
      <c r="AR591" s="405" t="s">
        <v>1188</v>
      </c>
      <c r="AS591" s="404" t="s">
        <v>1392</v>
      </c>
      <c r="AT591" s="330"/>
      <c r="AU591" s="409">
        <f t="shared" si="61"/>
        <v>0.52</v>
      </c>
    </row>
    <row r="592" spans="1:47" s="402" customFormat="1">
      <c r="A592" s="426"/>
      <c r="B592" s="376"/>
      <c r="C592" s="426"/>
      <c r="D592" s="443" t="s">
        <v>86</v>
      </c>
      <c r="E592" s="331" t="s">
        <v>1838</v>
      </c>
      <c r="F592" s="432"/>
      <c r="G592" s="350">
        <v>2022</v>
      </c>
      <c r="H592" s="350" t="s">
        <v>2383</v>
      </c>
      <c r="I592" s="432" t="s">
        <v>1498</v>
      </c>
      <c r="J592" s="433"/>
      <c r="K592" s="432" t="s">
        <v>3049</v>
      </c>
      <c r="L592" s="432" t="s">
        <v>1768</v>
      </c>
      <c r="M592" s="433">
        <v>44573</v>
      </c>
      <c r="N592" s="433">
        <v>44613</v>
      </c>
      <c r="O592" s="433"/>
      <c r="P592" s="332"/>
      <c r="Q592" s="433"/>
      <c r="R592" s="433"/>
      <c r="S592" s="432" t="s">
        <v>88</v>
      </c>
      <c r="T592" s="432">
        <v>60</v>
      </c>
      <c r="U592" s="432"/>
      <c r="V592" s="441" t="s">
        <v>1192</v>
      </c>
      <c r="W592" s="432">
        <v>360</v>
      </c>
      <c r="X592" s="333">
        <v>676</v>
      </c>
      <c r="Y592" s="367">
        <f t="shared" si="50"/>
        <v>243360</v>
      </c>
      <c r="Z592" s="409">
        <f>273.6/360</f>
        <v>0.76</v>
      </c>
      <c r="AA592" s="410">
        <f t="shared" si="58"/>
        <v>184953.60000000001</v>
      </c>
      <c r="AB592" s="411"/>
      <c r="AC592" s="412">
        <f t="shared" si="62"/>
        <v>0</v>
      </c>
      <c r="AD592" s="405"/>
      <c r="AE592" s="405"/>
      <c r="AF592" s="424">
        <f t="shared" si="59"/>
        <v>184953.60000000001</v>
      </c>
      <c r="AG592" s="405" t="s">
        <v>1069</v>
      </c>
      <c r="AH592" s="405"/>
      <c r="AI592" s="405">
        <v>60</v>
      </c>
      <c r="AJ592" s="406" t="s">
        <v>1777</v>
      </c>
      <c r="AK592" s="406" t="s">
        <v>50</v>
      </c>
      <c r="AL592" s="414" t="s">
        <v>1778</v>
      </c>
      <c r="AM592" s="405" t="s">
        <v>52</v>
      </c>
      <c r="AN592" s="361" t="s">
        <v>1071</v>
      </c>
      <c r="AO592" s="405" t="s">
        <v>1073</v>
      </c>
      <c r="AP592" s="405"/>
      <c r="AQ592" s="413" t="s">
        <v>37</v>
      </c>
      <c r="AR592" s="405" t="s">
        <v>1188</v>
      </c>
      <c r="AS592" s="404" t="s">
        <v>1392</v>
      </c>
      <c r="AT592" s="330"/>
      <c r="AU592" s="409">
        <f>273.6/360</f>
        <v>0.76</v>
      </c>
    </row>
    <row r="593" spans="1:47" s="402" customFormat="1">
      <c r="A593" s="426"/>
      <c r="B593" s="376"/>
      <c r="C593" s="426"/>
      <c r="D593" s="443" t="s">
        <v>86</v>
      </c>
      <c r="E593" s="331" t="s">
        <v>1838</v>
      </c>
      <c r="F593" s="432"/>
      <c r="G593" s="350">
        <v>2022</v>
      </c>
      <c r="H593" s="350" t="s">
        <v>2383</v>
      </c>
      <c r="I593" s="432" t="s">
        <v>1498</v>
      </c>
      <c r="J593" s="433"/>
      <c r="K593" s="432" t="s">
        <v>3050</v>
      </c>
      <c r="L593" s="432" t="s">
        <v>1768</v>
      </c>
      <c r="M593" s="433">
        <v>44573</v>
      </c>
      <c r="N593" s="433">
        <v>44662</v>
      </c>
      <c r="O593" s="433"/>
      <c r="P593" s="332"/>
      <c r="Q593" s="433"/>
      <c r="R593" s="433"/>
      <c r="S593" s="432" t="s">
        <v>88</v>
      </c>
      <c r="T593" s="432">
        <v>60</v>
      </c>
      <c r="U593" s="432"/>
      <c r="V593" s="441" t="s">
        <v>1192</v>
      </c>
      <c r="W593" s="432">
        <v>360</v>
      </c>
      <c r="X593" s="333">
        <v>676</v>
      </c>
      <c r="Y593" s="367">
        <f t="shared" si="50"/>
        <v>243360</v>
      </c>
      <c r="Z593" s="409">
        <f>273.6/360</f>
        <v>0.76</v>
      </c>
      <c r="AA593" s="410">
        <f t="shared" si="58"/>
        <v>184953.60000000001</v>
      </c>
      <c r="AB593" s="411"/>
      <c r="AC593" s="412">
        <f t="shared" si="62"/>
        <v>0</v>
      </c>
      <c r="AD593" s="405"/>
      <c r="AE593" s="405"/>
      <c r="AF593" s="424">
        <f t="shared" si="59"/>
        <v>184953.60000000001</v>
      </c>
      <c r="AG593" s="405" t="s">
        <v>1069</v>
      </c>
      <c r="AH593" s="405"/>
      <c r="AI593" s="405">
        <v>60</v>
      </c>
      <c r="AJ593" s="406" t="s">
        <v>1777</v>
      </c>
      <c r="AK593" s="406" t="s">
        <v>50</v>
      </c>
      <c r="AL593" s="414" t="s">
        <v>1778</v>
      </c>
      <c r="AM593" s="405" t="s">
        <v>52</v>
      </c>
      <c r="AN593" s="361" t="s">
        <v>1071</v>
      </c>
      <c r="AO593" s="405" t="s">
        <v>1073</v>
      </c>
      <c r="AP593" s="405"/>
      <c r="AQ593" s="413" t="s">
        <v>37</v>
      </c>
      <c r="AR593" s="405" t="s">
        <v>1188</v>
      </c>
      <c r="AS593" s="404" t="s">
        <v>1392</v>
      </c>
      <c r="AT593" s="330"/>
      <c r="AU593" s="409">
        <f>273.6/360</f>
        <v>0.76</v>
      </c>
    </row>
    <row r="594" spans="1:47" s="402" customFormat="1">
      <c r="A594" s="426"/>
      <c r="B594" s="376"/>
      <c r="C594" s="426"/>
      <c r="D594" s="443" t="s">
        <v>86</v>
      </c>
      <c r="E594" s="331" t="s">
        <v>1838</v>
      </c>
      <c r="F594" s="432"/>
      <c r="G594" s="350">
        <v>2022</v>
      </c>
      <c r="H594" s="350" t="s">
        <v>2383</v>
      </c>
      <c r="I594" s="432" t="s">
        <v>1498</v>
      </c>
      <c r="J594" s="433"/>
      <c r="K594" s="432" t="s">
        <v>3051</v>
      </c>
      <c r="L594" s="432" t="s">
        <v>1768</v>
      </c>
      <c r="M594" s="433">
        <v>44573</v>
      </c>
      <c r="N594" s="433">
        <v>44697</v>
      </c>
      <c r="O594" s="433"/>
      <c r="P594" s="332"/>
      <c r="Q594" s="433"/>
      <c r="R594" s="433"/>
      <c r="S594" s="432" t="s">
        <v>88</v>
      </c>
      <c r="T594" s="432">
        <v>60</v>
      </c>
      <c r="U594" s="432"/>
      <c r="V594" s="441" t="s">
        <v>1192</v>
      </c>
      <c r="W594" s="432">
        <v>360</v>
      </c>
      <c r="X594" s="333">
        <v>676</v>
      </c>
      <c r="Y594" s="367">
        <f t="shared" si="50"/>
        <v>243360</v>
      </c>
      <c r="Z594" s="409">
        <f>273.6/360</f>
        <v>0.76</v>
      </c>
      <c r="AA594" s="410">
        <f t="shared" si="58"/>
        <v>184953.60000000001</v>
      </c>
      <c r="AB594" s="411"/>
      <c r="AC594" s="412">
        <f t="shared" si="62"/>
        <v>0</v>
      </c>
      <c r="AD594" s="405"/>
      <c r="AE594" s="405"/>
      <c r="AF594" s="424">
        <f t="shared" si="59"/>
        <v>184953.60000000001</v>
      </c>
      <c r="AG594" s="405" t="s">
        <v>1069</v>
      </c>
      <c r="AH594" s="405"/>
      <c r="AI594" s="405">
        <v>60</v>
      </c>
      <c r="AJ594" s="406" t="s">
        <v>1777</v>
      </c>
      <c r="AK594" s="406" t="s">
        <v>50</v>
      </c>
      <c r="AL594" s="414" t="s">
        <v>1778</v>
      </c>
      <c r="AM594" s="405" t="s">
        <v>52</v>
      </c>
      <c r="AN594" s="361" t="s">
        <v>1071</v>
      </c>
      <c r="AO594" s="405" t="s">
        <v>1073</v>
      </c>
      <c r="AP594" s="405"/>
      <c r="AQ594" s="413" t="s">
        <v>37</v>
      </c>
      <c r="AR594" s="405" t="s">
        <v>1188</v>
      </c>
      <c r="AS594" s="404" t="s">
        <v>1392</v>
      </c>
      <c r="AT594" s="330"/>
      <c r="AU594" s="409">
        <f>273.6/360</f>
        <v>0.76</v>
      </c>
    </row>
    <row r="595" spans="1:47" s="402" customFormat="1">
      <c r="A595" s="426"/>
      <c r="B595" s="376"/>
      <c r="C595" s="426"/>
      <c r="D595" s="443" t="s">
        <v>86</v>
      </c>
      <c r="E595" s="331" t="s">
        <v>3052</v>
      </c>
      <c r="F595" s="432"/>
      <c r="G595" s="350">
        <v>2022</v>
      </c>
      <c r="H595" s="350" t="s">
        <v>2383</v>
      </c>
      <c r="I595" s="432" t="s">
        <v>1498</v>
      </c>
      <c r="J595" s="433"/>
      <c r="K595" s="432" t="s">
        <v>3053</v>
      </c>
      <c r="L595" s="432" t="s">
        <v>1768</v>
      </c>
      <c r="M595" s="433">
        <v>44615</v>
      </c>
      <c r="N595" s="433">
        <v>44790</v>
      </c>
      <c r="O595" s="433"/>
      <c r="P595" s="332"/>
      <c r="Q595" s="433"/>
      <c r="R595" s="433"/>
      <c r="S595" s="432" t="s">
        <v>88</v>
      </c>
      <c r="T595" s="432">
        <v>60</v>
      </c>
      <c r="U595" s="432"/>
      <c r="V595" s="441" t="s">
        <v>973</v>
      </c>
      <c r="W595" s="432">
        <v>400</v>
      </c>
      <c r="X595" s="333">
        <v>832</v>
      </c>
      <c r="Y595" s="367">
        <f t="shared" si="50"/>
        <v>332800</v>
      </c>
      <c r="Z595" s="409">
        <f>208/400</f>
        <v>0.52</v>
      </c>
      <c r="AA595" s="410">
        <f t="shared" si="58"/>
        <v>173056</v>
      </c>
      <c r="AB595" s="411"/>
      <c r="AC595" s="412">
        <f t="shared" si="62"/>
        <v>0</v>
      </c>
      <c r="AD595" s="405"/>
      <c r="AE595" s="405"/>
      <c r="AF595" s="424">
        <f t="shared" si="59"/>
        <v>173056</v>
      </c>
      <c r="AG595" s="405" t="s">
        <v>1069</v>
      </c>
      <c r="AH595" s="405"/>
      <c r="AI595" s="405">
        <v>60</v>
      </c>
      <c r="AJ595" s="406" t="s">
        <v>1902</v>
      </c>
      <c r="AK595" s="406" t="s">
        <v>50</v>
      </c>
      <c r="AL595" s="414" t="s">
        <v>1903</v>
      </c>
      <c r="AM595" s="405" t="s">
        <v>52</v>
      </c>
      <c r="AN595" s="361" t="s">
        <v>1071</v>
      </c>
      <c r="AO595" s="405" t="s">
        <v>1073</v>
      </c>
      <c r="AP595" s="405"/>
      <c r="AQ595" s="413" t="s">
        <v>37</v>
      </c>
      <c r="AR595" s="405" t="s">
        <v>1188</v>
      </c>
      <c r="AS595" s="404" t="s">
        <v>1392</v>
      </c>
      <c r="AT595" s="330"/>
      <c r="AU595" s="409">
        <f>208/400</f>
        <v>0.52</v>
      </c>
    </row>
    <row r="596" spans="1:47" s="402" customFormat="1">
      <c r="A596" s="426"/>
      <c r="B596" s="376"/>
      <c r="C596" s="426"/>
      <c r="D596" s="443" t="s">
        <v>86</v>
      </c>
      <c r="E596" s="331" t="s">
        <v>3052</v>
      </c>
      <c r="F596" s="432"/>
      <c r="G596" s="350">
        <v>2022</v>
      </c>
      <c r="H596" s="350" t="s">
        <v>2383</v>
      </c>
      <c r="I596" s="432" t="s">
        <v>1498</v>
      </c>
      <c r="J596" s="433"/>
      <c r="K596" s="432" t="s">
        <v>3054</v>
      </c>
      <c r="L596" s="432" t="s">
        <v>1768</v>
      </c>
      <c r="M596" s="433">
        <v>44615</v>
      </c>
      <c r="N596" s="433">
        <v>44846</v>
      </c>
      <c r="O596" s="433"/>
      <c r="P596" s="332"/>
      <c r="Q596" s="433"/>
      <c r="R596" s="433"/>
      <c r="S596" s="432" t="s">
        <v>88</v>
      </c>
      <c r="T596" s="432">
        <v>60</v>
      </c>
      <c r="U596" s="432"/>
      <c r="V596" s="441" t="s">
        <v>973</v>
      </c>
      <c r="W596" s="432">
        <v>400</v>
      </c>
      <c r="X596" s="333">
        <v>832</v>
      </c>
      <c r="Y596" s="367">
        <f t="shared" si="50"/>
        <v>332800</v>
      </c>
      <c r="Z596" s="409">
        <f>208/400</f>
        <v>0.52</v>
      </c>
      <c r="AA596" s="410">
        <f t="shared" si="58"/>
        <v>173056</v>
      </c>
      <c r="AB596" s="411"/>
      <c r="AC596" s="412">
        <f t="shared" si="62"/>
        <v>0</v>
      </c>
      <c r="AD596" s="405"/>
      <c r="AE596" s="405"/>
      <c r="AF596" s="424">
        <f t="shared" si="59"/>
        <v>173056</v>
      </c>
      <c r="AG596" s="405" t="s">
        <v>1069</v>
      </c>
      <c r="AH596" s="405"/>
      <c r="AI596" s="405">
        <v>60</v>
      </c>
      <c r="AJ596" s="406" t="s">
        <v>1902</v>
      </c>
      <c r="AK596" s="406" t="s">
        <v>50</v>
      </c>
      <c r="AL596" s="414" t="s">
        <v>1903</v>
      </c>
      <c r="AM596" s="405" t="s">
        <v>52</v>
      </c>
      <c r="AN596" s="361" t="s">
        <v>1071</v>
      </c>
      <c r="AO596" s="405" t="s">
        <v>1073</v>
      </c>
      <c r="AP596" s="405"/>
      <c r="AQ596" s="413" t="s">
        <v>37</v>
      </c>
      <c r="AR596" s="405" t="s">
        <v>1188</v>
      </c>
      <c r="AS596" s="404" t="s">
        <v>1392</v>
      </c>
      <c r="AT596" s="330"/>
      <c r="AU596" s="409">
        <f>208/400</f>
        <v>0.52</v>
      </c>
    </row>
    <row r="597" spans="1:47" s="402" customFormat="1">
      <c r="A597" s="426"/>
      <c r="B597" s="376"/>
      <c r="C597" s="426"/>
      <c r="D597" s="443" t="s">
        <v>86</v>
      </c>
      <c r="E597" s="331" t="s">
        <v>3052</v>
      </c>
      <c r="F597" s="432"/>
      <c r="G597" s="350">
        <v>2022</v>
      </c>
      <c r="H597" s="350" t="s">
        <v>2383</v>
      </c>
      <c r="I597" s="432" t="s">
        <v>1498</v>
      </c>
      <c r="J597" s="433"/>
      <c r="K597" s="432" t="s">
        <v>4382</v>
      </c>
      <c r="L597" s="432" t="s">
        <v>1768</v>
      </c>
      <c r="M597" s="433">
        <v>44615</v>
      </c>
      <c r="N597" s="433">
        <v>44755</v>
      </c>
      <c r="O597" s="433"/>
      <c r="P597" s="332"/>
      <c r="Q597" s="433"/>
      <c r="R597" s="433"/>
      <c r="S597" s="432" t="s">
        <v>88</v>
      </c>
      <c r="T597" s="432">
        <v>60</v>
      </c>
      <c r="U597" s="432"/>
      <c r="V597" s="441" t="s">
        <v>973</v>
      </c>
      <c r="W597" s="432">
        <v>400</v>
      </c>
      <c r="X597" s="333">
        <v>832</v>
      </c>
      <c r="Y597" s="367">
        <f t="shared" si="50"/>
        <v>332800</v>
      </c>
      <c r="Z597" s="409">
        <f>256/400</f>
        <v>0.64</v>
      </c>
      <c r="AA597" s="410">
        <f t="shared" si="58"/>
        <v>212992</v>
      </c>
      <c r="AB597" s="411"/>
      <c r="AC597" s="412">
        <f t="shared" si="62"/>
        <v>0</v>
      </c>
      <c r="AD597" s="405"/>
      <c r="AE597" s="405"/>
      <c r="AF597" s="424">
        <f t="shared" si="59"/>
        <v>212992</v>
      </c>
      <c r="AG597" s="405" t="s">
        <v>1069</v>
      </c>
      <c r="AH597" s="405"/>
      <c r="AI597" s="405">
        <v>60</v>
      </c>
      <c r="AJ597" s="406" t="s">
        <v>1902</v>
      </c>
      <c r="AK597" s="406" t="s">
        <v>50</v>
      </c>
      <c r="AL597" s="414" t="s">
        <v>1903</v>
      </c>
      <c r="AM597" s="405" t="s">
        <v>52</v>
      </c>
      <c r="AN597" s="361" t="s">
        <v>1071</v>
      </c>
      <c r="AO597" s="405" t="s">
        <v>1073</v>
      </c>
      <c r="AP597" s="405"/>
      <c r="AQ597" s="413" t="s">
        <v>37</v>
      </c>
      <c r="AR597" s="405" t="s">
        <v>1188</v>
      </c>
      <c r="AS597" s="404" t="s">
        <v>1392</v>
      </c>
      <c r="AT597" s="330"/>
      <c r="AU597" s="409">
        <f>208/400</f>
        <v>0.52</v>
      </c>
    </row>
    <row r="598" spans="1:47" s="402" customFormat="1">
      <c r="A598" s="426"/>
      <c r="B598" s="376"/>
      <c r="C598" s="426"/>
      <c r="D598" s="443" t="s">
        <v>86</v>
      </c>
      <c r="E598" s="331" t="s">
        <v>3052</v>
      </c>
      <c r="F598" s="432"/>
      <c r="G598" s="350">
        <v>2022</v>
      </c>
      <c r="H598" s="350" t="s">
        <v>2383</v>
      </c>
      <c r="I598" s="432" t="s">
        <v>1498</v>
      </c>
      <c r="J598" s="433"/>
      <c r="K598" s="432" t="s">
        <v>3055</v>
      </c>
      <c r="L598" s="432" t="s">
        <v>1768</v>
      </c>
      <c r="M598" s="433">
        <v>44615</v>
      </c>
      <c r="N598" s="433">
        <v>44881</v>
      </c>
      <c r="O598" s="433"/>
      <c r="P598" s="332"/>
      <c r="Q598" s="433"/>
      <c r="R598" s="433"/>
      <c r="S598" s="432" t="s">
        <v>88</v>
      </c>
      <c r="T598" s="432">
        <v>60</v>
      </c>
      <c r="U598" s="432"/>
      <c r="V598" s="441" t="s">
        <v>973</v>
      </c>
      <c r="W598" s="432">
        <v>400</v>
      </c>
      <c r="X598" s="333">
        <v>832</v>
      </c>
      <c r="Y598" s="367">
        <f t="shared" si="50"/>
        <v>332800</v>
      </c>
      <c r="Z598" s="409">
        <f>208/400</f>
        <v>0.52</v>
      </c>
      <c r="AA598" s="410">
        <f t="shared" si="58"/>
        <v>173056</v>
      </c>
      <c r="AB598" s="411"/>
      <c r="AC598" s="412">
        <f t="shared" si="62"/>
        <v>0</v>
      </c>
      <c r="AD598" s="405"/>
      <c r="AE598" s="405"/>
      <c r="AF598" s="424">
        <f t="shared" si="59"/>
        <v>173056</v>
      </c>
      <c r="AG598" s="405" t="s">
        <v>1069</v>
      </c>
      <c r="AH598" s="405"/>
      <c r="AI598" s="405">
        <v>60</v>
      </c>
      <c r="AJ598" s="406" t="s">
        <v>1777</v>
      </c>
      <c r="AK598" s="406" t="s">
        <v>50</v>
      </c>
      <c r="AL598" s="414" t="s">
        <v>1778</v>
      </c>
      <c r="AM598" s="405" t="s">
        <v>52</v>
      </c>
      <c r="AN598" s="361" t="s">
        <v>1071</v>
      </c>
      <c r="AO598" s="405" t="s">
        <v>1073</v>
      </c>
      <c r="AP598" s="405"/>
      <c r="AQ598" s="413" t="s">
        <v>37</v>
      </c>
      <c r="AR598" s="405" t="s">
        <v>1188</v>
      </c>
      <c r="AS598" s="404" t="s">
        <v>1392</v>
      </c>
      <c r="AT598" s="330"/>
      <c r="AU598" s="409">
        <f>208/400</f>
        <v>0.52</v>
      </c>
    </row>
    <row r="599" spans="1:47" s="402" customFormat="1">
      <c r="A599" s="426"/>
      <c r="B599" s="376"/>
      <c r="C599" s="426"/>
      <c r="D599" s="443" t="s">
        <v>86</v>
      </c>
      <c r="E599" s="331"/>
      <c r="F599" s="432"/>
      <c r="G599" s="350">
        <v>2022</v>
      </c>
      <c r="H599" s="350" t="s">
        <v>2383</v>
      </c>
      <c r="I599" s="432" t="s">
        <v>1498</v>
      </c>
      <c r="J599" s="433"/>
      <c r="K599" s="432" t="s">
        <v>3056</v>
      </c>
      <c r="L599" s="432" t="s">
        <v>1711</v>
      </c>
      <c r="M599" s="433">
        <v>44557</v>
      </c>
      <c r="N599" s="433">
        <v>44606</v>
      </c>
      <c r="O599" s="433"/>
      <c r="P599" s="332"/>
      <c r="Q599" s="433"/>
      <c r="R599" s="433"/>
      <c r="S599" s="432" t="s">
        <v>1510</v>
      </c>
      <c r="T599" s="432">
        <v>60</v>
      </c>
      <c r="U599" s="432"/>
      <c r="V599" s="441" t="s">
        <v>986</v>
      </c>
      <c r="W599" s="432">
        <v>360</v>
      </c>
      <c r="X599" s="333">
        <v>1664</v>
      </c>
      <c r="Y599" s="367">
        <f t="shared" si="50"/>
        <v>599040</v>
      </c>
      <c r="Z599" s="409">
        <f>190.8/360</f>
        <v>0.53</v>
      </c>
      <c r="AA599" s="410">
        <f t="shared" si="58"/>
        <v>317491.20000000001</v>
      </c>
      <c r="AB599" s="411"/>
      <c r="AC599" s="412">
        <f t="shared" si="62"/>
        <v>0</v>
      </c>
      <c r="AD599" s="405"/>
      <c r="AE599" s="405"/>
      <c r="AF599" s="424">
        <f t="shared" si="59"/>
        <v>317491.20000000001</v>
      </c>
      <c r="AG599" s="405" t="s">
        <v>1069</v>
      </c>
      <c r="AH599" s="405"/>
      <c r="AI599" s="405">
        <v>60</v>
      </c>
      <c r="AJ599" s="406" t="s">
        <v>1712</v>
      </c>
      <c r="AK599" s="406" t="s">
        <v>50</v>
      </c>
      <c r="AL599" s="414" t="s">
        <v>1713</v>
      </c>
      <c r="AM599" s="405" t="s">
        <v>52</v>
      </c>
      <c r="AN599" s="361"/>
      <c r="AO599" s="405" t="s">
        <v>1073</v>
      </c>
      <c r="AP599" s="405"/>
      <c r="AQ599" s="413" t="s">
        <v>37</v>
      </c>
      <c r="AR599" s="405"/>
      <c r="AS599" s="404"/>
      <c r="AT599" s="330"/>
      <c r="AU599" s="409">
        <f t="shared" ref="AU599:AU604" si="63">180/360</f>
        <v>0.5</v>
      </c>
    </row>
    <row r="600" spans="1:47" s="402" customFormat="1">
      <c r="A600" s="426"/>
      <c r="B600" s="376">
        <v>44641</v>
      </c>
      <c r="C600" s="426"/>
      <c r="D600" s="443" t="s">
        <v>86</v>
      </c>
      <c r="E600" s="331"/>
      <c r="F600" s="432"/>
      <c r="G600" s="350">
        <v>2022</v>
      </c>
      <c r="H600" s="350" t="s">
        <v>2383</v>
      </c>
      <c r="I600" s="432" t="s">
        <v>1498</v>
      </c>
      <c r="J600" s="433"/>
      <c r="K600" s="432" t="s">
        <v>3057</v>
      </c>
      <c r="L600" s="432" t="s">
        <v>1711</v>
      </c>
      <c r="M600" s="433">
        <v>44557</v>
      </c>
      <c r="N600" s="433">
        <v>44634</v>
      </c>
      <c r="O600" s="433"/>
      <c r="P600" s="332"/>
      <c r="Q600" s="433"/>
      <c r="R600" s="433"/>
      <c r="S600" s="432" t="s">
        <v>1510</v>
      </c>
      <c r="T600" s="432">
        <v>60</v>
      </c>
      <c r="U600" s="432"/>
      <c r="V600" s="441" t="s">
        <v>986</v>
      </c>
      <c r="W600" s="432">
        <v>360</v>
      </c>
      <c r="X600" s="333">
        <v>1664</v>
      </c>
      <c r="Y600" s="367">
        <f t="shared" si="50"/>
        <v>599040</v>
      </c>
      <c r="Z600" s="409">
        <f>190.8/360</f>
        <v>0.53</v>
      </c>
      <c r="AA600" s="410">
        <f t="shared" si="58"/>
        <v>317491.20000000001</v>
      </c>
      <c r="AB600" s="411"/>
      <c r="AC600" s="412">
        <f t="shared" si="62"/>
        <v>0</v>
      </c>
      <c r="AD600" s="405"/>
      <c r="AE600" s="405"/>
      <c r="AF600" s="424">
        <f t="shared" si="59"/>
        <v>317491.20000000001</v>
      </c>
      <c r="AG600" s="405" t="s">
        <v>1069</v>
      </c>
      <c r="AH600" s="405"/>
      <c r="AI600" s="405">
        <v>60</v>
      </c>
      <c r="AJ600" s="406" t="s">
        <v>1712</v>
      </c>
      <c r="AK600" s="406" t="s">
        <v>50</v>
      </c>
      <c r="AL600" s="414" t="s">
        <v>1713</v>
      </c>
      <c r="AM600" s="405" t="s">
        <v>52</v>
      </c>
      <c r="AN600" s="361"/>
      <c r="AO600" s="405" t="s">
        <v>1073</v>
      </c>
      <c r="AP600" s="405"/>
      <c r="AQ600" s="413" t="s">
        <v>37</v>
      </c>
      <c r="AR600" s="405"/>
      <c r="AS600" s="404"/>
      <c r="AT600" s="330"/>
      <c r="AU600" s="409">
        <f t="shared" si="63"/>
        <v>0.5</v>
      </c>
    </row>
    <row r="601" spans="1:47" s="402" customFormat="1">
      <c r="A601" s="426"/>
      <c r="B601" s="376">
        <v>44642</v>
      </c>
      <c r="C601" s="426"/>
      <c r="D601" s="443" t="s">
        <v>86</v>
      </c>
      <c r="E601" s="331"/>
      <c r="F601" s="432"/>
      <c r="G601" s="350">
        <v>2022</v>
      </c>
      <c r="H601" s="350" t="s">
        <v>2383</v>
      </c>
      <c r="I601" s="432" t="s">
        <v>1498</v>
      </c>
      <c r="J601" s="433"/>
      <c r="K601" s="432" t="s">
        <v>3058</v>
      </c>
      <c r="L601" s="432" t="s">
        <v>1711</v>
      </c>
      <c r="M601" s="433">
        <v>44557</v>
      </c>
      <c r="N601" s="433">
        <v>44697</v>
      </c>
      <c r="O601" s="433"/>
      <c r="P601" s="332"/>
      <c r="Q601" s="433"/>
      <c r="R601" s="433"/>
      <c r="S601" s="432" t="s">
        <v>1510</v>
      </c>
      <c r="T601" s="432">
        <v>60</v>
      </c>
      <c r="U601" s="432"/>
      <c r="V601" s="441" t="s">
        <v>986</v>
      </c>
      <c r="W601" s="432">
        <v>360</v>
      </c>
      <c r="X601" s="333">
        <v>1664</v>
      </c>
      <c r="Y601" s="367">
        <f t="shared" si="50"/>
        <v>599040</v>
      </c>
      <c r="Z601" s="409">
        <f>190.8/360</f>
        <v>0.53</v>
      </c>
      <c r="AA601" s="410">
        <f t="shared" si="58"/>
        <v>317491.20000000001</v>
      </c>
      <c r="AB601" s="411"/>
      <c r="AC601" s="412">
        <f t="shared" si="62"/>
        <v>0</v>
      </c>
      <c r="AD601" s="405"/>
      <c r="AE601" s="405"/>
      <c r="AF601" s="424">
        <f t="shared" si="59"/>
        <v>317491.20000000001</v>
      </c>
      <c r="AG601" s="405" t="s">
        <v>1069</v>
      </c>
      <c r="AH601" s="405"/>
      <c r="AI601" s="405">
        <v>60</v>
      </c>
      <c r="AJ601" s="406" t="s">
        <v>1712</v>
      </c>
      <c r="AK601" s="406" t="s">
        <v>50</v>
      </c>
      <c r="AL601" s="414" t="s">
        <v>1713</v>
      </c>
      <c r="AM601" s="405" t="s">
        <v>52</v>
      </c>
      <c r="AN601" s="361"/>
      <c r="AO601" s="405" t="s">
        <v>1073</v>
      </c>
      <c r="AP601" s="405"/>
      <c r="AQ601" s="413" t="s">
        <v>37</v>
      </c>
      <c r="AR601" s="405"/>
      <c r="AS601" s="404"/>
      <c r="AT601" s="330"/>
      <c r="AU601" s="409">
        <f t="shared" si="63"/>
        <v>0.5</v>
      </c>
    </row>
    <row r="602" spans="1:47" s="402" customFormat="1">
      <c r="A602" s="426"/>
      <c r="B602" s="376">
        <v>44642</v>
      </c>
      <c r="C602" s="426"/>
      <c r="D602" s="443" t="s">
        <v>86</v>
      </c>
      <c r="E602" s="331"/>
      <c r="F602" s="432"/>
      <c r="G602" s="350">
        <v>2022</v>
      </c>
      <c r="H602" s="350" t="s">
        <v>2383</v>
      </c>
      <c r="I602" s="432" t="s">
        <v>1498</v>
      </c>
      <c r="J602" s="433"/>
      <c r="K602" s="432" t="s">
        <v>1844</v>
      </c>
      <c r="L602" s="432" t="s">
        <v>1711</v>
      </c>
      <c r="M602" s="433">
        <v>44557</v>
      </c>
      <c r="N602" s="433">
        <v>44676</v>
      </c>
      <c r="O602" s="433"/>
      <c r="P602" s="332"/>
      <c r="Q602" s="433"/>
      <c r="R602" s="433"/>
      <c r="S602" s="432" t="s">
        <v>1510</v>
      </c>
      <c r="T602" s="432">
        <v>60</v>
      </c>
      <c r="U602" s="432"/>
      <c r="V602" s="441" t="s">
        <v>986</v>
      </c>
      <c r="W602" s="432">
        <v>360</v>
      </c>
      <c r="X602" s="333">
        <v>1664</v>
      </c>
      <c r="Y602" s="367">
        <f t="shared" si="50"/>
        <v>599040</v>
      </c>
      <c r="Z602" s="409">
        <f>190.8/360</f>
        <v>0.53</v>
      </c>
      <c r="AA602" s="410">
        <f t="shared" si="58"/>
        <v>317491.20000000001</v>
      </c>
      <c r="AB602" s="411"/>
      <c r="AC602" s="412">
        <f t="shared" si="62"/>
        <v>0</v>
      </c>
      <c r="AD602" s="405"/>
      <c r="AE602" s="405"/>
      <c r="AF602" s="424">
        <f t="shared" si="59"/>
        <v>317491.20000000001</v>
      </c>
      <c r="AG602" s="405" t="s">
        <v>1069</v>
      </c>
      <c r="AH602" s="405"/>
      <c r="AI602" s="405">
        <v>60</v>
      </c>
      <c r="AJ602" s="406" t="s">
        <v>1712</v>
      </c>
      <c r="AK602" s="406" t="s">
        <v>50</v>
      </c>
      <c r="AL602" s="414" t="s">
        <v>1713</v>
      </c>
      <c r="AM602" s="405" t="s">
        <v>52</v>
      </c>
      <c r="AN602" s="361"/>
      <c r="AO602" s="405" t="s">
        <v>1073</v>
      </c>
      <c r="AP602" s="405"/>
      <c r="AQ602" s="413" t="s">
        <v>37</v>
      </c>
      <c r="AR602" s="405"/>
      <c r="AS602" s="404"/>
      <c r="AT602" s="330"/>
      <c r="AU602" s="409">
        <f t="shared" si="63"/>
        <v>0.5</v>
      </c>
    </row>
    <row r="603" spans="1:47" s="402" customFormat="1">
      <c r="A603" s="426"/>
      <c r="B603" s="376"/>
      <c r="C603" s="426"/>
      <c r="D603" s="443" t="s">
        <v>86</v>
      </c>
      <c r="E603" s="331" t="s">
        <v>3113</v>
      </c>
      <c r="F603" s="432"/>
      <c r="G603" s="350">
        <v>2022</v>
      </c>
      <c r="H603" s="350" t="s">
        <v>2383</v>
      </c>
      <c r="I603" s="432" t="s">
        <v>1498</v>
      </c>
      <c r="J603" s="433"/>
      <c r="K603" s="432" t="s">
        <v>4281</v>
      </c>
      <c r="L603" s="432" t="s">
        <v>1711</v>
      </c>
      <c r="M603" s="433">
        <v>44567</v>
      </c>
      <c r="N603" s="433">
        <v>44816</v>
      </c>
      <c r="O603" s="433"/>
      <c r="P603" s="332"/>
      <c r="Q603" s="433"/>
      <c r="R603" s="433"/>
      <c r="S603" s="432" t="s">
        <v>1510</v>
      </c>
      <c r="T603" s="432">
        <v>60</v>
      </c>
      <c r="U603" s="432"/>
      <c r="V603" s="441" t="s">
        <v>973</v>
      </c>
      <c r="W603" s="432">
        <v>400</v>
      </c>
      <c r="X603" s="333">
        <v>2496</v>
      </c>
      <c r="Y603" s="367">
        <f t="shared" si="50"/>
        <v>998400</v>
      </c>
      <c r="Z603" s="409">
        <f>208/400</f>
        <v>0.52</v>
      </c>
      <c r="AA603" s="410">
        <f t="shared" si="58"/>
        <v>519168</v>
      </c>
      <c r="AB603" s="411"/>
      <c r="AC603" s="412">
        <f t="shared" si="62"/>
        <v>0</v>
      </c>
      <c r="AD603" s="405"/>
      <c r="AE603" s="405"/>
      <c r="AF603" s="424">
        <f t="shared" si="59"/>
        <v>519168</v>
      </c>
      <c r="AG603" s="405" t="s">
        <v>1069</v>
      </c>
      <c r="AH603" s="405"/>
      <c r="AI603" s="405">
        <v>60</v>
      </c>
      <c r="AJ603" s="406" t="s">
        <v>1712</v>
      </c>
      <c r="AK603" s="406" t="s">
        <v>50</v>
      </c>
      <c r="AL603" s="414" t="s">
        <v>1713</v>
      </c>
      <c r="AM603" s="405" t="s">
        <v>52</v>
      </c>
      <c r="AN603" s="361"/>
      <c r="AO603" s="405" t="s">
        <v>1073</v>
      </c>
      <c r="AP603" s="405"/>
      <c r="AQ603" s="413" t="s">
        <v>37</v>
      </c>
      <c r="AR603" s="405"/>
      <c r="AS603" s="404"/>
      <c r="AT603" s="330"/>
      <c r="AU603" s="409">
        <f t="shared" si="63"/>
        <v>0.5</v>
      </c>
    </row>
    <row r="604" spans="1:47" s="402" customFormat="1">
      <c r="A604" s="426"/>
      <c r="B604" s="376">
        <v>44586</v>
      </c>
      <c r="C604" s="426"/>
      <c r="D604" s="443" t="s">
        <v>86</v>
      </c>
      <c r="E604" s="331" t="s">
        <v>3059</v>
      </c>
      <c r="F604" s="432"/>
      <c r="G604" s="350">
        <v>2022</v>
      </c>
      <c r="H604" s="350" t="s">
        <v>2383</v>
      </c>
      <c r="I604" s="432" t="s">
        <v>1498</v>
      </c>
      <c r="J604" s="433"/>
      <c r="K604" s="432" t="s">
        <v>3060</v>
      </c>
      <c r="L604" s="432" t="s">
        <v>1723</v>
      </c>
      <c r="M604" s="433">
        <v>44566</v>
      </c>
      <c r="N604" s="433">
        <v>44683</v>
      </c>
      <c r="O604" s="433"/>
      <c r="P604" s="332"/>
      <c r="Q604" s="433"/>
      <c r="R604" s="433"/>
      <c r="S604" s="432" t="s">
        <v>1520</v>
      </c>
      <c r="T604" s="432">
        <v>60</v>
      </c>
      <c r="U604" s="432"/>
      <c r="V604" s="441" t="s">
        <v>986</v>
      </c>
      <c r="W604" s="432">
        <v>360</v>
      </c>
      <c r="X604" s="333">
        <v>1536</v>
      </c>
      <c r="Y604" s="367">
        <f t="shared" si="50"/>
        <v>552960</v>
      </c>
      <c r="Z604" s="409">
        <f>190.8/360</f>
        <v>0.53</v>
      </c>
      <c r="AA604" s="410">
        <f t="shared" si="58"/>
        <v>293068.79999999999</v>
      </c>
      <c r="AB604" s="411"/>
      <c r="AC604" s="412">
        <f t="shared" si="62"/>
        <v>0</v>
      </c>
      <c r="AD604" s="405"/>
      <c r="AE604" s="405"/>
      <c r="AF604" s="424">
        <f t="shared" si="59"/>
        <v>293068.79999999999</v>
      </c>
      <c r="AG604" s="405" t="s">
        <v>1069</v>
      </c>
      <c r="AH604" s="405"/>
      <c r="AI604" s="405">
        <v>60</v>
      </c>
      <c r="AJ604" s="406" t="s">
        <v>1724</v>
      </c>
      <c r="AK604" s="406" t="s">
        <v>50</v>
      </c>
      <c r="AL604" s="414">
        <v>95403</v>
      </c>
      <c r="AM604" s="405" t="s">
        <v>52</v>
      </c>
      <c r="AN604" s="361" t="s">
        <v>50</v>
      </c>
      <c r="AO604" s="405" t="s">
        <v>1073</v>
      </c>
      <c r="AP604" s="405" t="s">
        <v>92</v>
      </c>
      <c r="AQ604" s="413" t="s">
        <v>37</v>
      </c>
      <c r="AR604" s="405" t="s">
        <v>1188</v>
      </c>
      <c r="AS604" s="404" t="s">
        <v>1392</v>
      </c>
      <c r="AT604" s="330"/>
      <c r="AU604" s="409">
        <f t="shared" si="63"/>
        <v>0.5</v>
      </c>
    </row>
    <row r="605" spans="1:47" s="402" customFormat="1">
      <c r="A605" s="426"/>
      <c r="B605" s="376">
        <v>44586</v>
      </c>
      <c r="C605" s="426"/>
      <c r="D605" s="443" t="s">
        <v>86</v>
      </c>
      <c r="E605" s="331" t="s">
        <v>2367</v>
      </c>
      <c r="F605" s="432"/>
      <c r="G605" s="350">
        <v>2022</v>
      </c>
      <c r="H605" s="350" t="s">
        <v>2383</v>
      </c>
      <c r="I605" s="432" t="s">
        <v>1498</v>
      </c>
      <c r="J605" s="433"/>
      <c r="K605" s="432" t="s">
        <v>3061</v>
      </c>
      <c r="L605" s="432" t="s">
        <v>1723</v>
      </c>
      <c r="M605" s="433">
        <v>44566</v>
      </c>
      <c r="N605" s="433">
        <v>44683</v>
      </c>
      <c r="O605" s="433"/>
      <c r="P605" s="332"/>
      <c r="Q605" s="433"/>
      <c r="R605" s="433"/>
      <c r="S605" s="432" t="s">
        <v>1520</v>
      </c>
      <c r="T605" s="432">
        <v>60</v>
      </c>
      <c r="U605" s="432"/>
      <c r="V605" s="441" t="s">
        <v>973</v>
      </c>
      <c r="W605" s="432">
        <v>400</v>
      </c>
      <c r="X605" s="333">
        <v>768</v>
      </c>
      <c r="Y605" s="367">
        <f t="shared" si="50"/>
        <v>307200</v>
      </c>
      <c r="Z605" s="409">
        <f>220/400</f>
        <v>0.55000000000000004</v>
      </c>
      <c r="AA605" s="410">
        <f t="shared" si="58"/>
        <v>168960</v>
      </c>
      <c r="AB605" s="411"/>
      <c r="AC605" s="412">
        <f t="shared" si="62"/>
        <v>0</v>
      </c>
      <c r="AD605" s="405"/>
      <c r="AE605" s="405"/>
      <c r="AF605" s="424">
        <f t="shared" si="59"/>
        <v>168960</v>
      </c>
      <c r="AG605" s="405" t="s">
        <v>1069</v>
      </c>
      <c r="AH605" s="405"/>
      <c r="AI605" s="405">
        <v>60</v>
      </c>
      <c r="AJ605" s="406" t="s">
        <v>1724</v>
      </c>
      <c r="AK605" s="406" t="s">
        <v>50</v>
      </c>
      <c r="AL605" s="414">
        <v>95403</v>
      </c>
      <c r="AM605" s="405" t="s">
        <v>52</v>
      </c>
      <c r="AN605" s="361" t="s">
        <v>50</v>
      </c>
      <c r="AO605" s="405" t="s">
        <v>1073</v>
      </c>
      <c r="AP605" s="405" t="s">
        <v>92</v>
      </c>
      <c r="AQ605" s="413" t="s">
        <v>37</v>
      </c>
      <c r="AR605" s="405" t="s">
        <v>1188</v>
      </c>
      <c r="AS605" s="404" t="s">
        <v>1392</v>
      </c>
      <c r="AT605" s="330"/>
      <c r="AU605" s="409">
        <f>208/400</f>
        <v>0.52</v>
      </c>
    </row>
    <row r="606" spans="1:47" s="402" customFormat="1">
      <c r="A606" s="426"/>
      <c r="B606" s="376">
        <v>44586</v>
      </c>
      <c r="C606" s="426"/>
      <c r="D606" s="443" t="s">
        <v>86</v>
      </c>
      <c r="E606" s="331" t="s">
        <v>3062</v>
      </c>
      <c r="F606" s="432"/>
      <c r="G606" s="350">
        <v>2022</v>
      </c>
      <c r="H606" s="350" t="s">
        <v>2383</v>
      </c>
      <c r="I606" s="432" t="s">
        <v>1498</v>
      </c>
      <c r="J606" s="433"/>
      <c r="K606" s="432" t="s">
        <v>3063</v>
      </c>
      <c r="L606" s="432" t="s">
        <v>1723</v>
      </c>
      <c r="M606" s="433">
        <v>44566</v>
      </c>
      <c r="N606" s="433">
        <v>44713</v>
      </c>
      <c r="O606" s="433"/>
      <c r="P606" s="332"/>
      <c r="Q606" s="433"/>
      <c r="R606" s="433"/>
      <c r="S606" s="432" t="s">
        <v>1520</v>
      </c>
      <c r="T606" s="432">
        <v>60</v>
      </c>
      <c r="U606" s="432"/>
      <c r="V606" s="441" t="s">
        <v>986</v>
      </c>
      <c r="W606" s="432">
        <v>360</v>
      </c>
      <c r="X606" s="333">
        <v>1536</v>
      </c>
      <c r="Y606" s="367">
        <f t="shared" si="50"/>
        <v>552960</v>
      </c>
      <c r="Z606" s="409">
        <f>190.8/360</f>
        <v>0.53</v>
      </c>
      <c r="AA606" s="410">
        <f t="shared" si="58"/>
        <v>293068.79999999999</v>
      </c>
      <c r="AB606" s="411"/>
      <c r="AC606" s="412">
        <f t="shared" si="62"/>
        <v>0</v>
      </c>
      <c r="AD606" s="405"/>
      <c r="AE606" s="405"/>
      <c r="AF606" s="424">
        <f t="shared" si="59"/>
        <v>293068.79999999999</v>
      </c>
      <c r="AG606" s="405" t="s">
        <v>1069</v>
      </c>
      <c r="AH606" s="405"/>
      <c r="AI606" s="405">
        <v>60</v>
      </c>
      <c r="AJ606" s="406" t="s">
        <v>1724</v>
      </c>
      <c r="AK606" s="406" t="s">
        <v>50</v>
      </c>
      <c r="AL606" s="414">
        <v>95403</v>
      </c>
      <c r="AM606" s="405" t="s">
        <v>52</v>
      </c>
      <c r="AN606" s="361" t="s">
        <v>50</v>
      </c>
      <c r="AO606" s="405" t="s">
        <v>1073</v>
      </c>
      <c r="AP606" s="405" t="s">
        <v>92</v>
      </c>
      <c r="AQ606" s="413" t="s">
        <v>37</v>
      </c>
      <c r="AR606" s="405" t="s">
        <v>1188</v>
      </c>
      <c r="AS606" s="404" t="s">
        <v>1392</v>
      </c>
      <c r="AT606" s="330"/>
      <c r="AU606" s="409">
        <f>180/360</f>
        <v>0.5</v>
      </c>
    </row>
    <row r="607" spans="1:47" s="402" customFormat="1">
      <c r="A607" s="426"/>
      <c r="B607" s="376">
        <v>44586</v>
      </c>
      <c r="C607" s="426"/>
      <c r="D607" s="443" t="s">
        <v>86</v>
      </c>
      <c r="E607" s="331" t="s">
        <v>3062</v>
      </c>
      <c r="F607" s="432"/>
      <c r="G607" s="350">
        <v>2022</v>
      </c>
      <c r="H607" s="350" t="s">
        <v>2383</v>
      </c>
      <c r="I607" s="432" t="s">
        <v>1498</v>
      </c>
      <c r="J607" s="433"/>
      <c r="K607" s="432" t="s">
        <v>3063</v>
      </c>
      <c r="L607" s="432" t="s">
        <v>1723</v>
      </c>
      <c r="M607" s="433">
        <v>44566</v>
      </c>
      <c r="N607" s="433">
        <v>44713</v>
      </c>
      <c r="O607" s="433"/>
      <c r="P607" s="332"/>
      <c r="Q607" s="433"/>
      <c r="R607" s="433"/>
      <c r="S607" s="432" t="s">
        <v>1520</v>
      </c>
      <c r="T607" s="432">
        <v>60</v>
      </c>
      <c r="U607" s="432"/>
      <c r="V607" s="441" t="s">
        <v>973</v>
      </c>
      <c r="W607" s="432">
        <v>400</v>
      </c>
      <c r="X607" s="333">
        <v>768</v>
      </c>
      <c r="Y607" s="367">
        <f t="shared" ref="Y607:Y633" si="64">W607*X607</f>
        <v>307200</v>
      </c>
      <c r="Z607" s="409">
        <f>220/400</f>
        <v>0.55000000000000004</v>
      </c>
      <c r="AA607" s="410">
        <f t="shared" si="58"/>
        <v>168960</v>
      </c>
      <c r="AB607" s="411"/>
      <c r="AC607" s="412">
        <f t="shared" si="62"/>
        <v>0</v>
      </c>
      <c r="AD607" s="405"/>
      <c r="AE607" s="405"/>
      <c r="AF607" s="424">
        <f t="shared" si="59"/>
        <v>168960</v>
      </c>
      <c r="AG607" s="405" t="s">
        <v>1069</v>
      </c>
      <c r="AH607" s="405"/>
      <c r="AI607" s="405">
        <v>60</v>
      </c>
      <c r="AJ607" s="406" t="s">
        <v>1724</v>
      </c>
      <c r="AK607" s="406" t="s">
        <v>50</v>
      </c>
      <c r="AL607" s="414">
        <v>95403</v>
      </c>
      <c r="AM607" s="405" t="s">
        <v>52</v>
      </c>
      <c r="AN607" s="361" t="s">
        <v>50</v>
      </c>
      <c r="AO607" s="405" t="s">
        <v>1073</v>
      </c>
      <c r="AP607" s="405" t="s">
        <v>92</v>
      </c>
      <c r="AQ607" s="413" t="s">
        <v>37</v>
      </c>
      <c r="AR607" s="405" t="s">
        <v>1188</v>
      </c>
      <c r="AS607" s="404" t="s">
        <v>1392</v>
      </c>
      <c r="AT607" s="330"/>
      <c r="AU607" s="409">
        <f>180/360</f>
        <v>0.5</v>
      </c>
    </row>
    <row r="608" spans="1:47" s="402" customFormat="1">
      <c r="A608" s="426"/>
      <c r="B608" s="376"/>
      <c r="C608" s="426"/>
      <c r="D608" s="443" t="s">
        <v>86</v>
      </c>
      <c r="E608" s="331" t="s">
        <v>3064</v>
      </c>
      <c r="F608" s="432"/>
      <c r="G608" s="350">
        <v>2022</v>
      </c>
      <c r="H608" s="350" t="s">
        <v>2978</v>
      </c>
      <c r="I608" s="432" t="s">
        <v>2383</v>
      </c>
      <c r="J608" s="433"/>
      <c r="K608" s="432" t="s">
        <v>1851</v>
      </c>
      <c r="L608" s="432" t="s">
        <v>1723</v>
      </c>
      <c r="M608" s="433">
        <v>44586</v>
      </c>
      <c r="N608" s="433">
        <v>44747</v>
      </c>
      <c r="O608" s="433"/>
      <c r="P608" s="332"/>
      <c r="Q608" s="433"/>
      <c r="R608" s="433"/>
      <c r="S608" s="432" t="s">
        <v>1520</v>
      </c>
      <c r="T608" s="432">
        <v>60</v>
      </c>
      <c r="U608" s="432"/>
      <c r="V608" s="441" t="s">
        <v>986</v>
      </c>
      <c r="W608" s="432">
        <v>360</v>
      </c>
      <c r="X608" s="333">
        <v>1536</v>
      </c>
      <c r="Y608" s="367">
        <f t="shared" si="64"/>
        <v>552960</v>
      </c>
      <c r="Z608" s="409">
        <f>190.8/360</f>
        <v>0.53</v>
      </c>
      <c r="AA608" s="410">
        <f t="shared" si="58"/>
        <v>293068.79999999999</v>
      </c>
      <c r="AB608" s="411"/>
      <c r="AC608" s="412">
        <f t="shared" si="62"/>
        <v>0</v>
      </c>
      <c r="AD608" s="405"/>
      <c r="AE608" s="405"/>
      <c r="AF608" s="424">
        <f t="shared" si="59"/>
        <v>293068.79999999999</v>
      </c>
      <c r="AG608" s="405" t="s">
        <v>1069</v>
      </c>
      <c r="AH608" s="405"/>
      <c r="AI608" s="405">
        <v>60</v>
      </c>
      <c r="AJ608" s="406" t="s">
        <v>1724</v>
      </c>
      <c r="AK608" s="406" t="s">
        <v>50</v>
      </c>
      <c r="AL608" s="414">
        <v>95403</v>
      </c>
      <c r="AM608" s="405" t="s">
        <v>52</v>
      </c>
      <c r="AN608" s="361" t="s">
        <v>50</v>
      </c>
      <c r="AO608" s="405" t="s">
        <v>1073</v>
      </c>
      <c r="AP608" s="405" t="s">
        <v>92</v>
      </c>
      <c r="AQ608" s="413" t="s">
        <v>37</v>
      </c>
      <c r="AR608" s="405" t="s">
        <v>1188</v>
      </c>
      <c r="AS608" s="404" t="s">
        <v>1392</v>
      </c>
      <c r="AT608" s="330"/>
      <c r="AU608" s="409">
        <f>180/360</f>
        <v>0.5</v>
      </c>
    </row>
    <row r="609" spans="1:47" s="402" customFormat="1">
      <c r="A609" s="426"/>
      <c r="B609" s="376"/>
      <c r="C609" s="426"/>
      <c r="D609" s="443" t="s">
        <v>86</v>
      </c>
      <c r="E609" s="331" t="s">
        <v>3062</v>
      </c>
      <c r="F609" s="432"/>
      <c r="G609" s="350">
        <v>2022</v>
      </c>
      <c r="H609" s="350" t="s">
        <v>2978</v>
      </c>
      <c r="I609" s="432" t="s">
        <v>2383</v>
      </c>
      <c r="J609" s="433"/>
      <c r="K609" s="432" t="s">
        <v>1851</v>
      </c>
      <c r="L609" s="432" t="s">
        <v>1723</v>
      </c>
      <c r="M609" s="433">
        <v>44586</v>
      </c>
      <c r="N609" s="433">
        <v>44747</v>
      </c>
      <c r="O609" s="433"/>
      <c r="P609" s="332"/>
      <c r="Q609" s="433"/>
      <c r="R609" s="433"/>
      <c r="S609" s="432" t="s">
        <v>1520</v>
      </c>
      <c r="T609" s="432">
        <v>60</v>
      </c>
      <c r="U609" s="432"/>
      <c r="V609" s="441" t="s">
        <v>973</v>
      </c>
      <c r="W609" s="432">
        <v>400</v>
      </c>
      <c r="X609" s="333">
        <v>1536</v>
      </c>
      <c r="Y609" s="367">
        <f t="shared" si="64"/>
        <v>614400</v>
      </c>
      <c r="Z609" s="409">
        <f>220/400</f>
        <v>0.55000000000000004</v>
      </c>
      <c r="AA609" s="410">
        <f t="shared" si="58"/>
        <v>337920</v>
      </c>
      <c r="AB609" s="411"/>
      <c r="AC609" s="412">
        <f t="shared" si="62"/>
        <v>0</v>
      </c>
      <c r="AD609" s="405"/>
      <c r="AE609" s="405"/>
      <c r="AF609" s="424">
        <f t="shared" si="59"/>
        <v>337920</v>
      </c>
      <c r="AG609" s="405" t="s">
        <v>1069</v>
      </c>
      <c r="AH609" s="405"/>
      <c r="AI609" s="405">
        <v>60</v>
      </c>
      <c r="AJ609" s="406" t="s">
        <v>1724</v>
      </c>
      <c r="AK609" s="406" t="s">
        <v>50</v>
      </c>
      <c r="AL609" s="414">
        <v>95403</v>
      </c>
      <c r="AM609" s="405" t="s">
        <v>52</v>
      </c>
      <c r="AN609" s="361" t="s">
        <v>50</v>
      </c>
      <c r="AO609" s="405" t="s">
        <v>1073</v>
      </c>
      <c r="AP609" s="405" t="s">
        <v>92</v>
      </c>
      <c r="AQ609" s="413" t="s">
        <v>37</v>
      </c>
      <c r="AR609" s="405" t="s">
        <v>1188</v>
      </c>
      <c r="AS609" s="404" t="s">
        <v>1392</v>
      </c>
      <c r="AT609" s="330"/>
      <c r="AU609" s="409">
        <f>208/400</f>
        <v>0.52</v>
      </c>
    </row>
    <row r="610" spans="1:47" s="402" customFormat="1">
      <c r="A610" s="426"/>
      <c r="B610" s="376">
        <v>44586</v>
      </c>
      <c r="C610" s="426"/>
      <c r="D610" s="443" t="s">
        <v>86</v>
      </c>
      <c r="E610" s="331" t="s">
        <v>3062</v>
      </c>
      <c r="F610" s="432"/>
      <c r="G610" s="350">
        <v>2022</v>
      </c>
      <c r="H610" s="350" t="s">
        <v>2978</v>
      </c>
      <c r="I610" s="432" t="s">
        <v>2383</v>
      </c>
      <c r="J610" s="433"/>
      <c r="K610" s="432" t="s">
        <v>1852</v>
      </c>
      <c r="L610" s="432" t="s">
        <v>1723</v>
      </c>
      <c r="M610" s="433">
        <v>44586</v>
      </c>
      <c r="N610" s="433">
        <v>44774</v>
      </c>
      <c r="O610" s="433"/>
      <c r="P610" s="332"/>
      <c r="Q610" s="433"/>
      <c r="R610" s="433"/>
      <c r="S610" s="432" t="s">
        <v>1520</v>
      </c>
      <c r="T610" s="432">
        <v>60</v>
      </c>
      <c r="U610" s="432"/>
      <c r="V610" s="441" t="s">
        <v>986</v>
      </c>
      <c r="W610" s="432">
        <v>360</v>
      </c>
      <c r="X610" s="333">
        <v>1536</v>
      </c>
      <c r="Y610" s="367">
        <f t="shared" si="64"/>
        <v>552960</v>
      </c>
      <c r="Z610" s="409">
        <f>190.8/360</f>
        <v>0.53</v>
      </c>
      <c r="AA610" s="410">
        <f t="shared" si="58"/>
        <v>293068.79999999999</v>
      </c>
      <c r="AB610" s="411"/>
      <c r="AC610" s="412">
        <f t="shared" si="62"/>
        <v>0</v>
      </c>
      <c r="AD610" s="405"/>
      <c r="AE610" s="405"/>
      <c r="AF610" s="424">
        <f t="shared" si="59"/>
        <v>293068.79999999999</v>
      </c>
      <c r="AG610" s="405" t="s">
        <v>1069</v>
      </c>
      <c r="AH610" s="405"/>
      <c r="AI610" s="405">
        <v>60</v>
      </c>
      <c r="AJ610" s="406" t="s">
        <v>1724</v>
      </c>
      <c r="AK610" s="406" t="s">
        <v>50</v>
      </c>
      <c r="AL610" s="414">
        <v>95403</v>
      </c>
      <c r="AM610" s="405" t="s">
        <v>52</v>
      </c>
      <c r="AN610" s="361" t="s">
        <v>50</v>
      </c>
      <c r="AO610" s="405" t="s">
        <v>1073</v>
      </c>
      <c r="AP610" s="405" t="s">
        <v>92</v>
      </c>
      <c r="AQ610" s="413" t="s">
        <v>37</v>
      </c>
      <c r="AR610" s="405" t="s">
        <v>1188</v>
      </c>
      <c r="AS610" s="404" t="s">
        <v>1392</v>
      </c>
      <c r="AT610" s="330"/>
      <c r="AU610" s="409">
        <f>180/360</f>
        <v>0.5</v>
      </c>
    </row>
    <row r="611" spans="1:47" s="402" customFormat="1">
      <c r="A611" s="426"/>
      <c r="B611" s="376">
        <v>44586</v>
      </c>
      <c r="C611" s="426"/>
      <c r="D611" s="443" t="s">
        <v>86</v>
      </c>
      <c r="E611" s="331" t="s">
        <v>3062</v>
      </c>
      <c r="F611" s="432"/>
      <c r="G611" s="350">
        <v>2022</v>
      </c>
      <c r="H611" s="350" t="s">
        <v>2978</v>
      </c>
      <c r="I611" s="432" t="s">
        <v>2383</v>
      </c>
      <c r="J611" s="433"/>
      <c r="K611" s="432" t="s">
        <v>1852</v>
      </c>
      <c r="L611" s="432" t="s">
        <v>1723</v>
      </c>
      <c r="M611" s="433">
        <v>44586</v>
      </c>
      <c r="N611" s="433">
        <v>44774</v>
      </c>
      <c r="O611" s="433"/>
      <c r="P611" s="332"/>
      <c r="Q611" s="433"/>
      <c r="R611" s="433"/>
      <c r="S611" s="432" t="s">
        <v>1520</v>
      </c>
      <c r="T611" s="432">
        <v>60</v>
      </c>
      <c r="U611" s="432"/>
      <c r="V611" s="441" t="s">
        <v>973</v>
      </c>
      <c r="W611" s="432">
        <v>400</v>
      </c>
      <c r="X611" s="333">
        <v>1536</v>
      </c>
      <c r="Y611" s="367">
        <f t="shared" si="64"/>
        <v>614400</v>
      </c>
      <c r="Z611" s="409">
        <f>220/400</f>
        <v>0.55000000000000004</v>
      </c>
      <c r="AA611" s="410">
        <f t="shared" si="58"/>
        <v>337920</v>
      </c>
      <c r="AB611" s="411"/>
      <c r="AC611" s="412">
        <f t="shared" si="62"/>
        <v>0</v>
      </c>
      <c r="AD611" s="405"/>
      <c r="AE611" s="405"/>
      <c r="AF611" s="424">
        <f t="shared" si="59"/>
        <v>337920</v>
      </c>
      <c r="AG611" s="405" t="s">
        <v>1069</v>
      </c>
      <c r="AH611" s="405"/>
      <c r="AI611" s="405">
        <v>60</v>
      </c>
      <c r="AJ611" s="406" t="s">
        <v>1724</v>
      </c>
      <c r="AK611" s="406" t="s">
        <v>50</v>
      </c>
      <c r="AL611" s="414">
        <v>95403</v>
      </c>
      <c r="AM611" s="405" t="s">
        <v>52</v>
      </c>
      <c r="AN611" s="361" t="s">
        <v>50</v>
      </c>
      <c r="AO611" s="405" t="s">
        <v>1073</v>
      </c>
      <c r="AP611" s="405" t="s">
        <v>92</v>
      </c>
      <c r="AQ611" s="413" t="s">
        <v>37</v>
      </c>
      <c r="AR611" s="405" t="s">
        <v>1188</v>
      </c>
      <c r="AS611" s="404" t="s">
        <v>1392</v>
      </c>
      <c r="AT611" s="330"/>
      <c r="AU611" s="409">
        <f>180/360</f>
        <v>0.5</v>
      </c>
    </row>
    <row r="612" spans="1:47" s="402" customFormat="1">
      <c r="A612" s="426"/>
      <c r="B612" s="376"/>
      <c r="C612" s="426"/>
      <c r="D612" s="443" t="s">
        <v>86</v>
      </c>
      <c r="E612" s="331" t="s">
        <v>3062</v>
      </c>
      <c r="F612" s="432"/>
      <c r="G612" s="350">
        <v>2022</v>
      </c>
      <c r="H612" s="350" t="s">
        <v>2978</v>
      </c>
      <c r="I612" s="432" t="s">
        <v>2383</v>
      </c>
      <c r="J612" s="433"/>
      <c r="K612" s="432" t="s">
        <v>1853</v>
      </c>
      <c r="L612" s="432" t="s">
        <v>1723</v>
      </c>
      <c r="M612" s="433">
        <v>44614</v>
      </c>
      <c r="N612" s="433">
        <v>44805</v>
      </c>
      <c r="O612" s="433"/>
      <c r="P612" s="332"/>
      <c r="Q612" s="433"/>
      <c r="R612" s="433"/>
      <c r="S612" s="432" t="s">
        <v>1520</v>
      </c>
      <c r="T612" s="432">
        <v>60</v>
      </c>
      <c r="U612" s="432"/>
      <c r="V612" s="441" t="s">
        <v>986</v>
      </c>
      <c r="W612" s="432">
        <v>360</v>
      </c>
      <c r="X612" s="333">
        <v>1536</v>
      </c>
      <c r="Y612" s="367">
        <f t="shared" si="64"/>
        <v>552960</v>
      </c>
      <c r="Z612" s="409">
        <f>190.8/360</f>
        <v>0.53</v>
      </c>
      <c r="AA612" s="410">
        <f t="shared" si="58"/>
        <v>293068.79999999999</v>
      </c>
      <c r="AB612" s="411"/>
      <c r="AC612" s="412">
        <f t="shared" si="62"/>
        <v>0</v>
      </c>
      <c r="AD612" s="405"/>
      <c r="AE612" s="405"/>
      <c r="AF612" s="424">
        <f t="shared" si="59"/>
        <v>293068.79999999999</v>
      </c>
      <c r="AG612" s="405" t="s">
        <v>1069</v>
      </c>
      <c r="AH612" s="405"/>
      <c r="AI612" s="405">
        <v>60</v>
      </c>
      <c r="AJ612" s="406" t="s">
        <v>1724</v>
      </c>
      <c r="AK612" s="406" t="s">
        <v>50</v>
      </c>
      <c r="AL612" s="414">
        <v>95403</v>
      </c>
      <c r="AM612" s="405" t="s">
        <v>52</v>
      </c>
      <c r="AN612" s="361" t="s">
        <v>50</v>
      </c>
      <c r="AO612" s="405" t="s">
        <v>1073</v>
      </c>
      <c r="AP612" s="405" t="s">
        <v>92</v>
      </c>
      <c r="AQ612" s="413" t="s">
        <v>37</v>
      </c>
      <c r="AR612" s="405" t="s">
        <v>1188</v>
      </c>
      <c r="AS612" s="404" t="s">
        <v>1392</v>
      </c>
      <c r="AT612" s="330"/>
      <c r="AU612" s="409">
        <f>208/400</f>
        <v>0.52</v>
      </c>
    </row>
    <row r="613" spans="1:47" s="402" customFormat="1">
      <c r="A613" s="426"/>
      <c r="B613" s="376"/>
      <c r="C613" s="426"/>
      <c r="D613" s="443" t="s">
        <v>86</v>
      </c>
      <c r="E613" s="331" t="s">
        <v>3062</v>
      </c>
      <c r="F613" s="432"/>
      <c r="G613" s="350">
        <v>2022</v>
      </c>
      <c r="H613" s="350" t="s">
        <v>2978</v>
      </c>
      <c r="I613" s="432" t="s">
        <v>2383</v>
      </c>
      <c r="J613" s="433"/>
      <c r="K613" s="432" t="s">
        <v>1853</v>
      </c>
      <c r="L613" s="432" t="s">
        <v>1723</v>
      </c>
      <c r="M613" s="433">
        <v>44614</v>
      </c>
      <c r="N613" s="433">
        <v>44805</v>
      </c>
      <c r="O613" s="433"/>
      <c r="P613" s="332"/>
      <c r="Q613" s="433"/>
      <c r="R613" s="433"/>
      <c r="S613" s="432" t="s">
        <v>1520</v>
      </c>
      <c r="T613" s="432">
        <v>60</v>
      </c>
      <c r="U613" s="432"/>
      <c r="V613" s="441" t="s">
        <v>973</v>
      </c>
      <c r="W613" s="432">
        <v>400</v>
      </c>
      <c r="X613" s="333">
        <v>1536</v>
      </c>
      <c r="Y613" s="367">
        <f t="shared" si="64"/>
        <v>614400</v>
      </c>
      <c r="Z613" s="409">
        <f>220/400</f>
        <v>0.55000000000000004</v>
      </c>
      <c r="AA613" s="410">
        <f t="shared" si="58"/>
        <v>337920</v>
      </c>
      <c r="AB613" s="411"/>
      <c r="AC613" s="412">
        <f t="shared" si="62"/>
        <v>0</v>
      </c>
      <c r="AD613" s="405"/>
      <c r="AE613" s="405"/>
      <c r="AF613" s="424">
        <f t="shared" si="59"/>
        <v>337920</v>
      </c>
      <c r="AG613" s="405" t="s">
        <v>1069</v>
      </c>
      <c r="AH613" s="405"/>
      <c r="AI613" s="405">
        <v>60</v>
      </c>
      <c r="AJ613" s="406" t="s">
        <v>1724</v>
      </c>
      <c r="AK613" s="406" t="s">
        <v>50</v>
      </c>
      <c r="AL613" s="414">
        <v>95403</v>
      </c>
      <c r="AM613" s="405" t="s">
        <v>52</v>
      </c>
      <c r="AN613" s="361" t="s">
        <v>50</v>
      </c>
      <c r="AO613" s="405" t="s">
        <v>1073</v>
      </c>
      <c r="AP613" s="405" t="s">
        <v>92</v>
      </c>
      <c r="AQ613" s="413" t="s">
        <v>37</v>
      </c>
      <c r="AR613" s="405" t="s">
        <v>1188</v>
      </c>
      <c r="AS613" s="404" t="s">
        <v>1392</v>
      </c>
      <c r="AT613" s="330"/>
      <c r="AU613" s="409">
        <f>208/400</f>
        <v>0.52</v>
      </c>
    </row>
    <row r="614" spans="1:47" s="402" customFormat="1">
      <c r="A614" s="426"/>
      <c r="B614" s="376"/>
      <c r="C614" s="426"/>
      <c r="D614" s="443" t="s">
        <v>86</v>
      </c>
      <c r="E614" s="331"/>
      <c r="F614" s="432"/>
      <c r="G614" s="350">
        <v>2022</v>
      </c>
      <c r="H614" s="350" t="s">
        <v>2383</v>
      </c>
      <c r="I614" s="432" t="s">
        <v>1498</v>
      </c>
      <c r="J614" s="433"/>
      <c r="K614" s="432" t="s">
        <v>3065</v>
      </c>
      <c r="L614" s="432" t="s">
        <v>1519</v>
      </c>
      <c r="M614" s="433">
        <v>44593</v>
      </c>
      <c r="N614" s="433">
        <v>44682</v>
      </c>
      <c r="O614" s="433"/>
      <c r="P614" s="332"/>
      <c r="Q614" s="433"/>
      <c r="R614" s="433"/>
      <c r="S614" s="432" t="s">
        <v>1520</v>
      </c>
      <c r="T614" s="432">
        <v>60</v>
      </c>
      <c r="U614" s="432"/>
      <c r="V614" s="441" t="s">
        <v>973</v>
      </c>
      <c r="W614" s="432">
        <v>400</v>
      </c>
      <c r="X614" s="333">
        <v>1536</v>
      </c>
      <c r="Y614" s="367">
        <f t="shared" si="64"/>
        <v>614400</v>
      </c>
      <c r="Z614" s="409">
        <f>220/400</f>
        <v>0.55000000000000004</v>
      </c>
      <c r="AA614" s="410">
        <f t="shared" si="58"/>
        <v>337920</v>
      </c>
      <c r="AB614" s="411"/>
      <c r="AC614" s="412">
        <f t="shared" si="62"/>
        <v>0</v>
      </c>
      <c r="AD614" s="405"/>
      <c r="AE614" s="405"/>
      <c r="AF614" s="424">
        <f t="shared" si="59"/>
        <v>337920</v>
      </c>
      <c r="AG614" s="405" t="s">
        <v>1069</v>
      </c>
      <c r="AH614" s="405"/>
      <c r="AI614" s="405">
        <v>60</v>
      </c>
      <c r="AJ614" s="406" t="s">
        <v>1521</v>
      </c>
      <c r="AK614" s="406" t="s">
        <v>1522</v>
      </c>
      <c r="AL614" s="414" t="s">
        <v>1523</v>
      </c>
      <c r="AM614" s="405" t="s">
        <v>52</v>
      </c>
      <c r="AN614" s="361"/>
      <c r="AO614" s="405" t="s">
        <v>1073</v>
      </c>
      <c r="AP614" s="405"/>
      <c r="AQ614" s="413" t="s">
        <v>37</v>
      </c>
      <c r="AR614" s="405"/>
      <c r="AS614" s="404"/>
      <c r="AT614" s="330"/>
      <c r="AU614" s="409"/>
    </row>
    <row r="615" spans="1:47" s="402" customFormat="1">
      <c r="A615" s="426"/>
      <c r="B615" s="376"/>
      <c r="C615" s="426"/>
      <c r="D615" s="443" t="s">
        <v>86</v>
      </c>
      <c r="E615" s="331"/>
      <c r="F615" s="432"/>
      <c r="G615" s="350">
        <v>2022</v>
      </c>
      <c r="H615" s="350" t="s">
        <v>2383</v>
      </c>
      <c r="I615" s="432" t="s">
        <v>1498</v>
      </c>
      <c r="J615" s="433"/>
      <c r="K615" s="432" t="s">
        <v>3066</v>
      </c>
      <c r="L615" s="432" t="s">
        <v>1519</v>
      </c>
      <c r="M615" s="433">
        <v>44593</v>
      </c>
      <c r="N615" s="433">
        <v>44718</v>
      </c>
      <c r="O615" s="433"/>
      <c r="P615" s="332"/>
      <c r="Q615" s="433"/>
      <c r="R615" s="433"/>
      <c r="S615" s="432" t="s">
        <v>1520</v>
      </c>
      <c r="T615" s="432">
        <v>60</v>
      </c>
      <c r="U615" s="432"/>
      <c r="V615" s="441" t="s">
        <v>973</v>
      </c>
      <c r="W615" s="432">
        <v>400</v>
      </c>
      <c r="X615" s="333">
        <v>2304</v>
      </c>
      <c r="Y615" s="367">
        <f t="shared" si="64"/>
        <v>921600</v>
      </c>
      <c r="Z615" s="409">
        <v>0.55000000000000004</v>
      </c>
      <c r="AA615" s="410">
        <f t="shared" si="58"/>
        <v>506880.00000000006</v>
      </c>
      <c r="AB615" s="411"/>
      <c r="AC615" s="412">
        <f t="shared" si="62"/>
        <v>0</v>
      </c>
      <c r="AD615" s="405"/>
      <c r="AE615" s="405"/>
      <c r="AF615" s="424">
        <f t="shared" si="59"/>
        <v>506880.00000000006</v>
      </c>
      <c r="AG615" s="405" t="s">
        <v>1069</v>
      </c>
      <c r="AH615" s="405"/>
      <c r="AI615" s="405">
        <v>60</v>
      </c>
      <c r="AJ615" s="406" t="s">
        <v>1521</v>
      </c>
      <c r="AK615" s="406" t="s">
        <v>1522</v>
      </c>
      <c r="AL615" s="414" t="s">
        <v>1523</v>
      </c>
      <c r="AM615" s="405" t="s">
        <v>52</v>
      </c>
      <c r="AN615" s="361"/>
      <c r="AO615" s="405" t="s">
        <v>1073</v>
      </c>
      <c r="AP615" s="405"/>
      <c r="AQ615" s="413" t="s">
        <v>37</v>
      </c>
      <c r="AR615" s="405"/>
      <c r="AS615" s="404"/>
      <c r="AT615" s="330"/>
      <c r="AU615" s="409"/>
    </row>
    <row r="616" spans="1:47" s="402" customFormat="1">
      <c r="A616" s="426"/>
      <c r="B616" s="376"/>
      <c r="C616" s="426"/>
      <c r="D616" s="443" t="s">
        <v>86</v>
      </c>
      <c r="E616" s="331"/>
      <c r="F616" s="432"/>
      <c r="G616" s="350">
        <v>2022</v>
      </c>
      <c r="H616" s="350" t="s">
        <v>2383</v>
      </c>
      <c r="I616" s="432" t="s">
        <v>1498</v>
      </c>
      <c r="J616" s="433"/>
      <c r="K616" s="432" t="s">
        <v>3067</v>
      </c>
      <c r="L616" s="432" t="s">
        <v>1519</v>
      </c>
      <c r="M616" s="433">
        <v>44594</v>
      </c>
      <c r="N616" s="433">
        <v>44655</v>
      </c>
      <c r="O616" s="433"/>
      <c r="P616" s="332"/>
      <c r="Q616" s="433"/>
      <c r="R616" s="433"/>
      <c r="S616" s="432" t="s">
        <v>1520</v>
      </c>
      <c r="T616" s="432">
        <v>60</v>
      </c>
      <c r="U616" s="432"/>
      <c r="V616" s="441" t="s">
        <v>986</v>
      </c>
      <c r="W616" s="432">
        <v>360</v>
      </c>
      <c r="X616" s="333">
        <v>832</v>
      </c>
      <c r="Y616" s="367">
        <f t="shared" si="64"/>
        <v>299520</v>
      </c>
      <c r="Z616" s="409">
        <f>190.8/360</f>
        <v>0.53</v>
      </c>
      <c r="AA616" s="410">
        <f t="shared" si="58"/>
        <v>158745.60000000001</v>
      </c>
      <c r="AB616" s="411"/>
      <c r="AC616" s="412">
        <f t="shared" si="62"/>
        <v>0</v>
      </c>
      <c r="AD616" s="405"/>
      <c r="AE616" s="405"/>
      <c r="AF616" s="424">
        <f t="shared" si="59"/>
        <v>158745.60000000001</v>
      </c>
      <c r="AG616" s="405" t="s">
        <v>1069</v>
      </c>
      <c r="AH616" s="405"/>
      <c r="AI616" s="405">
        <v>60</v>
      </c>
      <c r="AJ616" s="406" t="s">
        <v>1521</v>
      </c>
      <c r="AK616" s="406" t="s">
        <v>1522</v>
      </c>
      <c r="AL616" s="414" t="s">
        <v>1523</v>
      </c>
      <c r="AM616" s="405" t="s">
        <v>52</v>
      </c>
      <c r="AN616" s="361"/>
      <c r="AO616" s="405" t="s">
        <v>1073</v>
      </c>
      <c r="AP616" s="405"/>
      <c r="AQ616" s="413" t="s">
        <v>37</v>
      </c>
      <c r="AR616" s="405"/>
      <c r="AS616" s="404"/>
      <c r="AT616" s="330"/>
      <c r="AU616" s="409"/>
    </row>
    <row r="617" spans="1:47" s="402" customFormat="1">
      <c r="A617" s="426"/>
      <c r="B617" s="376"/>
      <c r="C617" s="426"/>
      <c r="D617" s="443" t="s">
        <v>86</v>
      </c>
      <c r="E617" s="331"/>
      <c r="F617" s="432"/>
      <c r="G617" s="350">
        <v>2022</v>
      </c>
      <c r="H617" s="350" t="s">
        <v>2383</v>
      </c>
      <c r="I617" s="432" t="s">
        <v>1498</v>
      </c>
      <c r="J617" s="433"/>
      <c r="K617" s="432" t="s">
        <v>3068</v>
      </c>
      <c r="L617" s="432" t="s">
        <v>1519</v>
      </c>
      <c r="M617" s="433">
        <v>44594</v>
      </c>
      <c r="N617" s="433">
        <v>44683</v>
      </c>
      <c r="O617" s="433"/>
      <c r="P617" s="332"/>
      <c r="Q617" s="433"/>
      <c r="R617" s="433"/>
      <c r="S617" s="432" t="s">
        <v>1520</v>
      </c>
      <c r="T617" s="432">
        <v>60</v>
      </c>
      <c r="U617" s="432"/>
      <c r="V617" s="441" t="s">
        <v>986</v>
      </c>
      <c r="W617" s="432">
        <v>360</v>
      </c>
      <c r="X617" s="333">
        <v>832</v>
      </c>
      <c r="Y617" s="367">
        <f t="shared" si="64"/>
        <v>299520</v>
      </c>
      <c r="Z617" s="409">
        <f>190.8/360</f>
        <v>0.53</v>
      </c>
      <c r="AA617" s="410">
        <f t="shared" si="58"/>
        <v>158745.60000000001</v>
      </c>
      <c r="AB617" s="411"/>
      <c r="AC617" s="412">
        <f t="shared" si="62"/>
        <v>0</v>
      </c>
      <c r="AD617" s="405"/>
      <c r="AE617" s="405"/>
      <c r="AF617" s="424">
        <f t="shared" si="59"/>
        <v>158745.60000000001</v>
      </c>
      <c r="AG617" s="405" t="s">
        <v>1069</v>
      </c>
      <c r="AH617" s="405"/>
      <c r="AI617" s="405">
        <v>60</v>
      </c>
      <c r="AJ617" s="406" t="s">
        <v>1521</v>
      </c>
      <c r="AK617" s="406" t="s">
        <v>1522</v>
      </c>
      <c r="AL617" s="414" t="s">
        <v>1523</v>
      </c>
      <c r="AM617" s="405" t="s">
        <v>52</v>
      </c>
      <c r="AN617" s="361"/>
      <c r="AO617" s="405" t="s">
        <v>1073</v>
      </c>
      <c r="AP617" s="405"/>
      <c r="AQ617" s="413" t="s">
        <v>37</v>
      </c>
      <c r="AR617" s="405"/>
      <c r="AS617" s="404"/>
      <c r="AT617" s="330"/>
      <c r="AU617" s="409"/>
    </row>
    <row r="618" spans="1:47" s="402" customFormat="1">
      <c r="A618" s="426"/>
      <c r="B618" s="376"/>
      <c r="C618" s="426"/>
      <c r="D618" s="443" t="s">
        <v>86</v>
      </c>
      <c r="E618" s="331"/>
      <c r="F618" s="432"/>
      <c r="G618" s="350">
        <v>2022</v>
      </c>
      <c r="H618" s="350" t="s">
        <v>2383</v>
      </c>
      <c r="I618" s="432" t="s">
        <v>1498</v>
      </c>
      <c r="J618" s="433"/>
      <c r="K618" s="432" t="s">
        <v>3069</v>
      </c>
      <c r="L618" s="432" t="s">
        <v>1519</v>
      </c>
      <c r="M618" s="433">
        <v>44594</v>
      </c>
      <c r="N618" s="433">
        <v>44718</v>
      </c>
      <c r="O618" s="433"/>
      <c r="P618" s="332"/>
      <c r="Q618" s="433"/>
      <c r="R618" s="433"/>
      <c r="S618" s="432" t="s">
        <v>1520</v>
      </c>
      <c r="T618" s="432">
        <v>60</v>
      </c>
      <c r="U618" s="432"/>
      <c r="V618" s="441" t="s">
        <v>986</v>
      </c>
      <c r="W618" s="432">
        <v>360</v>
      </c>
      <c r="X618" s="333">
        <v>832</v>
      </c>
      <c r="Y618" s="367">
        <f t="shared" si="64"/>
        <v>299520</v>
      </c>
      <c r="Z618" s="409">
        <f>190.8/360</f>
        <v>0.53</v>
      </c>
      <c r="AA618" s="410">
        <f t="shared" si="58"/>
        <v>158745.60000000001</v>
      </c>
      <c r="AB618" s="411"/>
      <c r="AC618" s="412">
        <f t="shared" si="62"/>
        <v>0</v>
      </c>
      <c r="AD618" s="405"/>
      <c r="AE618" s="405"/>
      <c r="AF618" s="424">
        <f t="shared" si="59"/>
        <v>158745.60000000001</v>
      </c>
      <c r="AG618" s="405" t="s">
        <v>1069</v>
      </c>
      <c r="AH618" s="405"/>
      <c r="AI618" s="405">
        <v>60</v>
      </c>
      <c r="AJ618" s="406" t="s">
        <v>1521</v>
      </c>
      <c r="AK618" s="406" t="s">
        <v>1522</v>
      </c>
      <c r="AL618" s="414" t="s">
        <v>1523</v>
      </c>
      <c r="AM618" s="405" t="s">
        <v>52</v>
      </c>
      <c r="AN618" s="361"/>
      <c r="AO618" s="405" t="s">
        <v>1073</v>
      </c>
      <c r="AP618" s="405"/>
      <c r="AQ618" s="413" t="s">
        <v>37</v>
      </c>
      <c r="AR618" s="405"/>
      <c r="AS618" s="404"/>
      <c r="AT618" s="330"/>
      <c r="AU618" s="409"/>
    </row>
    <row r="619" spans="1:47" s="402" customFormat="1">
      <c r="A619" s="426"/>
      <c r="B619" s="376"/>
      <c r="C619" s="426"/>
      <c r="D619" s="443" t="s">
        <v>86</v>
      </c>
      <c r="E619" s="331"/>
      <c r="F619" s="432"/>
      <c r="G619" s="350">
        <v>2022</v>
      </c>
      <c r="H619" s="350" t="s">
        <v>2383</v>
      </c>
      <c r="I619" s="432" t="s">
        <v>1498</v>
      </c>
      <c r="J619" s="433"/>
      <c r="K619" s="432" t="s">
        <v>3070</v>
      </c>
      <c r="L619" s="432" t="s">
        <v>1519</v>
      </c>
      <c r="M619" s="433">
        <v>44594</v>
      </c>
      <c r="N619" s="433">
        <v>44658</v>
      </c>
      <c r="O619" s="433"/>
      <c r="P619" s="332"/>
      <c r="Q619" s="433"/>
      <c r="R619" s="433"/>
      <c r="S619" s="432" t="s">
        <v>1520</v>
      </c>
      <c r="T619" s="432">
        <v>60</v>
      </c>
      <c r="U619" s="432"/>
      <c r="V619" s="441" t="s">
        <v>973</v>
      </c>
      <c r="W619" s="432">
        <v>400</v>
      </c>
      <c r="X619" s="333">
        <v>768</v>
      </c>
      <c r="Y619" s="367">
        <f t="shared" si="64"/>
        <v>307200</v>
      </c>
      <c r="Z619" s="409">
        <f t="shared" ref="Z619:Z627" si="65">220/400</f>
        <v>0.55000000000000004</v>
      </c>
      <c r="AA619" s="410">
        <f t="shared" si="58"/>
        <v>168960</v>
      </c>
      <c r="AB619" s="411"/>
      <c r="AC619" s="412">
        <f t="shared" si="62"/>
        <v>0</v>
      </c>
      <c r="AD619" s="405"/>
      <c r="AE619" s="405"/>
      <c r="AF619" s="424">
        <f t="shared" si="59"/>
        <v>168960</v>
      </c>
      <c r="AG619" s="405" t="s">
        <v>1069</v>
      </c>
      <c r="AH619" s="405"/>
      <c r="AI619" s="405">
        <v>60</v>
      </c>
      <c r="AJ619" s="406" t="s">
        <v>1521</v>
      </c>
      <c r="AK619" s="406" t="s">
        <v>1522</v>
      </c>
      <c r="AL619" s="414" t="s">
        <v>1523</v>
      </c>
      <c r="AM619" s="405" t="s">
        <v>52</v>
      </c>
      <c r="AN619" s="361"/>
      <c r="AO619" s="405" t="s">
        <v>1073</v>
      </c>
      <c r="AP619" s="405"/>
      <c r="AQ619" s="413" t="s">
        <v>37</v>
      </c>
      <c r="AR619" s="405"/>
      <c r="AS619" s="404"/>
      <c r="AT619" s="330"/>
      <c r="AU619" s="409"/>
    </row>
    <row r="620" spans="1:47" s="402" customFormat="1">
      <c r="A620" s="426"/>
      <c r="B620" s="376"/>
      <c r="C620" s="426"/>
      <c r="D620" s="443" t="s">
        <v>86</v>
      </c>
      <c r="E620" s="331"/>
      <c r="F620" s="432"/>
      <c r="G620" s="350">
        <v>2022</v>
      </c>
      <c r="H620" s="350" t="s">
        <v>2383</v>
      </c>
      <c r="I620" s="432" t="s">
        <v>1498</v>
      </c>
      <c r="J620" s="433"/>
      <c r="K620" s="432" t="s">
        <v>3071</v>
      </c>
      <c r="L620" s="432" t="s">
        <v>1519</v>
      </c>
      <c r="M620" s="433">
        <v>44594</v>
      </c>
      <c r="N620" s="433">
        <v>44686</v>
      </c>
      <c r="O620" s="433"/>
      <c r="P620" s="332"/>
      <c r="Q620" s="433"/>
      <c r="R620" s="433"/>
      <c r="S620" s="432" t="s">
        <v>1520</v>
      </c>
      <c r="T620" s="432">
        <v>60</v>
      </c>
      <c r="U620" s="432"/>
      <c r="V620" s="441" t="s">
        <v>973</v>
      </c>
      <c r="W620" s="432">
        <v>400</v>
      </c>
      <c r="X620" s="333">
        <v>768</v>
      </c>
      <c r="Y620" s="367">
        <f t="shared" si="64"/>
        <v>307200</v>
      </c>
      <c r="Z620" s="409">
        <f t="shared" si="65"/>
        <v>0.55000000000000004</v>
      </c>
      <c r="AA620" s="410">
        <f t="shared" si="58"/>
        <v>168960</v>
      </c>
      <c r="AB620" s="411"/>
      <c r="AC620" s="412">
        <f t="shared" si="62"/>
        <v>0</v>
      </c>
      <c r="AD620" s="405"/>
      <c r="AE620" s="405"/>
      <c r="AF620" s="424">
        <f t="shared" si="59"/>
        <v>168960</v>
      </c>
      <c r="AG620" s="405" t="s">
        <v>1069</v>
      </c>
      <c r="AH620" s="405"/>
      <c r="AI620" s="405">
        <v>60</v>
      </c>
      <c r="AJ620" s="406" t="s">
        <v>1521</v>
      </c>
      <c r="AK620" s="406" t="s">
        <v>1522</v>
      </c>
      <c r="AL620" s="414" t="s">
        <v>1523</v>
      </c>
      <c r="AM620" s="405" t="s">
        <v>52</v>
      </c>
      <c r="AN620" s="361"/>
      <c r="AO620" s="405" t="s">
        <v>1073</v>
      </c>
      <c r="AP620" s="405"/>
      <c r="AQ620" s="413" t="s">
        <v>37</v>
      </c>
      <c r="AR620" s="405"/>
      <c r="AS620" s="404"/>
      <c r="AT620" s="330"/>
      <c r="AU620" s="409"/>
    </row>
    <row r="621" spans="1:47" s="402" customFormat="1">
      <c r="A621" s="426"/>
      <c r="B621" s="376"/>
      <c r="C621" s="426"/>
      <c r="D621" s="443" t="s">
        <v>86</v>
      </c>
      <c r="E621" s="331"/>
      <c r="F621" s="432"/>
      <c r="G621" s="350">
        <v>2022</v>
      </c>
      <c r="H621" s="350" t="s">
        <v>2383</v>
      </c>
      <c r="I621" s="432" t="s">
        <v>1498</v>
      </c>
      <c r="J621" s="433"/>
      <c r="K621" s="432" t="s">
        <v>3072</v>
      </c>
      <c r="L621" s="432" t="s">
        <v>1519</v>
      </c>
      <c r="M621" s="433">
        <v>44594</v>
      </c>
      <c r="N621" s="433">
        <v>44721</v>
      </c>
      <c r="O621" s="433"/>
      <c r="P621" s="332"/>
      <c r="Q621" s="433"/>
      <c r="R621" s="433"/>
      <c r="S621" s="432" t="s">
        <v>1520</v>
      </c>
      <c r="T621" s="432">
        <v>60</v>
      </c>
      <c r="U621" s="432"/>
      <c r="V621" s="441" t="s">
        <v>973</v>
      </c>
      <c r="W621" s="432">
        <v>400</v>
      </c>
      <c r="X621" s="333">
        <v>768</v>
      </c>
      <c r="Y621" s="367">
        <f t="shared" si="64"/>
        <v>307200</v>
      </c>
      <c r="Z621" s="409">
        <f t="shared" si="65"/>
        <v>0.55000000000000004</v>
      </c>
      <c r="AA621" s="410">
        <f t="shared" si="58"/>
        <v>168960</v>
      </c>
      <c r="AB621" s="411"/>
      <c r="AC621" s="412">
        <f t="shared" si="62"/>
        <v>0</v>
      </c>
      <c r="AD621" s="405"/>
      <c r="AE621" s="405"/>
      <c r="AF621" s="424">
        <f t="shared" si="59"/>
        <v>168960</v>
      </c>
      <c r="AG621" s="405" t="s">
        <v>1069</v>
      </c>
      <c r="AH621" s="405"/>
      <c r="AI621" s="405">
        <v>60</v>
      </c>
      <c r="AJ621" s="406" t="s">
        <v>1521</v>
      </c>
      <c r="AK621" s="406" t="s">
        <v>1522</v>
      </c>
      <c r="AL621" s="414" t="s">
        <v>1523</v>
      </c>
      <c r="AM621" s="405" t="s">
        <v>52</v>
      </c>
      <c r="AN621" s="361"/>
      <c r="AO621" s="405" t="s">
        <v>1073</v>
      </c>
      <c r="AP621" s="405"/>
      <c r="AQ621" s="413" t="s">
        <v>37</v>
      </c>
      <c r="AR621" s="405"/>
      <c r="AS621" s="404"/>
      <c r="AT621" s="330"/>
      <c r="AU621" s="409"/>
    </row>
    <row r="622" spans="1:47" s="402" customFormat="1">
      <c r="A622" s="426"/>
      <c r="B622" s="376"/>
      <c r="C622" s="426"/>
      <c r="D622" s="443" t="s">
        <v>86</v>
      </c>
      <c r="E622" s="331"/>
      <c r="F622" s="432"/>
      <c r="G622" s="350">
        <v>2022</v>
      </c>
      <c r="H622" s="350" t="s">
        <v>2978</v>
      </c>
      <c r="I622" s="432" t="s">
        <v>1498</v>
      </c>
      <c r="J622" s="433"/>
      <c r="K622" s="432" t="s">
        <v>3076</v>
      </c>
      <c r="L622" s="432" t="s">
        <v>3074</v>
      </c>
      <c r="M622" s="433">
        <v>44624</v>
      </c>
      <c r="N622" s="433">
        <v>44682</v>
      </c>
      <c r="O622" s="433"/>
      <c r="P622" s="332"/>
      <c r="Q622" s="433"/>
      <c r="R622" s="433"/>
      <c r="S622" s="432" t="s">
        <v>1520</v>
      </c>
      <c r="T622" s="432">
        <v>60</v>
      </c>
      <c r="U622" s="432" t="s">
        <v>1102</v>
      </c>
      <c r="V622" s="441" t="s">
        <v>973</v>
      </c>
      <c r="W622" s="432">
        <v>400</v>
      </c>
      <c r="X622" s="333">
        <v>1536</v>
      </c>
      <c r="Y622" s="367">
        <f t="shared" si="64"/>
        <v>614400</v>
      </c>
      <c r="Z622" s="409">
        <f t="shared" si="65"/>
        <v>0.55000000000000004</v>
      </c>
      <c r="AA622" s="410">
        <f t="shared" si="58"/>
        <v>337920</v>
      </c>
      <c r="AB622" s="411"/>
      <c r="AC622" s="412">
        <f t="shared" si="62"/>
        <v>0</v>
      </c>
      <c r="AD622" s="405"/>
      <c r="AE622" s="405"/>
      <c r="AF622" s="424">
        <f t="shared" si="59"/>
        <v>337920</v>
      </c>
      <c r="AG622" s="405" t="s">
        <v>1069</v>
      </c>
      <c r="AH622" s="405"/>
      <c r="AI622" s="405">
        <v>60</v>
      </c>
      <c r="AJ622" s="406" t="s">
        <v>3075</v>
      </c>
      <c r="AK622" s="406" t="s">
        <v>1522</v>
      </c>
      <c r="AL622" s="414">
        <v>99217</v>
      </c>
      <c r="AM622" s="405" t="s">
        <v>52</v>
      </c>
      <c r="AN622" s="361"/>
      <c r="AO622" s="405" t="s">
        <v>1073</v>
      </c>
      <c r="AP622" s="405"/>
      <c r="AQ622" s="413" t="s">
        <v>37</v>
      </c>
      <c r="AR622" s="405" t="s">
        <v>1188</v>
      </c>
      <c r="AS622" s="404"/>
      <c r="AT622" s="330"/>
      <c r="AU622" s="409">
        <f>212/400</f>
        <v>0.53</v>
      </c>
    </row>
    <row r="623" spans="1:47" s="402" customFormat="1">
      <c r="A623" s="426"/>
      <c r="B623" s="376"/>
      <c r="C623" s="426"/>
      <c r="D623" s="443" t="s">
        <v>86</v>
      </c>
      <c r="E623" s="331"/>
      <c r="F623" s="432"/>
      <c r="G623" s="350">
        <v>2022</v>
      </c>
      <c r="H623" s="350" t="s">
        <v>2978</v>
      </c>
      <c r="I623" s="432" t="s">
        <v>1498</v>
      </c>
      <c r="J623" s="433"/>
      <c r="K623" s="432" t="s">
        <v>3077</v>
      </c>
      <c r="L623" s="432" t="s">
        <v>3074</v>
      </c>
      <c r="M623" s="433">
        <v>44624</v>
      </c>
      <c r="N623" s="433">
        <v>44713</v>
      </c>
      <c r="O623" s="433"/>
      <c r="P623" s="332"/>
      <c r="Q623" s="433"/>
      <c r="R623" s="433"/>
      <c r="S623" s="432" t="s">
        <v>1520</v>
      </c>
      <c r="T623" s="432">
        <v>60</v>
      </c>
      <c r="U623" s="432" t="s">
        <v>1102</v>
      </c>
      <c r="V623" s="441" t="s">
        <v>973</v>
      </c>
      <c r="W623" s="432">
        <v>400</v>
      </c>
      <c r="X623" s="333">
        <v>1536</v>
      </c>
      <c r="Y623" s="367">
        <f t="shared" si="64"/>
        <v>614400</v>
      </c>
      <c r="Z623" s="409">
        <f t="shared" si="65"/>
        <v>0.55000000000000004</v>
      </c>
      <c r="AA623" s="410">
        <f t="shared" si="58"/>
        <v>337920</v>
      </c>
      <c r="AB623" s="411"/>
      <c r="AC623" s="412">
        <f t="shared" si="62"/>
        <v>0</v>
      </c>
      <c r="AD623" s="405"/>
      <c r="AE623" s="405"/>
      <c r="AF623" s="424">
        <f t="shared" si="59"/>
        <v>337920</v>
      </c>
      <c r="AG623" s="405" t="s">
        <v>1069</v>
      </c>
      <c r="AH623" s="405"/>
      <c r="AI623" s="405">
        <v>60</v>
      </c>
      <c r="AJ623" s="406" t="s">
        <v>3075</v>
      </c>
      <c r="AK623" s="406" t="s">
        <v>1522</v>
      </c>
      <c r="AL623" s="414">
        <v>99217</v>
      </c>
      <c r="AM623" s="405" t="s">
        <v>52</v>
      </c>
      <c r="AN623" s="361"/>
      <c r="AO623" s="405" t="s">
        <v>1073</v>
      </c>
      <c r="AP623" s="405"/>
      <c r="AQ623" s="413" t="s">
        <v>37</v>
      </c>
      <c r="AR623" s="405" t="s">
        <v>1188</v>
      </c>
      <c r="AS623" s="404"/>
      <c r="AT623" s="330"/>
      <c r="AU623" s="409">
        <f>212/400</f>
        <v>0.53</v>
      </c>
    </row>
    <row r="624" spans="1:47" s="402" customFormat="1">
      <c r="A624" s="426"/>
      <c r="B624" s="376"/>
      <c r="C624" s="426"/>
      <c r="D624" s="443" t="s">
        <v>86</v>
      </c>
      <c r="E624" s="331"/>
      <c r="F624" s="432"/>
      <c r="G624" s="350">
        <v>2022</v>
      </c>
      <c r="H624" s="350" t="s">
        <v>2978</v>
      </c>
      <c r="I624" s="432" t="s">
        <v>1498</v>
      </c>
      <c r="J624" s="433"/>
      <c r="K624" s="432" t="s">
        <v>3078</v>
      </c>
      <c r="L624" s="432" t="s">
        <v>3074</v>
      </c>
      <c r="M624" s="433">
        <v>44624</v>
      </c>
      <c r="N624" s="433">
        <v>44743</v>
      </c>
      <c r="O624" s="433"/>
      <c r="P624" s="332"/>
      <c r="Q624" s="433"/>
      <c r="R624" s="433"/>
      <c r="S624" s="432" t="s">
        <v>1520</v>
      </c>
      <c r="T624" s="432">
        <v>60</v>
      </c>
      <c r="U624" s="432" t="s">
        <v>1102</v>
      </c>
      <c r="V624" s="441" t="s">
        <v>973</v>
      </c>
      <c r="W624" s="432">
        <v>400</v>
      </c>
      <c r="X624" s="333">
        <v>1536</v>
      </c>
      <c r="Y624" s="367">
        <f t="shared" si="64"/>
        <v>614400</v>
      </c>
      <c r="Z624" s="409">
        <f t="shared" si="65"/>
        <v>0.55000000000000004</v>
      </c>
      <c r="AA624" s="410">
        <f t="shared" si="58"/>
        <v>337920</v>
      </c>
      <c r="AB624" s="411"/>
      <c r="AC624" s="412">
        <f t="shared" si="62"/>
        <v>0</v>
      </c>
      <c r="AD624" s="405"/>
      <c r="AE624" s="405"/>
      <c r="AF624" s="424">
        <f t="shared" si="59"/>
        <v>337920</v>
      </c>
      <c r="AG624" s="405" t="s">
        <v>1069</v>
      </c>
      <c r="AH624" s="405"/>
      <c r="AI624" s="405">
        <v>60</v>
      </c>
      <c r="AJ624" s="406" t="s">
        <v>3075</v>
      </c>
      <c r="AK624" s="406" t="s">
        <v>1522</v>
      </c>
      <c r="AL624" s="414">
        <v>99217</v>
      </c>
      <c r="AM624" s="405" t="s">
        <v>52</v>
      </c>
      <c r="AN624" s="361"/>
      <c r="AO624" s="405" t="s">
        <v>1073</v>
      </c>
      <c r="AP624" s="405"/>
      <c r="AQ624" s="413" t="s">
        <v>37</v>
      </c>
      <c r="AR624" s="405" t="s">
        <v>1188</v>
      </c>
      <c r="AS624" s="404"/>
      <c r="AT624" s="330"/>
      <c r="AU624" s="409">
        <f>212/400</f>
        <v>0.53</v>
      </c>
    </row>
    <row r="625" spans="1:47" s="402" customFormat="1">
      <c r="A625" s="426"/>
      <c r="B625" s="376"/>
      <c r="C625" s="426"/>
      <c r="D625" s="443" t="s">
        <v>86</v>
      </c>
      <c r="E625" s="331"/>
      <c r="F625" s="432"/>
      <c r="G625" s="350">
        <v>2022</v>
      </c>
      <c r="H625" s="350" t="s">
        <v>2978</v>
      </c>
      <c r="I625" s="432" t="s">
        <v>1498</v>
      </c>
      <c r="J625" s="433"/>
      <c r="K625" s="432" t="s">
        <v>3079</v>
      </c>
      <c r="L625" s="432" t="s">
        <v>3074</v>
      </c>
      <c r="M625" s="433">
        <v>44624</v>
      </c>
      <c r="N625" s="433">
        <v>44774</v>
      </c>
      <c r="O625" s="433"/>
      <c r="P625" s="332"/>
      <c r="Q625" s="433"/>
      <c r="R625" s="433"/>
      <c r="S625" s="432" t="s">
        <v>1520</v>
      </c>
      <c r="T625" s="432">
        <v>60</v>
      </c>
      <c r="U625" s="432" t="s">
        <v>1102</v>
      </c>
      <c r="V625" s="441" t="s">
        <v>973</v>
      </c>
      <c r="W625" s="432">
        <v>400</v>
      </c>
      <c r="X625" s="333">
        <v>1536</v>
      </c>
      <c r="Y625" s="367">
        <f t="shared" si="64"/>
        <v>614400</v>
      </c>
      <c r="Z625" s="409">
        <f t="shared" si="65"/>
        <v>0.55000000000000004</v>
      </c>
      <c r="AA625" s="410">
        <f t="shared" si="58"/>
        <v>337920</v>
      </c>
      <c r="AB625" s="411"/>
      <c r="AC625" s="412">
        <f t="shared" si="62"/>
        <v>0</v>
      </c>
      <c r="AD625" s="405"/>
      <c r="AE625" s="405"/>
      <c r="AF625" s="424">
        <f t="shared" si="59"/>
        <v>337920</v>
      </c>
      <c r="AG625" s="405" t="s">
        <v>1069</v>
      </c>
      <c r="AH625" s="405"/>
      <c r="AI625" s="405">
        <v>60</v>
      </c>
      <c r="AJ625" s="406" t="s">
        <v>3075</v>
      </c>
      <c r="AK625" s="406" t="s">
        <v>1522</v>
      </c>
      <c r="AL625" s="414">
        <v>99217</v>
      </c>
      <c r="AM625" s="405" t="s">
        <v>52</v>
      </c>
      <c r="AN625" s="361"/>
      <c r="AO625" s="405" t="s">
        <v>1073</v>
      </c>
      <c r="AP625" s="405"/>
      <c r="AQ625" s="413" t="s">
        <v>37</v>
      </c>
      <c r="AR625" s="405" t="s">
        <v>1188</v>
      </c>
      <c r="AS625" s="404"/>
      <c r="AT625" s="330"/>
      <c r="AU625" s="409">
        <f>212/400</f>
        <v>0.53</v>
      </c>
    </row>
    <row r="626" spans="1:47" s="402" customFormat="1">
      <c r="A626" s="426"/>
      <c r="B626" s="376"/>
      <c r="C626" s="426"/>
      <c r="D626" s="443" t="s">
        <v>86</v>
      </c>
      <c r="E626" s="331"/>
      <c r="F626" s="432"/>
      <c r="G626" s="350">
        <v>2022</v>
      </c>
      <c r="H626" s="350" t="s">
        <v>2383</v>
      </c>
      <c r="I626" s="432" t="s">
        <v>1498</v>
      </c>
      <c r="J626" s="433"/>
      <c r="K626" s="432" t="s">
        <v>3080</v>
      </c>
      <c r="L626" s="432" t="s">
        <v>1737</v>
      </c>
      <c r="M626" s="433">
        <v>44573</v>
      </c>
      <c r="N626" s="433">
        <v>44743</v>
      </c>
      <c r="O626" s="433"/>
      <c r="P626" s="332"/>
      <c r="Q626" s="433"/>
      <c r="R626" s="433"/>
      <c r="S626" s="432" t="s">
        <v>88</v>
      </c>
      <c r="T626" s="432">
        <v>60</v>
      </c>
      <c r="U626" s="432"/>
      <c r="V626" s="441" t="s">
        <v>973</v>
      </c>
      <c r="W626" s="432">
        <v>400</v>
      </c>
      <c r="X626" s="333">
        <v>832</v>
      </c>
      <c r="Y626" s="367">
        <v>161280</v>
      </c>
      <c r="Z626" s="409">
        <f t="shared" si="65"/>
        <v>0.55000000000000004</v>
      </c>
      <c r="AA626" s="410">
        <f t="shared" si="58"/>
        <v>88704</v>
      </c>
      <c r="AB626" s="411"/>
      <c r="AC626" s="412">
        <v>0</v>
      </c>
      <c r="AD626" s="405"/>
      <c r="AE626" s="405"/>
      <c r="AF626" s="424">
        <v>127411.19999999998</v>
      </c>
      <c r="AG626" s="405" t="s">
        <v>1069</v>
      </c>
      <c r="AH626" s="405"/>
      <c r="AI626" s="405">
        <v>60</v>
      </c>
      <c r="AJ626" s="406" t="s">
        <v>1762</v>
      </c>
      <c r="AK626" s="406" t="s">
        <v>50</v>
      </c>
      <c r="AL626" s="414" t="s">
        <v>1739</v>
      </c>
      <c r="AM626" s="405" t="s">
        <v>52</v>
      </c>
      <c r="AN626" s="361" t="s">
        <v>1071</v>
      </c>
      <c r="AO626" s="405" t="s">
        <v>1073</v>
      </c>
      <c r="AP626" s="405"/>
      <c r="AQ626" s="413" t="s">
        <v>37</v>
      </c>
      <c r="AR626" s="405" t="s">
        <v>1188</v>
      </c>
      <c r="AS626" s="404" t="s">
        <v>1392</v>
      </c>
      <c r="AT626" s="330"/>
      <c r="AU626" s="409">
        <f>208/400</f>
        <v>0.52</v>
      </c>
    </row>
    <row r="627" spans="1:47" s="402" customFormat="1">
      <c r="A627" s="426"/>
      <c r="B627" s="376"/>
      <c r="C627" s="426"/>
      <c r="D627" s="443" t="s">
        <v>86</v>
      </c>
      <c r="E627" s="331"/>
      <c r="F627" s="432"/>
      <c r="G627" s="350">
        <v>2022</v>
      </c>
      <c r="H627" s="350" t="s">
        <v>2383</v>
      </c>
      <c r="I627" s="432" t="s">
        <v>1498</v>
      </c>
      <c r="J627" s="433"/>
      <c r="K627" s="432" t="s">
        <v>3081</v>
      </c>
      <c r="L627" s="432" t="s">
        <v>1737</v>
      </c>
      <c r="M627" s="433">
        <v>44582</v>
      </c>
      <c r="N627" s="433">
        <v>44760</v>
      </c>
      <c r="O627" s="433"/>
      <c r="P627" s="332"/>
      <c r="Q627" s="433"/>
      <c r="R627" s="433"/>
      <c r="S627" s="432" t="s">
        <v>88</v>
      </c>
      <c r="T627" s="432">
        <v>60</v>
      </c>
      <c r="U627" s="432"/>
      <c r="V627" s="441" t="s">
        <v>973</v>
      </c>
      <c r="W627" s="432">
        <v>400</v>
      </c>
      <c r="X627" s="333">
        <v>832</v>
      </c>
      <c r="Y627" s="367">
        <f>W627*X627</f>
        <v>332800</v>
      </c>
      <c r="Z627" s="409">
        <f t="shared" si="65"/>
        <v>0.55000000000000004</v>
      </c>
      <c r="AA627" s="410">
        <f t="shared" si="58"/>
        <v>183040.00000000003</v>
      </c>
      <c r="AB627" s="411"/>
      <c r="AC627" s="412">
        <f>AB627*Y627</f>
        <v>0</v>
      </c>
      <c r="AD627" s="405"/>
      <c r="AE627" s="405"/>
      <c r="AF627" s="424">
        <f>AE627+AD627+AA627</f>
        <v>183040.00000000003</v>
      </c>
      <c r="AG627" s="405" t="s">
        <v>1069</v>
      </c>
      <c r="AH627" s="405"/>
      <c r="AI627" s="405">
        <v>60</v>
      </c>
      <c r="AJ627" s="406" t="s">
        <v>1762</v>
      </c>
      <c r="AK627" s="406" t="s">
        <v>50</v>
      </c>
      <c r="AL627" s="414" t="s">
        <v>1739</v>
      </c>
      <c r="AM627" s="405" t="s">
        <v>52</v>
      </c>
      <c r="AN627" s="361" t="s">
        <v>1071</v>
      </c>
      <c r="AO627" s="405" t="s">
        <v>1073</v>
      </c>
      <c r="AP627" s="405"/>
      <c r="AQ627" s="413" t="s">
        <v>37</v>
      </c>
      <c r="AR627" s="405" t="s">
        <v>1188</v>
      </c>
      <c r="AS627" s="404" t="s">
        <v>1392</v>
      </c>
      <c r="AT627" s="330"/>
      <c r="AU627" s="409">
        <f>208/400</f>
        <v>0.52</v>
      </c>
    </row>
    <row r="628" spans="1:47" s="402" customFormat="1">
      <c r="A628" s="426"/>
      <c r="B628" s="376"/>
      <c r="C628" s="426"/>
      <c r="D628" s="443" t="s">
        <v>86</v>
      </c>
      <c r="E628" s="331"/>
      <c r="F628" s="432"/>
      <c r="G628" s="350">
        <v>2022</v>
      </c>
      <c r="H628" s="350" t="s">
        <v>2383</v>
      </c>
      <c r="I628" s="432" t="s">
        <v>1498</v>
      </c>
      <c r="J628" s="433"/>
      <c r="K628" s="432" t="s">
        <v>3082</v>
      </c>
      <c r="L628" s="432" t="s">
        <v>1737</v>
      </c>
      <c r="M628" s="433">
        <v>44573</v>
      </c>
      <c r="N628" s="433">
        <v>44774</v>
      </c>
      <c r="O628" s="433"/>
      <c r="P628" s="332"/>
      <c r="Q628" s="433"/>
      <c r="R628" s="433"/>
      <c r="S628" s="432" t="s">
        <v>88</v>
      </c>
      <c r="T628" s="432">
        <v>60</v>
      </c>
      <c r="U628" s="432"/>
      <c r="V628" s="441" t="s">
        <v>986</v>
      </c>
      <c r="W628" s="432">
        <v>360</v>
      </c>
      <c r="X628" s="333">
        <v>448</v>
      </c>
      <c r="Y628" s="367">
        <v>161280</v>
      </c>
      <c r="Z628" s="409">
        <f>190.8/360</f>
        <v>0.53</v>
      </c>
      <c r="AA628" s="410">
        <f t="shared" si="58"/>
        <v>85478.400000000009</v>
      </c>
      <c r="AB628" s="411"/>
      <c r="AC628" s="412">
        <v>0</v>
      </c>
      <c r="AD628" s="405"/>
      <c r="AE628" s="405"/>
      <c r="AF628" s="424">
        <v>127411.19999999998</v>
      </c>
      <c r="AG628" s="405" t="s">
        <v>1069</v>
      </c>
      <c r="AH628" s="405"/>
      <c r="AI628" s="405">
        <v>60</v>
      </c>
      <c r="AJ628" s="406" t="s">
        <v>1762</v>
      </c>
      <c r="AK628" s="406" t="s">
        <v>50</v>
      </c>
      <c r="AL628" s="414" t="s">
        <v>1739</v>
      </c>
      <c r="AM628" s="405" t="s">
        <v>52</v>
      </c>
      <c r="AN628" s="361" t="s">
        <v>1071</v>
      </c>
      <c r="AO628" s="405" t="s">
        <v>1073</v>
      </c>
      <c r="AP628" s="405"/>
      <c r="AQ628" s="413" t="s">
        <v>37</v>
      </c>
      <c r="AR628" s="405" t="s">
        <v>1188</v>
      </c>
      <c r="AS628" s="404" t="s">
        <v>1392</v>
      </c>
      <c r="AT628" s="330"/>
      <c r="AU628" s="409">
        <f>180/360</f>
        <v>0.5</v>
      </c>
    </row>
    <row r="629" spans="1:47" s="402" customFormat="1">
      <c r="A629" s="426"/>
      <c r="B629" s="376"/>
      <c r="C629" s="426"/>
      <c r="D629" s="443" t="s">
        <v>86</v>
      </c>
      <c r="E629" s="331"/>
      <c r="F629" s="432"/>
      <c r="G629" s="350">
        <v>2022</v>
      </c>
      <c r="H629" s="350" t="s">
        <v>2383</v>
      </c>
      <c r="I629" s="432" t="s">
        <v>1498</v>
      </c>
      <c r="J629" s="433"/>
      <c r="K629" s="432" t="s">
        <v>3083</v>
      </c>
      <c r="L629" s="432" t="s">
        <v>1737</v>
      </c>
      <c r="M629" s="433">
        <v>44582</v>
      </c>
      <c r="N629" s="433">
        <v>44774</v>
      </c>
      <c r="O629" s="433"/>
      <c r="P629" s="332"/>
      <c r="Q629" s="433"/>
      <c r="R629" s="433"/>
      <c r="S629" s="432" t="s">
        <v>88</v>
      </c>
      <c r="T629" s="432">
        <v>60</v>
      </c>
      <c r="U629" s="432"/>
      <c r="V629" s="441" t="s">
        <v>973</v>
      </c>
      <c r="W629" s="432">
        <v>400</v>
      </c>
      <c r="X629" s="333">
        <v>832</v>
      </c>
      <c r="Y629" s="367">
        <v>332800</v>
      </c>
      <c r="Z629" s="409">
        <f>220/400</f>
        <v>0.55000000000000004</v>
      </c>
      <c r="AA629" s="410">
        <f t="shared" si="58"/>
        <v>183040.00000000003</v>
      </c>
      <c r="AB629" s="411"/>
      <c r="AC629" s="412">
        <v>0</v>
      </c>
      <c r="AD629" s="405"/>
      <c r="AE629" s="405"/>
      <c r="AF629" s="424">
        <v>173056</v>
      </c>
      <c r="AG629" s="405" t="s">
        <v>1069</v>
      </c>
      <c r="AH629" s="405"/>
      <c r="AI629" s="405">
        <v>60</v>
      </c>
      <c r="AJ629" s="406" t="s">
        <v>1762</v>
      </c>
      <c r="AK629" s="406" t="s">
        <v>50</v>
      </c>
      <c r="AL629" s="414" t="s">
        <v>1739</v>
      </c>
      <c r="AM629" s="405" t="s">
        <v>52</v>
      </c>
      <c r="AN629" s="361" t="s">
        <v>1071</v>
      </c>
      <c r="AO629" s="405" t="s">
        <v>1073</v>
      </c>
      <c r="AP629" s="405"/>
      <c r="AQ629" s="413" t="s">
        <v>37</v>
      </c>
      <c r="AR629" s="405" t="s">
        <v>1188</v>
      </c>
      <c r="AS629" s="404" t="s">
        <v>1392</v>
      </c>
      <c r="AT629" s="330"/>
      <c r="AU629" s="409">
        <v>0.52</v>
      </c>
    </row>
    <row r="630" spans="1:47" s="402" customFormat="1">
      <c r="A630" s="426"/>
      <c r="B630" s="376"/>
      <c r="C630" s="426"/>
      <c r="D630" s="443" t="s">
        <v>86</v>
      </c>
      <c r="E630" s="331"/>
      <c r="F630" s="432"/>
      <c r="G630" s="350">
        <v>2022</v>
      </c>
      <c r="H630" s="350" t="s">
        <v>2383</v>
      </c>
      <c r="I630" s="432" t="s">
        <v>1498</v>
      </c>
      <c r="J630" s="433"/>
      <c r="K630" s="432" t="s">
        <v>3084</v>
      </c>
      <c r="L630" s="432" t="s">
        <v>1737</v>
      </c>
      <c r="M630" s="433">
        <v>44582</v>
      </c>
      <c r="N630" s="433">
        <v>44795</v>
      </c>
      <c r="O630" s="433"/>
      <c r="P630" s="332"/>
      <c r="Q630" s="433"/>
      <c r="R630" s="433"/>
      <c r="S630" s="432" t="s">
        <v>88</v>
      </c>
      <c r="T630" s="432">
        <v>60</v>
      </c>
      <c r="U630" s="432"/>
      <c r="V630" s="441" t="s">
        <v>973</v>
      </c>
      <c r="W630" s="432">
        <v>400</v>
      </c>
      <c r="X630" s="333">
        <v>832</v>
      </c>
      <c r="Y630" s="367">
        <f>W630*X630</f>
        <v>332800</v>
      </c>
      <c r="Z630" s="409">
        <f>220/400</f>
        <v>0.55000000000000004</v>
      </c>
      <c r="AA630" s="410">
        <f t="shared" si="58"/>
        <v>183040.00000000003</v>
      </c>
      <c r="AB630" s="411"/>
      <c r="AC630" s="412">
        <f>AB630*Y630</f>
        <v>0</v>
      </c>
      <c r="AD630" s="405"/>
      <c r="AE630" s="405"/>
      <c r="AF630" s="424">
        <f>AE630+AD630+AA630</f>
        <v>183040.00000000003</v>
      </c>
      <c r="AG630" s="405" t="s">
        <v>1069</v>
      </c>
      <c r="AH630" s="405"/>
      <c r="AI630" s="405">
        <v>60</v>
      </c>
      <c r="AJ630" s="406" t="s">
        <v>1762</v>
      </c>
      <c r="AK630" s="406" t="s">
        <v>50</v>
      </c>
      <c r="AL630" s="414" t="s">
        <v>1739</v>
      </c>
      <c r="AM630" s="405" t="s">
        <v>52</v>
      </c>
      <c r="AN630" s="361" t="s">
        <v>1071</v>
      </c>
      <c r="AO630" s="405" t="s">
        <v>1073</v>
      </c>
      <c r="AP630" s="405"/>
      <c r="AQ630" s="413" t="s">
        <v>37</v>
      </c>
      <c r="AR630" s="405" t="s">
        <v>1188</v>
      </c>
      <c r="AS630" s="404" t="s">
        <v>1392</v>
      </c>
      <c r="AT630" s="330"/>
      <c r="AU630" s="409">
        <f>208/400</f>
        <v>0.52</v>
      </c>
    </row>
    <row r="631" spans="1:47" s="402" customFormat="1">
      <c r="A631" s="426"/>
      <c r="B631" s="376"/>
      <c r="C631" s="426"/>
      <c r="D631" s="443" t="s">
        <v>86</v>
      </c>
      <c r="E631" s="331"/>
      <c r="F631" s="432"/>
      <c r="G631" s="350">
        <v>2022</v>
      </c>
      <c r="H631" s="350" t="s">
        <v>2383</v>
      </c>
      <c r="I631" s="432" t="s">
        <v>1498</v>
      </c>
      <c r="J631" s="433"/>
      <c r="K631" s="432" t="s">
        <v>3085</v>
      </c>
      <c r="L631" s="432" t="s">
        <v>1737</v>
      </c>
      <c r="M631" s="433">
        <v>44573</v>
      </c>
      <c r="N631" s="433">
        <v>44635</v>
      </c>
      <c r="O631" s="433"/>
      <c r="P631" s="332"/>
      <c r="Q631" s="433"/>
      <c r="R631" s="433"/>
      <c r="S631" s="432" t="s">
        <v>88</v>
      </c>
      <c r="T631" s="432">
        <v>60</v>
      </c>
      <c r="U631" s="432"/>
      <c r="V631" s="441" t="s">
        <v>986</v>
      </c>
      <c r="W631" s="432">
        <v>360</v>
      </c>
      <c r="X631" s="333">
        <v>448</v>
      </c>
      <c r="Y631" s="367">
        <f>W631*X631</f>
        <v>161280</v>
      </c>
      <c r="Z631" s="409">
        <f>190.8/360</f>
        <v>0.53</v>
      </c>
      <c r="AA631" s="410">
        <f t="shared" si="58"/>
        <v>85478.400000000009</v>
      </c>
      <c r="AB631" s="411"/>
      <c r="AC631" s="412">
        <f>AB631*Y631</f>
        <v>0</v>
      </c>
      <c r="AD631" s="405"/>
      <c r="AE631" s="405"/>
      <c r="AF631" s="424">
        <f>AE631+AD631+AA631</f>
        <v>85478.400000000009</v>
      </c>
      <c r="AG631" s="405" t="s">
        <v>1069</v>
      </c>
      <c r="AH631" s="405"/>
      <c r="AI631" s="405">
        <v>60</v>
      </c>
      <c r="AJ631" s="406" t="s">
        <v>1762</v>
      </c>
      <c r="AK631" s="406" t="s">
        <v>50</v>
      </c>
      <c r="AL631" s="414" t="s">
        <v>1739</v>
      </c>
      <c r="AM631" s="405" t="s">
        <v>52</v>
      </c>
      <c r="AN631" s="361" t="s">
        <v>1071</v>
      </c>
      <c r="AO631" s="405" t="s">
        <v>1073</v>
      </c>
      <c r="AP631" s="405"/>
      <c r="AQ631" s="413" t="s">
        <v>37</v>
      </c>
      <c r="AR631" s="405" t="s">
        <v>1188</v>
      </c>
      <c r="AS631" s="404" t="s">
        <v>1392</v>
      </c>
      <c r="AT631" s="330"/>
      <c r="AU631" s="409">
        <f>180/360</f>
        <v>0.5</v>
      </c>
    </row>
    <row r="632" spans="1:47" s="402" customFormat="1">
      <c r="A632" s="426"/>
      <c r="B632" s="376"/>
      <c r="C632" s="426"/>
      <c r="D632" s="443" t="s">
        <v>86</v>
      </c>
      <c r="E632" s="331"/>
      <c r="F632" s="432"/>
      <c r="G632" s="350">
        <v>2022</v>
      </c>
      <c r="H632" s="350" t="s">
        <v>2383</v>
      </c>
      <c r="I632" s="432" t="s">
        <v>1498</v>
      </c>
      <c r="J632" s="433"/>
      <c r="K632" s="432" t="s">
        <v>3086</v>
      </c>
      <c r="L632" s="432" t="s">
        <v>1737</v>
      </c>
      <c r="M632" s="433">
        <v>44573</v>
      </c>
      <c r="N632" s="433">
        <v>44666</v>
      </c>
      <c r="O632" s="433"/>
      <c r="P632" s="332"/>
      <c r="Q632" s="433"/>
      <c r="R632" s="433"/>
      <c r="S632" s="432" t="s">
        <v>88</v>
      </c>
      <c r="T632" s="432">
        <v>60</v>
      </c>
      <c r="U632" s="432"/>
      <c r="V632" s="441" t="s">
        <v>986</v>
      </c>
      <c r="W632" s="432">
        <v>360</v>
      </c>
      <c r="X632" s="333">
        <v>448</v>
      </c>
      <c r="Y632" s="367">
        <f>W632*X632</f>
        <v>161280</v>
      </c>
      <c r="Z632" s="409">
        <f>190.8/360</f>
        <v>0.53</v>
      </c>
      <c r="AA632" s="410">
        <f t="shared" si="58"/>
        <v>85478.400000000009</v>
      </c>
      <c r="AB632" s="411"/>
      <c r="AC632" s="412">
        <f>AB632*Y632</f>
        <v>0</v>
      </c>
      <c r="AD632" s="405"/>
      <c r="AE632" s="405"/>
      <c r="AF632" s="424">
        <f>AE632+AD632+AA632</f>
        <v>85478.400000000009</v>
      </c>
      <c r="AG632" s="405" t="s">
        <v>1069</v>
      </c>
      <c r="AH632" s="405"/>
      <c r="AI632" s="405">
        <v>60</v>
      </c>
      <c r="AJ632" s="406" t="s">
        <v>1762</v>
      </c>
      <c r="AK632" s="406" t="s">
        <v>50</v>
      </c>
      <c r="AL632" s="414" t="s">
        <v>1739</v>
      </c>
      <c r="AM632" s="405" t="s">
        <v>52</v>
      </c>
      <c r="AN632" s="361" t="s">
        <v>1071</v>
      </c>
      <c r="AO632" s="405" t="s">
        <v>1073</v>
      </c>
      <c r="AP632" s="405"/>
      <c r="AQ632" s="413" t="s">
        <v>37</v>
      </c>
      <c r="AR632" s="405" t="s">
        <v>1188</v>
      </c>
      <c r="AS632" s="404" t="s">
        <v>1392</v>
      </c>
      <c r="AT632" s="330"/>
      <c r="AU632" s="409">
        <f>180/360</f>
        <v>0.5</v>
      </c>
    </row>
    <row r="633" spans="1:47" s="402" customFormat="1">
      <c r="A633" s="426"/>
      <c r="B633" s="376">
        <v>44575</v>
      </c>
      <c r="C633" s="426"/>
      <c r="D633" s="443" t="s">
        <v>86</v>
      </c>
      <c r="E633" s="331"/>
      <c r="F633" s="432"/>
      <c r="G633" s="350">
        <v>2022</v>
      </c>
      <c r="H633" s="350" t="s">
        <v>2383</v>
      </c>
      <c r="I633" s="432" t="s">
        <v>1498</v>
      </c>
      <c r="J633" s="433"/>
      <c r="K633" s="432" t="s">
        <v>3087</v>
      </c>
      <c r="L633" s="432" t="s">
        <v>1737</v>
      </c>
      <c r="M633" s="433">
        <v>44573</v>
      </c>
      <c r="N633" s="433">
        <v>44683</v>
      </c>
      <c r="O633" s="433"/>
      <c r="P633" s="332"/>
      <c r="Q633" s="433"/>
      <c r="R633" s="433"/>
      <c r="S633" s="432" t="s">
        <v>88</v>
      </c>
      <c r="T633" s="432">
        <v>60</v>
      </c>
      <c r="U633" s="432"/>
      <c r="V633" s="441" t="s">
        <v>986</v>
      </c>
      <c r="W633" s="432">
        <v>360</v>
      </c>
      <c r="X633" s="333">
        <v>832</v>
      </c>
      <c r="Y633" s="367">
        <f>W633*X633</f>
        <v>299520</v>
      </c>
      <c r="Z633" s="409">
        <f>190.8/360</f>
        <v>0.53</v>
      </c>
      <c r="AA633" s="410">
        <f t="shared" si="58"/>
        <v>158745.60000000001</v>
      </c>
      <c r="AB633" s="411"/>
      <c r="AC633" s="412">
        <f>AB633*Y633</f>
        <v>0</v>
      </c>
      <c r="AD633" s="405"/>
      <c r="AE633" s="405"/>
      <c r="AF633" s="424">
        <f>AE633+AD633+AA633</f>
        <v>158745.60000000001</v>
      </c>
      <c r="AG633" s="405" t="s">
        <v>1069</v>
      </c>
      <c r="AH633" s="405"/>
      <c r="AI633" s="405">
        <v>60</v>
      </c>
      <c r="AJ633" s="406" t="s">
        <v>1762</v>
      </c>
      <c r="AK633" s="406" t="s">
        <v>50</v>
      </c>
      <c r="AL633" s="414" t="s">
        <v>1739</v>
      </c>
      <c r="AM633" s="405" t="s">
        <v>52</v>
      </c>
      <c r="AN633" s="361" t="s">
        <v>1071</v>
      </c>
      <c r="AO633" s="405" t="s">
        <v>1073</v>
      </c>
      <c r="AP633" s="405"/>
      <c r="AQ633" s="413" t="s">
        <v>37</v>
      </c>
      <c r="AR633" s="405" t="s">
        <v>1188</v>
      </c>
      <c r="AS633" s="404" t="s">
        <v>1392</v>
      </c>
      <c r="AT633" s="330"/>
      <c r="AU633" s="409">
        <f>180/360</f>
        <v>0.5</v>
      </c>
    </row>
    <row r="634" spans="1:47" s="402" customFormat="1">
      <c r="A634" s="426"/>
      <c r="B634" s="376"/>
      <c r="C634" s="426"/>
      <c r="D634" s="443" t="s">
        <v>86</v>
      </c>
      <c r="E634" s="331"/>
      <c r="F634" s="432"/>
      <c r="G634" s="350">
        <v>2022</v>
      </c>
      <c r="H634" s="350" t="s">
        <v>2383</v>
      </c>
      <c r="I634" s="432" t="s">
        <v>1498</v>
      </c>
      <c r="J634" s="433"/>
      <c r="K634" s="432" t="s">
        <v>3088</v>
      </c>
      <c r="L634" s="432" t="s">
        <v>1737</v>
      </c>
      <c r="M634" s="433">
        <v>44573</v>
      </c>
      <c r="N634" s="433">
        <v>44713</v>
      </c>
      <c r="O634" s="433"/>
      <c r="P634" s="332"/>
      <c r="Q634" s="433"/>
      <c r="R634" s="433"/>
      <c r="S634" s="432" t="s">
        <v>88</v>
      </c>
      <c r="T634" s="432">
        <v>60</v>
      </c>
      <c r="U634" s="432"/>
      <c r="V634" s="441" t="s">
        <v>986</v>
      </c>
      <c r="W634" s="432">
        <v>360</v>
      </c>
      <c r="X634" s="333">
        <v>448</v>
      </c>
      <c r="Y634" s="367">
        <f>W634*X634</f>
        <v>161280</v>
      </c>
      <c r="Z634" s="409">
        <f>190.8/360</f>
        <v>0.53</v>
      </c>
      <c r="AA634" s="410">
        <f t="shared" si="58"/>
        <v>85478.400000000009</v>
      </c>
      <c r="AB634" s="411"/>
      <c r="AC634" s="412">
        <f>AB634*Y634</f>
        <v>0</v>
      </c>
      <c r="AD634" s="405"/>
      <c r="AE634" s="405"/>
      <c r="AF634" s="424">
        <f>AE634+AD634+AA634</f>
        <v>85478.400000000009</v>
      </c>
      <c r="AG634" s="405" t="s">
        <v>1069</v>
      </c>
      <c r="AH634" s="405"/>
      <c r="AI634" s="405">
        <v>60</v>
      </c>
      <c r="AJ634" s="406" t="s">
        <v>1762</v>
      </c>
      <c r="AK634" s="406" t="s">
        <v>50</v>
      </c>
      <c r="AL634" s="414" t="s">
        <v>1739</v>
      </c>
      <c r="AM634" s="405" t="s">
        <v>52</v>
      </c>
      <c r="AN634" s="361" t="s">
        <v>1071</v>
      </c>
      <c r="AO634" s="405" t="s">
        <v>1073</v>
      </c>
      <c r="AP634" s="405"/>
      <c r="AQ634" s="413" t="s">
        <v>37</v>
      </c>
      <c r="AR634" s="405" t="s">
        <v>1188</v>
      </c>
      <c r="AS634" s="404" t="s">
        <v>1392</v>
      </c>
      <c r="AT634" s="330"/>
      <c r="AU634" s="409">
        <f>284.4/360</f>
        <v>0.78999999999999992</v>
      </c>
    </row>
    <row r="635" spans="1:47" s="402" customFormat="1">
      <c r="A635" s="426"/>
      <c r="B635" s="376"/>
      <c r="C635" s="426"/>
      <c r="D635" s="443" t="s">
        <v>86</v>
      </c>
      <c r="E635" s="331"/>
      <c r="F635" s="432"/>
      <c r="G635" s="350">
        <v>2022</v>
      </c>
      <c r="H635" s="350" t="s">
        <v>2383</v>
      </c>
      <c r="I635" s="432" t="s">
        <v>1498</v>
      </c>
      <c r="J635" s="433"/>
      <c r="K635" s="432" t="s">
        <v>3089</v>
      </c>
      <c r="L635" s="432" t="s">
        <v>1737</v>
      </c>
      <c r="M635" s="433">
        <v>44573</v>
      </c>
      <c r="N635" s="433">
        <v>44743</v>
      </c>
      <c r="O635" s="433"/>
      <c r="P635" s="332"/>
      <c r="Q635" s="433"/>
      <c r="R635" s="433"/>
      <c r="S635" s="432" t="s">
        <v>88</v>
      </c>
      <c r="T635" s="432">
        <v>60</v>
      </c>
      <c r="U635" s="432"/>
      <c r="V635" s="441" t="s">
        <v>986</v>
      </c>
      <c r="W635" s="432">
        <v>360</v>
      </c>
      <c r="X635" s="333">
        <v>832</v>
      </c>
      <c r="Y635" s="367">
        <v>161280</v>
      </c>
      <c r="Z635" s="409">
        <f>190.8/360</f>
        <v>0.53</v>
      </c>
      <c r="AA635" s="410">
        <f t="shared" si="58"/>
        <v>85478.400000000009</v>
      </c>
      <c r="AB635" s="411"/>
      <c r="AC635" s="412">
        <v>0</v>
      </c>
      <c r="AD635" s="405"/>
      <c r="AE635" s="405"/>
      <c r="AF635" s="424">
        <v>127411.19999999998</v>
      </c>
      <c r="AG635" s="405" t="s">
        <v>1069</v>
      </c>
      <c r="AH635" s="405"/>
      <c r="AI635" s="405">
        <v>60</v>
      </c>
      <c r="AJ635" s="406" t="s">
        <v>1762</v>
      </c>
      <c r="AK635" s="406" t="s">
        <v>50</v>
      </c>
      <c r="AL635" s="414" t="s">
        <v>1739</v>
      </c>
      <c r="AM635" s="405" t="s">
        <v>52</v>
      </c>
      <c r="AN635" s="361" t="s">
        <v>1071</v>
      </c>
      <c r="AO635" s="405" t="s">
        <v>1073</v>
      </c>
      <c r="AP635" s="405"/>
      <c r="AQ635" s="413" t="s">
        <v>37</v>
      </c>
      <c r="AR635" s="405" t="s">
        <v>1188</v>
      </c>
      <c r="AS635" s="404" t="s">
        <v>1392</v>
      </c>
      <c r="AT635" s="330"/>
      <c r="AU635" s="409">
        <f>180/360</f>
        <v>0.5</v>
      </c>
    </row>
    <row r="636" spans="1:47" s="402" customFormat="1">
      <c r="A636" s="426"/>
      <c r="B636" s="376"/>
      <c r="C636" s="426"/>
      <c r="D636" s="443" t="s">
        <v>86</v>
      </c>
      <c r="E636" s="331"/>
      <c r="F636" s="432"/>
      <c r="G636" s="350">
        <v>2022</v>
      </c>
      <c r="H636" s="350" t="s">
        <v>2383</v>
      </c>
      <c r="I636" s="432" t="s">
        <v>1498</v>
      </c>
      <c r="J636" s="433"/>
      <c r="K636" s="432" t="s">
        <v>3090</v>
      </c>
      <c r="L636" s="432" t="s">
        <v>1737</v>
      </c>
      <c r="M636" s="433">
        <v>44582</v>
      </c>
      <c r="N636" s="433">
        <v>44809</v>
      </c>
      <c r="O636" s="433"/>
      <c r="P636" s="332"/>
      <c r="Q636" s="433"/>
      <c r="R636" s="433"/>
      <c r="S636" s="432" t="s">
        <v>88</v>
      </c>
      <c r="T636" s="432">
        <v>60</v>
      </c>
      <c r="U636" s="432"/>
      <c r="V636" s="441" t="s">
        <v>973</v>
      </c>
      <c r="W636" s="432">
        <v>400</v>
      </c>
      <c r="X636" s="333">
        <v>832</v>
      </c>
      <c r="Y636" s="367">
        <f t="shared" ref="Y636:Y699" si="66">W636*X636</f>
        <v>332800</v>
      </c>
      <c r="Z636" s="409">
        <f>220/400</f>
        <v>0.55000000000000004</v>
      </c>
      <c r="AA636" s="410">
        <f t="shared" si="58"/>
        <v>183040.00000000003</v>
      </c>
      <c r="AB636" s="411"/>
      <c r="AC636" s="412">
        <f t="shared" ref="AC636:AC699" si="67">AB636*Y636</f>
        <v>0</v>
      </c>
      <c r="AD636" s="405"/>
      <c r="AE636" s="405"/>
      <c r="AF636" s="424">
        <f t="shared" ref="AF636:AF699" si="68">AE636+AD636+AA636</f>
        <v>183040.00000000003</v>
      </c>
      <c r="AG636" s="405" t="s">
        <v>1069</v>
      </c>
      <c r="AH636" s="405"/>
      <c r="AI636" s="405">
        <v>60</v>
      </c>
      <c r="AJ636" s="406" t="s">
        <v>1762</v>
      </c>
      <c r="AK636" s="406" t="s">
        <v>50</v>
      </c>
      <c r="AL636" s="414" t="s">
        <v>1739</v>
      </c>
      <c r="AM636" s="405" t="s">
        <v>52</v>
      </c>
      <c r="AN636" s="361" t="s">
        <v>1071</v>
      </c>
      <c r="AO636" s="405" t="s">
        <v>1073</v>
      </c>
      <c r="AP636" s="405"/>
      <c r="AQ636" s="413" t="s">
        <v>37</v>
      </c>
      <c r="AR636" s="405" t="s">
        <v>1188</v>
      </c>
      <c r="AS636" s="404" t="s">
        <v>1392</v>
      </c>
      <c r="AT636" s="330"/>
      <c r="AU636" s="409">
        <f>208/400</f>
        <v>0.52</v>
      </c>
    </row>
    <row r="637" spans="1:47" s="402" customFormat="1">
      <c r="A637" s="426"/>
      <c r="B637" s="376"/>
      <c r="C637" s="426"/>
      <c r="D637" s="443" t="s">
        <v>86</v>
      </c>
      <c r="E637" s="331"/>
      <c r="F637" s="432"/>
      <c r="G637" s="350">
        <v>2022</v>
      </c>
      <c r="H637" s="350" t="s">
        <v>2383</v>
      </c>
      <c r="I637" s="432" t="s">
        <v>1498</v>
      </c>
      <c r="J637" s="433"/>
      <c r="K637" s="432" t="s">
        <v>3091</v>
      </c>
      <c r="L637" s="432" t="s">
        <v>1737</v>
      </c>
      <c r="M637" s="433">
        <v>44582</v>
      </c>
      <c r="N637" s="433">
        <v>44823</v>
      </c>
      <c r="O637" s="433"/>
      <c r="P637" s="332"/>
      <c r="Q637" s="433"/>
      <c r="R637" s="433"/>
      <c r="S637" s="432" t="s">
        <v>88</v>
      </c>
      <c r="T637" s="432">
        <v>60</v>
      </c>
      <c r="U637" s="432"/>
      <c r="V637" s="441" t="s">
        <v>973</v>
      </c>
      <c r="W637" s="432">
        <v>400</v>
      </c>
      <c r="X637" s="333">
        <v>832</v>
      </c>
      <c r="Y637" s="367">
        <f t="shared" si="66"/>
        <v>332800</v>
      </c>
      <c r="Z637" s="409">
        <v>0.55000000000000004</v>
      </c>
      <c r="AA637" s="410">
        <f t="shared" si="58"/>
        <v>183040.00000000003</v>
      </c>
      <c r="AB637" s="411"/>
      <c r="AC637" s="412">
        <f t="shared" si="67"/>
        <v>0</v>
      </c>
      <c r="AD637" s="405"/>
      <c r="AE637" s="405"/>
      <c r="AF637" s="424">
        <f t="shared" si="68"/>
        <v>183040.00000000003</v>
      </c>
      <c r="AG637" s="405" t="s">
        <v>1069</v>
      </c>
      <c r="AH637" s="405"/>
      <c r="AI637" s="405">
        <v>60</v>
      </c>
      <c r="AJ637" s="406" t="s">
        <v>1762</v>
      </c>
      <c r="AK637" s="406" t="s">
        <v>50</v>
      </c>
      <c r="AL637" s="414" t="s">
        <v>1739</v>
      </c>
      <c r="AM637" s="405" t="s">
        <v>52</v>
      </c>
      <c r="AN637" s="361" t="s">
        <v>1071</v>
      </c>
      <c r="AO637" s="405" t="s">
        <v>1073</v>
      </c>
      <c r="AP637" s="405"/>
      <c r="AQ637" s="413" t="s">
        <v>37</v>
      </c>
      <c r="AR637" s="405" t="s">
        <v>1188</v>
      </c>
      <c r="AS637" s="404" t="s">
        <v>1392</v>
      </c>
      <c r="AT637" s="330"/>
      <c r="AU637" s="409">
        <f>208/400</f>
        <v>0.52</v>
      </c>
    </row>
    <row r="638" spans="1:47" s="402" customFormat="1">
      <c r="A638" s="426"/>
      <c r="B638" s="376"/>
      <c r="C638" s="426"/>
      <c r="D638" s="443" t="s">
        <v>86</v>
      </c>
      <c r="E638" s="331"/>
      <c r="F638" s="432"/>
      <c r="G638" s="350">
        <v>2022</v>
      </c>
      <c r="H638" s="350" t="s">
        <v>2383</v>
      </c>
      <c r="I638" s="432" t="s">
        <v>1498</v>
      </c>
      <c r="J638" s="433"/>
      <c r="K638" s="432" t="s">
        <v>3090</v>
      </c>
      <c r="L638" s="432" t="s">
        <v>1737</v>
      </c>
      <c r="M638" s="433">
        <v>44582</v>
      </c>
      <c r="N638" s="433">
        <v>44809</v>
      </c>
      <c r="O638" s="433"/>
      <c r="P638" s="332"/>
      <c r="Q638" s="433"/>
      <c r="R638" s="433"/>
      <c r="S638" s="432" t="s">
        <v>88</v>
      </c>
      <c r="T638" s="432">
        <v>60</v>
      </c>
      <c r="U638" s="432"/>
      <c r="V638" s="441" t="s">
        <v>986</v>
      </c>
      <c r="W638" s="432">
        <v>360</v>
      </c>
      <c r="X638" s="333">
        <v>832</v>
      </c>
      <c r="Y638" s="367">
        <f t="shared" si="66"/>
        <v>299520</v>
      </c>
      <c r="Z638" s="409">
        <f>190.8/360</f>
        <v>0.53</v>
      </c>
      <c r="AA638" s="410">
        <f t="shared" si="58"/>
        <v>158745.60000000001</v>
      </c>
      <c r="AB638" s="411"/>
      <c r="AC638" s="412">
        <f t="shared" si="67"/>
        <v>0</v>
      </c>
      <c r="AD638" s="405"/>
      <c r="AE638" s="405"/>
      <c r="AF638" s="424">
        <f t="shared" si="68"/>
        <v>158745.60000000001</v>
      </c>
      <c r="AG638" s="405" t="s">
        <v>1069</v>
      </c>
      <c r="AH638" s="405"/>
      <c r="AI638" s="405">
        <v>60</v>
      </c>
      <c r="AJ638" s="406" t="s">
        <v>1762</v>
      </c>
      <c r="AK638" s="406" t="s">
        <v>50</v>
      </c>
      <c r="AL638" s="414" t="s">
        <v>1739</v>
      </c>
      <c r="AM638" s="405" t="s">
        <v>52</v>
      </c>
      <c r="AN638" s="361" t="s">
        <v>1071</v>
      </c>
      <c r="AO638" s="405" t="s">
        <v>1073</v>
      </c>
      <c r="AP638" s="405"/>
      <c r="AQ638" s="413" t="s">
        <v>37</v>
      </c>
      <c r="AR638" s="405" t="s">
        <v>1188</v>
      </c>
      <c r="AS638" s="404" t="s">
        <v>1392</v>
      </c>
      <c r="AT638" s="330"/>
      <c r="AU638" s="409">
        <f>208/400</f>
        <v>0.52</v>
      </c>
    </row>
    <row r="639" spans="1:47" s="402" customFormat="1">
      <c r="A639" s="426"/>
      <c r="B639" s="376"/>
      <c r="C639" s="426"/>
      <c r="D639" s="443" t="s">
        <v>86</v>
      </c>
      <c r="E639" s="331"/>
      <c r="F639" s="432"/>
      <c r="G639" s="350">
        <v>2022</v>
      </c>
      <c r="H639" s="350" t="s">
        <v>2383</v>
      </c>
      <c r="I639" s="432" t="s">
        <v>1498</v>
      </c>
      <c r="J639" s="433"/>
      <c r="K639" s="432" t="s">
        <v>3092</v>
      </c>
      <c r="L639" s="432" t="s">
        <v>1737</v>
      </c>
      <c r="M639" s="433">
        <v>44586</v>
      </c>
      <c r="N639" s="433">
        <v>44704</v>
      </c>
      <c r="O639" s="433"/>
      <c r="P639" s="332"/>
      <c r="Q639" s="433"/>
      <c r="R639" s="433"/>
      <c r="S639" s="432" t="s">
        <v>88</v>
      </c>
      <c r="T639" s="432">
        <v>60</v>
      </c>
      <c r="U639" s="432"/>
      <c r="V639" s="441" t="s">
        <v>973</v>
      </c>
      <c r="W639" s="432">
        <v>400</v>
      </c>
      <c r="X639" s="333">
        <v>832</v>
      </c>
      <c r="Y639" s="367">
        <f t="shared" si="66"/>
        <v>332800</v>
      </c>
      <c r="Z639" s="409">
        <f>220/400</f>
        <v>0.55000000000000004</v>
      </c>
      <c r="AA639" s="410">
        <f t="shared" si="58"/>
        <v>183040.00000000003</v>
      </c>
      <c r="AB639" s="411"/>
      <c r="AC639" s="412">
        <f t="shared" si="67"/>
        <v>0</v>
      </c>
      <c r="AD639" s="405"/>
      <c r="AE639" s="405"/>
      <c r="AF639" s="424">
        <f t="shared" si="68"/>
        <v>183040.00000000003</v>
      </c>
      <c r="AG639" s="405" t="s">
        <v>1069</v>
      </c>
      <c r="AH639" s="405"/>
      <c r="AI639" s="405">
        <v>60</v>
      </c>
      <c r="AJ639" s="406" t="s">
        <v>1762</v>
      </c>
      <c r="AK639" s="406" t="s">
        <v>50</v>
      </c>
      <c r="AL639" s="414" t="s">
        <v>1739</v>
      </c>
      <c r="AM639" s="405" t="s">
        <v>52</v>
      </c>
      <c r="AN639" s="361" t="s">
        <v>1071</v>
      </c>
      <c r="AO639" s="405" t="s">
        <v>1073</v>
      </c>
      <c r="AP639" s="405"/>
      <c r="AQ639" s="413" t="s">
        <v>37</v>
      </c>
      <c r="AR639" s="405" t="s">
        <v>1188</v>
      </c>
      <c r="AS639" s="404" t="s">
        <v>1392</v>
      </c>
      <c r="AT639" s="330"/>
      <c r="AU639" s="409">
        <f>208/400</f>
        <v>0.52</v>
      </c>
    </row>
    <row r="640" spans="1:47" s="402" customFormat="1">
      <c r="A640" s="426"/>
      <c r="B640" s="376"/>
      <c r="C640" s="426"/>
      <c r="D640" s="443" t="s">
        <v>86</v>
      </c>
      <c r="E640" s="331" t="s">
        <v>3093</v>
      </c>
      <c r="F640" s="432"/>
      <c r="G640" s="350">
        <v>2022</v>
      </c>
      <c r="H640" s="350" t="s">
        <v>2978</v>
      </c>
      <c r="I640" s="432" t="s">
        <v>1498</v>
      </c>
      <c r="J640" s="433"/>
      <c r="K640" s="432" t="s">
        <v>3094</v>
      </c>
      <c r="L640" s="432" t="s">
        <v>1525</v>
      </c>
      <c r="M640" s="433">
        <v>44621</v>
      </c>
      <c r="N640" s="433">
        <v>44774</v>
      </c>
      <c r="O640" s="433"/>
      <c r="P640" s="332"/>
      <c r="Q640" s="433"/>
      <c r="R640" s="433"/>
      <c r="S640" s="432" t="s">
        <v>88</v>
      </c>
      <c r="T640" s="432">
        <v>60</v>
      </c>
      <c r="U640" s="432" t="s">
        <v>1102</v>
      </c>
      <c r="V640" s="441" t="s">
        <v>973</v>
      </c>
      <c r="W640" s="432">
        <v>400</v>
      </c>
      <c r="X640" s="333">
        <v>768</v>
      </c>
      <c r="Y640" s="367">
        <f t="shared" si="66"/>
        <v>307200</v>
      </c>
      <c r="Z640" s="409">
        <f>220/400</f>
        <v>0.55000000000000004</v>
      </c>
      <c r="AA640" s="410">
        <f t="shared" si="58"/>
        <v>168960</v>
      </c>
      <c r="AB640" s="411"/>
      <c r="AC640" s="412">
        <f t="shared" si="67"/>
        <v>0</v>
      </c>
      <c r="AD640" s="405"/>
      <c r="AE640" s="405"/>
      <c r="AF640" s="424">
        <f t="shared" si="68"/>
        <v>168960</v>
      </c>
      <c r="AG640" s="405" t="s">
        <v>1069</v>
      </c>
      <c r="AH640" s="405">
        <v>100</v>
      </c>
      <c r="AI640" s="405">
        <v>0</v>
      </c>
      <c r="AJ640" s="406" t="s">
        <v>1526</v>
      </c>
      <c r="AK640" s="406" t="s">
        <v>50</v>
      </c>
      <c r="AL640" s="414">
        <v>93003</v>
      </c>
      <c r="AM640" s="405" t="s">
        <v>52</v>
      </c>
      <c r="AN640" s="361"/>
      <c r="AO640" s="405" t="s">
        <v>1073</v>
      </c>
      <c r="AP640" s="405"/>
      <c r="AQ640" s="413" t="s">
        <v>37</v>
      </c>
      <c r="AR640" s="405" t="s">
        <v>1188</v>
      </c>
      <c r="AS640" s="404"/>
      <c r="AT640" s="330"/>
      <c r="AU640" s="409">
        <f t="shared" ref="AU640:AU649" si="69">212/400</f>
        <v>0.53</v>
      </c>
    </row>
    <row r="641" spans="1:47" s="402" customFormat="1">
      <c r="A641" s="426"/>
      <c r="B641" s="376"/>
      <c r="C641" s="426"/>
      <c r="D641" s="443" t="s">
        <v>86</v>
      </c>
      <c r="E641" s="331"/>
      <c r="F641" s="432"/>
      <c r="G641" s="350">
        <v>2022</v>
      </c>
      <c r="H641" s="350" t="s">
        <v>2978</v>
      </c>
      <c r="I641" s="432" t="s">
        <v>1498</v>
      </c>
      <c r="J641" s="433"/>
      <c r="K641" s="432" t="s">
        <v>3094</v>
      </c>
      <c r="L641" s="432" t="s">
        <v>1525</v>
      </c>
      <c r="M641" s="433">
        <v>44621</v>
      </c>
      <c r="N641" s="433">
        <v>44774</v>
      </c>
      <c r="O641" s="433"/>
      <c r="P641" s="332"/>
      <c r="Q641" s="433"/>
      <c r="R641" s="433"/>
      <c r="S641" s="432" t="s">
        <v>88</v>
      </c>
      <c r="T641" s="432">
        <v>60</v>
      </c>
      <c r="U641" s="432" t="s">
        <v>1102</v>
      </c>
      <c r="V641" s="441" t="s">
        <v>986</v>
      </c>
      <c r="W641" s="432">
        <v>360</v>
      </c>
      <c r="X641" s="333">
        <v>768</v>
      </c>
      <c r="Y641" s="367">
        <f t="shared" si="66"/>
        <v>276480</v>
      </c>
      <c r="Z641" s="409">
        <f>190.8/360</f>
        <v>0.53</v>
      </c>
      <c r="AA641" s="410">
        <f t="shared" si="58"/>
        <v>146534.39999999999</v>
      </c>
      <c r="AB641" s="411"/>
      <c r="AC641" s="412">
        <f t="shared" si="67"/>
        <v>0</v>
      </c>
      <c r="AD641" s="405"/>
      <c r="AE641" s="405"/>
      <c r="AF641" s="424">
        <f t="shared" si="68"/>
        <v>146534.39999999999</v>
      </c>
      <c r="AG641" s="405" t="s">
        <v>1069</v>
      </c>
      <c r="AH641" s="405">
        <v>100</v>
      </c>
      <c r="AI641" s="405">
        <v>0</v>
      </c>
      <c r="AJ641" s="406" t="s">
        <v>1526</v>
      </c>
      <c r="AK641" s="406" t="s">
        <v>50</v>
      </c>
      <c r="AL641" s="414">
        <v>93003</v>
      </c>
      <c r="AM641" s="405" t="s">
        <v>52</v>
      </c>
      <c r="AN641" s="361"/>
      <c r="AO641" s="405" t="s">
        <v>1073</v>
      </c>
      <c r="AP641" s="405"/>
      <c r="AQ641" s="413" t="s">
        <v>37</v>
      </c>
      <c r="AR641" s="405" t="s">
        <v>1188</v>
      </c>
      <c r="AS641" s="404"/>
      <c r="AT641" s="330"/>
      <c r="AU641" s="409">
        <f t="shared" si="69"/>
        <v>0.53</v>
      </c>
    </row>
    <row r="642" spans="1:47" s="402" customFormat="1">
      <c r="A642" s="426"/>
      <c r="B642" s="376"/>
      <c r="C642" s="426"/>
      <c r="D642" s="443" t="s">
        <v>86</v>
      </c>
      <c r="E642" s="331" t="s">
        <v>3093</v>
      </c>
      <c r="F642" s="432"/>
      <c r="G642" s="350">
        <v>2022</v>
      </c>
      <c r="H642" s="350" t="s">
        <v>2978</v>
      </c>
      <c r="I642" s="432" t="s">
        <v>1498</v>
      </c>
      <c r="J642" s="433"/>
      <c r="K642" s="432" t="s">
        <v>3095</v>
      </c>
      <c r="L642" s="432" t="s">
        <v>1525</v>
      </c>
      <c r="M642" s="433">
        <v>44621</v>
      </c>
      <c r="N642" s="433">
        <v>44809</v>
      </c>
      <c r="O642" s="433"/>
      <c r="P642" s="332"/>
      <c r="Q642" s="433"/>
      <c r="R642" s="433"/>
      <c r="S642" s="432" t="s">
        <v>88</v>
      </c>
      <c r="T642" s="432">
        <v>60</v>
      </c>
      <c r="U642" s="432" t="s">
        <v>1102</v>
      </c>
      <c r="V642" s="441" t="s">
        <v>973</v>
      </c>
      <c r="W642" s="432">
        <v>400</v>
      </c>
      <c r="X642" s="333">
        <v>768</v>
      </c>
      <c r="Y642" s="367">
        <f t="shared" si="66"/>
        <v>307200</v>
      </c>
      <c r="Z642" s="409">
        <f>220/400</f>
        <v>0.55000000000000004</v>
      </c>
      <c r="AA642" s="410">
        <f t="shared" si="58"/>
        <v>168960</v>
      </c>
      <c r="AB642" s="411"/>
      <c r="AC642" s="412">
        <f t="shared" si="67"/>
        <v>0</v>
      </c>
      <c r="AD642" s="405"/>
      <c r="AE642" s="405"/>
      <c r="AF642" s="424">
        <f t="shared" si="68"/>
        <v>168960</v>
      </c>
      <c r="AG642" s="405" t="s">
        <v>1069</v>
      </c>
      <c r="AH642" s="405">
        <v>100</v>
      </c>
      <c r="AI642" s="405">
        <v>0</v>
      </c>
      <c r="AJ642" s="406" t="s">
        <v>1526</v>
      </c>
      <c r="AK642" s="406" t="s">
        <v>50</v>
      </c>
      <c r="AL642" s="414">
        <v>93003</v>
      </c>
      <c r="AM642" s="405" t="s">
        <v>52</v>
      </c>
      <c r="AN642" s="361"/>
      <c r="AO642" s="405" t="s">
        <v>1073</v>
      </c>
      <c r="AP642" s="405"/>
      <c r="AQ642" s="413" t="s">
        <v>37</v>
      </c>
      <c r="AR642" s="405" t="s">
        <v>1188</v>
      </c>
      <c r="AS642" s="404"/>
      <c r="AT642" s="330"/>
      <c r="AU642" s="409">
        <f t="shared" si="69"/>
        <v>0.53</v>
      </c>
    </row>
    <row r="643" spans="1:47" s="402" customFormat="1">
      <c r="A643" s="426"/>
      <c r="B643" s="376"/>
      <c r="C643" s="426"/>
      <c r="D643" s="443" t="s">
        <v>86</v>
      </c>
      <c r="E643" s="331"/>
      <c r="F643" s="432"/>
      <c r="G643" s="350">
        <v>2022</v>
      </c>
      <c r="H643" s="350" t="s">
        <v>2978</v>
      </c>
      <c r="I643" s="432" t="s">
        <v>1498</v>
      </c>
      <c r="J643" s="433"/>
      <c r="K643" s="432" t="s">
        <v>3095</v>
      </c>
      <c r="L643" s="432" t="s">
        <v>1525</v>
      </c>
      <c r="M643" s="433">
        <v>44621</v>
      </c>
      <c r="N643" s="433">
        <v>44809</v>
      </c>
      <c r="O643" s="433"/>
      <c r="P643" s="332"/>
      <c r="Q643" s="433"/>
      <c r="R643" s="433"/>
      <c r="S643" s="432" t="s">
        <v>88</v>
      </c>
      <c r="T643" s="432">
        <v>60</v>
      </c>
      <c r="U643" s="432" t="s">
        <v>1102</v>
      </c>
      <c r="V643" s="441" t="s">
        <v>986</v>
      </c>
      <c r="W643" s="432">
        <v>360</v>
      </c>
      <c r="X643" s="333">
        <v>768</v>
      </c>
      <c r="Y643" s="367">
        <f t="shared" si="66"/>
        <v>276480</v>
      </c>
      <c r="Z643" s="409">
        <f>190.8/360</f>
        <v>0.53</v>
      </c>
      <c r="AA643" s="410">
        <f t="shared" ref="AA643:AA706" si="70">Z643*Y643</f>
        <v>146534.39999999999</v>
      </c>
      <c r="AB643" s="411"/>
      <c r="AC643" s="412">
        <f t="shared" si="67"/>
        <v>0</v>
      </c>
      <c r="AD643" s="405"/>
      <c r="AE643" s="405"/>
      <c r="AF643" s="424">
        <f t="shared" si="68"/>
        <v>146534.39999999999</v>
      </c>
      <c r="AG643" s="405" t="s">
        <v>1069</v>
      </c>
      <c r="AH643" s="405">
        <v>100</v>
      </c>
      <c r="AI643" s="405">
        <v>0</v>
      </c>
      <c r="AJ643" s="406" t="s">
        <v>1526</v>
      </c>
      <c r="AK643" s="406" t="s">
        <v>50</v>
      </c>
      <c r="AL643" s="414">
        <v>93003</v>
      </c>
      <c r="AM643" s="405" t="s">
        <v>52</v>
      </c>
      <c r="AN643" s="361"/>
      <c r="AO643" s="405" t="s">
        <v>1073</v>
      </c>
      <c r="AP643" s="405"/>
      <c r="AQ643" s="413" t="s">
        <v>37</v>
      </c>
      <c r="AR643" s="405" t="s">
        <v>1188</v>
      </c>
      <c r="AS643" s="404"/>
      <c r="AT643" s="330"/>
      <c r="AU643" s="409">
        <f t="shared" si="69"/>
        <v>0.53</v>
      </c>
    </row>
    <row r="644" spans="1:47" s="402" customFormat="1">
      <c r="A644" s="426"/>
      <c r="B644" s="376"/>
      <c r="C644" s="426"/>
      <c r="D644" s="443" t="s">
        <v>86</v>
      </c>
      <c r="E644" s="331" t="s">
        <v>3093</v>
      </c>
      <c r="F644" s="432"/>
      <c r="G644" s="350">
        <v>2022</v>
      </c>
      <c r="H644" s="350" t="s">
        <v>2978</v>
      </c>
      <c r="I644" s="432" t="s">
        <v>1498</v>
      </c>
      <c r="J644" s="433"/>
      <c r="K644" s="432" t="s">
        <v>3096</v>
      </c>
      <c r="L644" s="432" t="s">
        <v>1525</v>
      </c>
      <c r="M644" s="433">
        <v>44621</v>
      </c>
      <c r="N644" s="433">
        <v>44837</v>
      </c>
      <c r="O644" s="433"/>
      <c r="P644" s="332"/>
      <c r="Q644" s="433"/>
      <c r="R644" s="433"/>
      <c r="S644" s="432" t="s">
        <v>88</v>
      </c>
      <c r="T644" s="432">
        <v>60</v>
      </c>
      <c r="U644" s="432" t="s">
        <v>1102</v>
      </c>
      <c r="V644" s="441" t="s">
        <v>973</v>
      </c>
      <c r="W644" s="432">
        <v>400</v>
      </c>
      <c r="X644" s="333">
        <v>768</v>
      </c>
      <c r="Y644" s="367">
        <f t="shared" si="66"/>
        <v>307200</v>
      </c>
      <c r="Z644" s="409">
        <f>220/400</f>
        <v>0.55000000000000004</v>
      </c>
      <c r="AA644" s="410">
        <f t="shared" si="70"/>
        <v>168960</v>
      </c>
      <c r="AB644" s="411"/>
      <c r="AC644" s="412">
        <f t="shared" si="67"/>
        <v>0</v>
      </c>
      <c r="AD644" s="405"/>
      <c r="AE644" s="405"/>
      <c r="AF644" s="424">
        <f t="shared" si="68"/>
        <v>168960</v>
      </c>
      <c r="AG644" s="405" t="s">
        <v>1069</v>
      </c>
      <c r="AH644" s="405">
        <v>100</v>
      </c>
      <c r="AI644" s="405">
        <v>0</v>
      </c>
      <c r="AJ644" s="406" t="s">
        <v>1526</v>
      </c>
      <c r="AK644" s="406" t="s">
        <v>50</v>
      </c>
      <c r="AL644" s="414">
        <v>93003</v>
      </c>
      <c r="AM644" s="405" t="s">
        <v>52</v>
      </c>
      <c r="AN644" s="361"/>
      <c r="AO644" s="405" t="s">
        <v>1073</v>
      </c>
      <c r="AP644" s="405"/>
      <c r="AQ644" s="413" t="s">
        <v>37</v>
      </c>
      <c r="AR644" s="405" t="s">
        <v>1188</v>
      </c>
      <c r="AS644" s="404"/>
      <c r="AT644" s="330"/>
      <c r="AU644" s="409">
        <f t="shared" si="69"/>
        <v>0.53</v>
      </c>
    </row>
    <row r="645" spans="1:47" s="402" customFormat="1">
      <c r="A645" s="426"/>
      <c r="B645" s="376"/>
      <c r="C645" s="426"/>
      <c r="D645" s="443" t="s">
        <v>86</v>
      </c>
      <c r="E645" s="331"/>
      <c r="F645" s="432"/>
      <c r="G645" s="350">
        <v>2022</v>
      </c>
      <c r="H645" s="350" t="s">
        <v>2978</v>
      </c>
      <c r="I645" s="432" t="s">
        <v>1498</v>
      </c>
      <c r="J645" s="433"/>
      <c r="K645" s="432" t="s">
        <v>3096</v>
      </c>
      <c r="L645" s="432" t="s">
        <v>1525</v>
      </c>
      <c r="M645" s="433">
        <v>44621</v>
      </c>
      <c r="N645" s="433">
        <v>44837</v>
      </c>
      <c r="O645" s="433"/>
      <c r="P645" s="332"/>
      <c r="Q645" s="433"/>
      <c r="R645" s="433"/>
      <c r="S645" s="432" t="s">
        <v>88</v>
      </c>
      <c r="T645" s="432">
        <v>60</v>
      </c>
      <c r="U645" s="432" t="s">
        <v>1102</v>
      </c>
      <c r="V645" s="441" t="s">
        <v>986</v>
      </c>
      <c r="W645" s="432">
        <v>360</v>
      </c>
      <c r="X645" s="333">
        <v>768</v>
      </c>
      <c r="Y645" s="367">
        <f t="shared" si="66"/>
        <v>276480</v>
      </c>
      <c r="Z645" s="409">
        <f>190.8/360</f>
        <v>0.53</v>
      </c>
      <c r="AA645" s="410">
        <f t="shared" si="70"/>
        <v>146534.39999999999</v>
      </c>
      <c r="AB645" s="411"/>
      <c r="AC645" s="412">
        <f t="shared" si="67"/>
        <v>0</v>
      </c>
      <c r="AD645" s="405"/>
      <c r="AE645" s="405"/>
      <c r="AF645" s="424">
        <f t="shared" si="68"/>
        <v>146534.39999999999</v>
      </c>
      <c r="AG645" s="405" t="s">
        <v>1069</v>
      </c>
      <c r="AH645" s="405">
        <v>100</v>
      </c>
      <c r="AI645" s="405">
        <v>0</v>
      </c>
      <c r="AJ645" s="406" t="s">
        <v>1526</v>
      </c>
      <c r="AK645" s="406" t="s">
        <v>50</v>
      </c>
      <c r="AL645" s="414">
        <v>93003</v>
      </c>
      <c r="AM645" s="405" t="s">
        <v>52</v>
      </c>
      <c r="AN645" s="361"/>
      <c r="AO645" s="405" t="s">
        <v>1073</v>
      </c>
      <c r="AP645" s="405"/>
      <c r="AQ645" s="413" t="s">
        <v>37</v>
      </c>
      <c r="AR645" s="405" t="s">
        <v>1188</v>
      </c>
      <c r="AS645" s="404"/>
      <c r="AT645" s="330"/>
      <c r="AU645" s="409">
        <f t="shared" si="69"/>
        <v>0.53</v>
      </c>
    </row>
    <row r="646" spans="1:47" s="402" customFormat="1">
      <c r="A646" s="426"/>
      <c r="B646" s="376"/>
      <c r="C646" s="426"/>
      <c r="D646" s="443" t="s">
        <v>86</v>
      </c>
      <c r="E646" s="331" t="s">
        <v>3093</v>
      </c>
      <c r="F646" s="432"/>
      <c r="G646" s="350">
        <v>2022</v>
      </c>
      <c r="H646" s="350" t="s">
        <v>2978</v>
      </c>
      <c r="I646" s="432" t="s">
        <v>1498</v>
      </c>
      <c r="J646" s="433"/>
      <c r="K646" s="432" t="s">
        <v>3097</v>
      </c>
      <c r="L646" s="432" t="s">
        <v>1525</v>
      </c>
      <c r="M646" s="433">
        <v>44621</v>
      </c>
      <c r="N646" s="433">
        <v>44866</v>
      </c>
      <c r="O646" s="433"/>
      <c r="P646" s="332"/>
      <c r="Q646" s="433"/>
      <c r="R646" s="433"/>
      <c r="S646" s="432" t="s">
        <v>88</v>
      </c>
      <c r="T646" s="432">
        <v>60</v>
      </c>
      <c r="U646" s="432" t="s">
        <v>1102</v>
      </c>
      <c r="V646" s="441" t="s">
        <v>973</v>
      </c>
      <c r="W646" s="432">
        <v>400</v>
      </c>
      <c r="X646" s="333">
        <v>768</v>
      </c>
      <c r="Y646" s="367">
        <f t="shared" si="66"/>
        <v>307200</v>
      </c>
      <c r="Z646" s="409">
        <f>220/400</f>
        <v>0.55000000000000004</v>
      </c>
      <c r="AA646" s="410">
        <f t="shared" si="70"/>
        <v>168960</v>
      </c>
      <c r="AB646" s="411"/>
      <c r="AC646" s="412">
        <f t="shared" si="67"/>
        <v>0</v>
      </c>
      <c r="AD646" s="405"/>
      <c r="AE646" s="405"/>
      <c r="AF646" s="424">
        <f t="shared" si="68"/>
        <v>168960</v>
      </c>
      <c r="AG646" s="405" t="s">
        <v>1069</v>
      </c>
      <c r="AH646" s="405">
        <v>100</v>
      </c>
      <c r="AI646" s="405">
        <v>0</v>
      </c>
      <c r="AJ646" s="406" t="s">
        <v>1526</v>
      </c>
      <c r="AK646" s="406" t="s">
        <v>50</v>
      </c>
      <c r="AL646" s="414">
        <v>93003</v>
      </c>
      <c r="AM646" s="405" t="s">
        <v>52</v>
      </c>
      <c r="AN646" s="361"/>
      <c r="AO646" s="405" t="s">
        <v>1073</v>
      </c>
      <c r="AP646" s="405"/>
      <c r="AQ646" s="413" t="s">
        <v>37</v>
      </c>
      <c r="AR646" s="405" t="s">
        <v>1188</v>
      </c>
      <c r="AS646" s="404"/>
      <c r="AT646" s="330"/>
      <c r="AU646" s="409">
        <f t="shared" si="69"/>
        <v>0.53</v>
      </c>
    </row>
    <row r="647" spans="1:47" s="402" customFormat="1">
      <c r="A647" s="426"/>
      <c r="B647" s="376"/>
      <c r="C647" s="426"/>
      <c r="D647" s="443" t="s">
        <v>86</v>
      </c>
      <c r="E647" s="331"/>
      <c r="F647" s="432"/>
      <c r="G647" s="350">
        <v>2022</v>
      </c>
      <c r="H647" s="350" t="s">
        <v>2978</v>
      </c>
      <c r="I647" s="432" t="s">
        <v>1498</v>
      </c>
      <c r="J647" s="433"/>
      <c r="K647" s="432" t="s">
        <v>3097</v>
      </c>
      <c r="L647" s="432" t="s">
        <v>1525</v>
      </c>
      <c r="M647" s="433">
        <v>44621</v>
      </c>
      <c r="N647" s="433">
        <v>44866</v>
      </c>
      <c r="O647" s="433"/>
      <c r="P647" s="332"/>
      <c r="Q647" s="433"/>
      <c r="R647" s="433"/>
      <c r="S647" s="432" t="s">
        <v>88</v>
      </c>
      <c r="T647" s="432">
        <v>60</v>
      </c>
      <c r="U647" s="432" t="s">
        <v>1102</v>
      </c>
      <c r="V647" s="441" t="s">
        <v>986</v>
      </c>
      <c r="W647" s="432">
        <v>360</v>
      </c>
      <c r="X647" s="333">
        <v>768</v>
      </c>
      <c r="Y647" s="367">
        <f t="shared" si="66"/>
        <v>276480</v>
      </c>
      <c r="Z647" s="409">
        <f>190.8/360</f>
        <v>0.53</v>
      </c>
      <c r="AA647" s="410">
        <f t="shared" si="70"/>
        <v>146534.39999999999</v>
      </c>
      <c r="AB647" s="411"/>
      <c r="AC647" s="412">
        <f t="shared" si="67"/>
        <v>0</v>
      </c>
      <c r="AD647" s="405"/>
      <c r="AE647" s="405"/>
      <c r="AF647" s="424">
        <f t="shared" si="68"/>
        <v>146534.39999999999</v>
      </c>
      <c r="AG647" s="405" t="s">
        <v>1069</v>
      </c>
      <c r="AH647" s="405">
        <v>100</v>
      </c>
      <c r="AI647" s="405">
        <v>0</v>
      </c>
      <c r="AJ647" s="406" t="s">
        <v>1526</v>
      </c>
      <c r="AK647" s="406" t="s">
        <v>50</v>
      </c>
      <c r="AL647" s="414">
        <v>93003</v>
      </c>
      <c r="AM647" s="405" t="s">
        <v>52</v>
      </c>
      <c r="AN647" s="361"/>
      <c r="AO647" s="405" t="s">
        <v>1073</v>
      </c>
      <c r="AP647" s="405"/>
      <c r="AQ647" s="413" t="s">
        <v>37</v>
      </c>
      <c r="AR647" s="405" t="s">
        <v>1188</v>
      </c>
      <c r="AS647" s="404"/>
      <c r="AT647" s="330"/>
      <c r="AU647" s="409">
        <f t="shared" si="69"/>
        <v>0.53</v>
      </c>
    </row>
    <row r="648" spans="1:47" s="402" customFormat="1">
      <c r="A648" s="426"/>
      <c r="B648" s="376"/>
      <c r="C648" s="426"/>
      <c r="D648" s="443" t="s">
        <v>86</v>
      </c>
      <c r="E648" s="331" t="s">
        <v>3093</v>
      </c>
      <c r="F648" s="432"/>
      <c r="G648" s="350">
        <v>2022</v>
      </c>
      <c r="H648" s="350" t="s">
        <v>2978</v>
      </c>
      <c r="I648" s="432" t="s">
        <v>1498</v>
      </c>
      <c r="J648" s="433"/>
      <c r="K648" s="432" t="s">
        <v>3098</v>
      </c>
      <c r="L648" s="432" t="s">
        <v>1525</v>
      </c>
      <c r="M648" s="433">
        <v>44621</v>
      </c>
      <c r="N648" s="433">
        <v>44896</v>
      </c>
      <c r="O648" s="433"/>
      <c r="P648" s="332"/>
      <c r="Q648" s="433"/>
      <c r="R648" s="433"/>
      <c r="S648" s="432" t="s">
        <v>88</v>
      </c>
      <c r="T648" s="432">
        <v>60</v>
      </c>
      <c r="U648" s="432" t="s">
        <v>1102</v>
      </c>
      <c r="V648" s="441" t="s">
        <v>973</v>
      </c>
      <c r="W648" s="432">
        <v>400</v>
      </c>
      <c r="X648" s="333">
        <v>768</v>
      </c>
      <c r="Y648" s="367">
        <f t="shared" si="66"/>
        <v>307200</v>
      </c>
      <c r="Z648" s="409">
        <f>220/400</f>
        <v>0.55000000000000004</v>
      </c>
      <c r="AA648" s="410">
        <f t="shared" si="70"/>
        <v>168960</v>
      </c>
      <c r="AB648" s="411"/>
      <c r="AC648" s="412">
        <f t="shared" si="67"/>
        <v>0</v>
      </c>
      <c r="AD648" s="405"/>
      <c r="AE648" s="405"/>
      <c r="AF648" s="424">
        <f t="shared" si="68"/>
        <v>168960</v>
      </c>
      <c r="AG648" s="405" t="s">
        <v>1069</v>
      </c>
      <c r="AH648" s="405">
        <v>100</v>
      </c>
      <c r="AI648" s="405">
        <v>0</v>
      </c>
      <c r="AJ648" s="406" t="s">
        <v>1526</v>
      </c>
      <c r="AK648" s="406" t="s">
        <v>50</v>
      </c>
      <c r="AL648" s="414">
        <v>93003</v>
      </c>
      <c r="AM648" s="405" t="s">
        <v>52</v>
      </c>
      <c r="AN648" s="361"/>
      <c r="AO648" s="405" t="s">
        <v>1073</v>
      </c>
      <c r="AP648" s="405"/>
      <c r="AQ648" s="413" t="s">
        <v>37</v>
      </c>
      <c r="AR648" s="405" t="s">
        <v>1188</v>
      </c>
      <c r="AS648" s="404"/>
      <c r="AT648" s="330"/>
      <c r="AU648" s="409">
        <f t="shared" si="69"/>
        <v>0.53</v>
      </c>
    </row>
    <row r="649" spans="1:47" s="402" customFormat="1">
      <c r="A649" s="426"/>
      <c r="B649" s="376"/>
      <c r="C649" s="426"/>
      <c r="D649" s="443" t="s">
        <v>86</v>
      </c>
      <c r="E649" s="331"/>
      <c r="F649" s="432"/>
      <c r="G649" s="350">
        <v>2022</v>
      </c>
      <c r="H649" s="350" t="s">
        <v>2978</v>
      </c>
      <c r="I649" s="432" t="s">
        <v>1498</v>
      </c>
      <c r="J649" s="433"/>
      <c r="K649" s="432" t="s">
        <v>3098</v>
      </c>
      <c r="L649" s="432" t="s">
        <v>1525</v>
      </c>
      <c r="M649" s="433">
        <v>44621</v>
      </c>
      <c r="N649" s="433">
        <v>44896</v>
      </c>
      <c r="O649" s="433"/>
      <c r="P649" s="332"/>
      <c r="Q649" s="433"/>
      <c r="R649" s="433"/>
      <c r="S649" s="432" t="s">
        <v>88</v>
      </c>
      <c r="T649" s="432">
        <v>60</v>
      </c>
      <c r="U649" s="432" t="s">
        <v>1102</v>
      </c>
      <c r="V649" s="441" t="s">
        <v>986</v>
      </c>
      <c r="W649" s="432">
        <v>360</v>
      </c>
      <c r="X649" s="333">
        <v>768</v>
      </c>
      <c r="Y649" s="367">
        <f t="shared" si="66"/>
        <v>276480</v>
      </c>
      <c r="Z649" s="409">
        <f>190.8/360</f>
        <v>0.53</v>
      </c>
      <c r="AA649" s="410">
        <f t="shared" si="70"/>
        <v>146534.39999999999</v>
      </c>
      <c r="AB649" s="411"/>
      <c r="AC649" s="412">
        <f t="shared" si="67"/>
        <v>0</v>
      </c>
      <c r="AD649" s="405"/>
      <c r="AE649" s="405"/>
      <c r="AF649" s="424">
        <f t="shared" si="68"/>
        <v>146534.39999999999</v>
      </c>
      <c r="AG649" s="405" t="s">
        <v>1069</v>
      </c>
      <c r="AH649" s="405">
        <v>100</v>
      </c>
      <c r="AI649" s="405">
        <v>0</v>
      </c>
      <c r="AJ649" s="406" t="s">
        <v>1526</v>
      </c>
      <c r="AK649" s="406" t="s">
        <v>50</v>
      </c>
      <c r="AL649" s="414">
        <v>93003</v>
      </c>
      <c r="AM649" s="405" t="s">
        <v>52</v>
      </c>
      <c r="AN649" s="361"/>
      <c r="AO649" s="405" t="s">
        <v>1073</v>
      </c>
      <c r="AP649" s="405"/>
      <c r="AQ649" s="413" t="s">
        <v>37</v>
      </c>
      <c r="AR649" s="405" t="s">
        <v>1188</v>
      </c>
      <c r="AS649" s="404"/>
      <c r="AT649" s="330"/>
      <c r="AU649" s="409">
        <f t="shared" si="69"/>
        <v>0.53</v>
      </c>
    </row>
    <row r="650" spans="1:47" s="402" customFormat="1">
      <c r="A650" s="426"/>
      <c r="B650" s="376"/>
      <c r="C650" s="426"/>
      <c r="D650" s="443" t="s">
        <v>86</v>
      </c>
      <c r="E650" s="331" t="s">
        <v>3099</v>
      </c>
      <c r="F650" s="432"/>
      <c r="G650" s="350">
        <v>2022</v>
      </c>
      <c r="H650" s="350" t="s">
        <v>2383</v>
      </c>
      <c r="I650" s="432" t="s">
        <v>1498</v>
      </c>
      <c r="J650" s="433"/>
      <c r="K650" s="432">
        <v>20220207002</v>
      </c>
      <c r="L650" s="432" t="s">
        <v>3100</v>
      </c>
      <c r="M650" s="433">
        <v>44589</v>
      </c>
      <c r="N650" s="433">
        <v>44648</v>
      </c>
      <c r="O650" s="433"/>
      <c r="P650" s="332"/>
      <c r="Q650" s="433"/>
      <c r="R650" s="433"/>
      <c r="S650" s="432" t="s">
        <v>88</v>
      </c>
      <c r="T650" s="432">
        <v>60</v>
      </c>
      <c r="U650" s="432"/>
      <c r="V650" s="441" t="s">
        <v>985</v>
      </c>
      <c r="W650" s="432">
        <v>400</v>
      </c>
      <c r="X650" s="333">
        <v>2496</v>
      </c>
      <c r="Y650" s="367">
        <f t="shared" si="66"/>
        <v>998400</v>
      </c>
      <c r="Z650" s="409">
        <f>208/400</f>
        <v>0.52</v>
      </c>
      <c r="AA650" s="410">
        <f t="shared" si="70"/>
        <v>519168</v>
      </c>
      <c r="AB650" s="411"/>
      <c r="AC650" s="412">
        <f t="shared" si="67"/>
        <v>0</v>
      </c>
      <c r="AD650" s="405"/>
      <c r="AE650" s="405"/>
      <c r="AF650" s="424">
        <f t="shared" si="68"/>
        <v>519168</v>
      </c>
      <c r="AG650" s="405" t="s">
        <v>1069</v>
      </c>
      <c r="AH650" s="405"/>
      <c r="AI650" s="405">
        <v>60</v>
      </c>
      <c r="AJ650" s="406" t="s">
        <v>3101</v>
      </c>
      <c r="AK650" s="406" t="s">
        <v>50</v>
      </c>
      <c r="AL650" s="414" t="s">
        <v>3101</v>
      </c>
      <c r="AM650" s="405" t="s">
        <v>52</v>
      </c>
      <c r="AN650" s="361" t="s">
        <v>1071</v>
      </c>
      <c r="AO650" s="405" t="s">
        <v>1073</v>
      </c>
      <c r="AP650" s="405"/>
      <c r="AQ650" s="413" t="s">
        <v>37</v>
      </c>
      <c r="AR650" s="405" t="s">
        <v>1188</v>
      </c>
      <c r="AS650" s="404" t="s">
        <v>1392</v>
      </c>
      <c r="AT650" s="330"/>
      <c r="AU650" s="409">
        <f>208/400</f>
        <v>0.52</v>
      </c>
    </row>
    <row r="651" spans="1:47" s="402" customFormat="1">
      <c r="A651" s="426"/>
      <c r="B651" s="376"/>
      <c r="C651" s="426"/>
      <c r="D651" s="443" t="s">
        <v>86</v>
      </c>
      <c r="E651" s="331" t="s">
        <v>3099</v>
      </c>
      <c r="F651" s="432"/>
      <c r="G651" s="350">
        <v>2022</v>
      </c>
      <c r="H651" s="350" t="s">
        <v>2383</v>
      </c>
      <c r="I651" s="432" t="s">
        <v>1498</v>
      </c>
      <c r="J651" s="433"/>
      <c r="K651" s="432">
        <v>20220207002</v>
      </c>
      <c r="L651" s="432" t="s">
        <v>3100</v>
      </c>
      <c r="M651" s="433">
        <v>44589</v>
      </c>
      <c r="N651" s="433">
        <v>44679</v>
      </c>
      <c r="O651" s="433"/>
      <c r="P651" s="332"/>
      <c r="Q651" s="433"/>
      <c r="R651" s="433"/>
      <c r="S651" s="432" t="s">
        <v>88</v>
      </c>
      <c r="T651" s="432">
        <v>60</v>
      </c>
      <c r="U651" s="432"/>
      <c r="V651" s="441" t="s">
        <v>985</v>
      </c>
      <c r="W651" s="432">
        <v>400</v>
      </c>
      <c r="X651" s="333">
        <v>2496</v>
      </c>
      <c r="Y651" s="367">
        <f t="shared" si="66"/>
        <v>998400</v>
      </c>
      <c r="Z651" s="409">
        <f>208/400</f>
        <v>0.52</v>
      </c>
      <c r="AA651" s="410">
        <f t="shared" si="70"/>
        <v>519168</v>
      </c>
      <c r="AB651" s="411"/>
      <c r="AC651" s="412">
        <f t="shared" si="67"/>
        <v>0</v>
      </c>
      <c r="AD651" s="405"/>
      <c r="AE651" s="405"/>
      <c r="AF651" s="424">
        <f t="shared" si="68"/>
        <v>519168</v>
      </c>
      <c r="AG651" s="405" t="s">
        <v>1069</v>
      </c>
      <c r="AH651" s="405"/>
      <c r="AI651" s="405">
        <v>60</v>
      </c>
      <c r="AJ651" s="406" t="s">
        <v>3101</v>
      </c>
      <c r="AK651" s="406" t="s">
        <v>50</v>
      </c>
      <c r="AL651" s="414" t="s">
        <v>3101</v>
      </c>
      <c r="AM651" s="405" t="s">
        <v>52</v>
      </c>
      <c r="AN651" s="361" t="s">
        <v>1071</v>
      </c>
      <c r="AO651" s="405" t="s">
        <v>1073</v>
      </c>
      <c r="AP651" s="405"/>
      <c r="AQ651" s="413" t="s">
        <v>37</v>
      </c>
      <c r="AR651" s="405" t="s">
        <v>1188</v>
      </c>
      <c r="AS651" s="404" t="s">
        <v>1392</v>
      </c>
      <c r="AT651" s="330"/>
      <c r="AU651" s="409">
        <f>208/400</f>
        <v>0.52</v>
      </c>
    </row>
    <row r="652" spans="1:47" s="402" customFormat="1">
      <c r="A652" s="426"/>
      <c r="B652" s="376"/>
      <c r="C652" s="426"/>
      <c r="D652" s="443" t="s">
        <v>86</v>
      </c>
      <c r="E652" s="331" t="s">
        <v>3099</v>
      </c>
      <c r="F652" s="432"/>
      <c r="G652" s="350">
        <v>2022</v>
      </c>
      <c r="H652" s="350" t="s">
        <v>2383</v>
      </c>
      <c r="I652" s="432" t="s">
        <v>1498</v>
      </c>
      <c r="J652" s="433"/>
      <c r="K652" s="432">
        <v>20220207002</v>
      </c>
      <c r="L652" s="432" t="s">
        <v>3100</v>
      </c>
      <c r="M652" s="433">
        <v>44589</v>
      </c>
      <c r="N652" s="433">
        <v>44709</v>
      </c>
      <c r="O652" s="433"/>
      <c r="P652" s="332"/>
      <c r="Q652" s="433"/>
      <c r="R652" s="433"/>
      <c r="S652" s="432" t="s">
        <v>88</v>
      </c>
      <c r="T652" s="432">
        <v>60</v>
      </c>
      <c r="U652" s="432"/>
      <c r="V652" s="441" t="s">
        <v>985</v>
      </c>
      <c r="W652" s="432">
        <v>400</v>
      </c>
      <c r="X652" s="333">
        <v>2496</v>
      </c>
      <c r="Y652" s="367">
        <f t="shared" si="66"/>
        <v>998400</v>
      </c>
      <c r="Z652" s="409">
        <f>208/400</f>
        <v>0.52</v>
      </c>
      <c r="AA652" s="410">
        <f t="shared" si="70"/>
        <v>519168</v>
      </c>
      <c r="AB652" s="411"/>
      <c r="AC652" s="412">
        <f t="shared" si="67"/>
        <v>0</v>
      </c>
      <c r="AD652" s="405"/>
      <c r="AE652" s="405"/>
      <c r="AF652" s="424">
        <f t="shared" si="68"/>
        <v>519168</v>
      </c>
      <c r="AG652" s="405" t="s">
        <v>1069</v>
      </c>
      <c r="AH652" s="405"/>
      <c r="AI652" s="405">
        <v>60</v>
      </c>
      <c r="AJ652" s="406" t="s">
        <v>3101</v>
      </c>
      <c r="AK652" s="406" t="s">
        <v>50</v>
      </c>
      <c r="AL652" s="414" t="s">
        <v>3101</v>
      </c>
      <c r="AM652" s="405" t="s">
        <v>52</v>
      </c>
      <c r="AN652" s="361" t="s">
        <v>1071</v>
      </c>
      <c r="AO652" s="405" t="s">
        <v>1073</v>
      </c>
      <c r="AP652" s="405"/>
      <c r="AQ652" s="413" t="s">
        <v>37</v>
      </c>
      <c r="AR652" s="405" t="s">
        <v>1188</v>
      </c>
      <c r="AS652" s="404" t="s">
        <v>1392</v>
      </c>
      <c r="AT652" s="330"/>
      <c r="AU652" s="409">
        <f>208/400</f>
        <v>0.52</v>
      </c>
    </row>
    <row r="653" spans="1:47" s="402" customFormat="1">
      <c r="A653" s="426"/>
      <c r="B653" s="376"/>
      <c r="C653" s="426"/>
      <c r="D653" s="443" t="s">
        <v>86</v>
      </c>
      <c r="E653" s="331" t="s">
        <v>3099</v>
      </c>
      <c r="F653" s="432"/>
      <c r="G653" s="350">
        <v>2022</v>
      </c>
      <c r="H653" s="350" t="s">
        <v>2383</v>
      </c>
      <c r="I653" s="432" t="s">
        <v>1498</v>
      </c>
      <c r="J653" s="433"/>
      <c r="K653" s="432">
        <v>20220207002</v>
      </c>
      <c r="L653" s="432" t="s">
        <v>3100</v>
      </c>
      <c r="M653" s="433">
        <v>44589</v>
      </c>
      <c r="N653" s="433">
        <v>44740</v>
      </c>
      <c r="O653" s="433"/>
      <c r="P653" s="332"/>
      <c r="Q653" s="433"/>
      <c r="R653" s="433"/>
      <c r="S653" s="432" t="s">
        <v>88</v>
      </c>
      <c r="T653" s="432">
        <v>60</v>
      </c>
      <c r="U653" s="432"/>
      <c r="V653" s="441" t="s">
        <v>985</v>
      </c>
      <c r="W653" s="432">
        <v>400</v>
      </c>
      <c r="X653" s="333">
        <v>3264</v>
      </c>
      <c r="Y653" s="367">
        <f t="shared" si="66"/>
        <v>1305600</v>
      </c>
      <c r="Z653" s="409">
        <f>208/400</f>
        <v>0.52</v>
      </c>
      <c r="AA653" s="410">
        <f t="shared" si="70"/>
        <v>678912</v>
      </c>
      <c r="AB653" s="411"/>
      <c r="AC653" s="412">
        <f t="shared" si="67"/>
        <v>0</v>
      </c>
      <c r="AD653" s="405"/>
      <c r="AE653" s="405"/>
      <c r="AF653" s="424">
        <f t="shared" si="68"/>
        <v>678912</v>
      </c>
      <c r="AG653" s="405" t="s">
        <v>1069</v>
      </c>
      <c r="AH653" s="405"/>
      <c r="AI653" s="405">
        <v>60</v>
      </c>
      <c r="AJ653" s="406" t="s">
        <v>3101</v>
      </c>
      <c r="AK653" s="406" t="s">
        <v>50</v>
      </c>
      <c r="AL653" s="414" t="s">
        <v>3101</v>
      </c>
      <c r="AM653" s="405" t="s">
        <v>52</v>
      </c>
      <c r="AN653" s="361" t="s">
        <v>1071</v>
      </c>
      <c r="AO653" s="405" t="s">
        <v>1073</v>
      </c>
      <c r="AP653" s="405"/>
      <c r="AQ653" s="413" t="s">
        <v>37</v>
      </c>
      <c r="AR653" s="405" t="s">
        <v>1188</v>
      </c>
      <c r="AS653" s="404" t="s">
        <v>1392</v>
      </c>
      <c r="AT653" s="330"/>
      <c r="AU653" s="409">
        <f>208/400</f>
        <v>0.52</v>
      </c>
    </row>
    <row r="654" spans="1:47" s="402" customFormat="1">
      <c r="A654" s="426"/>
      <c r="B654" s="376">
        <v>44615</v>
      </c>
      <c r="C654" s="426"/>
      <c r="D654" s="443" t="s">
        <v>86</v>
      </c>
      <c r="E654" s="331"/>
      <c r="F654" s="432" t="s">
        <v>1898</v>
      </c>
      <c r="G654" s="350">
        <v>2022</v>
      </c>
      <c r="H654" s="350" t="s">
        <v>2383</v>
      </c>
      <c r="I654" s="432" t="s">
        <v>1498</v>
      </c>
      <c r="J654" s="433"/>
      <c r="K654" s="432" t="s">
        <v>3102</v>
      </c>
      <c r="L654" s="432" t="s">
        <v>1528</v>
      </c>
      <c r="M654" s="433">
        <v>44596</v>
      </c>
      <c r="N654" s="433">
        <v>44697</v>
      </c>
      <c r="O654" s="433"/>
      <c r="P654" s="332"/>
      <c r="Q654" s="433"/>
      <c r="R654" s="433"/>
      <c r="S654" s="432" t="s">
        <v>88</v>
      </c>
      <c r="T654" s="432">
        <v>60</v>
      </c>
      <c r="U654" s="432"/>
      <c r="V654" s="441" t="s">
        <v>973</v>
      </c>
      <c r="W654" s="432">
        <v>400</v>
      </c>
      <c r="X654" s="333">
        <v>768</v>
      </c>
      <c r="Y654" s="367">
        <f t="shared" si="66"/>
        <v>307200</v>
      </c>
      <c r="Z654" s="409">
        <f>222/400</f>
        <v>0.55500000000000005</v>
      </c>
      <c r="AA654" s="410">
        <f t="shared" si="70"/>
        <v>170496.00000000003</v>
      </c>
      <c r="AB654" s="411"/>
      <c r="AC654" s="412">
        <f t="shared" si="67"/>
        <v>0</v>
      </c>
      <c r="AD654" s="405"/>
      <c r="AE654" s="405"/>
      <c r="AF654" s="424">
        <f t="shared" si="68"/>
        <v>170496.00000000003</v>
      </c>
      <c r="AG654" s="405" t="s">
        <v>1069</v>
      </c>
      <c r="AH654" s="405"/>
      <c r="AI654" s="405">
        <v>60</v>
      </c>
      <c r="AJ654" s="406" t="s">
        <v>1289</v>
      </c>
      <c r="AK654" s="406" t="s">
        <v>1082</v>
      </c>
      <c r="AL654" s="414" t="s">
        <v>1899</v>
      </c>
      <c r="AM654" s="405" t="s">
        <v>52</v>
      </c>
      <c r="AN654" s="361" t="s">
        <v>1071</v>
      </c>
      <c r="AO654" s="405" t="s">
        <v>1073</v>
      </c>
      <c r="AP654" s="405"/>
      <c r="AQ654" s="413" t="s">
        <v>37</v>
      </c>
      <c r="AR654" s="405" t="s">
        <v>1188</v>
      </c>
      <c r="AS654" s="404"/>
      <c r="AT654" s="330"/>
      <c r="AU654" s="409">
        <f t="shared" ref="AU654:AU670" si="71">181.8/360</f>
        <v>0.505</v>
      </c>
    </row>
    <row r="655" spans="1:47" s="402" customFormat="1">
      <c r="A655" s="426"/>
      <c r="B655" s="376">
        <v>44615</v>
      </c>
      <c r="C655" s="426"/>
      <c r="D655" s="443" t="s">
        <v>86</v>
      </c>
      <c r="E655" s="331"/>
      <c r="F655" s="432" t="s">
        <v>1898</v>
      </c>
      <c r="G655" s="350">
        <v>2022</v>
      </c>
      <c r="H655" s="350" t="s">
        <v>2383</v>
      </c>
      <c r="I655" s="432" t="s">
        <v>1498</v>
      </c>
      <c r="J655" s="433"/>
      <c r="K655" s="432" t="s">
        <v>3103</v>
      </c>
      <c r="L655" s="432" t="s">
        <v>1528</v>
      </c>
      <c r="M655" s="433">
        <v>44596</v>
      </c>
      <c r="N655" s="433">
        <v>44667</v>
      </c>
      <c r="O655" s="433"/>
      <c r="P655" s="332"/>
      <c r="Q655" s="433"/>
      <c r="R655" s="433"/>
      <c r="S655" s="432" t="s">
        <v>88</v>
      </c>
      <c r="T655" s="432">
        <v>60</v>
      </c>
      <c r="U655" s="432"/>
      <c r="V655" s="441" t="s">
        <v>973</v>
      </c>
      <c r="W655" s="432">
        <v>400</v>
      </c>
      <c r="X655" s="333">
        <v>768</v>
      </c>
      <c r="Y655" s="367">
        <f t="shared" si="66"/>
        <v>307200</v>
      </c>
      <c r="Z655" s="409">
        <f>222/400</f>
        <v>0.55500000000000005</v>
      </c>
      <c r="AA655" s="410">
        <f t="shared" si="70"/>
        <v>170496.00000000003</v>
      </c>
      <c r="AB655" s="411"/>
      <c r="AC655" s="412">
        <f t="shared" si="67"/>
        <v>0</v>
      </c>
      <c r="AD655" s="405"/>
      <c r="AE655" s="405"/>
      <c r="AF655" s="424">
        <f t="shared" si="68"/>
        <v>170496.00000000003</v>
      </c>
      <c r="AG655" s="405" t="s">
        <v>1069</v>
      </c>
      <c r="AH655" s="405"/>
      <c r="AI655" s="405">
        <v>60</v>
      </c>
      <c r="AJ655" s="406" t="s">
        <v>1289</v>
      </c>
      <c r="AK655" s="406" t="s">
        <v>1082</v>
      </c>
      <c r="AL655" s="414" t="s">
        <v>1899</v>
      </c>
      <c r="AM655" s="405" t="s">
        <v>52</v>
      </c>
      <c r="AN655" s="361" t="s">
        <v>1071</v>
      </c>
      <c r="AO655" s="405" t="s">
        <v>1073</v>
      </c>
      <c r="AP655" s="405"/>
      <c r="AQ655" s="413" t="s">
        <v>37</v>
      </c>
      <c r="AR655" s="405" t="s">
        <v>1188</v>
      </c>
      <c r="AS655" s="404"/>
      <c r="AT655" s="330"/>
      <c r="AU655" s="409">
        <f t="shared" si="71"/>
        <v>0.505</v>
      </c>
    </row>
    <row r="656" spans="1:47" s="402" customFormat="1">
      <c r="A656" s="426"/>
      <c r="B656" s="376">
        <v>44614</v>
      </c>
      <c r="C656" s="426"/>
      <c r="D656" s="443" t="s">
        <v>86</v>
      </c>
      <c r="E656" s="331"/>
      <c r="F656" s="432" t="s">
        <v>1898</v>
      </c>
      <c r="G656" s="350">
        <v>2022</v>
      </c>
      <c r="H656" s="350" t="s">
        <v>2383</v>
      </c>
      <c r="I656" s="432" t="s">
        <v>1498</v>
      </c>
      <c r="J656" s="433"/>
      <c r="K656" s="432" t="s">
        <v>3104</v>
      </c>
      <c r="L656" s="432" t="s">
        <v>1528</v>
      </c>
      <c r="M656" s="433">
        <v>44596</v>
      </c>
      <c r="N656" s="433">
        <v>44727</v>
      </c>
      <c r="O656" s="433"/>
      <c r="P656" s="332"/>
      <c r="Q656" s="433"/>
      <c r="R656" s="433"/>
      <c r="S656" s="432" t="s">
        <v>88</v>
      </c>
      <c r="T656" s="432">
        <v>60</v>
      </c>
      <c r="U656" s="432"/>
      <c r="V656" s="441" t="s">
        <v>973</v>
      </c>
      <c r="W656" s="432">
        <v>400</v>
      </c>
      <c r="X656" s="333">
        <v>768</v>
      </c>
      <c r="Y656" s="367">
        <f t="shared" si="66"/>
        <v>307200</v>
      </c>
      <c r="Z656" s="409">
        <f>222/400</f>
        <v>0.55500000000000005</v>
      </c>
      <c r="AA656" s="410">
        <f t="shared" si="70"/>
        <v>170496.00000000003</v>
      </c>
      <c r="AB656" s="411"/>
      <c r="AC656" s="412">
        <f t="shared" si="67"/>
        <v>0</v>
      </c>
      <c r="AD656" s="405"/>
      <c r="AE656" s="405"/>
      <c r="AF656" s="424">
        <f t="shared" si="68"/>
        <v>170496.00000000003</v>
      </c>
      <c r="AG656" s="405" t="s">
        <v>1069</v>
      </c>
      <c r="AH656" s="405"/>
      <c r="AI656" s="405">
        <v>60</v>
      </c>
      <c r="AJ656" s="406" t="s">
        <v>1289</v>
      </c>
      <c r="AK656" s="406" t="s">
        <v>1082</v>
      </c>
      <c r="AL656" s="414" t="s">
        <v>1899</v>
      </c>
      <c r="AM656" s="405" t="s">
        <v>52</v>
      </c>
      <c r="AN656" s="361" t="s">
        <v>1071</v>
      </c>
      <c r="AO656" s="405" t="s">
        <v>1073</v>
      </c>
      <c r="AP656" s="405"/>
      <c r="AQ656" s="413" t="s">
        <v>37</v>
      </c>
      <c r="AR656" s="405" t="s">
        <v>1188</v>
      </c>
      <c r="AS656" s="404"/>
      <c r="AT656" s="330"/>
      <c r="AU656" s="409">
        <f t="shared" si="71"/>
        <v>0.505</v>
      </c>
    </row>
    <row r="657" spans="1:47" s="402" customFormat="1">
      <c r="A657" s="426"/>
      <c r="B657" s="376">
        <v>44615</v>
      </c>
      <c r="C657" s="426"/>
      <c r="D657" s="443" t="s">
        <v>86</v>
      </c>
      <c r="E657" s="331"/>
      <c r="F657" s="432" t="s">
        <v>1898</v>
      </c>
      <c r="G657" s="350">
        <v>2022</v>
      </c>
      <c r="H657" s="350" t="s">
        <v>2383</v>
      </c>
      <c r="I657" s="432" t="s">
        <v>1498</v>
      </c>
      <c r="J657" s="433"/>
      <c r="K657" s="432" t="s">
        <v>3105</v>
      </c>
      <c r="L657" s="432" t="s">
        <v>1528</v>
      </c>
      <c r="M657" s="433">
        <v>44596</v>
      </c>
      <c r="N657" s="433">
        <v>44806</v>
      </c>
      <c r="O657" s="433"/>
      <c r="P657" s="332"/>
      <c r="Q657" s="433"/>
      <c r="R657" s="433"/>
      <c r="S657" s="432" t="s">
        <v>88</v>
      </c>
      <c r="T657" s="432">
        <v>60</v>
      </c>
      <c r="U657" s="432"/>
      <c r="V657" s="441" t="s">
        <v>973</v>
      </c>
      <c r="W657" s="432">
        <v>400</v>
      </c>
      <c r="X657" s="333">
        <v>1536</v>
      </c>
      <c r="Y657" s="367">
        <f t="shared" si="66"/>
        <v>614400</v>
      </c>
      <c r="Z657" s="409">
        <v>0.55500000000000005</v>
      </c>
      <c r="AA657" s="410">
        <f t="shared" si="70"/>
        <v>340992.00000000006</v>
      </c>
      <c r="AB657" s="411"/>
      <c r="AC657" s="412">
        <f t="shared" si="67"/>
        <v>0</v>
      </c>
      <c r="AD657" s="405"/>
      <c r="AE657" s="405"/>
      <c r="AF657" s="424">
        <f t="shared" si="68"/>
        <v>340992.00000000006</v>
      </c>
      <c r="AG657" s="405" t="s">
        <v>1069</v>
      </c>
      <c r="AH657" s="405"/>
      <c r="AI657" s="405">
        <v>60</v>
      </c>
      <c r="AJ657" s="406" t="s">
        <v>1289</v>
      </c>
      <c r="AK657" s="406" t="s">
        <v>1082</v>
      </c>
      <c r="AL657" s="414" t="s">
        <v>1899</v>
      </c>
      <c r="AM657" s="405" t="s">
        <v>52</v>
      </c>
      <c r="AN657" s="361" t="s">
        <v>1071</v>
      </c>
      <c r="AO657" s="405" t="s">
        <v>1073</v>
      </c>
      <c r="AP657" s="405"/>
      <c r="AQ657" s="413" t="s">
        <v>37</v>
      </c>
      <c r="AR657" s="405" t="s">
        <v>1188</v>
      </c>
      <c r="AS657" s="404"/>
      <c r="AT657" s="330"/>
      <c r="AU657" s="409">
        <f t="shared" si="71"/>
        <v>0.505</v>
      </c>
    </row>
    <row r="658" spans="1:47" s="402" customFormat="1">
      <c r="A658" s="426"/>
      <c r="B658" s="376">
        <v>44615</v>
      </c>
      <c r="C658" s="426"/>
      <c r="D658" s="443" t="s">
        <v>86</v>
      </c>
      <c r="E658" s="331"/>
      <c r="F658" s="432" t="s">
        <v>1898</v>
      </c>
      <c r="G658" s="350">
        <v>2022</v>
      </c>
      <c r="H658" s="350" t="s">
        <v>2383</v>
      </c>
      <c r="I658" s="432" t="s">
        <v>1498</v>
      </c>
      <c r="J658" s="433"/>
      <c r="K658" s="432" t="s">
        <v>3106</v>
      </c>
      <c r="L658" s="432" t="s">
        <v>1528</v>
      </c>
      <c r="M658" s="433">
        <v>44596</v>
      </c>
      <c r="N658" s="433">
        <v>44778</v>
      </c>
      <c r="O658" s="433"/>
      <c r="P658" s="332"/>
      <c r="Q658" s="433"/>
      <c r="R658" s="433"/>
      <c r="S658" s="432" t="s">
        <v>88</v>
      </c>
      <c r="T658" s="432">
        <v>60</v>
      </c>
      <c r="U658" s="432"/>
      <c r="V658" s="441" t="s">
        <v>973</v>
      </c>
      <c r="W658" s="432">
        <v>400</v>
      </c>
      <c r="X658" s="333">
        <v>1536</v>
      </c>
      <c r="Y658" s="367">
        <f t="shared" si="66"/>
        <v>614400</v>
      </c>
      <c r="Z658" s="409">
        <f>222/400</f>
        <v>0.55500000000000005</v>
      </c>
      <c r="AA658" s="410">
        <f t="shared" si="70"/>
        <v>340992.00000000006</v>
      </c>
      <c r="AB658" s="411"/>
      <c r="AC658" s="412">
        <f t="shared" si="67"/>
        <v>0</v>
      </c>
      <c r="AD658" s="405"/>
      <c r="AE658" s="405"/>
      <c r="AF658" s="424">
        <f t="shared" si="68"/>
        <v>340992.00000000006</v>
      </c>
      <c r="AG658" s="405" t="s">
        <v>1069</v>
      </c>
      <c r="AH658" s="405"/>
      <c r="AI658" s="405">
        <v>60</v>
      </c>
      <c r="AJ658" s="406" t="s">
        <v>1289</v>
      </c>
      <c r="AK658" s="406" t="s">
        <v>1082</v>
      </c>
      <c r="AL658" s="414" t="s">
        <v>1899</v>
      </c>
      <c r="AM658" s="405" t="s">
        <v>52</v>
      </c>
      <c r="AN658" s="361" t="s">
        <v>1071</v>
      </c>
      <c r="AO658" s="405" t="s">
        <v>1073</v>
      </c>
      <c r="AP658" s="405"/>
      <c r="AQ658" s="413" t="s">
        <v>37</v>
      </c>
      <c r="AR658" s="405" t="s">
        <v>1188</v>
      </c>
      <c r="AS658" s="404"/>
      <c r="AT658" s="330"/>
      <c r="AU658" s="409">
        <f t="shared" si="71"/>
        <v>0.505</v>
      </c>
    </row>
    <row r="659" spans="1:47" s="402" customFormat="1">
      <c r="A659" s="426"/>
      <c r="B659" s="376"/>
      <c r="C659" s="426"/>
      <c r="D659" s="443" t="s">
        <v>86</v>
      </c>
      <c r="E659" s="331"/>
      <c r="F659" s="432" t="s">
        <v>1898</v>
      </c>
      <c r="G659" s="350">
        <v>2022</v>
      </c>
      <c r="H659" s="350" t="s">
        <v>2383</v>
      </c>
      <c r="I659" s="432" t="s">
        <v>1498</v>
      </c>
      <c r="J659" s="433"/>
      <c r="K659" s="432" t="s">
        <v>3107</v>
      </c>
      <c r="L659" s="432" t="s">
        <v>1528</v>
      </c>
      <c r="M659" s="433">
        <v>44622</v>
      </c>
      <c r="N659" s="433">
        <v>44623</v>
      </c>
      <c r="O659" s="433"/>
      <c r="P659" s="332"/>
      <c r="Q659" s="433"/>
      <c r="R659" s="433"/>
      <c r="S659" s="432" t="s">
        <v>88</v>
      </c>
      <c r="T659" s="432">
        <v>60</v>
      </c>
      <c r="U659" s="432"/>
      <c r="V659" s="441" t="s">
        <v>973</v>
      </c>
      <c r="W659" s="432">
        <v>400</v>
      </c>
      <c r="X659" s="333">
        <v>768</v>
      </c>
      <c r="Y659" s="367">
        <f t="shared" si="66"/>
        <v>307200</v>
      </c>
      <c r="Z659" s="409">
        <f>222/400</f>
        <v>0.55500000000000005</v>
      </c>
      <c r="AA659" s="410">
        <f t="shared" si="70"/>
        <v>170496.00000000003</v>
      </c>
      <c r="AB659" s="411"/>
      <c r="AC659" s="412">
        <f t="shared" si="67"/>
        <v>0</v>
      </c>
      <c r="AD659" s="405"/>
      <c r="AE659" s="405"/>
      <c r="AF659" s="424">
        <f t="shared" si="68"/>
        <v>170496.00000000003</v>
      </c>
      <c r="AG659" s="405" t="s">
        <v>1069</v>
      </c>
      <c r="AH659" s="405"/>
      <c r="AI659" s="405">
        <v>60</v>
      </c>
      <c r="AJ659" s="406" t="s">
        <v>1289</v>
      </c>
      <c r="AK659" s="406" t="s">
        <v>1082</v>
      </c>
      <c r="AL659" s="414" t="s">
        <v>1899</v>
      </c>
      <c r="AM659" s="405" t="s">
        <v>52</v>
      </c>
      <c r="AN659" s="361" t="s">
        <v>1071</v>
      </c>
      <c r="AO659" s="405" t="s">
        <v>1073</v>
      </c>
      <c r="AP659" s="405"/>
      <c r="AQ659" s="413" t="s">
        <v>37</v>
      </c>
      <c r="AR659" s="405" t="s">
        <v>1188</v>
      </c>
      <c r="AS659" s="404"/>
      <c r="AT659" s="330"/>
      <c r="AU659" s="409">
        <f t="shared" si="71"/>
        <v>0.505</v>
      </c>
    </row>
    <row r="660" spans="1:47" s="402" customFormat="1">
      <c r="A660" s="426"/>
      <c r="B660" s="376">
        <v>44614</v>
      </c>
      <c r="C660" s="426"/>
      <c r="D660" s="443" t="s">
        <v>86</v>
      </c>
      <c r="E660" s="331"/>
      <c r="F660" s="432" t="s">
        <v>1898</v>
      </c>
      <c r="G660" s="350">
        <v>2022</v>
      </c>
      <c r="H660" s="350" t="s">
        <v>2383</v>
      </c>
      <c r="I660" s="432" t="s">
        <v>1498</v>
      </c>
      <c r="J660" s="433"/>
      <c r="K660" s="432" t="s">
        <v>3108</v>
      </c>
      <c r="L660" s="432" t="s">
        <v>1528</v>
      </c>
      <c r="M660" s="433">
        <v>44585</v>
      </c>
      <c r="N660" s="433">
        <v>44727</v>
      </c>
      <c r="O660" s="433"/>
      <c r="P660" s="332"/>
      <c r="Q660" s="433"/>
      <c r="R660" s="433"/>
      <c r="S660" s="432" t="s">
        <v>88</v>
      </c>
      <c r="T660" s="432">
        <v>60</v>
      </c>
      <c r="U660" s="432"/>
      <c r="V660" s="441" t="s">
        <v>986</v>
      </c>
      <c r="W660" s="432">
        <v>360</v>
      </c>
      <c r="X660" s="333">
        <v>768</v>
      </c>
      <c r="Y660" s="367">
        <f t="shared" si="66"/>
        <v>276480</v>
      </c>
      <c r="Z660" s="409">
        <f>192.6/360</f>
        <v>0.53500000000000003</v>
      </c>
      <c r="AA660" s="410">
        <f t="shared" si="70"/>
        <v>147916.80000000002</v>
      </c>
      <c r="AB660" s="411"/>
      <c r="AC660" s="412">
        <f t="shared" si="67"/>
        <v>0</v>
      </c>
      <c r="AD660" s="405"/>
      <c r="AE660" s="405"/>
      <c r="AF660" s="424">
        <f t="shared" si="68"/>
        <v>147916.80000000002</v>
      </c>
      <c r="AG660" s="405" t="s">
        <v>1069</v>
      </c>
      <c r="AH660" s="405"/>
      <c r="AI660" s="405">
        <v>60</v>
      </c>
      <c r="AJ660" s="406" t="s">
        <v>2350</v>
      </c>
      <c r="AK660" s="406" t="s">
        <v>1081</v>
      </c>
      <c r="AL660" s="414" t="s">
        <v>2351</v>
      </c>
      <c r="AM660" s="405" t="s">
        <v>52</v>
      </c>
      <c r="AN660" s="361" t="s">
        <v>1071</v>
      </c>
      <c r="AO660" s="405" t="s">
        <v>1073</v>
      </c>
      <c r="AP660" s="405"/>
      <c r="AQ660" s="413" t="s">
        <v>37</v>
      </c>
      <c r="AR660" s="405" t="s">
        <v>1188</v>
      </c>
      <c r="AS660" s="404"/>
      <c r="AT660" s="330"/>
      <c r="AU660" s="409">
        <f t="shared" si="71"/>
        <v>0.505</v>
      </c>
    </row>
    <row r="661" spans="1:47" s="402" customFormat="1">
      <c r="A661" s="426"/>
      <c r="B661" s="376">
        <v>44614</v>
      </c>
      <c r="C661" s="426"/>
      <c r="D661" s="443" t="s">
        <v>86</v>
      </c>
      <c r="E661" s="331"/>
      <c r="F661" s="432" t="s">
        <v>1898</v>
      </c>
      <c r="G661" s="350">
        <v>2022</v>
      </c>
      <c r="H661" s="350" t="s">
        <v>2383</v>
      </c>
      <c r="I661" s="432" t="s">
        <v>1498</v>
      </c>
      <c r="J661" s="433"/>
      <c r="K661" s="432" t="s">
        <v>3109</v>
      </c>
      <c r="L661" s="432" t="s">
        <v>1528</v>
      </c>
      <c r="M661" s="433">
        <v>44585</v>
      </c>
      <c r="N661" s="433">
        <v>44755</v>
      </c>
      <c r="O661" s="433"/>
      <c r="P661" s="332"/>
      <c r="Q661" s="433"/>
      <c r="R661" s="433"/>
      <c r="S661" s="432" t="s">
        <v>88</v>
      </c>
      <c r="T661" s="432">
        <v>60</v>
      </c>
      <c r="U661" s="432"/>
      <c r="V661" s="441" t="s">
        <v>986</v>
      </c>
      <c r="W661" s="432">
        <v>360</v>
      </c>
      <c r="X661" s="333">
        <v>768</v>
      </c>
      <c r="Y661" s="367">
        <f t="shared" si="66"/>
        <v>276480</v>
      </c>
      <c r="Z661" s="409">
        <f>192.6/360</f>
        <v>0.53500000000000003</v>
      </c>
      <c r="AA661" s="410">
        <f t="shared" si="70"/>
        <v>147916.80000000002</v>
      </c>
      <c r="AB661" s="411"/>
      <c r="AC661" s="412">
        <f t="shared" si="67"/>
        <v>0</v>
      </c>
      <c r="AD661" s="405"/>
      <c r="AE661" s="405"/>
      <c r="AF661" s="424">
        <f t="shared" si="68"/>
        <v>147916.80000000002</v>
      </c>
      <c r="AG661" s="405" t="s">
        <v>1069</v>
      </c>
      <c r="AH661" s="405"/>
      <c r="AI661" s="405">
        <v>60</v>
      </c>
      <c r="AJ661" s="406" t="s">
        <v>2350</v>
      </c>
      <c r="AK661" s="406" t="s">
        <v>1081</v>
      </c>
      <c r="AL661" s="414" t="s">
        <v>2351</v>
      </c>
      <c r="AM661" s="405" t="s">
        <v>52</v>
      </c>
      <c r="AN661" s="361" t="s">
        <v>1071</v>
      </c>
      <c r="AO661" s="405" t="s">
        <v>1073</v>
      </c>
      <c r="AP661" s="405"/>
      <c r="AQ661" s="413" t="s">
        <v>37</v>
      </c>
      <c r="AR661" s="405" t="s">
        <v>1188</v>
      </c>
      <c r="AS661" s="404"/>
      <c r="AT661" s="330"/>
      <c r="AU661" s="409">
        <f t="shared" si="71"/>
        <v>0.505</v>
      </c>
    </row>
    <row r="662" spans="1:47" s="402" customFormat="1">
      <c r="A662" s="426"/>
      <c r="B662" s="376"/>
      <c r="C662" s="426"/>
      <c r="D662" s="443" t="s">
        <v>86</v>
      </c>
      <c r="E662" s="331"/>
      <c r="F662" s="432" t="s">
        <v>1898</v>
      </c>
      <c r="G662" s="350">
        <v>2022</v>
      </c>
      <c r="H662" s="350" t="s">
        <v>2383</v>
      </c>
      <c r="I662" s="432" t="s">
        <v>1498</v>
      </c>
      <c r="J662" s="433"/>
      <c r="K662" s="432" t="s">
        <v>3110</v>
      </c>
      <c r="L662" s="432" t="s">
        <v>1528</v>
      </c>
      <c r="M662" s="433">
        <v>44585</v>
      </c>
      <c r="N662" s="433">
        <v>44818</v>
      </c>
      <c r="O662" s="433"/>
      <c r="P662" s="332"/>
      <c r="Q662" s="433"/>
      <c r="R662" s="433"/>
      <c r="S662" s="432" t="s">
        <v>88</v>
      </c>
      <c r="T662" s="432">
        <v>60</v>
      </c>
      <c r="U662" s="432"/>
      <c r="V662" s="441" t="s">
        <v>986</v>
      </c>
      <c r="W662" s="432">
        <v>360</v>
      </c>
      <c r="X662" s="333">
        <v>768</v>
      </c>
      <c r="Y662" s="367">
        <f t="shared" si="66"/>
        <v>276480</v>
      </c>
      <c r="Z662" s="409">
        <f>192.6/360</f>
        <v>0.53500000000000003</v>
      </c>
      <c r="AA662" s="410">
        <f t="shared" si="70"/>
        <v>147916.80000000002</v>
      </c>
      <c r="AB662" s="411"/>
      <c r="AC662" s="412">
        <f t="shared" si="67"/>
        <v>0</v>
      </c>
      <c r="AD662" s="405"/>
      <c r="AE662" s="405"/>
      <c r="AF662" s="424">
        <f t="shared" si="68"/>
        <v>147916.80000000002</v>
      </c>
      <c r="AG662" s="405" t="s">
        <v>1069</v>
      </c>
      <c r="AH662" s="405"/>
      <c r="AI662" s="405">
        <v>60</v>
      </c>
      <c r="AJ662" s="406" t="s">
        <v>2350</v>
      </c>
      <c r="AK662" s="406" t="s">
        <v>1081</v>
      </c>
      <c r="AL662" s="414" t="s">
        <v>2351</v>
      </c>
      <c r="AM662" s="405" t="s">
        <v>52</v>
      </c>
      <c r="AN662" s="361" t="s">
        <v>1071</v>
      </c>
      <c r="AO662" s="405" t="s">
        <v>1073</v>
      </c>
      <c r="AP662" s="405"/>
      <c r="AQ662" s="413" t="s">
        <v>37</v>
      </c>
      <c r="AR662" s="405" t="s">
        <v>1188</v>
      </c>
      <c r="AS662" s="404"/>
      <c r="AT662" s="330"/>
      <c r="AU662" s="409">
        <f t="shared" si="71"/>
        <v>0.505</v>
      </c>
    </row>
    <row r="663" spans="1:47" s="402" customFormat="1">
      <c r="A663" s="426"/>
      <c r="B663" s="376">
        <v>44615</v>
      </c>
      <c r="C663" s="426"/>
      <c r="D663" s="443" t="s">
        <v>86</v>
      </c>
      <c r="E663" s="331"/>
      <c r="F663" s="432" t="s">
        <v>1898</v>
      </c>
      <c r="G663" s="350">
        <v>2022</v>
      </c>
      <c r="H663" s="350" t="s">
        <v>2383</v>
      </c>
      <c r="I663" s="432" t="s">
        <v>1498</v>
      </c>
      <c r="J663" s="433"/>
      <c r="K663" s="432" t="s">
        <v>3111</v>
      </c>
      <c r="L663" s="432" t="s">
        <v>1528</v>
      </c>
      <c r="M663" s="433">
        <v>44596</v>
      </c>
      <c r="N663" s="433">
        <v>44806</v>
      </c>
      <c r="O663" s="433"/>
      <c r="P663" s="332"/>
      <c r="Q663" s="433"/>
      <c r="R663" s="433"/>
      <c r="S663" s="432" t="s">
        <v>88</v>
      </c>
      <c r="T663" s="432">
        <v>60</v>
      </c>
      <c r="U663" s="432"/>
      <c r="V663" s="441" t="s">
        <v>986</v>
      </c>
      <c r="W663" s="432">
        <v>360</v>
      </c>
      <c r="X663" s="333">
        <v>1536</v>
      </c>
      <c r="Y663" s="367">
        <f t="shared" si="66"/>
        <v>552960</v>
      </c>
      <c r="Z663" s="409">
        <f>192.6/360</f>
        <v>0.53500000000000003</v>
      </c>
      <c r="AA663" s="410">
        <f t="shared" si="70"/>
        <v>295833.60000000003</v>
      </c>
      <c r="AB663" s="411"/>
      <c r="AC663" s="412">
        <f t="shared" si="67"/>
        <v>0</v>
      </c>
      <c r="AD663" s="405"/>
      <c r="AE663" s="405"/>
      <c r="AF663" s="424">
        <f t="shared" si="68"/>
        <v>295833.60000000003</v>
      </c>
      <c r="AG663" s="405" t="s">
        <v>1069</v>
      </c>
      <c r="AH663" s="405"/>
      <c r="AI663" s="405">
        <v>60</v>
      </c>
      <c r="AJ663" s="406" t="s">
        <v>1289</v>
      </c>
      <c r="AK663" s="406" t="s">
        <v>1082</v>
      </c>
      <c r="AL663" s="414" t="s">
        <v>1899</v>
      </c>
      <c r="AM663" s="405" t="s">
        <v>52</v>
      </c>
      <c r="AN663" s="361" t="s">
        <v>1071</v>
      </c>
      <c r="AO663" s="405" t="s">
        <v>1073</v>
      </c>
      <c r="AP663" s="405"/>
      <c r="AQ663" s="413" t="s">
        <v>37</v>
      </c>
      <c r="AR663" s="405" t="s">
        <v>1188</v>
      </c>
      <c r="AS663" s="404"/>
      <c r="AT663" s="330"/>
      <c r="AU663" s="409">
        <f t="shared" si="71"/>
        <v>0.505</v>
      </c>
    </row>
    <row r="664" spans="1:47" s="402" customFormat="1">
      <c r="A664" s="426"/>
      <c r="B664" s="376">
        <v>44615</v>
      </c>
      <c r="C664" s="426"/>
      <c r="D664" s="443" t="s">
        <v>86</v>
      </c>
      <c r="E664" s="331"/>
      <c r="F664" s="432" t="s">
        <v>1898</v>
      </c>
      <c r="G664" s="350">
        <v>2022</v>
      </c>
      <c r="H664" s="350" t="s">
        <v>2383</v>
      </c>
      <c r="I664" s="432" t="s">
        <v>1498</v>
      </c>
      <c r="J664" s="433"/>
      <c r="K664" s="432" t="s">
        <v>3112</v>
      </c>
      <c r="L664" s="432" t="s">
        <v>1528</v>
      </c>
      <c r="M664" s="433">
        <v>44596</v>
      </c>
      <c r="N664" s="433">
        <v>44778</v>
      </c>
      <c r="O664" s="433"/>
      <c r="P664" s="332"/>
      <c r="Q664" s="433"/>
      <c r="R664" s="433"/>
      <c r="S664" s="432" t="s">
        <v>88</v>
      </c>
      <c r="T664" s="432">
        <v>60</v>
      </c>
      <c r="U664" s="432"/>
      <c r="V664" s="441" t="s">
        <v>986</v>
      </c>
      <c r="W664" s="432">
        <v>360</v>
      </c>
      <c r="X664" s="333">
        <v>1536</v>
      </c>
      <c r="Y664" s="367">
        <f t="shared" si="66"/>
        <v>552960</v>
      </c>
      <c r="Z664" s="409">
        <f>192.6/360</f>
        <v>0.53500000000000003</v>
      </c>
      <c r="AA664" s="410">
        <f t="shared" si="70"/>
        <v>295833.60000000003</v>
      </c>
      <c r="AB664" s="411"/>
      <c r="AC664" s="412">
        <f t="shared" si="67"/>
        <v>0</v>
      </c>
      <c r="AD664" s="405"/>
      <c r="AE664" s="405"/>
      <c r="AF664" s="424">
        <f t="shared" si="68"/>
        <v>295833.60000000003</v>
      </c>
      <c r="AG664" s="405" t="s">
        <v>1069</v>
      </c>
      <c r="AH664" s="405"/>
      <c r="AI664" s="405">
        <v>60</v>
      </c>
      <c r="AJ664" s="406" t="s">
        <v>1289</v>
      </c>
      <c r="AK664" s="406" t="s">
        <v>1082</v>
      </c>
      <c r="AL664" s="414" t="s">
        <v>1899</v>
      </c>
      <c r="AM664" s="405" t="s">
        <v>52</v>
      </c>
      <c r="AN664" s="361" t="s">
        <v>1071</v>
      </c>
      <c r="AO664" s="405" t="s">
        <v>1073</v>
      </c>
      <c r="AP664" s="405"/>
      <c r="AQ664" s="413" t="s">
        <v>37</v>
      </c>
      <c r="AR664" s="405" t="s">
        <v>1188</v>
      </c>
      <c r="AS664" s="404"/>
      <c r="AT664" s="330"/>
      <c r="AU664" s="409">
        <f t="shared" si="71"/>
        <v>0.505</v>
      </c>
    </row>
    <row r="665" spans="1:47" s="402" customFormat="1">
      <c r="A665" s="426"/>
      <c r="B665" s="376">
        <v>44615</v>
      </c>
      <c r="C665" s="426"/>
      <c r="D665" s="443" t="s">
        <v>86</v>
      </c>
      <c r="E665" s="331" t="s">
        <v>3113</v>
      </c>
      <c r="F665" s="432" t="s">
        <v>1898</v>
      </c>
      <c r="G665" s="350">
        <v>2022</v>
      </c>
      <c r="H665" s="350" t="s">
        <v>2383</v>
      </c>
      <c r="I665" s="432" t="s">
        <v>1498</v>
      </c>
      <c r="J665" s="433"/>
      <c r="K665" s="432" t="s">
        <v>3114</v>
      </c>
      <c r="L665" s="432" t="s">
        <v>1528</v>
      </c>
      <c r="M665" s="433">
        <v>44636</v>
      </c>
      <c r="N665" s="433">
        <v>44778</v>
      </c>
      <c r="O665" s="433"/>
      <c r="P665" s="332"/>
      <c r="Q665" s="433"/>
      <c r="R665" s="433"/>
      <c r="S665" s="432" t="s">
        <v>88</v>
      </c>
      <c r="T665" s="432">
        <v>60</v>
      </c>
      <c r="U665" s="432"/>
      <c r="V665" s="441" t="s">
        <v>986</v>
      </c>
      <c r="W665" s="432">
        <v>360</v>
      </c>
      <c r="X665" s="333">
        <v>768</v>
      </c>
      <c r="Y665" s="367">
        <f t="shared" si="66"/>
        <v>276480</v>
      </c>
      <c r="Z665" s="409">
        <f>181.8/360</f>
        <v>0.505</v>
      </c>
      <c r="AA665" s="410">
        <f t="shared" si="70"/>
        <v>139622.39999999999</v>
      </c>
      <c r="AB665" s="411"/>
      <c r="AC665" s="412">
        <f t="shared" si="67"/>
        <v>0</v>
      </c>
      <c r="AD665" s="405"/>
      <c r="AE665" s="405"/>
      <c r="AF665" s="424">
        <f t="shared" si="68"/>
        <v>139622.39999999999</v>
      </c>
      <c r="AG665" s="405" t="s">
        <v>1069</v>
      </c>
      <c r="AH665" s="405"/>
      <c r="AI665" s="405">
        <v>60</v>
      </c>
      <c r="AJ665" s="406" t="s">
        <v>1289</v>
      </c>
      <c r="AK665" s="406" t="s">
        <v>1082</v>
      </c>
      <c r="AL665" s="414" t="s">
        <v>1899</v>
      </c>
      <c r="AM665" s="405" t="s">
        <v>52</v>
      </c>
      <c r="AN665" s="361" t="s">
        <v>1071</v>
      </c>
      <c r="AO665" s="405" t="s">
        <v>1073</v>
      </c>
      <c r="AP665" s="405"/>
      <c r="AQ665" s="413" t="s">
        <v>37</v>
      </c>
      <c r="AR665" s="405" t="s">
        <v>1188</v>
      </c>
      <c r="AS665" s="404"/>
      <c r="AT665" s="330"/>
      <c r="AU665" s="409">
        <f t="shared" si="71"/>
        <v>0.505</v>
      </c>
    </row>
    <row r="666" spans="1:47" s="402" customFormat="1">
      <c r="A666" s="426"/>
      <c r="B666" s="376">
        <v>44615</v>
      </c>
      <c r="C666" s="426"/>
      <c r="D666" s="443" t="s">
        <v>86</v>
      </c>
      <c r="E666" s="331" t="s">
        <v>3113</v>
      </c>
      <c r="F666" s="432" t="s">
        <v>1898</v>
      </c>
      <c r="G666" s="350">
        <v>2022</v>
      </c>
      <c r="H666" s="350" t="s">
        <v>2383</v>
      </c>
      <c r="I666" s="432" t="s">
        <v>1498</v>
      </c>
      <c r="J666" s="433"/>
      <c r="K666" s="432" t="s">
        <v>3114</v>
      </c>
      <c r="L666" s="432" t="s">
        <v>1528</v>
      </c>
      <c r="M666" s="433">
        <v>44636</v>
      </c>
      <c r="N666" s="433">
        <v>44778</v>
      </c>
      <c r="O666" s="433"/>
      <c r="P666" s="332"/>
      <c r="Q666" s="433"/>
      <c r="R666" s="433"/>
      <c r="S666" s="432" t="s">
        <v>88</v>
      </c>
      <c r="T666" s="432">
        <v>60</v>
      </c>
      <c r="U666" s="432"/>
      <c r="V666" s="441" t="s">
        <v>973</v>
      </c>
      <c r="W666" s="432">
        <v>400</v>
      </c>
      <c r="X666" s="333">
        <v>768</v>
      </c>
      <c r="Y666" s="367">
        <f t="shared" si="66"/>
        <v>307200</v>
      </c>
      <c r="Z666" s="409">
        <f>222/400</f>
        <v>0.55500000000000005</v>
      </c>
      <c r="AA666" s="410">
        <f t="shared" si="70"/>
        <v>170496.00000000003</v>
      </c>
      <c r="AB666" s="411"/>
      <c r="AC666" s="412">
        <f t="shared" si="67"/>
        <v>0</v>
      </c>
      <c r="AD666" s="405"/>
      <c r="AE666" s="405"/>
      <c r="AF666" s="424">
        <f t="shared" si="68"/>
        <v>170496.00000000003</v>
      </c>
      <c r="AG666" s="405" t="s">
        <v>1069</v>
      </c>
      <c r="AH666" s="405"/>
      <c r="AI666" s="405">
        <v>60</v>
      </c>
      <c r="AJ666" s="406" t="s">
        <v>1289</v>
      </c>
      <c r="AK666" s="406" t="s">
        <v>1082</v>
      </c>
      <c r="AL666" s="414" t="s">
        <v>1899</v>
      </c>
      <c r="AM666" s="405" t="s">
        <v>52</v>
      </c>
      <c r="AN666" s="361" t="s">
        <v>1071</v>
      </c>
      <c r="AO666" s="405" t="s">
        <v>1073</v>
      </c>
      <c r="AP666" s="405"/>
      <c r="AQ666" s="413" t="s">
        <v>37</v>
      </c>
      <c r="AR666" s="405" t="s">
        <v>1188</v>
      </c>
      <c r="AS666" s="404"/>
      <c r="AT666" s="330"/>
      <c r="AU666" s="409">
        <f t="shared" si="71"/>
        <v>0.505</v>
      </c>
    </row>
    <row r="667" spans="1:47" s="402" customFormat="1">
      <c r="A667" s="426"/>
      <c r="B667" s="376">
        <v>44615</v>
      </c>
      <c r="C667" s="426"/>
      <c r="D667" s="443" t="s">
        <v>86</v>
      </c>
      <c r="E667" s="331" t="s">
        <v>3113</v>
      </c>
      <c r="F667" s="432" t="s">
        <v>1898</v>
      </c>
      <c r="G667" s="350">
        <v>2022</v>
      </c>
      <c r="H667" s="350" t="s">
        <v>2383</v>
      </c>
      <c r="I667" s="432" t="s">
        <v>1498</v>
      </c>
      <c r="J667" s="433"/>
      <c r="K667" s="432" t="s">
        <v>3115</v>
      </c>
      <c r="L667" s="432" t="s">
        <v>1528</v>
      </c>
      <c r="M667" s="433">
        <v>44636</v>
      </c>
      <c r="N667" s="433">
        <v>44809</v>
      </c>
      <c r="O667" s="433"/>
      <c r="P667" s="332"/>
      <c r="Q667" s="433"/>
      <c r="R667" s="433"/>
      <c r="S667" s="432" t="s">
        <v>88</v>
      </c>
      <c r="T667" s="432">
        <v>60</v>
      </c>
      <c r="U667" s="432"/>
      <c r="V667" s="441" t="s">
        <v>986</v>
      </c>
      <c r="W667" s="432">
        <v>360</v>
      </c>
      <c r="X667" s="333">
        <v>768</v>
      </c>
      <c r="Y667" s="367">
        <f t="shared" si="66"/>
        <v>276480</v>
      </c>
      <c r="Z667" s="409">
        <f>181.8/360</f>
        <v>0.505</v>
      </c>
      <c r="AA667" s="410">
        <f t="shared" si="70"/>
        <v>139622.39999999999</v>
      </c>
      <c r="AB667" s="411"/>
      <c r="AC667" s="412">
        <f t="shared" si="67"/>
        <v>0</v>
      </c>
      <c r="AD667" s="405"/>
      <c r="AE667" s="405"/>
      <c r="AF667" s="424">
        <f t="shared" si="68"/>
        <v>139622.39999999999</v>
      </c>
      <c r="AG667" s="405" t="s">
        <v>1069</v>
      </c>
      <c r="AH667" s="405"/>
      <c r="AI667" s="405">
        <v>60</v>
      </c>
      <c r="AJ667" s="406" t="s">
        <v>1289</v>
      </c>
      <c r="AK667" s="406" t="s">
        <v>1082</v>
      </c>
      <c r="AL667" s="414" t="s">
        <v>1899</v>
      </c>
      <c r="AM667" s="405" t="s">
        <v>52</v>
      </c>
      <c r="AN667" s="361" t="s">
        <v>1071</v>
      </c>
      <c r="AO667" s="405" t="s">
        <v>1073</v>
      </c>
      <c r="AP667" s="405"/>
      <c r="AQ667" s="413" t="s">
        <v>37</v>
      </c>
      <c r="AR667" s="405" t="s">
        <v>1188</v>
      </c>
      <c r="AS667" s="404"/>
      <c r="AT667" s="330"/>
      <c r="AU667" s="409">
        <f t="shared" si="71"/>
        <v>0.505</v>
      </c>
    </row>
    <row r="668" spans="1:47" s="402" customFormat="1">
      <c r="A668" s="426"/>
      <c r="B668" s="376">
        <v>44615</v>
      </c>
      <c r="C668" s="426"/>
      <c r="D668" s="443" t="s">
        <v>86</v>
      </c>
      <c r="E668" s="331" t="s">
        <v>3113</v>
      </c>
      <c r="F668" s="432" t="s">
        <v>1898</v>
      </c>
      <c r="G668" s="350">
        <v>2022</v>
      </c>
      <c r="H668" s="350" t="s">
        <v>2383</v>
      </c>
      <c r="I668" s="432" t="s">
        <v>1498</v>
      </c>
      <c r="J668" s="433"/>
      <c r="K668" s="432" t="s">
        <v>3115</v>
      </c>
      <c r="L668" s="432" t="s">
        <v>1528</v>
      </c>
      <c r="M668" s="433">
        <v>44636</v>
      </c>
      <c r="N668" s="433">
        <v>44809</v>
      </c>
      <c r="O668" s="433"/>
      <c r="P668" s="332"/>
      <c r="Q668" s="433"/>
      <c r="R668" s="433"/>
      <c r="S668" s="432" t="s">
        <v>88</v>
      </c>
      <c r="T668" s="432">
        <v>60</v>
      </c>
      <c r="U668" s="432"/>
      <c r="V668" s="441" t="s">
        <v>973</v>
      </c>
      <c r="W668" s="432">
        <v>400</v>
      </c>
      <c r="X668" s="333">
        <v>768</v>
      </c>
      <c r="Y668" s="367">
        <f t="shared" si="66"/>
        <v>307200</v>
      </c>
      <c r="Z668" s="409">
        <f>222/400</f>
        <v>0.55500000000000005</v>
      </c>
      <c r="AA668" s="410">
        <f t="shared" si="70"/>
        <v>170496.00000000003</v>
      </c>
      <c r="AB668" s="411"/>
      <c r="AC668" s="412">
        <f t="shared" si="67"/>
        <v>0</v>
      </c>
      <c r="AD668" s="405"/>
      <c r="AE668" s="405"/>
      <c r="AF668" s="424">
        <f t="shared" si="68"/>
        <v>170496.00000000003</v>
      </c>
      <c r="AG668" s="405" t="s">
        <v>1069</v>
      </c>
      <c r="AH668" s="405"/>
      <c r="AI668" s="405">
        <v>60</v>
      </c>
      <c r="AJ668" s="406" t="s">
        <v>1289</v>
      </c>
      <c r="AK668" s="406" t="s">
        <v>1082</v>
      </c>
      <c r="AL668" s="414" t="s">
        <v>1899</v>
      </c>
      <c r="AM668" s="405" t="s">
        <v>52</v>
      </c>
      <c r="AN668" s="361" t="s">
        <v>1071</v>
      </c>
      <c r="AO668" s="405" t="s">
        <v>1073</v>
      </c>
      <c r="AP668" s="405"/>
      <c r="AQ668" s="413" t="s">
        <v>37</v>
      </c>
      <c r="AR668" s="405" t="s">
        <v>1188</v>
      </c>
      <c r="AS668" s="404"/>
      <c r="AT668" s="330"/>
      <c r="AU668" s="409">
        <f t="shared" si="71"/>
        <v>0.505</v>
      </c>
    </row>
    <row r="669" spans="1:47" s="402" customFormat="1">
      <c r="A669" s="426"/>
      <c r="B669" s="376"/>
      <c r="C669" s="426"/>
      <c r="D669" s="443" t="s">
        <v>86</v>
      </c>
      <c r="E669" s="331"/>
      <c r="F669" s="432"/>
      <c r="G669" s="350">
        <v>2022</v>
      </c>
      <c r="H669" s="350" t="s">
        <v>2978</v>
      </c>
      <c r="I669" s="432" t="s">
        <v>1498</v>
      </c>
      <c r="J669" s="433"/>
      <c r="K669" s="432">
        <v>1154</v>
      </c>
      <c r="L669" s="432" t="s">
        <v>1556</v>
      </c>
      <c r="M669" s="433">
        <v>44517</v>
      </c>
      <c r="N669" s="433">
        <v>44518</v>
      </c>
      <c r="O669" s="433"/>
      <c r="P669" s="332"/>
      <c r="Q669" s="433"/>
      <c r="R669" s="433"/>
      <c r="S669" s="432" t="s">
        <v>1510</v>
      </c>
      <c r="T669" s="432">
        <v>60</v>
      </c>
      <c r="U669" s="432" t="s">
        <v>1102</v>
      </c>
      <c r="V669" s="441" t="s">
        <v>1557</v>
      </c>
      <c r="W669" s="432">
        <v>360</v>
      </c>
      <c r="X669" s="333">
        <v>832</v>
      </c>
      <c r="Y669" s="367">
        <f t="shared" si="66"/>
        <v>299520</v>
      </c>
      <c r="Z669" s="409">
        <f>194.4/360</f>
        <v>0.54</v>
      </c>
      <c r="AA669" s="410">
        <f t="shared" si="70"/>
        <v>161740.80000000002</v>
      </c>
      <c r="AB669" s="411"/>
      <c r="AC669" s="412">
        <f t="shared" si="67"/>
        <v>0</v>
      </c>
      <c r="AD669" s="405"/>
      <c r="AE669" s="405"/>
      <c r="AF669" s="424">
        <f t="shared" si="68"/>
        <v>161740.80000000002</v>
      </c>
      <c r="AG669" s="405" t="s">
        <v>1069</v>
      </c>
      <c r="AH669" s="405">
        <v>100</v>
      </c>
      <c r="AI669" s="405">
        <v>0</v>
      </c>
      <c r="AJ669" s="406" t="s">
        <v>1558</v>
      </c>
      <c r="AK669" s="406" t="s">
        <v>50</v>
      </c>
      <c r="AL669" s="414">
        <v>92010</v>
      </c>
      <c r="AM669" s="405" t="s">
        <v>52</v>
      </c>
      <c r="AN669" s="361"/>
      <c r="AO669" s="405" t="s">
        <v>1073</v>
      </c>
      <c r="AP669" s="405"/>
      <c r="AQ669" s="413" t="s">
        <v>37</v>
      </c>
      <c r="AR669" s="405" t="s">
        <v>1188</v>
      </c>
      <c r="AS669" s="404"/>
      <c r="AT669" s="330"/>
      <c r="AU669" s="409">
        <f t="shared" si="71"/>
        <v>0.505</v>
      </c>
    </row>
    <row r="670" spans="1:47" s="402" customFormat="1">
      <c r="A670" s="426"/>
      <c r="B670" s="376"/>
      <c r="C670" s="426"/>
      <c r="D670" s="443" t="s">
        <v>86</v>
      </c>
      <c r="E670" s="331"/>
      <c r="F670" s="432"/>
      <c r="G670" s="350">
        <v>2022</v>
      </c>
      <c r="H670" s="350" t="s">
        <v>2978</v>
      </c>
      <c r="I670" s="432" t="s">
        <v>1498</v>
      </c>
      <c r="J670" s="433"/>
      <c r="K670" s="432">
        <v>1155</v>
      </c>
      <c r="L670" s="432" t="s">
        <v>1556</v>
      </c>
      <c r="M670" s="433">
        <v>44517</v>
      </c>
      <c r="N670" s="433">
        <v>44517</v>
      </c>
      <c r="O670" s="433"/>
      <c r="P670" s="332"/>
      <c r="Q670" s="433"/>
      <c r="R670" s="433"/>
      <c r="S670" s="432" t="s">
        <v>1510</v>
      </c>
      <c r="T670" s="432">
        <v>60</v>
      </c>
      <c r="U670" s="432" t="s">
        <v>1102</v>
      </c>
      <c r="V670" s="441" t="s">
        <v>1557</v>
      </c>
      <c r="W670" s="432">
        <v>360</v>
      </c>
      <c r="X670" s="333">
        <v>832</v>
      </c>
      <c r="Y670" s="367">
        <f t="shared" si="66"/>
        <v>299520</v>
      </c>
      <c r="Z670" s="409">
        <f>194.4/360</f>
        <v>0.54</v>
      </c>
      <c r="AA670" s="410">
        <f t="shared" si="70"/>
        <v>161740.80000000002</v>
      </c>
      <c r="AB670" s="411"/>
      <c r="AC670" s="412">
        <f t="shared" si="67"/>
        <v>0</v>
      </c>
      <c r="AD670" s="405"/>
      <c r="AE670" s="405"/>
      <c r="AF670" s="424">
        <f t="shared" si="68"/>
        <v>161740.80000000002</v>
      </c>
      <c r="AG670" s="405" t="s">
        <v>1069</v>
      </c>
      <c r="AH670" s="405">
        <v>100</v>
      </c>
      <c r="AI670" s="405">
        <v>0</v>
      </c>
      <c r="AJ670" s="406" t="s">
        <v>1558</v>
      </c>
      <c r="AK670" s="406" t="s">
        <v>50</v>
      </c>
      <c r="AL670" s="414">
        <v>92010</v>
      </c>
      <c r="AM670" s="405" t="s">
        <v>52</v>
      </c>
      <c r="AN670" s="361"/>
      <c r="AO670" s="405" t="s">
        <v>1073</v>
      </c>
      <c r="AP670" s="405"/>
      <c r="AQ670" s="413" t="s">
        <v>37</v>
      </c>
      <c r="AR670" s="405" t="s">
        <v>1188</v>
      </c>
      <c r="AS670" s="404"/>
      <c r="AT670" s="330"/>
      <c r="AU670" s="409">
        <f t="shared" si="71"/>
        <v>0.505</v>
      </c>
    </row>
    <row r="671" spans="1:47" s="402" customFormat="1">
      <c r="A671" s="426"/>
      <c r="B671" s="376">
        <v>44641</v>
      </c>
      <c r="C671" s="426"/>
      <c r="D671" s="443" t="s">
        <v>86</v>
      </c>
      <c r="E671" s="331"/>
      <c r="F671" s="432"/>
      <c r="G671" s="350">
        <v>2022</v>
      </c>
      <c r="H671" s="350" t="s">
        <v>2978</v>
      </c>
      <c r="I671" s="432" t="s">
        <v>1498</v>
      </c>
      <c r="J671" s="433"/>
      <c r="K671" s="432">
        <v>1158</v>
      </c>
      <c r="L671" s="432" t="s">
        <v>1556</v>
      </c>
      <c r="M671" s="433">
        <v>44488</v>
      </c>
      <c r="N671" s="433">
        <v>44621</v>
      </c>
      <c r="O671" s="433"/>
      <c r="P671" s="332"/>
      <c r="Q671" s="433"/>
      <c r="R671" s="433"/>
      <c r="S671" s="432" t="s">
        <v>1510</v>
      </c>
      <c r="T671" s="432">
        <v>60</v>
      </c>
      <c r="U671" s="432" t="s">
        <v>1102</v>
      </c>
      <c r="V671" s="441" t="s">
        <v>1970</v>
      </c>
      <c r="W671" s="432">
        <v>400</v>
      </c>
      <c r="X671" s="333">
        <v>832</v>
      </c>
      <c r="Y671" s="367">
        <f t="shared" si="66"/>
        <v>332800</v>
      </c>
      <c r="Z671" s="409">
        <f>224/400</f>
        <v>0.56000000000000005</v>
      </c>
      <c r="AA671" s="410">
        <f t="shared" si="70"/>
        <v>186368.00000000003</v>
      </c>
      <c r="AB671" s="411"/>
      <c r="AC671" s="412">
        <f t="shared" si="67"/>
        <v>0</v>
      </c>
      <c r="AD671" s="405"/>
      <c r="AE671" s="405"/>
      <c r="AF671" s="424">
        <f t="shared" si="68"/>
        <v>186368.00000000003</v>
      </c>
      <c r="AG671" s="405" t="s">
        <v>1069</v>
      </c>
      <c r="AH671" s="405">
        <v>100</v>
      </c>
      <c r="AI671" s="405">
        <v>0</v>
      </c>
      <c r="AJ671" s="406" t="s">
        <v>1558</v>
      </c>
      <c r="AK671" s="406" t="s">
        <v>50</v>
      </c>
      <c r="AL671" s="414">
        <v>92010</v>
      </c>
      <c r="AM671" s="405" t="s">
        <v>52</v>
      </c>
      <c r="AN671" s="361"/>
      <c r="AO671" s="405" t="s">
        <v>1073</v>
      </c>
      <c r="AP671" s="405"/>
      <c r="AQ671" s="413" t="s">
        <v>37</v>
      </c>
      <c r="AR671" s="405" t="s">
        <v>1188</v>
      </c>
      <c r="AS671" s="404"/>
      <c r="AT671" s="330"/>
      <c r="AU671" s="409">
        <f>212/400</f>
        <v>0.53</v>
      </c>
    </row>
    <row r="672" spans="1:47" s="402" customFormat="1">
      <c r="A672" s="426"/>
      <c r="B672" s="376"/>
      <c r="C672" s="426"/>
      <c r="D672" s="443" t="s">
        <v>86</v>
      </c>
      <c r="E672" s="331"/>
      <c r="F672" s="432"/>
      <c r="G672" s="350">
        <v>2022</v>
      </c>
      <c r="H672" s="350" t="s">
        <v>2978</v>
      </c>
      <c r="I672" s="432" t="s">
        <v>1498</v>
      </c>
      <c r="J672" s="433"/>
      <c r="K672" s="432">
        <v>1181</v>
      </c>
      <c r="L672" s="432" t="s">
        <v>1556</v>
      </c>
      <c r="M672" s="433">
        <v>44585</v>
      </c>
      <c r="N672" s="433">
        <v>44655</v>
      </c>
      <c r="O672" s="433"/>
      <c r="P672" s="332"/>
      <c r="Q672" s="433"/>
      <c r="R672" s="433"/>
      <c r="S672" s="432" t="s">
        <v>1510</v>
      </c>
      <c r="T672" s="432">
        <v>60</v>
      </c>
      <c r="U672" s="432" t="s">
        <v>1102</v>
      </c>
      <c r="V672" s="441" t="s">
        <v>986</v>
      </c>
      <c r="W672" s="432">
        <v>360</v>
      </c>
      <c r="X672" s="333">
        <v>2496</v>
      </c>
      <c r="Y672" s="367">
        <f t="shared" si="66"/>
        <v>898560</v>
      </c>
      <c r="Z672" s="409">
        <f t="shared" ref="Z672:Z680" si="72">194.4/360</f>
        <v>0.54</v>
      </c>
      <c r="AA672" s="410">
        <f t="shared" si="70"/>
        <v>485222.40000000002</v>
      </c>
      <c r="AB672" s="411"/>
      <c r="AC672" s="412">
        <f t="shared" si="67"/>
        <v>0</v>
      </c>
      <c r="AD672" s="405"/>
      <c r="AE672" s="405"/>
      <c r="AF672" s="424">
        <f t="shared" si="68"/>
        <v>485222.40000000002</v>
      </c>
      <c r="AG672" s="405" t="s">
        <v>1069</v>
      </c>
      <c r="AH672" s="405">
        <v>100</v>
      </c>
      <c r="AI672" s="405">
        <v>0</v>
      </c>
      <c r="AJ672" s="406" t="s">
        <v>1558</v>
      </c>
      <c r="AK672" s="406" t="s">
        <v>50</v>
      </c>
      <c r="AL672" s="414">
        <v>92010</v>
      </c>
      <c r="AM672" s="405" t="s">
        <v>52</v>
      </c>
      <c r="AN672" s="361"/>
      <c r="AO672" s="405" t="s">
        <v>1073</v>
      </c>
      <c r="AP672" s="405"/>
      <c r="AQ672" s="413" t="s">
        <v>37</v>
      </c>
      <c r="AR672" s="405" t="s">
        <v>1188</v>
      </c>
      <c r="AS672" s="404"/>
      <c r="AT672" s="330"/>
      <c r="AU672" s="409">
        <f t="shared" ref="AU672:AU680" si="73">181.8/360</f>
        <v>0.505</v>
      </c>
    </row>
    <row r="673" spans="1:47" s="402" customFormat="1">
      <c r="A673" s="426"/>
      <c r="B673" s="376"/>
      <c r="C673" s="426"/>
      <c r="D673" s="443" t="s">
        <v>86</v>
      </c>
      <c r="E673" s="331"/>
      <c r="F673" s="432"/>
      <c r="G673" s="350">
        <v>2022</v>
      </c>
      <c r="H673" s="350" t="s">
        <v>2978</v>
      </c>
      <c r="I673" s="432" t="s">
        <v>1498</v>
      </c>
      <c r="J673" s="433"/>
      <c r="K673" s="432">
        <v>1182</v>
      </c>
      <c r="L673" s="432" t="s">
        <v>1556</v>
      </c>
      <c r="M673" s="433">
        <v>44585</v>
      </c>
      <c r="N673" s="433">
        <v>44683</v>
      </c>
      <c r="O673" s="433"/>
      <c r="P673" s="332"/>
      <c r="Q673" s="433"/>
      <c r="R673" s="433"/>
      <c r="S673" s="432" t="s">
        <v>1510</v>
      </c>
      <c r="T673" s="432">
        <v>60</v>
      </c>
      <c r="U673" s="432" t="s">
        <v>1102</v>
      </c>
      <c r="V673" s="441" t="s">
        <v>986</v>
      </c>
      <c r="W673" s="432">
        <v>360</v>
      </c>
      <c r="X673" s="333">
        <v>3328</v>
      </c>
      <c r="Y673" s="367">
        <f t="shared" si="66"/>
        <v>1198080</v>
      </c>
      <c r="Z673" s="409">
        <f t="shared" si="72"/>
        <v>0.54</v>
      </c>
      <c r="AA673" s="410">
        <f t="shared" si="70"/>
        <v>646963.20000000007</v>
      </c>
      <c r="AB673" s="411"/>
      <c r="AC673" s="412">
        <f t="shared" si="67"/>
        <v>0</v>
      </c>
      <c r="AD673" s="405"/>
      <c r="AE673" s="405"/>
      <c r="AF673" s="424">
        <f t="shared" si="68"/>
        <v>646963.20000000007</v>
      </c>
      <c r="AG673" s="405" t="s">
        <v>1069</v>
      </c>
      <c r="AH673" s="405">
        <v>100</v>
      </c>
      <c r="AI673" s="405">
        <v>0</v>
      </c>
      <c r="AJ673" s="406" t="s">
        <v>1558</v>
      </c>
      <c r="AK673" s="406" t="s">
        <v>50</v>
      </c>
      <c r="AL673" s="414">
        <v>92010</v>
      </c>
      <c r="AM673" s="405" t="s">
        <v>52</v>
      </c>
      <c r="AN673" s="361"/>
      <c r="AO673" s="405" t="s">
        <v>1073</v>
      </c>
      <c r="AP673" s="405"/>
      <c r="AQ673" s="413" t="s">
        <v>37</v>
      </c>
      <c r="AR673" s="405" t="s">
        <v>1188</v>
      </c>
      <c r="AS673" s="404"/>
      <c r="AT673" s="330"/>
      <c r="AU673" s="409">
        <f t="shared" si="73"/>
        <v>0.505</v>
      </c>
    </row>
    <row r="674" spans="1:47" s="402" customFormat="1">
      <c r="A674" s="426"/>
      <c r="B674" s="376"/>
      <c r="C674" s="426"/>
      <c r="D674" s="443" t="s">
        <v>86</v>
      </c>
      <c r="E674" s="331"/>
      <c r="F674" s="432"/>
      <c r="G674" s="350">
        <v>2022</v>
      </c>
      <c r="H674" s="350" t="s">
        <v>2978</v>
      </c>
      <c r="I674" s="432" t="s">
        <v>1498</v>
      </c>
      <c r="J674" s="433"/>
      <c r="K674" s="432">
        <v>1183</v>
      </c>
      <c r="L674" s="432" t="s">
        <v>1556</v>
      </c>
      <c r="M674" s="433">
        <v>44585</v>
      </c>
      <c r="N674" s="433">
        <v>44713</v>
      </c>
      <c r="O674" s="433"/>
      <c r="P674" s="332"/>
      <c r="Q674" s="433"/>
      <c r="R674" s="433"/>
      <c r="S674" s="432" t="s">
        <v>1510</v>
      </c>
      <c r="T674" s="432">
        <v>60</v>
      </c>
      <c r="U674" s="432" t="s">
        <v>1102</v>
      </c>
      <c r="V674" s="441" t="s">
        <v>986</v>
      </c>
      <c r="W674" s="432">
        <v>360</v>
      </c>
      <c r="X674" s="333">
        <v>3328</v>
      </c>
      <c r="Y674" s="367">
        <f t="shared" si="66"/>
        <v>1198080</v>
      </c>
      <c r="Z674" s="409">
        <f t="shared" si="72"/>
        <v>0.54</v>
      </c>
      <c r="AA674" s="410">
        <f t="shared" si="70"/>
        <v>646963.20000000007</v>
      </c>
      <c r="AB674" s="411"/>
      <c r="AC674" s="412">
        <f t="shared" si="67"/>
        <v>0</v>
      </c>
      <c r="AD674" s="405"/>
      <c r="AE674" s="405"/>
      <c r="AF674" s="424">
        <f t="shared" si="68"/>
        <v>646963.20000000007</v>
      </c>
      <c r="AG674" s="405" t="s">
        <v>1069</v>
      </c>
      <c r="AH674" s="405">
        <v>100</v>
      </c>
      <c r="AI674" s="405">
        <v>0</v>
      </c>
      <c r="AJ674" s="406" t="s">
        <v>1558</v>
      </c>
      <c r="AK674" s="406" t="s">
        <v>50</v>
      </c>
      <c r="AL674" s="414">
        <v>92010</v>
      </c>
      <c r="AM674" s="405" t="s">
        <v>52</v>
      </c>
      <c r="AN674" s="361"/>
      <c r="AO674" s="405" t="s">
        <v>1073</v>
      </c>
      <c r="AP674" s="405"/>
      <c r="AQ674" s="413" t="s">
        <v>37</v>
      </c>
      <c r="AR674" s="405" t="s">
        <v>1188</v>
      </c>
      <c r="AS674" s="404"/>
      <c r="AT674" s="330"/>
      <c r="AU674" s="409">
        <f t="shared" si="73"/>
        <v>0.505</v>
      </c>
    </row>
    <row r="675" spans="1:47" s="402" customFormat="1">
      <c r="A675" s="426"/>
      <c r="B675" s="376"/>
      <c r="C675" s="426"/>
      <c r="D675" s="443" t="s">
        <v>86</v>
      </c>
      <c r="E675" s="331"/>
      <c r="F675" s="432"/>
      <c r="G675" s="350">
        <v>2022</v>
      </c>
      <c r="H675" s="350" t="s">
        <v>2978</v>
      </c>
      <c r="I675" s="432" t="s">
        <v>1498</v>
      </c>
      <c r="J675" s="433"/>
      <c r="K675" s="432">
        <v>1184</v>
      </c>
      <c r="L675" s="432" t="s">
        <v>1556</v>
      </c>
      <c r="M675" s="433">
        <v>44585</v>
      </c>
      <c r="N675" s="433">
        <v>44746</v>
      </c>
      <c r="O675" s="433"/>
      <c r="P675" s="332"/>
      <c r="Q675" s="433"/>
      <c r="R675" s="433"/>
      <c r="S675" s="432" t="s">
        <v>1510</v>
      </c>
      <c r="T675" s="432">
        <v>60</v>
      </c>
      <c r="U675" s="432" t="s">
        <v>1102</v>
      </c>
      <c r="V675" s="441" t="s">
        <v>986</v>
      </c>
      <c r="W675" s="432">
        <v>360</v>
      </c>
      <c r="X675" s="333">
        <v>4160</v>
      </c>
      <c r="Y675" s="367">
        <f t="shared" si="66"/>
        <v>1497600</v>
      </c>
      <c r="Z675" s="409">
        <f t="shared" si="72"/>
        <v>0.54</v>
      </c>
      <c r="AA675" s="410">
        <f t="shared" si="70"/>
        <v>808704</v>
      </c>
      <c r="AB675" s="411"/>
      <c r="AC675" s="412">
        <f t="shared" si="67"/>
        <v>0</v>
      </c>
      <c r="AD675" s="405"/>
      <c r="AE675" s="405"/>
      <c r="AF675" s="424">
        <f t="shared" si="68"/>
        <v>808704</v>
      </c>
      <c r="AG675" s="405" t="s">
        <v>1069</v>
      </c>
      <c r="AH675" s="405">
        <v>100</v>
      </c>
      <c r="AI675" s="405">
        <v>0</v>
      </c>
      <c r="AJ675" s="406" t="s">
        <v>1558</v>
      </c>
      <c r="AK675" s="406" t="s">
        <v>50</v>
      </c>
      <c r="AL675" s="414">
        <v>92010</v>
      </c>
      <c r="AM675" s="405" t="s">
        <v>52</v>
      </c>
      <c r="AN675" s="361"/>
      <c r="AO675" s="405" t="s">
        <v>1073</v>
      </c>
      <c r="AP675" s="405"/>
      <c r="AQ675" s="413" t="s">
        <v>37</v>
      </c>
      <c r="AR675" s="405" t="s">
        <v>1188</v>
      </c>
      <c r="AS675" s="404"/>
      <c r="AT675" s="330"/>
      <c r="AU675" s="409">
        <f t="shared" si="73"/>
        <v>0.505</v>
      </c>
    </row>
    <row r="676" spans="1:47" s="402" customFormat="1">
      <c r="A676" s="426"/>
      <c r="B676" s="376"/>
      <c r="C676" s="426"/>
      <c r="D676" s="443" t="s">
        <v>86</v>
      </c>
      <c r="E676" s="331"/>
      <c r="F676" s="432"/>
      <c r="G676" s="350">
        <v>2022</v>
      </c>
      <c r="H676" s="350" t="s">
        <v>2978</v>
      </c>
      <c r="I676" s="432" t="s">
        <v>1498</v>
      </c>
      <c r="J676" s="433"/>
      <c r="K676" s="432">
        <v>1185</v>
      </c>
      <c r="L676" s="432" t="s">
        <v>1556</v>
      </c>
      <c r="M676" s="433">
        <v>44585</v>
      </c>
      <c r="N676" s="433">
        <v>44774</v>
      </c>
      <c r="O676" s="433"/>
      <c r="P676" s="332"/>
      <c r="Q676" s="433"/>
      <c r="R676" s="433"/>
      <c r="S676" s="432" t="s">
        <v>1510</v>
      </c>
      <c r="T676" s="432">
        <v>60</v>
      </c>
      <c r="U676" s="432" t="s">
        <v>1102</v>
      </c>
      <c r="V676" s="441" t="s">
        <v>986</v>
      </c>
      <c r="W676" s="432">
        <v>360</v>
      </c>
      <c r="X676" s="333">
        <v>4160</v>
      </c>
      <c r="Y676" s="367">
        <f t="shared" si="66"/>
        <v>1497600</v>
      </c>
      <c r="Z676" s="409">
        <f t="shared" si="72"/>
        <v>0.54</v>
      </c>
      <c r="AA676" s="410">
        <f t="shared" si="70"/>
        <v>808704</v>
      </c>
      <c r="AB676" s="411"/>
      <c r="AC676" s="412">
        <f t="shared" si="67"/>
        <v>0</v>
      </c>
      <c r="AD676" s="405"/>
      <c r="AE676" s="405"/>
      <c r="AF676" s="424">
        <f t="shared" si="68"/>
        <v>808704</v>
      </c>
      <c r="AG676" s="405" t="s">
        <v>1069</v>
      </c>
      <c r="AH676" s="405">
        <v>100</v>
      </c>
      <c r="AI676" s="405">
        <v>0</v>
      </c>
      <c r="AJ676" s="406" t="s">
        <v>1558</v>
      </c>
      <c r="AK676" s="406" t="s">
        <v>50</v>
      </c>
      <c r="AL676" s="414">
        <v>92010</v>
      </c>
      <c r="AM676" s="405" t="s">
        <v>52</v>
      </c>
      <c r="AN676" s="361"/>
      <c r="AO676" s="405" t="s">
        <v>1073</v>
      </c>
      <c r="AP676" s="405"/>
      <c r="AQ676" s="413" t="s">
        <v>37</v>
      </c>
      <c r="AR676" s="405" t="s">
        <v>1188</v>
      </c>
      <c r="AS676" s="404"/>
      <c r="AT676" s="330"/>
      <c r="AU676" s="409">
        <f t="shared" si="73"/>
        <v>0.505</v>
      </c>
    </row>
    <row r="677" spans="1:47" s="402" customFormat="1">
      <c r="A677" s="426"/>
      <c r="B677" s="376"/>
      <c r="C677" s="426"/>
      <c r="D677" s="443" t="s">
        <v>86</v>
      </c>
      <c r="E677" s="331"/>
      <c r="F677" s="432"/>
      <c r="G677" s="350">
        <v>2022</v>
      </c>
      <c r="H677" s="350" t="s">
        <v>2978</v>
      </c>
      <c r="I677" s="432" t="s">
        <v>1498</v>
      </c>
      <c r="J677" s="433"/>
      <c r="K677" s="432">
        <v>1186</v>
      </c>
      <c r="L677" s="432" t="s">
        <v>1556</v>
      </c>
      <c r="M677" s="433">
        <v>44585</v>
      </c>
      <c r="N677" s="433">
        <v>44805</v>
      </c>
      <c r="O677" s="433"/>
      <c r="P677" s="332"/>
      <c r="Q677" s="433"/>
      <c r="R677" s="433"/>
      <c r="S677" s="432" t="s">
        <v>1510</v>
      </c>
      <c r="T677" s="432">
        <v>60</v>
      </c>
      <c r="U677" s="432" t="s">
        <v>1102</v>
      </c>
      <c r="V677" s="441" t="s">
        <v>986</v>
      </c>
      <c r="W677" s="432">
        <v>360</v>
      </c>
      <c r="X677" s="333">
        <v>4992</v>
      </c>
      <c r="Y677" s="367">
        <f t="shared" si="66"/>
        <v>1797120</v>
      </c>
      <c r="Z677" s="409">
        <f t="shared" si="72"/>
        <v>0.54</v>
      </c>
      <c r="AA677" s="410">
        <f t="shared" si="70"/>
        <v>970444.80000000005</v>
      </c>
      <c r="AB677" s="411"/>
      <c r="AC677" s="412">
        <f t="shared" si="67"/>
        <v>0</v>
      </c>
      <c r="AD677" s="405"/>
      <c r="AE677" s="405"/>
      <c r="AF677" s="424">
        <f t="shared" si="68"/>
        <v>970444.80000000005</v>
      </c>
      <c r="AG677" s="405" t="s">
        <v>1069</v>
      </c>
      <c r="AH677" s="405">
        <v>100</v>
      </c>
      <c r="AI677" s="405">
        <v>0</v>
      </c>
      <c r="AJ677" s="406" t="s">
        <v>1558</v>
      </c>
      <c r="AK677" s="406" t="s">
        <v>50</v>
      </c>
      <c r="AL677" s="414">
        <v>92010</v>
      </c>
      <c r="AM677" s="405" t="s">
        <v>52</v>
      </c>
      <c r="AN677" s="361"/>
      <c r="AO677" s="405" t="s">
        <v>1073</v>
      </c>
      <c r="AP677" s="405"/>
      <c r="AQ677" s="413" t="s">
        <v>37</v>
      </c>
      <c r="AR677" s="405" t="s">
        <v>1188</v>
      </c>
      <c r="AS677" s="404"/>
      <c r="AT677" s="330"/>
      <c r="AU677" s="409">
        <f t="shared" si="73"/>
        <v>0.505</v>
      </c>
    </row>
    <row r="678" spans="1:47" s="402" customFormat="1">
      <c r="A678" s="426"/>
      <c r="B678" s="376"/>
      <c r="C678" s="426"/>
      <c r="D678" s="443" t="s">
        <v>86</v>
      </c>
      <c r="E678" s="331"/>
      <c r="F678" s="432"/>
      <c r="G678" s="350">
        <v>2022</v>
      </c>
      <c r="H678" s="350" t="s">
        <v>2978</v>
      </c>
      <c r="I678" s="432" t="s">
        <v>1498</v>
      </c>
      <c r="J678" s="433"/>
      <c r="K678" s="432">
        <v>1187</v>
      </c>
      <c r="L678" s="432" t="s">
        <v>1556</v>
      </c>
      <c r="M678" s="433">
        <v>44585</v>
      </c>
      <c r="N678" s="433">
        <v>44837</v>
      </c>
      <c r="O678" s="433"/>
      <c r="P678" s="332"/>
      <c r="Q678" s="433"/>
      <c r="R678" s="433"/>
      <c r="S678" s="432" t="s">
        <v>1510</v>
      </c>
      <c r="T678" s="432">
        <v>60</v>
      </c>
      <c r="U678" s="432" t="s">
        <v>1102</v>
      </c>
      <c r="V678" s="441" t="s">
        <v>986</v>
      </c>
      <c r="W678" s="432">
        <v>360</v>
      </c>
      <c r="X678" s="333">
        <v>4992</v>
      </c>
      <c r="Y678" s="367">
        <f t="shared" si="66"/>
        <v>1797120</v>
      </c>
      <c r="Z678" s="409">
        <f t="shared" si="72"/>
        <v>0.54</v>
      </c>
      <c r="AA678" s="410">
        <f t="shared" si="70"/>
        <v>970444.80000000005</v>
      </c>
      <c r="AB678" s="411"/>
      <c r="AC678" s="412">
        <f t="shared" si="67"/>
        <v>0</v>
      </c>
      <c r="AD678" s="405"/>
      <c r="AE678" s="405"/>
      <c r="AF678" s="424">
        <f t="shared" si="68"/>
        <v>970444.80000000005</v>
      </c>
      <c r="AG678" s="405" t="s">
        <v>1069</v>
      </c>
      <c r="AH678" s="405">
        <v>100</v>
      </c>
      <c r="AI678" s="405">
        <v>0</v>
      </c>
      <c r="AJ678" s="406" t="s">
        <v>1558</v>
      </c>
      <c r="AK678" s="406" t="s">
        <v>50</v>
      </c>
      <c r="AL678" s="414">
        <v>92010</v>
      </c>
      <c r="AM678" s="405" t="s">
        <v>52</v>
      </c>
      <c r="AN678" s="361"/>
      <c r="AO678" s="405" t="s">
        <v>1073</v>
      </c>
      <c r="AP678" s="405"/>
      <c r="AQ678" s="413" t="s">
        <v>37</v>
      </c>
      <c r="AR678" s="405" t="s">
        <v>1188</v>
      </c>
      <c r="AS678" s="404"/>
      <c r="AT678" s="330"/>
      <c r="AU678" s="409">
        <f t="shared" si="73"/>
        <v>0.505</v>
      </c>
    </row>
    <row r="679" spans="1:47" s="402" customFormat="1">
      <c r="A679" s="426"/>
      <c r="B679" s="376"/>
      <c r="C679" s="426"/>
      <c r="D679" s="443" t="s">
        <v>86</v>
      </c>
      <c r="E679" s="331"/>
      <c r="F679" s="432"/>
      <c r="G679" s="350">
        <v>2022</v>
      </c>
      <c r="H679" s="350" t="s">
        <v>2978</v>
      </c>
      <c r="I679" s="432" t="s">
        <v>1498</v>
      </c>
      <c r="J679" s="433"/>
      <c r="K679" s="432">
        <v>1188</v>
      </c>
      <c r="L679" s="432" t="s">
        <v>1556</v>
      </c>
      <c r="M679" s="433">
        <v>44585</v>
      </c>
      <c r="N679" s="433">
        <v>44866</v>
      </c>
      <c r="O679" s="433"/>
      <c r="P679" s="332"/>
      <c r="Q679" s="433"/>
      <c r="R679" s="433"/>
      <c r="S679" s="432" t="s">
        <v>1510</v>
      </c>
      <c r="T679" s="432">
        <v>60</v>
      </c>
      <c r="U679" s="432" t="s">
        <v>1102</v>
      </c>
      <c r="V679" s="441" t="s">
        <v>986</v>
      </c>
      <c r="W679" s="432">
        <v>360</v>
      </c>
      <c r="X679" s="333">
        <v>4992</v>
      </c>
      <c r="Y679" s="367">
        <f t="shared" si="66"/>
        <v>1797120</v>
      </c>
      <c r="Z679" s="409">
        <f t="shared" si="72"/>
        <v>0.54</v>
      </c>
      <c r="AA679" s="410">
        <f t="shared" si="70"/>
        <v>970444.80000000005</v>
      </c>
      <c r="AB679" s="411"/>
      <c r="AC679" s="412">
        <f t="shared" si="67"/>
        <v>0</v>
      </c>
      <c r="AD679" s="405"/>
      <c r="AE679" s="405"/>
      <c r="AF679" s="424">
        <f t="shared" si="68"/>
        <v>970444.80000000005</v>
      </c>
      <c r="AG679" s="405" t="s">
        <v>1069</v>
      </c>
      <c r="AH679" s="405">
        <v>100</v>
      </c>
      <c r="AI679" s="405">
        <v>0</v>
      </c>
      <c r="AJ679" s="406" t="s">
        <v>1558</v>
      </c>
      <c r="AK679" s="406" t="s">
        <v>50</v>
      </c>
      <c r="AL679" s="414">
        <v>92010</v>
      </c>
      <c r="AM679" s="405" t="s">
        <v>52</v>
      </c>
      <c r="AN679" s="361"/>
      <c r="AO679" s="405" t="s">
        <v>1073</v>
      </c>
      <c r="AP679" s="405"/>
      <c r="AQ679" s="413" t="s">
        <v>37</v>
      </c>
      <c r="AR679" s="405" t="s">
        <v>1188</v>
      </c>
      <c r="AS679" s="404"/>
      <c r="AT679" s="330"/>
      <c r="AU679" s="409">
        <f t="shared" si="73"/>
        <v>0.505</v>
      </c>
    </row>
    <row r="680" spans="1:47" s="402" customFormat="1">
      <c r="A680" s="426"/>
      <c r="B680" s="376"/>
      <c r="C680" s="426"/>
      <c r="D680" s="443" t="s">
        <v>86</v>
      </c>
      <c r="E680" s="331"/>
      <c r="F680" s="432"/>
      <c r="G680" s="350">
        <v>2022</v>
      </c>
      <c r="H680" s="350" t="s">
        <v>2978</v>
      </c>
      <c r="I680" s="432" t="s">
        <v>1498</v>
      </c>
      <c r="J680" s="433"/>
      <c r="K680" s="432">
        <v>1189</v>
      </c>
      <c r="L680" s="432" t="s">
        <v>1556</v>
      </c>
      <c r="M680" s="433">
        <v>44585</v>
      </c>
      <c r="N680" s="433">
        <v>44886</v>
      </c>
      <c r="O680" s="433"/>
      <c r="P680" s="332"/>
      <c r="Q680" s="433"/>
      <c r="R680" s="433"/>
      <c r="S680" s="432" t="s">
        <v>1510</v>
      </c>
      <c r="T680" s="432">
        <v>60</v>
      </c>
      <c r="U680" s="432" t="s">
        <v>1102</v>
      </c>
      <c r="V680" s="441" t="s">
        <v>986</v>
      </c>
      <c r="W680" s="432">
        <v>360</v>
      </c>
      <c r="X680" s="333">
        <v>4992</v>
      </c>
      <c r="Y680" s="367">
        <f t="shared" si="66"/>
        <v>1797120</v>
      </c>
      <c r="Z680" s="409">
        <f t="shared" si="72"/>
        <v>0.54</v>
      </c>
      <c r="AA680" s="410">
        <f t="shared" si="70"/>
        <v>970444.80000000005</v>
      </c>
      <c r="AB680" s="411"/>
      <c r="AC680" s="412">
        <f t="shared" si="67"/>
        <v>0</v>
      </c>
      <c r="AD680" s="405"/>
      <c r="AE680" s="405"/>
      <c r="AF680" s="424">
        <f t="shared" si="68"/>
        <v>970444.80000000005</v>
      </c>
      <c r="AG680" s="405" t="s">
        <v>1069</v>
      </c>
      <c r="AH680" s="405">
        <v>100</v>
      </c>
      <c r="AI680" s="405">
        <v>0</v>
      </c>
      <c r="AJ680" s="406" t="s">
        <v>1558</v>
      </c>
      <c r="AK680" s="406" t="s">
        <v>50</v>
      </c>
      <c r="AL680" s="414">
        <v>92010</v>
      </c>
      <c r="AM680" s="405" t="s">
        <v>52</v>
      </c>
      <c r="AN680" s="361"/>
      <c r="AO680" s="405" t="s">
        <v>1073</v>
      </c>
      <c r="AP680" s="405"/>
      <c r="AQ680" s="413" t="s">
        <v>37</v>
      </c>
      <c r="AR680" s="405" t="s">
        <v>1188</v>
      </c>
      <c r="AS680" s="404"/>
      <c r="AT680" s="330"/>
      <c r="AU680" s="409">
        <f t="shared" si="73"/>
        <v>0.505</v>
      </c>
    </row>
    <row r="681" spans="1:47" s="402" customFormat="1">
      <c r="A681" s="426"/>
      <c r="B681" s="376"/>
      <c r="C681" s="426"/>
      <c r="D681" s="443" t="s">
        <v>86</v>
      </c>
      <c r="E681" s="331"/>
      <c r="F681" s="432"/>
      <c r="G681" s="350">
        <v>2022</v>
      </c>
      <c r="H681" s="350" t="s">
        <v>2978</v>
      </c>
      <c r="I681" s="432" t="s">
        <v>1498</v>
      </c>
      <c r="J681" s="433"/>
      <c r="K681" s="432">
        <v>1190</v>
      </c>
      <c r="L681" s="432" t="s">
        <v>1556</v>
      </c>
      <c r="M681" s="433">
        <v>44585</v>
      </c>
      <c r="N681" s="433">
        <v>44655</v>
      </c>
      <c r="O681" s="433"/>
      <c r="P681" s="332"/>
      <c r="Q681" s="433"/>
      <c r="R681" s="433"/>
      <c r="S681" s="432" t="s">
        <v>1510</v>
      </c>
      <c r="T681" s="432">
        <v>60</v>
      </c>
      <c r="U681" s="432" t="s">
        <v>1102</v>
      </c>
      <c r="V681" s="441" t="s">
        <v>973</v>
      </c>
      <c r="W681" s="432">
        <v>400</v>
      </c>
      <c r="X681" s="333">
        <v>832</v>
      </c>
      <c r="Y681" s="367">
        <f t="shared" si="66"/>
        <v>332800</v>
      </c>
      <c r="Z681" s="409">
        <f t="shared" ref="Z681:Z688" si="74">224/400</f>
        <v>0.56000000000000005</v>
      </c>
      <c r="AA681" s="410">
        <f t="shared" si="70"/>
        <v>186368.00000000003</v>
      </c>
      <c r="AB681" s="411"/>
      <c r="AC681" s="412">
        <f t="shared" si="67"/>
        <v>0</v>
      </c>
      <c r="AD681" s="405"/>
      <c r="AE681" s="405"/>
      <c r="AF681" s="424">
        <f t="shared" si="68"/>
        <v>186368.00000000003</v>
      </c>
      <c r="AG681" s="405" t="s">
        <v>1069</v>
      </c>
      <c r="AH681" s="405">
        <v>100</v>
      </c>
      <c r="AI681" s="405">
        <v>0</v>
      </c>
      <c r="AJ681" s="406" t="s">
        <v>1558</v>
      </c>
      <c r="AK681" s="406" t="s">
        <v>50</v>
      </c>
      <c r="AL681" s="414">
        <v>92010</v>
      </c>
      <c r="AM681" s="405" t="s">
        <v>52</v>
      </c>
      <c r="AN681" s="361"/>
      <c r="AO681" s="405" t="s">
        <v>1073</v>
      </c>
      <c r="AP681" s="405"/>
      <c r="AQ681" s="413" t="s">
        <v>37</v>
      </c>
      <c r="AR681" s="405" t="s">
        <v>1188</v>
      </c>
      <c r="AS681" s="404"/>
      <c r="AT681" s="330"/>
      <c r="AU681" s="409">
        <f t="shared" ref="AU681:AU717" si="75">212/400</f>
        <v>0.53</v>
      </c>
    </row>
    <row r="682" spans="1:47" s="402" customFormat="1">
      <c r="A682" s="426"/>
      <c r="B682" s="376"/>
      <c r="C682" s="426"/>
      <c r="D682" s="443" t="s">
        <v>86</v>
      </c>
      <c r="E682" s="331"/>
      <c r="F682" s="432"/>
      <c r="G682" s="350">
        <v>2022</v>
      </c>
      <c r="H682" s="350" t="s">
        <v>2978</v>
      </c>
      <c r="I682" s="432" t="s">
        <v>1498</v>
      </c>
      <c r="J682" s="433"/>
      <c r="K682" s="432">
        <v>1191</v>
      </c>
      <c r="L682" s="432" t="s">
        <v>1556</v>
      </c>
      <c r="M682" s="433">
        <v>44585</v>
      </c>
      <c r="N682" s="433">
        <v>44683</v>
      </c>
      <c r="O682" s="433"/>
      <c r="P682" s="332"/>
      <c r="Q682" s="433"/>
      <c r="R682" s="433"/>
      <c r="S682" s="432" t="s">
        <v>1510</v>
      </c>
      <c r="T682" s="432">
        <v>60</v>
      </c>
      <c r="U682" s="432" t="s">
        <v>1102</v>
      </c>
      <c r="V682" s="441" t="s">
        <v>973</v>
      </c>
      <c r="W682" s="432">
        <v>400</v>
      </c>
      <c r="X682" s="333">
        <v>832</v>
      </c>
      <c r="Y682" s="367">
        <f t="shared" si="66"/>
        <v>332800</v>
      </c>
      <c r="Z682" s="409">
        <f t="shared" si="74"/>
        <v>0.56000000000000005</v>
      </c>
      <c r="AA682" s="410">
        <f t="shared" si="70"/>
        <v>186368.00000000003</v>
      </c>
      <c r="AB682" s="411"/>
      <c r="AC682" s="412">
        <f t="shared" si="67"/>
        <v>0</v>
      </c>
      <c r="AD682" s="405"/>
      <c r="AE682" s="405"/>
      <c r="AF682" s="424">
        <f t="shared" si="68"/>
        <v>186368.00000000003</v>
      </c>
      <c r="AG682" s="405" t="s">
        <v>1069</v>
      </c>
      <c r="AH682" s="405">
        <v>100</v>
      </c>
      <c r="AI682" s="405">
        <v>0</v>
      </c>
      <c r="AJ682" s="406" t="s">
        <v>1558</v>
      </c>
      <c r="AK682" s="406" t="s">
        <v>50</v>
      </c>
      <c r="AL682" s="414">
        <v>92010</v>
      </c>
      <c r="AM682" s="405" t="s">
        <v>52</v>
      </c>
      <c r="AN682" s="361"/>
      <c r="AO682" s="405" t="s">
        <v>1073</v>
      </c>
      <c r="AP682" s="405"/>
      <c r="AQ682" s="413" t="s">
        <v>37</v>
      </c>
      <c r="AR682" s="405" t="s">
        <v>1188</v>
      </c>
      <c r="AS682" s="404"/>
      <c r="AT682" s="330"/>
      <c r="AU682" s="409">
        <f t="shared" si="75"/>
        <v>0.53</v>
      </c>
    </row>
    <row r="683" spans="1:47" s="402" customFormat="1">
      <c r="A683" s="426"/>
      <c r="B683" s="376"/>
      <c r="C683" s="426"/>
      <c r="D683" s="443" t="s">
        <v>86</v>
      </c>
      <c r="E683" s="331"/>
      <c r="F683" s="432"/>
      <c r="G683" s="350">
        <v>2022</v>
      </c>
      <c r="H683" s="350" t="s">
        <v>2978</v>
      </c>
      <c r="I683" s="432" t="s">
        <v>1498</v>
      </c>
      <c r="J683" s="433"/>
      <c r="K683" s="432">
        <v>1192</v>
      </c>
      <c r="L683" s="432" t="s">
        <v>1556</v>
      </c>
      <c r="M683" s="433">
        <v>44585</v>
      </c>
      <c r="N683" s="433">
        <v>44713</v>
      </c>
      <c r="O683" s="433"/>
      <c r="P683" s="332"/>
      <c r="Q683" s="433"/>
      <c r="R683" s="433"/>
      <c r="S683" s="432" t="s">
        <v>1510</v>
      </c>
      <c r="T683" s="432">
        <v>60</v>
      </c>
      <c r="U683" s="432" t="s">
        <v>1102</v>
      </c>
      <c r="V683" s="441" t="s">
        <v>973</v>
      </c>
      <c r="W683" s="432">
        <v>400</v>
      </c>
      <c r="X683" s="333">
        <v>832</v>
      </c>
      <c r="Y683" s="367">
        <f t="shared" si="66"/>
        <v>332800</v>
      </c>
      <c r="Z683" s="409">
        <f t="shared" si="74"/>
        <v>0.56000000000000005</v>
      </c>
      <c r="AA683" s="410">
        <f t="shared" si="70"/>
        <v>186368.00000000003</v>
      </c>
      <c r="AB683" s="411"/>
      <c r="AC683" s="412">
        <f t="shared" si="67"/>
        <v>0</v>
      </c>
      <c r="AD683" s="405"/>
      <c r="AE683" s="405"/>
      <c r="AF683" s="424">
        <f t="shared" si="68"/>
        <v>186368.00000000003</v>
      </c>
      <c r="AG683" s="405" t="s">
        <v>1069</v>
      </c>
      <c r="AH683" s="405">
        <v>100</v>
      </c>
      <c r="AI683" s="405">
        <v>0</v>
      </c>
      <c r="AJ683" s="406" t="s">
        <v>1558</v>
      </c>
      <c r="AK683" s="406" t="s">
        <v>50</v>
      </c>
      <c r="AL683" s="414">
        <v>92010</v>
      </c>
      <c r="AM683" s="405" t="s">
        <v>52</v>
      </c>
      <c r="AN683" s="361"/>
      <c r="AO683" s="405" t="s">
        <v>1073</v>
      </c>
      <c r="AP683" s="405"/>
      <c r="AQ683" s="413" t="s">
        <v>37</v>
      </c>
      <c r="AR683" s="405" t="s">
        <v>1188</v>
      </c>
      <c r="AS683" s="404"/>
      <c r="AT683" s="330"/>
      <c r="AU683" s="409">
        <f t="shared" si="75"/>
        <v>0.53</v>
      </c>
    </row>
    <row r="684" spans="1:47" s="402" customFormat="1">
      <c r="A684" s="426"/>
      <c r="B684" s="376"/>
      <c r="C684" s="426"/>
      <c r="D684" s="443" t="s">
        <v>86</v>
      </c>
      <c r="E684" s="331"/>
      <c r="F684" s="432"/>
      <c r="G684" s="350">
        <v>2022</v>
      </c>
      <c r="H684" s="350" t="s">
        <v>2978</v>
      </c>
      <c r="I684" s="432" t="s">
        <v>1498</v>
      </c>
      <c r="J684" s="433"/>
      <c r="K684" s="432">
        <v>1193</v>
      </c>
      <c r="L684" s="432" t="s">
        <v>1556</v>
      </c>
      <c r="M684" s="433">
        <v>44585</v>
      </c>
      <c r="N684" s="433">
        <v>44746</v>
      </c>
      <c r="O684" s="433"/>
      <c r="P684" s="332"/>
      <c r="Q684" s="433"/>
      <c r="R684" s="433"/>
      <c r="S684" s="432" t="s">
        <v>1510</v>
      </c>
      <c r="T684" s="432">
        <v>60</v>
      </c>
      <c r="U684" s="432" t="s">
        <v>1102</v>
      </c>
      <c r="V684" s="441" t="s">
        <v>973</v>
      </c>
      <c r="W684" s="432">
        <v>400</v>
      </c>
      <c r="X684" s="333">
        <v>1664</v>
      </c>
      <c r="Y684" s="367">
        <f t="shared" si="66"/>
        <v>665600</v>
      </c>
      <c r="Z684" s="409">
        <f t="shared" si="74"/>
        <v>0.56000000000000005</v>
      </c>
      <c r="AA684" s="410">
        <f t="shared" si="70"/>
        <v>372736.00000000006</v>
      </c>
      <c r="AB684" s="411"/>
      <c r="AC684" s="412">
        <f t="shared" si="67"/>
        <v>0</v>
      </c>
      <c r="AD684" s="405"/>
      <c r="AE684" s="405"/>
      <c r="AF684" s="424">
        <f t="shared" si="68"/>
        <v>372736.00000000006</v>
      </c>
      <c r="AG684" s="405" t="s">
        <v>1069</v>
      </c>
      <c r="AH684" s="405">
        <v>100</v>
      </c>
      <c r="AI684" s="405">
        <v>0</v>
      </c>
      <c r="AJ684" s="406" t="s">
        <v>1558</v>
      </c>
      <c r="AK684" s="406" t="s">
        <v>50</v>
      </c>
      <c r="AL684" s="414">
        <v>92010</v>
      </c>
      <c r="AM684" s="405" t="s">
        <v>52</v>
      </c>
      <c r="AN684" s="361"/>
      <c r="AO684" s="405" t="s">
        <v>1073</v>
      </c>
      <c r="AP684" s="405"/>
      <c r="AQ684" s="413" t="s">
        <v>37</v>
      </c>
      <c r="AR684" s="405" t="s">
        <v>1188</v>
      </c>
      <c r="AS684" s="404"/>
      <c r="AT684" s="330"/>
      <c r="AU684" s="409">
        <f t="shared" si="75"/>
        <v>0.53</v>
      </c>
    </row>
    <row r="685" spans="1:47" s="402" customFormat="1">
      <c r="A685" s="426"/>
      <c r="B685" s="376"/>
      <c r="C685" s="426"/>
      <c r="D685" s="443" t="s">
        <v>86</v>
      </c>
      <c r="E685" s="331"/>
      <c r="F685" s="432"/>
      <c r="G685" s="350">
        <v>2022</v>
      </c>
      <c r="H685" s="350" t="s">
        <v>2978</v>
      </c>
      <c r="I685" s="432" t="s">
        <v>1498</v>
      </c>
      <c r="J685" s="433"/>
      <c r="K685" s="432">
        <v>1194</v>
      </c>
      <c r="L685" s="432" t="s">
        <v>1556</v>
      </c>
      <c r="M685" s="433">
        <v>44585</v>
      </c>
      <c r="N685" s="433">
        <v>44775</v>
      </c>
      <c r="O685" s="433"/>
      <c r="P685" s="332"/>
      <c r="Q685" s="433"/>
      <c r="R685" s="433"/>
      <c r="S685" s="432" t="s">
        <v>1510</v>
      </c>
      <c r="T685" s="432">
        <v>60</v>
      </c>
      <c r="U685" s="432" t="s">
        <v>1102</v>
      </c>
      <c r="V685" s="441" t="s">
        <v>973</v>
      </c>
      <c r="W685" s="432">
        <v>400</v>
      </c>
      <c r="X685" s="333">
        <v>832</v>
      </c>
      <c r="Y685" s="367">
        <f t="shared" si="66"/>
        <v>332800</v>
      </c>
      <c r="Z685" s="409">
        <f t="shared" si="74"/>
        <v>0.56000000000000005</v>
      </c>
      <c r="AA685" s="410">
        <f t="shared" si="70"/>
        <v>186368.00000000003</v>
      </c>
      <c r="AB685" s="411"/>
      <c r="AC685" s="412">
        <f t="shared" si="67"/>
        <v>0</v>
      </c>
      <c r="AD685" s="405"/>
      <c r="AE685" s="405"/>
      <c r="AF685" s="424">
        <f t="shared" si="68"/>
        <v>186368.00000000003</v>
      </c>
      <c r="AG685" s="405" t="s">
        <v>1069</v>
      </c>
      <c r="AH685" s="405">
        <v>100</v>
      </c>
      <c r="AI685" s="405">
        <v>0</v>
      </c>
      <c r="AJ685" s="406" t="s">
        <v>1558</v>
      </c>
      <c r="AK685" s="406" t="s">
        <v>50</v>
      </c>
      <c r="AL685" s="414">
        <v>92010</v>
      </c>
      <c r="AM685" s="405" t="s">
        <v>52</v>
      </c>
      <c r="AN685" s="361"/>
      <c r="AO685" s="405" t="s">
        <v>1073</v>
      </c>
      <c r="AP685" s="405"/>
      <c r="AQ685" s="413" t="s">
        <v>37</v>
      </c>
      <c r="AR685" s="405" t="s">
        <v>1188</v>
      </c>
      <c r="AS685" s="404"/>
      <c r="AT685" s="330"/>
      <c r="AU685" s="409">
        <f t="shared" si="75"/>
        <v>0.53</v>
      </c>
    </row>
    <row r="686" spans="1:47" s="402" customFormat="1">
      <c r="A686" s="426"/>
      <c r="B686" s="376"/>
      <c r="C686" s="426"/>
      <c r="D686" s="443" t="s">
        <v>86</v>
      </c>
      <c r="E686" s="331"/>
      <c r="F686" s="432"/>
      <c r="G686" s="350">
        <v>2022</v>
      </c>
      <c r="H686" s="350" t="s">
        <v>2978</v>
      </c>
      <c r="I686" s="432" t="s">
        <v>1498</v>
      </c>
      <c r="J686" s="433"/>
      <c r="K686" s="432">
        <v>1195</v>
      </c>
      <c r="L686" s="432" t="s">
        <v>1556</v>
      </c>
      <c r="M686" s="433">
        <v>44585</v>
      </c>
      <c r="N686" s="433">
        <v>44805</v>
      </c>
      <c r="O686" s="433"/>
      <c r="P686" s="332"/>
      <c r="Q686" s="433"/>
      <c r="R686" s="433"/>
      <c r="S686" s="432" t="s">
        <v>1510</v>
      </c>
      <c r="T686" s="432">
        <v>60</v>
      </c>
      <c r="U686" s="432" t="s">
        <v>1102</v>
      </c>
      <c r="V686" s="441" t="s">
        <v>973</v>
      </c>
      <c r="W686" s="432">
        <v>400</v>
      </c>
      <c r="X686" s="333">
        <v>1664</v>
      </c>
      <c r="Y686" s="367">
        <f t="shared" si="66"/>
        <v>665600</v>
      </c>
      <c r="Z686" s="409">
        <f t="shared" si="74"/>
        <v>0.56000000000000005</v>
      </c>
      <c r="AA686" s="410">
        <f t="shared" si="70"/>
        <v>372736.00000000006</v>
      </c>
      <c r="AB686" s="411"/>
      <c r="AC686" s="412">
        <f t="shared" si="67"/>
        <v>0</v>
      </c>
      <c r="AD686" s="405"/>
      <c r="AE686" s="405"/>
      <c r="AF686" s="424">
        <f t="shared" si="68"/>
        <v>372736.00000000006</v>
      </c>
      <c r="AG686" s="405" t="s">
        <v>1069</v>
      </c>
      <c r="AH686" s="405">
        <v>100</v>
      </c>
      <c r="AI686" s="405">
        <v>0</v>
      </c>
      <c r="AJ686" s="406" t="s">
        <v>1558</v>
      </c>
      <c r="AK686" s="406" t="s">
        <v>50</v>
      </c>
      <c r="AL686" s="414">
        <v>92010</v>
      </c>
      <c r="AM686" s="405" t="s">
        <v>52</v>
      </c>
      <c r="AN686" s="361"/>
      <c r="AO686" s="405" t="s">
        <v>1073</v>
      </c>
      <c r="AP686" s="405"/>
      <c r="AQ686" s="413" t="s">
        <v>37</v>
      </c>
      <c r="AR686" s="405" t="s">
        <v>1188</v>
      </c>
      <c r="AS686" s="404"/>
      <c r="AT686" s="330"/>
      <c r="AU686" s="409">
        <f t="shared" si="75"/>
        <v>0.53</v>
      </c>
    </row>
    <row r="687" spans="1:47" s="402" customFormat="1">
      <c r="A687" s="426"/>
      <c r="B687" s="376"/>
      <c r="C687" s="426"/>
      <c r="D687" s="443" t="s">
        <v>86</v>
      </c>
      <c r="E687" s="331"/>
      <c r="F687" s="432"/>
      <c r="G687" s="350">
        <v>2022</v>
      </c>
      <c r="H687" s="350" t="s">
        <v>2978</v>
      </c>
      <c r="I687" s="432" t="s">
        <v>1498</v>
      </c>
      <c r="J687" s="433"/>
      <c r="K687" s="432">
        <v>1196</v>
      </c>
      <c r="L687" s="432" t="s">
        <v>1556</v>
      </c>
      <c r="M687" s="433">
        <v>44585</v>
      </c>
      <c r="N687" s="433">
        <v>44837</v>
      </c>
      <c r="O687" s="433"/>
      <c r="P687" s="332"/>
      <c r="Q687" s="433"/>
      <c r="R687" s="433"/>
      <c r="S687" s="432" t="s">
        <v>1510</v>
      </c>
      <c r="T687" s="432">
        <v>60</v>
      </c>
      <c r="U687" s="432" t="s">
        <v>1102</v>
      </c>
      <c r="V687" s="441" t="s">
        <v>973</v>
      </c>
      <c r="W687" s="432">
        <v>400</v>
      </c>
      <c r="X687" s="333">
        <v>1664</v>
      </c>
      <c r="Y687" s="367">
        <f t="shared" si="66"/>
        <v>665600</v>
      </c>
      <c r="Z687" s="409">
        <f t="shared" si="74"/>
        <v>0.56000000000000005</v>
      </c>
      <c r="AA687" s="410">
        <f t="shared" si="70"/>
        <v>372736.00000000006</v>
      </c>
      <c r="AB687" s="411"/>
      <c r="AC687" s="412">
        <f t="shared" si="67"/>
        <v>0</v>
      </c>
      <c r="AD687" s="405"/>
      <c r="AE687" s="405"/>
      <c r="AF687" s="424">
        <f t="shared" si="68"/>
        <v>372736.00000000006</v>
      </c>
      <c r="AG687" s="405" t="s">
        <v>1069</v>
      </c>
      <c r="AH687" s="405">
        <v>100</v>
      </c>
      <c r="AI687" s="405">
        <v>0</v>
      </c>
      <c r="AJ687" s="406" t="s">
        <v>1558</v>
      </c>
      <c r="AK687" s="406" t="s">
        <v>50</v>
      </c>
      <c r="AL687" s="414">
        <v>92010</v>
      </c>
      <c r="AM687" s="405" t="s">
        <v>52</v>
      </c>
      <c r="AN687" s="361"/>
      <c r="AO687" s="405" t="s">
        <v>1073</v>
      </c>
      <c r="AP687" s="405"/>
      <c r="AQ687" s="413" t="s">
        <v>37</v>
      </c>
      <c r="AR687" s="405" t="s">
        <v>1188</v>
      </c>
      <c r="AS687" s="404"/>
      <c r="AT687" s="330"/>
      <c r="AU687" s="409">
        <f t="shared" si="75"/>
        <v>0.53</v>
      </c>
    </row>
    <row r="688" spans="1:47" s="402" customFormat="1">
      <c r="A688" s="426"/>
      <c r="B688" s="376"/>
      <c r="C688" s="426"/>
      <c r="D688" s="443" t="s">
        <v>86</v>
      </c>
      <c r="E688" s="331"/>
      <c r="F688" s="432"/>
      <c r="G688" s="350">
        <v>2022</v>
      </c>
      <c r="H688" s="350" t="s">
        <v>2978</v>
      </c>
      <c r="I688" s="432" t="s">
        <v>1498</v>
      </c>
      <c r="J688" s="433"/>
      <c r="K688" s="432">
        <v>1197</v>
      </c>
      <c r="L688" s="432" t="s">
        <v>1556</v>
      </c>
      <c r="M688" s="433">
        <v>44585</v>
      </c>
      <c r="N688" s="433">
        <v>44866</v>
      </c>
      <c r="O688" s="433"/>
      <c r="P688" s="332"/>
      <c r="Q688" s="433"/>
      <c r="R688" s="433"/>
      <c r="S688" s="432" t="s">
        <v>1510</v>
      </c>
      <c r="T688" s="432">
        <v>60</v>
      </c>
      <c r="U688" s="432" t="s">
        <v>1102</v>
      </c>
      <c r="V688" s="441" t="s">
        <v>973</v>
      </c>
      <c r="W688" s="432">
        <v>400</v>
      </c>
      <c r="X688" s="333">
        <v>2496</v>
      </c>
      <c r="Y688" s="367">
        <f t="shared" si="66"/>
        <v>998400</v>
      </c>
      <c r="Z688" s="409">
        <f t="shared" si="74"/>
        <v>0.56000000000000005</v>
      </c>
      <c r="AA688" s="410">
        <f t="shared" si="70"/>
        <v>559104</v>
      </c>
      <c r="AB688" s="411"/>
      <c r="AC688" s="412">
        <f t="shared" si="67"/>
        <v>0</v>
      </c>
      <c r="AD688" s="405"/>
      <c r="AE688" s="405"/>
      <c r="AF688" s="424">
        <f t="shared" si="68"/>
        <v>559104</v>
      </c>
      <c r="AG688" s="405" t="s">
        <v>1069</v>
      </c>
      <c r="AH688" s="405">
        <v>100</v>
      </c>
      <c r="AI688" s="405">
        <v>0</v>
      </c>
      <c r="AJ688" s="406" t="s">
        <v>1558</v>
      </c>
      <c r="AK688" s="406" t="s">
        <v>50</v>
      </c>
      <c r="AL688" s="414">
        <v>92010</v>
      </c>
      <c r="AM688" s="405" t="s">
        <v>52</v>
      </c>
      <c r="AN688" s="361"/>
      <c r="AO688" s="405" t="s">
        <v>1073</v>
      </c>
      <c r="AP688" s="405"/>
      <c r="AQ688" s="413" t="s">
        <v>37</v>
      </c>
      <c r="AR688" s="405" t="s">
        <v>1188</v>
      </c>
      <c r="AS688" s="404"/>
      <c r="AT688" s="330"/>
      <c r="AU688" s="409">
        <f t="shared" si="75"/>
        <v>0.53</v>
      </c>
    </row>
    <row r="689" spans="1:47" s="402" customFormat="1">
      <c r="A689" s="426"/>
      <c r="B689" s="376">
        <v>44635</v>
      </c>
      <c r="C689" s="426"/>
      <c r="D689" s="443" t="s">
        <v>86</v>
      </c>
      <c r="E689" s="331"/>
      <c r="F689" s="432"/>
      <c r="G689" s="350">
        <v>2022</v>
      </c>
      <c r="H689" s="350" t="s">
        <v>2978</v>
      </c>
      <c r="I689" s="432" t="s">
        <v>1498</v>
      </c>
      <c r="J689" s="433"/>
      <c r="K689" s="432">
        <v>101749</v>
      </c>
      <c r="L689" s="432" t="s">
        <v>1888</v>
      </c>
      <c r="M689" s="433">
        <v>44615</v>
      </c>
      <c r="N689" s="433">
        <v>44682</v>
      </c>
      <c r="O689" s="433"/>
      <c r="P689" s="332"/>
      <c r="Q689" s="433"/>
      <c r="R689" s="433"/>
      <c r="S689" s="432" t="s">
        <v>1510</v>
      </c>
      <c r="T689" s="432">
        <v>60</v>
      </c>
      <c r="U689" s="432" t="s">
        <v>1102</v>
      </c>
      <c r="V689" s="441" t="s">
        <v>973</v>
      </c>
      <c r="W689" s="432">
        <v>400</v>
      </c>
      <c r="X689" s="333">
        <v>768</v>
      </c>
      <c r="Y689" s="367">
        <f t="shared" si="66"/>
        <v>307200</v>
      </c>
      <c r="Z689" s="409">
        <f t="shared" ref="Z689:Z709" si="76">230/400</f>
        <v>0.57499999999999996</v>
      </c>
      <c r="AA689" s="410">
        <f t="shared" si="70"/>
        <v>176640</v>
      </c>
      <c r="AB689" s="411"/>
      <c r="AC689" s="412">
        <f t="shared" si="67"/>
        <v>0</v>
      </c>
      <c r="AD689" s="405"/>
      <c r="AE689" s="405">
        <f t="shared" ref="AE689:AE709" si="77">AA689*0.0825</f>
        <v>14572.800000000001</v>
      </c>
      <c r="AF689" s="424">
        <f t="shared" si="68"/>
        <v>191212.79999999999</v>
      </c>
      <c r="AG689" s="405" t="s">
        <v>1069</v>
      </c>
      <c r="AH689" s="405">
        <v>100</v>
      </c>
      <c r="AI689" s="405">
        <v>0</v>
      </c>
      <c r="AJ689" s="406" t="s">
        <v>1760</v>
      </c>
      <c r="AK689" s="406" t="s">
        <v>50</v>
      </c>
      <c r="AL689" s="414">
        <v>92058</v>
      </c>
      <c r="AM689" s="405" t="s">
        <v>52</v>
      </c>
      <c r="AN689" s="361"/>
      <c r="AO689" s="405" t="s">
        <v>1073</v>
      </c>
      <c r="AP689" s="405"/>
      <c r="AQ689" s="413" t="s">
        <v>37</v>
      </c>
      <c r="AR689" s="405" t="s">
        <v>1188</v>
      </c>
      <c r="AS689" s="404"/>
      <c r="AT689" s="330"/>
      <c r="AU689" s="409">
        <f t="shared" si="75"/>
        <v>0.53</v>
      </c>
    </row>
    <row r="690" spans="1:47" s="402" customFormat="1">
      <c r="A690" s="426"/>
      <c r="B690" s="376">
        <v>44635</v>
      </c>
      <c r="C690" s="426"/>
      <c r="D690" s="443" t="s">
        <v>86</v>
      </c>
      <c r="E690" s="331"/>
      <c r="F690" s="432"/>
      <c r="G690" s="350">
        <v>2022</v>
      </c>
      <c r="H690" s="350" t="s">
        <v>2978</v>
      </c>
      <c r="I690" s="432" t="s">
        <v>1498</v>
      </c>
      <c r="J690" s="433"/>
      <c r="K690" s="432">
        <v>101751</v>
      </c>
      <c r="L690" s="432" t="s">
        <v>1888</v>
      </c>
      <c r="M690" s="433">
        <v>44615</v>
      </c>
      <c r="N690" s="433">
        <v>44713</v>
      </c>
      <c r="O690" s="433"/>
      <c r="P690" s="332"/>
      <c r="Q690" s="433"/>
      <c r="R690" s="433"/>
      <c r="S690" s="432" t="s">
        <v>1510</v>
      </c>
      <c r="T690" s="432">
        <v>60</v>
      </c>
      <c r="U690" s="432" t="s">
        <v>1102</v>
      </c>
      <c r="V690" s="441" t="s">
        <v>973</v>
      </c>
      <c r="W690" s="432">
        <v>400</v>
      </c>
      <c r="X690" s="333">
        <v>768</v>
      </c>
      <c r="Y690" s="367">
        <f t="shared" si="66"/>
        <v>307200</v>
      </c>
      <c r="Z690" s="409">
        <f t="shared" si="76"/>
        <v>0.57499999999999996</v>
      </c>
      <c r="AA690" s="410">
        <f t="shared" si="70"/>
        <v>176640</v>
      </c>
      <c r="AB690" s="411"/>
      <c r="AC690" s="412">
        <f t="shared" si="67"/>
        <v>0</v>
      </c>
      <c r="AD690" s="405"/>
      <c r="AE690" s="405">
        <f t="shared" si="77"/>
        <v>14572.800000000001</v>
      </c>
      <c r="AF690" s="424">
        <f t="shared" si="68"/>
        <v>191212.79999999999</v>
      </c>
      <c r="AG690" s="405" t="s">
        <v>1069</v>
      </c>
      <c r="AH690" s="405">
        <v>100</v>
      </c>
      <c r="AI690" s="405">
        <v>0</v>
      </c>
      <c r="AJ690" s="406" t="s">
        <v>1760</v>
      </c>
      <c r="AK690" s="406" t="s">
        <v>50</v>
      </c>
      <c r="AL690" s="414">
        <v>92058</v>
      </c>
      <c r="AM690" s="405" t="s">
        <v>52</v>
      </c>
      <c r="AN690" s="361"/>
      <c r="AO690" s="405" t="s">
        <v>1073</v>
      </c>
      <c r="AP690" s="405"/>
      <c r="AQ690" s="413" t="s">
        <v>37</v>
      </c>
      <c r="AR690" s="405" t="s">
        <v>1188</v>
      </c>
      <c r="AS690" s="404"/>
      <c r="AT690" s="330"/>
      <c r="AU690" s="409">
        <f t="shared" si="75"/>
        <v>0.53</v>
      </c>
    </row>
    <row r="691" spans="1:47" s="402" customFormat="1">
      <c r="A691" s="426"/>
      <c r="B691" s="376">
        <v>44635</v>
      </c>
      <c r="C691" s="426"/>
      <c r="D691" s="443" t="s">
        <v>86</v>
      </c>
      <c r="E691" s="331"/>
      <c r="F691" s="432"/>
      <c r="G691" s="350">
        <v>2022</v>
      </c>
      <c r="H691" s="350" t="s">
        <v>2978</v>
      </c>
      <c r="I691" s="432" t="s">
        <v>1498</v>
      </c>
      <c r="J691" s="433"/>
      <c r="K691" s="432">
        <v>101750</v>
      </c>
      <c r="L691" s="432" t="s">
        <v>1888</v>
      </c>
      <c r="M691" s="433">
        <v>44615</v>
      </c>
      <c r="N691" s="433">
        <v>44713</v>
      </c>
      <c r="O691" s="433"/>
      <c r="P691" s="332"/>
      <c r="Q691" s="433"/>
      <c r="R691" s="433"/>
      <c r="S691" s="432" t="s">
        <v>1510</v>
      </c>
      <c r="T691" s="432">
        <v>60</v>
      </c>
      <c r="U691" s="432" t="s">
        <v>1102</v>
      </c>
      <c r="V691" s="441" t="s">
        <v>973</v>
      </c>
      <c r="W691" s="432">
        <v>400</v>
      </c>
      <c r="X691" s="333">
        <v>768</v>
      </c>
      <c r="Y691" s="367">
        <f t="shared" si="66"/>
        <v>307200</v>
      </c>
      <c r="Z691" s="409">
        <f t="shared" si="76"/>
        <v>0.57499999999999996</v>
      </c>
      <c r="AA691" s="410">
        <f t="shared" si="70"/>
        <v>176640</v>
      </c>
      <c r="AB691" s="411"/>
      <c r="AC691" s="412">
        <f t="shared" si="67"/>
        <v>0</v>
      </c>
      <c r="AD691" s="405"/>
      <c r="AE691" s="405">
        <f t="shared" si="77"/>
        <v>14572.800000000001</v>
      </c>
      <c r="AF691" s="424">
        <f t="shared" si="68"/>
        <v>191212.79999999999</v>
      </c>
      <c r="AG691" s="405" t="s">
        <v>1069</v>
      </c>
      <c r="AH691" s="405">
        <v>100</v>
      </c>
      <c r="AI691" s="405">
        <v>0</v>
      </c>
      <c r="AJ691" s="406" t="s">
        <v>1760</v>
      </c>
      <c r="AK691" s="406" t="s">
        <v>50</v>
      </c>
      <c r="AL691" s="414">
        <v>92058</v>
      </c>
      <c r="AM691" s="405" t="s">
        <v>52</v>
      </c>
      <c r="AN691" s="361"/>
      <c r="AO691" s="405" t="s">
        <v>1073</v>
      </c>
      <c r="AP691" s="405"/>
      <c r="AQ691" s="413" t="s">
        <v>37</v>
      </c>
      <c r="AR691" s="405" t="s">
        <v>1188</v>
      </c>
      <c r="AS691" s="404"/>
      <c r="AT691" s="330"/>
      <c r="AU691" s="409">
        <f t="shared" si="75"/>
        <v>0.53</v>
      </c>
    </row>
    <row r="692" spans="1:47" s="402" customFormat="1">
      <c r="A692" s="426"/>
      <c r="B692" s="376">
        <v>44635</v>
      </c>
      <c r="C692" s="426"/>
      <c r="D692" s="443" t="s">
        <v>86</v>
      </c>
      <c r="E692" s="331"/>
      <c r="F692" s="432"/>
      <c r="G692" s="350">
        <v>2022</v>
      </c>
      <c r="H692" s="350" t="s">
        <v>2978</v>
      </c>
      <c r="I692" s="432" t="s">
        <v>1498</v>
      </c>
      <c r="J692" s="433"/>
      <c r="K692" s="432">
        <v>101796</v>
      </c>
      <c r="L692" s="432" t="s">
        <v>1888</v>
      </c>
      <c r="M692" s="433">
        <v>44627</v>
      </c>
      <c r="N692" s="433">
        <v>44896</v>
      </c>
      <c r="O692" s="433"/>
      <c r="P692" s="332"/>
      <c r="Q692" s="433"/>
      <c r="R692" s="433"/>
      <c r="S692" s="432" t="s">
        <v>1510</v>
      </c>
      <c r="T692" s="432">
        <v>60</v>
      </c>
      <c r="U692" s="432" t="s">
        <v>1102</v>
      </c>
      <c r="V692" s="441" t="s">
        <v>973</v>
      </c>
      <c r="W692" s="432">
        <v>400</v>
      </c>
      <c r="X692" s="333">
        <v>768</v>
      </c>
      <c r="Y692" s="367">
        <f t="shared" si="66"/>
        <v>307200</v>
      </c>
      <c r="Z692" s="409">
        <f t="shared" si="76"/>
        <v>0.57499999999999996</v>
      </c>
      <c r="AA692" s="410">
        <f t="shared" si="70"/>
        <v>176640</v>
      </c>
      <c r="AB692" s="411"/>
      <c r="AC692" s="412">
        <f t="shared" si="67"/>
        <v>0</v>
      </c>
      <c r="AD692" s="405"/>
      <c r="AE692" s="405">
        <f t="shared" si="77"/>
        <v>14572.800000000001</v>
      </c>
      <c r="AF692" s="424">
        <f t="shared" si="68"/>
        <v>191212.79999999999</v>
      </c>
      <c r="AG692" s="405" t="s">
        <v>1069</v>
      </c>
      <c r="AH692" s="405">
        <v>100</v>
      </c>
      <c r="AI692" s="405">
        <v>0</v>
      </c>
      <c r="AJ692" s="406" t="s">
        <v>1760</v>
      </c>
      <c r="AK692" s="406" t="s">
        <v>50</v>
      </c>
      <c r="AL692" s="414">
        <v>92058</v>
      </c>
      <c r="AM692" s="405" t="s">
        <v>52</v>
      </c>
      <c r="AN692" s="361"/>
      <c r="AO692" s="405" t="s">
        <v>1073</v>
      </c>
      <c r="AP692" s="405"/>
      <c r="AQ692" s="413" t="s">
        <v>37</v>
      </c>
      <c r="AR692" s="405" t="s">
        <v>1188</v>
      </c>
      <c r="AS692" s="404"/>
      <c r="AT692" s="330"/>
      <c r="AU692" s="409">
        <f t="shared" si="75"/>
        <v>0.53</v>
      </c>
    </row>
    <row r="693" spans="1:47" s="402" customFormat="1">
      <c r="A693" s="426"/>
      <c r="B693" s="376">
        <v>44635</v>
      </c>
      <c r="C693" s="426"/>
      <c r="D693" s="443" t="s">
        <v>86</v>
      </c>
      <c r="E693" s="331"/>
      <c r="F693" s="432"/>
      <c r="G693" s="350">
        <v>2022</v>
      </c>
      <c r="H693" s="350" t="s">
        <v>2978</v>
      </c>
      <c r="I693" s="432" t="s">
        <v>1498</v>
      </c>
      <c r="J693" s="433"/>
      <c r="K693" s="432">
        <v>101794</v>
      </c>
      <c r="L693" s="432" t="s">
        <v>1888</v>
      </c>
      <c r="M693" s="433">
        <v>44627</v>
      </c>
      <c r="N693" s="433">
        <v>44896</v>
      </c>
      <c r="O693" s="433"/>
      <c r="P693" s="332"/>
      <c r="Q693" s="433"/>
      <c r="R693" s="433"/>
      <c r="S693" s="432" t="s">
        <v>1510</v>
      </c>
      <c r="T693" s="432">
        <v>60</v>
      </c>
      <c r="U693" s="432" t="s">
        <v>1102</v>
      </c>
      <c r="V693" s="441" t="s">
        <v>973</v>
      </c>
      <c r="W693" s="432">
        <v>400</v>
      </c>
      <c r="X693" s="333">
        <v>768</v>
      </c>
      <c r="Y693" s="367">
        <f t="shared" si="66"/>
        <v>307200</v>
      </c>
      <c r="Z693" s="409">
        <f t="shared" si="76"/>
        <v>0.57499999999999996</v>
      </c>
      <c r="AA693" s="410">
        <f t="shared" si="70"/>
        <v>176640</v>
      </c>
      <c r="AB693" s="411"/>
      <c r="AC693" s="412">
        <f t="shared" si="67"/>
        <v>0</v>
      </c>
      <c r="AD693" s="405"/>
      <c r="AE693" s="405">
        <f t="shared" si="77"/>
        <v>14572.800000000001</v>
      </c>
      <c r="AF693" s="424">
        <f t="shared" si="68"/>
        <v>191212.79999999999</v>
      </c>
      <c r="AG693" s="405" t="s">
        <v>1069</v>
      </c>
      <c r="AH693" s="405">
        <v>100</v>
      </c>
      <c r="AI693" s="405">
        <v>0</v>
      </c>
      <c r="AJ693" s="406" t="s">
        <v>1760</v>
      </c>
      <c r="AK693" s="406" t="s">
        <v>50</v>
      </c>
      <c r="AL693" s="414">
        <v>92058</v>
      </c>
      <c r="AM693" s="405" t="s">
        <v>52</v>
      </c>
      <c r="AN693" s="361"/>
      <c r="AO693" s="405" t="s">
        <v>1073</v>
      </c>
      <c r="AP693" s="405"/>
      <c r="AQ693" s="413" t="s">
        <v>37</v>
      </c>
      <c r="AR693" s="405" t="s">
        <v>1188</v>
      </c>
      <c r="AS693" s="404"/>
      <c r="AT693" s="330"/>
      <c r="AU693" s="409">
        <f t="shared" si="75"/>
        <v>0.53</v>
      </c>
    </row>
    <row r="694" spans="1:47" s="402" customFormat="1">
      <c r="A694" s="426"/>
      <c r="B694" s="376">
        <v>44635</v>
      </c>
      <c r="C694" s="426"/>
      <c r="D694" s="443" t="s">
        <v>86</v>
      </c>
      <c r="E694" s="331"/>
      <c r="F694" s="432"/>
      <c r="G694" s="350">
        <v>2022</v>
      </c>
      <c r="H694" s="350" t="s">
        <v>2978</v>
      </c>
      <c r="I694" s="432" t="s">
        <v>1498</v>
      </c>
      <c r="J694" s="433"/>
      <c r="K694" s="432">
        <v>101793</v>
      </c>
      <c r="L694" s="432" t="s">
        <v>1888</v>
      </c>
      <c r="M694" s="433">
        <v>44627</v>
      </c>
      <c r="N694" s="433">
        <v>44866</v>
      </c>
      <c r="O694" s="433"/>
      <c r="P694" s="332"/>
      <c r="Q694" s="433"/>
      <c r="R694" s="433"/>
      <c r="S694" s="432" t="s">
        <v>1510</v>
      </c>
      <c r="T694" s="432">
        <v>60</v>
      </c>
      <c r="U694" s="432" t="s">
        <v>1102</v>
      </c>
      <c r="V694" s="441" t="s">
        <v>973</v>
      </c>
      <c r="W694" s="432">
        <v>400</v>
      </c>
      <c r="X694" s="333">
        <v>768</v>
      </c>
      <c r="Y694" s="367">
        <f t="shared" si="66"/>
        <v>307200</v>
      </c>
      <c r="Z694" s="409">
        <f t="shared" si="76"/>
        <v>0.57499999999999996</v>
      </c>
      <c r="AA694" s="410">
        <f t="shared" si="70"/>
        <v>176640</v>
      </c>
      <c r="AB694" s="411"/>
      <c r="AC694" s="412">
        <f t="shared" si="67"/>
        <v>0</v>
      </c>
      <c r="AD694" s="405"/>
      <c r="AE694" s="405">
        <f t="shared" si="77"/>
        <v>14572.800000000001</v>
      </c>
      <c r="AF694" s="424">
        <f t="shared" si="68"/>
        <v>191212.79999999999</v>
      </c>
      <c r="AG694" s="405" t="s">
        <v>1069</v>
      </c>
      <c r="AH694" s="405">
        <v>100</v>
      </c>
      <c r="AI694" s="405">
        <v>0</v>
      </c>
      <c r="AJ694" s="406" t="s">
        <v>1760</v>
      </c>
      <c r="AK694" s="406" t="s">
        <v>50</v>
      </c>
      <c r="AL694" s="414">
        <v>92058</v>
      </c>
      <c r="AM694" s="405" t="s">
        <v>52</v>
      </c>
      <c r="AN694" s="361"/>
      <c r="AO694" s="405" t="s">
        <v>1073</v>
      </c>
      <c r="AP694" s="405"/>
      <c r="AQ694" s="413" t="s">
        <v>37</v>
      </c>
      <c r="AR694" s="405" t="s">
        <v>1188</v>
      </c>
      <c r="AS694" s="404"/>
      <c r="AT694" s="330"/>
      <c r="AU694" s="409">
        <f t="shared" si="75"/>
        <v>0.53</v>
      </c>
    </row>
    <row r="695" spans="1:47" s="402" customFormat="1">
      <c r="A695" s="426"/>
      <c r="B695" s="376">
        <v>44635</v>
      </c>
      <c r="C695" s="426"/>
      <c r="D695" s="443" t="s">
        <v>86</v>
      </c>
      <c r="E695" s="331"/>
      <c r="F695" s="432"/>
      <c r="G695" s="350">
        <v>2022</v>
      </c>
      <c r="H695" s="350" t="s">
        <v>2978</v>
      </c>
      <c r="I695" s="432" t="s">
        <v>1498</v>
      </c>
      <c r="J695" s="433"/>
      <c r="K695" s="432">
        <v>101792</v>
      </c>
      <c r="L695" s="432" t="s">
        <v>1888</v>
      </c>
      <c r="M695" s="433">
        <v>44627</v>
      </c>
      <c r="N695" s="433">
        <v>44866</v>
      </c>
      <c r="O695" s="433"/>
      <c r="P695" s="332"/>
      <c r="Q695" s="433"/>
      <c r="R695" s="433"/>
      <c r="S695" s="432" t="s">
        <v>1510</v>
      </c>
      <c r="T695" s="432">
        <v>60</v>
      </c>
      <c r="U695" s="432" t="s">
        <v>1102</v>
      </c>
      <c r="V695" s="441" t="s">
        <v>973</v>
      </c>
      <c r="W695" s="432">
        <v>400</v>
      </c>
      <c r="X695" s="333">
        <v>768</v>
      </c>
      <c r="Y695" s="367">
        <f t="shared" si="66"/>
        <v>307200</v>
      </c>
      <c r="Z695" s="409">
        <f t="shared" si="76"/>
        <v>0.57499999999999996</v>
      </c>
      <c r="AA695" s="410">
        <f t="shared" si="70"/>
        <v>176640</v>
      </c>
      <c r="AB695" s="411"/>
      <c r="AC695" s="412">
        <f t="shared" si="67"/>
        <v>0</v>
      </c>
      <c r="AD695" s="405"/>
      <c r="AE695" s="405">
        <f t="shared" si="77"/>
        <v>14572.800000000001</v>
      </c>
      <c r="AF695" s="424">
        <f t="shared" si="68"/>
        <v>191212.79999999999</v>
      </c>
      <c r="AG695" s="405" t="s">
        <v>1069</v>
      </c>
      <c r="AH695" s="405">
        <v>100</v>
      </c>
      <c r="AI695" s="405">
        <v>0</v>
      </c>
      <c r="AJ695" s="406" t="s">
        <v>1760</v>
      </c>
      <c r="AK695" s="406" t="s">
        <v>50</v>
      </c>
      <c r="AL695" s="414">
        <v>92058</v>
      </c>
      <c r="AM695" s="405" t="s">
        <v>52</v>
      </c>
      <c r="AN695" s="361"/>
      <c r="AO695" s="405" t="s">
        <v>1073</v>
      </c>
      <c r="AP695" s="405"/>
      <c r="AQ695" s="413" t="s">
        <v>37</v>
      </c>
      <c r="AR695" s="405" t="s">
        <v>1188</v>
      </c>
      <c r="AS695" s="404"/>
      <c r="AT695" s="330"/>
      <c r="AU695" s="409">
        <f t="shared" si="75"/>
        <v>0.53</v>
      </c>
    </row>
    <row r="696" spans="1:47" s="402" customFormat="1">
      <c r="A696" s="426"/>
      <c r="B696" s="376">
        <v>44635</v>
      </c>
      <c r="C696" s="426"/>
      <c r="D696" s="443" t="s">
        <v>86</v>
      </c>
      <c r="E696" s="331"/>
      <c r="F696" s="432"/>
      <c r="G696" s="350">
        <v>2022</v>
      </c>
      <c r="H696" s="350" t="s">
        <v>2978</v>
      </c>
      <c r="I696" s="432" t="s">
        <v>1498</v>
      </c>
      <c r="J696" s="433"/>
      <c r="K696" s="432">
        <v>101795</v>
      </c>
      <c r="L696" s="432" t="s">
        <v>1888</v>
      </c>
      <c r="M696" s="433">
        <v>44627</v>
      </c>
      <c r="N696" s="433">
        <v>44896</v>
      </c>
      <c r="O696" s="433"/>
      <c r="P696" s="332"/>
      <c r="Q696" s="433"/>
      <c r="R696" s="433"/>
      <c r="S696" s="432" t="s">
        <v>1510</v>
      </c>
      <c r="T696" s="432">
        <v>60</v>
      </c>
      <c r="U696" s="432" t="s">
        <v>1102</v>
      </c>
      <c r="V696" s="441" t="s">
        <v>973</v>
      </c>
      <c r="W696" s="432">
        <v>400</v>
      </c>
      <c r="X696" s="333">
        <v>768</v>
      </c>
      <c r="Y696" s="367">
        <f t="shared" si="66"/>
        <v>307200</v>
      </c>
      <c r="Z696" s="409">
        <f t="shared" si="76"/>
        <v>0.57499999999999996</v>
      </c>
      <c r="AA696" s="410">
        <f t="shared" si="70"/>
        <v>176640</v>
      </c>
      <c r="AB696" s="411"/>
      <c r="AC696" s="412">
        <f t="shared" si="67"/>
        <v>0</v>
      </c>
      <c r="AD696" s="405"/>
      <c r="AE696" s="405">
        <f t="shared" si="77"/>
        <v>14572.800000000001</v>
      </c>
      <c r="AF696" s="424">
        <f t="shared" si="68"/>
        <v>191212.79999999999</v>
      </c>
      <c r="AG696" s="405" t="s">
        <v>1069</v>
      </c>
      <c r="AH696" s="405">
        <v>100</v>
      </c>
      <c r="AI696" s="405">
        <v>0</v>
      </c>
      <c r="AJ696" s="406" t="s">
        <v>1760</v>
      </c>
      <c r="AK696" s="406" t="s">
        <v>50</v>
      </c>
      <c r="AL696" s="414">
        <v>92058</v>
      </c>
      <c r="AM696" s="405" t="s">
        <v>52</v>
      </c>
      <c r="AN696" s="361"/>
      <c r="AO696" s="405" t="s">
        <v>1073</v>
      </c>
      <c r="AP696" s="405"/>
      <c r="AQ696" s="413" t="s">
        <v>37</v>
      </c>
      <c r="AR696" s="405" t="s">
        <v>1188</v>
      </c>
      <c r="AS696" s="404"/>
      <c r="AT696" s="330"/>
      <c r="AU696" s="409">
        <f t="shared" si="75"/>
        <v>0.53</v>
      </c>
    </row>
    <row r="697" spans="1:47" s="402" customFormat="1">
      <c r="A697" s="426"/>
      <c r="B697" s="376">
        <v>44635</v>
      </c>
      <c r="C697" s="426"/>
      <c r="D697" s="443" t="s">
        <v>86</v>
      </c>
      <c r="E697" s="331"/>
      <c r="F697" s="432"/>
      <c r="G697" s="350">
        <v>2022</v>
      </c>
      <c r="H697" s="350" t="s">
        <v>2978</v>
      </c>
      <c r="I697" s="432" t="s">
        <v>1498</v>
      </c>
      <c r="J697" s="433"/>
      <c r="K697" s="432">
        <v>101791</v>
      </c>
      <c r="L697" s="432" t="s">
        <v>1888</v>
      </c>
      <c r="M697" s="433">
        <v>44627</v>
      </c>
      <c r="N697" s="433">
        <v>44866</v>
      </c>
      <c r="O697" s="433"/>
      <c r="P697" s="332"/>
      <c r="Q697" s="433"/>
      <c r="R697" s="433"/>
      <c r="S697" s="432" t="s">
        <v>1510</v>
      </c>
      <c r="T697" s="432">
        <v>60</v>
      </c>
      <c r="U697" s="432" t="s">
        <v>1102</v>
      </c>
      <c r="V697" s="441" t="s">
        <v>973</v>
      </c>
      <c r="W697" s="432">
        <v>400</v>
      </c>
      <c r="X697" s="333">
        <v>768</v>
      </c>
      <c r="Y697" s="367">
        <f t="shared" si="66"/>
        <v>307200</v>
      </c>
      <c r="Z697" s="409">
        <f t="shared" si="76"/>
        <v>0.57499999999999996</v>
      </c>
      <c r="AA697" s="410">
        <f t="shared" si="70"/>
        <v>176640</v>
      </c>
      <c r="AB697" s="411"/>
      <c r="AC697" s="412">
        <f t="shared" si="67"/>
        <v>0</v>
      </c>
      <c r="AD697" s="405"/>
      <c r="AE697" s="405">
        <f t="shared" si="77"/>
        <v>14572.800000000001</v>
      </c>
      <c r="AF697" s="424">
        <f t="shared" si="68"/>
        <v>191212.79999999999</v>
      </c>
      <c r="AG697" s="405" t="s">
        <v>1069</v>
      </c>
      <c r="AH697" s="405">
        <v>100</v>
      </c>
      <c r="AI697" s="405">
        <v>0</v>
      </c>
      <c r="AJ697" s="406" t="s">
        <v>1760</v>
      </c>
      <c r="AK697" s="406" t="s">
        <v>50</v>
      </c>
      <c r="AL697" s="414">
        <v>92058</v>
      </c>
      <c r="AM697" s="405" t="s">
        <v>52</v>
      </c>
      <c r="AN697" s="361"/>
      <c r="AO697" s="405" t="s">
        <v>1073</v>
      </c>
      <c r="AP697" s="405"/>
      <c r="AQ697" s="413" t="s">
        <v>37</v>
      </c>
      <c r="AR697" s="405" t="s">
        <v>1188</v>
      </c>
      <c r="AS697" s="404"/>
      <c r="AT697" s="330"/>
      <c r="AU697" s="409">
        <f t="shared" si="75"/>
        <v>0.53</v>
      </c>
    </row>
    <row r="698" spans="1:47" s="402" customFormat="1">
      <c r="A698" s="426"/>
      <c r="B698" s="376">
        <v>44635</v>
      </c>
      <c r="C698" s="426"/>
      <c r="D698" s="443" t="s">
        <v>86</v>
      </c>
      <c r="E698" s="331"/>
      <c r="F698" s="432"/>
      <c r="G698" s="350">
        <v>2022</v>
      </c>
      <c r="H698" s="350" t="s">
        <v>2978</v>
      </c>
      <c r="I698" s="432" t="s">
        <v>1498</v>
      </c>
      <c r="J698" s="433"/>
      <c r="K698" s="432">
        <v>101789</v>
      </c>
      <c r="L698" s="432" t="s">
        <v>1888</v>
      </c>
      <c r="M698" s="433">
        <v>44627</v>
      </c>
      <c r="N698" s="433">
        <v>44805</v>
      </c>
      <c r="O698" s="433"/>
      <c r="P698" s="332"/>
      <c r="Q698" s="433"/>
      <c r="R698" s="433"/>
      <c r="S698" s="432" t="s">
        <v>1510</v>
      </c>
      <c r="T698" s="432">
        <v>60</v>
      </c>
      <c r="U698" s="432" t="s">
        <v>1102</v>
      </c>
      <c r="V698" s="441" t="s">
        <v>973</v>
      </c>
      <c r="W698" s="432">
        <v>400</v>
      </c>
      <c r="X698" s="333">
        <v>768</v>
      </c>
      <c r="Y698" s="367">
        <f t="shared" si="66"/>
        <v>307200</v>
      </c>
      <c r="Z698" s="409">
        <f t="shared" si="76"/>
        <v>0.57499999999999996</v>
      </c>
      <c r="AA698" s="410">
        <f t="shared" si="70"/>
        <v>176640</v>
      </c>
      <c r="AB698" s="411"/>
      <c r="AC698" s="412">
        <f t="shared" si="67"/>
        <v>0</v>
      </c>
      <c r="AD698" s="405"/>
      <c r="AE698" s="405">
        <f t="shared" si="77"/>
        <v>14572.800000000001</v>
      </c>
      <c r="AF698" s="424">
        <f t="shared" si="68"/>
        <v>191212.79999999999</v>
      </c>
      <c r="AG698" s="405" t="s">
        <v>1069</v>
      </c>
      <c r="AH698" s="405">
        <v>100</v>
      </c>
      <c r="AI698" s="405">
        <v>0</v>
      </c>
      <c r="AJ698" s="406" t="s">
        <v>1760</v>
      </c>
      <c r="AK698" s="406" t="s">
        <v>50</v>
      </c>
      <c r="AL698" s="414">
        <v>92058</v>
      </c>
      <c r="AM698" s="405" t="s">
        <v>52</v>
      </c>
      <c r="AN698" s="361"/>
      <c r="AO698" s="405" t="s">
        <v>1073</v>
      </c>
      <c r="AP698" s="405"/>
      <c r="AQ698" s="413" t="s">
        <v>37</v>
      </c>
      <c r="AR698" s="405" t="s">
        <v>1188</v>
      </c>
      <c r="AS698" s="404"/>
      <c r="AT698" s="330"/>
      <c r="AU698" s="409">
        <f t="shared" si="75"/>
        <v>0.53</v>
      </c>
    </row>
    <row r="699" spans="1:47" s="402" customFormat="1">
      <c r="A699" s="426"/>
      <c r="B699" s="376">
        <v>44635</v>
      </c>
      <c r="C699" s="426"/>
      <c r="D699" s="443" t="s">
        <v>86</v>
      </c>
      <c r="E699" s="331"/>
      <c r="F699" s="432"/>
      <c r="G699" s="350">
        <v>2022</v>
      </c>
      <c r="H699" s="350" t="s">
        <v>2978</v>
      </c>
      <c r="I699" s="432" t="s">
        <v>1498</v>
      </c>
      <c r="J699" s="433"/>
      <c r="K699" s="432">
        <v>101790</v>
      </c>
      <c r="L699" s="432" t="s">
        <v>1888</v>
      </c>
      <c r="M699" s="433">
        <v>44627</v>
      </c>
      <c r="N699" s="433">
        <v>44835</v>
      </c>
      <c r="O699" s="433"/>
      <c r="P699" s="332"/>
      <c r="Q699" s="433"/>
      <c r="R699" s="433"/>
      <c r="S699" s="432" t="s">
        <v>1510</v>
      </c>
      <c r="T699" s="432">
        <v>60</v>
      </c>
      <c r="U699" s="432" t="s">
        <v>1102</v>
      </c>
      <c r="V699" s="441" t="s">
        <v>973</v>
      </c>
      <c r="W699" s="432">
        <v>400</v>
      </c>
      <c r="X699" s="333">
        <v>768</v>
      </c>
      <c r="Y699" s="367">
        <f t="shared" si="66"/>
        <v>307200</v>
      </c>
      <c r="Z699" s="409">
        <f t="shared" si="76"/>
        <v>0.57499999999999996</v>
      </c>
      <c r="AA699" s="410">
        <f t="shared" si="70"/>
        <v>176640</v>
      </c>
      <c r="AB699" s="411"/>
      <c r="AC699" s="412">
        <f t="shared" si="67"/>
        <v>0</v>
      </c>
      <c r="AD699" s="405"/>
      <c r="AE699" s="405">
        <f t="shared" si="77"/>
        <v>14572.800000000001</v>
      </c>
      <c r="AF699" s="424">
        <f t="shared" si="68"/>
        <v>191212.79999999999</v>
      </c>
      <c r="AG699" s="405" t="s">
        <v>1069</v>
      </c>
      <c r="AH699" s="405">
        <v>100</v>
      </c>
      <c r="AI699" s="405">
        <v>0</v>
      </c>
      <c r="AJ699" s="406" t="s">
        <v>1760</v>
      </c>
      <c r="AK699" s="406" t="s">
        <v>50</v>
      </c>
      <c r="AL699" s="414">
        <v>92058</v>
      </c>
      <c r="AM699" s="405" t="s">
        <v>52</v>
      </c>
      <c r="AN699" s="361"/>
      <c r="AO699" s="405" t="s">
        <v>1073</v>
      </c>
      <c r="AP699" s="405"/>
      <c r="AQ699" s="413" t="s">
        <v>37</v>
      </c>
      <c r="AR699" s="405" t="s">
        <v>1188</v>
      </c>
      <c r="AS699" s="404"/>
      <c r="AT699" s="330"/>
      <c r="AU699" s="409">
        <f t="shared" si="75"/>
        <v>0.53</v>
      </c>
    </row>
    <row r="700" spans="1:47" s="402" customFormat="1">
      <c r="A700" s="426"/>
      <c r="B700" s="376">
        <v>44635</v>
      </c>
      <c r="C700" s="426"/>
      <c r="D700" s="443" t="s">
        <v>86</v>
      </c>
      <c r="E700" s="331"/>
      <c r="F700" s="432"/>
      <c r="G700" s="350">
        <v>2022</v>
      </c>
      <c r="H700" s="350" t="s">
        <v>2978</v>
      </c>
      <c r="I700" s="432" t="s">
        <v>1498</v>
      </c>
      <c r="J700" s="433"/>
      <c r="K700" s="432">
        <v>101788</v>
      </c>
      <c r="L700" s="432" t="s">
        <v>1888</v>
      </c>
      <c r="M700" s="433">
        <v>44627</v>
      </c>
      <c r="N700" s="433">
        <v>44835</v>
      </c>
      <c r="O700" s="433"/>
      <c r="P700" s="332"/>
      <c r="Q700" s="433"/>
      <c r="R700" s="433"/>
      <c r="S700" s="432" t="s">
        <v>1510</v>
      </c>
      <c r="T700" s="432">
        <v>60</v>
      </c>
      <c r="U700" s="432" t="s">
        <v>1102</v>
      </c>
      <c r="V700" s="441" t="s">
        <v>973</v>
      </c>
      <c r="W700" s="432">
        <v>400</v>
      </c>
      <c r="X700" s="333">
        <v>768</v>
      </c>
      <c r="Y700" s="367">
        <f t="shared" ref="Y700:Y759" si="78">W700*X700</f>
        <v>307200</v>
      </c>
      <c r="Z700" s="409">
        <f t="shared" si="76"/>
        <v>0.57499999999999996</v>
      </c>
      <c r="AA700" s="410">
        <f t="shared" si="70"/>
        <v>176640</v>
      </c>
      <c r="AB700" s="411"/>
      <c r="AC700" s="412">
        <f t="shared" ref="AC700:AC719" si="79">AB700*Y700</f>
        <v>0</v>
      </c>
      <c r="AD700" s="405"/>
      <c r="AE700" s="405">
        <f t="shared" si="77"/>
        <v>14572.800000000001</v>
      </c>
      <c r="AF700" s="424">
        <f t="shared" ref="AF700:AF763" si="80">AE700+AD700+AA700</f>
        <v>191212.79999999999</v>
      </c>
      <c r="AG700" s="405" t="s">
        <v>1069</v>
      </c>
      <c r="AH700" s="405">
        <v>100</v>
      </c>
      <c r="AI700" s="405">
        <v>0</v>
      </c>
      <c r="AJ700" s="406" t="s">
        <v>1760</v>
      </c>
      <c r="AK700" s="406" t="s">
        <v>50</v>
      </c>
      <c r="AL700" s="414">
        <v>92058</v>
      </c>
      <c r="AM700" s="405" t="s">
        <v>52</v>
      </c>
      <c r="AN700" s="361"/>
      <c r="AO700" s="405" t="s">
        <v>1073</v>
      </c>
      <c r="AP700" s="405"/>
      <c r="AQ700" s="413" t="s">
        <v>37</v>
      </c>
      <c r="AR700" s="405" t="s">
        <v>1188</v>
      </c>
      <c r="AS700" s="404"/>
      <c r="AT700" s="330"/>
      <c r="AU700" s="409">
        <f t="shared" si="75"/>
        <v>0.53</v>
      </c>
    </row>
    <row r="701" spans="1:47" s="402" customFormat="1">
      <c r="A701" s="426"/>
      <c r="B701" s="376">
        <v>44635</v>
      </c>
      <c r="C701" s="426"/>
      <c r="D701" s="443" t="s">
        <v>86</v>
      </c>
      <c r="E701" s="331"/>
      <c r="F701" s="432"/>
      <c r="G701" s="350">
        <v>2022</v>
      </c>
      <c r="H701" s="350" t="s">
        <v>2978</v>
      </c>
      <c r="I701" s="432" t="s">
        <v>1498</v>
      </c>
      <c r="J701" s="433"/>
      <c r="K701" s="432">
        <v>101787</v>
      </c>
      <c r="L701" s="432" t="s">
        <v>1888</v>
      </c>
      <c r="M701" s="433">
        <v>44627</v>
      </c>
      <c r="N701" s="433">
        <v>44835</v>
      </c>
      <c r="O701" s="433"/>
      <c r="P701" s="332"/>
      <c r="Q701" s="433"/>
      <c r="R701" s="433"/>
      <c r="S701" s="432" t="s">
        <v>1510</v>
      </c>
      <c r="T701" s="432">
        <v>60</v>
      </c>
      <c r="U701" s="432" t="s">
        <v>1102</v>
      </c>
      <c r="V701" s="441" t="s">
        <v>973</v>
      </c>
      <c r="W701" s="432">
        <v>400</v>
      </c>
      <c r="X701" s="333">
        <v>768</v>
      </c>
      <c r="Y701" s="367">
        <f t="shared" si="78"/>
        <v>307200</v>
      </c>
      <c r="Z701" s="409">
        <f t="shared" si="76"/>
        <v>0.57499999999999996</v>
      </c>
      <c r="AA701" s="410">
        <f t="shared" si="70"/>
        <v>176640</v>
      </c>
      <c r="AB701" s="411"/>
      <c r="AC701" s="412">
        <f t="shared" si="79"/>
        <v>0</v>
      </c>
      <c r="AD701" s="405"/>
      <c r="AE701" s="405">
        <f t="shared" si="77"/>
        <v>14572.800000000001</v>
      </c>
      <c r="AF701" s="424">
        <f t="shared" si="80"/>
        <v>191212.79999999999</v>
      </c>
      <c r="AG701" s="405" t="s">
        <v>1069</v>
      </c>
      <c r="AH701" s="405">
        <v>100</v>
      </c>
      <c r="AI701" s="405">
        <v>0</v>
      </c>
      <c r="AJ701" s="406" t="s">
        <v>1760</v>
      </c>
      <c r="AK701" s="406" t="s">
        <v>50</v>
      </c>
      <c r="AL701" s="414">
        <v>92058</v>
      </c>
      <c r="AM701" s="405" t="s">
        <v>52</v>
      </c>
      <c r="AN701" s="361"/>
      <c r="AO701" s="405" t="s">
        <v>1073</v>
      </c>
      <c r="AP701" s="405"/>
      <c r="AQ701" s="413" t="s">
        <v>37</v>
      </c>
      <c r="AR701" s="405" t="s">
        <v>1188</v>
      </c>
      <c r="AS701" s="404"/>
      <c r="AT701" s="330"/>
      <c r="AU701" s="409">
        <f t="shared" si="75"/>
        <v>0.53</v>
      </c>
    </row>
    <row r="702" spans="1:47" s="402" customFormat="1">
      <c r="A702" s="426"/>
      <c r="B702" s="376">
        <v>44635</v>
      </c>
      <c r="C702" s="426"/>
      <c r="D702" s="443" t="s">
        <v>86</v>
      </c>
      <c r="E702" s="331"/>
      <c r="F702" s="432"/>
      <c r="G702" s="350">
        <v>2022</v>
      </c>
      <c r="H702" s="350" t="s">
        <v>2978</v>
      </c>
      <c r="I702" s="432" t="s">
        <v>1498</v>
      </c>
      <c r="J702" s="433"/>
      <c r="K702" s="432">
        <v>101786</v>
      </c>
      <c r="L702" s="432" t="s">
        <v>1888</v>
      </c>
      <c r="M702" s="433">
        <v>44627</v>
      </c>
      <c r="N702" s="433">
        <v>44805</v>
      </c>
      <c r="O702" s="433"/>
      <c r="P702" s="332"/>
      <c r="Q702" s="433"/>
      <c r="R702" s="433"/>
      <c r="S702" s="432" t="s">
        <v>1510</v>
      </c>
      <c r="T702" s="432">
        <v>60</v>
      </c>
      <c r="U702" s="432" t="s">
        <v>1102</v>
      </c>
      <c r="V702" s="441" t="s">
        <v>973</v>
      </c>
      <c r="W702" s="432">
        <v>400</v>
      </c>
      <c r="X702" s="333">
        <v>768</v>
      </c>
      <c r="Y702" s="367">
        <f t="shared" si="78"/>
        <v>307200</v>
      </c>
      <c r="Z702" s="409">
        <f t="shared" si="76"/>
        <v>0.57499999999999996</v>
      </c>
      <c r="AA702" s="410">
        <f t="shared" si="70"/>
        <v>176640</v>
      </c>
      <c r="AB702" s="411"/>
      <c r="AC702" s="412">
        <f t="shared" si="79"/>
        <v>0</v>
      </c>
      <c r="AD702" s="405"/>
      <c r="AE702" s="405">
        <f t="shared" si="77"/>
        <v>14572.800000000001</v>
      </c>
      <c r="AF702" s="424">
        <f t="shared" si="80"/>
        <v>191212.79999999999</v>
      </c>
      <c r="AG702" s="405" t="s">
        <v>1069</v>
      </c>
      <c r="AH702" s="405">
        <v>100</v>
      </c>
      <c r="AI702" s="405">
        <v>0</v>
      </c>
      <c r="AJ702" s="406" t="s">
        <v>1760</v>
      </c>
      <c r="AK702" s="406" t="s">
        <v>50</v>
      </c>
      <c r="AL702" s="414">
        <v>92058</v>
      </c>
      <c r="AM702" s="405" t="s">
        <v>52</v>
      </c>
      <c r="AN702" s="361"/>
      <c r="AO702" s="405" t="s">
        <v>1073</v>
      </c>
      <c r="AP702" s="405"/>
      <c r="AQ702" s="413" t="s">
        <v>37</v>
      </c>
      <c r="AR702" s="405" t="s">
        <v>1188</v>
      </c>
      <c r="AS702" s="404"/>
      <c r="AT702" s="330"/>
      <c r="AU702" s="409">
        <f t="shared" si="75"/>
        <v>0.53</v>
      </c>
    </row>
    <row r="703" spans="1:47" s="402" customFormat="1">
      <c r="A703" s="426"/>
      <c r="B703" s="376">
        <v>44635</v>
      </c>
      <c r="C703" s="426"/>
      <c r="D703" s="443" t="s">
        <v>86</v>
      </c>
      <c r="E703" s="331"/>
      <c r="F703" s="432"/>
      <c r="G703" s="350">
        <v>2022</v>
      </c>
      <c r="H703" s="350" t="s">
        <v>2978</v>
      </c>
      <c r="I703" s="432" t="s">
        <v>1498</v>
      </c>
      <c r="J703" s="433"/>
      <c r="K703" s="432">
        <v>101785</v>
      </c>
      <c r="L703" s="432" t="s">
        <v>1888</v>
      </c>
      <c r="M703" s="433">
        <v>44627</v>
      </c>
      <c r="N703" s="433">
        <v>44805</v>
      </c>
      <c r="O703" s="433"/>
      <c r="P703" s="332"/>
      <c r="Q703" s="433"/>
      <c r="R703" s="433"/>
      <c r="S703" s="432" t="s">
        <v>1510</v>
      </c>
      <c r="T703" s="432">
        <v>60</v>
      </c>
      <c r="U703" s="432" t="s">
        <v>1102</v>
      </c>
      <c r="V703" s="441" t="s">
        <v>973</v>
      </c>
      <c r="W703" s="432">
        <v>400</v>
      </c>
      <c r="X703" s="333">
        <v>768</v>
      </c>
      <c r="Y703" s="367">
        <f t="shared" si="78"/>
        <v>307200</v>
      </c>
      <c r="Z703" s="409">
        <f t="shared" si="76"/>
        <v>0.57499999999999996</v>
      </c>
      <c r="AA703" s="410">
        <f t="shared" si="70"/>
        <v>176640</v>
      </c>
      <c r="AB703" s="411"/>
      <c r="AC703" s="412">
        <f t="shared" si="79"/>
        <v>0</v>
      </c>
      <c r="AD703" s="405"/>
      <c r="AE703" s="405">
        <f t="shared" si="77"/>
        <v>14572.800000000001</v>
      </c>
      <c r="AF703" s="424">
        <f t="shared" si="80"/>
        <v>191212.79999999999</v>
      </c>
      <c r="AG703" s="405" t="s">
        <v>1069</v>
      </c>
      <c r="AH703" s="405">
        <v>100</v>
      </c>
      <c r="AI703" s="405">
        <v>0</v>
      </c>
      <c r="AJ703" s="406" t="s">
        <v>1760</v>
      </c>
      <c r="AK703" s="406" t="s">
        <v>50</v>
      </c>
      <c r="AL703" s="414">
        <v>92058</v>
      </c>
      <c r="AM703" s="405" t="s">
        <v>52</v>
      </c>
      <c r="AN703" s="361"/>
      <c r="AO703" s="405" t="s">
        <v>1073</v>
      </c>
      <c r="AP703" s="405"/>
      <c r="AQ703" s="413" t="s">
        <v>37</v>
      </c>
      <c r="AR703" s="405" t="s">
        <v>1188</v>
      </c>
      <c r="AS703" s="404"/>
      <c r="AT703" s="330"/>
      <c r="AU703" s="409">
        <f t="shared" si="75"/>
        <v>0.53</v>
      </c>
    </row>
    <row r="704" spans="1:47" s="402" customFormat="1">
      <c r="A704" s="426"/>
      <c r="B704" s="376">
        <v>44635</v>
      </c>
      <c r="C704" s="426"/>
      <c r="D704" s="443" t="s">
        <v>86</v>
      </c>
      <c r="E704" s="331"/>
      <c r="F704" s="432"/>
      <c r="G704" s="350">
        <v>2022</v>
      </c>
      <c r="H704" s="350" t="s">
        <v>2978</v>
      </c>
      <c r="I704" s="432" t="s">
        <v>1498</v>
      </c>
      <c r="J704" s="433"/>
      <c r="K704" s="432">
        <v>101784</v>
      </c>
      <c r="L704" s="432" t="s">
        <v>1888</v>
      </c>
      <c r="M704" s="433">
        <v>44627</v>
      </c>
      <c r="N704" s="433">
        <v>44805</v>
      </c>
      <c r="O704" s="433"/>
      <c r="P704" s="332"/>
      <c r="Q704" s="433"/>
      <c r="R704" s="433"/>
      <c r="S704" s="432" t="s">
        <v>1510</v>
      </c>
      <c r="T704" s="432">
        <v>60</v>
      </c>
      <c r="U704" s="432" t="s">
        <v>1102</v>
      </c>
      <c r="V704" s="441" t="s">
        <v>973</v>
      </c>
      <c r="W704" s="432">
        <v>400</v>
      </c>
      <c r="X704" s="333">
        <v>768</v>
      </c>
      <c r="Y704" s="367">
        <f t="shared" si="78"/>
        <v>307200</v>
      </c>
      <c r="Z704" s="409">
        <f t="shared" si="76"/>
        <v>0.57499999999999996</v>
      </c>
      <c r="AA704" s="410">
        <f t="shared" si="70"/>
        <v>176640</v>
      </c>
      <c r="AB704" s="411"/>
      <c r="AC704" s="412">
        <f t="shared" si="79"/>
        <v>0</v>
      </c>
      <c r="AD704" s="405"/>
      <c r="AE704" s="405">
        <f t="shared" si="77"/>
        <v>14572.800000000001</v>
      </c>
      <c r="AF704" s="424">
        <f t="shared" si="80"/>
        <v>191212.79999999999</v>
      </c>
      <c r="AG704" s="405" t="s">
        <v>1069</v>
      </c>
      <c r="AH704" s="405">
        <v>100</v>
      </c>
      <c r="AI704" s="405">
        <v>0</v>
      </c>
      <c r="AJ704" s="406" t="s">
        <v>1760</v>
      </c>
      <c r="AK704" s="406" t="s">
        <v>50</v>
      </c>
      <c r="AL704" s="414">
        <v>92058</v>
      </c>
      <c r="AM704" s="405" t="s">
        <v>52</v>
      </c>
      <c r="AN704" s="361"/>
      <c r="AO704" s="405" t="s">
        <v>1073</v>
      </c>
      <c r="AP704" s="405"/>
      <c r="AQ704" s="413" t="s">
        <v>37</v>
      </c>
      <c r="AR704" s="405" t="s">
        <v>1188</v>
      </c>
      <c r="AS704" s="404"/>
      <c r="AT704" s="330"/>
      <c r="AU704" s="409">
        <f t="shared" si="75"/>
        <v>0.53</v>
      </c>
    </row>
    <row r="705" spans="1:47" s="402" customFormat="1">
      <c r="A705" s="426"/>
      <c r="B705" s="376">
        <v>44635</v>
      </c>
      <c r="C705" s="426"/>
      <c r="D705" s="443" t="s">
        <v>86</v>
      </c>
      <c r="E705" s="331"/>
      <c r="F705" s="432"/>
      <c r="G705" s="350">
        <v>2022</v>
      </c>
      <c r="H705" s="350" t="s">
        <v>2978</v>
      </c>
      <c r="I705" s="432" t="s">
        <v>1498</v>
      </c>
      <c r="J705" s="433"/>
      <c r="K705" s="432">
        <v>101783</v>
      </c>
      <c r="L705" s="432" t="s">
        <v>1888</v>
      </c>
      <c r="M705" s="433">
        <v>44627</v>
      </c>
      <c r="N705" s="433">
        <v>44774</v>
      </c>
      <c r="O705" s="433"/>
      <c r="P705" s="332"/>
      <c r="Q705" s="433"/>
      <c r="R705" s="433"/>
      <c r="S705" s="432" t="s">
        <v>1510</v>
      </c>
      <c r="T705" s="432">
        <v>60</v>
      </c>
      <c r="U705" s="432" t="s">
        <v>1102</v>
      </c>
      <c r="V705" s="441" t="s">
        <v>973</v>
      </c>
      <c r="W705" s="432">
        <v>400</v>
      </c>
      <c r="X705" s="333">
        <v>768</v>
      </c>
      <c r="Y705" s="367">
        <f t="shared" si="78"/>
        <v>307200</v>
      </c>
      <c r="Z705" s="409">
        <f t="shared" si="76"/>
        <v>0.57499999999999996</v>
      </c>
      <c r="AA705" s="410">
        <f t="shared" si="70"/>
        <v>176640</v>
      </c>
      <c r="AB705" s="411"/>
      <c r="AC705" s="412">
        <f t="shared" si="79"/>
        <v>0</v>
      </c>
      <c r="AD705" s="405"/>
      <c r="AE705" s="405">
        <f t="shared" si="77"/>
        <v>14572.800000000001</v>
      </c>
      <c r="AF705" s="424">
        <f t="shared" si="80"/>
        <v>191212.79999999999</v>
      </c>
      <c r="AG705" s="405" t="s">
        <v>1069</v>
      </c>
      <c r="AH705" s="405">
        <v>100</v>
      </c>
      <c r="AI705" s="405">
        <v>0</v>
      </c>
      <c r="AJ705" s="406" t="s">
        <v>1760</v>
      </c>
      <c r="AK705" s="406" t="s">
        <v>50</v>
      </c>
      <c r="AL705" s="414">
        <v>92058</v>
      </c>
      <c r="AM705" s="405" t="s">
        <v>52</v>
      </c>
      <c r="AN705" s="361"/>
      <c r="AO705" s="405" t="s">
        <v>1073</v>
      </c>
      <c r="AP705" s="405"/>
      <c r="AQ705" s="413" t="s">
        <v>37</v>
      </c>
      <c r="AR705" s="405" t="s">
        <v>1188</v>
      </c>
      <c r="AS705" s="404"/>
      <c r="AT705" s="330"/>
      <c r="AU705" s="409">
        <f t="shared" si="75"/>
        <v>0.53</v>
      </c>
    </row>
    <row r="706" spans="1:47" s="402" customFormat="1">
      <c r="A706" s="426"/>
      <c r="B706" s="376">
        <v>44635</v>
      </c>
      <c r="C706" s="426"/>
      <c r="D706" s="443" t="s">
        <v>86</v>
      </c>
      <c r="E706" s="331"/>
      <c r="F706" s="432"/>
      <c r="G706" s="350">
        <v>2022</v>
      </c>
      <c r="H706" s="350" t="s">
        <v>2978</v>
      </c>
      <c r="I706" s="432" t="s">
        <v>1498</v>
      </c>
      <c r="J706" s="433"/>
      <c r="K706" s="432">
        <v>101782</v>
      </c>
      <c r="L706" s="432" t="s">
        <v>1888</v>
      </c>
      <c r="M706" s="433">
        <v>44627</v>
      </c>
      <c r="N706" s="433">
        <v>44743</v>
      </c>
      <c r="O706" s="433"/>
      <c r="P706" s="332"/>
      <c r="Q706" s="433"/>
      <c r="R706" s="433"/>
      <c r="S706" s="432" t="s">
        <v>1510</v>
      </c>
      <c r="T706" s="432">
        <v>60</v>
      </c>
      <c r="U706" s="432" t="s">
        <v>1102</v>
      </c>
      <c r="V706" s="441" t="s">
        <v>973</v>
      </c>
      <c r="W706" s="432">
        <v>400</v>
      </c>
      <c r="X706" s="333">
        <v>768</v>
      </c>
      <c r="Y706" s="367">
        <f t="shared" si="78"/>
        <v>307200</v>
      </c>
      <c r="Z706" s="409">
        <f t="shared" si="76"/>
        <v>0.57499999999999996</v>
      </c>
      <c r="AA706" s="410">
        <f t="shared" si="70"/>
        <v>176640</v>
      </c>
      <c r="AB706" s="411"/>
      <c r="AC706" s="412">
        <f t="shared" si="79"/>
        <v>0</v>
      </c>
      <c r="AD706" s="405"/>
      <c r="AE706" s="405">
        <f t="shared" si="77"/>
        <v>14572.800000000001</v>
      </c>
      <c r="AF706" s="424">
        <f t="shared" si="80"/>
        <v>191212.79999999999</v>
      </c>
      <c r="AG706" s="405" t="s">
        <v>1069</v>
      </c>
      <c r="AH706" s="405">
        <v>100</v>
      </c>
      <c r="AI706" s="405">
        <v>0</v>
      </c>
      <c r="AJ706" s="406" t="s">
        <v>1760</v>
      </c>
      <c r="AK706" s="406" t="s">
        <v>50</v>
      </c>
      <c r="AL706" s="414">
        <v>92058</v>
      </c>
      <c r="AM706" s="405" t="s">
        <v>52</v>
      </c>
      <c r="AN706" s="361"/>
      <c r="AO706" s="405" t="s">
        <v>1073</v>
      </c>
      <c r="AP706" s="405"/>
      <c r="AQ706" s="413" t="s">
        <v>37</v>
      </c>
      <c r="AR706" s="405" t="s">
        <v>1188</v>
      </c>
      <c r="AS706" s="404"/>
      <c r="AT706" s="330"/>
      <c r="AU706" s="409">
        <f t="shared" si="75"/>
        <v>0.53</v>
      </c>
    </row>
    <row r="707" spans="1:47" s="402" customFormat="1">
      <c r="A707" s="426"/>
      <c r="B707" s="376">
        <v>44635</v>
      </c>
      <c r="C707" s="426"/>
      <c r="D707" s="443" t="s">
        <v>86</v>
      </c>
      <c r="E707" s="331"/>
      <c r="F707" s="432"/>
      <c r="G707" s="350">
        <v>2022</v>
      </c>
      <c r="H707" s="350" t="s">
        <v>2978</v>
      </c>
      <c r="I707" s="432" t="s">
        <v>1498</v>
      </c>
      <c r="J707" s="433"/>
      <c r="K707" s="432">
        <v>101781</v>
      </c>
      <c r="L707" s="432" t="s">
        <v>1888</v>
      </c>
      <c r="M707" s="433">
        <v>44627</v>
      </c>
      <c r="N707" s="433">
        <v>44743</v>
      </c>
      <c r="O707" s="433"/>
      <c r="P707" s="332"/>
      <c r="Q707" s="433"/>
      <c r="R707" s="433"/>
      <c r="S707" s="432" t="s">
        <v>1510</v>
      </c>
      <c r="T707" s="432">
        <v>60</v>
      </c>
      <c r="U707" s="432" t="s">
        <v>1102</v>
      </c>
      <c r="V707" s="441" t="s">
        <v>973</v>
      </c>
      <c r="W707" s="432">
        <v>400</v>
      </c>
      <c r="X707" s="333">
        <v>768</v>
      </c>
      <c r="Y707" s="367">
        <f t="shared" si="78"/>
        <v>307200</v>
      </c>
      <c r="Z707" s="409">
        <f t="shared" si="76"/>
        <v>0.57499999999999996</v>
      </c>
      <c r="AA707" s="410">
        <f t="shared" ref="AA707:AA770" si="81">Z707*Y707</f>
        <v>176640</v>
      </c>
      <c r="AB707" s="411"/>
      <c r="AC707" s="412">
        <f t="shared" si="79"/>
        <v>0</v>
      </c>
      <c r="AD707" s="405"/>
      <c r="AE707" s="405">
        <f t="shared" si="77"/>
        <v>14572.800000000001</v>
      </c>
      <c r="AF707" s="424">
        <f t="shared" si="80"/>
        <v>191212.79999999999</v>
      </c>
      <c r="AG707" s="405" t="s">
        <v>1069</v>
      </c>
      <c r="AH707" s="405">
        <v>100</v>
      </c>
      <c r="AI707" s="405">
        <v>0</v>
      </c>
      <c r="AJ707" s="406" t="s">
        <v>1760</v>
      </c>
      <c r="AK707" s="406" t="s">
        <v>50</v>
      </c>
      <c r="AL707" s="414">
        <v>92058</v>
      </c>
      <c r="AM707" s="405" t="s">
        <v>52</v>
      </c>
      <c r="AN707" s="361"/>
      <c r="AO707" s="405" t="s">
        <v>1073</v>
      </c>
      <c r="AP707" s="405"/>
      <c r="AQ707" s="413" t="s">
        <v>37</v>
      </c>
      <c r="AR707" s="405" t="s">
        <v>1188</v>
      </c>
      <c r="AS707" s="404"/>
      <c r="AT707" s="330"/>
      <c r="AU707" s="409">
        <f t="shared" si="75"/>
        <v>0.53</v>
      </c>
    </row>
    <row r="708" spans="1:47" s="402" customFormat="1">
      <c r="A708" s="426"/>
      <c r="B708" s="376"/>
      <c r="C708" s="426"/>
      <c r="D708" s="443" t="s">
        <v>86</v>
      </c>
      <c r="E708" s="331"/>
      <c r="F708" s="432"/>
      <c r="G708" s="350">
        <v>2022</v>
      </c>
      <c r="H708" s="350" t="s">
        <v>2978</v>
      </c>
      <c r="I708" s="432" t="s">
        <v>1498</v>
      </c>
      <c r="J708" s="433"/>
      <c r="K708" s="432">
        <v>101851</v>
      </c>
      <c r="L708" s="432" t="s">
        <v>1888</v>
      </c>
      <c r="M708" s="433">
        <v>44652</v>
      </c>
      <c r="N708" s="433">
        <v>44652</v>
      </c>
      <c r="O708" s="433"/>
      <c r="P708" s="332"/>
      <c r="Q708" s="433"/>
      <c r="R708" s="433"/>
      <c r="S708" s="432" t="s">
        <v>1510</v>
      </c>
      <c r="T708" s="432">
        <v>60</v>
      </c>
      <c r="U708" s="432" t="s">
        <v>1102</v>
      </c>
      <c r="V708" s="441" t="s">
        <v>973</v>
      </c>
      <c r="W708" s="432">
        <v>400</v>
      </c>
      <c r="X708" s="333">
        <v>768</v>
      </c>
      <c r="Y708" s="367">
        <f t="shared" si="78"/>
        <v>307200</v>
      </c>
      <c r="Z708" s="409">
        <f t="shared" si="76"/>
        <v>0.57499999999999996</v>
      </c>
      <c r="AA708" s="410">
        <f t="shared" si="81"/>
        <v>176640</v>
      </c>
      <c r="AB708" s="411"/>
      <c r="AC708" s="412">
        <f t="shared" si="79"/>
        <v>0</v>
      </c>
      <c r="AD708" s="405"/>
      <c r="AE708" s="405">
        <f t="shared" si="77"/>
        <v>14572.800000000001</v>
      </c>
      <c r="AF708" s="424">
        <f t="shared" si="80"/>
        <v>191212.79999999999</v>
      </c>
      <c r="AG708" s="405" t="s">
        <v>1069</v>
      </c>
      <c r="AH708" s="405">
        <v>100</v>
      </c>
      <c r="AI708" s="405">
        <v>0</v>
      </c>
      <c r="AJ708" s="406" t="s">
        <v>1760</v>
      </c>
      <c r="AK708" s="406" t="s">
        <v>50</v>
      </c>
      <c r="AL708" s="414">
        <v>92058</v>
      </c>
      <c r="AM708" s="405" t="s">
        <v>52</v>
      </c>
      <c r="AN708" s="361"/>
      <c r="AO708" s="405" t="s">
        <v>1073</v>
      </c>
      <c r="AP708" s="405"/>
      <c r="AQ708" s="413" t="s">
        <v>37</v>
      </c>
      <c r="AR708" s="405" t="s">
        <v>1188</v>
      </c>
      <c r="AS708" s="404"/>
      <c r="AT708" s="330"/>
      <c r="AU708" s="409">
        <f t="shared" si="75"/>
        <v>0.53</v>
      </c>
    </row>
    <row r="709" spans="1:47" s="402" customFormat="1">
      <c r="A709" s="426"/>
      <c r="B709" s="376"/>
      <c r="C709" s="426"/>
      <c r="D709" s="443" t="s">
        <v>86</v>
      </c>
      <c r="E709" s="331"/>
      <c r="F709" s="432"/>
      <c r="G709" s="350">
        <v>2022</v>
      </c>
      <c r="H709" s="350" t="s">
        <v>2978</v>
      </c>
      <c r="I709" s="432" t="s">
        <v>1498</v>
      </c>
      <c r="J709" s="433"/>
      <c r="K709" s="432">
        <v>101852</v>
      </c>
      <c r="L709" s="432" t="s">
        <v>1888</v>
      </c>
      <c r="M709" s="433">
        <v>44652</v>
      </c>
      <c r="N709" s="433">
        <v>44682</v>
      </c>
      <c r="O709" s="433"/>
      <c r="P709" s="332"/>
      <c r="Q709" s="433"/>
      <c r="R709" s="433"/>
      <c r="S709" s="432" t="s">
        <v>1510</v>
      </c>
      <c r="T709" s="432">
        <v>60</v>
      </c>
      <c r="U709" s="432" t="s">
        <v>1102</v>
      </c>
      <c r="V709" s="441" t="s">
        <v>973</v>
      </c>
      <c r="W709" s="432">
        <v>400</v>
      </c>
      <c r="X709" s="333">
        <v>768</v>
      </c>
      <c r="Y709" s="367">
        <f t="shared" si="78"/>
        <v>307200</v>
      </c>
      <c r="Z709" s="409">
        <f t="shared" si="76"/>
        <v>0.57499999999999996</v>
      </c>
      <c r="AA709" s="410">
        <f t="shared" si="81"/>
        <v>176640</v>
      </c>
      <c r="AB709" s="411"/>
      <c r="AC709" s="412">
        <f t="shared" si="79"/>
        <v>0</v>
      </c>
      <c r="AD709" s="405"/>
      <c r="AE709" s="405">
        <f t="shared" si="77"/>
        <v>14572.800000000001</v>
      </c>
      <c r="AF709" s="424">
        <f t="shared" si="80"/>
        <v>191212.79999999999</v>
      </c>
      <c r="AG709" s="405" t="s">
        <v>1069</v>
      </c>
      <c r="AH709" s="405">
        <v>100</v>
      </c>
      <c r="AI709" s="405">
        <v>0</v>
      </c>
      <c r="AJ709" s="406" t="s">
        <v>1760</v>
      </c>
      <c r="AK709" s="406" t="s">
        <v>50</v>
      </c>
      <c r="AL709" s="414">
        <v>92058</v>
      </c>
      <c r="AM709" s="405" t="s">
        <v>52</v>
      </c>
      <c r="AN709" s="361"/>
      <c r="AO709" s="405" t="s">
        <v>1073</v>
      </c>
      <c r="AP709" s="405"/>
      <c r="AQ709" s="413" t="s">
        <v>37</v>
      </c>
      <c r="AR709" s="405" t="s">
        <v>1188</v>
      </c>
      <c r="AS709" s="404"/>
      <c r="AT709" s="330"/>
      <c r="AU709" s="409">
        <f t="shared" si="75"/>
        <v>0.53</v>
      </c>
    </row>
    <row r="710" spans="1:47" s="402" customFormat="1">
      <c r="A710" s="426"/>
      <c r="B710" s="376">
        <v>44642</v>
      </c>
      <c r="C710" s="426"/>
      <c r="D710" s="443" t="s">
        <v>86</v>
      </c>
      <c r="E710" s="331"/>
      <c r="F710" s="432"/>
      <c r="G710" s="350">
        <v>2022</v>
      </c>
      <c r="H710" s="350" t="s">
        <v>2978</v>
      </c>
      <c r="I710" s="432" t="s">
        <v>1498</v>
      </c>
      <c r="J710" s="433"/>
      <c r="K710" s="432" t="s">
        <v>3116</v>
      </c>
      <c r="L710" s="432" t="s">
        <v>3074</v>
      </c>
      <c r="M710" s="433">
        <v>44640</v>
      </c>
      <c r="N710" s="433">
        <v>44774</v>
      </c>
      <c r="O710" s="433"/>
      <c r="P710" s="332"/>
      <c r="Q710" s="433"/>
      <c r="R710" s="433"/>
      <c r="S710" s="432" t="s">
        <v>1520</v>
      </c>
      <c r="T710" s="432">
        <v>60</v>
      </c>
      <c r="U710" s="432" t="s">
        <v>1102</v>
      </c>
      <c r="V710" s="441" t="s">
        <v>973</v>
      </c>
      <c r="W710" s="432">
        <v>400</v>
      </c>
      <c r="X710" s="333">
        <v>768</v>
      </c>
      <c r="Y710" s="367">
        <f t="shared" si="78"/>
        <v>307200</v>
      </c>
      <c r="Z710" s="409">
        <f>220/400</f>
        <v>0.55000000000000004</v>
      </c>
      <c r="AA710" s="410">
        <f t="shared" si="81"/>
        <v>168960</v>
      </c>
      <c r="AB710" s="411"/>
      <c r="AC710" s="412">
        <f t="shared" si="79"/>
        <v>0</v>
      </c>
      <c r="AD710" s="405"/>
      <c r="AE710" s="405"/>
      <c r="AF710" s="424">
        <f t="shared" si="80"/>
        <v>168960</v>
      </c>
      <c r="AG710" s="405" t="s">
        <v>1069</v>
      </c>
      <c r="AH710" s="405"/>
      <c r="AI710" s="405">
        <v>60</v>
      </c>
      <c r="AJ710" s="406" t="s">
        <v>3075</v>
      </c>
      <c r="AK710" s="406" t="s">
        <v>1522</v>
      </c>
      <c r="AL710" s="414">
        <v>99217</v>
      </c>
      <c r="AM710" s="405" t="s">
        <v>52</v>
      </c>
      <c r="AN710" s="361"/>
      <c r="AO710" s="405" t="s">
        <v>1073</v>
      </c>
      <c r="AP710" s="405"/>
      <c r="AQ710" s="413" t="s">
        <v>37</v>
      </c>
      <c r="AR710" s="405" t="s">
        <v>1188</v>
      </c>
      <c r="AS710" s="404"/>
      <c r="AT710" s="330"/>
      <c r="AU710" s="409">
        <f t="shared" si="75"/>
        <v>0.53</v>
      </c>
    </row>
    <row r="711" spans="1:47" s="402" customFormat="1">
      <c r="A711" s="426"/>
      <c r="B711" s="376">
        <v>44642</v>
      </c>
      <c r="C711" s="426"/>
      <c r="D711" s="443" t="s">
        <v>86</v>
      </c>
      <c r="E711" s="331"/>
      <c r="F711" s="432"/>
      <c r="G711" s="350">
        <v>2022</v>
      </c>
      <c r="H711" s="350" t="s">
        <v>2978</v>
      </c>
      <c r="I711" s="432" t="s">
        <v>1498</v>
      </c>
      <c r="J711" s="433"/>
      <c r="K711" s="432" t="s">
        <v>3117</v>
      </c>
      <c r="L711" s="432" t="s">
        <v>3074</v>
      </c>
      <c r="M711" s="433">
        <v>44640</v>
      </c>
      <c r="N711" s="433">
        <v>44819</v>
      </c>
      <c r="O711" s="433"/>
      <c r="P711" s="332"/>
      <c r="Q711" s="433"/>
      <c r="R711" s="433"/>
      <c r="S711" s="432" t="s">
        <v>1520</v>
      </c>
      <c r="T711" s="432">
        <v>60</v>
      </c>
      <c r="U711" s="432" t="s">
        <v>1102</v>
      </c>
      <c r="V711" s="441" t="s">
        <v>973</v>
      </c>
      <c r="W711" s="432">
        <v>400</v>
      </c>
      <c r="X711" s="333">
        <v>768</v>
      </c>
      <c r="Y711" s="367">
        <f t="shared" si="78"/>
        <v>307200</v>
      </c>
      <c r="Z711" s="409">
        <f>220/400</f>
        <v>0.55000000000000004</v>
      </c>
      <c r="AA711" s="410">
        <f t="shared" si="81"/>
        <v>168960</v>
      </c>
      <c r="AB711" s="411"/>
      <c r="AC711" s="412">
        <f t="shared" si="79"/>
        <v>0</v>
      </c>
      <c r="AD711" s="405"/>
      <c r="AE711" s="405"/>
      <c r="AF711" s="424">
        <f t="shared" si="80"/>
        <v>168960</v>
      </c>
      <c r="AG711" s="405" t="s">
        <v>1069</v>
      </c>
      <c r="AH711" s="405"/>
      <c r="AI711" s="405">
        <v>60</v>
      </c>
      <c r="AJ711" s="406" t="s">
        <v>3075</v>
      </c>
      <c r="AK711" s="406" t="s">
        <v>1522</v>
      </c>
      <c r="AL711" s="414">
        <v>99217</v>
      </c>
      <c r="AM711" s="405" t="s">
        <v>52</v>
      </c>
      <c r="AN711" s="361"/>
      <c r="AO711" s="405" t="s">
        <v>1073</v>
      </c>
      <c r="AP711" s="405"/>
      <c r="AQ711" s="413" t="s">
        <v>37</v>
      </c>
      <c r="AR711" s="405" t="s">
        <v>1188</v>
      </c>
      <c r="AS711" s="404"/>
      <c r="AT711" s="330"/>
      <c r="AU711" s="409">
        <f t="shared" si="75"/>
        <v>0.53</v>
      </c>
    </row>
    <row r="712" spans="1:47" s="402" customFormat="1">
      <c r="A712" s="426"/>
      <c r="B712" s="376">
        <v>44642</v>
      </c>
      <c r="C712" s="426"/>
      <c r="D712" s="443" t="s">
        <v>86</v>
      </c>
      <c r="E712" s="331"/>
      <c r="F712" s="432"/>
      <c r="G712" s="350">
        <v>2022</v>
      </c>
      <c r="H712" s="350" t="s">
        <v>2978</v>
      </c>
      <c r="I712" s="432" t="s">
        <v>1498</v>
      </c>
      <c r="J712" s="433"/>
      <c r="K712" s="432" t="s">
        <v>3118</v>
      </c>
      <c r="L712" s="432" t="s">
        <v>3074</v>
      </c>
      <c r="M712" s="433">
        <v>44640</v>
      </c>
      <c r="N712" s="433">
        <v>44866</v>
      </c>
      <c r="O712" s="433"/>
      <c r="P712" s="332"/>
      <c r="Q712" s="433"/>
      <c r="R712" s="433"/>
      <c r="S712" s="432" t="s">
        <v>1520</v>
      </c>
      <c r="T712" s="432">
        <v>60</v>
      </c>
      <c r="U712" s="432" t="s">
        <v>1102</v>
      </c>
      <c r="V712" s="441" t="s">
        <v>973</v>
      </c>
      <c r="W712" s="432">
        <v>400</v>
      </c>
      <c r="X712" s="333">
        <v>768</v>
      </c>
      <c r="Y712" s="367">
        <f t="shared" si="78"/>
        <v>307200</v>
      </c>
      <c r="Z712" s="409">
        <f>220/400</f>
        <v>0.55000000000000004</v>
      </c>
      <c r="AA712" s="410">
        <f t="shared" si="81"/>
        <v>168960</v>
      </c>
      <c r="AB712" s="411"/>
      <c r="AC712" s="412">
        <f t="shared" si="79"/>
        <v>0</v>
      </c>
      <c r="AD712" s="405"/>
      <c r="AE712" s="405"/>
      <c r="AF712" s="424">
        <f t="shared" si="80"/>
        <v>168960</v>
      </c>
      <c r="AG712" s="405" t="s">
        <v>1069</v>
      </c>
      <c r="AH712" s="405"/>
      <c r="AI712" s="405">
        <v>60</v>
      </c>
      <c r="AJ712" s="406" t="s">
        <v>3075</v>
      </c>
      <c r="AK712" s="406" t="s">
        <v>1522</v>
      </c>
      <c r="AL712" s="414">
        <v>99217</v>
      </c>
      <c r="AM712" s="405" t="s">
        <v>52</v>
      </c>
      <c r="AN712" s="361"/>
      <c r="AO712" s="405" t="s">
        <v>1073</v>
      </c>
      <c r="AP712" s="405"/>
      <c r="AQ712" s="413" t="s">
        <v>37</v>
      </c>
      <c r="AR712" s="405" t="s">
        <v>1188</v>
      </c>
      <c r="AS712" s="404"/>
      <c r="AT712" s="330"/>
      <c r="AU712" s="409">
        <f t="shared" si="75"/>
        <v>0.53</v>
      </c>
    </row>
    <row r="713" spans="1:47" s="402" customFormat="1">
      <c r="A713" s="426"/>
      <c r="B713" s="376">
        <v>44642</v>
      </c>
      <c r="C713" s="426"/>
      <c r="D713" s="443" t="s">
        <v>86</v>
      </c>
      <c r="E713" s="331"/>
      <c r="F713" s="432"/>
      <c r="G713" s="350">
        <v>2022</v>
      </c>
      <c r="H713" s="350" t="s">
        <v>2978</v>
      </c>
      <c r="I713" s="432" t="s">
        <v>1498</v>
      </c>
      <c r="J713" s="433"/>
      <c r="K713" s="432" t="s">
        <v>3119</v>
      </c>
      <c r="L713" s="432" t="s">
        <v>1764</v>
      </c>
      <c r="M713" s="433">
        <v>44630</v>
      </c>
      <c r="N713" s="433">
        <v>44743</v>
      </c>
      <c r="O713" s="433"/>
      <c r="P713" s="332"/>
      <c r="Q713" s="433"/>
      <c r="R713" s="433"/>
      <c r="S713" s="432" t="s">
        <v>88</v>
      </c>
      <c r="T713" s="432">
        <v>60</v>
      </c>
      <c r="U713" s="432" t="s">
        <v>1102</v>
      </c>
      <c r="V713" s="441" t="s">
        <v>973</v>
      </c>
      <c r="W713" s="432">
        <v>400</v>
      </c>
      <c r="X713" s="333">
        <v>6144</v>
      </c>
      <c r="Y713" s="367">
        <f t="shared" si="78"/>
        <v>2457600</v>
      </c>
      <c r="Z713" s="409">
        <f>222/400</f>
        <v>0.55500000000000005</v>
      </c>
      <c r="AA713" s="410">
        <f t="shared" si="81"/>
        <v>1363968.0000000002</v>
      </c>
      <c r="AB713" s="411"/>
      <c r="AC713" s="412">
        <f t="shared" si="79"/>
        <v>0</v>
      </c>
      <c r="AD713" s="405"/>
      <c r="AE713" s="405"/>
      <c r="AF713" s="424">
        <f t="shared" si="80"/>
        <v>1363968.0000000002</v>
      </c>
      <c r="AG713" s="405" t="s">
        <v>1069</v>
      </c>
      <c r="AH713" s="405"/>
      <c r="AI713" s="405">
        <v>60</v>
      </c>
      <c r="AJ713" s="406" t="s">
        <v>1760</v>
      </c>
      <c r="AK713" s="406" t="s">
        <v>50</v>
      </c>
      <c r="AL713" s="414">
        <v>92056</v>
      </c>
      <c r="AM713" s="405" t="s">
        <v>52</v>
      </c>
      <c r="AN713" s="361"/>
      <c r="AO713" s="405" t="s">
        <v>1073</v>
      </c>
      <c r="AP713" s="405"/>
      <c r="AQ713" s="413" t="s">
        <v>37</v>
      </c>
      <c r="AR713" s="405" t="s">
        <v>1188</v>
      </c>
      <c r="AS713" s="404"/>
      <c r="AT713" s="330"/>
      <c r="AU713" s="409">
        <f t="shared" si="75"/>
        <v>0.53</v>
      </c>
    </row>
    <row r="714" spans="1:47" s="402" customFormat="1">
      <c r="A714" s="426"/>
      <c r="B714" s="376">
        <v>44642</v>
      </c>
      <c r="C714" s="426"/>
      <c r="D714" s="443" t="s">
        <v>86</v>
      </c>
      <c r="E714" s="331"/>
      <c r="F714" s="432"/>
      <c r="G714" s="350">
        <v>2022</v>
      </c>
      <c r="H714" s="350" t="s">
        <v>2978</v>
      </c>
      <c r="I714" s="432" t="s">
        <v>1498</v>
      </c>
      <c r="J714" s="433"/>
      <c r="K714" s="432" t="s">
        <v>3120</v>
      </c>
      <c r="L714" s="432" t="s">
        <v>1764</v>
      </c>
      <c r="M714" s="433">
        <v>44630</v>
      </c>
      <c r="N714" s="433">
        <v>44743</v>
      </c>
      <c r="O714" s="433"/>
      <c r="P714" s="332"/>
      <c r="Q714" s="433"/>
      <c r="R714" s="433"/>
      <c r="S714" s="432" t="s">
        <v>88</v>
      </c>
      <c r="T714" s="432">
        <v>60</v>
      </c>
      <c r="U714" s="432" t="s">
        <v>1102</v>
      </c>
      <c r="V714" s="441" t="s">
        <v>986</v>
      </c>
      <c r="W714" s="432">
        <v>360</v>
      </c>
      <c r="X714" s="333">
        <v>2304</v>
      </c>
      <c r="Y714" s="367">
        <f t="shared" si="78"/>
        <v>829440</v>
      </c>
      <c r="Z714" s="409">
        <f>192.6/360</f>
        <v>0.53500000000000003</v>
      </c>
      <c r="AA714" s="410">
        <f t="shared" si="81"/>
        <v>443750.40000000002</v>
      </c>
      <c r="AB714" s="411"/>
      <c r="AC714" s="412">
        <f t="shared" si="79"/>
        <v>0</v>
      </c>
      <c r="AD714" s="405"/>
      <c r="AE714" s="405"/>
      <c r="AF714" s="424">
        <f t="shared" si="80"/>
        <v>443750.40000000002</v>
      </c>
      <c r="AG714" s="405" t="s">
        <v>1069</v>
      </c>
      <c r="AH714" s="405"/>
      <c r="AI714" s="405">
        <v>60</v>
      </c>
      <c r="AJ714" s="406" t="s">
        <v>1760</v>
      </c>
      <c r="AK714" s="406" t="s">
        <v>50</v>
      </c>
      <c r="AL714" s="414">
        <v>92056</v>
      </c>
      <c r="AM714" s="405" t="s">
        <v>52</v>
      </c>
      <c r="AN714" s="361"/>
      <c r="AO714" s="405" t="s">
        <v>1073</v>
      </c>
      <c r="AP714" s="405"/>
      <c r="AQ714" s="413" t="s">
        <v>37</v>
      </c>
      <c r="AR714" s="405" t="s">
        <v>1188</v>
      </c>
      <c r="AS714" s="404"/>
      <c r="AT714" s="330"/>
      <c r="AU714" s="409">
        <f t="shared" si="75"/>
        <v>0.53</v>
      </c>
    </row>
    <row r="715" spans="1:47" s="402" customFormat="1">
      <c r="A715" s="426"/>
      <c r="B715" s="376">
        <v>44642</v>
      </c>
      <c r="C715" s="426"/>
      <c r="D715" s="443" t="s">
        <v>86</v>
      </c>
      <c r="E715" s="331"/>
      <c r="F715" s="432"/>
      <c r="G715" s="350">
        <v>2022</v>
      </c>
      <c r="H715" s="350" t="s">
        <v>2978</v>
      </c>
      <c r="I715" s="432" t="s">
        <v>1498</v>
      </c>
      <c r="J715" s="433"/>
      <c r="K715" s="432" t="s">
        <v>3121</v>
      </c>
      <c r="L715" s="432" t="s">
        <v>1764</v>
      </c>
      <c r="M715" s="433">
        <v>44630</v>
      </c>
      <c r="N715" s="433">
        <v>44774</v>
      </c>
      <c r="O715" s="433"/>
      <c r="P715" s="332"/>
      <c r="Q715" s="433"/>
      <c r="R715" s="433"/>
      <c r="S715" s="432" t="s">
        <v>88</v>
      </c>
      <c r="T715" s="432">
        <v>60</v>
      </c>
      <c r="U715" s="432" t="s">
        <v>1102</v>
      </c>
      <c r="V715" s="441" t="s">
        <v>973</v>
      </c>
      <c r="W715" s="432">
        <v>400</v>
      </c>
      <c r="X715" s="333">
        <v>6144</v>
      </c>
      <c r="Y715" s="367">
        <f t="shared" si="78"/>
        <v>2457600</v>
      </c>
      <c r="Z715" s="409">
        <f>222/400</f>
        <v>0.55500000000000005</v>
      </c>
      <c r="AA715" s="410">
        <f t="shared" si="81"/>
        <v>1363968.0000000002</v>
      </c>
      <c r="AB715" s="411"/>
      <c r="AC715" s="412">
        <f t="shared" si="79"/>
        <v>0</v>
      </c>
      <c r="AD715" s="405"/>
      <c r="AE715" s="405"/>
      <c r="AF715" s="424">
        <f t="shared" si="80"/>
        <v>1363968.0000000002</v>
      </c>
      <c r="AG715" s="405" t="s">
        <v>1069</v>
      </c>
      <c r="AH715" s="405"/>
      <c r="AI715" s="405">
        <v>60</v>
      </c>
      <c r="AJ715" s="406" t="s">
        <v>1760</v>
      </c>
      <c r="AK715" s="406" t="s">
        <v>50</v>
      </c>
      <c r="AL715" s="414">
        <v>92056</v>
      </c>
      <c r="AM715" s="405" t="s">
        <v>52</v>
      </c>
      <c r="AN715" s="361"/>
      <c r="AO715" s="405" t="s">
        <v>1073</v>
      </c>
      <c r="AP715" s="405"/>
      <c r="AQ715" s="413" t="s">
        <v>37</v>
      </c>
      <c r="AR715" s="405" t="s">
        <v>1188</v>
      </c>
      <c r="AS715" s="404"/>
      <c r="AT715" s="330"/>
      <c r="AU715" s="409">
        <f t="shared" si="75"/>
        <v>0.53</v>
      </c>
    </row>
    <row r="716" spans="1:47" s="402" customFormat="1">
      <c r="A716" s="426"/>
      <c r="B716" s="376">
        <v>44642</v>
      </c>
      <c r="C716" s="426"/>
      <c r="D716" s="443" t="s">
        <v>86</v>
      </c>
      <c r="E716" s="331"/>
      <c r="F716" s="432"/>
      <c r="G716" s="350">
        <v>2022</v>
      </c>
      <c r="H716" s="350" t="s">
        <v>2978</v>
      </c>
      <c r="I716" s="432" t="s">
        <v>1498</v>
      </c>
      <c r="J716" s="433"/>
      <c r="K716" s="432" t="s">
        <v>3122</v>
      </c>
      <c r="L716" s="432" t="s">
        <v>1764</v>
      </c>
      <c r="M716" s="433">
        <v>44630</v>
      </c>
      <c r="N716" s="433">
        <v>44774</v>
      </c>
      <c r="O716" s="433"/>
      <c r="P716" s="332"/>
      <c r="Q716" s="433"/>
      <c r="R716" s="433"/>
      <c r="S716" s="432" t="s">
        <v>88</v>
      </c>
      <c r="T716" s="432">
        <v>60</v>
      </c>
      <c r="U716" s="432" t="s">
        <v>1102</v>
      </c>
      <c r="V716" s="441" t="s">
        <v>986</v>
      </c>
      <c r="W716" s="432">
        <v>360</v>
      </c>
      <c r="X716" s="333">
        <v>2304</v>
      </c>
      <c r="Y716" s="367">
        <f t="shared" si="78"/>
        <v>829440</v>
      </c>
      <c r="Z716" s="409">
        <f>192.6/360</f>
        <v>0.53500000000000003</v>
      </c>
      <c r="AA716" s="410">
        <f t="shared" si="81"/>
        <v>443750.40000000002</v>
      </c>
      <c r="AB716" s="411"/>
      <c r="AC716" s="412">
        <f t="shared" si="79"/>
        <v>0</v>
      </c>
      <c r="AD716" s="405"/>
      <c r="AE716" s="405"/>
      <c r="AF716" s="424">
        <f t="shared" si="80"/>
        <v>443750.40000000002</v>
      </c>
      <c r="AG716" s="405" t="s">
        <v>1069</v>
      </c>
      <c r="AH716" s="405"/>
      <c r="AI716" s="405">
        <v>60</v>
      </c>
      <c r="AJ716" s="406" t="s">
        <v>1760</v>
      </c>
      <c r="AK716" s="406" t="s">
        <v>50</v>
      </c>
      <c r="AL716" s="414">
        <v>92056</v>
      </c>
      <c r="AM716" s="405" t="s">
        <v>52</v>
      </c>
      <c r="AN716" s="361"/>
      <c r="AO716" s="405" t="s">
        <v>1073</v>
      </c>
      <c r="AP716" s="405"/>
      <c r="AQ716" s="413" t="s">
        <v>37</v>
      </c>
      <c r="AR716" s="405" t="s">
        <v>1188</v>
      </c>
      <c r="AS716" s="404"/>
      <c r="AT716" s="330"/>
      <c r="AU716" s="409">
        <f t="shared" si="75"/>
        <v>0.53</v>
      </c>
    </row>
    <row r="717" spans="1:47" s="402" customFormat="1">
      <c r="A717" s="426"/>
      <c r="B717" s="376">
        <v>44642</v>
      </c>
      <c r="C717" s="426"/>
      <c r="D717" s="443" t="s">
        <v>86</v>
      </c>
      <c r="E717" s="331"/>
      <c r="F717" s="432"/>
      <c r="G717" s="350">
        <v>2022</v>
      </c>
      <c r="H717" s="350" t="s">
        <v>2978</v>
      </c>
      <c r="I717" s="432" t="s">
        <v>1498</v>
      </c>
      <c r="J717" s="433"/>
      <c r="K717" s="432" t="s">
        <v>3123</v>
      </c>
      <c r="L717" s="432" t="s">
        <v>1764</v>
      </c>
      <c r="M717" s="433">
        <v>44630</v>
      </c>
      <c r="N717" s="433">
        <v>44805</v>
      </c>
      <c r="O717" s="433"/>
      <c r="P717" s="332"/>
      <c r="Q717" s="433"/>
      <c r="R717" s="433"/>
      <c r="S717" s="432" t="s">
        <v>88</v>
      </c>
      <c r="T717" s="432">
        <v>60</v>
      </c>
      <c r="U717" s="432" t="s">
        <v>1102</v>
      </c>
      <c r="V717" s="441" t="s">
        <v>973</v>
      </c>
      <c r="W717" s="432">
        <v>400</v>
      </c>
      <c r="X717" s="333">
        <v>6144</v>
      </c>
      <c r="Y717" s="367">
        <f t="shared" si="78"/>
        <v>2457600</v>
      </c>
      <c r="Z717" s="409">
        <f>222/400</f>
        <v>0.55500000000000005</v>
      </c>
      <c r="AA717" s="410">
        <f t="shared" si="81"/>
        <v>1363968.0000000002</v>
      </c>
      <c r="AB717" s="411"/>
      <c r="AC717" s="412">
        <f t="shared" si="79"/>
        <v>0</v>
      </c>
      <c r="AD717" s="405"/>
      <c r="AE717" s="405"/>
      <c r="AF717" s="424">
        <f t="shared" si="80"/>
        <v>1363968.0000000002</v>
      </c>
      <c r="AG717" s="405" t="s">
        <v>1069</v>
      </c>
      <c r="AH717" s="405"/>
      <c r="AI717" s="405">
        <v>60</v>
      </c>
      <c r="AJ717" s="406" t="s">
        <v>1760</v>
      </c>
      <c r="AK717" s="406" t="s">
        <v>50</v>
      </c>
      <c r="AL717" s="414">
        <v>92056</v>
      </c>
      <c r="AM717" s="405" t="s">
        <v>52</v>
      </c>
      <c r="AN717" s="361"/>
      <c r="AO717" s="405" t="s">
        <v>1073</v>
      </c>
      <c r="AP717" s="405"/>
      <c r="AQ717" s="413" t="s">
        <v>37</v>
      </c>
      <c r="AR717" s="405" t="s">
        <v>1188</v>
      </c>
      <c r="AS717" s="404"/>
      <c r="AT717" s="330"/>
      <c r="AU717" s="409">
        <f t="shared" si="75"/>
        <v>0.53</v>
      </c>
    </row>
    <row r="718" spans="1:47" s="402" customFormat="1">
      <c r="A718" s="426"/>
      <c r="B718" s="376">
        <v>44642</v>
      </c>
      <c r="C718" s="426"/>
      <c r="D718" s="443" t="s">
        <v>86</v>
      </c>
      <c r="E718" s="331" t="s">
        <v>3124</v>
      </c>
      <c r="F718" s="432"/>
      <c r="G718" s="350">
        <v>2022</v>
      </c>
      <c r="H718" s="350" t="s">
        <v>2383</v>
      </c>
      <c r="I718" s="432" t="s">
        <v>1498</v>
      </c>
      <c r="J718" s="433"/>
      <c r="K718" s="432" t="s">
        <v>3125</v>
      </c>
      <c r="L718" s="432" t="s">
        <v>1517</v>
      </c>
      <c r="M718" s="433">
        <v>44641</v>
      </c>
      <c r="N718" s="433">
        <v>44855</v>
      </c>
      <c r="O718" s="433"/>
      <c r="P718" s="332"/>
      <c r="Q718" s="433"/>
      <c r="R718" s="433"/>
      <c r="S718" s="432" t="s">
        <v>88</v>
      </c>
      <c r="T718" s="432">
        <v>60</v>
      </c>
      <c r="U718" s="432"/>
      <c r="V718" s="441" t="s">
        <v>973</v>
      </c>
      <c r="W718" s="432">
        <v>400</v>
      </c>
      <c r="X718" s="333">
        <v>3840</v>
      </c>
      <c r="Y718" s="367">
        <f t="shared" si="78"/>
        <v>1536000</v>
      </c>
      <c r="Z718" s="409">
        <f>220/400</f>
        <v>0.55000000000000004</v>
      </c>
      <c r="AA718" s="410">
        <f t="shared" si="81"/>
        <v>844800.00000000012</v>
      </c>
      <c r="AB718" s="411"/>
      <c r="AC718" s="412">
        <v>0</v>
      </c>
      <c r="AD718" s="405"/>
      <c r="AE718" s="405"/>
      <c r="AF718" s="424">
        <f t="shared" si="80"/>
        <v>844800.00000000012</v>
      </c>
      <c r="AG718" s="405" t="s">
        <v>1069</v>
      </c>
      <c r="AH718" s="405"/>
      <c r="AI718" s="405">
        <v>60</v>
      </c>
      <c r="AJ718" s="406" t="s">
        <v>1518</v>
      </c>
      <c r="AK718" s="406" t="s">
        <v>50</v>
      </c>
      <c r="AL718" s="414">
        <v>92126</v>
      </c>
      <c r="AM718" s="405" t="s">
        <v>52</v>
      </c>
      <c r="AN718" s="361"/>
      <c r="AO718" s="405" t="s">
        <v>1073</v>
      </c>
      <c r="AP718" s="405"/>
      <c r="AQ718" s="413" t="s">
        <v>37</v>
      </c>
      <c r="AR718" s="405"/>
      <c r="AS718" s="404" t="s">
        <v>1392</v>
      </c>
      <c r="AT718" s="330"/>
      <c r="AU718" s="409">
        <f>208/400</f>
        <v>0.52</v>
      </c>
    </row>
    <row r="719" spans="1:47" s="402" customFormat="1">
      <c r="A719" s="426"/>
      <c r="B719" s="376">
        <v>44642</v>
      </c>
      <c r="C719" s="426"/>
      <c r="D719" s="443" t="s">
        <v>86</v>
      </c>
      <c r="E719" s="331" t="s">
        <v>3126</v>
      </c>
      <c r="F719" s="432"/>
      <c r="G719" s="350">
        <v>2022</v>
      </c>
      <c r="H719" s="350" t="s">
        <v>2383</v>
      </c>
      <c r="I719" s="432" t="s">
        <v>1498</v>
      </c>
      <c r="J719" s="433"/>
      <c r="K719" s="432" t="s">
        <v>3127</v>
      </c>
      <c r="L719" s="432" t="s">
        <v>1517</v>
      </c>
      <c r="M719" s="433">
        <v>44641</v>
      </c>
      <c r="N719" s="433">
        <v>44886</v>
      </c>
      <c r="O719" s="433"/>
      <c r="P719" s="332"/>
      <c r="Q719" s="433"/>
      <c r="R719" s="433"/>
      <c r="S719" s="432" t="s">
        <v>88</v>
      </c>
      <c r="T719" s="432">
        <v>60</v>
      </c>
      <c r="U719" s="432"/>
      <c r="V719" s="441" t="s">
        <v>973</v>
      </c>
      <c r="W719" s="432">
        <v>400</v>
      </c>
      <c r="X719" s="333">
        <v>3840</v>
      </c>
      <c r="Y719" s="367">
        <f t="shared" si="78"/>
        <v>1536000</v>
      </c>
      <c r="Z719" s="409">
        <f>220/400</f>
        <v>0.55000000000000004</v>
      </c>
      <c r="AA719" s="410">
        <f t="shared" si="81"/>
        <v>844800.00000000012</v>
      </c>
      <c r="AB719" s="411"/>
      <c r="AC719" s="412">
        <v>0</v>
      </c>
      <c r="AD719" s="405"/>
      <c r="AE719" s="405"/>
      <c r="AF719" s="424">
        <f t="shared" si="80"/>
        <v>844800.00000000012</v>
      </c>
      <c r="AG719" s="405" t="s">
        <v>1069</v>
      </c>
      <c r="AH719" s="405"/>
      <c r="AI719" s="405">
        <v>60</v>
      </c>
      <c r="AJ719" s="406" t="s">
        <v>1518</v>
      </c>
      <c r="AK719" s="406" t="s">
        <v>50</v>
      </c>
      <c r="AL719" s="414">
        <v>92126</v>
      </c>
      <c r="AM719" s="405" t="s">
        <v>52</v>
      </c>
      <c r="AN719" s="361"/>
      <c r="AO719" s="405" t="s">
        <v>1073</v>
      </c>
      <c r="AP719" s="405"/>
      <c r="AQ719" s="413" t="s">
        <v>37</v>
      </c>
      <c r="AR719" s="405"/>
      <c r="AS719" s="404" t="s">
        <v>1392</v>
      </c>
      <c r="AT719" s="330"/>
      <c r="AU719" s="409">
        <f>208/400</f>
        <v>0.52</v>
      </c>
    </row>
    <row r="720" spans="1:47" s="402" customFormat="1">
      <c r="A720" s="426"/>
      <c r="B720" s="376">
        <v>44642</v>
      </c>
      <c r="C720" s="426"/>
      <c r="D720" s="443" t="s">
        <v>86</v>
      </c>
      <c r="E720" s="331" t="s">
        <v>3128</v>
      </c>
      <c r="F720" s="432"/>
      <c r="G720" s="350">
        <v>2022</v>
      </c>
      <c r="H720" s="350" t="s">
        <v>2383</v>
      </c>
      <c r="I720" s="432" t="s">
        <v>1498</v>
      </c>
      <c r="J720" s="433"/>
      <c r="K720" s="432" t="s">
        <v>3129</v>
      </c>
      <c r="L720" s="432" t="s">
        <v>1517</v>
      </c>
      <c r="M720" s="433">
        <v>44641</v>
      </c>
      <c r="N720" s="433">
        <v>44916</v>
      </c>
      <c r="O720" s="433"/>
      <c r="P720" s="332"/>
      <c r="Q720" s="433"/>
      <c r="R720" s="433"/>
      <c r="S720" s="432" t="s">
        <v>88</v>
      </c>
      <c r="T720" s="432">
        <v>60</v>
      </c>
      <c r="U720" s="432"/>
      <c r="V720" s="441" t="s">
        <v>973</v>
      </c>
      <c r="W720" s="432">
        <v>400</v>
      </c>
      <c r="X720" s="333">
        <v>3840</v>
      </c>
      <c r="Y720" s="367">
        <f t="shared" si="78"/>
        <v>1536000</v>
      </c>
      <c r="Z720" s="409">
        <f>220/400</f>
        <v>0.55000000000000004</v>
      </c>
      <c r="AA720" s="410">
        <f t="shared" si="81"/>
        <v>844800.00000000012</v>
      </c>
      <c r="AB720" s="411"/>
      <c r="AC720" s="412">
        <v>0</v>
      </c>
      <c r="AD720" s="405"/>
      <c r="AE720" s="405"/>
      <c r="AF720" s="424">
        <f t="shared" si="80"/>
        <v>844800.00000000012</v>
      </c>
      <c r="AG720" s="405" t="s">
        <v>1069</v>
      </c>
      <c r="AH720" s="405"/>
      <c r="AI720" s="405">
        <v>60</v>
      </c>
      <c r="AJ720" s="406" t="s">
        <v>1518</v>
      </c>
      <c r="AK720" s="406" t="s">
        <v>50</v>
      </c>
      <c r="AL720" s="414">
        <v>92126</v>
      </c>
      <c r="AM720" s="405" t="s">
        <v>52</v>
      </c>
      <c r="AN720" s="361"/>
      <c r="AO720" s="405" t="s">
        <v>1073</v>
      </c>
      <c r="AP720" s="405"/>
      <c r="AQ720" s="413" t="s">
        <v>37</v>
      </c>
      <c r="AR720" s="405"/>
      <c r="AS720" s="404" t="s">
        <v>1392</v>
      </c>
      <c r="AT720" s="330"/>
      <c r="AU720" s="409">
        <f>208/400</f>
        <v>0.52</v>
      </c>
    </row>
    <row r="721" spans="1:47" s="402" customFormat="1">
      <c r="A721" s="426"/>
      <c r="B721" s="376">
        <v>44642</v>
      </c>
      <c r="C721" s="426"/>
      <c r="D721" s="443" t="s">
        <v>86</v>
      </c>
      <c r="E721" s="331"/>
      <c r="F721" s="432"/>
      <c r="G721" s="350">
        <v>2022</v>
      </c>
      <c r="H721" s="350" t="s">
        <v>2978</v>
      </c>
      <c r="I721" s="432" t="s">
        <v>1498</v>
      </c>
      <c r="J721" s="433"/>
      <c r="K721" s="432" t="s">
        <v>3130</v>
      </c>
      <c r="L721" s="432" t="s">
        <v>1764</v>
      </c>
      <c r="M721" s="433">
        <v>44630</v>
      </c>
      <c r="N721" s="433">
        <v>44805</v>
      </c>
      <c r="O721" s="433"/>
      <c r="P721" s="332"/>
      <c r="Q721" s="433"/>
      <c r="R721" s="433"/>
      <c r="S721" s="432" t="s">
        <v>88</v>
      </c>
      <c r="T721" s="432">
        <v>60</v>
      </c>
      <c r="U721" s="432" t="s">
        <v>1102</v>
      </c>
      <c r="V721" s="441" t="s">
        <v>986</v>
      </c>
      <c r="W721" s="432">
        <v>360</v>
      </c>
      <c r="X721" s="333">
        <v>2304</v>
      </c>
      <c r="Y721" s="367">
        <f t="shared" si="78"/>
        <v>829440</v>
      </c>
      <c r="Z721" s="409">
        <f>192.6/360</f>
        <v>0.53500000000000003</v>
      </c>
      <c r="AA721" s="410">
        <f t="shared" si="81"/>
        <v>443750.40000000002</v>
      </c>
      <c r="AB721" s="411"/>
      <c r="AC721" s="412">
        <f>AB721*Y721</f>
        <v>0</v>
      </c>
      <c r="AD721" s="405"/>
      <c r="AE721" s="405"/>
      <c r="AF721" s="424">
        <f t="shared" si="80"/>
        <v>443750.40000000002</v>
      </c>
      <c r="AG721" s="405" t="s">
        <v>1069</v>
      </c>
      <c r="AH721" s="405"/>
      <c r="AI721" s="405">
        <v>60</v>
      </c>
      <c r="AJ721" s="406" t="s">
        <v>1760</v>
      </c>
      <c r="AK721" s="406" t="s">
        <v>50</v>
      </c>
      <c r="AL721" s="414">
        <v>92056</v>
      </c>
      <c r="AM721" s="405" t="s">
        <v>52</v>
      </c>
      <c r="AN721" s="361"/>
      <c r="AO721" s="405" t="s">
        <v>1073</v>
      </c>
      <c r="AP721" s="405"/>
      <c r="AQ721" s="413" t="s">
        <v>37</v>
      </c>
      <c r="AR721" s="405" t="s">
        <v>1188</v>
      </c>
      <c r="AS721" s="404"/>
      <c r="AT721" s="330"/>
      <c r="AU721" s="409">
        <f>212/400</f>
        <v>0.53</v>
      </c>
    </row>
    <row r="722" spans="1:47" s="402" customFormat="1">
      <c r="A722" s="426"/>
      <c r="B722" s="376"/>
      <c r="C722" s="426"/>
      <c r="D722" s="443" t="s">
        <v>86</v>
      </c>
      <c r="E722" s="331"/>
      <c r="F722" s="432"/>
      <c r="G722" s="350">
        <v>2022</v>
      </c>
      <c r="H722" s="350" t="s">
        <v>2978</v>
      </c>
      <c r="I722" s="432" t="s">
        <v>1498</v>
      </c>
      <c r="J722" s="433"/>
      <c r="K722" s="432" t="s">
        <v>3131</v>
      </c>
      <c r="L722" s="432" t="s">
        <v>1764</v>
      </c>
      <c r="M722" s="433">
        <v>44656</v>
      </c>
      <c r="N722" s="433">
        <v>44867</v>
      </c>
      <c r="O722" s="433"/>
      <c r="P722" s="332"/>
      <c r="Q722" s="433"/>
      <c r="R722" s="433"/>
      <c r="S722" s="432" t="s">
        <v>88</v>
      </c>
      <c r="T722" s="432">
        <v>60</v>
      </c>
      <c r="U722" s="432" t="s">
        <v>1102</v>
      </c>
      <c r="V722" s="441" t="s">
        <v>973</v>
      </c>
      <c r="W722" s="432">
        <v>400</v>
      </c>
      <c r="X722" s="333">
        <v>6912</v>
      </c>
      <c r="Y722" s="367">
        <f t="shared" si="78"/>
        <v>2764800</v>
      </c>
      <c r="Z722" s="409">
        <f>222/400</f>
        <v>0.55500000000000005</v>
      </c>
      <c r="AA722" s="410">
        <f t="shared" si="81"/>
        <v>1534464.0000000002</v>
      </c>
      <c r="AB722" s="411"/>
      <c r="AC722" s="412">
        <f>AB722*Y722</f>
        <v>0</v>
      </c>
      <c r="AD722" s="405"/>
      <c r="AE722" s="405"/>
      <c r="AF722" s="424">
        <f t="shared" si="80"/>
        <v>1534464.0000000002</v>
      </c>
      <c r="AG722" s="405" t="s">
        <v>1069</v>
      </c>
      <c r="AH722" s="405"/>
      <c r="AI722" s="405">
        <v>60</v>
      </c>
      <c r="AJ722" s="406" t="s">
        <v>1760</v>
      </c>
      <c r="AK722" s="406" t="s">
        <v>50</v>
      </c>
      <c r="AL722" s="414">
        <v>92056</v>
      </c>
      <c r="AM722" s="405" t="s">
        <v>52</v>
      </c>
      <c r="AN722" s="361"/>
      <c r="AO722" s="405" t="s">
        <v>1073</v>
      </c>
      <c r="AP722" s="405"/>
      <c r="AQ722" s="413" t="s">
        <v>37</v>
      </c>
      <c r="AR722" s="405" t="s">
        <v>1188</v>
      </c>
      <c r="AS722" s="404"/>
      <c r="AT722" s="330"/>
      <c r="AU722" s="409">
        <f>212/400</f>
        <v>0.53</v>
      </c>
    </row>
    <row r="723" spans="1:47" s="402" customFormat="1">
      <c r="A723" s="426"/>
      <c r="B723" s="376"/>
      <c r="C723" s="426"/>
      <c r="D723" s="443" t="s">
        <v>86</v>
      </c>
      <c r="E723" s="331"/>
      <c r="F723" s="432"/>
      <c r="G723" s="350">
        <v>2022</v>
      </c>
      <c r="H723" s="350" t="s">
        <v>2978</v>
      </c>
      <c r="I723" s="432" t="s">
        <v>1498</v>
      </c>
      <c r="J723" s="433"/>
      <c r="K723" s="432" t="s">
        <v>3132</v>
      </c>
      <c r="L723" s="432" t="s">
        <v>1764</v>
      </c>
      <c r="M723" s="433">
        <v>44656</v>
      </c>
      <c r="N723" s="433">
        <v>44839</v>
      </c>
      <c r="O723" s="433"/>
      <c r="P723" s="332"/>
      <c r="Q723" s="433"/>
      <c r="R723" s="433"/>
      <c r="S723" s="432" t="s">
        <v>88</v>
      </c>
      <c r="T723" s="432">
        <v>60</v>
      </c>
      <c r="U723" s="432" t="s">
        <v>1102</v>
      </c>
      <c r="V723" s="441" t="s">
        <v>973</v>
      </c>
      <c r="W723" s="432">
        <v>400</v>
      </c>
      <c r="X723" s="333">
        <v>9216</v>
      </c>
      <c r="Y723" s="367">
        <f t="shared" si="78"/>
        <v>3686400</v>
      </c>
      <c r="Z723" s="409">
        <f>222/400</f>
        <v>0.55500000000000005</v>
      </c>
      <c r="AA723" s="410">
        <f t="shared" si="81"/>
        <v>2045952.0000000002</v>
      </c>
      <c r="AB723" s="411"/>
      <c r="AC723" s="412">
        <f>AB723*Y723</f>
        <v>0</v>
      </c>
      <c r="AD723" s="405"/>
      <c r="AE723" s="405"/>
      <c r="AF723" s="424">
        <f t="shared" si="80"/>
        <v>2045952.0000000002</v>
      </c>
      <c r="AG723" s="405" t="s">
        <v>1069</v>
      </c>
      <c r="AH723" s="405"/>
      <c r="AI723" s="405">
        <v>60</v>
      </c>
      <c r="AJ723" s="406" t="s">
        <v>1760</v>
      </c>
      <c r="AK723" s="406" t="s">
        <v>50</v>
      </c>
      <c r="AL723" s="414">
        <v>92056</v>
      </c>
      <c r="AM723" s="405" t="s">
        <v>52</v>
      </c>
      <c r="AN723" s="361"/>
      <c r="AO723" s="405" t="s">
        <v>1073</v>
      </c>
      <c r="AP723" s="405"/>
      <c r="AQ723" s="413" t="s">
        <v>37</v>
      </c>
      <c r="AR723" s="405" t="s">
        <v>1188</v>
      </c>
      <c r="AS723" s="404"/>
      <c r="AT723" s="330"/>
      <c r="AU723" s="409">
        <f>212/400</f>
        <v>0.53</v>
      </c>
    </row>
    <row r="724" spans="1:47" s="402" customFormat="1">
      <c r="A724" s="426"/>
      <c r="B724" s="376">
        <v>44642</v>
      </c>
      <c r="C724" s="426"/>
      <c r="D724" s="443" t="s">
        <v>86</v>
      </c>
      <c r="E724" s="331" t="s">
        <v>1708</v>
      </c>
      <c r="F724" s="432"/>
      <c r="G724" s="350">
        <v>2022</v>
      </c>
      <c r="H724" s="350" t="s">
        <v>2383</v>
      </c>
      <c r="I724" s="432" t="s">
        <v>1498</v>
      </c>
      <c r="J724" s="433"/>
      <c r="K724" s="432" t="s">
        <v>3133</v>
      </c>
      <c r="L724" s="432" t="s">
        <v>1517</v>
      </c>
      <c r="M724" s="433">
        <v>44641</v>
      </c>
      <c r="N724" s="433">
        <v>44855</v>
      </c>
      <c r="O724" s="433"/>
      <c r="P724" s="332"/>
      <c r="Q724" s="433"/>
      <c r="R724" s="433"/>
      <c r="S724" s="432" t="s">
        <v>88</v>
      </c>
      <c r="T724" s="432">
        <v>60</v>
      </c>
      <c r="U724" s="432"/>
      <c r="V724" s="441" t="s">
        <v>973</v>
      </c>
      <c r="W724" s="432">
        <v>400</v>
      </c>
      <c r="X724" s="333">
        <v>1536</v>
      </c>
      <c r="Y724" s="367">
        <f t="shared" si="78"/>
        <v>614400</v>
      </c>
      <c r="Z724" s="409">
        <f>220/400</f>
        <v>0.55000000000000004</v>
      </c>
      <c r="AA724" s="410">
        <f t="shared" si="81"/>
        <v>337920</v>
      </c>
      <c r="AB724" s="411"/>
      <c r="AC724" s="412">
        <v>0</v>
      </c>
      <c r="AD724" s="405"/>
      <c r="AE724" s="405"/>
      <c r="AF724" s="424">
        <f t="shared" si="80"/>
        <v>337920</v>
      </c>
      <c r="AG724" s="405" t="s">
        <v>1069</v>
      </c>
      <c r="AH724" s="405"/>
      <c r="AI724" s="405">
        <v>60</v>
      </c>
      <c r="AJ724" s="406" t="s">
        <v>1518</v>
      </c>
      <c r="AK724" s="406" t="s">
        <v>50</v>
      </c>
      <c r="AL724" s="414">
        <v>92126</v>
      </c>
      <c r="AM724" s="405" t="s">
        <v>52</v>
      </c>
      <c r="AN724" s="361"/>
      <c r="AO724" s="405" t="s">
        <v>1073</v>
      </c>
      <c r="AP724" s="405"/>
      <c r="AQ724" s="413" t="s">
        <v>37</v>
      </c>
      <c r="AR724" s="405"/>
      <c r="AS724" s="404" t="s">
        <v>1392</v>
      </c>
      <c r="AT724" s="330"/>
      <c r="AU724" s="409">
        <f t="shared" ref="AU724:AU742" si="82">208/400</f>
        <v>0.52</v>
      </c>
    </row>
    <row r="725" spans="1:47" s="402" customFormat="1">
      <c r="A725" s="426"/>
      <c r="B725" s="376">
        <v>44642</v>
      </c>
      <c r="C725" s="426"/>
      <c r="D725" s="443" t="s">
        <v>86</v>
      </c>
      <c r="E725" s="331" t="s">
        <v>1708</v>
      </c>
      <c r="F725" s="432"/>
      <c r="G725" s="350">
        <v>2022</v>
      </c>
      <c r="H725" s="350" t="s">
        <v>2383</v>
      </c>
      <c r="I725" s="432" t="s">
        <v>1498</v>
      </c>
      <c r="J725" s="433"/>
      <c r="K725" s="432" t="s">
        <v>3134</v>
      </c>
      <c r="L725" s="432" t="s">
        <v>1517</v>
      </c>
      <c r="M725" s="433">
        <v>44641</v>
      </c>
      <c r="N725" s="433">
        <v>44886</v>
      </c>
      <c r="O725" s="433"/>
      <c r="P725" s="332"/>
      <c r="Q725" s="433"/>
      <c r="R725" s="433"/>
      <c r="S725" s="432" t="s">
        <v>88</v>
      </c>
      <c r="T725" s="432">
        <v>60</v>
      </c>
      <c r="U725" s="432"/>
      <c r="V725" s="441" t="s">
        <v>973</v>
      </c>
      <c r="W725" s="432">
        <v>400</v>
      </c>
      <c r="X725" s="333">
        <v>1536</v>
      </c>
      <c r="Y725" s="367">
        <f t="shared" si="78"/>
        <v>614400</v>
      </c>
      <c r="Z725" s="409">
        <f>220/400</f>
        <v>0.55000000000000004</v>
      </c>
      <c r="AA725" s="410">
        <f t="shared" si="81"/>
        <v>337920</v>
      </c>
      <c r="AB725" s="411"/>
      <c r="AC725" s="412">
        <v>0</v>
      </c>
      <c r="AD725" s="405"/>
      <c r="AE725" s="405"/>
      <c r="AF725" s="424">
        <f t="shared" si="80"/>
        <v>337920</v>
      </c>
      <c r="AG725" s="405" t="s">
        <v>1069</v>
      </c>
      <c r="AH725" s="405"/>
      <c r="AI725" s="405">
        <v>60</v>
      </c>
      <c r="AJ725" s="406" t="s">
        <v>1518</v>
      </c>
      <c r="AK725" s="406" t="s">
        <v>50</v>
      </c>
      <c r="AL725" s="414">
        <v>92126</v>
      </c>
      <c r="AM725" s="405" t="s">
        <v>52</v>
      </c>
      <c r="AN725" s="361"/>
      <c r="AO725" s="405" t="s">
        <v>1073</v>
      </c>
      <c r="AP725" s="405"/>
      <c r="AQ725" s="413" t="s">
        <v>37</v>
      </c>
      <c r="AR725" s="405"/>
      <c r="AS725" s="404" t="s">
        <v>1392</v>
      </c>
      <c r="AT725" s="330"/>
      <c r="AU725" s="409">
        <f t="shared" si="82"/>
        <v>0.52</v>
      </c>
    </row>
    <row r="726" spans="1:47" s="402" customFormat="1">
      <c r="A726" s="426"/>
      <c r="B726" s="376">
        <v>44642</v>
      </c>
      <c r="C726" s="426"/>
      <c r="D726" s="443" t="s">
        <v>86</v>
      </c>
      <c r="E726" s="331" t="s">
        <v>1708</v>
      </c>
      <c r="F726" s="432"/>
      <c r="G726" s="350">
        <v>2022</v>
      </c>
      <c r="H726" s="350" t="s">
        <v>2383</v>
      </c>
      <c r="I726" s="432" t="s">
        <v>1498</v>
      </c>
      <c r="J726" s="433"/>
      <c r="K726" s="432" t="s">
        <v>3135</v>
      </c>
      <c r="L726" s="432" t="s">
        <v>1517</v>
      </c>
      <c r="M726" s="433">
        <v>44641</v>
      </c>
      <c r="N726" s="433">
        <v>44916</v>
      </c>
      <c r="O726" s="433"/>
      <c r="P726" s="332"/>
      <c r="Q726" s="433"/>
      <c r="R726" s="433"/>
      <c r="S726" s="432" t="s">
        <v>88</v>
      </c>
      <c r="T726" s="432">
        <v>60</v>
      </c>
      <c r="U726" s="432"/>
      <c r="V726" s="441" t="s">
        <v>973</v>
      </c>
      <c r="W726" s="432">
        <v>400</v>
      </c>
      <c r="X726" s="333">
        <v>1536</v>
      </c>
      <c r="Y726" s="367">
        <f t="shared" si="78"/>
        <v>614400</v>
      </c>
      <c r="Z726" s="409">
        <f>220/400</f>
        <v>0.55000000000000004</v>
      </c>
      <c r="AA726" s="410">
        <f t="shared" si="81"/>
        <v>337920</v>
      </c>
      <c r="AB726" s="411"/>
      <c r="AC726" s="412">
        <v>0</v>
      </c>
      <c r="AD726" s="405"/>
      <c r="AE726" s="405"/>
      <c r="AF726" s="424">
        <f t="shared" si="80"/>
        <v>337920</v>
      </c>
      <c r="AG726" s="405" t="s">
        <v>1069</v>
      </c>
      <c r="AH726" s="405"/>
      <c r="AI726" s="405">
        <v>60</v>
      </c>
      <c r="AJ726" s="406" t="s">
        <v>1518</v>
      </c>
      <c r="AK726" s="406" t="s">
        <v>50</v>
      </c>
      <c r="AL726" s="414">
        <v>92126</v>
      </c>
      <c r="AM726" s="405" t="s">
        <v>52</v>
      </c>
      <c r="AN726" s="361"/>
      <c r="AO726" s="405" t="s">
        <v>1073</v>
      </c>
      <c r="AP726" s="405"/>
      <c r="AQ726" s="413" t="s">
        <v>37</v>
      </c>
      <c r="AR726" s="405"/>
      <c r="AS726" s="404" t="s">
        <v>1392</v>
      </c>
      <c r="AT726" s="330"/>
      <c r="AU726" s="409">
        <f t="shared" si="82"/>
        <v>0.52</v>
      </c>
    </row>
    <row r="727" spans="1:47" s="402" customFormat="1">
      <c r="A727" s="426"/>
      <c r="B727" s="376">
        <v>44642</v>
      </c>
      <c r="C727" s="426"/>
      <c r="D727" s="443" t="s">
        <v>86</v>
      </c>
      <c r="E727" s="331" t="s">
        <v>1708</v>
      </c>
      <c r="F727" s="432"/>
      <c r="G727" s="350">
        <v>2022</v>
      </c>
      <c r="H727" s="350" t="s">
        <v>2383</v>
      </c>
      <c r="I727" s="432" t="s">
        <v>1498</v>
      </c>
      <c r="J727" s="433"/>
      <c r="K727" s="432" t="s">
        <v>3136</v>
      </c>
      <c r="L727" s="432" t="s">
        <v>1517</v>
      </c>
      <c r="M727" s="433">
        <v>44641</v>
      </c>
      <c r="N727" s="433">
        <v>44774</v>
      </c>
      <c r="O727" s="433"/>
      <c r="P727" s="332"/>
      <c r="Q727" s="433"/>
      <c r="R727" s="433"/>
      <c r="S727" s="432" t="s">
        <v>88</v>
      </c>
      <c r="T727" s="432">
        <v>60</v>
      </c>
      <c r="U727" s="432"/>
      <c r="V727" s="441" t="s">
        <v>986</v>
      </c>
      <c r="W727" s="432">
        <v>360</v>
      </c>
      <c r="X727" s="333">
        <v>2304</v>
      </c>
      <c r="Y727" s="367">
        <f t="shared" si="78"/>
        <v>829440</v>
      </c>
      <c r="Z727" s="409">
        <f>190.8/360</f>
        <v>0.53</v>
      </c>
      <c r="AA727" s="410">
        <f t="shared" si="81"/>
        <v>439603.20000000001</v>
      </c>
      <c r="AB727" s="411"/>
      <c r="AC727" s="412">
        <v>0</v>
      </c>
      <c r="AD727" s="405"/>
      <c r="AE727" s="405"/>
      <c r="AF727" s="424">
        <f t="shared" si="80"/>
        <v>439603.20000000001</v>
      </c>
      <c r="AG727" s="405" t="s">
        <v>1069</v>
      </c>
      <c r="AH727" s="405"/>
      <c r="AI727" s="405">
        <v>60</v>
      </c>
      <c r="AJ727" s="406" t="s">
        <v>1518</v>
      </c>
      <c r="AK727" s="406" t="s">
        <v>50</v>
      </c>
      <c r="AL727" s="414">
        <v>92126</v>
      </c>
      <c r="AM727" s="405" t="s">
        <v>52</v>
      </c>
      <c r="AN727" s="361"/>
      <c r="AO727" s="405" t="s">
        <v>1073</v>
      </c>
      <c r="AP727" s="405"/>
      <c r="AQ727" s="413" t="s">
        <v>37</v>
      </c>
      <c r="AR727" s="405"/>
      <c r="AS727" s="404" t="s">
        <v>1392</v>
      </c>
      <c r="AT727" s="330"/>
      <c r="AU727" s="409">
        <f t="shared" si="82"/>
        <v>0.52</v>
      </c>
    </row>
    <row r="728" spans="1:47" s="402" customFormat="1">
      <c r="A728" s="426"/>
      <c r="B728" s="376">
        <v>44642</v>
      </c>
      <c r="C728" s="426"/>
      <c r="D728" s="443" t="s">
        <v>86</v>
      </c>
      <c r="E728" s="331" t="s">
        <v>1708</v>
      </c>
      <c r="F728" s="432"/>
      <c r="G728" s="350">
        <v>2022</v>
      </c>
      <c r="H728" s="350" t="s">
        <v>2383</v>
      </c>
      <c r="I728" s="432" t="s">
        <v>1498</v>
      </c>
      <c r="J728" s="433"/>
      <c r="K728" s="432" t="s">
        <v>3137</v>
      </c>
      <c r="L728" s="432" t="s">
        <v>1517</v>
      </c>
      <c r="M728" s="433">
        <v>44641</v>
      </c>
      <c r="N728" s="433">
        <v>44805</v>
      </c>
      <c r="O728" s="433"/>
      <c r="P728" s="332"/>
      <c r="Q728" s="433"/>
      <c r="R728" s="433"/>
      <c r="S728" s="432" t="s">
        <v>88</v>
      </c>
      <c r="T728" s="432">
        <v>60</v>
      </c>
      <c r="U728" s="432"/>
      <c r="V728" s="441" t="s">
        <v>986</v>
      </c>
      <c r="W728" s="432">
        <v>360</v>
      </c>
      <c r="X728" s="333">
        <v>1536</v>
      </c>
      <c r="Y728" s="367">
        <f t="shared" si="78"/>
        <v>552960</v>
      </c>
      <c r="Z728" s="409">
        <f>190.8/360</f>
        <v>0.53</v>
      </c>
      <c r="AA728" s="410">
        <f t="shared" si="81"/>
        <v>293068.79999999999</v>
      </c>
      <c r="AB728" s="411"/>
      <c r="AC728" s="412">
        <v>0</v>
      </c>
      <c r="AD728" s="405"/>
      <c r="AE728" s="405"/>
      <c r="AF728" s="424">
        <f t="shared" si="80"/>
        <v>293068.79999999999</v>
      </c>
      <c r="AG728" s="405" t="s">
        <v>1069</v>
      </c>
      <c r="AH728" s="405"/>
      <c r="AI728" s="405">
        <v>60</v>
      </c>
      <c r="AJ728" s="406" t="s">
        <v>1518</v>
      </c>
      <c r="AK728" s="406" t="s">
        <v>50</v>
      </c>
      <c r="AL728" s="414">
        <v>92126</v>
      </c>
      <c r="AM728" s="405" t="s">
        <v>52</v>
      </c>
      <c r="AN728" s="361"/>
      <c r="AO728" s="405" t="s">
        <v>1073</v>
      </c>
      <c r="AP728" s="405"/>
      <c r="AQ728" s="413" t="s">
        <v>37</v>
      </c>
      <c r="AR728" s="405"/>
      <c r="AS728" s="404" t="s">
        <v>1392</v>
      </c>
      <c r="AT728" s="330"/>
      <c r="AU728" s="409">
        <f t="shared" si="82"/>
        <v>0.52</v>
      </c>
    </row>
    <row r="729" spans="1:47" s="402" customFormat="1">
      <c r="A729" s="426"/>
      <c r="B729" s="376">
        <v>44642</v>
      </c>
      <c r="C729" s="426"/>
      <c r="D729" s="443" t="s">
        <v>86</v>
      </c>
      <c r="E729" s="331" t="s">
        <v>1708</v>
      </c>
      <c r="F729" s="432"/>
      <c r="G729" s="350">
        <v>2022</v>
      </c>
      <c r="H729" s="350" t="s">
        <v>2383</v>
      </c>
      <c r="I729" s="432" t="s">
        <v>1498</v>
      </c>
      <c r="J729" s="433"/>
      <c r="K729" s="432" t="s">
        <v>3138</v>
      </c>
      <c r="L729" s="432" t="s">
        <v>1517</v>
      </c>
      <c r="M729" s="433">
        <v>44641</v>
      </c>
      <c r="N729" s="433">
        <v>44835</v>
      </c>
      <c r="O729" s="433"/>
      <c r="P729" s="332"/>
      <c r="Q729" s="433"/>
      <c r="R729" s="433"/>
      <c r="S729" s="432" t="s">
        <v>88</v>
      </c>
      <c r="T729" s="432">
        <v>60</v>
      </c>
      <c r="U729" s="432"/>
      <c r="V729" s="441" t="s">
        <v>986</v>
      </c>
      <c r="W729" s="432">
        <v>360</v>
      </c>
      <c r="X729" s="333">
        <v>2304</v>
      </c>
      <c r="Y729" s="367">
        <f t="shared" si="78"/>
        <v>829440</v>
      </c>
      <c r="Z729" s="409">
        <f>190.8/360</f>
        <v>0.53</v>
      </c>
      <c r="AA729" s="410">
        <f t="shared" si="81"/>
        <v>439603.20000000001</v>
      </c>
      <c r="AB729" s="411"/>
      <c r="AC729" s="412">
        <v>0</v>
      </c>
      <c r="AD729" s="405"/>
      <c r="AE729" s="405"/>
      <c r="AF729" s="424">
        <f t="shared" si="80"/>
        <v>439603.20000000001</v>
      </c>
      <c r="AG729" s="405" t="s">
        <v>1069</v>
      </c>
      <c r="AH729" s="405"/>
      <c r="AI729" s="405">
        <v>60</v>
      </c>
      <c r="AJ729" s="406" t="s">
        <v>1518</v>
      </c>
      <c r="AK729" s="406" t="s">
        <v>50</v>
      </c>
      <c r="AL729" s="414">
        <v>92126</v>
      </c>
      <c r="AM729" s="405" t="s">
        <v>52</v>
      </c>
      <c r="AN729" s="361"/>
      <c r="AO729" s="405" t="s">
        <v>1073</v>
      </c>
      <c r="AP729" s="405"/>
      <c r="AQ729" s="413" t="s">
        <v>37</v>
      </c>
      <c r="AR729" s="405"/>
      <c r="AS729" s="404" t="s">
        <v>1392</v>
      </c>
      <c r="AT729" s="330"/>
      <c r="AU729" s="409">
        <f t="shared" si="82"/>
        <v>0.52</v>
      </c>
    </row>
    <row r="730" spans="1:47" s="402" customFormat="1">
      <c r="A730" s="426"/>
      <c r="B730" s="376">
        <v>44642</v>
      </c>
      <c r="C730" s="426"/>
      <c r="D730" s="443" t="s">
        <v>86</v>
      </c>
      <c r="E730" s="331" t="s">
        <v>1708</v>
      </c>
      <c r="F730" s="432"/>
      <c r="G730" s="350">
        <v>2022</v>
      </c>
      <c r="H730" s="350" t="s">
        <v>2383</v>
      </c>
      <c r="I730" s="432" t="s">
        <v>1498</v>
      </c>
      <c r="J730" s="433"/>
      <c r="K730" s="432" t="s">
        <v>3139</v>
      </c>
      <c r="L730" s="432" t="s">
        <v>1517</v>
      </c>
      <c r="M730" s="433">
        <v>44641</v>
      </c>
      <c r="N730" s="433">
        <v>44866</v>
      </c>
      <c r="O730" s="433"/>
      <c r="P730" s="332"/>
      <c r="Q730" s="433"/>
      <c r="R730" s="433"/>
      <c r="S730" s="432" t="s">
        <v>88</v>
      </c>
      <c r="T730" s="432">
        <v>60</v>
      </c>
      <c r="U730" s="432"/>
      <c r="V730" s="441" t="s">
        <v>986</v>
      </c>
      <c r="W730" s="432">
        <v>360</v>
      </c>
      <c r="X730" s="333">
        <v>2304</v>
      </c>
      <c r="Y730" s="367">
        <f t="shared" si="78"/>
        <v>829440</v>
      </c>
      <c r="Z730" s="409">
        <f>190.8/360</f>
        <v>0.53</v>
      </c>
      <c r="AA730" s="410">
        <f t="shared" si="81"/>
        <v>439603.20000000001</v>
      </c>
      <c r="AB730" s="411"/>
      <c r="AC730" s="412">
        <v>0</v>
      </c>
      <c r="AD730" s="405"/>
      <c r="AE730" s="405"/>
      <c r="AF730" s="424">
        <f t="shared" si="80"/>
        <v>439603.20000000001</v>
      </c>
      <c r="AG730" s="405" t="s">
        <v>1069</v>
      </c>
      <c r="AH730" s="405"/>
      <c r="AI730" s="405">
        <v>60</v>
      </c>
      <c r="AJ730" s="406" t="s">
        <v>1518</v>
      </c>
      <c r="AK730" s="406" t="s">
        <v>50</v>
      </c>
      <c r="AL730" s="414">
        <v>92126</v>
      </c>
      <c r="AM730" s="405" t="s">
        <v>52</v>
      </c>
      <c r="AN730" s="361"/>
      <c r="AO730" s="405" t="s">
        <v>1073</v>
      </c>
      <c r="AP730" s="405"/>
      <c r="AQ730" s="413" t="s">
        <v>37</v>
      </c>
      <c r="AR730" s="405"/>
      <c r="AS730" s="404" t="s">
        <v>1392</v>
      </c>
      <c r="AT730" s="330"/>
      <c r="AU730" s="409">
        <f t="shared" si="82"/>
        <v>0.52</v>
      </c>
    </row>
    <row r="731" spans="1:47" s="402" customFormat="1">
      <c r="A731" s="426"/>
      <c r="B731" s="376">
        <v>44642</v>
      </c>
      <c r="C731" s="426"/>
      <c r="D731" s="443" t="s">
        <v>86</v>
      </c>
      <c r="E731" s="331" t="s">
        <v>1708</v>
      </c>
      <c r="F731" s="432"/>
      <c r="G731" s="350">
        <v>2022</v>
      </c>
      <c r="H731" s="350" t="s">
        <v>2383</v>
      </c>
      <c r="I731" s="432" t="s">
        <v>1498</v>
      </c>
      <c r="J731" s="433"/>
      <c r="K731" s="432" t="s">
        <v>3140</v>
      </c>
      <c r="L731" s="432" t="s">
        <v>1517</v>
      </c>
      <c r="M731" s="433">
        <v>44641</v>
      </c>
      <c r="N731" s="433">
        <v>44896</v>
      </c>
      <c r="O731" s="433"/>
      <c r="P731" s="332"/>
      <c r="Q731" s="433"/>
      <c r="R731" s="433"/>
      <c r="S731" s="432" t="s">
        <v>88</v>
      </c>
      <c r="T731" s="432">
        <v>60</v>
      </c>
      <c r="U731" s="432"/>
      <c r="V731" s="441" t="s">
        <v>986</v>
      </c>
      <c r="W731" s="432">
        <v>360</v>
      </c>
      <c r="X731" s="333">
        <v>2304</v>
      </c>
      <c r="Y731" s="367">
        <f t="shared" si="78"/>
        <v>829440</v>
      </c>
      <c r="Z731" s="409">
        <f>190.8/360</f>
        <v>0.53</v>
      </c>
      <c r="AA731" s="410">
        <f t="shared" si="81"/>
        <v>439603.20000000001</v>
      </c>
      <c r="AB731" s="411"/>
      <c r="AC731" s="412">
        <v>0</v>
      </c>
      <c r="AD731" s="405"/>
      <c r="AE731" s="405"/>
      <c r="AF731" s="424">
        <f t="shared" si="80"/>
        <v>439603.20000000001</v>
      </c>
      <c r="AG731" s="405" t="s">
        <v>1069</v>
      </c>
      <c r="AH731" s="405"/>
      <c r="AI731" s="405">
        <v>60</v>
      </c>
      <c r="AJ731" s="406" t="s">
        <v>1518</v>
      </c>
      <c r="AK731" s="406" t="s">
        <v>50</v>
      </c>
      <c r="AL731" s="414">
        <v>92126</v>
      </c>
      <c r="AM731" s="405" t="s">
        <v>52</v>
      </c>
      <c r="AN731" s="361"/>
      <c r="AO731" s="405" t="s">
        <v>1073</v>
      </c>
      <c r="AP731" s="405"/>
      <c r="AQ731" s="413" t="s">
        <v>37</v>
      </c>
      <c r="AR731" s="405"/>
      <c r="AS731" s="404" t="s">
        <v>1392</v>
      </c>
      <c r="AT731" s="330"/>
      <c r="AU731" s="409">
        <f t="shared" si="82"/>
        <v>0.52</v>
      </c>
    </row>
    <row r="732" spans="1:47" s="402" customFormat="1">
      <c r="A732" s="426"/>
      <c r="B732" s="376">
        <v>44663</v>
      </c>
      <c r="C732" s="426"/>
      <c r="D732" s="443" t="s">
        <v>86</v>
      </c>
      <c r="E732" s="331"/>
      <c r="F732" s="432"/>
      <c r="G732" s="350">
        <v>2022</v>
      </c>
      <c r="H732" s="350" t="s">
        <v>2383</v>
      </c>
      <c r="I732" s="432" t="s">
        <v>1498</v>
      </c>
      <c r="J732" s="433"/>
      <c r="K732" s="432" t="s">
        <v>3141</v>
      </c>
      <c r="L732" s="432" t="s">
        <v>1517</v>
      </c>
      <c r="M732" s="433">
        <v>44650</v>
      </c>
      <c r="N732" s="433">
        <v>44835</v>
      </c>
      <c r="O732" s="433"/>
      <c r="P732" s="332"/>
      <c r="Q732" s="433"/>
      <c r="R732" s="433"/>
      <c r="S732" s="432" t="s">
        <v>88</v>
      </c>
      <c r="T732" s="432">
        <v>60</v>
      </c>
      <c r="U732" s="432"/>
      <c r="V732" s="441" t="s">
        <v>973</v>
      </c>
      <c r="W732" s="432">
        <v>400</v>
      </c>
      <c r="X732" s="333">
        <v>3072</v>
      </c>
      <c r="Y732" s="367">
        <f t="shared" si="78"/>
        <v>1228800</v>
      </c>
      <c r="Z732" s="409">
        <f t="shared" ref="Z732:Z737" si="83">220/400</f>
        <v>0.55000000000000004</v>
      </c>
      <c r="AA732" s="410">
        <f t="shared" si="81"/>
        <v>675840</v>
      </c>
      <c r="AB732" s="411"/>
      <c r="AC732" s="412">
        <v>0</v>
      </c>
      <c r="AD732" s="405"/>
      <c r="AE732" s="405"/>
      <c r="AF732" s="424">
        <f t="shared" si="80"/>
        <v>675840</v>
      </c>
      <c r="AG732" s="405" t="s">
        <v>1069</v>
      </c>
      <c r="AH732" s="405"/>
      <c r="AI732" s="405">
        <v>60</v>
      </c>
      <c r="AJ732" s="406" t="s">
        <v>1518</v>
      </c>
      <c r="AK732" s="406" t="s">
        <v>50</v>
      </c>
      <c r="AL732" s="414">
        <v>92126</v>
      </c>
      <c r="AM732" s="405" t="s">
        <v>52</v>
      </c>
      <c r="AN732" s="361"/>
      <c r="AO732" s="405" t="s">
        <v>1073</v>
      </c>
      <c r="AP732" s="405"/>
      <c r="AQ732" s="413" t="s">
        <v>37</v>
      </c>
      <c r="AR732" s="405"/>
      <c r="AS732" s="404" t="s">
        <v>1392</v>
      </c>
      <c r="AT732" s="330"/>
      <c r="AU732" s="409">
        <f t="shared" si="82"/>
        <v>0.52</v>
      </c>
    </row>
    <row r="733" spans="1:47" s="402" customFormat="1">
      <c r="A733" s="426"/>
      <c r="B733" s="376">
        <v>44663</v>
      </c>
      <c r="C733" s="426"/>
      <c r="D733" s="443" t="s">
        <v>86</v>
      </c>
      <c r="E733" s="331"/>
      <c r="F733" s="432"/>
      <c r="G733" s="350">
        <v>2022</v>
      </c>
      <c r="H733" s="350" t="s">
        <v>2383</v>
      </c>
      <c r="I733" s="432" t="s">
        <v>1498</v>
      </c>
      <c r="J733" s="433"/>
      <c r="K733" s="432" t="s">
        <v>3141</v>
      </c>
      <c r="L733" s="432" t="s">
        <v>1517</v>
      </c>
      <c r="M733" s="433">
        <v>44650</v>
      </c>
      <c r="N733" s="433">
        <v>44866</v>
      </c>
      <c r="O733" s="433"/>
      <c r="P733" s="332"/>
      <c r="Q733" s="433"/>
      <c r="R733" s="433"/>
      <c r="S733" s="432" t="s">
        <v>88</v>
      </c>
      <c r="T733" s="432">
        <v>60</v>
      </c>
      <c r="U733" s="432"/>
      <c r="V733" s="441" t="s">
        <v>973</v>
      </c>
      <c r="W733" s="432">
        <v>400</v>
      </c>
      <c r="X733" s="333">
        <v>1536</v>
      </c>
      <c r="Y733" s="367">
        <f t="shared" si="78"/>
        <v>614400</v>
      </c>
      <c r="Z733" s="409">
        <f t="shared" si="83"/>
        <v>0.55000000000000004</v>
      </c>
      <c r="AA733" s="410">
        <f t="shared" si="81"/>
        <v>337920</v>
      </c>
      <c r="AB733" s="411"/>
      <c r="AC733" s="412">
        <v>0</v>
      </c>
      <c r="AD733" s="405"/>
      <c r="AE733" s="405"/>
      <c r="AF733" s="424">
        <f t="shared" si="80"/>
        <v>337920</v>
      </c>
      <c r="AG733" s="405" t="s">
        <v>1069</v>
      </c>
      <c r="AH733" s="405"/>
      <c r="AI733" s="405">
        <v>60</v>
      </c>
      <c r="AJ733" s="406" t="s">
        <v>1518</v>
      </c>
      <c r="AK733" s="406" t="s">
        <v>50</v>
      </c>
      <c r="AL733" s="414">
        <v>92126</v>
      </c>
      <c r="AM733" s="405" t="s">
        <v>52</v>
      </c>
      <c r="AN733" s="361"/>
      <c r="AO733" s="405" t="s">
        <v>1073</v>
      </c>
      <c r="AP733" s="405"/>
      <c r="AQ733" s="413" t="s">
        <v>37</v>
      </c>
      <c r="AR733" s="405"/>
      <c r="AS733" s="404" t="s">
        <v>1392</v>
      </c>
      <c r="AT733" s="330"/>
      <c r="AU733" s="409">
        <f t="shared" si="82"/>
        <v>0.52</v>
      </c>
    </row>
    <row r="734" spans="1:47" s="402" customFormat="1">
      <c r="A734" s="426"/>
      <c r="B734" s="376">
        <v>44663</v>
      </c>
      <c r="C734" s="426"/>
      <c r="D734" s="443" t="s">
        <v>86</v>
      </c>
      <c r="E734" s="331"/>
      <c r="F734" s="432"/>
      <c r="G734" s="350">
        <v>2022</v>
      </c>
      <c r="H734" s="350" t="s">
        <v>2383</v>
      </c>
      <c r="I734" s="432" t="s">
        <v>1498</v>
      </c>
      <c r="J734" s="433"/>
      <c r="K734" s="432" t="s">
        <v>3141</v>
      </c>
      <c r="L734" s="432" t="s">
        <v>1517</v>
      </c>
      <c r="M734" s="433">
        <v>44650</v>
      </c>
      <c r="N734" s="433">
        <v>44896</v>
      </c>
      <c r="O734" s="433"/>
      <c r="P734" s="332"/>
      <c r="Q734" s="433"/>
      <c r="R734" s="433"/>
      <c r="S734" s="432" t="s">
        <v>88</v>
      </c>
      <c r="T734" s="432">
        <v>60</v>
      </c>
      <c r="U734" s="432"/>
      <c r="V734" s="441" t="s">
        <v>973</v>
      </c>
      <c r="W734" s="432">
        <v>400</v>
      </c>
      <c r="X734" s="333">
        <v>1536</v>
      </c>
      <c r="Y734" s="367">
        <f t="shared" si="78"/>
        <v>614400</v>
      </c>
      <c r="Z734" s="409">
        <f t="shared" si="83"/>
        <v>0.55000000000000004</v>
      </c>
      <c r="AA734" s="410">
        <f t="shared" si="81"/>
        <v>337920</v>
      </c>
      <c r="AB734" s="411"/>
      <c r="AC734" s="412">
        <v>0</v>
      </c>
      <c r="AD734" s="405"/>
      <c r="AE734" s="405"/>
      <c r="AF734" s="424">
        <f t="shared" si="80"/>
        <v>337920</v>
      </c>
      <c r="AG734" s="405" t="s">
        <v>1069</v>
      </c>
      <c r="AH734" s="405"/>
      <c r="AI734" s="405">
        <v>60</v>
      </c>
      <c r="AJ734" s="406" t="s">
        <v>1518</v>
      </c>
      <c r="AK734" s="406" t="s">
        <v>50</v>
      </c>
      <c r="AL734" s="414">
        <v>92126</v>
      </c>
      <c r="AM734" s="405" t="s">
        <v>52</v>
      </c>
      <c r="AN734" s="361"/>
      <c r="AO734" s="405" t="s">
        <v>1073</v>
      </c>
      <c r="AP734" s="405"/>
      <c r="AQ734" s="413" t="s">
        <v>37</v>
      </c>
      <c r="AR734" s="405"/>
      <c r="AS734" s="404" t="s">
        <v>1392</v>
      </c>
      <c r="AT734" s="330"/>
      <c r="AU734" s="409">
        <f t="shared" si="82"/>
        <v>0.52</v>
      </c>
    </row>
    <row r="735" spans="1:47" s="402" customFormat="1">
      <c r="A735" s="426"/>
      <c r="B735" s="376">
        <v>44663</v>
      </c>
      <c r="C735" s="426"/>
      <c r="D735" s="443" t="s">
        <v>86</v>
      </c>
      <c r="E735" s="331"/>
      <c r="F735" s="432"/>
      <c r="G735" s="350">
        <v>2022</v>
      </c>
      <c r="H735" s="350" t="s">
        <v>2383</v>
      </c>
      <c r="I735" s="432" t="s">
        <v>1498</v>
      </c>
      <c r="J735" s="433"/>
      <c r="K735" s="432" t="s">
        <v>3141</v>
      </c>
      <c r="L735" s="432" t="s">
        <v>1517</v>
      </c>
      <c r="M735" s="433">
        <v>44650</v>
      </c>
      <c r="N735" s="433">
        <v>44835</v>
      </c>
      <c r="O735" s="433"/>
      <c r="P735" s="332"/>
      <c r="Q735" s="433"/>
      <c r="R735" s="433"/>
      <c r="S735" s="432" t="s">
        <v>88</v>
      </c>
      <c r="T735" s="432">
        <v>60</v>
      </c>
      <c r="U735" s="432"/>
      <c r="V735" s="441" t="s">
        <v>986</v>
      </c>
      <c r="W735" s="432">
        <v>360</v>
      </c>
      <c r="X735" s="333">
        <v>3072</v>
      </c>
      <c r="Y735" s="367">
        <f t="shared" si="78"/>
        <v>1105920</v>
      </c>
      <c r="Z735" s="409">
        <f t="shared" si="83"/>
        <v>0.55000000000000004</v>
      </c>
      <c r="AA735" s="410">
        <f t="shared" si="81"/>
        <v>608256</v>
      </c>
      <c r="AB735" s="411"/>
      <c r="AC735" s="412">
        <v>0</v>
      </c>
      <c r="AD735" s="405"/>
      <c r="AE735" s="405"/>
      <c r="AF735" s="424">
        <f t="shared" si="80"/>
        <v>608256</v>
      </c>
      <c r="AG735" s="405" t="s">
        <v>1069</v>
      </c>
      <c r="AH735" s="405"/>
      <c r="AI735" s="405">
        <v>60</v>
      </c>
      <c r="AJ735" s="406" t="s">
        <v>1518</v>
      </c>
      <c r="AK735" s="406" t="s">
        <v>50</v>
      </c>
      <c r="AL735" s="414">
        <v>92126</v>
      </c>
      <c r="AM735" s="405" t="s">
        <v>52</v>
      </c>
      <c r="AN735" s="361"/>
      <c r="AO735" s="405" t="s">
        <v>1073</v>
      </c>
      <c r="AP735" s="405"/>
      <c r="AQ735" s="413" t="s">
        <v>37</v>
      </c>
      <c r="AR735" s="405"/>
      <c r="AS735" s="404" t="s">
        <v>1392</v>
      </c>
      <c r="AT735" s="330"/>
      <c r="AU735" s="409">
        <f t="shared" si="82"/>
        <v>0.52</v>
      </c>
    </row>
    <row r="736" spans="1:47" s="402" customFormat="1">
      <c r="A736" s="426"/>
      <c r="B736" s="376">
        <v>44663</v>
      </c>
      <c r="C736" s="426"/>
      <c r="D736" s="443" t="s">
        <v>86</v>
      </c>
      <c r="E736" s="331"/>
      <c r="F736" s="432"/>
      <c r="G736" s="350">
        <v>2022</v>
      </c>
      <c r="H736" s="350" t="s">
        <v>2383</v>
      </c>
      <c r="I736" s="432" t="s">
        <v>1498</v>
      </c>
      <c r="J736" s="433"/>
      <c r="K736" s="432" t="s">
        <v>3141</v>
      </c>
      <c r="L736" s="432" t="s">
        <v>1517</v>
      </c>
      <c r="M736" s="433">
        <v>44650</v>
      </c>
      <c r="N736" s="433">
        <v>44866</v>
      </c>
      <c r="O736" s="433"/>
      <c r="P736" s="332"/>
      <c r="Q736" s="433"/>
      <c r="R736" s="433"/>
      <c r="S736" s="432" t="s">
        <v>88</v>
      </c>
      <c r="T736" s="432">
        <v>60</v>
      </c>
      <c r="U736" s="432"/>
      <c r="V736" s="441" t="s">
        <v>986</v>
      </c>
      <c r="W736" s="432">
        <v>360</v>
      </c>
      <c r="X736" s="333">
        <v>1536</v>
      </c>
      <c r="Y736" s="367">
        <f t="shared" si="78"/>
        <v>552960</v>
      </c>
      <c r="Z736" s="409">
        <f t="shared" si="83"/>
        <v>0.55000000000000004</v>
      </c>
      <c r="AA736" s="410">
        <f t="shared" si="81"/>
        <v>304128</v>
      </c>
      <c r="AB736" s="411"/>
      <c r="AC736" s="412">
        <v>0</v>
      </c>
      <c r="AD736" s="405"/>
      <c r="AE736" s="405"/>
      <c r="AF736" s="424">
        <f t="shared" si="80"/>
        <v>304128</v>
      </c>
      <c r="AG736" s="405" t="s">
        <v>1069</v>
      </c>
      <c r="AH736" s="405"/>
      <c r="AI736" s="405">
        <v>60</v>
      </c>
      <c r="AJ736" s="406" t="s">
        <v>1518</v>
      </c>
      <c r="AK736" s="406" t="s">
        <v>50</v>
      </c>
      <c r="AL736" s="414">
        <v>92126</v>
      </c>
      <c r="AM736" s="405" t="s">
        <v>52</v>
      </c>
      <c r="AN736" s="361"/>
      <c r="AO736" s="405" t="s">
        <v>1073</v>
      </c>
      <c r="AP736" s="405"/>
      <c r="AQ736" s="413" t="s">
        <v>37</v>
      </c>
      <c r="AR736" s="405"/>
      <c r="AS736" s="404" t="s">
        <v>1392</v>
      </c>
      <c r="AT736" s="330"/>
      <c r="AU736" s="409">
        <f t="shared" si="82"/>
        <v>0.52</v>
      </c>
    </row>
    <row r="737" spans="1:47" s="402" customFormat="1">
      <c r="A737" s="426"/>
      <c r="B737" s="376"/>
      <c r="C737" s="426"/>
      <c r="D737" s="443" t="s">
        <v>86</v>
      </c>
      <c r="E737" s="331" t="s">
        <v>3062</v>
      </c>
      <c r="F737" s="432"/>
      <c r="G737" s="350">
        <v>2022</v>
      </c>
      <c r="H737" s="350" t="s">
        <v>2978</v>
      </c>
      <c r="I737" s="432" t="s">
        <v>2383</v>
      </c>
      <c r="J737" s="433"/>
      <c r="K737" s="432" t="s">
        <v>1856</v>
      </c>
      <c r="L737" s="432" t="s">
        <v>1723</v>
      </c>
      <c r="M737" s="433">
        <v>44621</v>
      </c>
      <c r="N737" s="433">
        <v>44896</v>
      </c>
      <c r="O737" s="433"/>
      <c r="P737" s="332"/>
      <c r="Q737" s="433"/>
      <c r="R737" s="433"/>
      <c r="S737" s="432" t="s">
        <v>1520</v>
      </c>
      <c r="T737" s="432">
        <v>60</v>
      </c>
      <c r="U737" s="432"/>
      <c r="V737" s="441" t="s">
        <v>973</v>
      </c>
      <c r="W737" s="432">
        <v>400</v>
      </c>
      <c r="X737" s="333">
        <v>1536</v>
      </c>
      <c r="Y737" s="367">
        <f t="shared" si="78"/>
        <v>614400</v>
      </c>
      <c r="Z737" s="409">
        <f t="shared" si="83"/>
        <v>0.55000000000000004</v>
      </c>
      <c r="AA737" s="410">
        <f t="shared" si="81"/>
        <v>337920</v>
      </c>
      <c r="AB737" s="411"/>
      <c r="AC737" s="412">
        <f t="shared" ref="AC737:AC745" si="84">AB737*Y737</f>
        <v>0</v>
      </c>
      <c r="AD737" s="405"/>
      <c r="AE737" s="405"/>
      <c r="AF737" s="424">
        <f t="shared" si="80"/>
        <v>337920</v>
      </c>
      <c r="AG737" s="405" t="s">
        <v>1069</v>
      </c>
      <c r="AH737" s="405"/>
      <c r="AI737" s="405">
        <v>60</v>
      </c>
      <c r="AJ737" s="406" t="s">
        <v>1724</v>
      </c>
      <c r="AK737" s="406" t="s">
        <v>50</v>
      </c>
      <c r="AL737" s="414">
        <v>95403</v>
      </c>
      <c r="AM737" s="405" t="s">
        <v>52</v>
      </c>
      <c r="AN737" s="361" t="s">
        <v>50</v>
      </c>
      <c r="AO737" s="405" t="s">
        <v>1073</v>
      </c>
      <c r="AP737" s="405" t="s">
        <v>92</v>
      </c>
      <c r="AQ737" s="413" t="s">
        <v>37</v>
      </c>
      <c r="AR737" s="405" t="s">
        <v>1188</v>
      </c>
      <c r="AS737" s="404" t="s">
        <v>1392</v>
      </c>
      <c r="AT737" s="330"/>
      <c r="AU737" s="409">
        <f t="shared" si="82"/>
        <v>0.52</v>
      </c>
    </row>
    <row r="738" spans="1:47" s="402" customFormat="1">
      <c r="A738" s="426"/>
      <c r="B738" s="376"/>
      <c r="C738" s="426"/>
      <c r="D738" s="443" t="s">
        <v>86</v>
      </c>
      <c r="E738" s="331" t="s">
        <v>3062</v>
      </c>
      <c r="F738" s="432"/>
      <c r="G738" s="350">
        <v>2022</v>
      </c>
      <c r="H738" s="350" t="s">
        <v>2978</v>
      </c>
      <c r="I738" s="432" t="s">
        <v>2383</v>
      </c>
      <c r="J738" s="433"/>
      <c r="K738" s="432" t="s">
        <v>1856</v>
      </c>
      <c r="L738" s="432" t="s">
        <v>1723</v>
      </c>
      <c r="M738" s="433">
        <v>44621</v>
      </c>
      <c r="N738" s="433">
        <v>44896</v>
      </c>
      <c r="O738" s="433"/>
      <c r="P738" s="332"/>
      <c r="Q738" s="433"/>
      <c r="R738" s="433"/>
      <c r="S738" s="432" t="s">
        <v>1520</v>
      </c>
      <c r="T738" s="432">
        <v>60</v>
      </c>
      <c r="U738" s="432"/>
      <c r="V738" s="441" t="s">
        <v>986</v>
      </c>
      <c r="W738" s="432">
        <v>360</v>
      </c>
      <c r="X738" s="333">
        <v>1536</v>
      </c>
      <c r="Y738" s="367">
        <f t="shared" si="78"/>
        <v>552960</v>
      </c>
      <c r="Z738" s="409">
        <f>190.8/360</f>
        <v>0.53</v>
      </c>
      <c r="AA738" s="410">
        <f t="shared" si="81"/>
        <v>293068.79999999999</v>
      </c>
      <c r="AB738" s="411"/>
      <c r="AC738" s="412">
        <f t="shared" si="84"/>
        <v>0</v>
      </c>
      <c r="AD738" s="405"/>
      <c r="AE738" s="405"/>
      <c r="AF738" s="424">
        <f t="shared" si="80"/>
        <v>293068.79999999999</v>
      </c>
      <c r="AG738" s="405" t="s">
        <v>1069</v>
      </c>
      <c r="AH738" s="405"/>
      <c r="AI738" s="405">
        <v>60</v>
      </c>
      <c r="AJ738" s="406" t="s">
        <v>1724</v>
      </c>
      <c r="AK738" s="406" t="s">
        <v>50</v>
      </c>
      <c r="AL738" s="414">
        <v>95403</v>
      </c>
      <c r="AM738" s="405" t="s">
        <v>52</v>
      </c>
      <c r="AN738" s="361" t="s">
        <v>50</v>
      </c>
      <c r="AO738" s="405" t="s">
        <v>1073</v>
      </c>
      <c r="AP738" s="405" t="s">
        <v>92</v>
      </c>
      <c r="AQ738" s="413" t="s">
        <v>37</v>
      </c>
      <c r="AR738" s="405" t="s">
        <v>1188</v>
      </c>
      <c r="AS738" s="404" t="s">
        <v>1392</v>
      </c>
      <c r="AT738" s="330"/>
      <c r="AU738" s="409">
        <f t="shared" si="82"/>
        <v>0.52</v>
      </c>
    </row>
    <row r="739" spans="1:47" s="402" customFormat="1">
      <c r="A739" s="426"/>
      <c r="B739" s="376"/>
      <c r="C739" s="426"/>
      <c r="D739" s="443" t="s">
        <v>86</v>
      </c>
      <c r="E739" s="331" t="s">
        <v>3062</v>
      </c>
      <c r="F739" s="432"/>
      <c r="G739" s="350">
        <v>2022</v>
      </c>
      <c r="H739" s="350" t="s">
        <v>2978</v>
      </c>
      <c r="I739" s="432" t="s">
        <v>2383</v>
      </c>
      <c r="J739" s="433"/>
      <c r="K739" s="432" t="s">
        <v>1855</v>
      </c>
      <c r="L739" s="432" t="s">
        <v>1723</v>
      </c>
      <c r="M739" s="433">
        <v>44621</v>
      </c>
      <c r="N739" s="433">
        <v>44866</v>
      </c>
      <c r="O739" s="433"/>
      <c r="P739" s="332"/>
      <c r="Q739" s="433"/>
      <c r="R739" s="433"/>
      <c r="S739" s="432" t="s">
        <v>1520</v>
      </c>
      <c r="T739" s="432">
        <v>60</v>
      </c>
      <c r="U739" s="432"/>
      <c r="V739" s="441" t="s">
        <v>973</v>
      </c>
      <c r="W739" s="432">
        <v>400</v>
      </c>
      <c r="X739" s="333">
        <v>1536</v>
      </c>
      <c r="Y739" s="367">
        <f t="shared" si="78"/>
        <v>614400</v>
      </c>
      <c r="Z739" s="409">
        <f>220/400</f>
        <v>0.55000000000000004</v>
      </c>
      <c r="AA739" s="410">
        <f t="shared" si="81"/>
        <v>337920</v>
      </c>
      <c r="AB739" s="411"/>
      <c r="AC739" s="412">
        <f t="shared" si="84"/>
        <v>0</v>
      </c>
      <c r="AD739" s="405"/>
      <c r="AE739" s="405"/>
      <c r="AF739" s="424">
        <f t="shared" si="80"/>
        <v>337920</v>
      </c>
      <c r="AG739" s="405" t="s">
        <v>1069</v>
      </c>
      <c r="AH739" s="405"/>
      <c r="AI739" s="405">
        <v>60</v>
      </c>
      <c r="AJ739" s="406" t="s">
        <v>1724</v>
      </c>
      <c r="AK739" s="406" t="s">
        <v>50</v>
      </c>
      <c r="AL739" s="414">
        <v>95403</v>
      </c>
      <c r="AM739" s="405" t="s">
        <v>52</v>
      </c>
      <c r="AN739" s="361" t="s">
        <v>50</v>
      </c>
      <c r="AO739" s="405" t="s">
        <v>1073</v>
      </c>
      <c r="AP739" s="405" t="s">
        <v>92</v>
      </c>
      <c r="AQ739" s="413" t="s">
        <v>37</v>
      </c>
      <c r="AR739" s="405" t="s">
        <v>1188</v>
      </c>
      <c r="AS739" s="404" t="s">
        <v>1392</v>
      </c>
      <c r="AT739" s="330"/>
      <c r="AU739" s="409">
        <f t="shared" si="82"/>
        <v>0.52</v>
      </c>
    </row>
    <row r="740" spans="1:47" s="402" customFormat="1">
      <c r="A740" s="426"/>
      <c r="B740" s="376"/>
      <c r="C740" s="426"/>
      <c r="D740" s="443" t="s">
        <v>86</v>
      </c>
      <c r="E740" s="331" t="s">
        <v>3062</v>
      </c>
      <c r="F740" s="432"/>
      <c r="G740" s="350">
        <v>2022</v>
      </c>
      <c r="H740" s="350" t="s">
        <v>2978</v>
      </c>
      <c r="I740" s="432" t="s">
        <v>2383</v>
      </c>
      <c r="J740" s="433"/>
      <c r="K740" s="432" t="s">
        <v>1855</v>
      </c>
      <c r="L740" s="432" t="s">
        <v>1723</v>
      </c>
      <c r="M740" s="433">
        <v>44621</v>
      </c>
      <c r="N740" s="433">
        <v>44866</v>
      </c>
      <c r="O740" s="433"/>
      <c r="P740" s="332"/>
      <c r="Q740" s="433"/>
      <c r="R740" s="433"/>
      <c r="S740" s="432" t="s">
        <v>1520</v>
      </c>
      <c r="T740" s="432">
        <v>60</v>
      </c>
      <c r="U740" s="432"/>
      <c r="V740" s="441" t="s">
        <v>986</v>
      </c>
      <c r="W740" s="432">
        <v>360</v>
      </c>
      <c r="X740" s="333">
        <v>1536</v>
      </c>
      <c r="Y740" s="367">
        <f t="shared" si="78"/>
        <v>552960</v>
      </c>
      <c r="Z740" s="409">
        <f>190.8/360</f>
        <v>0.53</v>
      </c>
      <c r="AA740" s="410">
        <f t="shared" si="81"/>
        <v>293068.79999999999</v>
      </c>
      <c r="AB740" s="411"/>
      <c r="AC740" s="412">
        <f t="shared" si="84"/>
        <v>0</v>
      </c>
      <c r="AD740" s="405"/>
      <c r="AE740" s="405"/>
      <c r="AF740" s="424">
        <f t="shared" si="80"/>
        <v>293068.79999999999</v>
      </c>
      <c r="AG740" s="405" t="s">
        <v>1069</v>
      </c>
      <c r="AH740" s="405"/>
      <c r="AI740" s="405">
        <v>60</v>
      </c>
      <c r="AJ740" s="406" t="s">
        <v>1724</v>
      </c>
      <c r="AK740" s="406" t="s">
        <v>50</v>
      </c>
      <c r="AL740" s="414">
        <v>95403</v>
      </c>
      <c r="AM740" s="405" t="s">
        <v>52</v>
      </c>
      <c r="AN740" s="361" t="s">
        <v>50</v>
      </c>
      <c r="AO740" s="405" t="s">
        <v>1073</v>
      </c>
      <c r="AP740" s="405" t="s">
        <v>92</v>
      </c>
      <c r="AQ740" s="413" t="s">
        <v>37</v>
      </c>
      <c r="AR740" s="405" t="s">
        <v>1188</v>
      </c>
      <c r="AS740" s="404" t="s">
        <v>1392</v>
      </c>
      <c r="AT740" s="330"/>
      <c r="AU740" s="409">
        <f t="shared" si="82"/>
        <v>0.52</v>
      </c>
    </row>
    <row r="741" spans="1:47" s="402" customFormat="1">
      <c r="A741" s="426"/>
      <c r="B741" s="376"/>
      <c r="C741" s="426"/>
      <c r="D741" s="443" t="s">
        <v>86</v>
      </c>
      <c r="E741" s="331" t="s">
        <v>3062</v>
      </c>
      <c r="F741" s="432"/>
      <c r="G741" s="350">
        <v>2022</v>
      </c>
      <c r="H741" s="350" t="s">
        <v>2978</v>
      </c>
      <c r="I741" s="432" t="s">
        <v>2383</v>
      </c>
      <c r="J741" s="433"/>
      <c r="K741" s="432" t="s">
        <v>1854</v>
      </c>
      <c r="L741" s="432" t="s">
        <v>1723</v>
      </c>
      <c r="M741" s="433">
        <v>44621</v>
      </c>
      <c r="N741" s="433">
        <v>44835</v>
      </c>
      <c r="O741" s="433"/>
      <c r="P741" s="332"/>
      <c r="Q741" s="433"/>
      <c r="R741" s="433"/>
      <c r="S741" s="432" t="s">
        <v>1520</v>
      </c>
      <c r="T741" s="432">
        <v>60</v>
      </c>
      <c r="U741" s="432"/>
      <c r="V741" s="441" t="s">
        <v>973</v>
      </c>
      <c r="W741" s="432">
        <v>400</v>
      </c>
      <c r="X741" s="333">
        <v>1536</v>
      </c>
      <c r="Y741" s="367">
        <f t="shared" si="78"/>
        <v>614400</v>
      </c>
      <c r="Z741" s="409">
        <f>220/400</f>
        <v>0.55000000000000004</v>
      </c>
      <c r="AA741" s="410">
        <f t="shared" si="81"/>
        <v>337920</v>
      </c>
      <c r="AB741" s="411"/>
      <c r="AC741" s="412">
        <f t="shared" si="84"/>
        <v>0</v>
      </c>
      <c r="AD741" s="405"/>
      <c r="AE741" s="405"/>
      <c r="AF741" s="424">
        <f t="shared" si="80"/>
        <v>337920</v>
      </c>
      <c r="AG741" s="405" t="s">
        <v>1069</v>
      </c>
      <c r="AH741" s="405"/>
      <c r="AI741" s="405">
        <v>60</v>
      </c>
      <c r="AJ741" s="406" t="s">
        <v>1724</v>
      </c>
      <c r="AK741" s="406" t="s">
        <v>50</v>
      </c>
      <c r="AL741" s="414">
        <v>95403</v>
      </c>
      <c r="AM741" s="405" t="s">
        <v>52</v>
      </c>
      <c r="AN741" s="361" t="s">
        <v>50</v>
      </c>
      <c r="AO741" s="405" t="s">
        <v>1073</v>
      </c>
      <c r="AP741" s="405" t="s">
        <v>92</v>
      </c>
      <c r="AQ741" s="413" t="s">
        <v>37</v>
      </c>
      <c r="AR741" s="405" t="s">
        <v>1188</v>
      </c>
      <c r="AS741" s="404" t="s">
        <v>1392</v>
      </c>
      <c r="AT741" s="330"/>
      <c r="AU741" s="409">
        <f t="shared" si="82"/>
        <v>0.52</v>
      </c>
    </row>
    <row r="742" spans="1:47" s="402" customFormat="1">
      <c r="A742" s="426"/>
      <c r="B742" s="376"/>
      <c r="C742" s="426"/>
      <c r="D742" s="443" t="s">
        <v>86</v>
      </c>
      <c r="E742" s="331" t="s">
        <v>3062</v>
      </c>
      <c r="F742" s="432"/>
      <c r="G742" s="350">
        <v>2022</v>
      </c>
      <c r="H742" s="350" t="s">
        <v>2978</v>
      </c>
      <c r="I742" s="432" t="s">
        <v>2383</v>
      </c>
      <c r="J742" s="433"/>
      <c r="K742" s="432" t="s">
        <v>1854</v>
      </c>
      <c r="L742" s="432" t="s">
        <v>1723</v>
      </c>
      <c r="M742" s="433">
        <v>44621</v>
      </c>
      <c r="N742" s="433">
        <v>44835</v>
      </c>
      <c r="O742" s="433"/>
      <c r="P742" s="332"/>
      <c r="Q742" s="433"/>
      <c r="R742" s="433"/>
      <c r="S742" s="432" t="s">
        <v>1520</v>
      </c>
      <c r="T742" s="432">
        <v>60</v>
      </c>
      <c r="U742" s="432"/>
      <c r="V742" s="441" t="s">
        <v>986</v>
      </c>
      <c r="W742" s="432">
        <v>360</v>
      </c>
      <c r="X742" s="333">
        <v>1536</v>
      </c>
      <c r="Y742" s="367">
        <f t="shared" si="78"/>
        <v>552960</v>
      </c>
      <c r="Z742" s="409">
        <f>190.8/360</f>
        <v>0.53</v>
      </c>
      <c r="AA742" s="410">
        <f t="shared" si="81"/>
        <v>293068.79999999999</v>
      </c>
      <c r="AB742" s="411"/>
      <c r="AC742" s="412">
        <f t="shared" si="84"/>
        <v>0</v>
      </c>
      <c r="AD742" s="405"/>
      <c r="AE742" s="405"/>
      <c r="AF742" s="424">
        <f t="shared" si="80"/>
        <v>293068.79999999999</v>
      </c>
      <c r="AG742" s="405" t="s">
        <v>1069</v>
      </c>
      <c r="AH742" s="405"/>
      <c r="AI742" s="405">
        <v>60</v>
      </c>
      <c r="AJ742" s="406" t="s">
        <v>1724</v>
      </c>
      <c r="AK742" s="406" t="s">
        <v>50</v>
      </c>
      <c r="AL742" s="414">
        <v>95403</v>
      </c>
      <c r="AM742" s="405" t="s">
        <v>52</v>
      </c>
      <c r="AN742" s="361" t="s">
        <v>50</v>
      </c>
      <c r="AO742" s="405" t="s">
        <v>1073</v>
      </c>
      <c r="AP742" s="405" t="s">
        <v>92</v>
      </c>
      <c r="AQ742" s="413" t="s">
        <v>37</v>
      </c>
      <c r="AR742" s="405" t="s">
        <v>1188</v>
      </c>
      <c r="AS742" s="404" t="s">
        <v>1392</v>
      </c>
      <c r="AT742" s="330"/>
      <c r="AU742" s="409">
        <f t="shared" si="82"/>
        <v>0.52</v>
      </c>
    </row>
    <row r="743" spans="1:47" s="402" customFormat="1">
      <c r="A743" s="426"/>
      <c r="B743" s="376"/>
      <c r="C743" s="426"/>
      <c r="D743" s="443" t="s">
        <v>86</v>
      </c>
      <c r="E743" s="331"/>
      <c r="F743" s="432"/>
      <c r="G743" s="350">
        <v>2022</v>
      </c>
      <c r="H743" s="350" t="s">
        <v>2978</v>
      </c>
      <c r="I743" s="432" t="s">
        <v>1498</v>
      </c>
      <c r="J743" s="433"/>
      <c r="K743" s="432" t="s">
        <v>3142</v>
      </c>
      <c r="L743" s="432" t="s">
        <v>1608</v>
      </c>
      <c r="M743" s="433">
        <v>44651</v>
      </c>
      <c r="N743" s="433">
        <v>44835</v>
      </c>
      <c r="O743" s="433"/>
      <c r="P743" s="332"/>
      <c r="Q743" s="433"/>
      <c r="R743" s="433"/>
      <c r="S743" s="432" t="s">
        <v>1510</v>
      </c>
      <c r="T743" s="432">
        <v>60</v>
      </c>
      <c r="U743" s="432"/>
      <c r="V743" s="441" t="s">
        <v>986</v>
      </c>
      <c r="W743" s="432">
        <v>360</v>
      </c>
      <c r="X743" s="333">
        <v>3328</v>
      </c>
      <c r="Y743" s="367">
        <f t="shared" si="78"/>
        <v>1198080</v>
      </c>
      <c r="Z743" s="409">
        <f>190.8/360</f>
        <v>0.53</v>
      </c>
      <c r="AA743" s="410">
        <f t="shared" si="81"/>
        <v>634982.40000000002</v>
      </c>
      <c r="AB743" s="411"/>
      <c r="AC743" s="412">
        <f t="shared" si="84"/>
        <v>0</v>
      </c>
      <c r="AD743" s="405"/>
      <c r="AE743" s="405"/>
      <c r="AF743" s="424">
        <f t="shared" si="80"/>
        <v>634982.40000000002</v>
      </c>
      <c r="AG743" s="405" t="s">
        <v>1069</v>
      </c>
      <c r="AH743" s="405"/>
      <c r="AI743" s="405">
        <v>60</v>
      </c>
      <c r="AJ743" s="406" t="s">
        <v>1616</v>
      </c>
      <c r="AK743" s="406" t="s">
        <v>50</v>
      </c>
      <c r="AL743" s="414" t="s">
        <v>1617</v>
      </c>
      <c r="AM743" s="405" t="s">
        <v>52</v>
      </c>
      <c r="AN743" s="361"/>
      <c r="AO743" s="405" t="s">
        <v>1073</v>
      </c>
      <c r="AP743" s="405"/>
      <c r="AQ743" s="413" t="s">
        <v>37</v>
      </c>
      <c r="AR743" s="405" t="s">
        <v>1188</v>
      </c>
      <c r="AS743" s="404" t="s">
        <v>1392</v>
      </c>
      <c r="AT743" s="330"/>
      <c r="AU743" s="409">
        <f>180/360</f>
        <v>0.5</v>
      </c>
    </row>
    <row r="744" spans="1:47" s="402" customFormat="1">
      <c r="A744" s="426"/>
      <c r="B744" s="376"/>
      <c r="C744" s="426"/>
      <c r="D744" s="443" t="s">
        <v>86</v>
      </c>
      <c r="E744" s="331"/>
      <c r="F744" s="432"/>
      <c r="G744" s="350">
        <v>2022</v>
      </c>
      <c r="H744" s="350" t="s">
        <v>2978</v>
      </c>
      <c r="I744" s="432" t="s">
        <v>1498</v>
      </c>
      <c r="J744" s="433"/>
      <c r="K744" s="432" t="s">
        <v>3142</v>
      </c>
      <c r="L744" s="432" t="s">
        <v>1608</v>
      </c>
      <c r="M744" s="433">
        <v>44651</v>
      </c>
      <c r="N744" s="433">
        <v>44866</v>
      </c>
      <c r="O744" s="433"/>
      <c r="P744" s="332"/>
      <c r="Q744" s="433"/>
      <c r="R744" s="433"/>
      <c r="S744" s="432" t="s">
        <v>1510</v>
      </c>
      <c r="T744" s="432">
        <v>60</v>
      </c>
      <c r="U744" s="432"/>
      <c r="V744" s="441" t="s">
        <v>986</v>
      </c>
      <c r="W744" s="432">
        <v>360</v>
      </c>
      <c r="X744" s="333">
        <v>3328</v>
      </c>
      <c r="Y744" s="367">
        <f t="shared" si="78"/>
        <v>1198080</v>
      </c>
      <c r="Z744" s="409">
        <f>190.8/360</f>
        <v>0.53</v>
      </c>
      <c r="AA744" s="410">
        <f t="shared" si="81"/>
        <v>634982.40000000002</v>
      </c>
      <c r="AB744" s="411"/>
      <c r="AC744" s="412">
        <f t="shared" si="84"/>
        <v>0</v>
      </c>
      <c r="AD744" s="405"/>
      <c r="AE744" s="405"/>
      <c r="AF744" s="424">
        <f t="shared" si="80"/>
        <v>634982.40000000002</v>
      </c>
      <c r="AG744" s="405" t="s">
        <v>1069</v>
      </c>
      <c r="AH744" s="405"/>
      <c r="AI744" s="405">
        <v>60</v>
      </c>
      <c r="AJ744" s="406" t="s">
        <v>1616</v>
      </c>
      <c r="AK744" s="406" t="s">
        <v>50</v>
      </c>
      <c r="AL744" s="414" t="s">
        <v>1617</v>
      </c>
      <c r="AM744" s="405" t="s">
        <v>52</v>
      </c>
      <c r="AN744" s="361"/>
      <c r="AO744" s="405" t="s">
        <v>1073</v>
      </c>
      <c r="AP744" s="405"/>
      <c r="AQ744" s="413" t="s">
        <v>37</v>
      </c>
      <c r="AR744" s="405" t="s">
        <v>1188</v>
      </c>
      <c r="AS744" s="404" t="s">
        <v>1392</v>
      </c>
      <c r="AT744" s="330"/>
      <c r="AU744" s="409">
        <f>180/360</f>
        <v>0.5</v>
      </c>
    </row>
    <row r="745" spans="1:47" s="402" customFormat="1">
      <c r="A745" s="426"/>
      <c r="B745" s="376"/>
      <c r="C745" s="426"/>
      <c r="D745" s="443" t="s">
        <v>86</v>
      </c>
      <c r="E745" s="331"/>
      <c r="F745" s="432"/>
      <c r="G745" s="350">
        <v>2022</v>
      </c>
      <c r="H745" s="350" t="s">
        <v>2978</v>
      </c>
      <c r="I745" s="432" t="s">
        <v>1498</v>
      </c>
      <c r="J745" s="433"/>
      <c r="K745" s="432" t="s">
        <v>3142</v>
      </c>
      <c r="L745" s="432" t="s">
        <v>1608</v>
      </c>
      <c r="M745" s="433">
        <v>44651</v>
      </c>
      <c r="N745" s="433">
        <v>44896</v>
      </c>
      <c r="O745" s="433"/>
      <c r="P745" s="332"/>
      <c r="Q745" s="433"/>
      <c r="R745" s="433"/>
      <c r="S745" s="432" t="s">
        <v>1510</v>
      </c>
      <c r="T745" s="432">
        <v>60</v>
      </c>
      <c r="U745" s="432"/>
      <c r="V745" s="441" t="s">
        <v>986</v>
      </c>
      <c r="W745" s="432">
        <v>360</v>
      </c>
      <c r="X745" s="333">
        <v>3328</v>
      </c>
      <c r="Y745" s="367">
        <f t="shared" si="78"/>
        <v>1198080</v>
      </c>
      <c r="Z745" s="409">
        <f>190.8/360</f>
        <v>0.53</v>
      </c>
      <c r="AA745" s="410">
        <f t="shared" si="81"/>
        <v>634982.40000000002</v>
      </c>
      <c r="AB745" s="411"/>
      <c r="AC745" s="412">
        <f t="shared" si="84"/>
        <v>0</v>
      </c>
      <c r="AD745" s="405"/>
      <c r="AE745" s="405"/>
      <c r="AF745" s="424">
        <f t="shared" si="80"/>
        <v>634982.40000000002</v>
      </c>
      <c r="AG745" s="405" t="s">
        <v>1069</v>
      </c>
      <c r="AH745" s="405"/>
      <c r="AI745" s="405">
        <v>60</v>
      </c>
      <c r="AJ745" s="406" t="s">
        <v>1616</v>
      </c>
      <c r="AK745" s="406" t="s">
        <v>50</v>
      </c>
      <c r="AL745" s="414" t="s">
        <v>1617</v>
      </c>
      <c r="AM745" s="405" t="s">
        <v>52</v>
      </c>
      <c r="AN745" s="361"/>
      <c r="AO745" s="405" t="s">
        <v>1073</v>
      </c>
      <c r="AP745" s="405"/>
      <c r="AQ745" s="413" t="s">
        <v>37</v>
      </c>
      <c r="AR745" s="405" t="s">
        <v>1188</v>
      </c>
      <c r="AS745" s="404" t="s">
        <v>1392</v>
      </c>
      <c r="AT745" s="330"/>
      <c r="AU745" s="409">
        <f>180/360</f>
        <v>0.5</v>
      </c>
    </row>
    <row r="746" spans="1:47" s="402" customFormat="1">
      <c r="A746" s="426"/>
      <c r="B746" s="376">
        <v>44657</v>
      </c>
      <c r="C746" s="426"/>
      <c r="D746" s="443" t="s">
        <v>86</v>
      </c>
      <c r="E746" s="331"/>
      <c r="F746" s="432"/>
      <c r="G746" s="350">
        <v>2022</v>
      </c>
      <c r="H746" s="350" t="s">
        <v>2383</v>
      </c>
      <c r="I746" s="432" t="s">
        <v>1498</v>
      </c>
      <c r="J746" s="433"/>
      <c r="K746" s="432" t="s">
        <v>3143</v>
      </c>
      <c r="L746" s="432" t="s">
        <v>1646</v>
      </c>
      <c r="M746" s="433">
        <v>44655</v>
      </c>
      <c r="N746" s="433">
        <v>44746</v>
      </c>
      <c r="O746" s="433"/>
      <c r="P746" s="332"/>
      <c r="Q746" s="433"/>
      <c r="R746" s="433"/>
      <c r="S746" s="432" t="s">
        <v>1510</v>
      </c>
      <c r="T746" s="432">
        <v>60</v>
      </c>
      <c r="U746" s="432"/>
      <c r="V746" s="441" t="s">
        <v>973</v>
      </c>
      <c r="W746" s="432">
        <v>400</v>
      </c>
      <c r="X746" s="333">
        <v>9984</v>
      </c>
      <c r="Y746" s="367">
        <f t="shared" si="78"/>
        <v>3993600</v>
      </c>
      <c r="Z746" s="409">
        <f t="shared" ref="Z746:Z752" si="85">220/400</f>
        <v>0.55000000000000004</v>
      </c>
      <c r="AA746" s="410">
        <f t="shared" si="81"/>
        <v>2196480</v>
      </c>
      <c r="AB746" s="411"/>
      <c r="AC746" s="412">
        <v>0</v>
      </c>
      <c r="AD746" s="405"/>
      <c r="AE746" s="405"/>
      <c r="AF746" s="424">
        <f t="shared" si="80"/>
        <v>2196480</v>
      </c>
      <c r="AG746" s="405" t="s">
        <v>1069</v>
      </c>
      <c r="AH746" s="405"/>
      <c r="AI746" s="405">
        <v>60</v>
      </c>
      <c r="AJ746" s="406" t="s">
        <v>1647</v>
      </c>
      <c r="AK746" s="406" t="s">
        <v>50</v>
      </c>
      <c r="AL746" s="414" t="s">
        <v>1648</v>
      </c>
      <c r="AM746" s="405" t="s">
        <v>52</v>
      </c>
      <c r="AN746" s="361" t="s">
        <v>50</v>
      </c>
      <c r="AO746" s="405" t="s">
        <v>1073</v>
      </c>
      <c r="AP746" s="405" t="s">
        <v>38</v>
      </c>
      <c r="AQ746" s="413" t="s">
        <v>37</v>
      </c>
      <c r="AR746" s="405" t="s">
        <v>1188</v>
      </c>
      <c r="AS746" s="404"/>
      <c r="AT746" s="330"/>
      <c r="AU746" s="409">
        <f t="shared" ref="AU746:AU751" si="86">196/400</f>
        <v>0.49</v>
      </c>
    </row>
    <row r="747" spans="1:47" s="402" customFormat="1">
      <c r="A747" s="426"/>
      <c r="B747" s="376">
        <v>44657</v>
      </c>
      <c r="C747" s="426"/>
      <c r="D747" s="443" t="s">
        <v>86</v>
      </c>
      <c r="E747" s="331"/>
      <c r="F747" s="432"/>
      <c r="G747" s="350">
        <v>2022</v>
      </c>
      <c r="H747" s="350" t="s">
        <v>2383</v>
      </c>
      <c r="I747" s="432" t="s">
        <v>1498</v>
      </c>
      <c r="J747" s="433"/>
      <c r="K747" s="432" t="s">
        <v>3144</v>
      </c>
      <c r="L747" s="432" t="s">
        <v>1646</v>
      </c>
      <c r="M747" s="433">
        <v>44655</v>
      </c>
      <c r="N747" s="433">
        <v>44774</v>
      </c>
      <c r="O747" s="433"/>
      <c r="P747" s="332"/>
      <c r="Q747" s="433"/>
      <c r="R747" s="433"/>
      <c r="S747" s="432" t="s">
        <v>1510</v>
      </c>
      <c r="T747" s="432">
        <v>60</v>
      </c>
      <c r="U747" s="432"/>
      <c r="V747" s="441" t="s">
        <v>973</v>
      </c>
      <c r="W747" s="432">
        <v>400</v>
      </c>
      <c r="X747" s="333">
        <v>9984</v>
      </c>
      <c r="Y747" s="367">
        <f t="shared" si="78"/>
        <v>3993600</v>
      </c>
      <c r="Z747" s="409">
        <f t="shared" si="85"/>
        <v>0.55000000000000004</v>
      </c>
      <c r="AA747" s="410">
        <f t="shared" si="81"/>
        <v>2196480</v>
      </c>
      <c r="AB747" s="411"/>
      <c r="AC747" s="412">
        <v>0</v>
      </c>
      <c r="AD747" s="405"/>
      <c r="AE747" s="405"/>
      <c r="AF747" s="424">
        <f t="shared" si="80"/>
        <v>2196480</v>
      </c>
      <c r="AG747" s="405" t="s">
        <v>1069</v>
      </c>
      <c r="AH747" s="405"/>
      <c r="AI747" s="405">
        <v>60</v>
      </c>
      <c r="AJ747" s="406" t="s">
        <v>1647</v>
      </c>
      <c r="AK747" s="406" t="s">
        <v>50</v>
      </c>
      <c r="AL747" s="414" t="s">
        <v>1648</v>
      </c>
      <c r="AM747" s="405" t="s">
        <v>52</v>
      </c>
      <c r="AN747" s="361" t="s">
        <v>50</v>
      </c>
      <c r="AO747" s="405" t="s">
        <v>1073</v>
      </c>
      <c r="AP747" s="405" t="s">
        <v>38</v>
      </c>
      <c r="AQ747" s="413" t="s">
        <v>37</v>
      </c>
      <c r="AR747" s="405" t="s">
        <v>1188</v>
      </c>
      <c r="AS747" s="404"/>
      <c r="AT747" s="330"/>
      <c r="AU747" s="409">
        <f t="shared" si="86"/>
        <v>0.49</v>
      </c>
    </row>
    <row r="748" spans="1:47" s="402" customFormat="1">
      <c r="A748" s="426"/>
      <c r="B748" s="376">
        <v>44657</v>
      </c>
      <c r="C748" s="426"/>
      <c r="D748" s="443" t="s">
        <v>86</v>
      </c>
      <c r="E748" s="331"/>
      <c r="F748" s="432"/>
      <c r="G748" s="350">
        <v>2022</v>
      </c>
      <c r="H748" s="350" t="s">
        <v>2383</v>
      </c>
      <c r="I748" s="432" t="s">
        <v>1498</v>
      </c>
      <c r="J748" s="433"/>
      <c r="K748" s="432" t="s">
        <v>3145</v>
      </c>
      <c r="L748" s="432" t="s">
        <v>1646</v>
      </c>
      <c r="M748" s="433">
        <v>44655</v>
      </c>
      <c r="N748" s="433">
        <v>44805</v>
      </c>
      <c r="O748" s="433"/>
      <c r="P748" s="332"/>
      <c r="Q748" s="433"/>
      <c r="R748" s="433"/>
      <c r="S748" s="432" t="s">
        <v>1510</v>
      </c>
      <c r="T748" s="432">
        <v>60</v>
      </c>
      <c r="U748" s="432"/>
      <c r="V748" s="441" t="s">
        <v>973</v>
      </c>
      <c r="W748" s="432">
        <v>400</v>
      </c>
      <c r="X748" s="333">
        <v>9984</v>
      </c>
      <c r="Y748" s="367">
        <f t="shared" si="78"/>
        <v>3993600</v>
      </c>
      <c r="Z748" s="409">
        <f t="shared" si="85"/>
        <v>0.55000000000000004</v>
      </c>
      <c r="AA748" s="410">
        <f t="shared" si="81"/>
        <v>2196480</v>
      </c>
      <c r="AB748" s="411"/>
      <c r="AC748" s="412">
        <v>0</v>
      </c>
      <c r="AD748" s="405"/>
      <c r="AE748" s="405"/>
      <c r="AF748" s="424">
        <f t="shared" si="80"/>
        <v>2196480</v>
      </c>
      <c r="AG748" s="405" t="s">
        <v>1069</v>
      </c>
      <c r="AH748" s="405"/>
      <c r="AI748" s="405">
        <v>60</v>
      </c>
      <c r="AJ748" s="406" t="s">
        <v>1647</v>
      </c>
      <c r="AK748" s="406" t="s">
        <v>50</v>
      </c>
      <c r="AL748" s="414" t="s">
        <v>1648</v>
      </c>
      <c r="AM748" s="405" t="s">
        <v>52</v>
      </c>
      <c r="AN748" s="361" t="s">
        <v>50</v>
      </c>
      <c r="AO748" s="405" t="s">
        <v>1073</v>
      </c>
      <c r="AP748" s="405" t="s">
        <v>38</v>
      </c>
      <c r="AQ748" s="413" t="s">
        <v>37</v>
      </c>
      <c r="AR748" s="405" t="s">
        <v>1188</v>
      </c>
      <c r="AS748" s="404"/>
      <c r="AT748" s="330"/>
      <c r="AU748" s="409">
        <f t="shared" si="86"/>
        <v>0.49</v>
      </c>
    </row>
    <row r="749" spans="1:47" s="402" customFormat="1">
      <c r="A749" s="426"/>
      <c r="B749" s="376">
        <v>44657</v>
      </c>
      <c r="C749" s="426"/>
      <c r="D749" s="443" t="s">
        <v>86</v>
      </c>
      <c r="E749" s="331"/>
      <c r="F749" s="432"/>
      <c r="G749" s="350">
        <v>2022</v>
      </c>
      <c r="H749" s="350" t="s">
        <v>2383</v>
      </c>
      <c r="I749" s="432" t="s">
        <v>1498</v>
      </c>
      <c r="J749" s="433"/>
      <c r="K749" s="432" t="s">
        <v>3146</v>
      </c>
      <c r="L749" s="432" t="s">
        <v>1646</v>
      </c>
      <c r="M749" s="433">
        <v>44655</v>
      </c>
      <c r="N749" s="433">
        <v>44837</v>
      </c>
      <c r="O749" s="433"/>
      <c r="P749" s="332"/>
      <c r="Q749" s="433"/>
      <c r="R749" s="433"/>
      <c r="S749" s="432" t="s">
        <v>1510</v>
      </c>
      <c r="T749" s="432">
        <v>60</v>
      </c>
      <c r="U749" s="432"/>
      <c r="V749" s="441" t="s">
        <v>973</v>
      </c>
      <c r="W749" s="432">
        <v>400</v>
      </c>
      <c r="X749" s="333">
        <v>9984</v>
      </c>
      <c r="Y749" s="367">
        <f t="shared" si="78"/>
        <v>3993600</v>
      </c>
      <c r="Z749" s="409">
        <f t="shared" si="85"/>
        <v>0.55000000000000004</v>
      </c>
      <c r="AA749" s="410">
        <f t="shared" si="81"/>
        <v>2196480</v>
      </c>
      <c r="AB749" s="411"/>
      <c r="AC749" s="412">
        <v>0</v>
      </c>
      <c r="AD749" s="405"/>
      <c r="AE749" s="405"/>
      <c r="AF749" s="424">
        <f t="shared" si="80"/>
        <v>2196480</v>
      </c>
      <c r="AG749" s="405" t="s">
        <v>1069</v>
      </c>
      <c r="AH749" s="405"/>
      <c r="AI749" s="405">
        <v>60</v>
      </c>
      <c r="AJ749" s="406" t="s">
        <v>1647</v>
      </c>
      <c r="AK749" s="406" t="s">
        <v>50</v>
      </c>
      <c r="AL749" s="414" t="s">
        <v>1648</v>
      </c>
      <c r="AM749" s="405" t="s">
        <v>52</v>
      </c>
      <c r="AN749" s="361" t="s">
        <v>50</v>
      </c>
      <c r="AO749" s="405" t="s">
        <v>1073</v>
      </c>
      <c r="AP749" s="405" t="s">
        <v>38</v>
      </c>
      <c r="AQ749" s="413" t="s">
        <v>37</v>
      </c>
      <c r="AR749" s="405" t="s">
        <v>1188</v>
      </c>
      <c r="AS749" s="404"/>
      <c r="AT749" s="330"/>
      <c r="AU749" s="409">
        <f t="shared" si="86"/>
        <v>0.49</v>
      </c>
    </row>
    <row r="750" spans="1:47" s="402" customFormat="1">
      <c r="A750" s="426"/>
      <c r="B750" s="376">
        <v>44657</v>
      </c>
      <c r="C750" s="426"/>
      <c r="D750" s="443" t="s">
        <v>86</v>
      </c>
      <c r="E750" s="331"/>
      <c r="F750" s="432"/>
      <c r="G750" s="350">
        <v>2022</v>
      </c>
      <c r="H750" s="350" t="s">
        <v>2383</v>
      </c>
      <c r="I750" s="432" t="s">
        <v>1498</v>
      </c>
      <c r="J750" s="433"/>
      <c r="K750" s="432" t="s">
        <v>3147</v>
      </c>
      <c r="L750" s="432" t="s">
        <v>1646</v>
      </c>
      <c r="M750" s="433">
        <v>44655</v>
      </c>
      <c r="N750" s="433">
        <v>44866</v>
      </c>
      <c r="O750" s="433"/>
      <c r="P750" s="332"/>
      <c r="Q750" s="433"/>
      <c r="R750" s="433"/>
      <c r="S750" s="432" t="s">
        <v>1510</v>
      </c>
      <c r="T750" s="432">
        <v>60</v>
      </c>
      <c r="U750" s="432"/>
      <c r="V750" s="441" t="s">
        <v>973</v>
      </c>
      <c r="W750" s="432">
        <v>400</v>
      </c>
      <c r="X750" s="333">
        <v>9984</v>
      </c>
      <c r="Y750" s="367">
        <f t="shared" si="78"/>
        <v>3993600</v>
      </c>
      <c r="Z750" s="409">
        <f t="shared" si="85"/>
        <v>0.55000000000000004</v>
      </c>
      <c r="AA750" s="410">
        <f t="shared" si="81"/>
        <v>2196480</v>
      </c>
      <c r="AB750" s="411"/>
      <c r="AC750" s="412">
        <v>0</v>
      </c>
      <c r="AD750" s="405"/>
      <c r="AE750" s="405"/>
      <c r="AF750" s="424">
        <f t="shared" si="80"/>
        <v>2196480</v>
      </c>
      <c r="AG750" s="405" t="s">
        <v>1069</v>
      </c>
      <c r="AH750" s="405"/>
      <c r="AI750" s="405">
        <v>60</v>
      </c>
      <c r="AJ750" s="406" t="s">
        <v>1647</v>
      </c>
      <c r="AK750" s="406" t="s">
        <v>50</v>
      </c>
      <c r="AL750" s="414" t="s">
        <v>1648</v>
      </c>
      <c r="AM750" s="405" t="s">
        <v>52</v>
      </c>
      <c r="AN750" s="361" t="s">
        <v>50</v>
      </c>
      <c r="AO750" s="405" t="s">
        <v>1073</v>
      </c>
      <c r="AP750" s="405" t="s">
        <v>38</v>
      </c>
      <c r="AQ750" s="413" t="s">
        <v>37</v>
      </c>
      <c r="AR750" s="405" t="s">
        <v>1188</v>
      </c>
      <c r="AS750" s="404"/>
      <c r="AT750" s="330"/>
      <c r="AU750" s="409">
        <f t="shared" si="86"/>
        <v>0.49</v>
      </c>
    </row>
    <row r="751" spans="1:47" s="402" customFormat="1">
      <c r="A751" s="426"/>
      <c r="B751" s="376">
        <v>44657</v>
      </c>
      <c r="C751" s="426"/>
      <c r="D751" s="443" t="s">
        <v>86</v>
      </c>
      <c r="E751" s="331"/>
      <c r="F751" s="432"/>
      <c r="G751" s="350">
        <v>2022</v>
      </c>
      <c r="H751" s="350" t="s">
        <v>2383</v>
      </c>
      <c r="I751" s="432" t="s">
        <v>1498</v>
      </c>
      <c r="J751" s="433"/>
      <c r="K751" s="432" t="s">
        <v>3148</v>
      </c>
      <c r="L751" s="432" t="s">
        <v>1646</v>
      </c>
      <c r="M751" s="433">
        <v>44655</v>
      </c>
      <c r="N751" s="433">
        <v>44896</v>
      </c>
      <c r="O751" s="433"/>
      <c r="P751" s="332"/>
      <c r="Q751" s="433"/>
      <c r="R751" s="433"/>
      <c r="S751" s="432" t="s">
        <v>1510</v>
      </c>
      <c r="T751" s="432">
        <v>60</v>
      </c>
      <c r="U751" s="432"/>
      <c r="V751" s="441" t="s">
        <v>973</v>
      </c>
      <c r="W751" s="432">
        <v>400</v>
      </c>
      <c r="X751" s="333">
        <v>9984</v>
      </c>
      <c r="Y751" s="367">
        <f t="shared" si="78"/>
        <v>3993600</v>
      </c>
      <c r="Z751" s="409">
        <f t="shared" si="85"/>
        <v>0.55000000000000004</v>
      </c>
      <c r="AA751" s="410">
        <f t="shared" si="81"/>
        <v>2196480</v>
      </c>
      <c r="AB751" s="411"/>
      <c r="AC751" s="412">
        <v>0</v>
      </c>
      <c r="AD751" s="405"/>
      <c r="AE751" s="405"/>
      <c r="AF751" s="424">
        <f t="shared" si="80"/>
        <v>2196480</v>
      </c>
      <c r="AG751" s="405" t="s">
        <v>1069</v>
      </c>
      <c r="AH751" s="405"/>
      <c r="AI751" s="405">
        <v>60</v>
      </c>
      <c r="AJ751" s="406" t="s">
        <v>1647</v>
      </c>
      <c r="AK751" s="406" t="s">
        <v>50</v>
      </c>
      <c r="AL751" s="414" t="s">
        <v>1648</v>
      </c>
      <c r="AM751" s="405" t="s">
        <v>52</v>
      </c>
      <c r="AN751" s="361" t="s">
        <v>50</v>
      </c>
      <c r="AO751" s="405" t="s">
        <v>1073</v>
      </c>
      <c r="AP751" s="405" t="s">
        <v>38</v>
      </c>
      <c r="AQ751" s="413" t="s">
        <v>37</v>
      </c>
      <c r="AR751" s="405" t="s">
        <v>1188</v>
      </c>
      <c r="AS751" s="404"/>
      <c r="AT751" s="330"/>
      <c r="AU751" s="409">
        <f t="shared" si="86"/>
        <v>0.49</v>
      </c>
    </row>
    <row r="752" spans="1:47" s="402" customFormat="1">
      <c r="A752" s="426"/>
      <c r="B752" s="376"/>
      <c r="C752" s="426"/>
      <c r="D752" s="443" t="s">
        <v>86</v>
      </c>
      <c r="E752" s="331"/>
      <c r="F752" s="432"/>
      <c r="G752" s="350">
        <v>2022</v>
      </c>
      <c r="H752" s="350" t="s">
        <v>2383</v>
      </c>
      <c r="I752" s="432" t="s">
        <v>1498</v>
      </c>
      <c r="J752" s="433"/>
      <c r="K752" s="432" t="s">
        <v>3149</v>
      </c>
      <c r="L752" s="432" t="s">
        <v>1737</v>
      </c>
      <c r="M752" s="433">
        <v>44658</v>
      </c>
      <c r="N752" s="433">
        <v>44844</v>
      </c>
      <c r="O752" s="433"/>
      <c r="P752" s="332"/>
      <c r="Q752" s="433"/>
      <c r="R752" s="433"/>
      <c r="S752" s="432" t="s">
        <v>88</v>
      </c>
      <c r="T752" s="432">
        <v>60</v>
      </c>
      <c r="U752" s="432"/>
      <c r="V752" s="441" t="s">
        <v>973</v>
      </c>
      <c r="W752" s="432">
        <v>400</v>
      </c>
      <c r="X752" s="333">
        <v>832</v>
      </c>
      <c r="Y752" s="367">
        <f t="shared" si="78"/>
        <v>332800</v>
      </c>
      <c r="Z752" s="409">
        <f t="shared" si="85"/>
        <v>0.55000000000000004</v>
      </c>
      <c r="AA752" s="410">
        <f t="shared" si="81"/>
        <v>183040.00000000003</v>
      </c>
      <c r="AB752" s="411"/>
      <c r="AC752" s="412">
        <f t="shared" ref="AC752:AC759" si="87">AB752*Y752</f>
        <v>0</v>
      </c>
      <c r="AD752" s="405"/>
      <c r="AE752" s="405"/>
      <c r="AF752" s="424">
        <f t="shared" si="80"/>
        <v>183040.00000000003</v>
      </c>
      <c r="AG752" s="405" t="s">
        <v>1069</v>
      </c>
      <c r="AH752" s="405"/>
      <c r="AI752" s="405">
        <v>60</v>
      </c>
      <c r="AJ752" s="406" t="s">
        <v>1762</v>
      </c>
      <c r="AK752" s="406" t="s">
        <v>50</v>
      </c>
      <c r="AL752" s="414" t="s">
        <v>1739</v>
      </c>
      <c r="AM752" s="405" t="s">
        <v>52</v>
      </c>
      <c r="AN752" s="361" t="s">
        <v>1071</v>
      </c>
      <c r="AO752" s="405" t="s">
        <v>1073</v>
      </c>
      <c r="AP752" s="405"/>
      <c r="AQ752" s="413" t="s">
        <v>37</v>
      </c>
      <c r="AR752" s="405" t="s">
        <v>1188</v>
      </c>
      <c r="AS752" s="404" t="s">
        <v>1392</v>
      </c>
      <c r="AT752" s="330"/>
      <c r="AU752" s="409">
        <f>208/400</f>
        <v>0.52</v>
      </c>
    </row>
    <row r="753" spans="1:47" s="402" customFormat="1">
      <c r="A753" s="426"/>
      <c r="B753" s="376"/>
      <c r="C753" s="426"/>
      <c r="D753" s="443" t="s">
        <v>86</v>
      </c>
      <c r="E753" s="331"/>
      <c r="F753" s="432"/>
      <c r="G753" s="350">
        <v>2022</v>
      </c>
      <c r="H753" s="350" t="s">
        <v>2383</v>
      </c>
      <c r="I753" s="432" t="s">
        <v>1498</v>
      </c>
      <c r="J753" s="433"/>
      <c r="K753" s="432" t="s">
        <v>3149</v>
      </c>
      <c r="L753" s="432" t="s">
        <v>1737</v>
      </c>
      <c r="M753" s="433">
        <v>44658</v>
      </c>
      <c r="N753" s="433">
        <v>44844</v>
      </c>
      <c r="O753" s="433"/>
      <c r="P753" s="332"/>
      <c r="Q753" s="433"/>
      <c r="R753" s="433"/>
      <c r="S753" s="432" t="s">
        <v>88</v>
      </c>
      <c r="T753" s="432">
        <v>60</v>
      </c>
      <c r="U753" s="432"/>
      <c r="V753" s="441" t="s">
        <v>986</v>
      </c>
      <c r="W753" s="432">
        <v>360</v>
      </c>
      <c r="X753" s="333">
        <v>448</v>
      </c>
      <c r="Y753" s="367">
        <f t="shared" si="78"/>
        <v>161280</v>
      </c>
      <c r="Z753" s="409">
        <f>190.8/360</f>
        <v>0.53</v>
      </c>
      <c r="AA753" s="410">
        <f t="shared" si="81"/>
        <v>85478.400000000009</v>
      </c>
      <c r="AB753" s="411"/>
      <c r="AC753" s="412">
        <f t="shared" si="87"/>
        <v>0</v>
      </c>
      <c r="AD753" s="405"/>
      <c r="AE753" s="405"/>
      <c r="AF753" s="424">
        <f t="shared" si="80"/>
        <v>85478.400000000009</v>
      </c>
      <c r="AG753" s="405" t="s">
        <v>1069</v>
      </c>
      <c r="AH753" s="405"/>
      <c r="AI753" s="405">
        <v>60</v>
      </c>
      <c r="AJ753" s="406" t="s">
        <v>1762</v>
      </c>
      <c r="AK753" s="406" t="s">
        <v>50</v>
      </c>
      <c r="AL753" s="414" t="s">
        <v>1739</v>
      </c>
      <c r="AM753" s="405" t="s">
        <v>52</v>
      </c>
      <c r="AN753" s="361" t="s">
        <v>1071</v>
      </c>
      <c r="AO753" s="405" t="s">
        <v>1073</v>
      </c>
      <c r="AP753" s="405"/>
      <c r="AQ753" s="413" t="s">
        <v>37</v>
      </c>
      <c r="AR753" s="405" t="s">
        <v>1188</v>
      </c>
      <c r="AS753" s="404" t="s">
        <v>1392</v>
      </c>
      <c r="AT753" s="330"/>
      <c r="AU753" s="409">
        <f>208/400</f>
        <v>0.52</v>
      </c>
    </row>
    <row r="754" spans="1:47" s="402" customFormat="1">
      <c r="A754" s="426"/>
      <c r="B754" s="376"/>
      <c r="C754" s="426"/>
      <c r="D754" s="443" t="s">
        <v>86</v>
      </c>
      <c r="E754" s="331"/>
      <c r="F754" s="432"/>
      <c r="G754" s="350">
        <v>2022</v>
      </c>
      <c r="H754" s="350" t="s">
        <v>2383</v>
      </c>
      <c r="I754" s="432" t="s">
        <v>1498</v>
      </c>
      <c r="J754" s="433"/>
      <c r="K754" s="432" t="s">
        <v>3149</v>
      </c>
      <c r="L754" s="432" t="s">
        <v>1737</v>
      </c>
      <c r="M754" s="433">
        <v>44658</v>
      </c>
      <c r="N754" s="433">
        <v>44844</v>
      </c>
      <c r="O754" s="433"/>
      <c r="P754" s="332"/>
      <c r="Q754" s="433"/>
      <c r="R754" s="433"/>
      <c r="S754" s="432" t="s">
        <v>88</v>
      </c>
      <c r="T754" s="432">
        <v>60</v>
      </c>
      <c r="U754" s="432"/>
      <c r="V754" s="441" t="s">
        <v>1192</v>
      </c>
      <c r="W754" s="432">
        <v>360</v>
      </c>
      <c r="X754" s="333">
        <v>448</v>
      </c>
      <c r="Y754" s="367">
        <f t="shared" si="78"/>
        <v>161280</v>
      </c>
      <c r="Z754" s="409">
        <f>298.8/360</f>
        <v>0.83000000000000007</v>
      </c>
      <c r="AA754" s="410">
        <f t="shared" si="81"/>
        <v>133862.40000000002</v>
      </c>
      <c r="AB754" s="411"/>
      <c r="AC754" s="412">
        <f t="shared" si="87"/>
        <v>0</v>
      </c>
      <c r="AD754" s="405"/>
      <c r="AE754" s="405"/>
      <c r="AF754" s="424">
        <f t="shared" si="80"/>
        <v>133862.40000000002</v>
      </c>
      <c r="AG754" s="405" t="s">
        <v>1069</v>
      </c>
      <c r="AH754" s="405"/>
      <c r="AI754" s="405">
        <v>60</v>
      </c>
      <c r="AJ754" s="406" t="s">
        <v>1762</v>
      </c>
      <c r="AK754" s="406" t="s">
        <v>50</v>
      </c>
      <c r="AL754" s="414" t="s">
        <v>1739</v>
      </c>
      <c r="AM754" s="405" t="s">
        <v>52</v>
      </c>
      <c r="AN754" s="361" t="s">
        <v>1071</v>
      </c>
      <c r="AO754" s="405" t="s">
        <v>1073</v>
      </c>
      <c r="AP754" s="405"/>
      <c r="AQ754" s="413" t="s">
        <v>37</v>
      </c>
      <c r="AR754" s="405" t="s">
        <v>1188</v>
      </c>
      <c r="AS754" s="404" t="s">
        <v>1392</v>
      </c>
      <c r="AT754" s="330"/>
      <c r="AU754" s="409">
        <f>208/400</f>
        <v>0.52</v>
      </c>
    </row>
    <row r="755" spans="1:47" s="402" customFormat="1">
      <c r="A755" s="426"/>
      <c r="B755" s="376"/>
      <c r="C755" s="426"/>
      <c r="D755" s="443" t="s">
        <v>86</v>
      </c>
      <c r="E755" s="331"/>
      <c r="F755" s="432"/>
      <c r="G755" s="350">
        <v>2022</v>
      </c>
      <c r="H755" s="350" t="s">
        <v>2383</v>
      </c>
      <c r="I755" s="432" t="s">
        <v>1498</v>
      </c>
      <c r="J755" s="433"/>
      <c r="K755" s="432" t="s">
        <v>4562</v>
      </c>
      <c r="L755" s="432" t="s">
        <v>1737</v>
      </c>
      <c r="M755" s="433">
        <v>44684</v>
      </c>
      <c r="N755" s="433">
        <v>44743</v>
      </c>
      <c r="O755" s="433"/>
      <c r="P755" s="332"/>
      <c r="Q755" s="433"/>
      <c r="R755" s="433"/>
      <c r="S755" s="432" t="s">
        <v>88</v>
      </c>
      <c r="T755" s="432">
        <v>60</v>
      </c>
      <c r="U755" s="432"/>
      <c r="V755" s="441" t="s">
        <v>1192</v>
      </c>
      <c r="W755" s="432">
        <v>360</v>
      </c>
      <c r="X755" s="333">
        <v>728</v>
      </c>
      <c r="Y755" s="367">
        <f t="shared" si="78"/>
        <v>262080</v>
      </c>
      <c r="Z755" s="409">
        <f>324/360</f>
        <v>0.9</v>
      </c>
      <c r="AA755" s="410">
        <f t="shared" si="81"/>
        <v>235872</v>
      </c>
      <c r="AB755" s="411"/>
      <c r="AC755" s="412">
        <f t="shared" si="87"/>
        <v>0</v>
      </c>
      <c r="AD755" s="405"/>
      <c r="AE755" s="405"/>
      <c r="AF755" s="424">
        <f t="shared" si="80"/>
        <v>235872</v>
      </c>
      <c r="AG755" s="405" t="s">
        <v>1069</v>
      </c>
      <c r="AH755" s="405"/>
      <c r="AI755" s="405">
        <v>60</v>
      </c>
      <c r="AJ755" s="406" t="s">
        <v>1762</v>
      </c>
      <c r="AK755" s="406" t="s">
        <v>50</v>
      </c>
      <c r="AL755" s="414" t="s">
        <v>1739</v>
      </c>
      <c r="AM755" s="405" t="s">
        <v>52</v>
      </c>
      <c r="AN755" s="361" t="s">
        <v>1071</v>
      </c>
      <c r="AO755" s="405" t="s">
        <v>1073</v>
      </c>
      <c r="AP755" s="405"/>
      <c r="AQ755" s="413" t="s">
        <v>37</v>
      </c>
      <c r="AR755" s="405" t="s">
        <v>1188</v>
      </c>
      <c r="AS755" s="404" t="s">
        <v>1392</v>
      </c>
      <c r="AT755" s="330"/>
      <c r="AU755" s="409">
        <f>208/400</f>
        <v>0.52</v>
      </c>
    </row>
    <row r="756" spans="1:47" s="402" customFormat="1">
      <c r="A756" s="426"/>
      <c r="B756" s="376"/>
      <c r="C756" s="426"/>
      <c r="D756" s="443" t="s">
        <v>86</v>
      </c>
      <c r="E756" s="331"/>
      <c r="F756" s="432"/>
      <c r="G756" s="350">
        <v>2022</v>
      </c>
      <c r="H756" s="350" t="s">
        <v>2978</v>
      </c>
      <c r="I756" s="432" t="s">
        <v>1498</v>
      </c>
      <c r="J756" s="433"/>
      <c r="K756" s="432">
        <v>2037688</v>
      </c>
      <c r="L756" s="432" t="s">
        <v>3150</v>
      </c>
      <c r="M756" s="433">
        <v>44645</v>
      </c>
      <c r="N756" s="433">
        <v>44718</v>
      </c>
      <c r="O756" s="433"/>
      <c r="P756" s="332"/>
      <c r="Q756" s="433"/>
      <c r="R756" s="433"/>
      <c r="S756" s="432" t="s">
        <v>1510</v>
      </c>
      <c r="T756" s="432">
        <v>60</v>
      </c>
      <c r="U756" s="432"/>
      <c r="V756" s="441" t="s">
        <v>1192</v>
      </c>
      <c r="W756" s="432">
        <v>360</v>
      </c>
      <c r="X756" s="333">
        <v>650</v>
      </c>
      <c r="Y756" s="367">
        <f t="shared" si="78"/>
        <v>234000</v>
      </c>
      <c r="Z756" s="409">
        <f>298.8/360</f>
        <v>0.83000000000000007</v>
      </c>
      <c r="AA756" s="410">
        <f t="shared" si="81"/>
        <v>194220.00000000003</v>
      </c>
      <c r="AB756" s="411"/>
      <c r="AC756" s="412">
        <f t="shared" si="87"/>
        <v>0</v>
      </c>
      <c r="AD756" s="405"/>
      <c r="AE756" s="405"/>
      <c r="AF756" s="424">
        <f t="shared" si="80"/>
        <v>194220.00000000003</v>
      </c>
      <c r="AG756" s="405" t="s">
        <v>1069</v>
      </c>
      <c r="AH756" s="405"/>
      <c r="AI756" s="405">
        <v>60</v>
      </c>
      <c r="AJ756" s="406" t="s">
        <v>1601</v>
      </c>
      <c r="AK756" s="406" t="s">
        <v>50</v>
      </c>
      <c r="AL756" s="414" t="s">
        <v>1857</v>
      </c>
      <c r="AM756" s="405" t="s">
        <v>52</v>
      </c>
      <c r="AN756" s="361"/>
      <c r="AO756" s="405" t="s">
        <v>1073</v>
      </c>
      <c r="AP756" s="405"/>
      <c r="AQ756" s="413" t="s">
        <v>37</v>
      </c>
      <c r="AR756" s="405" t="s">
        <v>1188</v>
      </c>
      <c r="AS756" s="404" t="s">
        <v>1392</v>
      </c>
      <c r="AT756" s="330"/>
      <c r="AU756" s="409">
        <f>180/360</f>
        <v>0.5</v>
      </c>
    </row>
    <row r="757" spans="1:47" s="402" customFormat="1">
      <c r="A757" s="426"/>
      <c r="B757" s="376"/>
      <c r="C757" s="426"/>
      <c r="D757" s="443" t="s">
        <v>86</v>
      </c>
      <c r="E757" s="331"/>
      <c r="F757" s="432"/>
      <c r="G757" s="350">
        <v>2022</v>
      </c>
      <c r="H757" s="350" t="s">
        <v>2383</v>
      </c>
      <c r="I757" s="432" t="s">
        <v>1498</v>
      </c>
      <c r="J757" s="433"/>
      <c r="K757" s="432" t="s">
        <v>3151</v>
      </c>
      <c r="L757" s="432" t="s">
        <v>1737</v>
      </c>
      <c r="M757" s="433">
        <v>44658</v>
      </c>
      <c r="N757" s="433">
        <v>44872</v>
      </c>
      <c r="O757" s="433"/>
      <c r="P757" s="332"/>
      <c r="Q757" s="433"/>
      <c r="R757" s="433"/>
      <c r="S757" s="432" t="s">
        <v>88</v>
      </c>
      <c r="T757" s="432">
        <v>60</v>
      </c>
      <c r="U757" s="432"/>
      <c r="V757" s="441" t="s">
        <v>973</v>
      </c>
      <c r="W757" s="432">
        <v>400</v>
      </c>
      <c r="X757" s="333">
        <v>832</v>
      </c>
      <c r="Y757" s="367">
        <f t="shared" si="78"/>
        <v>332800</v>
      </c>
      <c r="Z757" s="409">
        <f>220/400</f>
        <v>0.55000000000000004</v>
      </c>
      <c r="AA757" s="410">
        <f t="shared" si="81"/>
        <v>183040.00000000003</v>
      </c>
      <c r="AB757" s="411"/>
      <c r="AC757" s="412">
        <f t="shared" si="87"/>
        <v>0</v>
      </c>
      <c r="AD757" s="405"/>
      <c r="AE757" s="405"/>
      <c r="AF757" s="424">
        <f t="shared" si="80"/>
        <v>183040.00000000003</v>
      </c>
      <c r="AG757" s="405" t="s">
        <v>1069</v>
      </c>
      <c r="AH757" s="405"/>
      <c r="AI757" s="405">
        <v>60</v>
      </c>
      <c r="AJ757" s="406" t="s">
        <v>1762</v>
      </c>
      <c r="AK757" s="406" t="s">
        <v>50</v>
      </c>
      <c r="AL757" s="414" t="s">
        <v>1739</v>
      </c>
      <c r="AM757" s="405" t="s">
        <v>52</v>
      </c>
      <c r="AN757" s="361" t="s">
        <v>1071</v>
      </c>
      <c r="AO757" s="405" t="s">
        <v>1073</v>
      </c>
      <c r="AP757" s="405"/>
      <c r="AQ757" s="413" t="s">
        <v>37</v>
      </c>
      <c r="AR757" s="405" t="s">
        <v>1188</v>
      </c>
      <c r="AS757" s="404" t="s">
        <v>1392</v>
      </c>
      <c r="AT757" s="330"/>
      <c r="AU757" s="409">
        <f>208/400</f>
        <v>0.52</v>
      </c>
    </row>
    <row r="758" spans="1:47" s="402" customFormat="1">
      <c r="A758" s="426"/>
      <c r="B758" s="376"/>
      <c r="C758" s="426"/>
      <c r="D758" s="443" t="s">
        <v>86</v>
      </c>
      <c r="E758" s="331"/>
      <c r="F758" s="432"/>
      <c r="G758" s="350">
        <v>2022</v>
      </c>
      <c r="H758" s="350" t="s">
        <v>2383</v>
      </c>
      <c r="I758" s="432" t="s">
        <v>1498</v>
      </c>
      <c r="J758" s="433"/>
      <c r="K758" s="432" t="s">
        <v>3151</v>
      </c>
      <c r="L758" s="432" t="s">
        <v>1737</v>
      </c>
      <c r="M758" s="433">
        <v>44658</v>
      </c>
      <c r="N758" s="433">
        <v>44872</v>
      </c>
      <c r="O758" s="433"/>
      <c r="P758" s="332"/>
      <c r="Q758" s="433"/>
      <c r="R758" s="433"/>
      <c r="S758" s="432" t="s">
        <v>88</v>
      </c>
      <c r="T758" s="432">
        <v>60</v>
      </c>
      <c r="U758" s="432"/>
      <c r="V758" s="441" t="s">
        <v>986</v>
      </c>
      <c r="W758" s="432">
        <v>360</v>
      </c>
      <c r="X758" s="333">
        <v>832</v>
      </c>
      <c r="Y758" s="367">
        <f t="shared" si="78"/>
        <v>299520</v>
      </c>
      <c r="Z758" s="409">
        <f>190.8/360</f>
        <v>0.53</v>
      </c>
      <c r="AA758" s="410">
        <f t="shared" si="81"/>
        <v>158745.60000000001</v>
      </c>
      <c r="AB758" s="411"/>
      <c r="AC758" s="412">
        <f t="shared" si="87"/>
        <v>0</v>
      </c>
      <c r="AD758" s="405"/>
      <c r="AE758" s="405"/>
      <c r="AF758" s="424">
        <f t="shared" si="80"/>
        <v>158745.60000000001</v>
      </c>
      <c r="AG758" s="405" t="s">
        <v>1069</v>
      </c>
      <c r="AH758" s="405"/>
      <c r="AI758" s="405">
        <v>60</v>
      </c>
      <c r="AJ758" s="406" t="s">
        <v>1762</v>
      </c>
      <c r="AK758" s="406" t="s">
        <v>50</v>
      </c>
      <c r="AL758" s="414" t="s">
        <v>1739</v>
      </c>
      <c r="AM758" s="405" t="s">
        <v>52</v>
      </c>
      <c r="AN758" s="361" t="s">
        <v>1071</v>
      </c>
      <c r="AO758" s="405" t="s">
        <v>1073</v>
      </c>
      <c r="AP758" s="405"/>
      <c r="AQ758" s="413" t="s">
        <v>37</v>
      </c>
      <c r="AR758" s="405" t="s">
        <v>1188</v>
      </c>
      <c r="AS758" s="404" t="s">
        <v>1392</v>
      </c>
      <c r="AT758" s="330"/>
      <c r="AU758" s="409">
        <f>208/400</f>
        <v>0.52</v>
      </c>
    </row>
    <row r="759" spans="1:47" s="402" customFormat="1">
      <c r="A759" s="426"/>
      <c r="B759" s="376"/>
      <c r="C759" s="426"/>
      <c r="D759" s="443" t="s">
        <v>86</v>
      </c>
      <c r="E759" s="331"/>
      <c r="F759" s="432"/>
      <c r="G759" s="350">
        <v>2022</v>
      </c>
      <c r="H759" s="350" t="s">
        <v>2383</v>
      </c>
      <c r="I759" s="432" t="s">
        <v>1498</v>
      </c>
      <c r="J759" s="433"/>
      <c r="K759" s="432">
        <v>7632</v>
      </c>
      <c r="L759" s="432" t="s">
        <v>3152</v>
      </c>
      <c r="M759" s="433">
        <v>44656</v>
      </c>
      <c r="N759" s="433">
        <v>44658</v>
      </c>
      <c r="O759" s="433"/>
      <c r="P759" s="332"/>
      <c r="Q759" s="433"/>
      <c r="R759" s="433"/>
      <c r="S759" s="432" t="s">
        <v>88</v>
      </c>
      <c r="T759" s="432">
        <v>60</v>
      </c>
      <c r="U759" s="432"/>
      <c r="V759" s="441" t="s">
        <v>973</v>
      </c>
      <c r="W759" s="432">
        <v>400</v>
      </c>
      <c r="X759" s="333">
        <v>768</v>
      </c>
      <c r="Y759" s="367">
        <f t="shared" si="78"/>
        <v>307200</v>
      </c>
      <c r="Z759" s="409">
        <f>236/400</f>
        <v>0.59</v>
      </c>
      <c r="AA759" s="410">
        <f t="shared" si="81"/>
        <v>181248</v>
      </c>
      <c r="AB759" s="411"/>
      <c r="AC759" s="412">
        <f t="shared" si="87"/>
        <v>0</v>
      </c>
      <c r="AD759" s="405"/>
      <c r="AE759" s="405"/>
      <c r="AF759" s="424">
        <f t="shared" si="80"/>
        <v>181248</v>
      </c>
      <c r="AG759" s="405" t="s">
        <v>1069</v>
      </c>
      <c r="AH759" s="405"/>
      <c r="AI759" s="405">
        <v>30</v>
      </c>
      <c r="AJ759" s="406" t="s">
        <v>4051</v>
      </c>
      <c r="AK759" s="406" t="s">
        <v>1501</v>
      </c>
      <c r="AL759" s="414" t="s">
        <v>4915</v>
      </c>
      <c r="AM759" s="405" t="s">
        <v>52</v>
      </c>
      <c r="AN759" s="361" t="s">
        <v>1071</v>
      </c>
      <c r="AO759" s="405" t="s">
        <v>1073</v>
      </c>
      <c r="AP759" s="405"/>
      <c r="AQ759" s="413" t="s">
        <v>37</v>
      </c>
      <c r="AR759" s="405" t="s">
        <v>1188</v>
      </c>
      <c r="AS759" s="404" t="s">
        <v>1392</v>
      </c>
      <c r="AT759" s="330"/>
      <c r="AU759" s="409">
        <f>208/400</f>
        <v>0.52</v>
      </c>
    </row>
    <row r="760" spans="1:47" s="402" customFormat="1">
      <c r="A760" s="426"/>
      <c r="B760" s="376"/>
      <c r="C760" s="426"/>
      <c r="D760" s="443" t="s">
        <v>86</v>
      </c>
      <c r="E760" s="331"/>
      <c r="F760" s="432"/>
      <c r="G760" s="350">
        <v>2022</v>
      </c>
      <c r="H760" s="350" t="s">
        <v>2978</v>
      </c>
      <c r="I760" s="432" t="s">
        <v>1498</v>
      </c>
      <c r="J760" s="433"/>
      <c r="K760" s="432" t="s">
        <v>3153</v>
      </c>
      <c r="L760" s="432" t="s">
        <v>1642</v>
      </c>
      <c r="M760" s="433">
        <v>44656</v>
      </c>
      <c r="N760" s="433">
        <v>44747</v>
      </c>
      <c r="O760" s="433"/>
      <c r="P760" s="332"/>
      <c r="Q760" s="433"/>
      <c r="R760" s="433"/>
      <c r="S760" s="432" t="s">
        <v>1520</v>
      </c>
      <c r="T760" s="432">
        <v>60</v>
      </c>
      <c r="U760" s="432"/>
      <c r="V760" s="441" t="s">
        <v>973</v>
      </c>
      <c r="W760" s="432">
        <v>400</v>
      </c>
      <c r="X760" s="333">
        <v>768</v>
      </c>
      <c r="Y760" s="367">
        <f t="shared" ref="Y760:Y767" si="88">X760*W760</f>
        <v>307200</v>
      </c>
      <c r="Z760" s="409">
        <f t="shared" ref="Z760:Z767" si="89">220/400</f>
        <v>0.55000000000000004</v>
      </c>
      <c r="AA760" s="410">
        <f t="shared" si="81"/>
        <v>168960</v>
      </c>
      <c r="AB760" s="411"/>
      <c r="AC760" s="412"/>
      <c r="AD760" s="405"/>
      <c r="AE760" s="405"/>
      <c r="AF760" s="424">
        <f t="shared" si="80"/>
        <v>168960</v>
      </c>
      <c r="AG760" s="405" t="s">
        <v>1069</v>
      </c>
      <c r="AH760" s="405"/>
      <c r="AI760" s="405">
        <v>60</v>
      </c>
      <c r="AJ760" s="406" t="s">
        <v>1643</v>
      </c>
      <c r="AK760" s="406" t="s">
        <v>1341</v>
      </c>
      <c r="AL760" s="414">
        <v>83202</v>
      </c>
      <c r="AM760" s="405" t="s">
        <v>52</v>
      </c>
      <c r="AN760" s="361" t="s">
        <v>1071</v>
      </c>
      <c r="AO760" s="405" t="s">
        <v>1073</v>
      </c>
      <c r="AP760" s="405"/>
      <c r="AQ760" s="413" t="s">
        <v>37</v>
      </c>
      <c r="AR760" s="405" t="s">
        <v>1243</v>
      </c>
      <c r="AS760" s="404"/>
      <c r="AT760" s="330"/>
      <c r="AU760" s="409">
        <f t="shared" ref="AU760:AU767" si="90">196/400</f>
        <v>0.49</v>
      </c>
    </row>
    <row r="761" spans="1:47" s="402" customFormat="1">
      <c r="A761" s="426"/>
      <c r="B761" s="376"/>
      <c r="C761" s="426"/>
      <c r="D761" s="443" t="s">
        <v>86</v>
      </c>
      <c r="E761" s="331"/>
      <c r="F761" s="432"/>
      <c r="G761" s="350">
        <v>2022</v>
      </c>
      <c r="H761" s="350" t="s">
        <v>2978</v>
      </c>
      <c r="I761" s="432" t="s">
        <v>1498</v>
      </c>
      <c r="J761" s="433"/>
      <c r="K761" s="432" t="s">
        <v>3154</v>
      </c>
      <c r="L761" s="432" t="s">
        <v>1642</v>
      </c>
      <c r="M761" s="433">
        <v>44656</v>
      </c>
      <c r="N761" s="433">
        <v>44756</v>
      </c>
      <c r="O761" s="433"/>
      <c r="P761" s="332"/>
      <c r="Q761" s="433"/>
      <c r="R761" s="433"/>
      <c r="S761" s="432" t="s">
        <v>1520</v>
      </c>
      <c r="T761" s="432">
        <v>60</v>
      </c>
      <c r="U761" s="432"/>
      <c r="V761" s="441" t="s">
        <v>973</v>
      </c>
      <c r="W761" s="432">
        <v>400</v>
      </c>
      <c r="X761" s="333">
        <v>768</v>
      </c>
      <c r="Y761" s="367">
        <f t="shared" si="88"/>
        <v>307200</v>
      </c>
      <c r="Z761" s="409">
        <f t="shared" si="89"/>
        <v>0.55000000000000004</v>
      </c>
      <c r="AA761" s="410">
        <f t="shared" si="81"/>
        <v>168960</v>
      </c>
      <c r="AB761" s="411"/>
      <c r="AC761" s="412"/>
      <c r="AD761" s="405"/>
      <c r="AE761" s="405"/>
      <c r="AF761" s="424">
        <f t="shared" si="80"/>
        <v>168960</v>
      </c>
      <c r="AG761" s="405" t="s">
        <v>1069</v>
      </c>
      <c r="AH761" s="405"/>
      <c r="AI761" s="405">
        <v>60</v>
      </c>
      <c r="AJ761" s="406" t="s">
        <v>1643</v>
      </c>
      <c r="AK761" s="406" t="s">
        <v>1341</v>
      </c>
      <c r="AL761" s="414">
        <v>83202</v>
      </c>
      <c r="AM761" s="405" t="s">
        <v>52</v>
      </c>
      <c r="AN761" s="361" t="s">
        <v>1071</v>
      </c>
      <c r="AO761" s="405" t="s">
        <v>1073</v>
      </c>
      <c r="AP761" s="405"/>
      <c r="AQ761" s="413" t="s">
        <v>37</v>
      </c>
      <c r="AR761" s="405" t="s">
        <v>1243</v>
      </c>
      <c r="AS761" s="404"/>
      <c r="AT761" s="330"/>
      <c r="AU761" s="409">
        <f t="shared" si="90"/>
        <v>0.49</v>
      </c>
    </row>
    <row r="762" spans="1:47" s="402" customFormat="1">
      <c r="A762" s="426"/>
      <c r="B762" s="376"/>
      <c r="C762" s="426"/>
      <c r="D762" s="443" t="s">
        <v>86</v>
      </c>
      <c r="E762" s="331"/>
      <c r="F762" s="432"/>
      <c r="G762" s="350">
        <v>2022</v>
      </c>
      <c r="H762" s="350" t="s">
        <v>2978</v>
      </c>
      <c r="I762" s="432" t="s">
        <v>1498</v>
      </c>
      <c r="J762" s="433"/>
      <c r="K762" s="432" t="s">
        <v>3155</v>
      </c>
      <c r="L762" s="432" t="s">
        <v>1642</v>
      </c>
      <c r="M762" s="433">
        <v>44656</v>
      </c>
      <c r="N762" s="433">
        <v>44769</v>
      </c>
      <c r="O762" s="433"/>
      <c r="P762" s="332"/>
      <c r="Q762" s="433"/>
      <c r="R762" s="433"/>
      <c r="S762" s="432" t="s">
        <v>1520</v>
      </c>
      <c r="T762" s="432">
        <v>60</v>
      </c>
      <c r="U762" s="432"/>
      <c r="V762" s="441" t="s">
        <v>973</v>
      </c>
      <c r="W762" s="432">
        <v>400</v>
      </c>
      <c r="X762" s="333">
        <v>768</v>
      </c>
      <c r="Y762" s="367">
        <f t="shared" si="88"/>
        <v>307200</v>
      </c>
      <c r="Z762" s="409">
        <f t="shared" si="89"/>
        <v>0.55000000000000004</v>
      </c>
      <c r="AA762" s="410">
        <f t="shared" si="81"/>
        <v>168960</v>
      </c>
      <c r="AB762" s="411"/>
      <c r="AC762" s="412"/>
      <c r="AD762" s="405"/>
      <c r="AE762" s="405"/>
      <c r="AF762" s="424">
        <f t="shared" si="80"/>
        <v>168960</v>
      </c>
      <c r="AG762" s="405" t="s">
        <v>1069</v>
      </c>
      <c r="AH762" s="405"/>
      <c r="AI762" s="405">
        <v>60</v>
      </c>
      <c r="AJ762" s="406" t="s">
        <v>1643</v>
      </c>
      <c r="AK762" s="406" t="s">
        <v>1341</v>
      </c>
      <c r="AL762" s="414">
        <v>83202</v>
      </c>
      <c r="AM762" s="405" t="s">
        <v>52</v>
      </c>
      <c r="AN762" s="361" t="s">
        <v>1071</v>
      </c>
      <c r="AO762" s="405" t="s">
        <v>1073</v>
      </c>
      <c r="AP762" s="405"/>
      <c r="AQ762" s="413" t="s">
        <v>37</v>
      </c>
      <c r="AR762" s="405" t="s">
        <v>1243</v>
      </c>
      <c r="AS762" s="404"/>
      <c r="AT762" s="330"/>
      <c r="AU762" s="409">
        <f t="shared" si="90"/>
        <v>0.49</v>
      </c>
    </row>
    <row r="763" spans="1:47" s="402" customFormat="1">
      <c r="A763" s="426"/>
      <c r="B763" s="376"/>
      <c r="C763" s="426"/>
      <c r="D763" s="443" t="s">
        <v>86</v>
      </c>
      <c r="E763" s="331"/>
      <c r="F763" s="432"/>
      <c r="G763" s="350">
        <v>2022</v>
      </c>
      <c r="H763" s="350" t="s">
        <v>2978</v>
      </c>
      <c r="I763" s="432" t="s">
        <v>1498</v>
      </c>
      <c r="J763" s="433"/>
      <c r="K763" s="432" t="s">
        <v>3156</v>
      </c>
      <c r="L763" s="432" t="s">
        <v>1642</v>
      </c>
      <c r="M763" s="433">
        <v>44656</v>
      </c>
      <c r="N763" s="433">
        <v>44778</v>
      </c>
      <c r="O763" s="433"/>
      <c r="P763" s="332"/>
      <c r="Q763" s="433"/>
      <c r="R763" s="433"/>
      <c r="S763" s="432" t="s">
        <v>1520</v>
      </c>
      <c r="T763" s="432">
        <v>60</v>
      </c>
      <c r="U763" s="432"/>
      <c r="V763" s="441" t="s">
        <v>973</v>
      </c>
      <c r="W763" s="432">
        <v>400</v>
      </c>
      <c r="X763" s="333">
        <v>768</v>
      </c>
      <c r="Y763" s="367">
        <f t="shared" si="88"/>
        <v>307200</v>
      </c>
      <c r="Z763" s="409">
        <f t="shared" si="89"/>
        <v>0.55000000000000004</v>
      </c>
      <c r="AA763" s="410">
        <f t="shared" si="81"/>
        <v>168960</v>
      </c>
      <c r="AB763" s="411"/>
      <c r="AC763" s="412"/>
      <c r="AD763" s="405"/>
      <c r="AE763" s="405"/>
      <c r="AF763" s="424">
        <f t="shared" si="80"/>
        <v>168960</v>
      </c>
      <c r="AG763" s="405" t="s">
        <v>1069</v>
      </c>
      <c r="AH763" s="405"/>
      <c r="AI763" s="405">
        <v>60</v>
      </c>
      <c r="AJ763" s="406" t="s">
        <v>1643</v>
      </c>
      <c r="AK763" s="406" t="s">
        <v>1341</v>
      </c>
      <c r="AL763" s="414">
        <v>83202</v>
      </c>
      <c r="AM763" s="405" t="s">
        <v>52</v>
      </c>
      <c r="AN763" s="361" t="s">
        <v>1071</v>
      </c>
      <c r="AO763" s="405" t="s">
        <v>1073</v>
      </c>
      <c r="AP763" s="405"/>
      <c r="AQ763" s="413" t="s">
        <v>37</v>
      </c>
      <c r="AR763" s="405" t="s">
        <v>1243</v>
      </c>
      <c r="AS763" s="404"/>
      <c r="AT763" s="330"/>
      <c r="AU763" s="409">
        <f t="shared" si="90"/>
        <v>0.49</v>
      </c>
    </row>
    <row r="764" spans="1:47" s="402" customFormat="1">
      <c r="A764" s="426"/>
      <c r="B764" s="376"/>
      <c r="C764" s="426"/>
      <c r="D764" s="443" t="s">
        <v>86</v>
      </c>
      <c r="E764" s="331"/>
      <c r="F764" s="432"/>
      <c r="G764" s="350">
        <v>2022</v>
      </c>
      <c r="H764" s="350" t="s">
        <v>2978</v>
      </c>
      <c r="I764" s="432" t="s">
        <v>1498</v>
      </c>
      <c r="J764" s="433"/>
      <c r="K764" s="432" t="s">
        <v>3157</v>
      </c>
      <c r="L764" s="432" t="s">
        <v>1642</v>
      </c>
      <c r="M764" s="433">
        <v>44656</v>
      </c>
      <c r="N764" s="433">
        <v>44792</v>
      </c>
      <c r="O764" s="433"/>
      <c r="P764" s="332"/>
      <c r="Q764" s="433"/>
      <c r="R764" s="433"/>
      <c r="S764" s="432" t="s">
        <v>1520</v>
      </c>
      <c r="T764" s="432">
        <v>60</v>
      </c>
      <c r="U764" s="432"/>
      <c r="V764" s="441" t="s">
        <v>973</v>
      </c>
      <c r="W764" s="432">
        <v>400</v>
      </c>
      <c r="X764" s="333">
        <v>768</v>
      </c>
      <c r="Y764" s="367">
        <f t="shared" si="88"/>
        <v>307200</v>
      </c>
      <c r="Z764" s="409">
        <f t="shared" si="89"/>
        <v>0.55000000000000004</v>
      </c>
      <c r="AA764" s="410">
        <f t="shared" si="81"/>
        <v>168960</v>
      </c>
      <c r="AB764" s="411"/>
      <c r="AC764" s="412"/>
      <c r="AD764" s="405"/>
      <c r="AE764" s="405"/>
      <c r="AF764" s="424">
        <f t="shared" ref="AF764:AF827" si="91">AE764+AD764+AA764</f>
        <v>168960</v>
      </c>
      <c r="AG764" s="405" t="s">
        <v>1069</v>
      </c>
      <c r="AH764" s="405"/>
      <c r="AI764" s="405">
        <v>60</v>
      </c>
      <c r="AJ764" s="406" t="s">
        <v>1643</v>
      </c>
      <c r="AK764" s="406" t="s">
        <v>1341</v>
      </c>
      <c r="AL764" s="414">
        <v>83202</v>
      </c>
      <c r="AM764" s="405" t="s">
        <v>52</v>
      </c>
      <c r="AN764" s="361" t="s">
        <v>1071</v>
      </c>
      <c r="AO764" s="405" t="s">
        <v>1073</v>
      </c>
      <c r="AP764" s="405"/>
      <c r="AQ764" s="413" t="s">
        <v>37</v>
      </c>
      <c r="AR764" s="405" t="s">
        <v>1243</v>
      </c>
      <c r="AS764" s="404"/>
      <c r="AT764" s="330"/>
      <c r="AU764" s="409">
        <f t="shared" si="90"/>
        <v>0.49</v>
      </c>
    </row>
    <row r="765" spans="1:47" s="402" customFormat="1">
      <c r="A765" s="426"/>
      <c r="B765" s="376"/>
      <c r="C765" s="426"/>
      <c r="D765" s="443" t="s">
        <v>86</v>
      </c>
      <c r="E765" s="331"/>
      <c r="F765" s="432"/>
      <c r="G765" s="350">
        <v>2022</v>
      </c>
      <c r="H765" s="350" t="s">
        <v>2978</v>
      </c>
      <c r="I765" s="432" t="s">
        <v>1498</v>
      </c>
      <c r="J765" s="433"/>
      <c r="K765" s="432" t="s">
        <v>3158</v>
      </c>
      <c r="L765" s="432" t="s">
        <v>1642</v>
      </c>
      <c r="M765" s="433">
        <v>44656</v>
      </c>
      <c r="N765" s="433">
        <v>44805</v>
      </c>
      <c r="O765" s="433"/>
      <c r="P765" s="332"/>
      <c r="Q765" s="433"/>
      <c r="R765" s="433"/>
      <c r="S765" s="432" t="s">
        <v>1520</v>
      </c>
      <c r="T765" s="432">
        <v>60</v>
      </c>
      <c r="U765" s="432"/>
      <c r="V765" s="441" t="s">
        <v>973</v>
      </c>
      <c r="W765" s="432">
        <v>400</v>
      </c>
      <c r="X765" s="333">
        <v>768</v>
      </c>
      <c r="Y765" s="367">
        <f t="shared" si="88"/>
        <v>307200</v>
      </c>
      <c r="Z765" s="409">
        <f t="shared" si="89"/>
        <v>0.55000000000000004</v>
      </c>
      <c r="AA765" s="410">
        <f t="shared" si="81"/>
        <v>168960</v>
      </c>
      <c r="AB765" s="411"/>
      <c r="AC765" s="412"/>
      <c r="AD765" s="405"/>
      <c r="AE765" s="405"/>
      <c r="AF765" s="424">
        <f t="shared" si="91"/>
        <v>168960</v>
      </c>
      <c r="AG765" s="405" t="s">
        <v>1069</v>
      </c>
      <c r="AH765" s="405"/>
      <c r="AI765" s="405">
        <v>60</v>
      </c>
      <c r="AJ765" s="406" t="s">
        <v>1643</v>
      </c>
      <c r="AK765" s="406" t="s">
        <v>1341</v>
      </c>
      <c r="AL765" s="414">
        <v>83202</v>
      </c>
      <c r="AM765" s="405" t="s">
        <v>52</v>
      </c>
      <c r="AN765" s="361" t="s">
        <v>1071</v>
      </c>
      <c r="AO765" s="405" t="s">
        <v>1073</v>
      </c>
      <c r="AP765" s="405"/>
      <c r="AQ765" s="413" t="s">
        <v>37</v>
      </c>
      <c r="AR765" s="405" t="s">
        <v>1243</v>
      </c>
      <c r="AS765" s="404"/>
      <c r="AT765" s="330"/>
      <c r="AU765" s="409">
        <f t="shared" si="90"/>
        <v>0.49</v>
      </c>
    </row>
    <row r="766" spans="1:47" s="402" customFormat="1">
      <c r="A766" s="426"/>
      <c r="B766" s="376"/>
      <c r="C766" s="426"/>
      <c r="D766" s="443" t="s">
        <v>86</v>
      </c>
      <c r="E766" s="331"/>
      <c r="F766" s="432"/>
      <c r="G766" s="350">
        <v>2022</v>
      </c>
      <c r="H766" s="350" t="s">
        <v>2978</v>
      </c>
      <c r="I766" s="432" t="s">
        <v>1498</v>
      </c>
      <c r="J766" s="433"/>
      <c r="K766" s="432" t="s">
        <v>3159</v>
      </c>
      <c r="L766" s="432" t="s">
        <v>1642</v>
      </c>
      <c r="M766" s="433">
        <v>44656</v>
      </c>
      <c r="N766" s="433">
        <v>44819</v>
      </c>
      <c r="O766" s="433"/>
      <c r="P766" s="332"/>
      <c r="Q766" s="433"/>
      <c r="R766" s="433"/>
      <c r="S766" s="432" t="s">
        <v>1520</v>
      </c>
      <c r="T766" s="432">
        <v>60</v>
      </c>
      <c r="U766" s="432"/>
      <c r="V766" s="441" t="s">
        <v>973</v>
      </c>
      <c r="W766" s="432">
        <v>400</v>
      </c>
      <c r="X766" s="333">
        <v>768</v>
      </c>
      <c r="Y766" s="367">
        <f t="shared" si="88"/>
        <v>307200</v>
      </c>
      <c r="Z766" s="409">
        <f t="shared" si="89"/>
        <v>0.55000000000000004</v>
      </c>
      <c r="AA766" s="410">
        <f t="shared" si="81"/>
        <v>168960</v>
      </c>
      <c r="AB766" s="411"/>
      <c r="AC766" s="412"/>
      <c r="AD766" s="405"/>
      <c r="AE766" s="405"/>
      <c r="AF766" s="424">
        <f t="shared" si="91"/>
        <v>168960</v>
      </c>
      <c r="AG766" s="405" t="s">
        <v>1069</v>
      </c>
      <c r="AH766" s="405"/>
      <c r="AI766" s="405">
        <v>60</v>
      </c>
      <c r="AJ766" s="406" t="s">
        <v>1643</v>
      </c>
      <c r="AK766" s="406" t="s">
        <v>1341</v>
      </c>
      <c r="AL766" s="414">
        <v>83202</v>
      </c>
      <c r="AM766" s="405" t="s">
        <v>52</v>
      </c>
      <c r="AN766" s="361" t="s">
        <v>1071</v>
      </c>
      <c r="AO766" s="405" t="s">
        <v>1073</v>
      </c>
      <c r="AP766" s="405"/>
      <c r="AQ766" s="413" t="s">
        <v>37</v>
      </c>
      <c r="AR766" s="405" t="s">
        <v>1243</v>
      </c>
      <c r="AS766" s="404"/>
      <c r="AT766" s="330"/>
      <c r="AU766" s="409">
        <f t="shared" si="90"/>
        <v>0.49</v>
      </c>
    </row>
    <row r="767" spans="1:47" s="402" customFormat="1">
      <c r="A767" s="426"/>
      <c r="B767" s="376"/>
      <c r="C767" s="426"/>
      <c r="D767" s="443" t="s">
        <v>86</v>
      </c>
      <c r="E767" s="331"/>
      <c r="F767" s="432"/>
      <c r="G767" s="350">
        <v>2022</v>
      </c>
      <c r="H767" s="350" t="s">
        <v>2978</v>
      </c>
      <c r="I767" s="432" t="s">
        <v>1498</v>
      </c>
      <c r="J767" s="433"/>
      <c r="K767" s="432" t="s">
        <v>3160</v>
      </c>
      <c r="L767" s="432" t="s">
        <v>1642</v>
      </c>
      <c r="M767" s="433">
        <v>44656</v>
      </c>
      <c r="N767" s="433">
        <v>44833</v>
      </c>
      <c r="O767" s="433"/>
      <c r="P767" s="332"/>
      <c r="Q767" s="433"/>
      <c r="R767" s="433"/>
      <c r="S767" s="432" t="s">
        <v>1520</v>
      </c>
      <c r="T767" s="432">
        <v>60</v>
      </c>
      <c r="U767" s="432"/>
      <c r="V767" s="441" t="s">
        <v>973</v>
      </c>
      <c r="W767" s="432">
        <v>400</v>
      </c>
      <c r="X767" s="333">
        <v>768</v>
      </c>
      <c r="Y767" s="367">
        <f t="shared" si="88"/>
        <v>307200</v>
      </c>
      <c r="Z767" s="409">
        <f t="shared" si="89"/>
        <v>0.55000000000000004</v>
      </c>
      <c r="AA767" s="410">
        <f t="shared" si="81"/>
        <v>168960</v>
      </c>
      <c r="AB767" s="411"/>
      <c r="AC767" s="412"/>
      <c r="AD767" s="405"/>
      <c r="AE767" s="405"/>
      <c r="AF767" s="424">
        <f t="shared" si="91"/>
        <v>168960</v>
      </c>
      <c r="AG767" s="405" t="s">
        <v>1069</v>
      </c>
      <c r="AH767" s="405"/>
      <c r="AI767" s="405">
        <v>60</v>
      </c>
      <c r="AJ767" s="406" t="s">
        <v>1643</v>
      </c>
      <c r="AK767" s="406" t="s">
        <v>1341</v>
      </c>
      <c r="AL767" s="414">
        <v>83202</v>
      </c>
      <c r="AM767" s="405" t="s">
        <v>52</v>
      </c>
      <c r="AN767" s="361" t="s">
        <v>1071</v>
      </c>
      <c r="AO767" s="405" t="s">
        <v>1073</v>
      </c>
      <c r="AP767" s="405"/>
      <c r="AQ767" s="413" t="s">
        <v>37</v>
      </c>
      <c r="AR767" s="405" t="s">
        <v>1243</v>
      </c>
      <c r="AS767" s="404"/>
      <c r="AT767" s="330"/>
      <c r="AU767" s="409">
        <f t="shared" si="90"/>
        <v>0.49</v>
      </c>
    </row>
    <row r="768" spans="1:47" s="402" customFormat="1">
      <c r="A768" s="426"/>
      <c r="B768" s="376"/>
      <c r="C768" s="426"/>
      <c r="D768" s="443" t="s">
        <v>86</v>
      </c>
      <c r="E768" s="331"/>
      <c r="F768" s="432"/>
      <c r="G768" s="350">
        <v>2022</v>
      </c>
      <c r="H768" s="350" t="s">
        <v>2978</v>
      </c>
      <c r="I768" s="432" t="s">
        <v>1498</v>
      </c>
      <c r="J768" s="433"/>
      <c r="K768" s="432" t="s">
        <v>3161</v>
      </c>
      <c r="L768" s="432" t="s">
        <v>1764</v>
      </c>
      <c r="M768" s="433">
        <v>44656</v>
      </c>
      <c r="N768" s="433">
        <v>44896</v>
      </c>
      <c r="O768" s="433"/>
      <c r="P768" s="332"/>
      <c r="Q768" s="433"/>
      <c r="R768" s="433"/>
      <c r="S768" s="432" t="s">
        <v>88</v>
      </c>
      <c r="T768" s="432">
        <v>60</v>
      </c>
      <c r="U768" s="432" t="s">
        <v>1102</v>
      </c>
      <c r="V768" s="441" t="s">
        <v>973</v>
      </c>
      <c r="W768" s="432">
        <v>400</v>
      </c>
      <c r="X768" s="333">
        <v>5376</v>
      </c>
      <c r="Y768" s="367">
        <f t="shared" ref="Y768:Y790" si="92">W768*X768</f>
        <v>2150400</v>
      </c>
      <c r="Z768" s="409">
        <f>222/400</f>
        <v>0.55500000000000005</v>
      </c>
      <c r="AA768" s="410">
        <f t="shared" si="81"/>
        <v>1193472</v>
      </c>
      <c r="AB768" s="411"/>
      <c r="AC768" s="412">
        <f t="shared" ref="AC768:AC790" si="93">AB768*Y768</f>
        <v>0</v>
      </c>
      <c r="AD768" s="405"/>
      <c r="AE768" s="405"/>
      <c r="AF768" s="424">
        <f t="shared" si="91"/>
        <v>1193472</v>
      </c>
      <c r="AG768" s="405" t="s">
        <v>1069</v>
      </c>
      <c r="AH768" s="405"/>
      <c r="AI768" s="405">
        <v>60</v>
      </c>
      <c r="AJ768" s="406" t="s">
        <v>1760</v>
      </c>
      <c r="AK768" s="406" t="s">
        <v>50</v>
      </c>
      <c r="AL768" s="414">
        <v>92056</v>
      </c>
      <c r="AM768" s="405" t="s">
        <v>52</v>
      </c>
      <c r="AN768" s="361"/>
      <c r="AO768" s="405" t="s">
        <v>1073</v>
      </c>
      <c r="AP768" s="405"/>
      <c r="AQ768" s="413" t="s">
        <v>37</v>
      </c>
      <c r="AR768" s="405" t="s">
        <v>1188</v>
      </c>
      <c r="AS768" s="404"/>
      <c r="AT768" s="330"/>
      <c r="AU768" s="409">
        <f>212/400</f>
        <v>0.53</v>
      </c>
    </row>
    <row r="769" spans="1:47" s="402" customFormat="1">
      <c r="A769" s="426"/>
      <c r="B769" s="376">
        <v>44676</v>
      </c>
      <c r="C769" s="426"/>
      <c r="D769" s="443" t="s">
        <v>86</v>
      </c>
      <c r="E769" s="331"/>
      <c r="F769" s="432"/>
      <c r="G769" s="350">
        <v>2022</v>
      </c>
      <c r="H769" s="350" t="s">
        <v>2978</v>
      </c>
      <c r="I769" s="432" t="s">
        <v>1498</v>
      </c>
      <c r="J769" s="433"/>
      <c r="K769" s="432" t="s">
        <v>4282</v>
      </c>
      <c r="L769" s="432" t="s">
        <v>1764</v>
      </c>
      <c r="M769" s="433">
        <v>44659</v>
      </c>
      <c r="N769" s="433">
        <v>44774</v>
      </c>
      <c r="O769" s="433"/>
      <c r="P769" s="332"/>
      <c r="Q769" s="433"/>
      <c r="R769" s="433"/>
      <c r="S769" s="432" t="s">
        <v>88</v>
      </c>
      <c r="T769" s="432">
        <v>60</v>
      </c>
      <c r="U769" s="432" t="s">
        <v>1102</v>
      </c>
      <c r="V769" s="441" t="s">
        <v>973</v>
      </c>
      <c r="W769" s="432">
        <v>400</v>
      </c>
      <c r="X769" s="333">
        <v>3840</v>
      </c>
      <c r="Y769" s="367">
        <f t="shared" si="92"/>
        <v>1536000</v>
      </c>
      <c r="Z769" s="409">
        <f>222/400</f>
        <v>0.55500000000000005</v>
      </c>
      <c r="AA769" s="410">
        <f t="shared" si="81"/>
        <v>852480.00000000012</v>
      </c>
      <c r="AB769" s="411"/>
      <c r="AC769" s="412">
        <f t="shared" si="93"/>
        <v>0</v>
      </c>
      <c r="AD769" s="405"/>
      <c r="AE769" s="405"/>
      <c r="AF769" s="424">
        <f t="shared" si="91"/>
        <v>852480.00000000012</v>
      </c>
      <c r="AG769" s="405" t="s">
        <v>1069</v>
      </c>
      <c r="AH769" s="405"/>
      <c r="AI769" s="405">
        <v>60</v>
      </c>
      <c r="AJ769" s="406" t="s">
        <v>1760</v>
      </c>
      <c r="AK769" s="406" t="s">
        <v>50</v>
      </c>
      <c r="AL769" s="414">
        <v>92056</v>
      </c>
      <c r="AM769" s="405" t="s">
        <v>52</v>
      </c>
      <c r="AN769" s="361"/>
      <c r="AO769" s="405" t="s">
        <v>1073</v>
      </c>
      <c r="AP769" s="405"/>
      <c r="AQ769" s="413" t="s">
        <v>37</v>
      </c>
      <c r="AR769" s="405" t="s">
        <v>1188</v>
      </c>
      <c r="AS769" s="404"/>
      <c r="AT769" s="330"/>
      <c r="AU769" s="409">
        <f>212/400</f>
        <v>0.53</v>
      </c>
    </row>
    <row r="770" spans="1:47" s="402" customFormat="1">
      <c r="A770" s="426"/>
      <c r="B770" s="376">
        <v>44676</v>
      </c>
      <c r="C770" s="426"/>
      <c r="D770" s="443" t="s">
        <v>86</v>
      </c>
      <c r="E770" s="331"/>
      <c r="F770" s="432"/>
      <c r="G770" s="350">
        <v>2022</v>
      </c>
      <c r="H770" s="350" t="s">
        <v>2978</v>
      </c>
      <c r="I770" s="432" t="s">
        <v>1498</v>
      </c>
      <c r="J770" s="433"/>
      <c r="K770" s="432" t="s">
        <v>4282</v>
      </c>
      <c r="L770" s="432" t="s">
        <v>1764</v>
      </c>
      <c r="M770" s="433">
        <v>44659</v>
      </c>
      <c r="N770" s="433">
        <v>44774</v>
      </c>
      <c r="O770" s="433"/>
      <c r="P770" s="332"/>
      <c r="Q770" s="433"/>
      <c r="R770" s="433"/>
      <c r="S770" s="432" t="s">
        <v>88</v>
      </c>
      <c r="T770" s="432">
        <v>60</v>
      </c>
      <c r="U770" s="432" t="s">
        <v>1102</v>
      </c>
      <c r="V770" s="441" t="s">
        <v>986</v>
      </c>
      <c r="W770" s="432">
        <v>360</v>
      </c>
      <c r="X770" s="333">
        <v>1536</v>
      </c>
      <c r="Y770" s="367">
        <f t="shared" si="92"/>
        <v>552960</v>
      </c>
      <c r="Z770" s="409">
        <f>192.6/360</f>
        <v>0.53500000000000003</v>
      </c>
      <c r="AA770" s="410">
        <f t="shared" si="81"/>
        <v>295833.60000000003</v>
      </c>
      <c r="AB770" s="411"/>
      <c r="AC770" s="412">
        <f t="shared" si="93"/>
        <v>0</v>
      </c>
      <c r="AD770" s="405"/>
      <c r="AE770" s="405"/>
      <c r="AF770" s="424">
        <f t="shared" si="91"/>
        <v>295833.60000000003</v>
      </c>
      <c r="AG770" s="405" t="s">
        <v>1069</v>
      </c>
      <c r="AH770" s="405"/>
      <c r="AI770" s="405">
        <v>60</v>
      </c>
      <c r="AJ770" s="406" t="s">
        <v>1760</v>
      </c>
      <c r="AK770" s="406" t="s">
        <v>50</v>
      </c>
      <c r="AL770" s="414">
        <v>92056</v>
      </c>
      <c r="AM770" s="405" t="s">
        <v>52</v>
      </c>
      <c r="AN770" s="361"/>
      <c r="AO770" s="405" t="s">
        <v>1073</v>
      </c>
      <c r="AP770" s="405"/>
      <c r="AQ770" s="413" t="s">
        <v>37</v>
      </c>
      <c r="AR770" s="405" t="s">
        <v>1188</v>
      </c>
      <c r="AS770" s="404"/>
      <c r="AT770" s="330"/>
      <c r="AU770" s="409">
        <f>212/400</f>
        <v>0.53</v>
      </c>
    </row>
    <row r="771" spans="1:47" s="402" customFormat="1">
      <c r="A771" s="426"/>
      <c r="B771" s="376"/>
      <c r="C771" s="426"/>
      <c r="D771" s="443" t="s">
        <v>86</v>
      </c>
      <c r="E771" s="331"/>
      <c r="F771" s="432"/>
      <c r="G771" s="350">
        <v>2022</v>
      </c>
      <c r="H771" s="350" t="s">
        <v>2383</v>
      </c>
      <c r="I771" s="432" t="s">
        <v>1498</v>
      </c>
      <c r="J771" s="433"/>
      <c r="K771" s="432" t="s">
        <v>3162</v>
      </c>
      <c r="L771" s="432" t="s">
        <v>1572</v>
      </c>
      <c r="M771" s="433">
        <v>44656</v>
      </c>
      <c r="N771" s="433">
        <v>44823</v>
      </c>
      <c r="O771" s="433"/>
      <c r="P771" s="332"/>
      <c r="Q771" s="433"/>
      <c r="R771" s="433"/>
      <c r="S771" s="432" t="s">
        <v>88</v>
      </c>
      <c r="T771" s="432">
        <v>60</v>
      </c>
      <c r="U771" s="432"/>
      <c r="V771" s="441" t="s">
        <v>973</v>
      </c>
      <c r="W771" s="432">
        <v>400</v>
      </c>
      <c r="X771" s="333">
        <v>3328</v>
      </c>
      <c r="Y771" s="367">
        <f t="shared" si="92"/>
        <v>1331200</v>
      </c>
      <c r="Z771" s="409">
        <f t="shared" ref="Z771:Z776" si="94">220/400</f>
        <v>0.55000000000000004</v>
      </c>
      <c r="AA771" s="410">
        <f t="shared" ref="AA771:AA834" si="95">Z771*Y771</f>
        <v>732160.00000000012</v>
      </c>
      <c r="AB771" s="411"/>
      <c r="AC771" s="412">
        <f t="shared" si="93"/>
        <v>0</v>
      </c>
      <c r="AD771" s="405"/>
      <c r="AE771" s="405"/>
      <c r="AF771" s="424">
        <f t="shared" si="91"/>
        <v>732160.00000000012</v>
      </c>
      <c r="AG771" s="405" t="s">
        <v>1069</v>
      </c>
      <c r="AH771" s="405"/>
      <c r="AI771" s="405">
        <v>60</v>
      </c>
      <c r="AJ771" s="406" t="s">
        <v>1573</v>
      </c>
      <c r="AK771" s="406" t="s">
        <v>50</v>
      </c>
      <c r="AL771" s="414" t="s">
        <v>1529</v>
      </c>
      <c r="AM771" s="405" t="s">
        <v>52</v>
      </c>
      <c r="AN771" s="361"/>
      <c r="AO771" s="405"/>
      <c r="AP771" s="405"/>
      <c r="AQ771" s="413"/>
      <c r="AR771" s="405"/>
      <c r="AS771" s="404" t="s">
        <v>1072</v>
      </c>
      <c r="AT771" s="330"/>
      <c r="AU771" s="409">
        <f t="shared" ref="AU771:AU776" si="96">183.6/360</f>
        <v>0.51</v>
      </c>
    </row>
    <row r="772" spans="1:47" s="402" customFormat="1">
      <c r="A772" s="426"/>
      <c r="B772" s="376"/>
      <c r="C772" s="426"/>
      <c r="D772" s="443" t="s">
        <v>86</v>
      </c>
      <c r="E772" s="331"/>
      <c r="F772" s="432"/>
      <c r="G772" s="350">
        <v>2022</v>
      </c>
      <c r="H772" s="350" t="s">
        <v>2383</v>
      </c>
      <c r="I772" s="432" t="s">
        <v>1498</v>
      </c>
      <c r="J772" s="433"/>
      <c r="K772" s="432" t="s">
        <v>3163</v>
      </c>
      <c r="L772" s="432" t="s">
        <v>1572</v>
      </c>
      <c r="M772" s="433">
        <v>44656</v>
      </c>
      <c r="N772" s="433">
        <v>44809</v>
      </c>
      <c r="O772" s="433"/>
      <c r="P772" s="332"/>
      <c r="Q772" s="433"/>
      <c r="R772" s="433"/>
      <c r="S772" s="432" t="s">
        <v>88</v>
      </c>
      <c r="T772" s="432">
        <v>60</v>
      </c>
      <c r="U772" s="432"/>
      <c r="V772" s="441" t="s">
        <v>973</v>
      </c>
      <c r="W772" s="432">
        <v>400</v>
      </c>
      <c r="X772" s="333">
        <v>3328</v>
      </c>
      <c r="Y772" s="367">
        <f t="shared" si="92"/>
        <v>1331200</v>
      </c>
      <c r="Z772" s="409">
        <f t="shared" si="94"/>
        <v>0.55000000000000004</v>
      </c>
      <c r="AA772" s="410">
        <f t="shared" si="95"/>
        <v>732160.00000000012</v>
      </c>
      <c r="AB772" s="411"/>
      <c r="AC772" s="412">
        <f t="shared" si="93"/>
        <v>0</v>
      </c>
      <c r="AD772" s="405"/>
      <c r="AE772" s="405"/>
      <c r="AF772" s="424">
        <f t="shared" si="91"/>
        <v>732160.00000000012</v>
      </c>
      <c r="AG772" s="405" t="s">
        <v>1069</v>
      </c>
      <c r="AH772" s="405"/>
      <c r="AI772" s="405">
        <v>60</v>
      </c>
      <c r="AJ772" s="406" t="s">
        <v>1573</v>
      </c>
      <c r="AK772" s="406" t="s">
        <v>50</v>
      </c>
      <c r="AL772" s="414" t="s">
        <v>1529</v>
      </c>
      <c r="AM772" s="405" t="s">
        <v>52</v>
      </c>
      <c r="AN772" s="361"/>
      <c r="AO772" s="405"/>
      <c r="AP772" s="405"/>
      <c r="AQ772" s="413"/>
      <c r="AR772" s="405"/>
      <c r="AS772" s="404" t="s">
        <v>1072</v>
      </c>
      <c r="AT772" s="330"/>
      <c r="AU772" s="409">
        <f t="shared" si="96"/>
        <v>0.51</v>
      </c>
    </row>
    <row r="773" spans="1:47" s="402" customFormat="1">
      <c r="A773" s="426"/>
      <c r="B773" s="376"/>
      <c r="C773" s="426"/>
      <c r="D773" s="443" t="s">
        <v>86</v>
      </c>
      <c r="E773" s="331"/>
      <c r="F773" s="432"/>
      <c r="G773" s="350">
        <v>2022</v>
      </c>
      <c r="H773" s="350" t="s">
        <v>2383</v>
      </c>
      <c r="I773" s="432" t="s">
        <v>1498</v>
      </c>
      <c r="J773" s="433"/>
      <c r="K773" s="432" t="s">
        <v>3164</v>
      </c>
      <c r="L773" s="432" t="s">
        <v>1572</v>
      </c>
      <c r="M773" s="433">
        <v>44656</v>
      </c>
      <c r="N773" s="433">
        <v>44795</v>
      </c>
      <c r="O773" s="433"/>
      <c r="P773" s="332"/>
      <c r="Q773" s="433"/>
      <c r="R773" s="433"/>
      <c r="S773" s="432" t="s">
        <v>88</v>
      </c>
      <c r="T773" s="432">
        <v>60</v>
      </c>
      <c r="U773" s="432"/>
      <c r="V773" s="441" t="s">
        <v>973</v>
      </c>
      <c r="W773" s="432">
        <v>400</v>
      </c>
      <c r="X773" s="333">
        <v>4160</v>
      </c>
      <c r="Y773" s="367">
        <f t="shared" si="92"/>
        <v>1664000</v>
      </c>
      <c r="Z773" s="409">
        <f t="shared" si="94"/>
        <v>0.55000000000000004</v>
      </c>
      <c r="AA773" s="410">
        <f t="shared" si="95"/>
        <v>915200.00000000012</v>
      </c>
      <c r="AB773" s="411"/>
      <c r="AC773" s="412">
        <f t="shared" si="93"/>
        <v>0</v>
      </c>
      <c r="AD773" s="405"/>
      <c r="AE773" s="405"/>
      <c r="AF773" s="424">
        <f t="shared" si="91"/>
        <v>915200.00000000012</v>
      </c>
      <c r="AG773" s="405" t="s">
        <v>1069</v>
      </c>
      <c r="AH773" s="405"/>
      <c r="AI773" s="405">
        <v>60</v>
      </c>
      <c r="AJ773" s="406" t="s">
        <v>1573</v>
      </c>
      <c r="AK773" s="406" t="s">
        <v>50</v>
      </c>
      <c r="AL773" s="414" t="s">
        <v>1529</v>
      </c>
      <c r="AM773" s="405" t="s">
        <v>52</v>
      </c>
      <c r="AN773" s="361"/>
      <c r="AO773" s="405"/>
      <c r="AP773" s="405"/>
      <c r="AQ773" s="413"/>
      <c r="AR773" s="405"/>
      <c r="AS773" s="404" t="s">
        <v>1072</v>
      </c>
      <c r="AT773" s="330"/>
      <c r="AU773" s="409">
        <f t="shared" si="96"/>
        <v>0.51</v>
      </c>
    </row>
    <row r="774" spans="1:47" s="402" customFormat="1">
      <c r="A774" s="426"/>
      <c r="B774" s="376"/>
      <c r="C774" s="426"/>
      <c r="D774" s="443" t="s">
        <v>86</v>
      </c>
      <c r="E774" s="331"/>
      <c r="F774" s="432"/>
      <c r="G774" s="350">
        <v>2022</v>
      </c>
      <c r="H774" s="350" t="s">
        <v>2383</v>
      </c>
      <c r="I774" s="432" t="s">
        <v>1498</v>
      </c>
      <c r="J774" s="433"/>
      <c r="K774" s="432" t="s">
        <v>3165</v>
      </c>
      <c r="L774" s="432" t="s">
        <v>1572</v>
      </c>
      <c r="M774" s="433">
        <v>44656</v>
      </c>
      <c r="N774" s="433">
        <v>44781</v>
      </c>
      <c r="O774" s="433"/>
      <c r="P774" s="332"/>
      <c r="Q774" s="433"/>
      <c r="R774" s="433"/>
      <c r="S774" s="432" t="s">
        <v>88</v>
      </c>
      <c r="T774" s="432">
        <v>60</v>
      </c>
      <c r="U774" s="432"/>
      <c r="V774" s="441" t="s">
        <v>973</v>
      </c>
      <c r="W774" s="432">
        <v>400</v>
      </c>
      <c r="X774" s="333">
        <v>4160</v>
      </c>
      <c r="Y774" s="367">
        <f t="shared" si="92"/>
        <v>1664000</v>
      </c>
      <c r="Z774" s="409">
        <f t="shared" si="94"/>
        <v>0.55000000000000004</v>
      </c>
      <c r="AA774" s="410">
        <f t="shared" si="95"/>
        <v>915200.00000000012</v>
      </c>
      <c r="AB774" s="411"/>
      <c r="AC774" s="412">
        <f t="shared" si="93"/>
        <v>0</v>
      </c>
      <c r="AD774" s="405"/>
      <c r="AE774" s="405"/>
      <c r="AF774" s="424">
        <f t="shared" si="91"/>
        <v>915200.00000000012</v>
      </c>
      <c r="AG774" s="405" t="s">
        <v>1069</v>
      </c>
      <c r="AH774" s="405"/>
      <c r="AI774" s="405">
        <v>60</v>
      </c>
      <c r="AJ774" s="406" t="s">
        <v>1573</v>
      </c>
      <c r="AK774" s="406" t="s">
        <v>50</v>
      </c>
      <c r="AL774" s="414" t="s">
        <v>1529</v>
      </c>
      <c r="AM774" s="405" t="s">
        <v>52</v>
      </c>
      <c r="AN774" s="361"/>
      <c r="AO774" s="405"/>
      <c r="AP774" s="405"/>
      <c r="AQ774" s="413"/>
      <c r="AR774" s="405"/>
      <c r="AS774" s="404" t="s">
        <v>1072</v>
      </c>
      <c r="AT774" s="330"/>
      <c r="AU774" s="409">
        <f t="shared" si="96"/>
        <v>0.51</v>
      </c>
    </row>
    <row r="775" spans="1:47" s="402" customFormat="1">
      <c r="A775" s="426"/>
      <c r="B775" s="376"/>
      <c r="C775" s="426"/>
      <c r="D775" s="443" t="s">
        <v>86</v>
      </c>
      <c r="E775" s="331"/>
      <c r="F775" s="432"/>
      <c r="G775" s="350">
        <v>2022</v>
      </c>
      <c r="H775" s="350" t="s">
        <v>2383</v>
      </c>
      <c r="I775" s="432" t="s">
        <v>1498</v>
      </c>
      <c r="J775" s="433"/>
      <c r="K775" s="432" t="s">
        <v>3166</v>
      </c>
      <c r="L775" s="432" t="s">
        <v>1572</v>
      </c>
      <c r="M775" s="433">
        <v>44656</v>
      </c>
      <c r="N775" s="433">
        <v>44760</v>
      </c>
      <c r="O775" s="433"/>
      <c r="P775" s="332"/>
      <c r="Q775" s="433"/>
      <c r="R775" s="433"/>
      <c r="S775" s="432" t="s">
        <v>88</v>
      </c>
      <c r="T775" s="432">
        <v>60</v>
      </c>
      <c r="U775" s="432"/>
      <c r="V775" s="441" t="s">
        <v>973</v>
      </c>
      <c r="W775" s="432">
        <v>400</v>
      </c>
      <c r="X775" s="333">
        <v>4160</v>
      </c>
      <c r="Y775" s="367">
        <f t="shared" si="92"/>
        <v>1664000</v>
      </c>
      <c r="Z775" s="409">
        <f t="shared" si="94"/>
        <v>0.55000000000000004</v>
      </c>
      <c r="AA775" s="410">
        <f t="shared" si="95"/>
        <v>915200.00000000012</v>
      </c>
      <c r="AB775" s="411"/>
      <c r="AC775" s="412">
        <f t="shared" si="93"/>
        <v>0</v>
      </c>
      <c r="AD775" s="405"/>
      <c r="AE775" s="405"/>
      <c r="AF775" s="424">
        <f t="shared" si="91"/>
        <v>915200.00000000012</v>
      </c>
      <c r="AG775" s="405" t="s">
        <v>1069</v>
      </c>
      <c r="AH775" s="405"/>
      <c r="AI775" s="405">
        <v>60</v>
      </c>
      <c r="AJ775" s="406" t="s">
        <v>1573</v>
      </c>
      <c r="AK775" s="406" t="s">
        <v>50</v>
      </c>
      <c r="AL775" s="414" t="s">
        <v>1529</v>
      </c>
      <c r="AM775" s="405" t="s">
        <v>52</v>
      </c>
      <c r="AN775" s="361"/>
      <c r="AO775" s="405"/>
      <c r="AP775" s="405"/>
      <c r="AQ775" s="413"/>
      <c r="AR775" s="405"/>
      <c r="AS775" s="404" t="s">
        <v>1072</v>
      </c>
      <c r="AT775" s="330"/>
      <c r="AU775" s="409">
        <f t="shared" si="96"/>
        <v>0.51</v>
      </c>
    </row>
    <row r="776" spans="1:47" s="402" customFormat="1">
      <c r="A776" s="426"/>
      <c r="B776" s="376"/>
      <c r="C776" s="426"/>
      <c r="D776" s="443" t="s">
        <v>86</v>
      </c>
      <c r="E776" s="331"/>
      <c r="F776" s="432"/>
      <c r="G776" s="350">
        <v>2022</v>
      </c>
      <c r="H776" s="350" t="s">
        <v>2383</v>
      </c>
      <c r="I776" s="432" t="s">
        <v>1498</v>
      </c>
      <c r="J776" s="433"/>
      <c r="K776" s="432" t="s">
        <v>3167</v>
      </c>
      <c r="L776" s="432" t="s">
        <v>1572</v>
      </c>
      <c r="M776" s="433">
        <v>44656</v>
      </c>
      <c r="N776" s="433">
        <v>44747</v>
      </c>
      <c r="O776" s="433"/>
      <c r="P776" s="332"/>
      <c r="Q776" s="433"/>
      <c r="R776" s="433"/>
      <c r="S776" s="432" t="s">
        <v>88</v>
      </c>
      <c r="T776" s="432">
        <v>60</v>
      </c>
      <c r="U776" s="432"/>
      <c r="V776" s="441" t="s">
        <v>973</v>
      </c>
      <c r="W776" s="432">
        <v>400</v>
      </c>
      <c r="X776" s="333">
        <v>4160</v>
      </c>
      <c r="Y776" s="367">
        <f t="shared" si="92"/>
        <v>1664000</v>
      </c>
      <c r="Z776" s="409">
        <f t="shared" si="94"/>
        <v>0.55000000000000004</v>
      </c>
      <c r="AA776" s="410">
        <f t="shared" si="95"/>
        <v>915200.00000000012</v>
      </c>
      <c r="AB776" s="411"/>
      <c r="AC776" s="412">
        <f t="shared" si="93"/>
        <v>0</v>
      </c>
      <c r="AD776" s="405"/>
      <c r="AE776" s="405"/>
      <c r="AF776" s="424">
        <f t="shared" si="91"/>
        <v>915200.00000000012</v>
      </c>
      <c r="AG776" s="405" t="s">
        <v>1069</v>
      </c>
      <c r="AH776" s="405"/>
      <c r="AI776" s="405">
        <v>60</v>
      </c>
      <c r="AJ776" s="406" t="s">
        <v>1573</v>
      </c>
      <c r="AK776" s="406" t="s">
        <v>50</v>
      </c>
      <c r="AL776" s="414" t="s">
        <v>1529</v>
      </c>
      <c r="AM776" s="405" t="s">
        <v>52</v>
      </c>
      <c r="AN776" s="361"/>
      <c r="AO776" s="405"/>
      <c r="AP776" s="405"/>
      <c r="AQ776" s="413"/>
      <c r="AR776" s="405"/>
      <c r="AS776" s="404" t="s">
        <v>1072</v>
      </c>
      <c r="AT776" s="330"/>
      <c r="AU776" s="409">
        <f t="shared" si="96"/>
        <v>0.51</v>
      </c>
    </row>
    <row r="777" spans="1:47" s="402" customFormat="1">
      <c r="A777" s="426"/>
      <c r="B777" s="376"/>
      <c r="C777" s="426"/>
      <c r="D777" s="443" t="s">
        <v>86</v>
      </c>
      <c r="E777" s="331"/>
      <c r="F777" s="432"/>
      <c r="G777" s="350">
        <v>2022</v>
      </c>
      <c r="H777" s="350" t="s">
        <v>2383</v>
      </c>
      <c r="I777" s="432" t="s">
        <v>1498</v>
      </c>
      <c r="J777" s="433"/>
      <c r="K777" s="432" t="s">
        <v>3172</v>
      </c>
      <c r="L777" s="432" t="s">
        <v>1588</v>
      </c>
      <c r="M777" s="433">
        <v>44655</v>
      </c>
      <c r="N777" s="433">
        <v>44743</v>
      </c>
      <c r="O777" s="433"/>
      <c r="P777" s="332"/>
      <c r="Q777" s="433"/>
      <c r="R777" s="433"/>
      <c r="S777" s="432" t="s">
        <v>88</v>
      </c>
      <c r="T777" s="432">
        <v>60</v>
      </c>
      <c r="U777" s="432"/>
      <c r="V777" s="441" t="s">
        <v>986</v>
      </c>
      <c r="W777" s="432">
        <v>360</v>
      </c>
      <c r="X777" s="333">
        <v>768</v>
      </c>
      <c r="Y777" s="367">
        <f t="shared" si="92"/>
        <v>276480</v>
      </c>
      <c r="Z777" s="409">
        <f t="shared" ref="Z777:Z782" si="97">190.8/360</f>
        <v>0.53</v>
      </c>
      <c r="AA777" s="410">
        <f t="shared" si="95"/>
        <v>146534.39999999999</v>
      </c>
      <c r="AB777" s="411"/>
      <c r="AC777" s="412">
        <f t="shared" si="93"/>
        <v>0</v>
      </c>
      <c r="AD777" s="405"/>
      <c r="AE777" s="405"/>
      <c r="AF777" s="424">
        <f t="shared" si="91"/>
        <v>146534.39999999999</v>
      </c>
      <c r="AG777" s="405" t="s">
        <v>1069</v>
      </c>
      <c r="AH777" s="405">
        <v>100</v>
      </c>
      <c r="AI777" s="405">
        <v>0</v>
      </c>
      <c r="AJ777" s="406" t="s">
        <v>3170</v>
      </c>
      <c r="AK777" s="406" t="s">
        <v>50</v>
      </c>
      <c r="AL777" s="414" t="s">
        <v>3171</v>
      </c>
      <c r="AM777" s="405" t="s">
        <v>52</v>
      </c>
      <c r="AN777" s="361" t="s">
        <v>50</v>
      </c>
      <c r="AO777" s="405" t="s">
        <v>1073</v>
      </c>
      <c r="AP777" s="405"/>
      <c r="AQ777" s="413" t="s">
        <v>37</v>
      </c>
      <c r="AR777" s="405" t="s">
        <v>1188</v>
      </c>
      <c r="AS777" s="404" t="s">
        <v>1392</v>
      </c>
      <c r="AT777" s="330"/>
      <c r="AU777" s="409">
        <f t="shared" ref="AU777:AU790" si="98">208/400</f>
        <v>0.52</v>
      </c>
    </row>
    <row r="778" spans="1:47" s="402" customFormat="1">
      <c r="A778" s="426"/>
      <c r="B778" s="376"/>
      <c r="C778" s="426"/>
      <c r="D778" s="443" t="s">
        <v>86</v>
      </c>
      <c r="E778" s="331"/>
      <c r="F778" s="432"/>
      <c r="G778" s="350">
        <v>2022</v>
      </c>
      <c r="H778" s="350" t="s">
        <v>2383</v>
      </c>
      <c r="I778" s="432" t="s">
        <v>1498</v>
      </c>
      <c r="J778" s="433"/>
      <c r="K778" s="432" t="s">
        <v>3172</v>
      </c>
      <c r="L778" s="432" t="s">
        <v>1588</v>
      </c>
      <c r="M778" s="433">
        <v>44655</v>
      </c>
      <c r="N778" s="433">
        <v>44774</v>
      </c>
      <c r="O778" s="433"/>
      <c r="P778" s="332"/>
      <c r="Q778" s="433"/>
      <c r="R778" s="433"/>
      <c r="S778" s="432" t="s">
        <v>88</v>
      </c>
      <c r="T778" s="432">
        <v>60</v>
      </c>
      <c r="U778" s="432"/>
      <c r="V778" s="441" t="s">
        <v>986</v>
      </c>
      <c r="W778" s="432">
        <v>360</v>
      </c>
      <c r="X778" s="333">
        <v>768</v>
      </c>
      <c r="Y778" s="367">
        <f t="shared" si="92"/>
        <v>276480</v>
      </c>
      <c r="Z778" s="409">
        <f t="shared" si="97"/>
        <v>0.53</v>
      </c>
      <c r="AA778" s="410">
        <f t="shared" si="95"/>
        <v>146534.39999999999</v>
      </c>
      <c r="AB778" s="411"/>
      <c r="AC778" s="412">
        <f t="shared" si="93"/>
        <v>0</v>
      </c>
      <c r="AD778" s="405"/>
      <c r="AE778" s="405"/>
      <c r="AF778" s="424">
        <f t="shared" si="91"/>
        <v>146534.39999999999</v>
      </c>
      <c r="AG778" s="405" t="s">
        <v>1069</v>
      </c>
      <c r="AH778" s="405">
        <v>100</v>
      </c>
      <c r="AI778" s="405">
        <v>0</v>
      </c>
      <c r="AJ778" s="406" t="s">
        <v>3170</v>
      </c>
      <c r="AK778" s="406" t="s">
        <v>50</v>
      </c>
      <c r="AL778" s="414" t="s">
        <v>3171</v>
      </c>
      <c r="AM778" s="405" t="s">
        <v>52</v>
      </c>
      <c r="AN778" s="361" t="s">
        <v>50</v>
      </c>
      <c r="AO778" s="405" t="s">
        <v>1073</v>
      </c>
      <c r="AP778" s="405"/>
      <c r="AQ778" s="413" t="s">
        <v>37</v>
      </c>
      <c r="AR778" s="405" t="s">
        <v>1188</v>
      </c>
      <c r="AS778" s="404" t="s">
        <v>1392</v>
      </c>
      <c r="AT778" s="330"/>
      <c r="AU778" s="409">
        <f t="shared" si="98"/>
        <v>0.52</v>
      </c>
    </row>
    <row r="779" spans="1:47" s="402" customFormat="1">
      <c r="A779" s="426"/>
      <c r="B779" s="376"/>
      <c r="C779" s="426"/>
      <c r="D779" s="443" t="s">
        <v>86</v>
      </c>
      <c r="E779" s="331"/>
      <c r="F779" s="432"/>
      <c r="G779" s="350">
        <v>2022</v>
      </c>
      <c r="H779" s="350" t="s">
        <v>2383</v>
      </c>
      <c r="I779" s="432" t="s">
        <v>1498</v>
      </c>
      <c r="J779" s="433"/>
      <c r="K779" s="432" t="s">
        <v>3172</v>
      </c>
      <c r="L779" s="432" t="s">
        <v>1588</v>
      </c>
      <c r="M779" s="433">
        <v>44655</v>
      </c>
      <c r="N779" s="433">
        <v>44805</v>
      </c>
      <c r="O779" s="433"/>
      <c r="P779" s="332"/>
      <c r="Q779" s="433"/>
      <c r="R779" s="433"/>
      <c r="S779" s="432" t="s">
        <v>88</v>
      </c>
      <c r="T779" s="432">
        <v>60</v>
      </c>
      <c r="U779" s="432"/>
      <c r="V779" s="441" t="s">
        <v>986</v>
      </c>
      <c r="W779" s="432">
        <v>360</v>
      </c>
      <c r="X779" s="333">
        <v>768</v>
      </c>
      <c r="Y779" s="367">
        <f t="shared" si="92"/>
        <v>276480</v>
      </c>
      <c r="Z779" s="409">
        <f t="shared" si="97"/>
        <v>0.53</v>
      </c>
      <c r="AA779" s="410">
        <f t="shared" si="95"/>
        <v>146534.39999999999</v>
      </c>
      <c r="AB779" s="411"/>
      <c r="AC779" s="412">
        <f t="shared" si="93"/>
        <v>0</v>
      </c>
      <c r="AD779" s="405"/>
      <c r="AE779" s="405"/>
      <c r="AF779" s="424">
        <f t="shared" si="91"/>
        <v>146534.39999999999</v>
      </c>
      <c r="AG779" s="405" t="s">
        <v>1069</v>
      </c>
      <c r="AH779" s="405">
        <v>100</v>
      </c>
      <c r="AI779" s="405">
        <v>0</v>
      </c>
      <c r="AJ779" s="406" t="s">
        <v>3170</v>
      </c>
      <c r="AK779" s="406" t="s">
        <v>50</v>
      </c>
      <c r="AL779" s="414" t="s">
        <v>3171</v>
      </c>
      <c r="AM779" s="405" t="s">
        <v>52</v>
      </c>
      <c r="AN779" s="361" t="s">
        <v>50</v>
      </c>
      <c r="AO779" s="405" t="s">
        <v>1073</v>
      </c>
      <c r="AP779" s="405"/>
      <c r="AQ779" s="413" t="s">
        <v>37</v>
      </c>
      <c r="AR779" s="405" t="s">
        <v>1188</v>
      </c>
      <c r="AS779" s="404" t="s">
        <v>1392</v>
      </c>
      <c r="AT779" s="330"/>
      <c r="AU779" s="409">
        <f t="shared" si="98"/>
        <v>0.52</v>
      </c>
    </row>
    <row r="780" spans="1:47" s="402" customFormat="1">
      <c r="A780" s="426"/>
      <c r="B780" s="376"/>
      <c r="C780" s="426"/>
      <c r="D780" s="443" t="s">
        <v>86</v>
      </c>
      <c r="E780" s="331"/>
      <c r="F780" s="432"/>
      <c r="G780" s="350">
        <v>2022</v>
      </c>
      <c r="H780" s="350" t="s">
        <v>2383</v>
      </c>
      <c r="I780" s="432" t="s">
        <v>1498</v>
      </c>
      <c r="J780" s="433"/>
      <c r="K780" s="432" t="s">
        <v>3172</v>
      </c>
      <c r="L780" s="432" t="s">
        <v>1588</v>
      </c>
      <c r="M780" s="433">
        <v>44655</v>
      </c>
      <c r="N780" s="433">
        <v>44835</v>
      </c>
      <c r="O780" s="433"/>
      <c r="P780" s="332"/>
      <c r="Q780" s="433"/>
      <c r="R780" s="433"/>
      <c r="S780" s="432" t="s">
        <v>88</v>
      </c>
      <c r="T780" s="432">
        <v>60</v>
      </c>
      <c r="U780" s="432"/>
      <c r="V780" s="441" t="s">
        <v>986</v>
      </c>
      <c r="W780" s="432">
        <v>360</v>
      </c>
      <c r="X780" s="333">
        <v>1536</v>
      </c>
      <c r="Y780" s="367">
        <f t="shared" si="92"/>
        <v>552960</v>
      </c>
      <c r="Z780" s="409">
        <f t="shared" si="97"/>
        <v>0.53</v>
      </c>
      <c r="AA780" s="410">
        <f t="shared" si="95"/>
        <v>293068.79999999999</v>
      </c>
      <c r="AB780" s="411"/>
      <c r="AC780" s="412">
        <f t="shared" si="93"/>
        <v>0</v>
      </c>
      <c r="AD780" s="405"/>
      <c r="AE780" s="405"/>
      <c r="AF780" s="424">
        <f t="shared" si="91"/>
        <v>293068.79999999999</v>
      </c>
      <c r="AG780" s="405" t="s">
        <v>1069</v>
      </c>
      <c r="AH780" s="405">
        <v>100</v>
      </c>
      <c r="AI780" s="405">
        <v>0</v>
      </c>
      <c r="AJ780" s="406" t="s">
        <v>3170</v>
      </c>
      <c r="AK780" s="406" t="s">
        <v>50</v>
      </c>
      <c r="AL780" s="414" t="s">
        <v>3171</v>
      </c>
      <c r="AM780" s="405" t="s">
        <v>52</v>
      </c>
      <c r="AN780" s="361" t="s">
        <v>50</v>
      </c>
      <c r="AO780" s="405" t="s">
        <v>1073</v>
      </c>
      <c r="AP780" s="405"/>
      <c r="AQ780" s="413" t="s">
        <v>37</v>
      </c>
      <c r="AR780" s="405" t="s">
        <v>1188</v>
      </c>
      <c r="AS780" s="404" t="s">
        <v>1392</v>
      </c>
      <c r="AT780" s="330"/>
      <c r="AU780" s="409">
        <f t="shared" si="98"/>
        <v>0.52</v>
      </c>
    </row>
    <row r="781" spans="1:47" s="402" customFormat="1">
      <c r="A781" s="426"/>
      <c r="B781" s="376"/>
      <c r="C781" s="426"/>
      <c r="D781" s="443" t="s">
        <v>86</v>
      </c>
      <c r="E781" s="331"/>
      <c r="F781" s="432"/>
      <c r="G781" s="350">
        <v>2022</v>
      </c>
      <c r="H781" s="350" t="s">
        <v>2383</v>
      </c>
      <c r="I781" s="432" t="s">
        <v>1498</v>
      </c>
      <c r="J781" s="433"/>
      <c r="K781" s="432" t="s">
        <v>3172</v>
      </c>
      <c r="L781" s="432" t="s">
        <v>1588</v>
      </c>
      <c r="M781" s="433">
        <v>44655</v>
      </c>
      <c r="N781" s="433">
        <v>44866</v>
      </c>
      <c r="O781" s="433"/>
      <c r="P781" s="332"/>
      <c r="Q781" s="433"/>
      <c r="R781" s="433"/>
      <c r="S781" s="432" t="s">
        <v>88</v>
      </c>
      <c r="T781" s="432">
        <v>60</v>
      </c>
      <c r="U781" s="432"/>
      <c r="V781" s="441" t="s">
        <v>986</v>
      </c>
      <c r="W781" s="432">
        <v>360</v>
      </c>
      <c r="X781" s="333">
        <v>768</v>
      </c>
      <c r="Y781" s="367">
        <f t="shared" si="92"/>
        <v>276480</v>
      </c>
      <c r="Z781" s="409">
        <f t="shared" si="97"/>
        <v>0.53</v>
      </c>
      <c r="AA781" s="410">
        <f t="shared" si="95"/>
        <v>146534.39999999999</v>
      </c>
      <c r="AB781" s="411"/>
      <c r="AC781" s="412">
        <f t="shared" si="93"/>
        <v>0</v>
      </c>
      <c r="AD781" s="405"/>
      <c r="AE781" s="405"/>
      <c r="AF781" s="424">
        <f t="shared" si="91"/>
        <v>146534.39999999999</v>
      </c>
      <c r="AG781" s="405" t="s">
        <v>1069</v>
      </c>
      <c r="AH781" s="405">
        <v>100</v>
      </c>
      <c r="AI781" s="405">
        <v>0</v>
      </c>
      <c r="AJ781" s="406" t="s">
        <v>3170</v>
      </c>
      <c r="AK781" s="406" t="s">
        <v>50</v>
      </c>
      <c r="AL781" s="414" t="s">
        <v>3171</v>
      </c>
      <c r="AM781" s="405" t="s">
        <v>52</v>
      </c>
      <c r="AN781" s="361" t="s">
        <v>50</v>
      </c>
      <c r="AO781" s="405" t="s">
        <v>1073</v>
      </c>
      <c r="AP781" s="405"/>
      <c r="AQ781" s="413" t="s">
        <v>37</v>
      </c>
      <c r="AR781" s="405" t="s">
        <v>1188</v>
      </c>
      <c r="AS781" s="404" t="s">
        <v>1392</v>
      </c>
      <c r="AT781" s="330"/>
      <c r="AU781" s="409">
        <f t="shared" si="98"/>
        <v>0.52</v>
      </c>
    </row>
    <row r="782" spans="1:47" s="402" customFormat="1">
      <c r="A782" s="426"/>
      <c r="B782" s="376"/>
      <c r="C782" s="426"/>
      <c r="D782" s="443" t="s">
        <v>86</v>
      </c>
      <c r="E782" s="331"/>
      <c r="F782" s="432"/>
      <c r="G782" s="350">
        <v>2022</v>
      </c>
      <c r="H782" s="350" t="s">
        <v>2383</v>
      </c>
      <c r="I782" s="432" t="s">
        <v>1498</v>
      </c>
      <c r="J782" s="433"/>
      <c r="K782" s="432" t="s">
        <v>3172</v>
      </c>
      <c r="L782" s="432" t="s">
        <v>1588</v>
      </c>
      <c r="M782" s="433">
        <v>44655</v>
      </c>
      <c r="N782" s="433">
        <v>44896</v>
      </c>
      <c r="O782" s="433"/>
      <c r="P782" s="332"/>
      <c r="Q782" s="433"/>
      <c r="R782" s="433"/>
      <c r="S782" s="432" t="s">
        <v>88</v>
      </c>
      <c r="T782" s="432">
        <v>60</v>
      </c>
      <c r="U782" s="432"/>
      <c r="V782" s="441" t="s">
        <v>986</v>
      </c>
      <c r="W782" s="432">
        <v>360</v>
      </c>
      <c r="X782" s="333">
        <v>768</v>
      </c>
      <c r="Y782" s="367">
        <f t="shared" si="92"/>
        <v>276480</v>
      </c>
      <c r="Z782" s="409">
        <f t="shared" si="97"/>
        <v>0.53</v>
      </c>
      <c r="AA782" s="410">
        <f t="shared" si="95"/>
        <v>146534.39999999999</v>
      </c>
      <c r="AB782" s="411"/>
      <c r="AC782" s="412">
        <f t="shared" si="93"/>
        <v>0</v>
      </c>
      <c r="AD782" s="405"/>
      <c r="AE782" s="405"/>
      <c r="AF782" s="424">
        <f t="shared" si="91"/>
        <v>146534.39999999999</v>
      </c>
      <c r="AG782" s="405" t="s">
        <v>1069</v>
      </c>
      <c r="AH782" s="405">
        <v>100</v>
      </c>
      <c r="AI782" s="405">
        <v>0</v>
      </c>
      <c r="AJ782" s="406" t="s">
        <v>3170</v>
      </c>
      <c r="AK782" s="406" t="s">
        <v>50</v>
      </c>
      <c r="AL782" s="414" t="s">
        <v>3171</v>
      </c>
      <c r="AM782" s="405" t="s">
        <v>52</v>
      </c>
      <c r="AN782" s="361" t="s">
        <v>50</v>
      </c>
      <c r="AO782" s="405" t="s">
        <v>1073</v>
      </c>
      <c r="AP782" s="405"/>
      <c r="AQ782" s="413" t="s">
        <v>37</v>
      </c>
      <c r="AR782" s="405" t="s">
        <v>1188</v>
      </c>
      <c r="AS782" s="404" t="s">
        <v>1392</v>
      </c>
      <c r="AT782" s="330"/>
      <c r="AU782" s="409">
        <f t="shared" si="98"/>
        <v>0.52</v>
      </c>
    </row>
    <row r="783" spans="1:47" s="402" customFormat="1">
      <c r="A783" s="426"/>
      <c r="B783" s="376"/>
      <c r="C783" s="426"/>
      <c r="D783" s="443" t="s">
        <v>86</v>
      </c>
      <c r="E783" s="331"/>
      <c r="F783" s="432"/>
      <c r="G783" s="350">
        <v>2022</v>
      </c>
      <c r="H783" s="350" t="s">
        <v>2383</v>
      </c>
      <c r="I783" s="432" t="s">
        <v>1498</v>
      </c>
      <c r="J783" s="433"/>
      <c r="K783" s="432" t="s">
        <v>3173</v>
      </c>
      <c r="L783" s="432" t="s">
        <v>1588</v>
      </c>
      <c r="M783" s="433">
        <v>44655</v>
      </c>
      <c r="N783" s="433">
        <v>44743</v>
      </c>
      <c r="O783" s="433"/>
      <c r="P783" s="332"/>
      <c r="Q783" s="433"/>
      <c r="R783" s="433"/>
      <c r="S783" s="432" t="s">
        <v>88</v>
      </c>
      <c r="T783" s="432">
        <v>60</v>
      </c>
      <c r="U783" s="432"/>
      <c r="V783" s="441" t="s">
        <v>973</v>
      </c>
      <c r="W783" s="432">
        <v>400</v>
      </c>
      <c r="X783" s="333">
        <v>768</v>
      </c>
      <c r="Y783" s="367">
        <f t="shared" si="92"/>
        <v>307200</v>
      </c>
      <c r="Z783" s="409">
        <f t="shared" ref="Z783:Z788" si="99">220/400</f>
        <v>0.55000000000000004</v>
      </c>
      <c r="AA783" s="410">
        <f t="shared" si="95"/>
        <v>168960</v>
      </c>
      <c r="AB783" s="411"/>
      <c r="AC783" s="412">
        <f t="shared" si="93"/>
        <v>0</v>
      </c>
      <c r="AD783" s="405"/>
      <c r="AE783" s="405"/>
      <c r="AF783" s="424">
        <f t="shared" si="91"/>
        <v>168960</v>
      </c>
      <c r="AG783" s="405" t="s">
        <v>1069</v>
      </c>
      <c r="AH783" s="405">
        <v>100</v>
      </c>
      <c r="AI783" s="405">
        <v>0</v>
      </c>
      <c r="AJ783" s="406" t="s">
        <v>3170</v>
      </c>
      <c r="AK783" s="406" t="s">
        <v>50</v>
      </c>
      <c r="AL783" s="414" t="s">
        <v>3171</v>
      </c>
      <c r="AM783" s="405" t="s">
        <v>52</v>
      </c>
      <c r="AN783" s="361" t="s">
        <v>50</v>
      </c>
      <c r="AO783" s="405" t="s">
        <v>1073</v>
      </c>
      <c r="AP783" s="405"/>
      <c r="AQ783" s="413" t="s">
        <v>37</v>
      </c>
      <c r="AR783" s="405" t="s">
        <v>1188</v>
      </c>
      <c r="AS783" s="404" t="s">
        <v>1392</v>
      </c>
      <c r="AT783" s="330"/>
      <c r="AU783" s="409">
        <f t="shared" si="98"/>
        <v>0.52</v>
      </c>
    </row>
    <row r="784" spans="1:47" s="402" customFormat="1">
      <c r="A784" s="426"/>
      <c r="B784" s="376"/>
      <c r="C784" s="426"/>
      <c r="D784" s="443" t="s">
        <v>86</v>
      </c>
      <c r="E784" s="331"/>
      <c r="F784" s="432"/>
      <c r="G784" s="350">
        <v>2022</v>
      </c>
      <c r="H784" s="350" t="s">
        <v>2383</v>
      </c>
      <c r="I784" s="432" t="s">
        <v>1498</v>
      </c>
      <c r="J784" s="433"/>
      <c r="K784" s="432" t="s">
        <v>3173</v>
      </c>
      <c r="L784" s="432" t="s">
        <v>1588</v>
      </c>
      <c r="M784" s="433">
        <v>44655</v>
      </c>
      <c r="N784" s="433">
        <v>44774</v>
      </c>
      <c r="O784" s="433"/>
      <c r="P784" s="332"/>
      <c r="Q784" s="433"/>
      <c r="R784" s="433"/>
      <c r="S784" s="432" t="s">
        <v>88</v>
      </c>
      <c r="T784" s="432">
        <v>60</v>
      </c>
      <c r="U784" s="432"/>
      <c r="V784" s="441" t="s">
        <v>973</v>
      </c>
      <c r="W784" s="432">
        <v>400</v>
      </c>
      <c r="X784" s="333">
        <v>768</v>
      </c>
      <c r="Y784" s="367">
        <f t="shared" si="92"/>
        <v>307200</v>
      </c>
      <c r="Z784" s="409">
        <f t="shared" si="99"/>
        <v>0.55000000000000004</v>
      </c>
      <c r="AA784" s="410">
        <f t="shared" si="95"/>
        <v>168960</v>
      </c>
      <c r="AB784" s="411"/>
      <c r="AC784" s="412">
        <f t="shared" si="93"/>
        <v>0</v>
      </c>
      <c r="AD784" s="405"/>
      <c r="AE784" s="405"/>
      <c r="AF784" s="424">
        <f t="shared" si="91"/>
        <v>168960</v>
      </c>
      <c r="AG784" s="405" t="s">
        <v>1069</v>
      </c>
      <c r="AH784" s="405">
        <v>100</v>
      </c>
      <c r="AI784" s="405">
        <v>0</v>
      </c>
      <c r="AJ784" s="406" t="s">
        <v>3170</v>
      </c>
      <c r="AK784" s="406" t="s">
        <v>50</v>
      </c>
      <c r="AL784" s="414" t="s">
        <v>3171</v>
      </c>
      <c r="AM784" s="405" t="s">
        <v>52</v>
      </c>
      <c r="AN784" s="361" t="s">
        <v>50</v>
      </c>
      <c r="AO784" s="405" t="s">
        <v>1073</v>
      </c>
      <c r="AP784" s="405"/>
      <c r="AQ784" s="413" t="s">
        <v>37</v>
      </c>
      <c r="AR784" s="405" t="s">
        <v>1188</v>
      </c>
      <c r="AS784" s="404" t="s">
        <v>1392</v>
      </c>
      <c r="AT784" s="330"/>
      <c r="AU784" s="409">
        <f t="shared" si="98"/>
        <v>0.52</v>
      </c>
    </row>
    <row r="785" spans="1:47" s="402" customFormat="1">
      <c r="A785" s="426"/>
      <c r="B785" s="376"/>
      <c r="C785" s="426"/>
      <c r="D785" s="443" t="s">
        <v>86</v>
      </c>
      <c r="E785" s="331"/>
      <c r="F785" s="432"/>
      <c r="G785" s="350">
        <v>2022</v>
      </c>
      <c r="H785" s="350" t="s">
        <v>2383</v>
      </c>
      <c r="I785" s="432" t="s">
        <v>1498</v>
      </c>
      <c r="J785" s="433"/>
      <c r="K785" s="432" t="s">
        <v>3173</v>
      </c>
      <c r="L785" s="432" t="s">
        <v>1588</v>
      </c>
      <c r="M785" s="433">
        <v>44655</v>
      </c>
      <c r="N785" s="433">
        <v>44805</v>
      </c>
      <c r="O785" s="433"/>
      <c r="P785" s="332"/>
      <c r="Q785" s="433"/>
      <c r="R785" s="433"/>
      <c r="S785" s="432" t="s">
        <v>88</v>
      </c>
      <c r="T785" s="432">
        <v>60</v>
      </c>
      <c r="U785" s="432"/>
      <c r="V785" s="441" t="s">
        <v>973</v>
      </c>
      <c r="W785" s="432">
        <v>400</v>
      </c>
      <c r="X785" s="333">
        <v>768</v>
      </c>
      <c r="Y785" s="367">
        <f t="shared" si="92"/>
        <v>307200</v>
      </c>
      <c r="Z785" s="409">
        <f t="shared" si="99"/>
        <v>0.55000000000000004</v>
      </c>
      <c r="AA785" s="410">
        <f t="shared" si="95"/>
        <v>168960</v>
      </c>
      <c r="AB785" s="411"/>
      <c r="AC785" s="412">
        <f t="shared" si="93"/>
        <v>0</v>
      </c>
      <c r="AD785" s="405"/>
      <c r="AE785" s="405"/>
      <c r="AF785" s="424">
        <f t="shared" si="91"/>
        <v>168960</v>
      </c>
      <c r="AG785" s="405" t="s">
        <v>1069</v>
      </c>
      <c r="AH785" s="405">
        <v>100</v>
      </c>
      <c r="AI785" s="405">
        <v>0</v>
      </c>
      <c r="AJ785" s="406" t="s">
        <v>3170</v>
      </c>
      <c r="AK785" s="406" t="s">
        <v>50</v>
      </c>
      <c r="AL785" s="414" t="s">
        <v>3171</v>
      </c>
      <c r="AM785" s="405" t="s">
        <v>52</v>
      </c>
      <c r="AN785" s="361" t="s">
        <v>50</v>
      </c>
      <c r="AO785" s="405" t="s">
        <v>1073</v>
      </c>
      <c r="AP785" s="405"/>
      <c r="AQ785" s="413" t="s">
        <v>37</v>
      </c>
      <c r="AR785" s="405" t="s">
        <v>1188</v>
      </c>
      <c r="AS785" s="404" t="s">
        <v>1392</v>
      </c>
      <c r="AT785" s="330"/>
      <c r="AU785" s="409">
        <f t="shared" si="98"/>
        <v>0.52</v>
      </c>
    </row>
    <row r="786" spans="1:47" s="402" customFormat="1">
      <c r="A786" s="426"/>
      <c r="B786" s="376"/>
      <c r="C786" s="426"/>
      <c r="D786" s="443" t="s">
        <v>86</v>
      </c>
      <c r="E786" s="331"/>
      <c r="F786" s="432"/>
      <c r="G786" s="350">
        <v>2022</v>
      </c>
      <c r="H786" s="350" t="s">
        <v>2383</v>
      </c>
      <c r="I786" s="432" t="s">
        <v>1498</v>
      </c>
      <c r="J786" s="433"/>
      <c r="K786" s="432" t="s">
        <v>3173</v>
      </c>
      <c r="L786" s="432" t="s">
        <v>1588</v>
      </c>
      <c r="M786" s="433">
        <v>44655</v>
      </c>
      <c r="N786" s="433">
        <v>44835</v>
      </c>
      <c r="O786" s="433"/>
      <c r="P786" s="332"/>
      <c r="Q786" s="433"/>
      <c r="R786" s="433"/>
      <c r="S786" s="432" t="s">
        <v>88</v>
      </c>
      <c r="T786" s="432">
        <v>60</v>
      </c>
      <c r="U786" s="432"/>
      <c r="V786" s="441" t="s">
        <v>973</v>
      </c>
      <c r="W786" s="432">
        <v>400</v>
      </c>
      <c r="X786" s="333">
        <v>1536</v>
      </c>
      <c r="Y786" s="367">
        <f t="shared" si="92"/>
        <v>614400</v>
      </c>
      <c r="Z786" s="409">
        <f t="shared" si="99"/>
        <v>0.55000000000000004</v>
      </c>
      <c r="AA786" s="410">
        <f t="shared" si="95"/>
        <v>337920</v>
      </c>
      <c r="AB786" s="411"/>
      <c r="AC786" s="412">
        <f t="shared" si="93"/>
        <v>0</v>
      </c>
      <c r="AD786" s="405"/>
      <c r="AE786" s="405"/>
      <c r="AF786" s="424">
        <f t="shared" si="91"/>
        <v>337920</v>
      </c>
      <c r="AG786" s="405" t="s">
        <v>1069</v>
      </c>
      <c r="AH786" s="405">
        <v>100</v>
      </c>
      <c r="AI786" s="405">
        <v>0</v>
      </c>
      <c r="AJ786" s="406" t="s">
        <v>3170</v>
      </c>
      <c r="AK786" s="406" t="s">
        <v>50</v>
      </c>
      <c r="AL786" s="414" t="s">
        <v>3171</v>
      </c>
      <c r="AM786" s="405" t="s">
        <v>52</v>
      </c>
      <c r="AN786" s="361" t="s">
        <v>50</v>
      </c>
      <c r="AO786" s="405" t="s">
        <v>1073</v>
      </c>
      <c r="AP786" s="405"/>
      <c r="AQ786" s="413" t="s">
        <v>37</v>
      </c>
      <c r="AR786" s="405" t="s">
        <v>1188</v>
      </c>
      <c r="AS786" s="404" t="s">
        <v>1392</v>
      </c>
      <c r="AT786" s="330"/>
      <c r="AU786" s="409">
        <f t="shared" si="98"/>
        <v>0.52</v>
      </c>
    </row>
    <row r="787" spans="1:47" s="402" customFormat="1">
      <c r="A787" s="426"/>
      <c r="B787" s="376"/>
      <c r="C787" s="426"/>
      <c r="D787" s="443" t="s">
        <v>86</v>
      </c>
      <c r="E787" s="331"/>
      <c r="F787" s="432"/>
      <c r="G787" s="350">
        <v>2022</v>
      </c>
      <c r="H787" s="350" t="s">
        <v>2383</v>
      </c>
      <c r="I787" s="432" t="s">
        <v>1498</v>
      </c>
      <c r="J787" s="433"/>
      <c r="K787" s="432" t="s">
        <v>3173</v>
      </c>
      <c r="L787" s="432" t="s">
        <v>1588</v>
      </c>
      <c r="M787" s="433">
        <v>44655</v>
      </c>
      <c r="N787" s="433">
        <v>44866</v>
      </c>
      <c r="O787" s="433"/>
      <c r="P787" s="332"/>
      <c r="Q787" s="433"/>
      <c r="R787" s="433"/>
      <c r="S787" s="432" t="s">
        <v>88</v>
      </c>
      <c r="T787" s="432">
        <v>60</v>
      </c>
      <c r="U787" s="432"/>
      <c r="V787" s="441" t="s">
        <v>973</v>
      </c>
      <c r="W787" s="432">
        <v>400</v>
      </c>
      <c r="X787" s="333">
        <v>768</v>
      </c>
      <c r="Y787" s="367">
        <f t="shared" si="92"/>
        <v>307200</v>
      </c>
      <c r="Z787" s="409">
        <f t="shared" si="99"/>
        <v>0.55000000000000004</v>
      </c>
      <c r="AA787" s="410">
        <f t="shared" si="95"/>
        <v>168960</v>
      </c>
      <c r="AB787" s="411"/>
      <c r="AC787" s="412">
        <f t="shared" si="93"/>
        <v>0</v>
      </c>
      <c r="AD787" s="405"/>
      <c r="AE787" s="405"/>
      <c r="AF787" s="424">
        <f t="shared" si="91"/>
        <v>168960</v>
      </c>
      <c r="AG787" s="405" t="s">
        <v>1069</v>
      </c>
      <c r="AH787" s="405">
        <v>100</v>
      </c>
      <c r="AI787" s="405">
        <v>0</v>
      </c>
      <c r="AJ787" s="406" t="s">
        <v>3170</v>
      </c>
      <c r="AK787" s="406" t="s">
        <v>50</v>
      </c>
      <c r="AL787" s="414" t="s">
        <v>3171</v>
      </c>
      <c r="AM787" s="405" t="s">
        <v>52</v>
      </c>
      <c r="AN787" s="361" t="s">
        <v>50</v>
      </c>
      <c r="AO787" s="405" t="s">
        <v>1073</v>
      </c>
      <c r="AP787" s="405"/>
      <c r="AQ787" s="413" t="s">
        <v>37</v>
      </c>
      <c r="AR787" s="405" t="s">
        <v>1188</v>
      </c>
      <c r="AS787" s="404" t="s">
        <v>1392</v>
      </c>
      <c r="AT787" s="330"/>
      <c r="AU787" s="409">
        <f t="shared" si="98"/>
        <v>0.52</v>
      </c>
    </row>
    <row r="788" spans="1:47" s="402" customFormat="1">
      <c r="A788" s="426"/>
      <c r="B788" s="376"/>
      <c r="C788" s="426"/>
      <c r="D788" s="443" t="s">
        <v>86</v>
      </c>
      <c r="E788" s="331"/>
      <c r="F788" s="432"/>
      <c r="G788" s="350">
        <v>2022</v>
      </c>
      <c r="H788" s="350" t="s">
        <v>2383</v>
      </c>
      <c r="I788" s="432" t="s">
        <v>1498</v>
      </c>
      <c r="J788" s="433"/>
      <c r="K788" s="432" t="s">
        <v>3173</v>
      </c>
      <c r="L788" s="432" t="s">
        <v>1588</v>
      </c>
      <c r="M788" s="433">
        <v>44655</v>
      </c>
      <c r="N788" s="433">
        <v>44896</v>
      </c>
      <c r="O788" s="433"/>
      <c r="P788" s="332"/>
      <c r="Q788" s="433"/>
      <c r="R788" s="433"/>
      <c r="S788" s="432" t="s">
        <v>88</v>
      </c>
      <c r="T788" s="432">
        <v>60</v>
      </c>
      <c r="U788" s="432"/>
      <c r="V788" s="441" t="s">
        <v>973</v>
      </c>
      <c r="W788" s="432">
        <v>400</v>
      </c>
      <c r="X788" s="333">
        <v>768</v>
      </c>
      <c r="Y788" s="367">
        <f t="shared" si="92"/>
        <v>307200</v>
      </c>
      <c r="Z788" s="409">
        <f t="shared" si="99"/>
        <v>0.55000000000000004</v>
      </c>
      <c r="AA788" s="410">
        <f t="shared" si="95"/>
        <v>168960</v>
      </c>
      <c r="AB788" s="411"/>
      <c r="AC788" s="412">
        <f t="shared" si="93"/>
        <v>0</v>
      </c>
      <c r="AD788" s="405"/>
      <c r="AE788" s="405"/>
      <c r="AF788" s="424">
        <f t="shared" si="91"/>
        <v>168960</v>
      </c>
      <c r="AG788" s="405" t="s">
        <v>1069</v>
      </c>
      <c r="AH788" s="405">
        <v>100</v>
      </c>
      <c r="AI788" s="405">
        <v>0</v>
      </c>
      <c r="AJ788" s="406" t="s">
        <v>3170</v>
      </c>
      <c r="AK788" s="406" t="s">
        <v>50</v>
      </c>
      <c r="AL788" s="414" t="s">
        <v>3171</v>
      </c>
      <c r="AM788" s="405" t="s">
        <v>52</v>
      </c>
      <c r="AN788" s="361" t="s">
        <v>50</v>
      </c>
      <c r="AO788" s="405" t="s">
        <v>1073</v>
      </c>
      <c r="AP788" s="405"/>
      <c r="AQ788" s="413" t="s">
        <v>37</v>
      </c>
      <c r="AR788" s="405" t="s">
        <v>1188</v>
      </c>
      <c r="AS788" s="404" t="s">
        <v>1392</v>
      </c>
      <c r="AT788" s="330"/>
      <c r="AU788" s="409">
        <f t="shared" si="98"/>
        <v>0.52</v>
      </c>
    </row>
    <row r="789" spans="1:47" s="402" customFormat="1">
      <c r="A789" s="426"/>
      <c r="B789" s="376"/>
      <c r="C789" s="426"/>
      <c r="D789" s="443" t="s">
        <v>86</v>
      </c>
      <c r="E789" s="331"/>
      <c r="F789" s="432"/>
      <c r="G789" s="350">
        <v>2022</v>
      </c>
      <c r="H789" s="350" t="s">
        <v>2383</v>
      </c>
      <c r="I789" s="432" t="s">
        <v>1498</v>
      </c>
      <c r="J789" s="433"/>
      <c r="K789" s="432" t="s">
        <v>3174</v>
      </c>
      <c r="L789" s="432" t="s">
        <v>1588</v>
      </c>
      <c r="M789" s="433">
        <v>44655</v>
      </c>
      <c r="N789" s="433">
        <v>44774</v>
      </c>
      <c r="O789" s="433"/>
      <c r="P789" s="332"/>
      <c r="Q789" s="433"/>
      <c r="R789" s="433"/>
      <c r="S789" s="432" t="s">
        <v>88</v>
      </c>
      <c r="T789" s="432">
        <v>60</v>
      </c>
      <c r="U789" s="432"/>
      <c r="V789" s="441" t="s">
        <v>1192</v>
      </c>
      <c r="W789" s="432">
        <v>360</v>
      </c>
      <c r="X789" s="333">
        <v>676</v>
      </c>
      <c r="Y789" s="367">
        <f t="shared" si="92"/>
        <v>243360</v>
      </c>
      <c r="Z789" s="409">
        <f>298.8/360</f>
        <v>0.83000000000000007</v>
      </c>
      <c r="AA789" s="410">
        <f t="shared" si="95"/>
        <v>201988.80000000002</v>
      </c>
      <c r="AB789" s="411"/>
      <c r="AC789" s="412">
        <f t="shared" si="93"/>
        <v>0</v>
      </c>
      <c r="AD789" s="405"/>
      <c r="AE789" s="405"/>
      <c r="AF789" s="424">
        <f t="shared" si="91"/>
        <v>201988.80000000002</v>
      </c>
      <c r="AG789" s="405" t="s">
        <v>1069</v>
      </c>
      <c r="AH789" s="405">
        <v>100</v>
      </c>
      <c r="AI789" s="405">
        <v>0</v>
      </c>
      <c r="AJ789" s="406" t="s">
        <v>3170</v>
      </c>
      <c r="AK789" s="406" t="s">
        <v>50</v>
      </c>
      <c r="AL789" s="414" t="s">
        <v>3171</v>
      </c>
      <c r="AM789" s="405" t="s">
        <v>52</v>
      </c>
      <c r="AN789" s="361" t="s">
        <v>50</v>
      </c>
      <c r="AO789" s="405" t="s">
        <v>1073</v>
      </c>
      <c r="AP789" s="405"/>
      <c r="AQ789" s="413" t="s">
        <v>37</v>
      </c>
      <c r="AR789" s="405" t="s">
        <v>1188</v>
      </c>
      <c r="AS789" s="404" t="s">
        <v>1392</v>
      </c>
      <c r="AT789" s="330"/>
      <c r="AU789" s="409">
        <f t="shared" si="98"/>
        <v>0.52</v>
      </c>
    </row>
    <row r="790" spans="1:47" s="402" customFormat="1">
      <c r="A790" s="426"/>
      <c r="B790" s="376"/>
      <c r="C790" s="426"/>
      <c r="D790" s="443" t="s">
        <v>86</v>
      </c>
      <c r="E790" s="331"/>
      <c r="F790" s="432"/>
      <c r="G790" s="350">
        <v>2022</v>
      </c>
      <c r="H790" s="350" t="s">
        <v>2383</v>
      </c>
      <c r="I790" s="432" t="s">
        <v>1498</v>
      </c>
      <c r="J790" s="433"/>
      <c r="K790" s="432" t="s">
        <v>3175</v>
      </c>
      <c r="L790" s="432" t="s">
        <v>1588</v>
      </c>
      <c r="M790" s="433">
        <v>44655</v>
      </c>
      <c r="N790" s="433">
        <v>44683</v>
      </c>
      <c r="O790" s="433"/>
      <c r="P790" s="332"/>
      <c r="Q790" s="433"/>
      <c r="R790" s="433"/>
      <c r="S790" s="432" t="s">
        <v>88</v>
      </c>
      <c r="T790" s="432">
        <v>60</v>
      </c>
      <c r="U790" s="432"/>
      <c r="V790" s="441" t="s">
        <v>1192</v>
      </c>
      <c r="W790" s="432">
        <v>360</v>
      </c>
      <c r="X790" s="333">
        <v>676</v>
      </c>
      <c r="Y790" s="367">
        <f t="shared" si="92"/>
        <v>243360</v>
      </c>
      <c r="Z790" s="409">
        <f>298.8/360</f>
        <v>0.83000000000000007</v>
      </c>
      <c r="AA790" s="410">
        <f t="shared" si="95"/>
        <v>201988.80000000002</v>
      </c>
      <c r="AB790" s="411"/>
      <c r="AC790" s="412">
        <f t="shared" si="93"/>
        <v>0</v>
      </c>
      <c r="AD790" s="405"/>
      <c r="AE790" s="405"/>
      <c r="AF790" s="424">
        <f t="shared" si="91"/>
        <v>201988.80000000002</v>
      </c>
      <c r="AG790" s="405" t="s">
        <v>1069</v>
      </c>
      <c r="AH790" s="405">
        <v>100</v>
      </c>
      <c r="AI790" s="405">
        <v>0</v>
      </c>
      <c r="AJ790" s="406" t="s">
        <v>3170</v>
      </c>
      <c r="AK790" s="406" t="s">
        <v>50</v>
      </c>
      <c r="AL790" s="414" t="s">
        <v>3171</v>
      </c>
      <c r="AM790" s="405" t="s">
        <v>52</v>
      </c>
      <c r="AN790" s="361" t="s">
        <v>50</v>
      </c>
      <c r="AO790" s="405" t="s">
        <v>1073</v>
      </c>
      <c r="AP790" s="405"/>
      <c r="AQ790" s="413" t="s">
        <v>37</v>
      </c>
      <c r="AR790" s="405" t="s">
        <v>1188</v>
      </c>
      <c r="AS790" s="404" t="s">
        <v>1392</v>
      </c>
      <c r="AT790" s="330"/>
      <c r="AU790" s="409">
        <f t="shared" si="98"/>
        <v>0.52</v>
      </c>
    </row>
    <row r="791" spans="1:47" s="402" customFormat="1">
      <c r="A791" s="426"/>
      <c r="B791" s="376"/>
      <c r="C791" s="426"/>
      <c r="D791" s="443" t="s">
        <v>86</v>
      </c>
      <c r="E791" s="331"/>
      <c r="F791" s="432"/>
      <c r="G791" s="350">
        <v>2022</v>
      </c>
      <c r="H791" s="350" t="s">
        <v>2383</v>
      </c>
      <c r="I791" s="432" t="s">
        <v>1498</v>
      </c>
      <c r="J791" s="433"/>
      <c r="K791" s="432" t="s">
        <v>3176</v>
      </c>
      <c r="L791" s="432" t="s">
        <v>1576</v>
      </c>
      <c r="M791" s="433">
        <v>44651</v>
      </c>
      <c r="N791" s="433">
        <v>44718</v>
      </c>
      <c r="O791" s="433"/>
      <c r="P791" s="332"/>
      <c r="Q791" s="433"/>
      <c r="R791" s="433"/>
      <c r="S791" s="432" t="s">
        <v>1520</v>
      </c>
      <c r="T791" s="432">
        <v>60</v>
      </c>
      <c r="U791" s="432"/>
      <c r="V791" s="441" t="s">
        <v>973</v>
      </c>
      <c r="W791" s="432">
        <v>400</v>
      </c>
      <c r="X791" s="333">
        <v>1536</v>
      </c>
      <c r="Y791" s="367">
        <f t="shared" ref="Y791:Y805" si="100">X791*W791</f>
        <v>614400</v>
      </c>
      <c r="Z791" s="409">
        <f t="shared" ref="Z791:Z800" si="101">220/400</f>
        <v>0.55000000000000004</v>
      </c>
      <c r="AA791" s="410">
        <f t="shared" si="95"/>
        <v>337920</v>
      </c>
      <c r="AB791" s="411"/>
      <c r="AC791" s="412"/>
      <c r="AD791" s="405"/>
      <c r="AE791" s="405"/>
      <c r="AF791" s="424">
        <f t="shared" si="91"/>
        <v>337920</v>
      </c>
      <c r="AG791" s="405" t="s">
        <v>1069</v>
      </c>
      <c r="AH791" s="405"/>
      <c r="AI791" s="405">
        <v>60</v>
      </c>
      <c r="AJ791" s="406" t="s">
        <v>1577</v>
      </c>
      <c r="AK791" s="406" t="s">
        <v>1341</v>
      </c>
      <c r="AL791" s="414">
        <v>83642</v>
      </c>
      <c r="AM791" s="405" t="s">
        <v>52</v>
      </c>
      <c r="AN791" s="361" t="s">
        <v>1071</v>
      </c>
      <c r="AO791" s="405" t="s">
        <v>1073</v>
      </c>
      <c r="AP791" s="405"/>
      <c r="AQ791" s="413" t="s">
        <v>37</v>
      </c>
      <c r="AR791" s="405" t="s">
        <v>1243</v>
      </c>
      <c r="AS791" s="404"/>
      <c r="AT791" s="330"/>
      <c r="AU791" s="409">
        <f t="shared" ref="AU791:AU805" si="102">196/400</f>
        <v>0.49</v>
      </c>
    </row>
    <row r="792" spans="1:47" s="402" customFormat="1">
      <c r="A792" s="426"/>
      <c r="B792" s="376"/>
      <c r="C792" s="426"/>
      <c r="D792" s="443" t="s">
        <v>86</v>
      </c>
      <c r="E792" s="331"/>
      <c r="F792" s="432"/>
      <c r="G792" s="350">
        <v>2022</v>
      </c>
      <c r="H792" s="350" t="s">
        <v>2383</v>
      </c>
      <c r="I792" s="432" t="s">
        <v>1498</v>
      </c>
      <c r="J792" s="433"/>
      <c r="K792" s="432" t="s">
        <v>3177</v>
      </c>
      <c r="L792" s="432" t="s">
        <v>1576</v>
      </c>
      <c r="M792" s="433">
        <v>44651</v>
      </c>
      <c r="N792" s="433">
        <v>44739</v>
      </c>
      <c r="O792" s="433"/>
      <c r="P792" s="332"/>
      <c r="Q792" s="433"/>
      <c r="R792" s="433"/>
      <c r="S792" s="432" t="s">
        <v>1520</v>
      </c>
      <c r="T792" s="432">
        <v>60</v>
      </c>
      <c r="U792" s="432"/>
      <c r="V792" s="441" t="s">
        <v>973</v>
      </c>
      <c r="W792" s="432">
        <v>400</v>
      </c>
      <c r="X792" s="333">
        <v>768</v>
      </c>
      <c r="Y792" s="367">
        <f t="shared" si="100"/>
        <v>307200</v>
      </c>
      <c r="Z792" s="409">
        <f t="shared" si="101"/>
        <v>0.55000000000000004</v>
      </c>
      <c r="AA792" s="410">
        <f t="shared" si="95"/>
        <v>168960</v>
      </c>
      <c r="AB792" s="411"/>
      <c r="AC792" s="412"/>
      <c r="AD792" s="405"/>
      <c r="AE792" s="405"/>
      <c r="AF792" s="424">
        <f t="shared" si="91"/>
        <v>168960</v>
      </c>
      <c r="AG792" s="405" t="s">
        <v>1069</v>
      </c>
      <c r="AH792" s="405"/>
      <c r="AI792" s="405">
        <v>60</v>
      </c>
      <c r="AJ792" s="406" t="s">
        <v>1577</v>
      </c>
      <c r="AK792" s="406" t="s">
        <v>1341</v>
      </c>
      <c r="AL792" s="414">
        <v>83642</v>
      </c>
      <c r="AM792" s="405" t="s">
        <v>52</v>
      </c>
      <c r="AN792" s="361" t="s">
        <v>1071</v>
      </c>
      <c r="AO792" s="405" t="s">
        <v>1073</v>
      </c>
      <c r="AP792" s="405"/>
      <c r="AQ792" s="413" t="s">
        <v>37</v>
      </c>
      <c r="AR792" s="405" t="s">
        <v>1243</v>
      </c>
      <c r="AS792" s="404"/>
      <c r="AT792" s="330"/>
      <c r="AU792" s="409">
        <f t="shared" si="102"/>
        <v>0.49</v>
      </c>
    </row>
    <row r="793" spans="1:47" s="402" customFormat="1">
      <c r="A793" s="426"/>
      <c r="B793" s="376"/>
      <c r="C793" s="426"/>
      <c r="D793" s="443" t="s">
        <v>86</v>
      </c>
      <c r="E793" s="331"/>
      <c r="F793" s="432"/>
      <c r="G793" s="350">
        <v>2022</v>
      </c>
      <c r="H793" s="350" t="s">
        <v>2383</v>
      </c>
      <c r="I793" s="432" t="s">
        <v>1498</v>
      </c>
      <c r="J793" s="433"/>
      <c r="K793" s="432" t="s">
        <v>3178</v>
      </c>
      <c r="L793" s="432" t="s">
        <v>1576</v>
      </c>
      <c r="M793" s="433">
        <v>44651</v>
      </c>
      <c r="N793" s="433">
        <v>44753</v>
      </c>
      <c r="O793" s="433"/>
      <c r="P793" s="332"/>
      <c r="Q793" s="433"/>
      <c r="R793" s="433"/>
      <c r="S793" s="432" t="s">
        <v>1520</v>
      </c>
      <c r="T793" s="432">
        <v>60</v>
      </c>
      <c r="U793" s="432"/>
      <c r="V793" s="441" t="s">
        <v>973</v>
      </c>
      <c r="W793" s="432">
        <v>400</v>
      </c>
      <c r="X793" s="333">
        <v>768</v>
      </c>
      <c r="Y793" s="367">
        <f t="shared" si="100"/>
        <v>307200</v>
      </c>
      <c r="Z793" s="409">
        <f t="shared" si="101"/>
        <v>0.55000000000000004</v>
      </c>
      <c r="AA793" s="410">
        <f t="shared" si="95"/>
        <v>168960</v>
      </c>
      <c r="AB793" s="411"/>
      <c r="AC793" s="412"/>
      <c r="AD793" s="405"/>
      <c r="AE793" s="405"/>
      <c r="AF793" s="424">
        <f t="shared" si="91"/>
        <v>168960</v>
      </c>
      <c r="AG793" s="405" t="s">
        <v>1069</v>
      </c>
      <c r="AH793" s="405"/>
      <c r="AI793" s="405">
        <v>60</v>
      </c>
      <c r="AJ793" s="406" t="s">
        <v>1577</v>
      </c>
      <c r="AK793" s="406" t="s">
        <v>1341</v>
      </c>
      <c r="AL793" s="414">
        <v>83642</v>
      </c>
      <c r="AM793" s="405" t="s">
        <v>52</v>
      </c>
      <c r="AN793" s="361" t="s">
        <v>1071</v>
      </c>
      <c r="AO793" s="405" t="s">
        <v>1073</v>
      </c>
      <c r="AP793" s="405"/>
      <c r="AQ793" s="413" t="s">
        <v>37</v>
      </c>
      <c r="AR793" s="405" t="s">
        <v>1243</v>
      </c>
      <c r="AS793" s="404"/>
      <c r="AT793" s="330"/>
      <c r="AU793" s="409">
        <f t="shared" si="102"/>
        <v>0.49</v>
      </c>
    </row>
    <row r="794" spans="1:47" s="402" customFormat="1">
      <c r="A794" s="426"/>
      <c r="B794" s="376"/>
      <c r="C794" s="426"/>
      <c r="D794" s="443" t="s">
        <v>86</v>
      </c>
      <c r="E794" s="331"/>
      <c r="F794" s="432"/>
      <c r="G794" s="350">
        <v>2022</v>
      </c>
      <c r="H794" s="350" t="s">
        <v>2383</v>
      </c>
      <c r="I794" s="432" t="s">
        <v>1498</v>
      </c>
      <c r="J794" s="433"/>
      <c r="K794" s="432" t="s">
        <v>3179</v>
      </c>
      <c r="L794" s="432" t="s">
        <v>1576</v>
      </c>
      <c r="M794" s="433">
        <v>44651</v>
      </c>
      <c r="N794" s="433">
        <v>44767</v>
      </c>
      <c r="O794" s="433"/>
      <c r="P794" s="332"/>
      <c r="Q794" s="433"/>
      <c r="R794" s="433"/>
      <c r="S794" s="432" t="s">
        <v>1520</v>
      </c>
      <c r="T794" s="432">
        <v>60</v>
      </c>
      <c r="U794" s="432"/>
      <c r="V794" s="441" t="s">
        <v>973</v>
      </c>
      <c r="W794" s="432">
        <v>400</v>
      </c>
      <c r="X794" s="333">
        <v>768</v>
      </c>
      <c r="Y794" s="367">
        <f t="shared" si="100"/>
        <v>307200</v>
      </c>
      <c r="Z794" s="409">
        <f t="shared" si="101"/>
        <v>0.55000000000000004</v>
      </c>
      <c r="AA794" s="410">
        <f t="shared" si="95"/>
        <v>168960</v>
      </c>
      <c r="AB794" s="411"/>
      <c r="AC794" s="412"/>
      <c r="AD794" s="405"/>
      <c r="AE794" s="405"/>
      <c r="AF794" s="424">
        <f t="shared" si="91"/>
        <v>168960</v>
      </c>
      <c r="AG794" s="405" t="s">
        <v>1069</v>
      </c>
      <c r="AH794" s="405"/>
      <c r="AI794" s="405">
        <v>60</v>
      </c>
      <c r="AJ794" s="406" t="s">
        <v>1577</v>
      </c>
      <c r="AK794" s="406" t="s">
        <v>1341</v>
      </c>
      <c r="AL794" s="414">
        <v>83642</v>
      </c>
      <c r="AM794" s="405" t="s">
        <v>52</v>
      </c>
      <c r="AN794" s="361" t="s">
        <v>1071</v>
      </c>
      <c r="AO794" s="405" t="s">
        <v>1073</v>
      </c>
      <c r="AP794" s="405"/>
      <c r="AQ794" s="413" t="s">
        <v>37</v>
      </c>
      <c r="AR794" s="405" t="s">
        <v>1243</v>
      </c>
      <c r="AS794" s="404"/>
      <c r="AT794" s="330"/>
      <c r="AU794" s="409">
        <f t="shared" si="102"/>
        <v>0.49</v>
      </c>
    </row>
    <row r="795" spans="1:47" s="402" customFormat="1">
      <c r="A795" s="426"/>
      <c r="B795" s="376"/>
      <c r="C795" s="426"/>
      <c r="D795" s="443" t="s">
        <v>86</v>
      </c>
      <c r="E795" s="331"/>
      <c r="F795" s="432"/>
      <c r="G795" s="350">
        <v>2022</v>
      </c>
      <c r="H795" s="350" t="s">
        <v>2383</v>
      </c>
      <c r="I795" s="432" t="s">
        <v>1498</v>
      </c>
      <c r="J795" s="433"/>
      <c r="K795" s="432" t="s">
        <v>3180</v>
      </c>
      <c r="L795" s="432" t="s">
        <v>1576</v>
      </c>
      <c r="M795" s="433">
        <v>44651</v>
      </c>
      <c r="N795" s="433">
        <v>44781</v>
      </c>
      <c r="O795" s="433"/>
      <c r="P795" s="332"/>
      <c r="Q795" s="433"/>
      <c r="R795" s="433"/>
      <c r="S795" s="432" t="s">
        <v>1520</v>
      </c>
      <c r="T795" s="432">
        <v>60</v>
      </c>
      <c r="U795" s="432"/>
      <c r="V795" s="441" t="s">
        <v>973</v>
      </c>
      <c r="W795" s="432">
        <v>400</v>
      </c>
      <c r="X795" s="333">
        <v>768</v>
      </c>
      <c r="Y795" s="367">
        <f t="shared" si="100"/>
        <v>307200</v>
      </c>
      <c r="Z795" s="409">
        <f t="shared" si="101"/>
        <v>0.55000000000000004</v>
      </c>
      <c r="AA795" s="410">
        <f t="shared" si="95"/>
        <v>168960</v>
      </c>
      <c r="AB795" s="411"/>
      <c r="AC795" s="412"/>
      <c r="AD795" s="405"/>
      <c r="AE795" s="405"/>
      <c r="AF795" s="424">
        <f t="shared" si="91"/>
        <v>168960</v>
      </c>
      <c r="AG795" s="405" t="s">
        <v>1069</v>
      </c>
      <c r="AH795" s="405"/>
      <c r="AI795" s="405">
        <v>60</v>
      </c>
      <c r="AJ795" s="406" t="s">
        <v>1577</v>
      </c>
      <c r="AK795" s="406" t="s">
        <v>1341</v>
      </c>
      <c r="AL795" s="414">
        <v>83642</v>
      </c>
      <c r="AM795" s="405" t="s">
        <v>52</v>
      </c>
      <c r="AN795" s="361" t="s">
        <v>1071</v>
      </c>
      <c r="AO795" s="405" t="s">
        <v>1073</v>
      </c>
      <c r="AP795" s="405"/>
      <c r="AQ795" s="413" t="s">
        <v>37</v>
      </c>
      <c r="AR795" s="405" t="s">
        <v>1243</v>
      </c>
      <c r="AS795" s="404"/>
      <c r="AT795" s="330"/>
      <c r="AU795" s="409">
        <f t="shared" si="102"/>
        <v>0.49</v>
      </c>
    </row>
    <row r="796" spans="1:47" s="402" customFormat="1">
      <c r="A796" s="426"/>
      <c r="B796" s="376"/>
      <c r="C796" s="426"/>
      <c r="D796" s="443" t="s">
        <v>86</v>
      </c>
      <c r="E796" s="331"/>
      <c r="F796" s="432"/>
      <c r="G796" s="350">
        <v>2022</v>
      </c>
      <c r="H796" s="350" t="s">
        <v>2383</v>
      </c>
      <c r="I796" s="432" t="s">
        <v>1498</v>
      </c>
      <c r="J796" s="433"/>
      <c r="K796" s="432" t="s">
        <v>3181</v>
      </c>
      <c r="L796" s="432" t="s">
        <v>1576</v>
      </c>
      <c r="M796" s="433">
        <v>44651</v>
      </c>
      <c r="N796" s="433">
        <v>44792</v>
      </c>
      <c r="O796" s="433"/>
      <c r="P796" s="332"/>
      <c r="Q796" s="433"/>
      <c r="R796" s="433"/>
      <c r="S796" s="432" t="s">
        <v>1520</v>
      </c>
      <c r="T796" s="432">
        <v>60</v>
      </c>
      <c r="U796" s="432"/>
      <c r="V796" s="441" t="s">
        <v>973</v>
      </c>
      <c r="W796" s="432">
        <v>400</v>
      </c>
      <c r="X796" s="333">
        <v>768</v>
      </c>
      <c r="Y796" s="367">
        <f t="shared" si="100"/>
        <v>307200</v>
      </c>
      <c r="Z796" s="409">
        <f t="shared" si="101"/>
        <v>0.55000000000000004</v>
      </c>
      <c r="AA796" s="410">
        <f t="shared" si="95"/>
        <v>168960</v>
      </c>
      <c r="AB796" s="411"/>
      <c r="AC796" s="412"/>
      <c r="AD796" s="405"/>
      <c r="AE796" s="405"/>
      <c r="AF796" s="424">
        <f t="shared" si="91"/>
        <v>168960</v>
      </c>
      <c r="AG796" s="405" t="s">
        <v>1069</v>
      </c>
      <c r="AH796" s="405"/>
      <c r="AI796" s="405">
        <v>60</v>
      </c>
      <c r="AJ796" s="406" t="s">
        <v>1577</v>
      </c>
      <c r="AK796" s="406" t="s">
        <v>1341</v>
      </c>
      <c r="AL796" s="414">
        <v>83642</v>
      </c>
      <c r="AM796" s="405" t="s">
        <v>52</v>
      </c>
      <c r="AN796" s="361" t="s">
        <v>1071</v>
      </c>
      <c r="AO796" s="405" t="s">
        <v>1073</v>
      </c>
      <c r="AP796" s="405"/>
      <c r="AQ796" s="413" t="s">
        <v>37</v>
      </c>
      <c r="AR796" s="405" t="s">
        <v>1243</v>
      </c>
      <c r="AS796" s="404"/>
      <c r="AT796" s="330"/>
      <c r="AU796" s="409">
        <f t="shared" si="102"/>
        <v>0.49</v>
      </c>
    </row>
    <row r="797" spans="1:47" s="402" customFormat="1">
      <c r="A797" s="426"/>
      <c r="B797" s="376"/>
      <c r="C797" s="426"/>
      <c r="D797" s="443" t="s">
        <v>86</v>
      </c>
      <c r="E797" s="331"/>
      <c r="F797" s="432"/>
      <c r="G797" s="350">
        <v>2022</v>
      </c>
      <c r="H797" s="350" t="s">
        <v>2383</v>
      </c>
      <c r="I797" s="432" t="s">
        <v>1498</v>
      </c>
      <c r="J797" s="433"/>
      <c r="K797" s="432" t="s">
        <v>3182</v>
      </c>
      <c r="L797" s="432" t="s">
        <v>1576</v>
      </c>
      <c r="M797" s="433">
        <v>44651</v>
      </c>
      <c r="N797" s="433">
        <v>44802</v>
      </c>
      <c r="O797" s="433"/>
      <c r="P797" s="332"/>
      <c r="Q797" s="433"/>
      <c r="R797" s="433"/>
      <c r="S797" s="432" t="s">
        <v>1520</v>
      </c>
      <c r="T797" s="432">
        <v>60</v>
      </c>
      <c r="U797" s="432"/>
      <c r="V797" s="441" t="s">
        <v>973</v>
      </c>
      <c r="W797" s="432">
        <v>400</v>
      </c>
      <c r="X797" s="333">
        <v>768</v>
      </c>
      <c r="Y797" s="367">
        <f t="shared" si="100"/>
        <v>307200</v>
      </c>
      <c r="Z797" s="409">
        <f t="shared" si="101"/>
        <v>0.55000000000000004</v>
      </c>
      <c r="AA797" s="410">
        <f t="shared" si="95"/>
        <v>168960</v>
      </c>
      <c r="AB797" s="411"/>
      <c r="AC797" s="412"/>
      <c r="AD797" s="405"/>
      <c r="AE797" s="405"/>
      <c r="AF797" s="424">
        <f t="shared" si="91"/>
        <v>168960</v>
      </c>
      <c r="AG797" s="405" t="s">
        <v>1069</v>
      </c>
      <c r="AH797" s="405"/>
      <c r="AI797" s="405">
        <v>60</v>
      </c>
      <c r="AJ797" s="406" t="s">
        <v>1577</v>
      </c>
      <c r="AK797" s="406" t="s">
        <v>1341</v>
      </c>
      <c r="AL797" s="414">
        <v>83642</v>
      </c>
      <c r="AM797" s="405" t="s">
        <v>52</v>
      </c>
      <c r="AN797" s="361" t="s">
        <v>1071</v>
      </c>
      <c r="AO797" s="405" t="s">
        <v>1073</v>
      </c>
      <c r="AP797" s="405"/>
      <c r="AQ797" s="413" t="s">
        <v>37</v>
      </c>
      <c r="AR797" s="405" t="s">
        <v>1243</v>
      </c>
      <c r="AS797" s="404"/>
      <c r="AT797" s="330"/>
      <c r="AU797" s="409">
        <f t="shared" si="102"/>
        <v>0.49</v>
      </c>
    </row>
    <row r="798" spans="1:47" s="402" customFormat="1">
      <c r="A798" s="426"/>
      <c r="B798" s="376"/>
      <c r="C798" s="426"/>
      <c r="D798" s="443" t="s">
        <v>86</v>
      </c>
      <c r="E798" s="331"/>
      <c r="F798" s="432"/>
      <c r="G798" s="350">
        <v>2022</v>
      </c>
      <c r="H798" s="350" t="s">
        <v>2383</v>
      </c>
      <c r="I798" s="432" t="s">
        <v>1498</v>
      </c>
      <c r="J798" s="433"/>
      <c r="K798" s="432" t="s">
        <v>3183</v>
      </c>
      <c r="L798" s="432" t="s">
        <v>1576</v>
      </c>
      <c r="M798" s="433">
        <v>44651</v>
      </c>
      <c r="N798" s="433">
        <v>44809</v>
      </c>
      <c r="O798" s="433"/>
      <c r="P798" s="332"/>
      <c r="Q798" s="433"/>
      <c r="R798" s="433"/>
      <c r="S798" s="432" t="s">
        <v>1520</v>
      </c>
      <c r="T798" s="432">
        <v>60</v>
      </c>
      <c r="U798" s="432"/>
      <c r="V798" s="441" t="s">
        <v>973</v>
      </c>
      <c r="W798" s="432">
        <v>400</v>
      </c>
      <c r="X798" s="333">
        <v>768</v>
      </c>
      <c r="Y798" s="367">
        <f t="shared" si="100"/>
        <v>307200</v>
      </c>
      <c r="Z798" s="409">
        <f t="shared" si="101"/>
        <v>0.55000000000000004</v>
      </c>
      <c r="AA798" s="410">
        <f t="shared" si="95"/>
        <v>168960</v>
      </c>
      <c r="AB798" s="411"/>
      <c r="AC798" s="412"/>
      <c r="AD798" s="405"/>
      <c r="AE798" s="405"/>
      <c r="AF798" s="424">
        <f t="shared" si="91"/>
        <v>168960</v>
      </c>
      <c r="AG798" s="405" t="s">
        <v>1069</v>
      </c>
      <c r="AH798" s="405"/>
      <c r="AI798" s="405">
        <v>60</v>
      </c>
      <c r="AJ798" s="406" t="s">
        <v>1577</v>
      </c>
      <c r="AK798" s="406" t="s">
        <v>1341</v>
      </c>
      <c r="AL798" s="414">
        <v>83642</v>
      </c>
      <c r="AM798" s="405" t="s">
        <v>52</v>
      </c>
      <c r="AN798" s="361" t="s">
        <v>1071</v>
      </c>
      <c r="AO798" s="405" t="s">
        <v>1073</v>
      </c>
      <c r="AP798" s="405"/>
      <c r="AQ798" s="413" t="s">
        <v>37</v>
      </c>
      <c r="AR798" s="405" t="s">
        <v>1243</v>
      </c>
      <c r="AS798" s="404"/>
      <c r="AT798" s="330"/>
      <c r="AU798" s="409">
        <f t="shared" si="102"/>
        <v>0.49</v>
      </c>
    </row>
    <row r="799" spans="1:47" s="402" customFormat="1">
      <c r="A799" s="426"/>
      <c r="B799" s="376"/>
      <c r="C799" s="426"/>
      <c r="D799" s="443" t="s">
        <v>86</v>
      </c>
      <c r="E799" s="331"/>
      <c r="F799" s="432"/>
      <c r="G799" s="350">
        <v>2022</v>
      </c>
      <c r="H799" s="350" t="s">
        <v>2383</v>
      </c>
      <c r="I799" s="432" t="s">
        <v>1498</v>
      </c>
      <c r="J799" s="433"/>
      <c r="K799" s="432" t="s">
        <v>3184</v>
      </c>
      <c r="L799" s="432" t="s">
        <v>1576</v>
      </c>
      <c r="M799" s="433">
        <v>44651</v>
      </c>
      <c r="N799" s="433">
        <v>44825</v>
      </c>
      <c r="O799" s="433"/>
      <c r="P799" s="332"/>
      <c r="Q799" s="433"/>
      <c r="R799" s="433"/>
      <c r="S799" s="432" t="s">
        <v>1520</v>
      </c>
      <c r="T799" s="432">
        <v>60</v>
      </c>
      <c r="U799" s="432"/>
      <c r="V799" s="441" t="s">
        <v>973</v>
      </c>
      <c r="W799" s="432">
        <v>400</v>
      </c>
      <c r="X799" s="333">
        <v>768</v>
      </c>
      <c r="Y799" s="367">
        <f t="shared" si="100"/>
        <v>307200</v>
      </c>
      <c r="Z799" s="409">
        <f t="shared" si="101"/>
        <v>0.55000000000000004</v>
      </c>
      <c r="AA799" s="410">
        <f t="shared" si="95"/>
        <v>168960</v>
      </c>
      <c r="AB799" s="411"/>
      <c r="AC799" s="412"/>
      <c r="AD799" s="405"/>
      <c r="AE799" s="405"/>
      <c r="AF799" s="424">
        <f t="shared" si="91"/>
        <v>168960</v>
      </c>
      <c r="AG799" s="405" t="s">
        <v>1069</v>
      </c>
      <c r="AH799" s="405"/>
      <c r="AI799" s="405">
        <v>60</v>
      </c>
      <c r="AJ799" s="406" t="s">
        <v>1577</v>
      </c>
      <c r="AK799" s="406" t="s">
        <v>1341</v>
      </c>
      <c r="AL799" s="414">
        <v>83642</v>
      </c>
      <c r="AM799" s="405" t="s">
        <v>52</v>
      </c>
      <c r="AN799" s="361" t="s">
        <v>1071</v>
      </c>
      <c r="AO799" s="405" t="s">
        <v>1073</v>
      </c>
      <c r="AP799" s="405"/>
      <c r="AQ799" s="413" t="s">
        <v>37</v>
      </c>
      <c r="AR799" s="405" t="s">
        <v>1243</v>
      </c>
      <c r="AS799" s="404"/>
      <c r="AT799" s="330"/>
      <c r="AU799" s="409">
        <f t="shared" si="102"/>
        <v>0.49</v>
      </c>
    </row>
    <row r="800" spans="1:47" s="402" customFormat="1">
      <c r="A800" s="426"/>
      <c r="B800" s="376"/>
      <c r="C800" s="426"/>
      <c r="D800" s="443" t="s">
        <v>86</v>
      </c>
      <c r="E800" s="331"/>
      <c r="F800" s="432"/>
      <c r="G800" s="350">
        <v>2022</v>
      </c>
      <c r="H800" s="350" t="s">
        <v>2383</v>
      </c>
      <c r="I800" s="432" t="s">
        <v>1498</v>
      </c>
      <c r="J800" s="433"/>
      <c r="K800" s="432" t="s">
        <v>3185</v>
      </c>
      <c r="L800" s="432" t="s">
        <v>1576</v>
      </c>
      <c r="M800" s="433">
        <v>44651</v>
      </c>
      <c r="N800" s="433">
        <v>44833</v>
      </c>
      <c r="O800" s="433"/>
      <c r="P800" s="332"/>
      <c r="Q800" s="433"/>
      <c r="R800" s="433"/>
      <c r="S800" s="432" t="s">
        <v>1520</v>
      </c>
      <c r="T800" s="432">
        <v>60</v>
      </c>
      <c r="U800" s="432"/>
      <c r="V800" s="441" t="s">
        <v>973</v>
      </c>
      <c r="W800" s="432">
        <v>400</v>
      </c>
      <c r="X800" s="333">
        <v>768</v>
      </c>
      <c r="Y800" s="367">
        <f t="shared" si="100"/>
        <v>307200</v>
      </c>
      <c r="Z800" s="409">
        <f t="shared" si="101"/>
        <v>0.55000000000000004</v>
      </c>
      <c r="AA800" s="410">
        <f t="shared" si="95"/>
        <v>168960</v>
      </c>
      <c r="AB800" s="411"/>
      <c r="AC800" s="412"/>
      <c r="AD800" s="405"/>
      <c r="AE800" s="405"/>
      <c r="AF800" s="424">
        <f t="shared" si="91"/>
        <v>168960</v>
      </c>
      <c r="AG800" s="405" t="s">
        <v>1069</v>
      </c>
      <c r="AH800" s="405"/>
      <c r="AI800" s="405">
        <v>60</v>
      </c>
      <c r="AJ800" s="406" t="s">
        <v>1577</v>
      </c>
      <c r="AK800" s="406" t="s">
        <v>1341</v>
      </c>
      <c r="AL800" s="414">
        <v>83642</v>
      </c>
      <c r="AM800" s="405" t="s">
        <v>52</v>
      </c>
      <c r="AN800" s="361" t="s">
        <v>1071</v>
      </c>
      <c r="AO800" s="405" t="s">
        <v>1073</v>
      </c>
      <c r="AP800" s="405"/>
      <c r="AQ800" s="413" t="s">
        <v>37</v>
      </c>
      <c r="AR800" s="405" t="s">
        <v>1243</v>
      </c>
      <c r="AS800" s="404"/>
      <c r="AT800" s="330"/>
      <c r="AU800" s="409">
        <f t="shared" si="102"/>
        <v>0.49</v>
      </c>
    </row>
    <row r="801" spans="1:47" s="402" customFormat="1">
      <c r="A801" s="426"/>
      <c r="B801" s="376"/>
      <c r="C801" s="426"/>
      <c r="D801" s="443" t="s">
        <v>86</v>
      </c>
      <c r="E801" s="331"/>
      <c r="F801" s="432"/>
      <c r="G801" s="350">
        <v>2022</v>
      </c>
      <c r="H801" s="350" t="s">
        <v>2383</v>
      </c>
      <c r="I801" s="432" t="s">
        <v>1498</v>
      </c>
      <c r="J801" s="433"/>
      <c r="K801" s="432" t="s">
        <v>4383</v>
      </c>
      <c r="L801" s="432" t="s">
        <v>1576</v>
      </c>
      <c r="M801" s="433">
        <v>44678</v>
      </c>
      <c r="N801" s="433">
        <v>44838</v>
      </c>
      <c r="O801" s="433"/>
      <c r="P801" s="332"/>
      <c r="Q801" s="433"/>
      <c r="R801" s="433"/>
      <c r="S801" s="432" t="s">
        <v>1520</v>
      </c>
      <c r="T801" s="432">
        <v>60</v>
      </c>
      <c r="U801" s="432"/>
      <c r="V801" s="441" t="s">
        <v>973</v>
      </c>
      <c r="W801" s="432">
        <v>400</v>
      </c>
      <c r="X801" s="333">
        <v>768</v>
      </c>
      <c r="Y801" s="367">
        <f t="shared" si="100"/>
        <v>307200</v>
      </c>
      <c r="Z801" s="409">
        <f>256/400</f>
        <v>0.64</v>
      </c>
      <c r="AA801" s="410">
        <f t="shared" si="95"/>
        <v>196608</v>
      </c>
      <c r="AB801" s="411"/>
      <c r="AC801" s="412"/>
      <c r="AD801" s="405"/>
      <c r="AE801" s="405"/>
      <c r="AF801" s="424">
        <f t="shared" si="91"/>
        <v>196608</v>
      </c>
      <c r="AG801" s="405" t="s">
        <v>1069</v>
      </c>
      <c r="AH801" s="405"/>
      <c r="AI801" s="405">
        <v>60</v>
      </c>
      <c r="AJ801" s="406" t="s">
        <v>1577</v>
      </c>
      <c r="AK801" s="406" t="s">
        <v>1341</v>
      </c>
      <c r="AL801" s="414">
        <v>83642</v>
      </c>
      <c r="AM801" s="405" t="s">
        <v>52</v>
      </c>
      <c r="AN801" s="361" t="s">
        <v>1071</v>
      </c>
      <c r="AO801" s="405" t="s">
        <v>1073</v>
      </c>
      <c r="AP801" s="405"/>
      <c r="AQ801" s="413" t="s">
        <v>37</v>
      </c>
      <c r="AR801" s="405" t="s">
        <v>1243</v>
      </c>
      <c r="AS801" s="404"/>
      <c r="AT801" s="330"/>
      <c r="AU801" s="409">
        <f t="shared" si="102"/>
        <v>0.49</v>
      </c>
    </row>
    <row r="802" spans="1:47" s="402" customFormat="1">
      <c r="A802" s="426"/>
      <c r="B802" s="376"/>
      <c r="C802" s="426"/>
      <c r="D802" s="443" t="s">
        <v>86</v>
      </c>
      <c r="E802" s="331"/>
      <c r="F802" s="432"/>
      <c r="G802" s="350">
        <v>2022</v>
      </c>
      <c r="H802" s="350" t="s">
        <v>2383</v>
      </c>
      <c r="I802" s="432" t="s">
        <v>1498</v>
      </c>
      <c r="J802" s="433"/>
      <c r="K802" s="432" t="s">
        <v>4384</v>
      </c>
      <c r="L802" s="432" t="s">
        <v>1576</v>
      </c>
      <c r="M802" s="433">
        <v>44678</v>
      </c>
      <c r="N802" s="433">
        <v>44848</v>
      </c>
      <c r="O802" s="433"/>
      <c r="P802" s="332"/>
      <c r="Q802" s="433"/>
      <c r="R802" s="433"/>
      <c r="S802" s="432" t="s">
        <v>1520</v>
      </c>
      <c r="T802" s="432">
        <v>60</v>
      </c>
      <c r="U802" s="432"/>
      <c r="V802" s="441" t="s">
        <v>973</v>
      </c>
      <c r="W802" s="432">
        <v>400</v>
      </c>
      <c r="X802" s="333">
        <v>768</v>
      </c>
      <c r="Y802" s="367">
        <f t="shared" si="100"/>
        <v>307200</v>
      </c>
      <c r="Z802" s="409">
        <f>256/400</f>
        <v>0.64</v>
      </c>
      <c r="AA802" s="410">
        <f t="shared" si="95"/>
        <v>196608</v>
      </c>
      <c r="AB802" s="411"/>
      <c r="AC802" s="412"/>
      <c r="AD802" s="405"/>
      <c r="AE802" s="405"/>
      <c r="AF802" s="424">
        <f t="shared" si="91"/>
        <v>196608</v>
      </c>
      <c r="AG802" s="405" t="s">
        <v>1069</v>
      </c>
      <c r="AH802" s="405"/>
      <c r="AI802" s="405">
        <v>60</v>
      </c>
      <c r="AJ802" s="406" t="s">
        <v>1577</v>
      </c>
      <c r="AK802" s="406" t="s">
        <v>1341</v>
      </c>
      <c r="AL802" s="414">
        <v>83642</v>
      </c>
      <c r="AM802" s="405" t="s">
        <v>52</v>
      </c>
      <c r="AN802" s="361" t="s">
        <v>1071</v>
      </c>
      <c r="AO802" s="405" t="s">
        <v>1073</v>
      </c>
      <c r="AP802" s="405"/>
      <c r="AQ802" s="413" t="s">
        <v>37</v>
      </c>
      <c r="AR802" s="405" t="s">
        <v>1243</v>
      </c>
      <c r="AS802" s="404"/>
      <c r="AT802" s="330"/>
      <c r="AU802" s="409">
        <f t="shared" si="102"/>
        <v>0.49</v>
      </c>
    </row>
    <row r="803" spans="1:47" s="402" customFormat="1">
      <c r="A803" s="426"/>
      <c r="B803" s="376"/>
      <c r="C803" s="426"/>
      <c r="D803" s="443" t="s">
        <v>86</v>
      </c>
      <c r="E803" s="331"/>
      <c r="F803" s="432"/>
      <c r="G803" s="350">
        <v>2022</v>
      </c>
      <c r="H803" s="350" t="s">
        <v>2383</v>
      </c>
      <c r="I803" s="432" t="s">
        <v>1498</v>
      </c>
      <c r="J803" s="433"/>
      <c r="K803" s="432" t="s">
        <v>4385</v>
      </c>
      <c r="L803" s="432" t="s">
        <v>1576</v>
      </c>
      <c r="M803" s="433">
        <v>44678</v>
      </c>
      <c r="N803" s="433">
        <v>44860</v>
      </c>
      <c r="O803" s="433"/>
      <c r="P803" s="332"/>
      <c r="Q803" s="433"/>
      <c r="R803" s="433"/>
      <c r="S803" s="432" t="s">
        <v>1520</v>
      </c>
      <c r="T803" s="432">
        <v>60</v>
      </c>
      <c r="U803" s="432"/>
      <c r="V803" s="441" t="s">
        <v>973</v>
      </c>
      <c r="W803" s="432">
        <v>400</v>
      </c>
      <c r="X803" s="333">
        <v>768</v>
      </c>
      <c r="Y803" s="367">
        <f t="shared" si="100"/>
        <v>307200</v>
      </c>
      <c r="Z803" s="409">
        <f>256/400</f>
        <v>0.64</v>
      </c>
      <c r="AA803" s="410">
        <f t="shared" si="95"/>
        <v>196608</v>
      </c>
      <c r="AB803" s="411"/>
      <c r="AC803" s="412"/>
      <c r="AD803" s="405"/>
      <c r="AE803" s="405"/>
      <c r="AF803" s="424">
        <f t="shared" si="91"/>
        <v>196608</v>
      </c>
      <c r="AG803" s="405" t="s">
        <v>1069</v>
      </c>
      <c r="AH803" s="405"/>
      <c r="AI803" s="405">
        <v>60</v>
      </c>
      <c r="AJ803" s="406" t="s">
        <v>1577</v>
      </c>
      <c r="AK803" s="406" t="s">
        <v>1341</v>
      </c>
      <c r="AL803" s="414">
        <v>83642</v>
      </c>
      <c r="AM803" s="405" t="s">
        <v>52</v>
      </c>
      <c r="AN803" s="361" t="s">
        <v>1071</v>
      </c>
      <c r="AO803" s="405" t="s">
        <v>1073</v>
      </c>
      <c r="AP803" s="405"/>
      <c r="AQ803" s="413" t="s">
        <v>37</v>
      </c>
      <c r="AR803" s="405" t="s">
        <v>1243</v>
      </c>
      <c r="AS803" s="404"/>
      <c r="AT803" s="330"/>
      <c r="AU803" s="409">
        <f t="shared" si="102"/>
        <v>0.49</v>
      </c>
    </row>
    <row r="804" spans="1:47" s="402" customFormat="1">
      <c r="A804" s="426"/>
      <c r="B804" s="376"/>
      <c r="C804" s="426"/>
      <c r="D804" s="443" t="s">
        <v>86</v>
      </c>
      <c r="E804" s="331"/>
      <c r="F804" s="432"/>
      <c r="G804" s="350">
        <v>2022</v>
      </c>
      <c r="H804" s="350" t="s">
        <v>2383</v>
      </c>
      <c r="I804" s="432" t="s">
        <v>1498</v>
      </c>
      <c r="J804" s="433"/>
      <c r="K804" s="432" t="s">
        <v>4386</v>
      </c>
      <c r="L804" s="432" t="s">
        <v>1576</v>
      </c>
      <c r="M804" s="433">
        <v>44678</v>
      </c>
      <c r="N804" s="433">
        <v>44869</v>
      </c>
      <c r="O804" s="433"/>
      <c r="P804" s="332"/>
      <c r="Q804" s="433"/>
      <c r="R804" s="433"/>
      <c r="S804" s="432" t="s">
        <v>1520</v>
      </c>
      <c r="T804" s="432">
        <v>60</v>
      </c>
      <c r="U804" s="432"/>
      <c r="V804" s="441" t="s">
        <v>973</v>
      </c>
      <c r="W804" s="432">
        <v>400</v>
      </c>
      <c r="X804" s="333">
        <v>768</v>
      </c>
      <c r="Y804" s="367">
        <f t="shared" si="100"/>
        <v>307200</v>
      </c>
      <c r="Z804" s="409">
        <f>256/400</f>
        <v>0.64</v>
      </c>
      <c r="AA804" s="410">
        <f t="shared" si="95"/>
        <v>196608</v>
      </c>
      <c r="AB804" s="411"/>
      <c r="AC804" s="412"/>
      <c r="AD804" s="405"/>
      <c r="AE804" s="405"/>
      <c r="AF804" s="424">
        <f t="shared" si="91"/>
        <v>196608</v>
      </c>
      <c r="AG804" s="405" t="s">
        <v>1069</v>
      </c>
      <c r="AH804" s="405"/>
      <c r="AI804" s="405">
        <v>60</v>
      </c>
      <c r="AJ804" s="406" t="s">
        <v>1577</v>
      </c>
      <c r="AK804" s="406" t="s">
        <v>1341</v>
      </c>
      <c r="AL804" s="414">
        <v>83642</v>
      </c>
      <c r="AM804" s="405" t="s">
        <v>52</v>
      </c>
      <c r="AN804" s="361" t="s">
        <v>1071</v>
      </c>
      <c r="AO804" s="405" t="s">
        <v>1073</v>
      </c>
      <c r="AP804" s="405"/>
      <c r="AQ804" s="413" t="s">
        <v>37</v>
      </c>
      <c r="AR804" s="405" t="s">
        <v>1243</v>
      </c>
      <c r="AS804" s="404"/>
      <c r="AT804" s="330"/>
      <c r="AU804" s="409">
        <f t="shared" si="102"/>
        <v>0.49</v>
      </c>
    </row>
    <row r="805" spans="1:47" s="402" customFormat="1">
      <c r="A805" s="426"/>
      <c r="B805" s="376"/>
      <c r="C805" s="426"/>
      <c r="D805" s="443" t="s">
        <v>86</v>
      </c>
      <c r="E805" s="331"/>
      <c r="F805" s="432"/>
      <c r="G805" s="350">
        <v>2022</v>
      </c>
      <c r="H805" s="350" t="s">
        <v>2383</v>
      </c>
      <c r="I805" s="432" t="s">
        <v>1498</v>
      </c>
      <c r="J805" s="433"/>
      <c r="K805" s="432" t="s">
        <v>4387</v>
      </c>
      <c r="L805" s="432" t="s">
        <v>1576</v>
      </c>
      <c r="M805" s="433">
        <v>44678</v>
      </c>
      <c r="N805" s="433">
        <v>44879</v>
      </c>
      <c r="O805" s="433"/>
      <c r="P805" s="332"/>
      <c r="Q805" s="433"/>
      <c r="R805" s="433"/>
      <c r="S805" s="432" t="s">
        <v>1520</v>
      </c>
      <c r="T805" s="432">
        <v>60</v>
      </c>
      <c r="U805" s="432"/>
      <c r="V805" s="441" t="s">
        <v>973</v>
      </c>
      <c r="W805" s="432">
        <v>400</v>
      </c>
      <c r="X805" s="333">
        <v>768</v>
      </c>
      <c r="Y805" s="367">
        <f t="shared" si="100"/>
        <v>307200</v>
      </c>
      <c r="Z805" s="409">
        <f>256/400</f>
        <v>0.64</v>
      </c>
      <c r="AA805" s="410">
        <f t="shared" si="95"/>
        <v>196608</v>
      </c>
      <c r="AB805" s="411"/>
      <c r="AC805" s="412"/>
      <c r="AD805" s="405"/>
      <c r="AE805" s="405"/>
      <c r="AF805" s="424">
        <f t="shared" si="91"/>
        <v>196608</v>
      </c>
      <c r="AG805" s="405" t="s">
        <v>1069</v>
      </c>
      <c r="AH805" s="405"/>
      <c r="AI805" s="405">
        <v>60</v>
      </c>
      <c r="AJ805" s="406" t="s">
        <v>1577</v>
      </c>
      <c r="AK805" s="406" t="s">
        <v>1341</v>
      </c>
      <c r="AL805" s="414">
        <v>83642</v>
      </c>
      <c r="AM805" s="405" t="s">
        <v>52</v>
      </c>
      <c r="AN805" s="361" t="s">
        <v>1071</v>
      </c>
      <c r="AO805" s="405" t="s">
        <v>1073</v>
      </c>
      <c r="AP805" s="405"/>
      <c r="AQ805" s="413" t="s">
        <v>37</v>
      </c>
      <c r="AR805" s="405" t="s">
        <v>1243</v>
      </c>
      <c r="AS805" s="404"/>
      <c r="AT805" s="330"/>
      <c r="AU805" s="409">
        <f t="shared" si="102"/>
        <v>0.49</v>
      </c>
    </row>
    <row r="806" spans="1:47" s="402" customFormat="1">
      <c r="A806" s="426"/>
      <c r="B806" s="376"/>
      <c r="C806" s="426"/>
      <c r="D806" s="443" t="s">
        <v>86</v>
      </c>
      <c r="E806" s="331"/>
      <c r="F806" s="432"/>
      <c r="G806" s="350">
        <v>2022</v>
      </c>
      <c r="H806" s="350" t="s">
        <v>2978</v>
      </c>
      <c r="I806" s="432" t="s">
        <v>1498</v>
      </c>
      <c r="J806" s="433"/>
      <c r="K806" s="432">
        <v>101855</v>
      </c>
      <c r="L806" s="432" t="s">
        <v>1888</v>
      </c>
      <c r="M806" s="433">
        <v>44652</v>
      </c>
      <c r="N806" s="433">
        <v>44774</v>
      </c>
      <c r="O806" s="433"/>
      <c r="P806" s="332"/>
      <c r="Q806" s="433"/>
      <c r="R806" s="433"/>
      <c r="S806" s="432" t="s">
        <v>1510</v>
      </c>
      <c r="T806" s="432">
        <v>60</v>
      </c>
      <c r="U806" s="432" t="s">
        <v>1102</v>
      </c>
      <c r="V806" s="441" t="s">
        <v>973</v>
      </c>
      <c r="W806" s="432">
        <v>400</v>
      </c>
      <c r="X806" s="333">
        <v>768</v>
      </c>
      <c r="Y806" s="367">
        <f t="shared" ref="Y806:Y832" si="103">W806*X806</f>
        <v>307200</v>
      </c>
      <c r="Z806" s="409">
        <f>230/400</f>
        <v>0.57499999999999996</v>
      </c>
      <c r="AA806" s="410">
        <f t="shared" si="95"/>
        <v>176640</v>
      </c>
      <c r="AB806" s="411"/>
      <c r="AC806" s="412">
        <f t="shared" ref="AC806:AC822" si="104">AB806*Y806</f>
        <v>0</v>
      </c>
      <c r="AD806" s="405"/>
      <c r="AE806" s="405">
        <f>AA806*0.0825</f>
        <v>14572.800000000001</v>
      </c>
      <c r="AF806" s="424">
        <f t="shared" si="91"/>
        <v>191212.79999999999</v>
      </c>
      <c r="AG806" s="405" t="s">
        <v>1069</v>
      </c>
      <c r="AH806" s="405">
        <v>100</v>
      </c>
      <c r="AI806" s="405">
        <v>0</v>
      </c>
      <c r="AJ806" s="406" t="s">
        <v>1760</v>
      </c>
      <c r="AK806" s="406" t="s">
        <v>50</v>
      </c>
      <c r="AL806" s="414">
        <v>92058</v>
      </c>
      <c r="AM806" s="405" t="s">
        <v>52</v>
      </c>
      <c r="AN806" s="361"/>
      <c r="AO806" s="405" t="s">
        <v>1073</v>
      </c>
      <c r="AP806" s="405"/>
      <c r="AQ806" s="413" t="s">
        <v>37</v>
      </c>
      <c r="AR806" s="405" t="s">
        <v>1188</v>
      </c>
      <c r="AS806" s="404"/>
      <c r="AT806" s="330"/>
      <c r="AU806" s="409">
        <f>212/400</f>
        <v>0.53</v>
      </c>
    </row>
    <row r="807" spans="1:47" s="402" customFormat="1">
      <c r="A807" s="426"/>
      <c r="B807" s="376"/>
      <c r="C807" s="426"/>
      <c r="D807" s="443" t="s">
        <v>86</v>
      </c>
      <c r="E807" s="331"/>
      <c r="F807" s="432"/>
      <c r="G807" s="350">
        <v>2022</v>
      </c>
      <c r="H807" s="350" t="s">
        <v>2978</v>
      </c>
      <c r="I807" s="432" t="s">
        <v>1498</v>
      </c>
      <c r="J807" s="433"/>
      <c r="K807" s="432">
        <v>101854</v>
      </c>
      <c r="L807" s="432" t="s">
        <v>1888</v>
      </c>
      <c r="M807" s="433">
        <v>44652</v>
      </c>
      <c r="N807" s="433">
        <v>44743</v>
      </c>
      <c r="O807" s="433"/>
      <c r="P807" s="332"/>
      <c r="Q807" s="433"/>
      <c r="R807" s="433"/>
      <c r="S807" s="432" t="s">
        <v>1510</v>
      </c>
      <c r="T807" s="432">
        <v>60</v>
      </c>
      <c r="U807" s="432" t="s">
        <v>1102</v>
      </c>
      <c r="V807" s="441" t="s">
        <v>973</v>
      </c>
      <c r="W807" s="432">
        <v>400</v>
      </c>
      <c r="X807" s="333">
        <v>768</v>
      </c>
      <c r="Y807" s="367">
        <f t="shared" si="103"/>
        <v>307200</v>
      </c>
      <c r="Z807" s="409">
        <f>230/400</f>
        <v>0.57499999999999996</v>
      </c>
      <c r="AA807" s="410">
        <f t="shared" si="95"/>
        <v>176640</v>
      </c>
      <c r="AB807" s="411"/>
      <c r="AC807" s="412">
        <f t="shared" si="104"/>
        <v>0</v>
      </c>
      <c r="AD807" s="405"/>
      <c r="AE807" s="405">
        <f>AA807*0.0825</f>
        <v>14572.800000000001</v>
      </c>
      <c r="AF807" s="424">
        <f t="shared" si="91"/>
        <v>191212.79999999999</v>
      </c>
      <c r="AG807" s="405" t="s">
        <v>1069</v>
      </c>
      <c r="AH807" s="405">
        <v>100</v>
      </c>
      <c r="AI807" s="405">
        <v>0</v>
      </c>
      <c r="AJ807" s="406" t="s">
        <v>1760</v>
      </c>
      <c r="AK807" s="406" t="s">
        <v>50</v>
      </c>
      <c r="AL807" s="414">
        <v>92058</v>
      </c>
      <c r="AM807" s="405" t="s">
        <v>52</v>
      </c>
      <c r="AN807" s="361"/>
      <c r="AO807" s="405" t="s">
        <v>1073</v>
      </c>
      <c r="AP807" s="405"/>
      <c r="AQ807" s="413" t="s">
        <v>37</v>
      </c>
      <c r="AR807" s="405" t="s">
        <v>1188</v>
      </c>
      <c r="AS807" s="404"/>
      <c r="AT807" s="330"/>
      <c r="AU807" s="409">
        <f>212/400</f>
        <v>0.53</v>
      </c>
    </row>
    <row r="808" spans="1:47" s="402" customFormat="1">
      <c r="A808" s="426"/>
      <c r="B808" s="376"/>
      <c r="C808" s="426"/>
      <c r="D808" s="443" t="s">
        <v>86</v>
      </c>
      <c r="E808" s="331"/>
      <c r="F808" s="432"/>
      <c r="G808" s="350">
        <v>2022</v>
      </c>
      <c r="H808" s="350" t="s">
        <v>2978</v>
      </c>
      <c r="I808" s="432" t="s">
        <v>1498</v>
      </c>
      <c r="J808" s="433"/>
      <c r="K808" s="432">
        <v>101854</v>
      </c>
      <c r="L808" s="432" t="s">
        <v>1888</v>
      </c>
      <c r="M808" s="433">
        <v>44652</v>
      </c>
      <c r="N808" s="433">
        <v>44734</v>
      </c>
      <c r="O808" s="433"/>
      <c r="P808" s="332"/>
      <c r="Q808" s="433"/>
      <c r="R808" s="433"/>
      <c r="S808" s="432" t="s">
        <v>1510</v>
      </c>
      <c r="T808" s="432">
        <v>60</v>
      </c>
      <c r="U808" s="432" t="s">
        <v>1102</v>
      </c>
      <c r="V808" s="441" t="s">
        <v>973</v>
      </c>
      <c r="W808" s="432">
        <v>400</v>
      </c>
      <c r="X808" s="333">
        <v>768</v>
      </c>
      <c r="Y808" s="367">
        <f t="shared" si="103"/>
        <v>307200</v>
      </c>
      <c r="Z808" s="409">
        <f>230/400</f>
        <v>0.57499999999999996</v>
      </c>
      <c r="AA808" s="410">
        <f t="shared" si="95"/>
        <v>176640</v>
      </c>
      <c r="AB808" s="411"/>
      <c r="AC808" s="412">
        <f t="shared" si="104"/>
        <v>0</v>
      </c>
      <c r="AD808" s="405"/>
      <c r="AE808" s="405">
        <f>AA808*0.0825</f>
        <v>14572.800000000001</v>
      </c>
      <c r="AF808" s="424">
        <f t="shared" si="91"/>
        <v>191212.79999999999</v>
      </c>
      <c r="AG808" s="405" t="s">
        <v>1069</v>
      </c>
      <c r="AH808" s="405">
        <v>100</v>
      </c>
      <c r="AI808" s="405">
        <v>0</v>
      </c>
      <c r="AJ808" s="406" t="s">
        <v>1760</v>
      </c>
      <c r="AK808" s="406" t="s">
        <v>50</v>
      </c>
      <c r="AL808" s="414">
        <v>92058</v>
      </c>
      <c r="AM808" s="405" t="s">
        <v>52</v>
      </c>
      <c r="AN808" s="361"/>
      <c r="AO808" s="405" t="s">
        <v>1073</v>
      </c>
      <c r="AP808" s="405"/>
      <c r="AQ808" s="413" t="s">
        <v>37</v>
      </c>
      <c r="AR808" s="405" t="s">
        <v>1188</v>
      </c>
      <c r="AS808" s="404"/>
      <c r="AT808" s="330"/>
      <c r="AU808" s="409">
        <f>212/400</f>
        <v>0.53</v>
      </c>
    </row>
    <row r="809" spans="1:47" s="402" customFormat="1">
      <c r="A809" s="426"/>
      <c r="B809" s="376"/>
      <c r="C809" s="426"/>
      <c r="D809" s="443" t="s">
        <v>86</v>
      </c>
      <c r="E809" s="331"/>
      <c r="F809" s="432"/>
      <c r="G809" s="350">
        <v>2022</v>
      </c>
      <c r="H809" s="350" t="s">
        <v>2383</v>
      </c>
      <c r="I809" s="432" t="s">
        <v>1498</v>
      </c>
      <c r="J809" s="433"/>
      <c r="K809" s="432" t="s">
        <v>3186</v>
      </c>
      <c r="L809" s="432" t="s">
        <v>1626</v>
      </c>
      <c r="M809" s="433">
        <v>44655</v>
      </c>
      <c r="N809" s="433">
        <v>44681</v>
      </c>
      <c r="O809" s="433"/>
      <c r="P809" s="332"/>
      <c r="Q809" s="433"/>
      <c r="R809" s="433"/>
      <c r="S809" s="432" t="s">
        <v>88</v>
      </c>
      <c r="T809" s="432">
        <v>60</v>
      </c>
      <c r="U809" s="432"/>
      <c r="V809" s="441" t="s">
        <v>970</v>
      </c>
      <c r="W809" s="432">
        <v>405</v>
      </c>
      <c r="X809" s="333">
        <v>768</v>
      </c>
      <c r="Y809" s="367">
        <f t="shared" si="103"/>
        <v>311040</v>
      </c>
      <c r="Z809" s="409">
        <f>230.85/405</f>
        <v>0.56999999999999995</v>
      </c>
      <c r="AA809" s="410">
        <f t="shared" si="95"/>
        <v>177292.79999999999</v>
      </c>
      <c r="AB809" s="411"/>
      <c r="AC809" s="412">
        <f t="shared" si="104"/>
        <v>0</v>
      </c>
      <c r="AD809" s="405"/>
      <c r="AE809" s="405"/>
      <c r="AF809" s="424">
        <f t="shared" si="91"/>
        <v>177292.79999999999</v>
      </c>
      <c r="AG809" s="405" t="s">
        <v>1069</v>
      </c>
      <c r="AH809" s="405">
        <v>100</v>
      </c>
      <c r="AI809" s="405">
        <v>0</v>
      </c>
      <c r="AJ809" s="406" t="s">
        <v>1628</v>
      </c>
      <c r="AK809" s="406" t="s">
        <v>1501</v>
      </c>
      <c r="AL809" s="414" t="s">
        <v>1629</v>
      </c>
      <c r="AM809" s="405" t="s">
        <v>52</v>
      </c>
      <c r="AN809" s="361" t="s">
        <v>50</v>
      </c>
      <c r="AO809" s="405" t="s">
        <v>1073</v>
      </c>
      <c r="AP809" s="405"/>
      <c r="AQ809" s="413" t="s">
        <v>37</v>
      </c>
      <c r="AR809" s="405" t="s">
        <v>1188</v>
      </c>
      <c r="AS809" s="404" t="s">
        <v>1392</v>
      </c>
      <c r="AT809" s="330"/>
      <c r="AU809" s="409">
        <f t="shared" ref="AU809:AU817" si="105">208/400</f>
        <v>0.52</v>
      </c>
    </row>
    <row r="810" spans="1:47" s="402" customFormat="1">
      <c r="A810" s="426"/>
      <c r="B810" s="376"/>
      <c r="C810" s="426"/>
      <c r="D810" s="443" t="s">
        <v>86</v>
      </c>
      <c r="E810" s="331"/>
      <c r="F810" s="432"/>
      <c r="G810" s="350">
        <v>2022</v>
      </c>
      <c r="H810" s="350" t="s">
        <v>2383</v>
      </c>
      <c r="I810" s="432" t="s">
        <v>1498</v>
      </c>
      <c r="J810" s="433"/>
      <c r="K810" s="432" t="s">
        <v>3187</v>
      </c>
      <c r="L810" s="432" t="s">
        <v>1626</v>
      </c>
      <c r="M810" s="433">
        <v>44648</v>
      </c>
      <c r="N810" s="433">
        <v>44819</v>
      </c>
      <c r="O810" s="433"/>
      <c r="P810" s="332"/>
      <c r="Q810" s="433"/>
      <c r="R810" s="433"/>
      <c r="S810" s="432" t="s">
        <v>88</v>
      </c>
      <c r="T810" s="432">
        <v>60</v>
      </c>
      <c r="U810" s="432"/>
      <c r="V810" s="441" t="s">
        <v>973</v>
      </c>
      <c r="W810" s="432">
        <v>400</v>
      </c>
      <c r="X810" s="333">
        <v>768</v>
      </c>
      <c r="Y810" s="367">
        <f t="shared" si="103"/>
        <v>307200</v>
      </c>
      <c r="Z810" s="409">
        <f>228/400</f>
        <v>0.56999999999999995</v>
      </c>
      <c r="AA810" s="410">
        <f t="shared" si="95"/>
        <v>175103.99999999997</v>
      </c>
      <c r="AB810" s="411"/>
      <c r="AC810" s="412">
        <f t="shared" si="104"/>
        <v>0</v>
      </c>
      <c r="AD810" s="405"/>
      <c r="AE810" s="405"/>
      <c r="AF810" s="424">
        <f t="shared" si="91"/>
        <v>175103.99999999997</v>
      </c>
      <c r="AG810" s="405" t="s">
        <v>1069</v>
      </c>
      <c r="AH810" s="405">
        <v>100</v>
      </c>
      <c r="AI810" s="405">
        <v>0</v>
      </c>
      <c r="AJ810" s="406" t="s">
        <v>1628</v>
      </c>
      <c r="AK810" s="406" t="s">
        <v>1501</v>
      </c>
      <c r="AL810" s="414" t="s">
        <v>1629</v>
      </c>
      <c r="AM810" s="405" t="s">
        <v>52</v>
      </c>
      <c r="AN810" s="361" t="s">
        <v>50</v>
      </c>
      <c r="AO810" s="405" t="s">
        <v>1073</v>
      </c>
      <c r="AP810" s="405"/>
      <c r="AQ810" s="413" t="s">
        <v>37</v>
      </c>
      <c r="AR810" s="405" t="s">
        <v>1188</v>
      </c>
      <c r="AS810" s="404" t="s">
        <v>1392</v>
      </c>
      <c r="AT810" s="330"/>
      <c r="AU810" s="409">
        <f t="shared" si="105"/>
        <v>0.52</v>
      </c>
    </row>
    <row r="811" spans="1:47" s="402" customFormat="1">
      <c r="A811" s="426"/>
      <c r="B811" s="376"/>
      <c r="C811" s="426"/>
      <c r="D811" s="443" t="s">
        <v>86</v>
      </c>
      <c r="E811" s="331"/>
      <c r="F811" s="432"/>
      <c r="G811" s="350">
        <v>2022</v>
      </c>
      <c r="H811" s="350" t="s">
        <v>2383</v>
      </c>
      <c r="I811" s="432" t="s">
        <v>1498</v>
      </c>
      <c r="J811" s="433"/>
      <c r="K811" s="432" t="s">
        <v>3188</v>
      </c>
      <c r="L811" s="432" t="s">
        <v>1626</v>
      </c>
      <c r="M811" s="433">
        <v>44648</v>
      </c>
      <c r="N811" s="433">
        <v>44805</v>
      </c>
      <c r="O811" s="433"/>
      <c r="P811" s="332"/>
      <c r="Q811" s="433"/>
      <c r="R811" s="433"/>
      <c r="S811" s="432" t="s">
        <v>88</v>
      </c>
      <c r="T811" s="432">
        <v>60</v>
      </c>
      <c r="U811" s="432"/>
      <c r="V811" s="441" t="s">
        <v>973</v>
      </c>
      <c r="W811" s="432">
        <v>400</v>
      </c>
      <c r="X811" s="333">
        <v>768</v>
      </c>
      <c r="Y811" s="367">
        <f t="shared" si="103"/>
        <v>307200</v>
      </c>
      <c r="Z811" s="409">
        <f>228/400</f>
        <v>0.56999999999999995</v>
      </c>
      <c r="AA811" s="410">
        <f t="shared" si="95"/>
        <v>175103.99999999997</v>
      </c>
      <c r="AB811" s="411"/>
      <c r="AC811" s="412">
        <f t="shared" si="104"/>
        <v>0</v>
      </c>
      <c r="AD811" s="405"/>
      <c r="AE811" s="405"/>
      <c r="AF811" s="424">
        <f t="shared" si="91"/>
        <v>175103.99999999997</v>
      </c>
      <c r="AG811" s="405" t="s">
        <v>1069</v>
      </c>
      <c r="AH811" s="405">
        <v>100</v>
      </c>
      <c r="AI811" s="405">
        <v>0</v>
      </c>
      <c r="AJ811" s="406" t="s">
        <v>1628</v>
      </c>
      <c r="AK811" s="406" t="s">
        <v>1501</v>
      </c>
      <c r="AL811" s="414" t="s">
        <v>1629</v>
      </c>
      <c r="AM811" s="405" t="s">
        <v>52</v>
      </c>
      <c r="AN811" s="361" t="s">
        <v>50</v>
      </c>
      <c r="AO811" s="405" t="s">
        <v>1073</v>
      </c>
      <c r="AP811" s="405"/>
      <c r="AQ811" s="413" t="s">
        <v>37</v>
      </c>
      <c r="AR811" s="405" t="s">
        <v>1188</v>
      </c>
      <c r="AS811" s="404" t="s">
        <v>1392</v>
      </c>
      <c r="AT811" s="330"/>
      <c r="AU811" s="409">
        <f t="shared" si="105"/>
        <v>0.52</v>
      </c>
    </row>
    <row r="812" spans="1:47" s="402" customFormat="1">
      <c r="A812" s="426"/>
      <c r="B812" s="376"/>
      <c r="C812" s="426"/>
      <c r="D812" s="443" t="s">
        <v>86</v>
      </c>
      <c r="E812" s="331"/>
      <c r="F812" s="432"/>
      <c r="G812" s="350">
        <v>2022</v>
      </c>
      <c r="H812" s="350" t="s">
        <v>2383</v>
      </c>
      <c r="I812" s="432" t="s">
        <v>1498</v>
      </c>
      <c r="J812" s="433"/>
      <c r="K812" s="432" t="s">
        <v>3189</v>
      </c>
      <c r="L812" s="432" t="s">
        <v>1626</v>
      </c>
      <c r="M812" s="433">
        <v>44648</v>
      </c>
      <c r="N812" s="433">
        <v>44788</v>
      </c>
      <c r="O812" s="433"/>
      <c r="P812" s="332"/>
      <c r="Q812" s="433"/>
      <c r="R812" s="433"/>
      <c r="S812" s="432" t="s">
        <v>88</v>
      </c>
      <c r="T812" s="432">
        <v>60</v>
      </c>
      <c r="U812" s="432"/>
      <c r="V812" s="441" t="s">
        <v>973</v>
      </c>
      <c r="W812" s="432">
        <v>400</v>
      </c>
      <c r="X812" s="333">
        <v>768</v>
      </c>
      <c r="Y812" s="367">
        <f t="shared" si="103"/>
        <v>307200</v>
      </c>
      <c r="Z812" s="409">
        <f>228/400</f>
        <v>0.56999999999999995</v>
      </c>
      <c r="AA812" s="410">
        <f t="shared" si="95"/>
        <v>175103.99999999997</v>
      </c>
      <c r="AB812" s="411"/>
      <c r="AC812" s="412">
        <f t="shared" si="104"/>
        <v>0</v>
      </c>
      <c r="AD812" s="405"/>
      <c r="AE812" s="405"/>
      <c r="AF812" s="424">
        <f t="shared" si="91"/>
        <v>175103.99999999997</v>
      </c>
      <c r="AG812" s="405" t="s">
        <v>1069</v>
      </c>
      <c r="AH812" s="405">
        <v>100</v>
      </c>
      <c r="AI812" s="405">
        <v>0</v>
      </c>
      <c r="AJ812" s="406" t="s">
        <v>1628</v>
      </c>
      <c r="AK812" s="406" t="s">
        <v>1501</v>
      </c>
      <c r="AL812" s="414" t="s">
        <v>1629</v>
      </c>
      <c r="AM812" s="405" t="s">
        <v>52</v>
      </c>
      <c r="AN812" s="361" t="s">
        <v>50</v>
      </c>
      <c r="AO812" s="405" t="s">
        <v>1073</v>
      </c>
      <c r="AP812" s="405"/>
      <c r="AQ812" s="413" t="s">
        <v>37</v>
      </c>
      <c r="AR812" s="405" t="s">
        <v>1188</v>
      </c>
      <c r="AS812" s="404" t="s">
        <v>1392</v>
      </c>
      <c r="AT812" s="330"/>
      <c r="AU812" s="409">
        <f t="shared" si="105"/>
        <v>0.52</v>
      </c>
    </row>
    <row r="813" spans="1:47" s="402" customFormat="1">
      <c r="A813" s="426"/>
      <c r="B813" s="376">
        <v>44676</v>
      </c>
      <c r="C813" s="426"/>
      <c r="D813" s="443" t="s">
        <v>86</v>
      </c>
      <c r="E813" s="331"/>
      <c r="F813" s="432"/>
      <c r="G813" s="350">
        <v>2022</v>
      </c>
      <c r="H813" s="350" t="s">
        <v>2383</v>
      </c>
      <c r="I813" s="432" t="s">
        <v>1498</v>
      </c>
      <c r="J813" s="433"/>
      <c r="K813" s="432" t="s">
        <v>3190</v>
      </c>
      <c r="L813" s="432" t="s">
        <v>1626</v>
      </c>
      <c r="M813" s="433">
        <v>44648</v>
      </c>
      <c r="N813" s="433">
        <v>44774</v>
      </c>
      <c r="O813" s="433"/>
      <c r="P813" s="332"/>
      <c r="Q813" s="433"/>
      <c r="R813" s="433"/>
      <c r="S813" s="432" t="s">
        <v>88</v>
      </c>
      <c r="T813" s="432">
        <v>60</v>
      </c>
      <c r="U813" s="432"/>
      <c r="V813" s="441" t="s">
        <v>973</v>
      </c>
      <c r="W813" s="432">
        <v>400</v>
      </c>
      <c r="X813" s="333">
        <v>768</v>
      </c>
      <c r="Y813" s="367">
        <f t="shared" si="103"/>
        <v>307200</v>
      </c>
      <c r="Z813" s="409">
        <f>228/400</f>
        <v>0.56999999999999995</v>
      </c>
      <c r="AA813" s="410">
        <f t="shared" si="95"/>
        <v>175103.99999999997</v>
      </c>
      <c r="AB813" s="411"/>
      <c r="AC813" s="412">
        <f t="shared" si="104"/>
        <v>0</v>
      </c>
      <c r="AD813" s="405"/>
      <c r="AE813" s="405"/>
      <c r="AF813" s="424">
        <f t="shared" si="91"/>
        <v>175103.99999999997</v>
      </c>
      <c r="AG813" s="405" t="s">
        <v>1069</v>
      </c>
      <c r="AH813" s="405">
        <v>100</v>
      </c>
      <c r="AI813" s="405">
        <v>0</v>
      </c>
      <c r="AJ813" s="406" t="s">
        <v>1628</v>
      </c>
      <c r="AK813" s="406" t="s">
        <v>1501</v>
      </c>
      <c r="AL813" s="414" t="s">
        <v>1629</v>
      </c>
      <c r="AM813" s="405" t="s">
        <v>52</v>
      </c>
      <c r="AN813" s="361" t="s">
        <v>50</v>
      </c>
      <c r="AO813" s="405" t="s">
        <v>1073</v>
      </c>
      <c r="AP813" s="405"/>
      <c r="AQ813" s="413" t="s">
        <v>37</v>
      </c>
      <c r="AR813" s="405" t="s">
        <v>1188</v>
      </c>
      <c r="AS813" s="404" t="s">
        <v>1392</v>
      </c>
      <c r="AT813" s="330"/>
      <c r="AU813" s="409">
        <f t="shared" si="105"/>
        <v>0.52</v>
      </c>
    </row>
    <row r="814" spans="1:47" s="402" customFormat="1">
      <c r="A814" s="426"/>
      <c r="B814" s="376">
        <v>44676</v>
      </c>
      <c r="C814" s="426"/>
      <c r="D814" s="443" t="s">
        <v>86</v>
      </c>
      <c r="E814" s="331"/>
      <c r="F814" s="432"/>
      <c r="G814" s="350">
        <v>2022</v>
      </c>
      <c r="H814" s="350" t="s">
        <v>2383</v>
      </c>
      <c r="I814" s="432" t="s">
        <v>1498</v>
      </c>
      <c r="J814" s="433"/>
      <c r="K814" s="432" t="s">
        <v>3191</v>
      </c>
      <c r="L814" s="432" t="s">
        <v>1626</v>
      </c>
      <c r="M814" s="433">
        <v>44648</v>
      </c>
      <c r="N814" s="433">
        <v>44757</v>
      </c>
      <c r="O814" s="433"/>
      <c r="P814" s="332"/>
      <c r="Q814" s="433"/>
      <c r="R814" s="433"/>
      <c r="S814" s="432" t="s">
        <v>88</v>
      </c>
      <c r="T814" s="432">
        <v>60</v>
      </c>
      <c r="U814" s="432"/>
      <c r="V814" s="441" t="s">
        <v>973</v>
      </c>
      <c r="W814" s="432">
        <v>400</v>
      </c>
      <c r="X814" s="333">
        <v>768</v>
      </c>
      <c r="Y814" s="367">
        <f t="shared" si="103"/>
        <v>307200</v>
      </c>
      <c r="Z814" s="409">
        <f>228/400</f>
        <v>0.56999999999999995</v>
      </c>
      <c r="AA814" s="410">
        <f t="shared" si="95"/>
        <v>175103.99999999997</v>
      </c>
      <c r="AB814" s="411"/>
      <c r="AC814" s="412">
        <f t="shared" si="104"/>
        <v>0</v>
      </c>
      <c r="AD814" s="405"/>
      <c r="AE814" s="405"/>
      <c r="AF814" s="424">
        <f t="shared" si="91"/>
        <v>175103.99999999997</v>
      </c>
      <c r="AG814" s="405" t="s">
        <v>1069</v>
      </c>
      <c r="AH814" s="405">
        <v>100</v>
      </c>
      <c r="AI814" s="405">
        <v>0</v>
      </c>
      <c r="AJ814" s="406" t="s">
        <v>1628</v>
      </c>
      <c r="AK814" s="406" t="s">
        <v>1501</v>
      </c>
      <c r="AL814" s="414" t="s">
        <v>1629</v>
      </c>
      <c r="AM814" s="405" t="s">
        <v>52</v>
      </c>
      <c r="AN814" s="361" t="s">
        <v>50</v>
      </c>
      <c r="AO814" s="405" t="s">
        <v>1073</v>
      </c>
      <c r="AP814" s="405"/>
      <c r="AQ814" s="413" t="s">
        <v>37</v>
      </c>
      <c r="AR814" s="405" t="s">
        <v>1188</v>
      </c>
      <c r="AS814" s="404" t="s">
        <v>1392</v>
      </c>
      <c r="AT814" s="330"/>
      <c r="AU814" s="409">
        <f t="shared" si="105"/>
        <v>0.52</v>
      </c>
    </row>
    <row r="815" spans="1:47" s="402" customFormat="1">
      <c r="A815" s="426"/>
      <c r="B815" s="376"/>
      <c r="C815" s="426"/>
      <c r="D815" s="443" t="s">
        <v>86</v>
      </c>
      <c r="E815" s="331"/>
      <c r="F815" s="432"/>
      <c r="G815" s="350">
        <v>2022</v>
      </c>
      <c r="H815" s="350" t="s">
        <v>2383</v>
      </c>
      <c r="I815" s="432" t="s">
        <v>1498</v>
      </c>
      <c r="J815" s="433"/>
      <c r="K815" s="432" t="s">
        <v>3193</v>
      </c>
      <c r="L815" s="432" t="s">
        <v>1626</v>
      </c>
      <c r="M815" s="433">
        <v>44648</v>
      </c>
      <c r="N815" s="433">
        <v>44819</v>
      </c>
      <c r="O815" s="433"/>
      <c r="P815" s="332"/>
      <c r="Q815" s="433"/>
      <c r="R815" s="433"/>
      <c r="S815" s="432" t="s">
        <v>88</v>
      </c>
      <c r="T815" s="432">
        <v>60</v>
      </c>
      <c r="U815" s="432"/>
      <c r="V815" s="441" t="s">
        <v>986</v>
      </c>
      <c r="W815" s="432">
        <v>360</v>
      </c>
      <c r="X815" s="333">
        <v>768</v>
      </c>
      <c r="Y815" s="367">
        <f t="shared" si="103"/>
        <v>276480</v>
      </c>
      <c r="Z815" s="409">
        <f>198/360</f>
        <v>0.55000000000000004</v>
      </c>
      <c r="AA815" s="410">
        <f t="shared" si="95"/>
        <v>152064</v>
      </c>
      <c r="AB815" s="411"/>
      <c r="AC815" s="412">
        <f t="shared" si="104"/>
        <v>0</v>
      </c>
      <c r="AD815" s="405"/>
      <c r="AE815" s="405"/>
      <c r="AF815" s="424">
        <f t="shared" si="91"/>
        <v>152064</v>
      </c>
      <c r="AG815" s="405" t="s">
        <v>1069</v>
      </c>
      <c r="AH815" s="405">
        <v>100</v>
      </c>
      <c r="AI815" s="405">
        <v>0</v>
      </c>
      <c r="AJ815" s="406" t="s">
        <v>1628</v>
      </c>
      <c r="AK815" s="406" t="s">
        <v>1501</v>
      </c>
      <c r="AL815" s="414" t="s">
        <v>1629</v>
      </c>
      <c r="AM815" s="405" t="s">
        <v>52</v>
      </c>
      <c r="AN815" s="361" t="s">
        <v>50</v>
      </c>
      <c r="AO815" s="405" t="s">
        <v>1073</v>
      </c>
      <c r="AP815" s="405"/>
      <c r="AQ815" s="413" t="s">
        <v>37</v>
      </c>
      <c r="AR815" s="405" t="s">
        <v>1188</v>
      </c>
      <c r="AS815" s="404" t="s">
        <v>1392</v>
      </c>
      <c r="AT815" s="330"/>
      <c r="AU815" s="409">
        <f t="shared" si="105"/>
        <v>0.52</v>
      </c>
    </row>
    <row r="816" spans="1:47" s="402" customFormat="1">
      <c r="A816" s="426"/>
      <c r="B816" s="376"/>
      <c r="C816" s="426"/>
      <c r="D816" s="443" t="s">
        <v>86</v>
      </c>
      <c r="E816" s="331" t="s">
        <v>3192</v>
      </c>
      <c r="F816" s="432"/>
      <c r="G816" s="350">
        <v>2022</v>
      </c>
      <c r="H816" s="350" t="s">
        <v>2383</v>
      </c>
      <c r="I816" s="432" t="s">
        <v>1498</v>
      </c>
      <c r="J816" s="433"/>
      <c r="K816" s="432" t="s">
        <v>3194</v>
      </c>
      <c r="L816" s="432" t="s">
        <v>1626</v>
      </c>
      <c r="M816" s="433">
        <v>44648</v>
      </c>
      <c r="N816" s="433">
        <v>44788</v>
      </c>
      <c r="O816" s="433"/>
      <c r="P816" s="332"/>
      <c r="Q816" s="433"/>
      <c r="R816" s="433"/>
      <c r="S816" s="432" t="s">
        <v>88</v>
      </c>
      <c r="T816" s="432">
        <v>60</v>
      </c>
      <c r="U816" s="432"/>
      <c r="V816" s="441" t="s">
        <v>986</v>
      </c>
      <c r="W816" s="432">
        <v>360</v>
      </c>
      <c r="X816" s="333">
        <v>768</v>
      </c>
      <c r="Y816" s="367">
        <f t="shared" si="103"/>
        <v>276480</v>
      </c>
      <c r="Z816" s="409">
        <f>198/360</f>
        <v>0.55000000000000004</v>
      </c>
      <c r="AA816" s="410">
        <f t="shared" si="95"/>
        <v>152064</v>
      </c>
      <c r="AB816" s="411"/>
      <c r="AC816" s="412">
        <f t="shared" si="104"/>
        <v>0</v>
      </c>
      <c r="AD816" s="405"/>
      <c r="AE816" s="405"/>
      <c r="AF816" s="424">
        <f t="shared" si="91"/>
        <v>152064</v>
      </c>
      <c r="AG816" s="405" t="s">
        <v>1069</v>
      </c>
      <c r="AH816" s="405">
        <v>100</v>
      </c>
      <c r="AI816" s="405">
        <v>0</v>
      </c>
      <c r="AJ816" s="406" t="s">
        <v>1628</v>
      </c>
      <c r="AK816" s="406" t="s">
        <v>1501</v>
      </c>
      <c r="AL816" s="414" t="s">
        <v>1629</v>
      </c>
      <c r="AM816" s="405" t="s">
        <v>52</v>
      </c>
      <c r="AN816" s="361" t="s">
        <v>50</v>
      </c>
      <c r="AO816" s="405" t="s">
        <v>1073</v>
      </c>
      <c r="AP816" s="405"/>
      <c r="AQ816" s="413" t="s">
        <v>37</v>
      </c>
      <c r="AR816" s="405" t="s">
        <v>1188</v>
      </c>
      <c r="AS816" s="404" t="s">
        <v>1392</v>
      </c>
      <c r="AT816" s="330"/>
      <c r="AU816" s="409">
        <f t="shared" si="105"/>
        <v>0.52</v>
      </c>
    </row>
    <row r="817" spans="1:47" s="402" customFormat="1">
      <c r="A817" s="426"/>
      <c r="B817" s="376"/>
      <c r="C817" s="426"/>
      <c r="D817" s="443" t="s">
        <v>86</v>
      </c>
      <c r="E817" s="331" t="s">
        <v>3192</v>
      </c>
      <c r="F817" s="432"/>
      <c r="G817" s="350">
        <v>2022</v>
      </c>
      <c r="H817" s="350" t="s">
        <v>2383</v>
      </c>
      <c r="I817" s="432" t="s">
        <v>1498</v>
      </c>
      <c r="J817" s="433"/>
      <c r="K817" s="432" t="s">
        <v>3195</v>
      </c>
      <c r="L817" s="432" t="s">
        <v>1626</v>
      </c>
      <c r="M817" s="433">
        <v>44648</v>
      </c>
      <c r="N817" s="433">
        <v>44757</v>
      </c>
      <c r="O817" s="433"/>
      <c r="P817" s="332"/>
      <c r="Q817" s="433"/>
      <c r="R817" s="433"/>
      <c r="S817" s="432" t="s">
        <v>88</v>
      </c>
      <c r="T817" s="432">
        <v>60</v>
      </c>
      <c r="U817" s="432"/>
      <c r="V817" s="441" t="s">
        <v>986</v>
      </c>
      <c r="W817" s="432">
        <v>360</v>
      </c>
      <c r="X817" s="333">
        <v>768</v>
      </c>
      <c r="Y817" s="367">
        <f t="shared" si="103"/>
        <v>276480</v>
      </c>
      <c r="Z817" s="409">
        <f>198/360</f>
        <v>0.55000000000000004</v>
      </c>
      <c r="AA817" s="410">
        <f t="shared" si="95"/>
        <v>152064</v>
      </c>
      <c r="AB817" s="411"/>
      <c r="AC817" s="412">
        <f t="shared" si="104"/>
        <v>0</v>
      </c>
      <c r="AD817" s="405"/>
      <c r="AE817" s="405"/>
      <c r="AF817" s="424">
        <f t="shared" si="91"/>
        <v>152064</v>
      </c>
      <c r="AG817" s="405" t="s">
        <v>1069</v>
      </c>
      <c r="AH817" s="405">
        <v>100</v>
      </c>
      <c r="AI817" s="405">
        <v>0</v>
      </c>
      <c r="AJ817" s="406" t="s">
        <v>1628</v>
      </c>
      <c r="AK817" s="406" t="s">
        <v>1501</v>
      </c>
      <c r="AL817" s="414" t="s">
        <v>1629</v>
      </c>
      <c r="AM817" s="405" t="s">
        <v>52</v>
      </c>
      <c r="AN817" s="361" t="s">
        <v>50</v>
      </c>
      <c r="AO817" s="405" t="s">
        <v>1073</v>
      </c>
      <c r="AP817" s="405"/>
      <c r="AQ817" s="413" t="s">
        <v>37</v>
      </c>
      <c r="AR817" s="405" t="s">
        <v>1188</v>
      </c>
      <c r="AS817" s="404" t="s">
        <v>1392</v>
      </c>
      <c r="AT817" s="330"/>
      <c r="AU817" s="409">
        <f t="shared" si="105"/>
        <v>0.52</v>
      </c>
    </row>
    <row r="818" spans="1:47" s="402" customFormat="1">
      <c r="A818" s="426"/>
      <c r="B818" s="376">
        <v>44615</v>
      </c>
      <c r="C818" s="426"/>
      <c r="D818" s="443" t="s">
        <v>86</v>
      </c>
      <c r="E818" s="331"/>
      <c r="F818" s="432" t="s">
        <v>1898</v>
      </c>
      <c r="G818" s="350">
        <v>2022</v>
      </c>
      <c r="H818" s="350" t="s">
        <v>2383</v>
      </c>
      <c r="I818" s="432" t="s">
        <v>1498</v>
      </c>
      <c r="J818" s="433"/>
      <c r="K818" s="432" t="s">
        <v>3196</v>
      </c>
      <c r="L818" s="432" t="s">
        <v>1528</v>
      </c>
      <c r="M818" s="433">
        <v>44593</v>
      </c>
      <c r="N818" s="433">
        <v>44636</v>
      </c>
      <c r="O818" s="433"/>
      <c r="P818" s="332"/>
      <c r="Q818" s="433"/>
      <c r="R818" s="433"/>
      <c r="S818" s="432" t="s">
        <v>88</v>
      </c>
      <c r="T818" s="432">
        <v>60</v>
      </c>
      <c r="U818" s="432"/>
      <c r="V818" s="441" t="s">
        <v>986</v>
      </c>
      <c r="W818" s="432">
        <v>360</v>
      </c>
      <c r="X818" s="333">
        <v>1536</v>
      </c>
      <c r="Y818" s="367">
        <f t="shared" si="103"/>
        <v>552960</v>
      </c>
      <c r="Z818" s="409">
        <f>192.6/360</f>
        <v>0.53500000000000003</v>
      </c>
      <c r="AA818" s="410">
        <f t="shared" si="95"/>
        <v>295833.60000000003</v>
      </c>
      <c r="AB818" s="411"/>
      <c r="AC818" s="412">
        <f t="shared" si="104"/>
        <v>0</v>
      </c>
      <c r="AD818" s="405"/>
      <c r="AE818" s="405"/>
      <c r="AF818" s="424">
        <f t="shared" si="91"/>
        <v>295833.60000000003</v>
      </c>
      <c r="AG818" s="405" t="s">
        <v>1069</v>
      </c>
      <c r="AH818" s="405"/>
      <c r="AI818" s="405">
        <v>60</v>
      </c>
      <c r="AJ818" s="406" t="s">
        <v>1289</v>
      </c>
      <c r="AK818" s="406" t="s">
        <v>1082</v>
      </c>
      <c r="AL818" s="414" t="s">
        <v>1899</v>
      </c>
      <c r="AM818" s="405" t="s">
        <v>52</v>
      </c>
      <c r="AN818" s="361" t="s">
        <v>1071</v>
      </c>
      <c r="AO818" s="405" t="s">
        <v>1073</v>
      </c>
      <c r="AP818" s="405"/>
      <c r="AQ818" s="413" t="s">
        <v>37</v>
      </c>
      <c r="AR818" s="405" t="s">
        <v>1188</v>
      </c>
      <c r="AS818" s="404"/>
      <c r="AT818" s="330"/>
      <c r="AU818" s="409">
        <f>181.8/360</f>
        <v>0.505</v>
      </c>
    </row>
    <row r="819" spans="1:47" s="402" customFormat="1">
      <c r="A819" s="426"/>
      <c r="B819" s="376">
        <v>44614</v>
      </c>
      <c r="C819" s="376"/>
      <c r="D819" s="334" t="s">
        <v>86</v>
      </c>
      <c r="E819" s="427"/>
      <c r="F819" s="326" t="s">
        <v>1898</v>
      </c>
      <c r="G819" s="328">
        <v>2022</v>
      </c>
      <c r="H819" s="350" t="s">
        <v>2383</v>
      </c>
      <c r="I819" s="427" t="s">
        <v>1498</v>
      </c>
      <c r="J819" s="428"/>
      <c r="K819" s="427" t="s">
        <v>3197</v>
      </c>
      <c r="L819" s="427" t="s">
        <v>1528</v>
      </c>
      <c r="M819" s="428">
        <v>44585</v>
      </c>
      <c r="N819" s="428">
        <v>44790</v>
      </c>
      <c r="O819" s="428"/>
      <c r="P819" s="428"/>
      <c r="Q819" s="428"/>
      <c r="R819" s="428"/>
      <c r="S819" s="427" t="s">
        <v>88</v>
      </c>
      <c r="T819" s="427">
        <v>60</v>
      </c>
      <c r="U819" s="326"/>
      <c r="V819" s="427" t="s">
        <v>986</v>
      </c>
      <c r="W819" s="427">
        <v>360</v>
      </c>
      <c r="X819" s="327">
        <v>768</v>
      </c>
      <c r="Y819" s="365">
        <f t="shared" si="103"/>
        <v>276480</v>
      </c>
      <c r="Z819" s="409">
        <f>192.6/360</f>
        <v>0.53500000000000003</v>
      </c>
      <c r="AA819" s="411">
        <f t="shared" si="95"/>
        <v>147916.80000000002</v>
      </c>
      <c r="AB819" s="411"/>
      <c r="AC819" s="412">
        <f t="shared" si="104"/>
        <v>0</v>
      </c>
      <c r="AD819" s="405"/>
      <c r="AE819" s="405"/>
      <c r="AF819" s="424">
        <f t="shared" si="91"/>
        <v>147916.80000000002</v>
      </c>
      <c r="AG819" s="405" t="s">
        <v>1069</v>
      </c>
      <c r="AH819" s="405"/>
      <c r="AI819" s="405">
        <v>60</v>
      </c>
      <c r="AJ819" s="406" t="s">
        <v>2350</v>
      </c>
      <c r="AK819" s="406" t="s">
        <v>1081</v>
      </c>
      <c r="AL819" s="414" t="s">
        <v>2351</v>
      </c>
      <c r="AM819" s="405" t="s">
        <v>52</v>
      </c>
      <c r="AN819" s="361" t="s">
        <v>1071</v>
      </c>
      <c r="AO819" s="405" t="s">
        <v>1073</v>
      </c>
      <c r="AP819" s="413"/>
      <c r="AQ819" s="405" t="s">
        <v>37</v>
      </c>
      <c r="AR819" s="405" t="s">
        <v>1188</v>
      </c>
      <c r="AS819" s="404"/>
      <c r="AT819" s="330"/>
      <c r="AU819" s="409">
        <f>181.8/360</f>
        <v>0.505</v>
      </c>
    </row>
    <row r="820" spans="1:47" s="402" customFormat="1">
      <c r="A820" s="426"/>
      <c r="B820" s="376"/>
      <c r="C820" s="426"/>
      <c r="D820" s="443" t="s">
        <v>86</v>
      </c>
      <c r="E820" s="331"/>
      <c r="F820" s="432"/>
      <c r="G820" s="350">
        <v>2022</v>
      </c>
      <c r="H820" s="350" t="s">
        <v>2978</v>
      </c>
      <c r="I820" s="432" t="s">
        <v>1498</v>
      </c>
      <c r="J820" s="433"/>
      <c r="K820" s="432" t="s">
        <v>4283</v>
      </c>
      <c r="L820" s="432" t="s">
        <v>3074</v>
      </c>
      <c r="M820" s="433">
        <v>44673</v>
      </c>
      <c r="N820" s="433">
        <v>44835</v>
      </c>
      <c r="O820" s="433"/>
      <c r="P820" s="332"/>
      <c r="Q820" s="433"/>
      <c r="R820" s="433"/>
      <c r="S820" s="432" t="s">
        <v>1520</v>
      </c>
      <c r="T820" s="432">
        <v>60</v>
      </c>
      <c r="U820" s="432" t="s">
        <v>1102</v>
      </c>
      <c r="V820" s="441" t="s">
        <v>973</v>
      </c>
      <c r="W820" s="432">
        <v>400</v>
      </c>
      <c r="X820" s="333">
        <v>2304</v>
      </c>
      <c r="Y820" s="367">
        <f t="shared" si="103"/>
        <v>921600</v>
      </c>
      <c r="Z820" s="409">
        <f>256/400</f>
        <v>0.64</v>
      </c>
      <c r="AA820" s="410">
        <f t="shared" si="95"/>
        <v>589824</v>
      </c>
      <c r="AB820" s="411"/>
      <c r="AC820" s="412">
        <f t="shared" si="104"/>
        <v>0</v>
      </c>
      <c r="AD820" s="405"/>
      <c r="AE820" s="405"/>
      <c r="AF820" s="424">
        <f t="shared" si="91"/>
        <v>589824</v>
      </c>
      <c r="AG820" s="405" t="s">
        <v>1069</v>
      </c>
      <c r="AH820" s="405"/>
      <c r="AI820" s="405">
        <v>60</v>
      </c>
      <c r="AJ820" s="406" t="s">
        <v>3075</v>
      </c>
      <c r="AK820" s="406" t="s">
        <v>1522</v>
      </c>
      <c r="AL820" s="414">
        <v>99217</v>
      </c>
      <c r="AM820" s="405" t="s">
        <v>52</v>
      </c>
      <c r="AN820" s="361"/>
      <c r="AO820" s="405" t="s">
        <v>1073</v>
      </c>
      <c r="AP820" s="405"/>
      <c r="AQ820" s="413" t="s">
        <v>37</v>
      </c>
      <c r="AR820" s="405" t="s">
        <v>1188</v>
      </c>
      <c r="AS820" s="404"/>
      <c r="AT820" s="330"/>
      <c r="AU820" s="409">
        <f>212/400</f>
        <v>0.53</v>
      </c>
    </row>
    <row r="821" spans="1:47" s="402" customFormat="1">
      <c r="A821" s="426"/>
      <c r="B821" s="376"/>
      <c r="C821" s="426"/>
      <c r="D821" s="443" t="s">
        <v>86</v>
      </c>
      <c r="E821" s="331"/>
      <c r="F821" s="432"/>
      <c r="G821" s="350">
        <v>2022</v>
      </c>
      <c r="H821" s="350" t="s">
        <v>2978</v>
      </c>
      <c r="I821" s="432" t="s">
        <v>1498</v>
      </c>
      <c r="J821" s="433"/>
      <c r="K821" s="432" t="s">
        <v>4284</v>
      </c>
      <c r="L821" s="432" t="s">
        <v>3074</v>
      </c>
      <c r="M821" s="433">
        <v>44673</v>
      </c>
      <c r="N821" s="433">
        <v>44866</v>
      </c>
      <c r="O821" s="433"/>
      <c r="P821" s="332"/>
      <c r="Q821" s="433"/>
      <c r="R821" s="433"/>
      <c r="S821" s="432" t="s">
        <v>1520</v>
      </c>
      <c r="T821" s="432">
        <v>60</v>
      </c>
      <c r="U821" s="432" t="s">
        <v>1102</v>
      </c>
      <c r="V821" s="441" t="s">
        <v>973</v>
      </c>
      <c r="W821" s="432">
        <v>400</v>
      </c>
      <c r="X821" s="333">
        <v>2304</v>
      </c>
      <c r="Y821" s="367">
        <f t="shared" si="103"/>
        <v>921600</v>
      </c>
      <c r="Z821" s="409">
        <f>256/400</f>
        <v>0.64</v>
      </c>
      <c r="AA821" s="410">
        <f t="shared" si="95"/>
        <v>589824</v>
      </c>
      <c r="AB821" s="411"/>
      <c r="AC821" s="412">
        <f t="shared" si="104"/>
        <v>0</v>
      </c>
      <c r="AD821" s="405"/>
      <c r="AE821" s="405"/>
      <c r="AF821" s="424">
        <f t="shared" si="91"/>
        <v>589824</v>
      </c>
      <c r="AG821" s="405" t="s">
        <v>1069</v>
      </c>
      <c r="AH821" s="405"/>
      <c r="AI821" s="405">
        <v>60</v>
      </c>
      <c r="AJ821" s="406" t="s">
        <v>3075</v>
      </c>
      <c r="AK821" s="406" t="s">
        <v>1522</v>
      </c>
      <c r="AL821" s="414">
        <v>99217</v>
      </c>
      <c r="AM821" s="405" t="s">
        <v>52</v>
      </c>
      <c r="AN821" s="361"/>
      <c r="AO821" s="405" t="s">
        <v>1073</v>
      </c>
      <c r="AP821" s="405"/>
      <c r="AQ821" s="413" t="s">
        <v>37</v>
      </c>
      <c r="AR821" s="405" t="s">
        <v>1188</v>
      </c>
      <c r="AS821" s="404"/>
      <c r="AT821" s="330"/>
      <c r="AU821" s="409">
        <f>212/400</f>
        <v>0.53</v>
      </c>
    </row>
    <row r="822" spans="1:47" s="402" customFormat="1">
      <c r="A822" s="426"/>
      <c r="B822" s="376"/>
      <c r="C822" s="426"/>
      <c r="D822" s="443" t="s">
        <v>86</v>
      </c>
      <c r="E822" s="331"/>
      <c r="F822" s="432"/>
      <c r="G822" s="350">
        <v>2022</v>
      </c>
      <c r="H822" s="350" t="s">
        <v>2978</v>
      </c>
      <c r="I822" s="432" t="s">
        <v>1498</v>
      </c>
      <c r="J822" s="433"/>
      <c r="K822" s="432" t="s">
        <v>4285</v>
      </c>
      <c r="L822" s="432" t="s">
        <v>3074</v>
      </c>
      <c r="M822" s="433">
        <v>44673</v>
      </c>
      <c r="N822" s="433">
        <v>44896</v>
      </c>
      <c r="O822" s="433"/>
      <c r="P822" s="332"/>
      <c r="Q822" s="433"/>
      <c r="R822" s="433"/>
      <c r="S822" s="432" t="s">
        <v>1520</v>
      </c>
      <c r="T822" s="432">
        <v>60</v>
      </c>
      <c r="U822" s="432" t="s">
        <v>1102</v>
      </c>
      <c r="V822" s="441" t="s">
        <v>973</v>
      </c>
      <c r="W822" s="432">
        <v>400</v>
      </c>
      <c r="X822" s="333">
        <v>2304</v>
      </c>
      <c r="Y822" s="367">
        <f t="shared" si="103"/>
        <v>921600</v>
      </c>
      <c r="Z822" s="409">
        <f>256/400</f>
        <v>0.64</v>
      </c>
      <c r="AA822" s="410">
        <f t="shared" si="95"/>
        <v>589824</v>
      </c>
      <c r="AB822" s="411"/>
      <c r="AC822" s="412">
        <f t="shared" si="104"/>
        <v>0</v>
      </c>
      <c r="AD822" s="405"/>
      <c r="AE822" s="405"/>
      <c r="AF822" s="424">
        <f t="shared" si="91"/>
        <v>589824</v>
      </c>
      <c r="AG822" s="405" t="s">
        <v>1069</v>
      </c>
      <c r="AH822" s="405"/>
      <c r="AI822" s="405">
        <v>60</v>
      </c>
      <c r="AJ822" s="406" t="s">
        <v>3075</v>
      </c>
      <c r="AK822" s="406" t="s">
        <v>1522</v>
      </c>
      <c r="AL822" s="414">
        <v>99217</v>
      </c>
      <c r="AM822" s="405" t="s">
        <v>52</v>
      </c>
      <c r="AN822" s="361"/>
      <c r="AO822" s="405" t="s">
        <v>1073</v>
      </c>
      <c r="AP822" s="405"/>
      <c r="AQ822" s="413" t="s">
        <v>37</v>
      </c>
      <c r="AR822" s="405" t="s">
        <v>1188</v>
      </c>
      <c r="AS822" s="404"/>
      <c r="AT822" s="330"/>
      <c r="AU822" s="409">
        <f>212/400</f>
        <v>0.53</v>
      </c>
    </row>
    <row r="823" spans="1:47" s="402" customFormat="1">
      <c r="A823" s="426"/>
      <c r="B823" s="376"/>
      <c r="C823" s="426"/>
      <c r="D823" s="443" t="s">
        <v>86</v>
      </c>
      <c r="E823" s="331"/>
      <c r="F823" s="432"/>
      <c r="G823" s="432">
        <v>2022</v>
      </c>
      <c r="H823" s="432" t="s">
        <v>2978</v>
      </c>
      <c r="I823" s="432" t="s">
        <v>1498</v>
      </c>
      <c r="J823" s="433"/>
      <c r="K823" s="432" t="s">
        <v>4286</v>
      </c>
      <c r="L823" s="432" t="s">
        <v>1603</v>
      </c>
      <c r="M823" s="433">
        <v>44673</v>
      </c>
      <c r="N823" s="433">
        <v>44748</v>
      </c>
      <c r="O823" s="433"/>
      <c r="P823" s="332"/>
      <c r="Q823" s="433"/>
      <c r="R823" s="433"/>
      <c r="S823" s="432" t="s">
        <v>1520</v>
      </c>
      <c r="T823" s="432">
        <v>60</v>
      </c>
      <c r="U823" s="432"/>
      <c r="V823" s="441" t="s">
        <v>986</v>
      </c>
      <c r="W823" s="432">
        <v>360</v>
      </c>
      <c r="X823" s="333">
        <v>1536</v>
      </c>
      <c r="Y823" s="367">
        <f t="shared" si="103"/>
        <v>552960</v>
      </c>
      <c r="Z823" s="409">
        <f>223.2/360</f>
        <v>0.62</v>
      </c>
      <c r="AA823" s="410">
        <f t="shared" si="95"/>
        <v>342835.20000000001</v>
      </c>
      <c r="AB823" s="411"/>
      <c r="AC823" s="412"/>
      <c r="AD823" s="405"/>
      <c r="AE823" s="405"/>
      <c r="AF823" s="424">
        <f t="shared" si="91"/>
        <v>342835.20000000001</v>
      </c>
      <c r="AG823" s="405" t="s">
        <v>1069</v>
      </c>
      <c r="AH823" s="405"/>
      <c r="AI823" s="405">
        <v>60</v>
      </c>
      <c r="AJ823" s="406" t="s">
        <v>1613</v>
      </c>
      <c r="AK823" s="406" t="s">
        <v>50</v>
      </c>
      <c r="AL823" s="414" t="s">
        <v>1614</v>
      </c>
      <c r="AM823" s="405" t="s">
        <v>52</v>
      </c>
      <c r="AN823" s="361"/>
      <c r="AO823" s="405" t="s">
        <v>1073</v>
      </c>
      <c r="AP823" s="405"/>
      <c r="AQ823" s="413" t="s">
        <v>37</v>
      </c>
      <c r="AR823" s="405"/>
      <c r="AS823" s="404"/>
      <c r="AT823" s="404"/>
      <c r="AU823" s="409"/>
    </row>
    <row r="824" spans="1:47" s="402" customFormat="1">
      <c r="A824" s="426"/>
      <c r="B824" s="376"/>
      <c r="C824" s="426"/>
      <c r="D824" s="443" t="s">
        <v>86</v>
      </c>
      <c r="E824" s="331"/>
      <c r="F824" s="432"/>
      <c r="G824" s="432">
        <v>2022</v>
      </c>
      <c r="H824" s="432" t="s">
        <v>2978</v>
      </c>
      <c r="I824" s="432" t="s">
        <v>1498</v>
      </c>
      <c r="J824" s="433"/>
      <c r="K824" s="432" t="s">
        <v>4287</v>
      </c>
      <c r="L824" s="432" t="s">
        <v>1603</v>
      </c>
      <c r="M824" s="433">
        <v>44673</v>
      </c>
      <c r="N824" s="433">
        <v>44778</v>
      </c>
      <c r="O824" s="433"/>
      <c r="P824" s="332"/>
      <c r="Q824" s="433"/>
      <c r="R824" s="433"/>
      <c r="S824" s="432" t="s">
        <v>1520</v>
      </c>
      <c r="T824" s="432">
        <v>60</v>
      </c>
      <c r="U824" s="432"/>
      <c r="V824" s="441" t="s">
        <v>986</v>
      </c>
      <c r="W824" s="432">
        <v>360</v>
      </c>
      <c r="X824" s="333">
        <v>1536</v>
      </c>
      <c r="Y824" s="367">
        <f t="shared" si="103"/>
        <v>552960</v>
      </c>
      <c r="Z824" s="409">
        <f>223.2/360</f>
        <v>0.62</v>
      </c>
      <c r="AA824" s="410">
        <f t="shared" si="95"/>
        <v>342835.20000000001</v>
      </c>
      <c r="AB824" s="411"/>
      <c r="AC824" s="412"/>
      <c r="AD824" s="405"/>
      <c r="AE824" s="405"/>
      <c r="AF824" s="424">
        <f t="shared" si="91"/>
        <v>342835.20000000001</v>
      </c>
      <c r="AG824" s="405" t="s">
        <v>1069</v>
      </c>
      <c r="AH824" s="405"/>
      <c r="AI824" s="405">
        <v>60</v>
      </c>
      <c r="AJ824" s="406" t="s">
        <v>1613</v>
      </c>
      <c r="AK824" s="406" t="s">
        <v>50</v>
      </c>
      <c r="AL824" s="414" t="s">
        <v>1614</v>
      </c>
      <c r="AM824" s="405" t="s">
        <v>52</v>
      </c>
      <c r="AN824" s="361"/>
      <c r="AO824" s="405" t="s">
        <v>1073</v>
      </c>
      <c r="AP824" s="405"/>
      <c r="AQ824" s="413" t="s">
        <v>37</v>
      </c>
      <c r="AR824" s="405"/>
      <c r="AS824" s="404"/>
      <c r="AT824" s="404"/>
      <c r="AU824" s="409"/>
    </row>
    <row r="825" spans="1:47" s="402" customFormat="1">
      <c r="A825" s="426"/>
      <c r="B825" s="376">
        <v>44676</v>
      </c>
      <c r="C825" s="426"/>
      <c r="D825" s="443" t="s">
        <v>86</v>
      </c>
      <c r="E825" s="331"/>
      <c r="F825" s="432"/>
      <c r="G825" s="350">
        <v>2022</v>
      </c>
      <c r="H825" s="350" t="s">
        <v>2978</v>
      </c>
      <c r="I825" s="432" t="s">
        <v>1498</v>
      </c>
      <c r="J825" s="433"/>
      <c r="K825" s="432" t="s">
        <v>4288</v>
      </c>
      <c r="L825" s="432" t="s">
        <v>1764</v>
      </c>
      <c r="M825" s="433">
        <v>44659</v>
      </c>
      <c r="N825" s="433">
        <v>44805</v>
      </c>
      <c r="O825" s="433"/>
      <c r="P825" s="332"/>
      <c r="Q825" s="433"/>
      <c r="R825" s="433"/>
      <c r="S825" s="432" t="s">
        <v>88</v>
      </c>
      <c r="T825" s="432">
        <v>60</v>
      </c>
      <c r="U825" s="432" t="s">
        <v>1102</v>
      </c>
      <c r="V825" s="441" t="s">
        <v>973</v>
      </c>
      <c r="W825" s="432">
        <v>400</v>
      </c>
      <c r="X825" s="333">
        <v>3840</v>
      </c>
      <c r="Y825" s="367">
        <f t="shared" si="103"/>
        <v>1536000</v>
      </c>
      <c r="Z825" s="409">
        <f>222/400</f>
        <v>0.55500000000000005</v>
      </c>
      <c r="AA825" s="410">
        <f t="shared" si="95"/>
        <v>852480.00000000012</v>
      </c>
      <c r="AB825" s="411"/>
      <c r="AC825" s="412">
        <f t="shared" ref="AC825:AC832" si="106">AB825*Y825</f>
        <v>0</v>
      </c>
      <c r="AD825" s="405"/>
      <c r="AE825" s="405"/>
      <c r="AF825" s="424">
        <f t="shared" si="91"/>
        <v>852480.00000000012</v>
      </c>
      <c r="AG825" s="405" t="s">
        <v>1069</v>
      </c>
      <c r="AH825" s="405"/>
      <c r="AI825" s="405">
        <v>60</v>
      </c>
      <c r="AJ825" s="406" t="s">
        <v>1760</v>
      </c>
      <c r="AK825" s="406" t="s">
        <v>50</v>
      </c>
      <c r="AL825" s="414">
        <v>92056</v>
      </c>
      <c r="AM825" s="405" t="s">
        <v>52</v>
      </c>
      <c r="AN825" s="361"/>
      <c r="AO825" s="405" t="s">
        <v>1073</v>
      </c>
      <c r="AP825" s="405"/>
      <c r="AQ825" s="413" t="s">
        <v>37</v>
      </c>
      <c r="AR825" s="405" t="s">
        <v>1188</v>
      </c>
      <c r="AS825" s="404"/>
      <c r="AT825" s="330"/>
      <c r="AU825" s="409">
        <f>212/400</f>
        <v>0.53</v>
      </c>
    </row>
    <row r="826" spans="1:47" s="402" customFormat="1">
      <c r="A826" s="426"/>
      <c r="B826" s="376">
        <v>44676</v>
      </c>
      <c r="C826" s="426"/>
      <c r="D826" s="443" t="s">
        <v>86</v>
      </c>
      <c r="E826" s="331"/>
      <c r="F826" s="432"/>
      <c r="G826" s="350">
        <v>2022</v>
      </c>
      <c r="H826" s="350" t="s">
        <v>2978</v>
      </c>
      <c r="I826" s="432" t="s">
        <v>1498</v>
      </c>
      <c r="J826" s="433"/>
      <c r="K826" s="432" t="s">
        <v>4288</v>
      </c>
      <c r="L826" s="432" t="s">
        <v>1764</v>
      </c>
      <c r="M826" s="433">
        <v>44659</v>
      </c>
      <c r="N826" s="433">
        <v>44805</v>
      </c>
      <c r="O826" s="433"/>
      <c r="P826" s="332"/>
      <c r="Q826" s="433"/>
      <c r="R826" s="433"/>
      <c r="S826" s="432" t="s">
        <v>88</v>
      </c>
      <c r="T826" s="432">
        <v>60</v>
      </c>
      <c r="U826" s="432" t="s">
        <v>1102</v>
      </c>
      <c r="V826" s="441" t="s">
        <v>986</v>
      </c>
      <c r="W826" s="432">
        <v>360</v>
      </c>
      <c r="X826" s="333">
        <v>1536</v>
      </c>
      <c r="Y826" s="367">
        <f t="shared" si="103"/>
        <v>552960</v>
      </c>
      <c r="Z826" s="409">
        <f>192.6/360</f>
        <v>0.53500000000000003</v>
      </c>
      <c r="AA826" s="410">
        <f t="shared" si="95"/>
        <v>295833.60000000003</v>
      </c>
      <c r="AB826" s="411"/>
      <c r="AC826" s="412">
        <f t="shared" si="106"/>
        <v>0</v>
      </c>
      <c r="AD826" s="405"/>
      <c r="AE826" s="405"/>
      <c r="AF826" s="424">
        <f t="shared" si="91"/>
        <v>295833.60000000003</v>
      </c>
      <c r="AG826" s="405" t="s">
        <v>1069</v>
      </c>
      <c r="AH826" s="405"/>
      <c r="AI826" s="405">
        <v>60</v>
      </c>
      <c r="AJ826" s="406" t="s">
        <v>1760</v>
      </c>
      <c r="AK826" s="406" t="s">
        <v>50</v>
      </c>
      <c r="AL826" s="414">
        <v>92056</v>
      </c>
      <c r="AM826" s="405" t="s">
        <v>52</v>
      </c>
      <c r="AN826" s="361"/>
      <c r="AO826" s="405" t="s">
        <v>1073</v>
      </c>
      <c r="AP826" s="405"/>
      <c r="AQ826" s="413" t="s">
        <v>37</v>
      </c>
      <c r="AR826" s="405" t="s">
        <v>1188</v>
      </c>
      <c r="AS826" s="404"/>
      <c r="AT826" s="330"/>
      <c r="AU826" s="409">
        <f>212/400</f>
        <v>0.53</v>
      </c>
    </row>
    <row r="827" spans="1:47" s="402" customFormat="1">
      <c r="A827" s="426"/>
      <c r="B827" s="376"/>
      <c r="C827" s="426"/>
      <c r="D827" s="443" t="s">
        <v>86</v>
      </c>
      <c r="E827" s="331" t="s">
        <v>3113</v>
      </c>
      <c r="F827" s="432"/>
      <c r="G827" s="350">
        <v>2022</v>
      </c>
      <c r="H827" s="350" t="s">
        <v>2383</v>
      </c>
      <c r="I827" s="432" t="s">
        <v>1498</v>
      </c>
      <c r="J827" s="433"/>
      <c r="K827" s="432" t="s">
        <v>4289</v>
      </c>
      <c r="L827" s="432" t="s">
        <v>1711</v>
      </c>
      <c r="M827" s="433">
        <v>44567</v>
      </c>
      <c r="N827" s="433">
        <v>44795</v>
      </c>
      <c r="O827" s="433"/>
      <c r="P827" s="332"/>
      <c r="Q827" s="433"/>
      <c r="R827" s="433"/>
      <c r="S827" s="432" t="s">
        <v>1510</v>
      </c>
      <c r="T827" s="432">
        <v>60</v>
      </c>
      <c r="U827" s="432"/>
      <c r="V827" s="441" t="s">
        <v>973</v>
      </c>
      <c r="W827" s="432">
        <v>400</v>
      </c>
      <c r="X827" s="333">
        <v>1664</v>
      </c>
      <c r="Y827" s="367">
        <f t="shared" si="103"/>
        <v>665600</v>
      </c>
      <c r="Z827" s="409">
        <f t="shared" ref="Z827:Z832" si="107">208/400</f>
        <v>0.52</v>
      </c>
      <c r="AA827" s="410">
        <f t="shared" si="95"/>
        <v>346112</v>
      </c>
      <c r="AB827" s="411"/>
      <c r="AC827" s="412">
        <f t="shared" si="106"/>
        <v>0</v>
      </c>
      <c r="AD827" s="405"/>
      <c r="AE827" s="405"/>
      <c r="AF827" s="424">
        <f t="shared" si="91"/>
        <v>346112</v>
      </c>
      <c r="AG827" s="405" t="s">
        <v>1069</v>
      </c>
      <c r="AH827" s="405"/>
      <c r="AI827" s="405">
        <v>60</v>
      </c>
      <c r="AJ827" s="406" t="s">
        <v>1712</v>
      </c>
      <c r="AK827" s="406" t="s">
        <v>50</v>
      </c>
      <c r="AL827" s="414" t="s">
        <v>1713</v>
      </c>
      <c r="AM827" s="405" t="s">
        <v>52</v>
      </c>
      <c r="AN827" s="361"/>
      <c r="AO827" s="405" t="s">
        <v>1073</v>
      </c>
      <c r="AP827" s="405"/>
      <c r="AQ827" s="413" t="s">
        <v>37</v>
      </c>
      <c r="AR827" s="405"/>
      <c r="AS827" s="404"/>
      <c r="AT827" s="330"/>
      <c r="AU827" s="409">
        <f t="shared" ref="AU827:AU832" si="108">180/360</f>
        <v>0.5</v>
      </c>
    </row>
    <row r="828" spans="1:47" s="402" customFormat="1">
      <c r="A828" s="426"/>
      <c r="B828" s="376"/>
      <c r="C828" s="426"/>
      <c r="D828" s="443" t="s">
        <v>86</v>
      </c>
      <c r="E828" s="331" t="s">
        <v>3113</v>
      </c>
      <c r="F828" s="432"/>
      <c r="G828" s="350">
        <v>2022</v>
      </c>
      <c r="H828" s="350" t="s">
        <v>2383</v>
      </c>
      <c r="I828" s="432" t="s">
        <v>1498</v>
      </c>
      <c r="J828" s="433"/>
      <c r="K828" s="432" t="s">
        <v>4290</v>
      </c>
      <c r="L828" s="432" t="s">
        <v>1711</v>
      </c>
      <c r="M828" s="433">
        <v>44567</v>
      </c>
      <c r="N828" s="433">
        <v>44753</v>
      </c>
      <c r="O828" s="433"/>
      <c r="P828" s="332"/>
      <c r="Q828" s="433"/>
      <c r="R828" s="433"/>
      <c r="S828" s="432" t="s">
        <v>1510</v>
      </c>
      <c r="T828" s="432">
        <v>60</v>
      </c>
      <c r="U828" s="432"/>
      <c r="V828" s="441" t="s">
        <v>973</v>
      </c>
      <c r="W828" s="432">
        <v>400</v>
      </c>
      <c r="X828" s="333">
        <v>1664</v>
      </c>
      <c r="Y828" s="367">
        <f t="shared" si="103"/>
        <v>665600</v>
      </c>
      <c r="Z828" s="409">
        <f t="shared" si="107"/>
        <v>0.52</v>
      </c>
      <c r="AA828" s="410">
        <f t="shared" si="95"/>
        <v>346112</v>
      </c>
      <c r="AB828" s="411"/>
      <c r="AC828" s="412">
        <f t="shared" si="106"/>
        <v>0</v>
      </c>
      <c r="AD828" s="405"/>
      <c r="AE828" s="405"/>
      <c r="AF828" s="424">
        <f t="shared" ref="AF828:AF846" si="109">AE828+AD828+AA828</f>
        <v>346112</v>
      </c>
      <c r="AG828" s="405" t="s">
        <v>1069</v>
      </c>
      <c r="AH828" s="405"/>
      <c r="AI828" s="405">
        <v>60</v>
      </c>
      <c r="AJ828" s="406" t="s">
        <v>1712</v>
      </c>
      <c r="AK828" s="406" t="s">
        <v>50</v>
      </c>
      <c r="AL828" s="414" t="s">
        <v>1713</v>
      </c>
      <c r="AM828" s="405" t="s">
        <v>52</v>
      </c>
      <c r="AN828" s="361"/>
      <c r="AO828" s="405" t="s">
        <v>1073</v>
      </c>
      <c r="AP828" s="405"/>
      <c r="AQ828" s="413" t="s">
        <v>37</v>
      </c>
      <c r="AR828" s="405"/>
      <c r="AS828" s="404"/>
      <c r="AT828" s="330"/>
      <c r="AU828" s="409">
        <f t="shared" si="108"/>
        <v>0.5</v>
      </c>
    </row>
    <row r="829" spans="1:47" s="402" customFormat="1">
      <c r="A829" s="426"/>
      <c r="B829" s="376"/>
      <c r="C829" s="426"/>
      <c r="D829" s="443" t="s">
        <v>86</v>
      </c>
      <c r="E829" s="331" t="s">
        <v>3113</v>
      </c>
      <c r="F829" s="432"/>
      <c r="G829" s="350">
        <v>2022</v>
      </c>
      <c r="H829" s="350" t="s">
        <v>2383</v>
      </c>
      <c r="I829" s="432" t="s">
        <v>1498</v>
      </c>
      <c r="J829" s="433"/>
      <c r="K829" s="432" t="s">
        <v>4291</v>
      </c>
      <c r="L829" s="432" t="s">
        <v>1711</v>
      </c>
      <c r="M829" s="433">
        <v>44567</v>
      </c>
      <c r="N829" s="433">
        <v>44732</v>
      </c>
      <c r="O829" s="433"/>
      <c r="P829" s="332"/>
      <c r="Q829" s="433"/>
      <c r="R829" s="433"/>
      <c r="S829" s="432" t="s">
        <v>1510</v>
      </c>
      <c r="T829" s="432">
        <v>60</v>
      </c>
      <c r="U829" s="432"/>
      <c r="V829" s="441" t="s">
        <v>973</v>
      </c>
      <c r="W829" s="432">
        <v>400</v>
      </c>
      <c r="X829" s="333">
        <v>1664</v>
      </c>
      <c r="Y829" s="367">
        <f t="shared" si="103"/>
        <v>665600</v>
      </c>
      <c r="Z829" s="409">
        <f t="shared" si="107"/>
        <v>0.52</v>
      </c>
      <c r="AA829" s="410">
        <f t="shared" si="95"/>
        <v>346112</v>
      </c>
      <c r="AB829" s="411"/>
      <c r="AC829" s="412">
        <f t="shared" si="106"/>
        <v>0</v>
      </c>
      <c r="AD829" s="405"/>
      <c r="AE829" s="405"/>
      <c r="AF829" s="424">
        <f t="shared" si="109"/>
        <v>346112</v>
      </c>
      <c r="AG829" s="405" t="s">
        <v>1069</v>
      </c>
      <c r="AH829" s="405"/>
      <c r="AI829" s="405">
        <v>60</v>
      </c>
      <c r="AJ829" s="406" t="s">
        <v>1712</v>
      </c>
      <c r="AK829" s="406" t="s">
        <v>50</v>
      </c>
      <c r="AL829" s="414" t="s">
        <v>1713</v>
      </c>
      <c r="AM829" s="405" t="s">
        <v>52</v>
      </c>
      <c r="AN829" s="361"/>
      <c r="AO829" s="405" t="s">
        <v>1073</v>
      </c>
      <c r="AP829" s="405"/>
      <c r="AQ829" s="413" t="s">
        <v>37</v>
      </c>
      <c r="AR829" s="405"/>
      <c r="AS829" s="404"/>
      <c r="AT829" s="330"/>
      <c r="AU829" s="409">
        <f t="shared" si="108"/>
        <v>0.5</v>
      </c>
    </row>
    <row r="830" spans="1:47" s="402" customFormat="1">
      <c r="A830" s="426"/>
      <c r="B830" s="376"/>
      <c r="C830" s="426"/>
      <c r="D830" s="443" t="s">
        <v>86</v>
      </c>
      <c r="E830" s="331" t="s">
        <v>3113</v>
      </c>
      <c r="F830" s="432"/>
      <c r="G830" s="350">
        <v>2022</v>
      </c>
      <c r="H830" s="350" t="s">
        <v>2383</v>
      </c>
      <c r="I830" s="432" t="s">
        <v>1498</v>
      </c>
      <c r="J830" s="433"/>
      <c r="K830" s="432" t="s">
        <v>4292</v>
      </c>
      <c r="L830" s="432" t="s">
        <v>1711</v>
      </c>
      <c r="M830" s="433">
        <v>44567</v>
      </c>
      <c r="N830" s="433">
        <v>44697</v>
      </c>
      <c r="O830" s="433"/>
      <c r="P830" s="332"/>
      <c r="Q830" s="433"/>
      <c r="R830" s="433"/>
      <c r="S830" s="432" t="s">
        <v>1510</v>
      </c>
      <c r="T830" s="432">
        <v>60</v>
      </c>
      <c r="U830" s="432"/>
      <c r="V830" s="441" t="s">
        <v>973</v>
      </c>
      <c r="W830" s="432">
        <v>400</v>
      </c>
      <c r="X830" s="333">
        <v>832</v>
      </c>
      <c r="Y830" s="367">
        <f t="shared" si="103"/>
        <v>332800</v>
      </c>
      <c r="Z830" s="409">
        <f t="shared" si="107"/>
        <v>0.52</v>
      </c>
      <c r="AA830" s="410">
        <f t="shared" si="95"/>
        <v>173056</v>
      </c>
      <c r="AB830" s="411"/>
      <c r="AC830" s="412">
        <f t="shared" si="106"/>
        <v>0</v>
      </c>
      <c r="AD830" s="405"/>
      <c r="AE830" s="405"/>
      <c r="AF830" s="424">
        <f t="shared" si="109"/>
        <v>173056</v>
      </c>
      <c r="AG830" s="405" t="s">
        <v>1069</v>
      </c>
      <c r="AH830" s="405"/>
      <c r="AI830" s="405">
        <v>60</v>
      </c>
      <c r="AJ830" s="406" t="s">
        <v>1712</v>
      </c>
      <c r="AK830" s="406" t="s">
        <v>50</v>
      </c>
      <c r="AL830" s="414" t="s">
        <v>1713</v>
      </c>
      <c r="AM830" s="405" t="s">
        <v>52</v>
      </c>
      <c r="AN830" s="361"/>
      <c r="AO830" s="405" t="s">
        <v>1073</v>
      </c>
      <c r="AP830" s="405"/>
      <c r="AQ830" s="413" t="s">
        <v>37</v>
      </c>
      <c r="AR830" s="405"/>
      <c r="AS830" s="404"/>
      <c r="AT830" s="330"/>
      <c r="AU830" s="409">
        <f t="shared" si="108"/>
        <v>0.5</v>
      </c>
    </row>
    <row r="831" spans="1:47" s="402" customFormat="1">
      <c r="A831" s="426"/>
      <c r="B831" s="376"/>
      <c r="C831" s="426"/>
      <c r="D831" s="443" t="s">
        <v>86</v>
      </c>
      <c r="E831" s="331" t="s">
        <v>3113</v>
      </c>
      <c r="F831" s="432"/>
      <c r="G831" s="350">
        <v>2022</v>
      </c>
      <c r="H831" s="350" t="s">
        <v>2383</v>
      </c>
      <c r="I831" s="432" t="s">
        <v>1498</v>
      </c>
      <c r="J831" s="433"/>
      <c r="K831" s="432" t="s">
        <v>4293</v>
      </c>
      <c r="L831" s="432" t="s">
        <v>1711</v>
      </c>
      <c r="M831" s="433">
        <v>44567</v>
      </c>
      <c r="N831" s="433">
        <v>44697</v>
      </c>
      <c r="O831" s="433"/>
      <c r="P831" s="332"/>
      <c r="Q831" s="433"/>
      <c r="R831" s="433"/>
      <c r="S831" s="432" t="s">
        <v>1510</v>
      </c>
      <c r="T831" s="432">
        <v>60</v>
      </c>
      <c r="U831" s="432"/>
      <c r="V831" s="441" t="s">
        <v>973</v>
      </c>
      <c r="W831" s="432">
        <v>400</v>
      </c>
      <c r="X831" s="333">
        <v>832</v>
      </c>
      <c r="Y831" s="367">
        <f t="shared" si="103"/>
        <v>332800</v>
      </c>
      <c r="Z831" s="409">
        <f t="shared" si="107"/>
        <v>0.52</v>
      </c>
      <c r="AA831" s="410">
        <f t="shared" si="95"/>
        <v>173056</v>
      </c>
      <c r="AB831" s="411"/>
      <c r="AC831" s="412">
        <f t="shared" si="106"/>
        <v>0</v>
      </c>
      <c r="AD831" s="405"/>
      <c r="AE831" s="405"/>
      <c r="AF831" s="424">
        <f t="shared" si="109"/>
        <v>173056</v>
      </c>
      <c r="AG831" s="405" t="s">
        <v>1069</v>
      </c>
      <c r="AH831" s="405"/>
      <c r="AI831" s="405">
        <v>60</v>
      </c>
      <c r="AJ831" s="406" t="s">
        <v>1712</v>
      </c>
      <c r="AK831" s="406" t="s">
        <v>50</v>
      </c>
      <c r="AL831" s="414" t="s">
        <v>1713</v>
      </c>
      <c r="AM831" s="405" t="s">
        <v>52</v>
      </c>
      <c r="AN831" s="361"/>
      <c r="AO831" s="405" t="s">
        <v>1073</v>
      </c>
      <c r="AP831" s="405"/>
      <c r="AQ831" s="413" t="s">
        <v>37</v>
      </c>
      <c r="AR831" s="405"/>
      <c r="AS831" s="404"/>
      <c r="AT831" s="330"/>
      <c r="AU831" s="409">
        <f t="shared" si="108"/>
        <v>0.5</v>
      </c>
    </row>
    <row r="832" spans="1:47" s="402" customFormat="1">
      <c r="A832" s="426"/>
      <c r="B832" s="376"/>
      <c r="C832" s="426"/>
      <c r="D832" s="443" t="s">
        <v>86</v>
      </c>
      <c r="E832" s="331" t="s">
        <v>3113</v>
      </c>
      <c r="F832" s="432"/>
      <c r="G832" s="350">
        <v>2022</v>
      </c>
      <c r="H832" s="350" t="s">
        <v>2383</v>
      </c>
      <c r="I832" s="432" t="s">
        <v>1498</v>
      </c>
      <c r="J832" s="433"/>
      <c r="K832" s="432" t="s">
        <v>4294</v>
      </c>
      <c r="L832" s="432" t="s">
        <v>1711</v>
      </c>
      <c r="M832" s="433">
        <v>44567</v>
      </c>
      <c r="N832" s="433">
        <v>44641</v>
      </c>
      <c r="O832" s="433"/>
      <c r="P832" s="332"/>
      <c r="Q832" s="433"/>
      <c r="R832" s="433"/>
      <c r="S832" s="432" t="s">
        <v>1510</v>
      </c>
      <c r="T832" s="432">
        <v>60</v>
      </c>
      <c r="U832" s="432"/>
      <c r="V832" s="441" t="s">
        <v>973</v>
      </c>
      <c r="W832" s="432">
        <v>400</v>
      </c>
      <c r="X832" s="333">
        <v>2496</v>
      </c>
      <c r="Y832" s="367">
        <f t="shared" si="103"/>
        <v>998400</v>
      </c>
      <c r="Z832" s="409">
        <f t="shared" si="107"/>
        <v>0.52</v>
      </c>
      <c r="AA832" s="410">
        <f t="shared" si="95"/>
        <v>519168</v>
      </c>
      <c r="AB832" s="411"/>
      <c r="AC832" s="412">
        <f t="shared" si="106"/>
        <v>0</v>
      </c>
      <c r="AD832" s="405"/>
      <c r="AE832" s="405"/>
      <c r="AF832" s="424">
        <f t="shared" si="109"/>
        <v>519168</v>
      </c>
      <c r="AG832" s="405" t="s">
        <v>1069</v>
      </c>
      <c r="AH832" s="405"/>
      <c r="AI832" s="405">
        <v>60</v>
      </c>
      <c r="AJ832" s="406" t="s">
        <v>1712</v>
      </c>
      <c r="AK832" s="406" t="s">
        <v>50</v>
      </c>
      <c r="AL832" s="414" t="s">
        <v>1713</v>
      </c>
      <c r="AM832" s="405" t="s">
        <v>52</v>
      </c>
      <c r="AN832" s="361"/>
      <c r="AO832" s="405" t="s">
        <v>1073</v>
      </c>
      <c r="AP832" s="405"/>
      <c r="AQ832" s="413" t="s">
        <v>37</v>
      </c>
      <c r="AR832" s="405"/>
      <c r="AS832" s="404"/>
      <c r="AT832" s="330"/>
      <c r="AU832" s="409">
        <f t="shared" si="108"/>
        <v>0.5</v>
      </c>
    </row>
    <row r="833" spans="1:47" s="402" customFormat="1">
      <c r="A833" s="426"/>
      <c r="B833" s="376"/>
      <c r="C833" s="426"/>
      <c r="D833" s="443" t="s">
        <v>86</v>
      </c>
      <c r="E833" s="331"/>
      <c r="F833" s="432"/>
      <c r="G833" s="350">
        <v>2022</v>
      </c>
      <c r="H833" s="350" t="s">
        <v>2383</v>
      </c>
      <c r="I833" s="432" t="s">
        <v>1498</v>
      </c>
      <c r="J833" s="433"/>
      <c r="K833" s="432" t="s">
        <v>4388</v>
      </c>
      <c r="L833" s="432" t="s">
        <v>1576</v>
      </c>
      <c r="M833" s="433">
        <v>44678</v>
      </c>
      <c r="N833" s="433">
        <v>44889</v>
      </c>
      <c r="O833" s="433"/>
      <c r="P833" s="332"/>
      <c r="Q833" s="433"/>
      <c r="R833" s="433"/>
      <c r="S833" s="432" t="s">
        <v>1520</v>
      </c>
      <c r="T833" s="432">
        <v>60</v>
      </c>
      <c r="U833" s="432"/>
      <c r="V833" s="441" t="s">
        <v>973</v>
      </c>
      <c r="W833" s="432">
        <v>400</v>
      </c>
      <c r="X833" s="333">
        <v>768</v>
      </c>
      <c r="Y833" s="367">
        <f t="shared" ref="Y833:Y836" si="110">X833*W833</f>
        <v>307200</v>
      </c>
      <c r="Z833" s="409">
        <f>256/400</f>
        <v>0.64</v>
      </c>
      <c r="AA833" s="410">
        <f t="shared" si="95"/>
        <v>196608</v>
      </c>
      <c r="AB833" s="411"/>
      <c r="AC833" s="412"/>
      <c r="AD833" s="405"/>
      <c r="AE833" s="405"/>
      <c r="AF833" s="424">
        <f t="shared" si="109"/>
        <v>196608</v>
      </c>
      <c r="AG833" s="405" t="s">
        <v>1069</v>
      </c>
      <c r="AH833" s="405"/>
      <c r="AI833" s="405">
        <v>60</v>
      </c>
      <c r="AJ833" s="406" t="s">
        <v>1577</v>
      </c>
      <c r="AK833" s="406" t="s">
        <v>1341</v>
      </c>
      <c r="AL833" s="414">
        <v>83642</v>
      </c>
      <c r="AM833" s="405" t="s">
        <v>52</v>
      </c>
      <c r="AN833" s="361" t="s">
        <v>1071</v>
      </c>
      <c r="AO833" s="405" t="s">
        <v>1073</v>
      </c>
      <c r="AP833" s="405"/>
      <c r="AQ833" s="413" t="s">
        <v>37</v>
      </c>
      <c r="AR833" s="405" t="s">
        <v>1243</v>
      </c>
      <c r="AS833" s="404"/>
      <c r="AT833" s="330"/>
      <c r="AU833" s="409">
        <f t="shared" ref="AU833:AU836" si="111">196/400</f>
        <v>0.49</v>
      </c>
    </row>
    <row r="834" spans="1:47" s="402" customFormat="1">
      <c r="A834" s="426"/>
      <c r="B834" s="376"/>
      <c r="C834" s="426"/>
      <c r="D834" s="443" t="s">
        <v>86</v>
      </c>
      <c r="E834" s="331"/>
      <c r="F834" s="432"/>
      <c r="G834" s="350">
        <v>2022</v>
      </c>
      <c r="H834" s="350" t="s">
        <v>2383</v>
      </c>
      <c r="I834" s="432" t="s">
        <v>1498</v>
      </c>
      <c r="J834" s="433"/>
      <c r="K834" s="432" t="s">
        <v>4389</v>
      </c>
      <c r="L834" s="432" t="s">
        <v>1576</v>
      </c>
      <c r="M834" s="433">
        <v>44678</v>
      </c>
      <c r="N834" s="433">
        <v>44900</v>
      </c>
      <c r="O834" s="433"/>
      <c r="P834" s="332"/>
      <c r="Q834" s="433"/>
      <c r="R834" s="433"/>
      <c r="S834" s="432" t="s">
        <v>1520</v>
      </c>
      <c r="T834" s="432">
        <v>60</v>
      </c>
      <c r="U834" s="432"/>
      <c r="V834" s="441" t="s">
        <v>973</v>
      </c>
      <c r="W834" s="432">
        <v>400</v>
      </c>
      <c r="X834" s="333">
        <v>768</v>
      </c>
      <c r="Y834" s="367">
        <f t="shared" si="110"/>
        <v>307200</v>
      </c>
      <c r="Z834" s="409">
        <f>256/400</f>
        <v>0.64</v>
      </c>
      <c r="AA834" s="410">
        <f t="shared" si="95"/>
        <v>196608</v>
      </c>
      <c r="AB834" s="411"/>
      <c r="AC834" s="412"/>
      <c r="AD834" s="405"/>
      <c r="AE834" s="405"/>
      <c r="AF834" s="424">
        <f t="shared" si="109"/>
        <v>196608</v>
      </c>
      <c r="AG834" s="405" t="s">
        <v>1069</v>
      </c>
      <c r="AH834" s="405"/>
      <c r="AI834" s="405">
        <v>60</v>
      </c>
      <c r="AJ834" s="406" t="s">
        <v>1577</v>
      </c>
      <c r="AK834" s="406" t="s">
        <v>1341</v>
      </c>
      <c r="AL834" s="414">
        <v>83642</v>
      </c>
      <c r="AM834" s="405" t="s">
        <v>52</v>
      </c>
      <c r="AN834" s="361" t="s">
        <v>1071</v>
      </c>
      <c r="AO834" s="405" t="s">
        <v>1073</v>
      </c>
      <c r="AP834" s="405"/>
      <c r="AQ834" s="413" t="s">
        <v>37</v>
      </c>
      <c r="AR834" s="405" t="s">
        <v>1243</v>
      </c>
      <c r="AS834" s="404"/>
      <c r="AT834" s="330"/>
      <c r="AU834" s="409">
        <f t="shared" si="111"/>
        <v>0.49</v>
      </c>
    </row>
    <row r="835" spans="1:47" s="402" customFormat="1">
      <c r="A835" s="426"/>
      <c r="B835" s="376"/>
      <c r="C835" s="426"/>
      <c r="D835" s="443" t="s">
        <v>86</v>
      </c>
      <c r="E835" s="331"/>
      <c r="F835" s="432"/>
      <c r="G835" s="350">
        <v>2022</v>
      </c>
      <c r="H835" s="350" t="s">
        <v>2383</v>
      </c>
      <c r="I835" s="432" t="s">
        <v>1498</v>
      </c>
      <c r="J835" s="433"/>
      <c r="K835" s="432" t="s">
        <v>4390</v>
      </c>
      <c r="L835" s="432" t="s">
        <v>1576</v>
      </c>
      <c r="M835" s="433">
        <v>44678</v>
      </c>
      <c r="N835" s="433">
        <v>44909</v>
      </c>
      <c r="O835" s="433"/>
      <c r="P835" s="332"/>
      <c r="Q835" s="433"/>
      <c r="R835" s="433"/>
      <c r="S835" s="432" t="s">
        <v>1520</v>
      </c>
      <c r="T835" s="432">
        <v>60</v>
      </c>
      <c r="U835" s="432"/>
      <c r="V835" s="441" t="s">
        <v>973</v>
      </c>
      <c r="W835" s="432">
        <v>400</v>
      </c>
      <c r="X835" s="333">
        <v>768</v>
      </c>
      <c r="Y835" s="367">
        <f t="shared" si="110"/>
        <v>307200</v>
      </c>
      <c r="Z835" s="409">
        <f>256/400</f>
        <v>0.64</v>
      </c>
      <c r="AA835" s="410">
        <f t="shared" ref="AA835:AA846" si="112">Z835*Y835</f>
        <v>196608</v>
      </c>
      <c r="AB835" s="411"/>
      <c r="AC835" s="412"/>
      <c r="AD835" s="405"/>
      <c r="AE835" s="405"/>
      <c r="AF835" s="424">
        <f t="shared" si="109"/>
        <v>196608</v>
      </c>
      <c r="AG835" s="405" t="s">
        <v>1069</v>
      </c>
      <c r="AH835" s="405"/>
      <c r="AI835" s="405">
        <v>60</v>
      </c>
      <c r="AJ835" s="406" t="s">
        <v>1577</v>
      </c>
      <c r="AK835" s="406" t="s">
        <v>1341</v>
      </c>
      <c r="AL835" s="414">
        <v>83642</v>
      </c>
      <c r="AM835" s="405" t="s">
        <v>52</v>
      </c>
      <c r="AN835" s="361" t="s">
        <v>1071</v>
      </c>
      <c r="AO835" s="405" t="s">
        <v>1073</v>
      </c>
      <c r="AP835" s="405"/>
      <c r="AQ835" s="413" t="s">
        <v>37</v>
      </c>
      <c r="AR835" s="405" t="s">
        <v>1243</v>
      </c>
      <c r="AS835" s="404"/>
      <c r="AT835" s="330"/>
      <c r="AU835" s="409">
        <f t="shared" si="111"/>
        <v>0.49</v>
      </c>
    </row>
    <row r="836" spans="1:47" s="402" customFormat="1">
      <c r="A836" s="426"/>
      <c r="B836" s="376"/>
      <c r="C836" s="426"/>
      <c r="D836" s="443" t="s">
        <v>86</v>
      </c>
      <c r="E836" s="331"/>
      <c r="F836" s="432"/>
      <c r="G836" s="350">
        <v>2022</v>
      </c>
      <c r="H836" s="350" t="s">
        <v>2383</v>
      </c>
      <c r="I836" s="432" t="s">
        <v>1498</v>
      </c>
      <c r="J836" s="433"/>
      <c r="K836" s="432" t="s">
        <v>4391</v>
      </c>
      <c r="L836" s="432" t="s">
        <v>1576</v>
      </c>
      <c r="M836" s="433">
        <v>44678</v>
      </c>
      <c r="N836" s="433">
        <v>44918</v>
      </c>
      <c r="O836" s="433"/>
      <c r="P836" s="332"/>
      <c r="Q836" s="433"/>
      <c r="R836" s="433"/>
      <c r="S836" s="432" t="s">
        <v>1520</v>
      </c>
      <c r="T836" s="432">
        <v>60</v>
      </c>
      <c r="U836" s="432"/>
      <c r="V836" s="441" t="s">
        <v>973</v>
      </c>
      <c r="W836" s="432">
        <v>400</v>
      </c>
      <c r="X836" s="333">
        <v>768</v>
      </c>
      <c r="Y836" s="367">
        <f t="shared" si="110"/>
        <v>307200</v>
      </c>
      <c r="Z836" s="409">
        <f>256/400</f>
        <v>0.64</v>
      </c>
      <c r="AA836" s="410">
        <f t="shared" si="112"/>
        <v>196608</v>
      </c>
      <c r="AB836" s="411"/>
      <c r="AC836" s="412"/>
      <c r="AD836" s="405"/>
      <c r="AE836" s="405"/>
      <c r="AF836" s="424">
        <f t="shared" si="109"/>
        <v>196608</v>
      </c>
      <c r="AG836" s="405" t="s">
        <v>1069</v>
      </c>
      <c r="AH836" s="405"/>
      <c r="AI836" s="405">
        <v>60</v>
      </c>
      <c r="AJ836" s="406" t="s">
        <v>1577</v>
      </c>
      <c r="AK836" s="406" t="s">
        <v>1341</v>
      </c>
      <c r="AL836" s="414">
        <v>83642</v>
      </c>
      <c r="AM836" s="405" t="s">
        <v>52</v>
      </c>
      <c r="AN836" s="361" t="s">
        <v>1071</v>
      </c>
      <c r="AO836" s="405" t="s">
        <v>1073</v>
      </c>
      <c r="AP836" s="405"/>
      <c r="AQ836" s="413" t="s">
        <v>37</v>
      </c>
      <c r="AR836" s="405" t="s">
        <v>1243</v>
      </c>
      <c r="AS836" s="404"/>
      <c r="AT836" s="330"/>
      <c r="AU836" s="409">
        <f t="shared" si="111"/>
        <v>0.49</v>
      </c>
    </row>
    <row r="837" spans="1:47" s="402" customFormat="1">
      <c r="A837" s="426"/>
      <c r="B837" s="376"/>
      <c r="C837" s="426"/>
      <c r="D837" s="443" t="s">
        <v>86</v>
      </c>
      <c r="E837" s="331" t="s">
        <v>2990</v>
      </c>
      <c r="F837" s="432"/>
      <c r="G837" s="350">
        <v>2022</v>
      </c>
      <c r="H837" s="350" t="s">
        <v>2383</v>
      </c>
      <c r="I837" s="432" t="s">
        <v>1498</v>
      </c>
      <c r="J837" s="433"/>
      <c r="K837" s="432" t="s">
        <v>4392</v>
      </c>
      <c r="L837" s="432" t="s">
        <v>1519</v>
      </c>
      <c r="M837" s="433">
        <v>44678</v>
      </c>
      <c r="N837" s="433">
        <v>44713</v>
      </c>
      <c r="O837" s="433"/>
      <c r="P837" s="332"/>
      <c r="Q837" s="433"/>
      <c r="R837" s="433"/>
      <c r="S837" s="432" t="s">
        <v>1520</v>
      </c>
      <c r="T837" s="432">
        <v>60</v>
      </c>
      <c r="U837" s="432"/>
      <c r="V837" s="441" t="s">
        <v>973</v>
      </c>
      <c r="W837" s="432">
        <v>400</v>
      </c>
      <c r="X837" s="333">
        <v>768</v>
      </c>
      <c r="Y837" s="367">
        <f t="shared" ref="Y837:Y846" si="113">W837*X837</f>
        <v>307200</v>
      </c>
      <c r="Z837" s="409">
        <f>252/400</f>
        <v>0.63</v>
      </c>
      <c r="AA837" s="410">
        <f t="shared" si="112"/>
        <v>193536</v>
      </c>
      <c r="AB837" s="411"/>
      <c r="AC837" s="412">
        <f t="shared" ref="AC837:AC846" si="114">AB837*Y837</f>
        <v>0</v>
      </c>
      <c r="AD837" s="405"/>
      <c r="AE837" s="405"/>
      <c r="AF837" s="424">
        <f t="shared" si="109"/>
        <v>193536</v>
      </c>
      <c r="AG837" s="405" t="s">
        <v>1069</v>
      </c>
      <c r="AH837" s="405"/>
      <c r="AI837" s="405">
        <v>60</v>
      </c>
      <c r="AJ837" s="406" t="s">
        <v>1521</v>
      </c>
      <c r="AK837" s="406" t="s">
        <v>1522</v>
      </c>
      <c r="AL837" s="414" t="s">
        <v>1523</v>
      </c>
      <c r="AM837" s="405" t="s">
        <v>52</v>
      </c>
      <c r="AN837" s="361"/>
      <c r="AO837" s="405" t="s">
        <v>1073</v>
      </c>
      <c r="AP837" s="405"/>
      <c r="AQ837" s="413" t="s">
        <v>37</v>
      </c>
      <c r="AR837" s="405"/>
      <c r="AS837" s="404"/>
      <c r="AT837" s="330"/>
      <c r="AU837" s="409"/>
    </row>
    <row r="838" spans="1:47" s="402" customFormat="1">
      <c r="A838" s="426"/>
      <c r="B838" s="376">
        <v>44678</v>
      </c>
      <c r="C838" s="426"/>
      <c r="D838" s="443" t="s">
        <v>86</v>
      </c>
      <c r="E838" s="331"/>
      <c r="F838" s="432"/>
      <c r="G838" s="350">
        <v>2022</v>
      </c>
      <c r="H838" s="350" t="s">
        <v>2978</v>
      </c>
      <c r="I838" s="432" t="s">
        <v>1498</v>
      </c>
      <c r="J838" s="433"/>
      <c r="K838" s="432" t="s">
        <v>4393</v>
      </c>
      <c r="L838" s="432" t="s">
        <v>3074</v>
      </c>
      <c r="M838" s="433">
        <v>44677</v>
      </c>
      <c r="N838" s="433">
        <v>44713</v>
      </c>
      <c r="O838" s="433"/>
      <c r="P838" s="332"/>
      <c r="Q838" s="433"/>
      <c r="R838" s="433"/>
      <c r="S838" s="432" t="s">
        <v>1520</v>
      </c>
      <c r="T838" s="432">
        <v>60</v>
      </c>
      <c r="U838" s="432" t="s">
        <v>1102</v>
      </c>
      <c r="V838" s="441" t="s">
        <v>973</v>
      </c>
      <c r="W838" s="432">
        <v>400</v>
      </c>
      <c r="X838" s="333">
        <v>768</v>
      </c>
      <c r="Y838" s="367">
        <f t="shared" si="113"/>
        <v>307200</v>
      </c>
      <c r="Z838" s="409">
        <f t="shared" ref="Z838:Z844" si="115">256/400</f>
        <v>0.64</v>
      </c>
      <c r="AA838" s="410">
        <f t="shared" si="112"/>
        <v>196608</v>
      </c>
      <c r="AB838" s="411"/>
      <c r="AC838" s="412">
        <f t="shared" si="114"/>
        <v>0</v>
      </c>
      <c r="AD838" s="405"/>
      <c r="AE838" s="405"/>
      <c r="AF838" s="424">
        <f t="shared" si="109"/>
        <v>196608</v>
      </c>
      <c r="AG838" s="405" t="s">
        <v>1069</v>
      </c>
      <c r="AH838" s="405"/>
      <c r="AI838" s="405">
        <v>60</v>
      </c>
      <c r="AJ838" s="406" t="s">
        <v>3075</v>
      </c>
      <c r="AK838" s="406" t="s">
        <v>1522</v>
      </c>
      <c r="AL838" s="414">
        <v>99217</v>
      </c>
      <c r="AM838" s="405" t="s">
        <v>52</v>
      </c>
      <c r="AN838" s="361"/>
      <c r="AO838" s="405" t="s">
        <v>1073</v>
      </c>
      <c r="AP838" s="405"/>
      <c r="AQ838" s="413" t="s">
        <v>37</v>
      </c>
      <c r="AR838" s="405" t="s">
        <v>1188</v>
      </c>
      <c r="AS838" s="404"/>
      <c r="AT838" s="330"/>
      <c r="AU838" s="409">
        <f t="shared" ref="AU838:AU845" si="116">212/400</f>
        <v>0.53</v>
      </c>
    </row>
    <row r="839" spans="1:47" s="402" customFormat="1">
      <c r="A839" s="426"/>
      <c r="B839" s="376">
        <v>44678</v>
      </c>
      <c r="C839" s="426"/>
      <c r="D839" s="443" t="s">
        <v>86</v>
      </c>
      <c r="E839" s="331"/>
      <c r="F839" s="432"/>
      <c r="G839" s="350">
        <v>2022</v>
      </c>
      <c r="H839" s="350" t="s">
        <v>2978</v>
      </c>
      <c r="I839" s="432" t="s">
        <v>1498</v>
      </c>
      <c r="J839" s="433"/>
      <c r="K839" s="432" t="s">
        <v>4394</v>
      </c>
      <c r="L839" s="432" t="s">
        <v>3074</v>
      </c>
      <c r="M839" s="433">
        <v>44677</v>
      </c>
      <c r="N839" s="433">
        <v>44743</v>
      </c>
      <c r="O839" s="433"/>
      <c r="P839" s="332"/>
      <c r="Q839" s="433"/>
      <c r="R839" s="433"/>
      <c r="S839" s="432" t="s">
        <v>1520</v>
      </c>
      <c r="T839" s="432">
        <v>60</v>
      </c>
      <c r="U839" s="432" t="s">
        <v>1102</v>
      </c>
      <c r="V839" s="441" t="s">
        <v>973</v>
      </c>
      <c r="W839" s="432">
        <v>400</v>
      </c>
      <c r="X839" s="333">
        <v>768</v>
      </c>
      <c r="Y839" s="367">
        <f t="shared" si="113"/>
        <v>307200</v>
      </c>
      <c r="Z839" s="409">
        <f t="shared" si="115"/>
        <v>0.64</v>
      </c>
      <c r="AA839" s="410">
        <f t="shared" si="112"/>
        <v>196608</v>
      </c>
      <c r="AB839" s="411"/>
      <c r="AC839" s="412">
        <f t="shared" si="114"/>
        <v>0</v>
      </c>
      <c r="AD839" s="405"/>
      <c r="AE839" s="405"/>
      <c r="AF839" s="424">
        <f t="shared" si="109"/>
        <v>196608</v>
      </c>
      <c r="AG839" s="405" t="s">
        <v>1069</v>
      </c>
      <c r="AH839" s="405"/>
      <c r="AI839" s="405">
        <v>60</v>
      </c>
      <c r="AJ839" s="406" t="s">
        <v>3075</v>
      </c>
      <c r="AK839" s="406" t="s">
        <v>1522</v>
      </c>
      <c r="AL839" s="414">
        <v>99217</v>
      </c>
      <c r="AM839" s="405" t="s">
        <v>52</v>
      </c>
      <c r="AN839" s="361"/>
      <c r="AO839" s="405" t="s">
        <v>1073</v>
      </c>
      <c r="AP839" s="405"/>
      <c r="AQ839" s="413" t="s">
        <v>37</v>
      </c>
      <c r="AR839" s="405" t="s">
        <v>1188</v>
      </c>
      <c r="AS839" s="404"/>
      <c r="AT839" s="330"/>
      <c r="AU839" s="409">
        <f t="shared" si="116"/>
        <v>0.53</v>
      </c>
    </row>
    <row r="840" spans="1:47" s="402" customFormat="1">
      <c r="A840" s="426"/>
      <c r="B840" s="376">
        <v>44678</v>
      </c>
      <c r="C840" s="426"/>
      <c r="D840" s="443" t="s">
        <v>86</v>
      </c>
      <c r="E840" s="331"/>
      <c r="F840" s="432"/>
      <c r="G840" s="350">
        <v>2022</v>
      </c>
      <c r="H840" s="350" t="s">
        <v>2978</v>
      </c>
      <c r="I840" s="432" t="s">
        <v>1498</v>
      </c>
      <c r="J840" s="433"/>
      <c r="K840" s="432" t="s">
        <v>4395</v>
      </c>
      <c r="L840" s="432" t="s">
        <v>3074</v>
      </c>
      <c r="M840" s="433">
        <v>44677</v>
      </c>
      <c r="N840" s="433">
        <v>44774</v>
      </c>
      <c r="O840" s="433"/>
      <c r="P840" s="332"/>
      <c r="Q840" s="433"/>
      <c r="R840" s="433"/>
      <c r="S840" s="432" t="s">
        <v>1520</v>
      </c>
      <c r="T840" s="432">
        <v>60</v>
      </c>
      <c r="U840" s="432" t="s">
        <v>1102</v>
      </c>
      <c r="V840" s="441" t="s">
        <v>973</v>
      </c>
      <c r="W840" s="432">
        <v>400</v>
      </c>
      <c r="X840" s="333">
        <v>768</v>
      </c>
      <c r="Y840" s="367">
        <f t="shared" si="113"/>
        <v>307200</v>
      </c>
      <c r="Z840" s="409">
        <f t="shared" si="115"/>
        <v>0.64</v>
      </c>
      <c r="AA840" s="410">
        <f t="shared" si="112"/>
        <v>196608</v>
      </c>
      <c r="AB840" s="411"/>
      <c r="AC840" s="412">
        <f t="shared" si="114"/>
        <v>0</v>
      </c>
      <c r="AD840" s="405"/>
      <c r="AE840" s="405"/>
      <c r="AF840" s="424">
        <f t="shared" si="109"/>
        <v>196608</v>
      </c>
      <c r="AG840" s="405" t="s">
        <v>1069</v>
      </c>
      <c r="AH840" s="405"/>
      <c r="AI840" s="405">
        <v>60</v>
      </c>
      <c r="AJ840" s="406" t="s">
        <v>3075</v>
      </c>
      <c r="AK840" s="406" t="s">
        <v>1522</v>
      </c>
      <c r="AL840" s="414">
        <v>99217</v>
      </c>
      <c r="AM840" s="405" t="s">
        <v>52</v>
      </c>
      <c r="AN840" s="361"/>
      <c r="AO840" s="405" t="s">
        <v>1073</v>
      </c>
      <c r="AP840" s="405"/>
      <c r="AQ840" s="413" t="s">
        <v>37</v>
      </c>
      <c r="AR840" s="405" t="s">
        <v>1188</v>
      </c>
      <c r="AS840" s="404"/>
      <c r="AT840" s="330"/>
      <c r="AU840" s="409">
        <f t="shared" si="116"/>
        <v>0.53</v>
      </c>
    </row>
    <row r="841" spans="1:47" s="402" customFormat="1">
      <c r="A841" s="426"/>
      <c r="B841" s="376">
        <v>44678</v>
      </c>
      <c r="C841" s="426"/>
      <c r="D841" s="443" t="s">
        <v>86</v>
      </c>
      <c r="E841" s="331"/>
      <c r="F841" s="432"/>
      <c r="G841" s="350">
        <v>2022</v>
      </c>
      <c r="H841" s="350" t="s">
        <v>2978</v>
      </c>
      <c r="I841" s="432" t="s">
        <v>1498</v>
      </c>
      <c r="J841" s="433"/>
      <c r="K841" s="432" t="s">
        <v>4396</v>
      </c>
      <c r="L841" s="432" t="s">
        <v>3074</v>
      </c>
      <c r="M841" s="433">
        <v>44677</v>
      </c>
      <c r="N841" s="433">
        <v>44805</v>
      </c>
      <c r="O841" s="433"/>
      <c r="P841" s="332"/>
      <c r="Q841" s="433"/>
      <c r="R841" s="433"/>
      <c r="S841" s="432" t="s">
        <v>1520</v>
      </c>
      <c r="T841" s="432">
        <v>60</v>
      </c>
      <c r="U841" s="432" t="s">
        <v>1102</v>
      </c>
      <c r="V841" s="441" t="s">
        <v>973</v>
      </c>
      <c r="W841" s="432">
        <v>400</v>
      </c>
      <c r="X841" s="333">
        <v>768</v>
      </c>
      <c r="Y841" s="367">
        <f t="shared" si="113"/>
        <v>307200</v>
      </c>
      <c r="Z841" s="409">
        <f t="shared" si="115"/>
        <v>0.64</v>
      </c>
      <c r="AA841" s="410">
        <f t="shared" si="112"/>
        <v>196608</v>
      </c>
      <c r="AB841" s="411"/>
      <c r="AC841" s="412">
        <f t="shared" si="114"/>
        <v>0</v>
      </c>
      <c r="AD841" s="405"/>
      <c r="AE841" s="405"/>
      <c r="AF841" s="424">
        <f t="shared" si="109"/>
        <v>196608</v>
      </c>
      <c r="AG841" s="405" t="s">
        <v>1069</v>
      </c>
      <c r="AH841" s="405"/>
      <c r="AI841" s="405">
        <v>60</v>
      </c>
      <c r="AJ841" s="406" t="s">
        <v>3075</v>
      </c>
      <c r="AK841" s="406" t="s">
        <v>1522</v>
      </c>
      <c r="AL841" s="414">
        <v>99217</v>
      </c>
      <c r="AM841" s="405" t="s">
        <v>52</v>
      </c>
      <c r="AN841" s="361"/>
      <c r="AO841" s="405" t="s">
        <v>1073</v>
      </c>
      <c r="AP841" s="405"/>
      <c r="AQ841" s="413" t="s">
        <v>37</v>
      </c>
      <c r="AR841" s="405" t="s">
        <v>1188</v>
      </c>
      <c r="AS841" s="404"/>
      <c r="AT841" s="330"/>
      <c r="AU841" s="409">
        <f t="shared" si="116"/>
        <v>0.53</v>
      </c>
    </row>
    <row r="842" spans="1:47" s="402" customFormat="1">
      <c r="A842" s="426"/>
      <c r="B842" s="376">
        <v>44678</v>
      </c>
      <c r="C842" s="426"/>
      <c r="D842" s="443" t="s">
        <v>86</v>
      </c>
      <c r="E842" s="331"/>
      <c r="F842" s="432"/>
      <c r="G842" s="350">
        <v>2022</v>
      </c>
      <c r="H842" s="350" t="s">
        <v>2978</v>
      </c>
      <c r="I842" s="432" t="s">
        <v>1498</v>
      </c>
      <c r="J842" s="433"/>
      <c r="K842" s="432" t="s">
        <v>4397</v>
      </c>
      <c r="L842" s="432" t="s">
        <v>3074</v>
      </c>
      <c r="M842" s="433">
        <v>44677</v>
      </c>
      <c r="N842" s="433">
        <v>44835</v>
      </c>
      <c r="O842" s="433"/>
      <c r="P842" s="332"/>
      <c r="Q842" s="433"/>
      <c r="R842" s="433"/>
      <c r="S842" s="432" t="s">
        <v>1520</v>
      </c>
      <c r="T842" s="432">
        <v>60</v>
      </c>
      <c r="U842" s="432" t="s">
        <v>1102</v>
      </c>
      <c r="V842" s="441" t="s">
        <v>973</v>
      </c>
      <c r="W842" s="432">
        <v>400</v>
      </c>
      <c r="X842" s="333">
        <v>768</v>
      </c>
      <c r="Y842" s="367">
        <f t="shared" si="113"/>
        <v>307200</v>
      </c>
      <c r="Z842" s="409">
        <f t="shared" si="115"/>
        <v>0.64</v>
      </c>
      <c r="AA842" s="410">
        <f t="shared" si="112"/>
        <v>196608</v>
      </c>
      <c r="AB842" s="411"/>
      <c r="AC842" s="412">
        <f t="shared" si="114"/>
        <v>0</v>
      </c>
      <c r="AD842" s="405"/>
      <c r="AE842" s="405"/>
      <c r="AF842" s="424">
        <f t="shared" si="109"/>
        <v>196608</v>
      </c>
      <c r="AG842" s="405" t="s">
        <v>1069</v>
      </c>
      <c r="AH842" s="405"/>
      <c r="AI842" s="405">
        <v>60</v>
      </c>
      <c r="AJ842" s="406" t="s">
        <v>3075</v>
      </c>
      <c r="AK842" s="406" t="s">
        <v>1522</v>
      </c>
      <c r="AL842" s="414">
        <v>99217</v>
      </c>
      <c r="AM842" s="405" t="s">
        <v>52</v>
      </c>
      <c r="AN842" s="361"/>
      <c r="AO842" s="405" t="s">
        <v>1073</v>
      </c>
      <c r="AP842" s="405"/>
      <c r="AQ842" s="413" t="s">
        <v>37</v>
      </c>
      <c r="AR842" s="405" t="s">
        <v>1188</v>
      </c>
      <c r="AS842" s="404"/>
      <c r="AT842" s="330"/>
      <c r="AU842" s="409">
        <f t="shared" si="116"/>
        <v>0.53</v>
      </c>
    </row>
    <row r="843" spans="1:47" s="402" customFormat="1">
      <c r="A843" s="426"/>
      <c r="B843" s="376">
        <v>44678</v>
      </c>
      <c r="C843" s="426"/>
      <c r="D843" s="443" t="s">
        <v>86</v>
      </c>
      <c r="E843" s="331"/>
      <c r="F843" s="432"/>
      <c r="G843" s="350">
        <v>2022</v>
      </c>
      <c r="H843" s="350" t="s">
        <v>2978</v>
      </c>
      <c r="I843" s="432" t="s">
        <v>1498</v>
      </c>
      <c r="J843" s="433"/>
      <c r="K843" s="432" t="s">
        <v>4398</v>
      </c>
      <c r="L843" s="432" t="s">
        <v>3074</v>
      </c>
      <c r="M843" s="433">
        <v>44677</v>
      </c>
      <c r="N843" s="433">
        <v>44866</v>
      </c>
      <c r="O843" s="433"/>
      <c r="P843" s="332"/>
      <c r="Q843" s="433"/>
      <c r="R843" s="433"/>
      <c r="S843" s="432" t="s">
        <v>1520</v>
      </c>
      <c r="T843" s="432">
        <v>60</v>
      </c>
      <c r="U843" s="432" t="s">
        <v>1102</v>
      </c>
      <c r="V843" s="441" t="s">
        <v>973</v>
      </c>
      <c r="W843" s="432">
        <v>400</v>
      </c>
      <c r="X843" s="333">
        <v>768</v>
      </c>
      <c r="Y843" s="367">
        <f t="shared" si="113"/>
        <v>307200</v>
      </c>
      <c r="Z843" s="409">
        <f t="shared" si="115"/>
        <v>0.64</v>
      </c>
      <c r="AA843" s="410">
        <f t="shared" si="112"/>
        <v>196608</v>
      </c>
      <c r="AB843" s="411"/>
      <c r="AC843" s="412">
        <f t="shared" si="114"/>
        <v>0</v>
      </c>
      <c r="AD843" s="405"/>
      <c r="AE843" s="405"/>
      <c r="AF843" s="424">
        <f t="shared" si="109"/>
        <v>196608</v>
      </c>
      <c r="AG843" s="405" t="s">
        <v>1069</v>
      </c>
      <c r="AH843" s="405"/>
      <c r="AI843" s="405">
        <v>60</v>
      </c>
      <c r="AJ843" s="406" t="s">
        <v>3075</v>
      </c>
      <c r="AK843" s="406" t="s">
        <v>1522</v>
      </c>
      <c r="AL843" s="414">
        <v>99217</v>
      </c>
      <c r="AM843" s="405" t="s">
        <v>52</v>
      </c>
      <c r="AN843" s="361"/>
      <c r="AO843" s="405" t="s">
        <v>1073</v>
      </c>
      <c r="AP843" s="405"/>
      <c r="AQ843" s="413" t="s">
        <v>37</v>
      </c>
      <c r="AR843" s="405" t="s">
        <v>1188</v>
      </c>
      <c r="AS843" s="404"/>
      <c r="AT843" s="330"/>
      <c r="AU843" s="409">
        <f t="shared" si="116"/>
        <v>0.53</v>
      </c>
    </row>
    <row r="844" spans="1:47" s="402" customFormat="1">
      <c r="A844" s="426"/>
      <c r="B844" s="376">
        <v>44678</v>
      </c>
      <c r="C844" s="426"/>
      <c r="D844" s="443" t="s">
        <v>86</v>
      </c>
      <c r="E844" s="331"/>
      <c r="F844" s="432"/>
      <c r="G844" s="350">
        <v>2022</v>
      </c>
      <c r="H844" s="350" t="s">
        <v>2978</v>
      </c>
      <c r="I844" s="432" t="s">
        <v>1498</v>
      </c>
      <c r="J844" s="433"/>
      <c r="K844" s="432" t="s">
        <v>4399</v>
      </c>
      <c r="L844" s="432" t="s">
        <v>3074</v>
      </c>
      <c r="M844" s="433">
        <v>44677</v>
      </c>
      <c r="N844" s="433">
        <v>44896</v>
      </c>
      <c r="O844" s="433"/>
      <c r="P844" s="332"/>
      <c r="Q844" s="433"/>
      <c r="R844" s="433"/>
      <c r="S844" s="432" t="s">
        <v>1520</v>
      </c>
      <c r="T844" s="432">
        <v>60</v>
      </c>
      <c r="U844" s="432" t="s">
        <v>1102</v>
      </c>
      <c r="V844" s="441" t="s">
        <v>973</v>
      </c>
      <c r="W844" s="432">
        <v>400</v>
      </c>
      <c r="X844" s="333">
        <v>768</v>
      </c>
      <c r="Y844" s="367">
        <f t="shared" si="113"/>
        <v>307200</v>
      </c>
      <c r="Z844" s="409">
        <f t="shared" si="115"/>
        <v>0.64</v>
      </c>
      <c r="AA844" s="410">
        <f t="shared" si="112"/>
        <v>196608</v>
      </c>
      <c r="AB844" s="411"/>
      <c r="AC844" s="412">
        <f t="shared" si="114"/>
        <v>0</v>
      </c>
      <c r="AD844" s="405"/>
      <c r="AE844" s="405"/>
      <c r="AF844" s="424">
        <f t="shared" si="109"/>
        <v>196608</v>
      </c>
      <c r="AG844" s="405" t="s">
        <v>1069</v>
      </c>
      <c r="AH844" s="405"/>
      <c r="AI844" s="405">
        <v>60</v>
      </c>
      <c r="AJ844" s="406" t="s">
        <v>3075</v>
      </c>
      <c r="AK844" s="406" t="s">
        <v>1522</v>
      </c>
      <c r="AL844" s="414">
        <v>99217</v>
      </c>
      <c r="AM844" s="405" t="s">
        <v>52</v>
      </c>
      <c r="AN844" s="361"/>
      <c r="AO844" s="405" t="s">
        <v>1073</v>
      </c>
      <c r="AP844" s="405"/>
      <c r="AQ844" s="413" t="s">
        <v>37</v>
      </c>
      <c r="AR844" s="405" t="s">
        <v>1188</v>
      </c>
      <c r="AS844" s="404"/>
      <c r="AT844" s="330"/>
      <c r="AU844" s="409">
        <f t="shared" si="116"/>
        <v>0.53</v>
      </c>
    </row>
    <row r="845" spans="1:47" s="402" customFormat="1">
      <c r="A845" s="426"/>
      <c r="B845" s="376">
        <v>44627</v>
      </c>
      <c r="C845" s="426"/>
      <c r="D845" s="443" t="s">
        <v>86</v>
      </c>
      <c r="E845" s="331"/>
      <c r="F845" s="432"/>
      <c r="G845" s="350">
        <v>2022</v>
      </c>
      <c r="H845" s="350" t="s">
        <v>2978</v>
      </c>
      <c r="I845" s="432" t="s">
        <v>1498</v>
      </c>
      <c r="J845" s="433"/>
      <c r="K845" s="432" t="s">
        <v>4563</v>
      </c>
      <c r="L845" s="432" t="s">
        <v>1682</v>
      </c>
      <c r="M845" s="433">
        <v>44683</v>
      </c>
      <c r="N845" s="433">
        <v>44747</v>
      </c>
      <c r="O845" s="433"/>
      <c r="P845" s="332"/>
      <c r="Q845" s="433"/>
      <c r="R845" s="433"/>
      <c r="S845" s="432" t="s">
        <v>1520</v>
      </c>
      <c r="T845" s="432">
        <v>60</v>
      </c>
      <c r="U845" s="432" t="s">
        <v>1102</v>
      </c>
      <c r="V845" s="441" t="s">
        <v>973</v>
      </c>
      <c r="W845" s="432">
        <v>400</v>
      </c>
      <c r="X845" s="333">
        <v>2304</v>
      </c>
      <c r="Y845" s="367">
        <f t="shared" si="113"/>
        <v>921600</v>
      </c>
      <c r="Z845" s="409">
        <f>256/400</f>
        <v>0.64</v>
      </c>
      <c r="AA845" s="410">
        <f t="shared" si="112"/>
        <v>589824</v>
      </c>
      <c r="AB845" s="411"/>
      <c r="AC845" s="412">
        <f t="shared" si="114"/>
        <v>0</v>
      </c>
      <c r="AD845" s="405"/>
      <c r="AE845" s="405"/>
      <c r="AF845" s="424">
        <f t="shared" si="109"/>
        <v>589824</v>
      </c>
      <c r="AG845" s="405" t="s">
        <v>1069</v>
      </c>
      <c r="AH845" s="405">
        <v>100</v>
      </c>
      <c r="AI845" s="405">
        <v>0</v>
      </c>
      <c r="AJ845" s="406" t="s">
        <v>1760</v>
      </c>
      <c r="AK845" s="406" t="s">
        <v>50</v>
      </c>
      <c r="AL845" s="414">
        <v>92058</v>
      </c>
      <c r="AM845" s="405" t="s">
        <v>52</v>
      </c>
      <c r="AN845" s="361"/>
      <c r="AO845" s="405" t="s">
        <v>1073</v>
      </c>
      <c r="AP845" s="405"/>
      <c r="AQ845" s="413" t="s">
        <v>37</v>
      </c>
      <c r="AR845" s="405" t="s">
        <v>1188</v>
      </c>
      <c r="AS845" s="404"/>
      <c r="AT845" s="330"/>
      <c r="AU845" s="409">
        <f t="shared" si="116"/>
        <v>0.53</v>
      </c>
    </row>
    <row r="846" spans="1:47" s="402" customFormat="1">
      <c r="A846" s="426"/>
      <c r="B846" s="376"/>
      <c r="C846" s="426"/>
      <c r="D846" s="443" t="s">
        <v>86</v>
      </c>
      <c r="E846" s="331"/>
      <c r="F846" s="432"/>
      <c r="G846" s="350">
        <v>2022</v>
      </c>
      <c r="H846" s="350" t="s">
        <v>2978</v>
      </c>
      <c r="I846" s="432" t="s">
        <v>1498</v>
      </c>
      <c r="J846" s="433"/>
      <c r="K846" s="432" t="s">
        <v>4275</v>
      </c>
      <c r="L846" s="432" t="s">
        <v>1764</v>
      </c>
      <c r="M846" s="433">
        <v>44662</v>
      </c>
      <c r="N846" s="433">
        <v>44743</v>
      </c>
      <c r="O846" s="433"/>
      <c r="P846" s="332"/>
      <c r="Q846" s="433"/>
      <c r="R846" s="433"/>
      <c r="S846" s="432" t="s">
        <v>88</v>
      </c>
      <c r="T846" s="432">
        <v>60</v>
      </c>
      <c r="U846" s="432" t="s">
        <v>1102</v>
      </c>
      <c r="V846" s="441" t="s">
        <v>986</v>
      </c>
      <c r="W846" s="432">
        <v>360</v>
      </c>
      <c r="X846" s="333">
        <v>1536</v>
      </c>
      <c r="Y846" s="367">
        <f t="shared" si="113"/>
        <v>552960</v>
      </c>
      <c r="Z846" s="409">
        <f>192.6/360</f>
        <v>0.53500000000000003</v>
      </c>
      <c r="AA846" s="410">
        <f t="shared" si="112"/>
        <v>295833.60000000003</v>
      </c>
      <c r="AB846" s="411"/>
      <c r="AC846" s="412">
        <f t="shared" si="114"/>
        <v>0</v>
      </c>
      <c r="AD846" s="405"/>
      <c r="AE846" s="405"/>
      <c r="AF846" s="424">
        <f t="shared" si="109"/>
        <v>295833.60000000003</v>
      </c>
      <c r="AG846" s="405" t="s">
        <v>1069</v>
      </c>
      <c r="AH846" s="405"/>
      <c r="AI846" s="405">
        <v>60</v>
      </c>
      <c r="AJ846" s="406" t="s">
        <v>1760</v>
      </c>
      <c r="AK846" s="406" t="s">
        <v>50</v>
      </c>
      <c r="AL846" s="414">
        <v>92056</v>
      </c>
      <c r="AM846" s="405" t="s">
        <v>52</v>
      </c>
      <c r="AN846" s="361"/>
      <c r="AO846" s="405" t="s">
        <v>1073</v>
      </c>
      <c r="AP846" s="405"/>
      <c r="AQ846" s="413" t="s">
        <v>37</v>
      </c>
      <c r="AR846" s="405" t="s">
        <v>1188</v>
      </c>
      <c r="AS846" s="404"/>
      <c r="AT846" s="330"/>
      <c r="AU846" s="409">
        <f>212/400</f>
        <v>0.53</v>
      </c>
    </row>
    <row r="847" spans="1:47" s="402" customFormat="1">
      <c r="A847" s="426"/>
      <c r="B847" s="376">
        <v>44627</v>
      </c>
      <c r="C847" s="426"/>
      <c r="D847" s="334" t="s">
        <v>86</v>
      </c>
      <c r="E847" s="331"/>
      <c r="F847" s="331"/>
      <c r="G847" s="432">
        <v>2022</v>
      </c>
      <c r="H847" s="432" t="s">
        <v>2978</v>
      </c>
      <c r="I847" s="432"/>
      <c r="J847" s="432"/>
      <c r="K847" s="432" t="s">
        <v>4648</v>
      </c>
      <c r="L847" s="432" t="s">
        <v>1682</v>
      </c>
      <c r="M847" s="433">
        <v>44617</v>
      </c>
      <c r="N847" s="433">
        <v>44728</v>
      </c>
      <c r="O847" s="432"/>
      <c r="P847" s="432"/>
      <c r="Q847" s="432"/>
      <c r="R847" s="432"/>
      <c r="S847" s="432" t="s">
        <v>1520</v>
      </c>
      <c r="T847" s="432">
        <v>60</v>
      </c>
      <c r="U847" s="432" t="s">
        <v>1237</v>
      </c>
      <c r="V847" s="432" t="s">
        <v>973</v>
      </c>
      <c r="W847" s="432">
        <v>400</v>
      </c>
      <c r="X847" s="432">
        <v>768</v>
      </c>
      <c r="Y847" s="367">
        <v>307200</v>
      </c>
      <c r="Z847" s="409">
        <v>0.55000000000000004</v>
      </c>
      <c r="AA847" s="410">
        <v>168960</v>
      </c>
      <c r="AB847" s="411"/>
      <c r="AC847" s="412">
        <v>0</v>
      </c>
      <c r="AD847" s="405"/>
      <c r="AE847" s="405"/>
      <c r="AF847" s="424">
        <v>168960</v>
      </c>
      <c r="AG847" s="405" t="s">
        <v>1069</v>
      </c>
      <c r="AH847" s="405">
        <v>100</v>
      </c>
      <c r="AI847" s="405">
        <v>0</v>
      </c>
      <c r="AJ847" s="406" t="s">
        <v>1760</v>
      </c>
      <c r="AK847" s="406" t="s">
        <v>50</v>
      </c>
      <c r="AL847" s="414">
        <v>92058</v>
      </c>
      <c r="AM847" s="405" t="s">
        <v>52</v>
      </c>
      <c r="AN847" s="361" t="s">
        <v>50</v>
      </c>
      <c r="AO847" s="405" t="s">
        <v>1073</v>
      </c>
      <c r="AP847" s="405" t="s">
        <v>38</v>
      </c>
      <c r="AQ847" s="413" t="s">
        <v>37</v>
      </c>
      <c r="AR847" s="405" t="s">
        <v>1188</v>
      </c>
      <c r="AS847" s="404"/>
      <c r="AT847" s="330"/>
      <c r="AU847" s="409">
        <v>0.53</v>
      </c>
    </row>
    <row r="848" spans="1:47" s="402" customFormat="1">
      <c r="A848" s="426"/>
      <c r="B848" s="376">
        <v>44608</v>
      </c>
      <c r="C848" s="426"/>
      <c r="D848" s="334" t="s">
        <v>86</v>
      </c>
      <c r="E848" s="331"/>
      <c r="F848" s="331"/>
      <c r="G848" s="432">
        <v>2022</v>
      </c>
      <c r="H848" s="432" t="s">
        <v>2978</v>
      </c>
      <c r="I848" s="432"/>
      <c r="J848" s="432"/>
      <c r="K848" s="432" t="s">
        <v>3073</v>
      </c>
      <c r="L848" s="432" t="s">
        <v>3074</v>
      </c>
      <c r="M848" s="433">
        <v>44593</v>
      </c>
      <c r="N848" s="433">
        <v>44697</v>
      </c>
      <c r="O848" s="432"/>
      <c r="P848" s="432"/>
      <c r="Q848" s="432"/>
      <c r="R848" s="432"/>
      <c r="S848" s="432" t="s">
        <v>1520</v>
      </c>
      <c r="T848" s="432">
        <v>60</v>
      </c>
      <c r="U848" s="432" t="s">
        <v>1237</v>
      </c>
      <c r="V848" s="432" t="s">
        <v>973</v>
      </c>
      <c r="W848" s="432">
        <v>400</v>
      </c>
      <c r="X848" s="432">
        <v>768</v>
      </c>
      <c r="Y848" s="367">
        <v>307200</v>
      </c>
      <c r="Z848" s="409">
        <v>0.55000000000000004</v>
      </c>
      <c r="AA848" s="410">
        <v>168960</v>
      </c>
      <c r="AB848" s="411"/>
      <c r="AC848" s="412">
        <v>0</v>
      </c>
      <c r="AD848" s="405"/>
      <c r="AE848" s="405"/>
      <c r="AF848" s="424">
        <v>168960</v>
      </c>
      <c r="AG848" s="405" t="s">
        <v>1069</v>
      </c>
      <c r="AH848" s="405">
        <v>100</v>
      </c>
      <c r="AI848" s="405">
        <v>0</v>
      </c>
      <c r="AJ848" s="406" t="s">
        <v>3075</v>
      </c>
      <c r="AK848" s="406" t="s">
        <v>1522</v>
      </c>
      <c r="AL848" s="414">
        <v>99217</v>
      </c>
      <c r="AM848" s="405" t="s">
        <v>52</v>
      </c>
      <c r="AN848" s="361" t="s">
        <v>50</v>
      </c>
      <c r="AO848" s="405" t="s">
        <v>1073</v>
      </c>
      <c r="AP848" s="405" t="s">
        <v>38</v>
      </c>
      <c r="AQ848" s="413" t="s">
        <v>37</v>
      </c>
      <c r="AR848" s="405" t="s">
        <v>1188</v>
      </c>
      <c r="AS848" s="404"/>
      <c r="AT848" s="330"/>
      <c r="AU848" s="409">
        <v>0.53</v>
      </c>
    </row>
    <row r="849" spans="1:48" s="402" customFormat="1" ht="15" customHeight="1">
      <c r="A849" s="403"/>
      <c r="B849" s="445"/>
      <c r="C849" s="403"/>
      <c r="D849" s="443" t="s">
        <v>1914</v>
      </c>
      <c r="E849" s="432" t="s">
        <v>4261</v>
      </c>
      <c r="F849" s="432"/>
      <c r="G849" s="432">
        <v>2022</v>
      </c>
      <c r="H849" s="432">
        <v>8</v>
      </c>
      <c r="I849" s="443" t="s">
        <v>1498</v>
      </c>
      <c r="J849" s="433"/>
      <c r="K849" s="434" t="s">
        <v>3198</v>
      </c>
      <c r="L849" s="432" t="s">
        <v>1935</v>
      </c>
      <c r="M849" s="435">
        <v>44623</v>
      </c>
      <c r="N849" s="435">
        <v>44623</v>
      </c>
      <c r="O849" s="435"/>
      <c r="P849" s="349"/>
      <c r="Q849" s="433"/>
      <c r="R849" s="433"/>
      <c r="S849" s="432" t="s">
        <v>1443</v>
      </c>
      <c r="T849" s="432">
        <v>60</v>
      </c>
      <c r="U849" s="350">
        <v>49403140</v>
      </c>
      <c r="V849" s="432" t="s">
        <v>973</v>
      </c>
      <c r="W849" s="432">
        <v>400</v>
      </c>
      <c r="X849" s="436">
        <v>832</v>
      </c>
      <c r="Y849" s="408">
        <f t="shared" ref="Y849:Y912" si="117">X849*W849</f>
        <v>332800</v>
      </c>
      <c r="Z849" s="409">
        <f>228/400</f>
        <v>0.56999999999999995</v>
      </c>
      <c r="AA849" s="423">
        <f t="shared" ref="AA849:AA912" si="118">Z849*Y849</f>
        <v>189695.99999999997</v>
      </c>
      <c r="AB849" s="411"/>
      <c r="AC849" s="412">
        <f t="shared" ref="AC849:AC912" si="119">AB849*Y849</f>
        <v>0</v>
      </c>
      <c r="AD849" s="421"/>
      <c r="AE849" s="413"/>
      <c r="AF849" s="424">
        <f t="shared" ref="AF849:AF912" si="120">AA849+AE849</f>
        <v>189695.99999999997</v>
      </c>
      <c r="AG849" s="405" t="s">
        <v>1069</v>
      </c>
      <c r="AH849" s="405"/>
      <c r="AI849" s="414" t="s">
        <v>1937</v>
      </c>
      <c r="AJ849" s="405" t="s">
        <v>2000</v>
      </c>
      <c r="AK849" s="425" t="s">
        <v>50</v>
      </c>
      <c r="AL849" s="405">
        <v>95838</v>
      </c>
      <c r="AM849" s="405" t="s">
        <v>52</v>
      </c>
      <c r="AN849" s="405" t="s">
        <v>1071</v>
      </c>
      <c r="AO849" s="405"/>
      <c r="AP849" s="417"/>
      <c r="AQ849" s="417" t="s">
        <v>37</v>
      </c>
      <c r="AR849" s="417"/>
      <c r="AS849" s="426"/>
      <c r="AT849" s="426"/>
      <c r="AU849" s="357"/>
      <c r="AV849" s="409"/>
    </row>
    <row r="850" spans="1:48" s="402" customFormat="1" ht="15" customHeight="1">
      <c r="A850" s="403"/>
      <c r="B850" s="445"/>
      <c r="C850" s="403"/>
      <c r="D850" s="443" t="s">
        <v>1914</v>
      </c>
      <c r="E850" s="432" t="s">
        <v>4261</v>
      </c>
      <c r="F850" s="432"/>
      <c r="G850" s="432">
        <v>2022</v>
      </c>
      <c r="H850" s="432">
        <v>10</v>
      </c>
      <c r="I850" s="443" t="s">
        <v>1498</v>
      </c>
      <c r="J850" s="433"/>
      <c r="K850" s="434" t="s">
        <v>3200</v>
      </c>
      <c r="L850" s="432" t="s">
        <v>1935</v>
      </c>
      <c r="M850" s="435">
        <v>44649</v>
      </c>
      <c r="N850" s="435">
        <v>44649</v>
      </c>
      <c r="O850" s="435"/>
      <c r="P850" s="349"/>
      <c r="Q850" s="433"/>
      <c r="R850" s="433"/>
      <c r="S850" s="432" t="s">
        <v>1443</v>
      </c>
      <c r="T850" s="432">
        <v>60</v>
      </c>
      <c r="U850" s="350">
        <v>49403140</v>
      </c>
      <c r="V850" s="432" t="s">
        <v>973</v>
      </c>
      <c r="W850" s="432">
        <v>400</v>
      </c>
      <c r="X850" s="436">
        <v>832</v>
      </c>
      <c r="Y850" s="408">
        <f t="shared" si="117"/>
        <v>332800</v>
      </c>
      <c r="Z850" s="409">
        <f>228/400</f>
        <v>0.56999999999999995</v>
      </c>
      <c r="AA850" s="423">
        <f t="shared" si="118"/>
        <v>189695.99999999997</v>
      </c>
      <c r="AB850" s="411"/>
      <c r="AC850" s="412">
        <f t="shared" si="119"/>
        <v>0</v>
      </c>
      <c r="AD850" s="421"/>
      <c r="AE850" s="413"/>
      <c r="AF850" s="424">
        <f t="shared" si="120"/>
        <v>189695.99999999997</v>
      </c>
      <c r="AG850" s="405" t="s">
        <v>1069</v>
      </c>
      <c r="AH850" s="405"/>
      <c r="AI850" s="414" t="s">
        <v>1937</v>
      </c>
      <c r="AJ850" s="405" t="s">
        <v>2000</v>
      </c>
      <c r="AK850" s="425" t="s">
        <v>50</v>
      </c>
      <c r="AL850" s="405">
        <v>95838</v>
      </c>
      <c r="AM850" s="405" t="s">
        <v>52</v>
      </c>
      <c r="AN850" s="405" t="s">
        <v>1071</v>
      </c>
      <c r="AO850" s="405"/>
      <c r="AP850" s="417"/>
      <c r="AQ850" s="417" t="s">
        <v>37</v>
      </c>
      <c r="AR850" s="417"/>
      <c r="AS850" s="426"/>
      <c r="AT850" s="426"/>
      <c r="AU850" s="357"/>
      <c r="AV850" s="409"/>
    </row>
    <row r="851" spans="1:48" s="402" customFormat="1" ht="15" customHeight="1">
      <c r="A851" s="403"/>
      <c r="B851" s="445">
        <v>44571</v>
      </c>
      <c r="C851" s="403"/>
      <c r="D851" s="443" t="s">
        <v>1914</v>
      </c>
      <c r="E851" s="432" t="s">
        <v>4261</v>
      </c>
      <c r="F851" s="432"/>
      <c r="G851" s="432">
        <v>2022</v>
      </c>
      <c r="H851" s="432">
        <v>12</v>
      </c>
      <c r="I851" s="443" t="s">
        <v>1498</v>
      </c>
      <c r="J851" s="433"/>
      <c r="K851" s="434" t="s">
        <v>3202</v>
      </c>
      <c r="L851" s="432" t="s">
        <v>1935</v>
      </c>
      <c r="M851" s="435">
        <v>44571</v>
      </c>
      <c r="N851" s="435">
        <v>44571</v>
      </c>
      <c r="O851" s="435"/>
      <c r="P851" s="349"/>
      <c r="Q851" s="433"/>
      <c r="R851" s="433"/>
      <c r="S851" s="432" t="s">
        <v>1443</v>
      </c>
      <c r="T851" s="432">
        <v>60</v>
      </c>
      <c r="U851" s="350" t="s">
        <v>1559</v>
      </c>
      <c r="V851" s="432" t="s">
        <v>973</v>
      </c>
      <c r="W851" s="432">
        <v>400</v>
      </c>
      <c r="X851" s="436">
        <v>832</v>
      </c>
      <c r="Y851" s="408">
        <f t="shared" si="117"/>
        <v>332800</v>
      </c>
      <c r="Z851" s="409">
        <v>0.56999999999999995</v>
      </c>
      <c r="AA851" s="423">
        <f t="shared" si="118"/>
        <v>189695.99999999997</v>
      </c>
      <c r="AB851" s="411"/>
      <c r="AC851" s="412">
        <f t="shared" si="119"/>
        <v>0</v>
      </c>
      <c r="AD851" s="421"/>
      <c r="AE851" s="413"/>
      <c r="AF851" s="424">
        <f t="shared" si="120"/>
        <v>189695.99999999997</v>
      </c>
      <c r="AG851" s="405" t="s">
        <v>1069</v>
      </c>
      <c r="AH851" s="405"/>
      <c r="AI851" s="414">
        <v>30</v>
      </c>
      <c r="AJ851" s="405" t="s">
        <v>1584</v>
      </c>
      <c r="AK851" s="425" t="s">
        <v>50</v>
      </c>
      <c r="AL851" s="405">
        <v>95838</v>
      </c>
      <c r="AM851" s="405" t="s">
        <v>52</v>
      </c>
      <c r="AN851" s="405" t="s">
        <v>50</v>
      </c>
      <c r="AO851" s="405"/>
      <c r="AP851" s="417"/>
      <c r="AQ851" s="417" t="s">
        <v>37</v>
      </c>
      <c r="AR851" s="417"/>
      <c r="AS851" s="426"/>
      <c r="AT851" s="426"/>
      <c r="AU851" s="357"/>
      <c r="AV851" s="409"/>
    </row>
    <row r="852" spans="1:48" s="402" customFormat="1" ht="15" customHeight="1">
      <c r="A852" s="403"/>
      <c r="B852" s="445">
        <v>44592</v>
      </c>
      <c r="C852" s="403"/>
      <c r="D852" s="443" t="s">
        <v>1914</v>
      </c>
      <c r="E852" s="432" t="s">
        <v>4261</v>
      </c>
      <c r="F852" s="432"/>
      <c r="G852" s="432">
        <v>2022</v>
      </c>
      <c r="H852" s="432">
        <v>12</v>
      </c>
      <c r="I852" s="443" t="s">
        <v>1498</v>
      </c>
      <c r="J852" s="433"/>
      <c r="K852" s="434" t="s">
        <v>3203</v>
      </c>
      <c r="L852" s="432" t="s">
        <v>1935</v>
      </c>
      <c r="M852" s="435">
        <v>44589</v>
      </c>
      <c r="N852" s="435">
        <v>44589</v>
      </c>
      <c r="O852" s="435"/>
      <c r="P852" s="349"/>
      <c r="Q852" s="433"/>
      <c r="R852" s="433"/>
      <c r="S852" s="432" t="s">
        <v>1443</v>
      </c>
      <c r="T852" s="432">
        <v>60</v>
      </c>
      <c r="U852" s="350">
        <v>49403140</v>
      </c>
      <c r="V852" s="432" t="s">
        <v>973</v>
      </c>
      <c r="W852" s="432">
        <v>400</v>
      </c>
      <c r="X852" s="436">
        <v>832</v>
      </c>
      <c r="Y852" s="408">
        <f t="shared" si="117"/>
        <v>332800</v>
      </c>
      <c r="Z852" s="409">
        <v>0.56999999999999995</v>
      </c>
      <c r="AA852" s="410">
        <f t="shared" si="118"/>
        <v>189695.99999999997</v>
      </c>
      <c r="AB852" s="411"/>
      <c r="AC852" s="412">
        <f t="shared" si="119"/>
        <v>0</v>
      </c>
      <c r="AD852" s="421"/>
      <c r="AE852" s="413"/>
      <c r="AF852" s="424">
        <f t="shared" si="120"/>
        <v>189695.99999999997</v>
      </c>
      <c r="AG852" s="405" t="s">
        <v>1069</v>
      </c>
      <c r="AH852" s="405"/>
      <c r="AI852" s="414">
        <v>60</v>
      </c>
      <c r="AJ852" s="405" t="s">
        <v>1584</v>
      </c>
      <c r="AK852" s="425" t="s">
        <v>50</v>
      </c>
      <c r="AL852" s="405">
        <v>95838</v>
      </c>
      <c r="AM852" s="405" t="s">
        <v>52</v>
      </c>
      <c r="AN852" s="405" t="s">
        <v>1071</v>
      </c>
      <c r="AO852" s="405"/>
      <c r="AP852" s="417"/>
      <c r="AQ852" s="417" t="s">
        <v>37</v>
      </c>
      <c r="AR852" s="417" t="s">
        <v>1188</v>
      </c>
      <c r="AS852" s="426"/>
      <c r="AT852" s="426"/>
      <c r="AU852" s="357"/>
      <c r="AV852" s="409"/>
    </row>
    <row r="853" spans="1:48" s="402" customFormat="1" ht="15" customHeight="1">
      <c r="A853" s="403"/>
      <c r="B853" s="445"/>
      <c r="C853" s="403"/>
      <c r="D853" s="443" t="s">
        <v>1914</v>
      </c>
      <c r="E853" s="432" t="s">
        <v>3199</v>
      </c>
      <c r="F853" s="432"/>
      <c r="G853" s="432">
        <v>2022</v>
      </c>
      <c r="H853" s="432" t="s">
        <v>1241</v>
      </c>
      <c r="I853" s="443" t="s">
        <v>1498</v>
      </c>
      <c r="J853" s="433"/>
      <c r="K853" s="351" t="s">
        <v>3204</v>
      </c>
      <c r="L853" s="432" t="s">
        <v>3205</v>
      </c>
      <c r="M853" s="435">
        <v>44648</v>
      </c>
      <c r="N853" s="435">
        <v>44648</v>
      </c>
      <c r="O853" s="435"/>
      <c r="P853" s="349"/>
      <c r="Q853" s="433"/>
      <c r="R853" s="433"/>
      <c r="S853" s="432" t="s">
        <v>1443</v>
      </c>
      <c r="T853" s="432">
        <v>60</v>
      </c>
      <c r="U853" s="350">
        <v>49401140</v>
      </c>
      <c r="V853" s="432" t="s">
        <v>973</v>
      </c>
      <c r="W853" s="432">
        <v>400</v>
      </c>
      <c r="X853" s="436">
        <v>832</v>
      </c>
      <c r="Y853" s="408">
        <f t="shared" si="117"/>
        <v>332800</v>
      </c>
      <c r="Z853" s="409">
        <f>222/400</f>
        <v>0.55500000000000005</v>
      </c>
      <c r="AA853" s="423">
        <f t="shared" si="118"/>
        <v>184704.00000000003</v>
      </c>
      <c r="AB853" s="411"/>
      <c r="AC853" s="412">
        <f t="shared" si="119"/>
        <v>0</v>
      </c>
      <c r="AD853" s="421"/>
      <c r="AE853" s="413"/>
      <c r="AF853" s="424">
        <f t="shared" si="120"/>
        <v>184704.00000000003</v>
      </c>
      <c r="AG853" s="405" t="s">
        <v>1069</v>
      </c>
      <c r="AH853" s="405"/>
      <c r="AI853" s="414" t="s">
        <v>1962</v>
      </c>
      <c r="AJ853" s="405" t="s">
        <v>1968</v>
      </c>
      <c r="AK853" s="425" t="s">
        <v>1599</v>
      </c>
      <c r="AL853" s="405">
        <v>97227</v>
      </c>
      <c r="AM853" s="405" t="s">
        <v>52</v>
      </c>
      <c r="AN853" s="405" t="s">
        <v>1071</v>
      </c>
      <c r="AO853" s="405"/>
      <c r="AP853" s="417"/>
      <c r="AQ853" s="417" t="s">
        <v>37</v>
      </c>
      <c r="AR853" s="409"/>
      <c r="AS853" s="426"/>
      <c r="AT853" s="426"/>
      <c r="AU853" s="357"/>
      <c r="AV853" s="409"/>
    </row>
    <row r="854" spans="1:48" s="402" customFormat="1" ht="15" customHeight="1">
      <c r="A854" s="403"/>
      <c r="B854" s="445">
        <v>44580</v>
      </c>
      <c r="C854" s="403"/>
      <c r="D854" s="443" t="s">
        <v>1914</v>
      </c>
      <c r="E854" s="453" t="s">
        <v>3201</v>
      </c>
      <c r="F854" s="432"/>
      <c r="G854" s="432">
        <v>2022</v>
      </c>
      <c r="H854" s="432" t="s">
        <v>1241</v>
      </c>
      <c r="I854" s="443" t="s">
        <v>1498</v>
      </c>
      <c r="J854" s="433"/>
      <c r="K854" s="434" t="s">
        <v>3206</v>
      </c>
      <c r="L854" s="432" t="s">
        <v>3205</v>
      </c>
      <c r="M854" s="435">
        <v>44575</v>
      </c>
      <c r="N854" s="435">
        <v>44652</v>
      </c>
      <c r="O854" s="435"/>
      <c r="P854" s="349"/>
      <c r="Q854" s="433"/>
      <c r="R854" s="433"/>
      <c r="S854" s="432" t="s">
        <v>1443</v>
      </c>
      <c r="T854" s="432">
        <v>60</v>
      </c>
      <c r="U854" s="350">
        <v>49201132</v>
      </c>
      <c r="V854" s="432" t="s">
        <v>986</v>
      </c>
      <c r="W854" s="432">
        <v>360</v>
      </c>
      <c r="X854" s="436">
        <v>832</v>
      </c>
      <c r="Y854" s="408">
        <f t="shared" si="117"/>
        <v>299520</v>
      </c>
      <c r="Z854" s="409">
        <f>181.9/360</f>
        <v>0.50527777777777783</v>
      </c>
      <c r="AA854" s="423">
        <f t="shared" si="118"/>
        <v>151340.80000000002</v>
      </c>
      <c r="AB854" s="411"/>
      <c r="AC854" s="412">
        <f t="shared" si="119"/>
        <v>0</v>
      </c>
      <c r="AD854" s="421"/>
      <c r="AE854" s="413"/>
      <c r="AF854" s="424">
        <f t="shared" si="120"/>
        <v>151340.80000000002</v>
      </c>
      <c r="AG854" s="405" t="s">
        <v>1069</v>
      </c>
      <c r="AH854" s="405"/>
      <c r="AI854" s="414">
        <v>60</v>
      </c>
      <c r="AJ854" s="405" t="s">
        <v>2672</v>
      </c>
      <c r="AK854" s="425" t="s">
        <v>1522</v>
      </c>
      <c r="AL854" s="405">
        <v>98108</v>
      </c>
      <c r="AM854" s="405" t="s">
        <v>52</v>
      </c>
      <c r="AN854" s="405" t="s">
        <v>1071</v>
      </c>
      <c r="AO854" s="405"/>
      <c r="AP854" s="417"/>
      <c r="AQ854" s="417" t="s">
        <v>37</v>
      </c>
      <c r="AR854" s="417"/>
      <c r="AS854" s="426"/>
      <c r="AT854" s="426"/>
      <c r="AU854" s="357"/>
      <c r="AV854" s="409"/>
    </row>
    <row r="855" spans="1:48" s="402" customFormat="1" ht="15" customHeight="1">
      <c r="A855" s="403"/>
      <c r="B855" s="445">
        <v>44580</v>
      </c>
      <c r="C855" s="403"/>
      <c r="D855" s="443" t="s">
        <v>1914</v>
      </c>
      <c r="E855" s="453" t="s">
        <v>3201</v>
      </c>
      <c r="F855" s="432"/>
      <c r="G855" s="432">
        <v>2022</v>
      </c>
      <c r="H855" s="432" t="s">
        <v>1241</v>
      </c>
      <c r="I855" s="443" t="s">
        <v>1498</v>
      </c>
      <c r="J855" s="433"/>
      <c r="K855" s="434" t="s">
        <v>3207</v>
      </c>
      <c r="L855" s="432" t="s">
        <v>3205</v>
      </c>
      <c r="M855" s="435">
        <v>44575</v>
      </c>
      <c r="N855" s="435">
        <v>44743</v>
      </c>
      <c r="O855" s="435"/>
      <c r="P855" s="349"/>
      <c r="Q855" s="433"/>
      <c r="R855" s="433"/>
      <c r="S855" s="432" t="s">
        <v>1443</v>
      </c>
      <c r="T855" s="432">
        <v>60</v>
      </c>
      <c r="U855" s="350">
        <v>49201132</v>
      </c>
      <c r="V855" s="432" t="s">
        <v>986</v>
      </c>
      <c r="W855" s="432">
        <v>360</v>
      </c>
      <c r="X855" s="436">
        <v>832</v>
      </c>
      <c r="Y855" s="408">
        <f t="shared" si="117"/>
        <v>299520</v>
      </c>
      <c r="Z855" s="409">
        <f>181.9/360</f>
        <v>0.50527777777777783</v>
      </c>
      <c r="AA855" s="423">
        <f t="shared" si="118"/>
        <v>151340.80000000002</v>
      </c>
      <c r="AB855" s="411"/>
      <c r="AC855" s="412">
        <f t="shared" si="119"/>
        <v>0</v>
      </c>
      <c r="AD855" s="421"/>
      <c r="AE855" s="413"/>
      <c r="AF855" s="424">
        <f t="shared" si="120"/>
        <v>151340.80000000002</v>
      </c>
      <c r="AG855" s="405" t="s">
        <v>1069</v>
      </c>
      <c r="AH855" s="405"/>
      <c r="AI855" s="414">
        <v>60</v>
      </c>
      <c r="AJ855" s="405" t="s">
        <v>2672</v>
      </c>
      <c r="AK855" s="425" t="s">
        <v>1522</v>
      </c>
      <c r="AL855" s="405">
        <v>98108</v>
      </c>
      <c r="AM855" s="405" t="s">
        <v>52</v>
      </c>
      <c r="AN855" s="405" t="s">
        <v>1071</v>
      </c>
      <c r="AO855" s="405"/>
      <c r="AP855" s="417"/>
      <c r="AQ855" s="417" t="s">
        <v>37</v>
      </c>
      <c r="AR855" s="417"/>
      <c r="AS855" s="426"/>
      <c r="AT855" s="426"/>
      <c r="AU855" s="357"/>
      <c r="AV855" s="409"/>
    </row>
    <row r="856" spans="1:48" s="402" customFormat="1" ht="15" customHeight="1">
      <c r="A856" s="403"/>
      <c r="B856" s="445"/>
      <c r="C856" s="403"/>
      <c r="D856" s="443" t="s">
        <v>1914</v>
      </c>
      <c r="E856" s="432"/>
      <c r="F856" s="432"/>
      <c r="G856" s="432">
        <v>2022</v>
      </c>
      <c r="H856" s="432" t="s">
        <v>1241</v>
      </c>
      <c r="I856" s="443" t="s">
        <v>1498</v>
      </c>
      <c r="J856" s="433"/>
      <c r="K856" s="489" t="s">
        <v>3208</v>
      </c>
      <c r="L856" s="487" t="s">
        <v>1967</v>
      </c>
      <c r="M856" s="435">
        <v>44655</v>
      </c>
      <c r="N856" s="435">
        <v>44925</v>
      </c>
      <c r="O856" s="435"/>
      <c r="P856" s="349"/>
      <c r="Q856" s="433"/>
      <c r="R856" s="433"/>
      <c r="S856" s="432" t="s">
        <v>1443</v>
      </c>
      <c r="T856" s="432">
        <v>60</v>
      </c>
      <c r="U856" s="350">
        <v>49201132</v>
      </c>
      <c r="V856" s="432" t="s">
        <v>986</v>
      </c>
      <c r="W856" s="432">
        <v>360</v>
      </c>
      <c r="X856" s="436">
        <v>832</v>
      </c>
      <c r="Y856" s="408">
        <f t="shared" si="117"/>
        <v>299520</v>
      </c>
      <c r="Z856" s="409">
        <v>0.62</v>
      </c>
      <c r="AA856" s="423">
        <f t="shared" si="118"/>
        <v>185702.39999999999</v>
      </c>
      <c r="AB856" s="411"/>
      <c r="AC856" s="412">
        <f t="shared" si="119"/>
        <v>0</v>
      </c>
      <c r="AD856" s="421"/>
      <c r="AE856" s="413"/>
      <c r="AF856" s="424">
        <f t="shared" si="120"/>
        <v>185702.39999999999</v>
      </c>
      <c r="AG856" s="405" t="s">
        <v>1069</v>
      </c>
      <c r="AH856" s="405"/>
      <c r="AI856" s="414" t="s">
        <v>1962</v>
      </c>
      <c r="AJ856" s="405" t="s">
        <v>3209</v>
      </c>
      <c r="AK856" s="425" t="s">
        <v>1913</v>
      </c>
      <c r="AL856" s="405">
        <v>95834</v>
      </c>
      <c r="AM856" s="405" t="s">
        <v>52</v>
      </c>
      <c r="AN856" s="405" t="s">
        <v>1071</v>
      </c>
      <c r="AO856" s="405"/>
      <c r="AP856" s="417"/>
      <c r="AQ856" s="417" t="s">
        <v>37</v>
      </c>
      <c r="AR856" s="409"/>
      <c r="AS856" s="426"/>
      <c r="AT856" s="426"/>
      <c r="AU856" s="357"/>
      <c r="AV856" s="409"/>
    </row>
    <row r="857" spans="1:48" s="402" customFormat="1" ht="15" customHeight="1">
      <c r="A857" s="403"/>
      <c r="B857" s="445"/>
      <c r="C857" s="403"/>
      <c r="D857" s="443" t="s">
        <v>1914</v>
      </c>
      <c r="E857" s="432"/>
      <c r="F857" s="432"/>
      <c r="G857" s="432">
        <v>2022</v>
      </c>
      <c r="H857" s="432" t="s">
        <v>1241</v>
      </c>
      <c r="I857" s="443" t="s">
        <v>1498</v>
      </c>
      <c r="J857" s="433"/>
      <c r="K857" s="351" t="s">
        <v>3210</v>
      </c>
      <c r="L857" s="434" t="s">
        <v>1967</v>
      </c>
      <c r="M857" s="435">
        <v>44655</v>
      </c>
      <c r="N857" s="435">
        <v>44925</v>
      </c>
      <c r="O857" s="435"/>
      <c r="P857" s="349"/>
      <c r="Q857" s="433"/>
      <c r="R857" s="433"/>
      <c r="S857" s="432" t="s">
        <v>1443</v>
      </c>
      <c r="T857" s="432">
        <v>60</v>
      </c>
      <c r="U857" s="350">
        <v>49201132</v>
      </c>
      <c r="V857" s="432" t="s">
        <v>986</v>
      </c>
      <c r="W857" s="432">
        <v>360</v>
      </c>
      <c r="X857" s="436">
        <v>832</v>
      </c>
      <c r="Y857" s="408">
        <f t="shared" si="117"/>
        <v>299520</v>
      </c>
      <c r="Z857" s="409">
        <f t="shared" ref="Z857:Z864" si="121">192.6/360</f>
        <v>0.53500000000000003</v>
      </c>
      <c r="AA857" s="423">
        <f t="shared" si="118"/>
        <v>160243.20000000001</v>
      </c>
      <c r="AB857" s="411"/>
      <c r="AC857" s="412">
        <f t="shared" si="119"/>
        <v>0</v>
      </c>
      <c r="AD857" s="421"/>
      <c r="AE857" s="413"/>
      <c r="AF857" s="424">
        <f t="shared" si="120"/>
        <v>160243.20000000001</v>
      </c>
      <c r="AG857" s="405" t="s">
        <v>1069</v>
      </c>
      <c r="AH857" s="405"/>
      <c r="AI857" s="414" t="s">
        <v>1962</v>
      </c>
      <c r="AJ857" s="405" t="s">
        <v>3209</v>
      </c>
      <c r="AK857" s="425" t="s">
        <v>1913</v>
      </c>
      <c r="AL857" s="405">
        <v>95834</v>
      </c>
      <c r="AM857" s="405" t="s">
        <v>52</v>
      </c>
      <c r="AN857" s="405" t="s">
        <v>1071</v>
      </c>
      <c r="AO857" s="405"/>
      <c r="AP857" s="417"/>
      <c r="AQ857" s="417" t="s">
        <v>37</v>
      </c>
      <c r="AR857" s="409"/>
      <c r="AS857" s="426"/>
      <c r="AT857" s="426"/>
      <c r="AU857" s="357"/>
      <c r="AV857" s="409"/>
    </row>
    <row r="858" spans="1:48" s="402" customFormat="1" ht="15" customHeight="1">
      <c r="A858" s="403"/>
      <c r="B858" s="445"/>
      <c r="C858" s="403"/>
      <c r="D858" s="443" t="s">
        <v>1914</v>
      </c>
      <c r="E858" s="432"/>
      <c r="F858" s="432"/>
      <c r="G858" s="432">
        <v>2022</v>
      </c>
      <c r="H858" s="432" t="s">
        <v>1241</v>
      </c>
      <c r="I858" s="443" t="s">
        <v>1498</v>
      </c>
      <c r="J858" s="433"/>
      <c r="K858" s="489" t="s">
        <v>3211</v>
      </c>
      <c r="L858" s="487" t="s">
        <v>1967</v>
      </c>
      <c r="M858" s="435">
        <v>44655</v>
      </c>
      <c r="N858" s="435">
        <v>44925</v>
      </c>
      <c r="O858" s="435"/>
      <c r="P858" s="349"/>
      <c r="Q858" s="433"/>
      <c r="R858" s="433"/>
      <c r="S858" s="432" t="s">
        <v>1443</v>
      </c>
      <c r="T858" s="432">
        <v>60</v>
      </c>
      <c r="U858" s="350">
        <v>49201132</v>
      </c>
      <c r="V858" s="432" t="s">
        <v>986</v>
      </c>
      <c r="W858" s="432">
        <v>360</v>
      </c>
      <c r="X858" s="436">
        <v>832</v>
      </c>
      <c r="Y858" s="408">
        <f t="shared" si="117"/>
        <v>299520</v>
      </c>
      <c r="Z858" s="409">
        <v>0.62</v>
      </c>
      <c r="AA858" s="423">
        <f t="shared" si="118"/>
        <v>185702.39999999999</v>
      </c>
      <c r="AB858" s="411"/>
      <c r="AC858" s="412">
        <f t="shared" si="119"/>
        <v>0</v>
      </c>
      <c r="AD858" s="421"/>
      <c r="AE858" s="413"/>
      <c r="AF858" s="424">
        <f t="shared" si="120"/>
        <v>185702.39999999999</v>
      </c>
      <c r="AG858" s="405" t="s">
        <v>1069</v>
      </c>
      <c r="AH858" s="405"/>
      <c r="AI858" s="414" t="s">
        <v>1962</v>
      </c>
      <c r="AJ858" s="405" t="s">
        <v>3209</v>
      </c>
      <c r="AK858" s="425" t="s">
        <v>1913</v>
      </c>
      <c r="AL858" s="405">
        <v>95834</v>
      </c>
      <c r="AM858" s="405" t="s">
        <v>52</v>
      </c>
      <c r="AN858" s="405" t="s">
        <v>1071</v>
      </c>
      <c r="AO858" s="405"/>
      <c r="AP858" s="417"/>
      <c r="AQ858" s="417" t="s">
        <v>37</v>
      </c>
      <c r="AR858" s="409"/>
      <c r="AS858" s="426"/>
      <c r="AT858" s="426"/>
      <c r="AU858" s="357"/>
      <c r="AV858" s="409"/>
    </row>
    <row r="859" spans="1:48" s="402" customFormat="1" ht="15" customHeight="1">
      <c r="A859" s="403"/>
      <c r="B859" s="445"/>
      <c r="C859" s="403"/>
      <c r="D859" s="443" t="s">
        <v>1914</v>
      </c>
      <c r="E859" s="432"/>
      <c r="F859" s="432"/>
      <c r="G859" s="432">
        <v>2022</v>
      </c>
      <c r="H859" s="432" t="s">
        <v>1241</v>
      </c>
      <c r="I859" s="443" t="s">
        <v>1498</v>
      </c>
      <c r="J859" s="433"/>
      <c r="K859" s="484" t="s">
        <v>3212</v>
      </c>
      <c r="L859" s="434" t="s">
        <v>1967</v>
      </c>
      <c r="M859" s="435">
        <v>44655</v>
      </c>
      <c r="N859" s="435">
        <v>44925</v>
      </c>
      <c r="O859" s="435"/>
      <c r="P859" s="349"/>
      <c r="Q859" s="433"/>
      <c r="R859" s="433"/>
      <c r="S859" s="432" t="s">
        <v>1443</v>
      </c>
      <c r="T859" s="432">
        <v>60</v>
      </c>
      <c r="U859" s="350">
        <v>49201132</v>
      </c>
      <c r="V859" s="432" t="s">
        <v>986</v>
      </c>
      <c r="W859" s="432">
        <v>360</v>
      </c>
      <c r="X859" s="436">
        <v>832</v>
      </c>
      <c r="Y859" s="408">
        <f t="shared" si="117"/>
        <v>299520</v>
      </c>
      <c r="Z859" s="409">
        <f t="shared" si="121"/>
        <v>0.53500000000000003</v>
      </c>
      <c r="AA859" s="423">
        <f t="shared" si="118"/>
        <v>160243.20000000001</v>
      </c>
      <c r="AB859" s="411"/>
      <c r="AC859" s="412">
        <f t="shared" si="119"/>
        <v>0</v>
      </c>
      <c r="AD859" s="421"/>
      <c r="AE859" s="413"/>
      <c r="AF859" s="424">
        <f t="shared" si="120"/>
        <v>160243.20000000001</v>
      </c>
      <c r="AG859" s="405" t="s">
        <v>1069</v>
      </c>
      <c r="AH859" s="405"/>
      <c r="AI859" s="414" t="s">
        <v>1962</v>
      </c>
      <c r="AJ859" s="405" t="s">
        <v>3209</v>
      </c>
      <c r="AK859" s="425" t="s">
        <v>1913</v>
      </c>
      <c r="AL859" s="405">
        <v>95834</v>
      </c>
      <c r="AM859" s="405" t="s">
        <v>52</v>
      </c>
      <c r="AN859" s="405" t="s">
        <v>1071</v>
      </c>
      <c r="AO859" s="405"/>
      <c r="AP859" s="417"/>
      <c r="AQ859" s="417" t="s">
        <v>37</v>
      </c>
      <c r="AR859" s="409"/>
      <c r="AS859" s="426"/>
      <c r="AT859" s="426"/>
      <c r="AU859" s="357"/>
      <c r="AV859" s="409"/>
    </row>
    <row r="860" spans="1:48" s="402" customFormat="1" ht="15" customHeight="1">
      <c r="A860" s="403"/>
      <c r="B860" s="445"/>
      <c r="C860" s="403"/>
      <c r="D860" s="443" t="s">
        <v>1914</v>
      </c>
      <c r="E860" s="432"/>
      <c r="F860" s="432"/>
      <c r="G860" s="432">
        <v>2022</v>
      </c>
      <c r="H860" s="432" t="s">
        <v>1241</v>
      </c>
      <c r="I860" s="443" t="s">
        <v>1498</v>
      </c>
      <c r="J860" s="433"/>
      <c r="K860" s="484" t="s">
        <v>3213</v>
      </c>
      <c r="L860" s="434" t="s">
        <v>1967</v>
      </c>
      <c r="M860" s="435">
        <v>44655</v>
      </c>
      <c r="N860" s="435">
        <v>44925</v>
      </c>
      <c r="O860" s="435"/>
      <c r="P860" s="349"/>
      <c r="Q860" s="433"/>
      <c r="R860" s="433"/>
      <c r="S860" s="432" t="s">
        <v>1443</v>
      </c>
      <c r="T860" s="432">
        <v>60</v>
      </c>
      <c r="U860" s="350">
        <v>49201132</v>
      </c>
      <c r="V860" s="432" t="s">
        <v>986</v>
      </c>
      <c r="W860" s="432">
        <v>360</v>
      </c>
      <c r="X860" s="436">
        <v>832</v>
      </c>
      <c r="Y860" s="408">
        <f t="shared" si="117"/>
        <v>299520</v>
      </c>
      <c r="Z860" s="409">
        <f t="shared" si="121"/>
        <v>0.53500000000000003</v>
      </c>
      <c r="AA860" s="423">
        <f t="shared" si="118"/>
        <v>160243.20000000001</v>
      </c>
      <c r="AB860" s="411"/>
      <c r="AC860" s="412">
        <f t="shared" si="119"/>
        <v>0</v>
      </c>
      <c r="AD860" s="421"/>
      <c r="AE860" s="413"/>
      <c r="AF860" s="424">
        <f t="shared" si="120"/>
        <v>160243.20000000001</v>
      </c>
      <c r="AG860" s="405" t="s">
        <v>1069</v>
      </c>
      <c r="AH860" s="405"/>
      <c r="AI860" s="414" t="s">
        <v>1962</v>
      </c>
      <c r="AJ860" s="405" t="s">
        <v>3209</v>
      </c>
      <c r="AK860" s="425" t="s">
        <v>1913</v>
      </c>
      <c r="AL860" s="405">
        <v>95834</v>
      </c>
      <c r="AM860" s="405" t="s">
        <v>52</v>
      </c>
      <c r="AN860" s="405" t="s">
        <v>1071</v>
      </c>
      <c r="AO860" s="405"/>
      <c r="AP860" s="417"/>
      <c r="AQ860" s="417" t="s">
        <v>37</v>
      </c>
      <c r="AR860" s="409"/>
      <c r="AS860" s="426"/>
      <c r="AT860" s="426"/>
      <c r="AU860" s="357"/>
      <c r="AV860" s="409"/>
    </row>
    <row r="861" spans="1:48" s="402" customFormat="1" ht="15" customHeight="1">
      <c r="A861" s="403"/>
      <c r="B861" s="445"/>
      <c r="C861" s="403"/>
      <c r="D861" s="443" t="s">
        <v>1914</v>
      </c>
      <c r="E861" s="432"/>
      <c r="F861" s="432"/>
      <c r="G861" s="432">
        <v>2022</v>
      </c>
      <c r="H861" s="432" t="s">
        <v>1241</v>
      </c>
      <c r="I861" s="443" t="s">
        <v>1498</v>
      </c>
      <c r="J861" s="433"/>
      <c r="K861" s="484" t="s">
        <v>3214</v>
      </c>
      <c r="L861" s="434" t="s">
        <v>1967</v>
      </c>
      <c r="M861" s="435">
        <v>44655</v>
      </c>
      <c r="N861" s="435">
        <v>44925</v>
      </c>
      <c r="O861" s="435"/>
      <c r="P861" s="349"/>
      <c r="Q861" s="433"/>
      <c r="R861" s="433"/>
      <c r="S861" s="432" t="s">
        <v>1443</v>
      </c>
      <c r="T861" s="432">
        <v>60</v>
      </c>
      <c r="U861" s="350">
        <v>49201132</v>
      </c>
      <c r="V861" s="432" t="s">
        <v>986</v>
      </c>
      <c r="W861" s="432">
        <v>360</v>
      </c>
      <c r="X861" s="436">
        <v>832</v>
      </c>
      <c r="Y861" s="408">
        <f t="shared" si="117"/>
        <v>299520</v>
      </c>
      <c r="Z861" s="409">
        <f t="shared" si="121"/>
        <v>0.53500000000000003</v>
      </c>
      <c r="AA861" s="423">
        <f t="shared" si="118"/>
        <v>160243.20000000001</v>
      </c>
      <c r="AB861" s="411"/>
      <c r="AC861" s="412">
        <f t="shared" si="119"/>
        <v>0</v>
      </c>
      <c r="AD861" s="421"/>
      <c r="AE861" s="413"/>
      <c r="AF861" s="424">
        <f t="shared" si="120"/>
        <v>160243.20000000001</v>
      </c>
      <c r="AG861" s="405" t="s">
        <v>1069</v>
      </c>
      <c r="AH861" s="405"/>
      <c r="AI861" s="414" t="s">
        <v>1962</v>
      </c>
      <c r="AJ861" s="405" t="s">
        <v>3209</v>
      </c>
      <c r="AK861" s="425" t="s">
        <v>1913</v>
      </c>
      <c r="AL861" s="405">
        <v>95834</v>
      </c>
      <c r="AM861" s="405" t="s">
        <v>52</v>
      </c>
      <c r="AN861" s="405" t="s">
        <v>1071</v>
      </c>
      <c r="AO861" s="405"/>
      <c r="AP861" s="417"/>
      <c r="AQ861" s="417" t="s">
        <v>37</v>
      </c>
      <c r="AR861" s="409"/>
      <c r="AS861" s="426"/>
      <c r="AT861" s="426"/>
      <c r="AU861" s="357"/>
      <c r="AV861" s="409"/>
    </row>
    <row r="862" spans="1:48" s="402" customFormat="1" ht="15" customHeight="1">
      <c r="A862" s="403"/>
      <c r="B862" s="445"/>
      <c r="C862" s="403"/>
      <c r="D862" s="443" t="s">
        <v>1914</v>
      </c>
      <c r="E862" s="432"/>
      <c r="F862" s="432"/>
      <c r="G862" s="432">
        <v>2022</v>
      </c>
      <c r="H862" s="432" t="s">
        <v>1241</v>
      </c>
      <c r="I862" s="443" t="s">
        <v>1498</v>
      </c>
      <c r="J862" s="433"/>
      <c r="K862" s="351" t="s">
        <v>3215</v>
      </c>
      <c r="L862" s="434" t="s">
        <v>1967</v>
      </c>
      <c r="M862" s="435">
        <v>44655</v>
      </c>
      <c r="N862" s="435">
        <v>44925</v>
      </c>
      <c r="O862" s="435"/>
      <c r="P862" s="349"/>
      <c r="Q862" s="433"/>
      <c r="R862" s="433"/>
      <c r="S862" s="432" t="s">
        <v>1443</v>
      </c>
      <c r="T862" s="432">
        <v>60</v>
      </c>
      <c r="U862" s="350">
        <v>49201132</v>
      </c>
      <c r="V862" s="432" t="s">
        <v>986</v>
      </c>
      <c r="W862" s="432">
        <v>360</v>
      </c>
      <c r="X862" s="436">
        <v>832</v>
      </c>
      <c r="Y862" s="408">
        <f t="shared" si="117"/>
        <v>299520</v>
      </c>
      <c r="Z862" s="409">
        <f t="shared" si="121"/>
        <v>0.53500000000000003</v>
      </c>
      <c r="AA862" s="423">
        <f t="shared" si="118"/>
        <v>160243.20000000001</v>
      </c>
      <c r="AB862" s="411"/>
      <c r="AC862" s="412">
        <f t="shared" si="119"/>
        <v>0</v>
      </c>
      <c r="AD862" s="421"/>
      <c r="AE862" s="413"/>
      <c r="AF862" s="424">
        <f t="shared" si="120"/>
        <v>160243.20000000001</v>
      </c>
      <c r="AG862" s="405" t="s">
        <v>1069</v>
      </c>
      <c r="AH862" s="405"/>
      <c r="AI862" s="414" t="s">
        <v>1962</v>
      </c>
      <c r="AJ862" s="405" t="s">
        <v>3209</v>
      </c>
      <c r="AK862" s="425" t="s">
        <v>1913</v>
      </c>
      <c r="AL862" s="405">
        <v>95834</v>
      </c>
      <c r="AM862" s="405" t="s">
        <v>52</v>
      </c>
      <c r="AN862" s="405" t="s">
        <v>1071</v>
      </c>
      <c r="AO862" s="405"/>
      <c r="AP862" s="417"/>
      <c r="AQ862" s="417" t="s">
        <v>37</v>
      </c>
      <c r="AR862" s="409"/>
      <c r="AS862" s="426"/>
      <c r="AT862" s="426"/>
      <c r="AU862" s="357"/>
      <c r="AV862" s="409"/>
    </row>
    <row r="863" spans="1:48" s="402" customFormat="1" ht="15" customHeight="1">
      <c r="A863" s="403"/>
      <c r="B863" s="445"/>
      <c r="C863" s="403"/>
      <c r="D863" s="443" t="s">
        <v>1914</v>
      </c>
      <c r="E863" s="432"/>
      <c r="F863" s="432"/>
      <c r="G863" s="432">
        <v>2022</v>
      </c>
      <c r="H863" s="432" t="s">
        <v>1241</v>
      </c>
      <c r="I863" s="443" t="s">
        <v>1498</v>
      </c>
      <c r="J863" s="433"/>
      <c r="K863" s="484" t="s">
        <v>3216</v>
      </c>
      <c r="L863" s="434" t="s">
        <v>1967</v>
      </c>
      <c r="M863" s="435">
        <v>44655</v>
      </c>
      <c r="N863" s="435">
        <v>44925</v>
      </c>
      <c r="O863" s="435"/>
      <c r="P863" s="349"/>
      <c r="Q863" s="433"/>
      <c r="R863" s="433"/>
      <c r="S863" s="432" t="s">
        <v>1443</v>
      </c>
      <c r="T863" s="432">
        <v>60</v>
      </c>
      <c r="U863" s="350">
        <v>49201132</v>
      </c>
      <c r="V863" s="432" t="s">
        <v>986</v>
      </c>
      <c r="W863" s="432">
        <v>360</v>
      </c>
      <c r="X863" s="436">
        <v>832</v>
      </c>
      <c r="Y863" s="408">
        <f t="shared" si="117"/>
        <v>299520</v>
      </c>
      <c r="Z863" s="409">
        <f t="shared" si="121"/>
        <v>0.53500000000000003</v>
      </c>
      <c r="AA863" s="423">
        <f t="shared" si="118"/>
        <v>160243.20000000001</v>
      </c>
      <c r="AB863" s="411"/>
      <c r="AC863" s="412">
        <f t="shared" si="119"/>
        <v>0</v>
      </c>
      <c r="AD863" s="421"/>
      <c r="AE863" s="413"/>
      <c r="AF863" s="424">
        <f t="shared" si="120"/>
        <v>160243.20000000001</v>
      </c>
      <c r="AG863" s="405" t="s">
        <v>1069</v>
      </c>
      <c r="AH863" s="405"/>
      <c r="AI863" s="414" t="s">
        <v>1962</v>
      </c>
      <c r="AJ863" s="405" t="s">
        <v>3209</v>
      </c>
      <c r="AK863" s="425" t="s">
        <v>1913</v>
      </c>
      <c r="AL863" s="405">
        <v>95834</v>
      </c>
      <c r="AM863" s="405" t="s">
        <v>52</v>
      </c>
      <c r="AN863" s="405" t="s">
        <v>1071</v>
      </c>
      <c r="AO863" s="405"/>
      <c r="AP863" s="417"/>
      <c r="AQ863" s="417" t="s">
        <v>37</v>
      </c>
      <c r="AR863" s="409"/>
      <c r="AS863" s="426"/>
      <c r="AT863" s="426"/>
      <c r="AU863" s="357"/>
      <c r="AV863" s="409"/>
    </row>
    <row r="864" spans="1:48" s="402" customFormat="1" ht="15" customHeight="1">
      <c r="A864" s="403"/>
      <c r="B864" s="445"/>
      <c r="C864" s="403"/>
      <c r="D864" s="443" t="s">
        <v>1914</v>
      </c>
      <c r="E864" s="432"/>
      <c r="F864" s="432"/>
      <c r="G864" s="432">
        <v>2022</v>
      </c>
      <c r="H864" s="432" t="s">
        <v>1241</v>
      </c>
      <c r="I864" s="443" t="s">
        <v>1498</v>
      </c>
      <c r="J864" s="433"/>
      <c r="K864" s="351" t="s">
        <v>3217</v>
      </c>
      <c r="L864" s="434" t="s">
        <v>1967</v>
      </c>
      <c r="M864" s="435">
        <v>44655</v>
      </c>
      <c r="N864" s="435">
        <v>44925</v>
      </c>
      <c r="O864" s="435"/>
      <c r="P864" s="349"/>
      <c r="Q864" s="433"/>
      <c r="R864" s="433"/>
      <c r="S864" s="432" t="s">
        <v>1443</v>
      </c>
      <c r="T864" s="432">
        <v>60</v>
      </c>
      <c r="U864" s="350">
        <v>49201132</v>
      </c>
      <c r="V864" s="432" t="s">
        <v>986</v>
      </c>
      <c r="W864" s="432">
        <v>360</v>
      </c>
      <c r="X864" s="436">
        <v>832</v>
      </c>
      <c r="Y864" s="408">
        <f t="shared" si="117"/>
        <v>299520</v>
      </c>
      <c r="Z864" s="409">
        <f t="shared" si="121"/>
        <v>0.53500000000000003</v>
      </c>
      <c r="AA864" s="423">
        <f t="shared" si="118"/>
        <v>160243.20000000001</v>
      </c>
      <c r="AB864" s="411"/>
      <c r="AC864" s="412">
        <f t="shared" si="119"/>
        <v>0</v>
      </c>
      <c r="AD864" s="421"/>
      <c r="AE864" s="413"/>
      <c r="AF864" s="424">
        <f t="shared" si="120"/>
        <v>160243.20000000001</v>
      </c>
      <c r="AG864" s="405" t="s">
        <v>1069</v>
      </c>
      <c r="AH864" s="405"/>
      <c r="AI864" s="414" t="s">
        <v>1962</v>
      </c>
      <c r="AJ864" s="405" t="s">
        <v>3209</v>
      </c>
      <c r="AK864" s="425" t="s">
        <v>1913</v>
      </c>
      <c r="AL864" s="405">
        <v>95834</v>
      </c>
      <c r="AM864" s="405" t="s">
        <v>52</v>
      </c>
      <c r="AN864" s="405" t="s">
        <v>1071</v>
      </c>
      <c r="AO864" s="405"/>
      <c r="AP864" s="417"/>
      <c r="AQ864" s="417" t="s">
        <v>37</v>
      </c>
      <c r="AR864" s="409"/>
      <c r="AS864" s="426"/>
      <c r="AT864" s="426"/>
      <c r="AU864" s="357"/>
      <c r="AV864" s="409"/>
    </row>
    <row r="865" spans="1:48" s="402" customFormat="1" ht="15" customHeight="1">
      <c r="A865" s="403"/>
      <c r="B865" s="445"/>
      <c r="C865" s="403"/>
      <c r="D865" s="443" t="s">
        <v>1914</v>
      </c>
      <c r="E865" s="432"/>
      <c r="F865" s="432"/>
      <c r="G865" s="432">
        <v>2022</v>
      </c>
      <c r="H865" s="432" t="s">
        <v>1241</v>
      </c>
      <c r="I865" s="443" t="s">
        <v>1498</v>
      </c>
      <c r="J865" s="433"/>
      <c r="K865" s="489" t="s">
        <v>3218</v>
      </c>
      <c r="L865" s="487" t="s">
        <v>1967</v>
      </c>
      <c r="M865" s="435">
        <v>44655</v>
      </c>
      <c r="N865" s="435">
        <v>44925</v>
      </c>
      <c r="O865" s="435"/>
      <c r="P865" s="433"/>
      <c r="Q865" s="433"/>
      <c r="R865" s="433"/>
      <c r="S865" s="432" t="s">
        <v>1443</v>
      </c>
      <c r="T865" s="432">
        <v>60</v>
      </c>
      <c r="U865" s="432">
        <v>49201132</v>
      </c>
      <c r="V865" s="432" t="s">
        <v>986</v>
      </c>
      <c r="W865" s="432">
        <v>360</v>
      </c>
      <c r="X865" s="436">
        <v>832</v>
      </c>
      <c r="Y865" s="408">
        <f t="shared" si="117"/>
        <v>299520</v>
      </c>
      <c r="Z865" s="409">
        <v>0.62</v>
      </c>
      <c r="AA865" s="423">
        <f t="shared" si="118"/>
        <v>185702.39999999999</v>
      </c>
      <c r="AB865" s="411"/>
      <c r="AC865" s="412">
        <f t="shared" si="119"/>
        <v>0</v>
      </c>
      <c r="AD865" s="421"/>
      <c r="AE865" s="413"/>
      <c r="AF865" s="424">
        <f t="shared" si="120"/>
        <v>185702.39999999999</v>
      </c>
      <c r="AG865" s="405" t="s">
        <v>1069</v>
      </c>
      <c r="AH865" s="405"/>
      <c r="AI865" s="414" t="s">
        <v>1962</v>
      </c>
      <c r="AJ865" s="405" t="s">
        <v>3209</v>
      </c>
      <c r="AK865" s="425" t="s">
        <v>1913</v>
      </c>
      <c r="AL865" s="405">
        <v>95834</v>
      </c>
      <c r="AM865" s="405" t="s">
        <v>52</v>
      </c>
      <c r="AN865" s="405" t="s">
        <v>1071</v>
      </c>
      <c r="AO865" s="405"/>
      <c r="AP865" s="417"/>
      <c r="AQ865" s="417" t="s">
        <v>37</v>
      </c>
      <c r="AR865" s="409"/>
      <c r="AS865" s="426"/>
      <c r="AT865" s="426"/>
      <c r="AU865" s="426"/>
      <c r="AV865" s="409"/>
    </row>
    <row r="866" spans="1:48" s="402" customFormat="1" ht="15" customHeight="1">
      <c r="A866" s="403"/>
      <c r="B866" s="445">
        <v>44557</v>
      </c>
      <c r="C866" s="403"/>
      <c r="D866" s="443" t="s">
        <v>1914</v>
      </c>
      <c r="E866" s="432" t="s">
        <v>2155</v>
      </c>
      <c r="F866" s="432"/>
      <c r="G866" s="432">
        <v>2022</v>
      </c>
      <c r="H866" s="432" t="s">
        <v>1498</v>
      </c>
      <c r="I866" s="443" t="s">
        <v>1498</v>
      </c>
      <c r="J866" s="433"/>
      <c r="K866" s="434" t="s">
        <v>3219</v>
      </c>
      <c r="L866" s="432" t="s">
        <v>1967</v>
      </c>
      <c r="M866" s="435">
        <v>44545</v>
      </c>
      <c r="N866" s="435">
        <v>44868</v>
      </c>
      <c r="O866" s="435"/>
      <c r="P866" s="349"/>
      <c r="Q866" s="433"/>
      <c r="R866" s="433"/>
      <c r="S866" s="432" t="s">
        <v>1443</v>
      </c>
      <c r="T866" s="432">
        <v>60</v>
      </c>
      <c r="U866" s="350">
        <v>49401140</v>
      </c>
      <c r="V866" s="432" t="s">
        <v>2284</v>
      </c>
      <c r="W866" s="432">
        <v>400</v>
      </c>
      <c r="X866" s="436">
        <v>768</v>
      </c>
      <c r="Y866" s="408">
        <f t="shared" si="117"/>
        <v>307200</v>
      </c>
      <c r="Z866" s="409">
        <v>0.52500000000000002</v>
      </c>
      <c r="AA866" s="423">
        <f t="shared" si="118"/>
        <v>161280</v>
      </c>
      <c r="AB866" s="411"/>
      <c r="AC866" s="412">
        <f t="shared" si="119"/>
        <v>0</v>
      </c>
      <c r="AD866" s="421"/>
      <c r="AE866" s="413"/>
      <c r="AF866" s="424">
        <f t="shared" si="120"/>
        <v>161280</v>
      </c>
      <c r="AG866" s="405" t="s">
        <v>1069</v>
      </c>
      <c r="AH866" s="405"/>
      <c r="AI866" s="414">
        <v>60</v>
      </c>
      <c r="AJ866" s="405" t="s">
        <v>2053</v>
      </c>
      <c r="AK866" s="425" t="s">
        <v>1136</v>
      </c>
      <c r="AL866" s="405">
        <v>78216</v>
      </c>
      <c r="AM866" s="405" t="s">
        <v>52</v>
      </c>
      <c r="AN866" s="405" t="s">
        <v>1071</v>
      </c>
      <c r="AO866" s="405"/>
      <c r="AP866" s="417"/>
      <c r="AQ866" s="417" t="s">
        <v>37</v>
      </c>
      <c r="AR866" s="417"/>
      <c r="AS866" s="426"/>
      <c r="AT866" s="426"/>
      <c r="AU866" s="357"/>
      <c r="AV866" s="409"/>
    </row>
    <row r="867" spans="1:48" s="402" customFormat="1" ht="15" customHeight="1">
      <c r="A867" s="403"/>
      <c r="B867" s="445">
        <v>44557</v>
      </c>
      <c r="C867" s="403"/>
      <c r="D867" s="443" t="s">
        <v>1914</v>
      </c>
      <c r="E867" s="432" t="s">
        <v>2155</v>
      </c>
      <c r="F867" s="432"/>
      <c r="G867" s="432">
        <v>2022</v>
      </c>
      <c r="H867" s="432" t="s">
        <v>1498</v>
      </c>
      <c r="I867" s="443" t="s">
        <v>1498</v>
      </c>
      <c r="J867" s="433"/>
      <c r="K867" s="434" t="s">
        <v>3220</v>
      </c>
      <c r="L867" s="432" t="s">
        <v>1967</v>
      </c>
      <c r="M867" s="435">
        <v>44545</v>
      </c>
      <c r="N867" s="435">
        <v>44871</v>
      </c>
      <c r="O867" s="435"/>
      <c r="P867" s="349"/>
      <c r="Q867" s="433"/>
      <c r="R867" s="433"/>
      <c r="S867" s="432" t="s">
        <v>1443</v>
      </c>
      <c r="T867" s="432">
        <v>60</v>
      </c>
      <c r="U867" s="350">
        <v>49401140</v>
      </c>
      <c r="V867" s="432" t="s">
        <v>2284</v>
      </c>
      <c r="W867" s="432">
        <v>400</v>
      </c>
      <c r="X867" s="436">
        <v>768</v>
      </c>
      <c r="Y867" s="408">
        <f t="shared" si="117"/>
        <v>307200</v>
      </c>
      <c r="Z867" s="409">
        <v>0.52500000000000002</v>
      </c>
      <c r="AA867" s="423">
        <f t="shared" si="118"/>
        <v>161280</v>
      </c>
      <c r="AB867" s="411"/>
      <c r="AC867" s="412">
        <f t="shared" si="119"/>
        <v>0</v>
      </c>
      <c r="AD867" s="421"/>
      <c r="AE867" s="413"/>
      <c r="AF867" s="424">
        <f t="shared" si="120"/>
        <v>161280</v>
      </c>
      <c r="AG867" s="405" t="s">
        <v>1069</v>
      </c>
      <c r="AH867" s="405"/>
      <c r="AI867" s="414">
        <v>60</v>
      </c>
      <c r="AJ867" s="405" t="s">
        <v>2053</v>
      </c>
      <c r="AK867" s="425" t="s">
        <v>1136</v>
      </c>
      <c r="AL867" s="405">
        <v>78216</v>
      </c>
      <c r="AM867" s="405" t="s">
        <v>52</v>
      </c>
      <c r="AN867" s="405" t="s">
        <v>1071</v>
      </c>
      <c r="AO867" s="405"/>
      <c r="AP867" s="417"/>
      <c r="AQ867" s="417" t="s">
        <v>37</v>
      </c>
      <c r="AR867" s="417"/>
      <c r="AS867" s="426"/>
      <c r="AT867" s="426"/>
      <c r="AU867" s="357"/>
      <c r="AV867" s="409"/>
    </row>
    <row r="868" spans="1:48" s="402" customFormat="1" ht="15" customHeight="1">
      <c r="A868" s="403"/>
      <c r="B868" s="445">
        <v>44557</v>
      </c>
      <c r="C868" s="403"/>
      <c r="D868" s="443" t="s">
        <v>1914</v>
      </c>
      <c r="E868" s="432" t="s">
        <v>2155</v>
      </c>
      <c r="F868" s="432"/>
      <c r="G868" s="432">
        <v>2022</v>
      </c>
      <c r="H868" s="432" t="s">
        <v>1498</v>
      </c>
      <c r="I868" s="443" t="s">
        <v>1498</v>
      </c>
      <c r="J868" s="433"/>
      <c r="K868" s="434" t="s">
        <v>3221</v>
      </c>
      <c r="L868" s="432" t="s">
        <v>1967</v>
      </c>
      <c r="M868" s="435">
        <v>44545</v>
      </c>
      <c r="N868" s="435">
        <v>44876</v>
      </c>
      <c r="O868" s="435"/>
      <c r="P868" s="349"/>
      <c r="Q868" s="433"/>
      <c r="R868" s="433"/>
      <c r="S868" s="432" t="s">
        <v>1443</v>
      </c>
      <c r="T868" s="432">
        <v>60</v>
      </c>
      <c r="U868" s="350">
        <v>49401140</v>
      </c>
      <c r="V868" s="432" t="s">
        <v>2284</v>
      </c>
      <c r="W868" s="432">
        <v>400</v>
      </c>
      <c r="X868" s="436">
        <v>768</v>
      </c>
      <c r="Y868" s="408">
        <f t="shared" si="117"/>
        <v>307200</v>
      </c>
      <c r="Z868" s="409">
        <v>0.52500000000000002</v>
      </c>
      <c r="AA868" s="423">
        <f t="shared" si="118"/>
        <v>161280</v>
      </c>
      <c r="AB868" s="411"/>
      <c r="AC868" s="412">
        <f t="shared" si="119"/>
        <v>0</v>
      </c>
      <c r="AD868" s="421"/>
      <c r="AE868" s="413"/>
      <c r="AF868" s="424">
        <f t="shared" si="120"/>
        <v>161280</v>
      </c>
      <c r="AG868" s="405" t="s">
        <v>1069</v>
      </c>
      <c r="AH868" s="405"/>
      <c r="AI868" s="414">
        <v>60</v>
      </c>
      <c r="AJ868" s="405" t="s">
        <v>2053</v>
      </c>
      <c r="AK868" s="425" t="s">
        <v>1136</v>
      </c>
      <c r="AL868" s="405">
        <v>78216</v>
      </c>
      <c r="AM868" s="405" t="s">
        <v>52</v>
      </c>
      <c r="AN868" s="405" t="s">
        <v>1071</v>
      </c>
      <c r="AO868" s="405"/>
      <c r="AP868" s="417"/>
      <c r="AQ868" s="417" t="s">
        <v>37</v>
      </c>
      <c r="AR868" s="417"/>
      <c r="AS868" s="426"/>
      <c r="AT868" s="426"/>
      <c r="AU868" s="357"/>
      <c r="AV868" s="409"/>
    </row>
    <row r="869" spans="1:48" s="402" customFormat="1" ht="15" customHeight="1">
      <c r="A869" s="403"/>
      <c r="B869" s="445">
        <v>44557</v>
      </c>
      <c r="C869" s="403"/>
      <c r="D869" s="443" t="s">
        <v>1914</v>
      </c>
      <c r="E869" s="432" t="s">
        <v>2155</v>
      </c>
      <c r="F869" s="432"/>
      <c r="G869" s="432">
        <v>2022</v>
      </c>
      <c r="H869" s="432" t="s">
        <v>1498</v>
      </c>
      <c r="I869" s="443" t="s">
        <v>1498</v>
      </c>
      <c r="J869" s="433"/>
      <c r="K869" s="434" t="s">
        <v>3222</v>
      </c>
      <c r="L869" s="432" t="s">
        <v>1967</v>
      </c>
      <c r="M869" s="435">
        <v>44545</v>
      </c>
      <c r="N869" s="435">
        <v>44878</v>
      </c>
      <c r="O869" s="435"/>
      <c r="P869" s="349"/>
      <c r="Q869" s="433"/>
      <c r="R869" s="433"/>
      <c r="S869" s="432" t="s">
        <v>1443</v>
      </c>
      <c r="T869" s="432">
        <v>60</v>
      </c>
      <c r="U869" s="350">
        <v>49401140</v>
      </c>
      <c r="V869" s="432" t="s">
        <v>2284</v>
      </c>
      <c r="W869" s="432">
        <v>400</v>
      </c>
      <c r="X869" s="436">
        <v>768</v>
      </c>
      <c r="Y869" s="408">
        <f t="shared" si="117"/>
        <v>307200</v>
      </c>
      <c r="Z869" s="409">
        <v>0.52500000000000002</v>
      </c>
      <c r="AA869" s="423">
        <f t="shared" si="118"/>
        <v>161280</v>
      </c>
      <c r="AB869" s="411"/>
      <c r="AC869" s="412">
        <f t="shared" si="119"/>
        <v>0</v>
      </c>
      <c r="AD869" s="421"/>
      <c r="AE869" s="413"/>
      <c r="AF869" s="424">
        <f t="shared" si="120"/>
        <v>161280</v>
      </c>
      <c r="AG869" s="405" t="s">
        <v>1069</v>
      </c>
      <c r="AH869" s="405"/>
      <c r="AI869" s="414">
        <v>60</v>
      </c>
      <c r="AJ869" s="405" t="s">
        <v>2053</v>
      </c>
      <c r="AK869" s="425" t="s">
        <v>1136</v>
      </c>
      <c r="AL869" s="405">
        <v>78216</v>
      </c>
      <c r="AM869" s="405" t="s">
        <v>52</v>
      </c>
      <c r="AN869" s="405" t="s">
        <v>1071</v>
      </c>
      <c r="AO869" s="405"/>
      <c r="AP869" s="417"/>
      <c r="AQ869" s="417" t="s">
        <v>37</v>
      </c>
      <c r="AR869" s="417"/>
      <c r="AS869" s="426"/>
      <c r="AT869" s="426"/>
      <c r="AU869" s="357"/>
      <c r="AV869" s="409"/>
    </row>
    <row r="870" spans="1:48" s="402" customFormat="1" ht="15" customHeight="1">
      <c r="A870" s="403"/>
      <c r="B870" s="445">
        <v>44557</v>
      </c>
      <c r="C870" s="403"/>
      <c r="D870" s="443" t="s">
        <v>1914</v>
      </c>
      <c r="E870" s="432" t="s">
        <v>2155</v>
      </c>
      <c r="F870" s="432"/>
      <c r="G870" s="432">
        <v>2022</v>
      </c>
      <c r="H870" s="432" t="s">
        <v>1498</v>
      </c>
      <c r="I870" s="443" t="s">
        <v>1498</v>
      </c>
      <c r="J870" s="433"/>
      <c r="K870" s="434" t="s">
        <v>3223</v>
      </c>
      <c r="L870" s="432" t="s">
        <v>1967</v>
      </c>
      <c r="M870" s="435">
        <v>44545</v>
      </c>
      <c r="N870" s="435">
        <v>44881</v>
      </c>
      <c r="O870" s="435"/>
      <c r="P870" s="349"/>
      <c r="Q870" s="433"/>
      <c r="R870" s="433"/>
      <c r="S870" s="432" t="s">
        <v>1443</v>
      </c>
      <c r="T870" s="432">
        <v>60</v>
      </c>
      <c r="U870" s="350">
        <v>49401140</v>
      </c>
      <c r="V870" s="432" t="s">
        <v>2284</v>
      </c>
      <c r="W870" s="432">
        <v>400</v>
      </c>
      <c r="X870" s="436">
        <v>768</v>
      </c>
      <c r="Y870" s="408">
        <f t="shared" si="117"/>
        <v>307200</v>
      </c>
      <c r="Z870" s="409">
        <v>0.52500000000000002</v>
      </c>
      <c r="AA870" s="423">
        <f t="shared" si="118"/>
        <v>161280</v>
      </c>
      <c r="AB870" s="411"/>
      <c r="AC870" s="412">
        <f t="shared" si="119"/>
        <v>0</v>
      </c>
      <c r="AD870" s="421"/>
      <c r="AE870" s="413"/>
      <c r="AF870" s="424">
        <f t="shared" si="120"/>
        <v>161280</v>
      </c>
      <c r="AG870" s="405" t="s">
        <v>1069</v>
      </c>
      <c r="AH870" s="405"/>
      <c r="AI870" s="414">
        <v>60</v>
      </c>
      <c r="AJ870" s="405" t="s">
        <v>2053</v>
      </c>
      <c r="AK870" s="425" t="s">
        <v>1136</v>
      </c>
      <c r="AL870" s="405">
        <v>78216</v>
      </c>
      <c r="AM870" s="405" t="s">
        <v>52</v>
      </c>
      <c r="AN870" s="405" t="s">
        <v>1071</v>
      </c>
      <c r="AO870" s="405"/>
      <c r="AP870" s="417"/>
      <c r="AQ870" s="417" t="s">
        <v>37</v>
      </c>
      <c r="AR870" s="417"/>
      <c r="AS870" s="426"/>
      <c r="AT870" s="426"/>
      <c r="AU870" s="357"/>
      <c r="AV870" s="409"/>
    </row>
    <row r="871" spans="1:48" s="402" customFormat="1" ht="15" customHeight="1">
      <c r="A871" s="403"/>
      <c r="B871" s="445">
        <v>44557</v>
      </c>
      <c r="C871" s="403"/>
      <c r="D871" s="443" t="s">
        <v>1914</v>
      </c>
      <c r="E871" s="432" t="s">
        <v>2155</v>
      </c>
      <c r="F871" s="432"/>
      <c r="G871" s="432">
        <v>2022</v>
      </c>
      <c r="H871" s="432" t="s">
        <v>1498</v>
      </c>
      <c r="I871" s="443" t="s">
        <v>1498</v>
      </c>
      <c r="J871" s="433"/>
      <c r="K871" s="434" t="s">
        <v>3224</v>
      </c>
      <c r="L871" s="432" t="s">
        <v>1967</v>
      </c>
      <c r="M871" s="435">
        <v>44545</v>
      </c>
      <c r="N871" s="435">
        <v>44885</v>
      </c>
      <c r="O871" s="435"/>
      <c r="P871" s="349"/>
      <c r="Q871" s="433"/>
      <c r="R871" s="433"/>
      <c r="S871" s="432" t="s">
        <v>1443</v>
      </c>
      <c r="T871" s="432">
        <v>60</v>
      </c>
      <c r="U871" s="350">
        <v>49401140</v>
      </c>
      <c r="V871" s="432" t="s">
        <v>2284</v>
      </c>
      <c r="W871" s="432">
        <v>400</v>
      </c>
      <c r="X871" s="436">
        <v>768</v>
      </c>
      <c r="Y871" s="408">
        <f t="shared" si="117"/>
        <v>307200</v>
      </c>
      <c r="Z871" s="409">
        <v>0.52500000000000002</v>
      </c>
      <c r="AA871" s="423">
        <f t="shared" si="118"/>
        <v>161280</v>
      </c>
      <c r="AB871" s="411"/>
      <c r="AC871" s="412">
        <f t="shared" si="119"/>
        <v>0</v>
      </c>
      <c r="AD871" s="421"/>
      <c r="AE871" s="413"/>
      <c r="AF871" s="424">
        <f t="shared" si="120"/>
        <v>161280</v>
      </c>
      <c r="AG871" s="405" t="s">
        <v>1069</v>
      </c>
      <c r="AH871" s="405"/>
      <c r="AI871" s="414">
        <v>60</v>
      </c>
      <c r="AJ871" s="405" t="s">
        <v>2053</v>
      </c>
      <c r="AK871" s="425" t="s">
        <v>1136</v>
      </c>
      <c r="AL871" s="405">
        <v>78216</v>
      </c>
      <c r="AM871" s="405" t="s">
        <v>52</v>
      </c>
      <c r="AN871" s="405" t="s">
        <v>1071</v>
      </c>
      <c r="AO871" s="405"/>
      <c r="AP871" s="417"/>
      <c r="AQ871" s="417" t="s">
        <v>37</v>
      </c>
      <c r="AR871" s="417"/>
      <c r="AS871" s="426"/>
      <c r="AT871" s="426"/>
      <c r="AU871" s="357"/>
      <c r="AV871" s="409"/>
    </row>
    <row r="872" spans="1:48" s="402" customFormat="1" ht="15" customHeight="1">
      <c r="A872" s="403"/>
      <c r="B872" s="445">
        <v>44557</v>
      </c>
      <c r="C872" s="403"/>
      <c r="D872" s="443" t="s">
        <v>1914</v>
      </c>
      <c r="E872" s="432" t="s">
        <v>2155</v>
      </c>
      <c r="F872" s="432"/>
      <c r="G872" s="432">
        <v>2022</v>
      </c>
      <c r="H872" s="432" t="s">
        <v>1498</v>
      </c>
      <c r="I872" s="443" t="s">
        <v>1498</v>
      </c>
      <c r="J872" s="433"/>
      <c r="K872" s="434" t="s">
        <v>3225</v>
      </c>
      <c r="L872" s="432" t="s">
        <v>1967</v>
      </c>
      <c r="M872" s="435">
        <v>44545</v>
      </c>
      <c r="N872" s="435">
        <v>44887</v>
      </c>
      <c r="O872" s="435"/>
      <c r="P872" s="349"/>
      <c r="Q872" s="433"/>
      <c r="R872" s="433"/>
      <c r="S872" s="432" t="s">
        <v>1443</v>
      </c>
      <c r="T872" s="432">
        <v>60</v>
      </c>
      <c r="U872" s="350">
        <v>49401140</v>
      </c>
      <c r="V872" s="432" t="s">
        <v>2284</v>
      </c>
      <c r="W872" s="432">
        <v>400</v>
      </c>
      <c r="X872" s="436">
        <v>768</v>
      </c>
      <c r="Y872" s="408">
        <f t="shared" si="117"/>
        <v>307200</v>
      </c>
      <c r="Z872" s="409">
        <v>0.52500000000000002</v>
      </c>
      <c r="AA872" s="423">
        <f t="shared" si="118"/>
        <v>161280</v>
      </c>
      <c r="AB872" s="411"/>
      <c r="AC872" s="412">
        <f t="shared" si="119"/>
        <v>0</v>
      </c>
      <c r="AD872" s="421"/>
      <c r="AE872" s="413"/>
      <c r="AF872" s="424">
        <f t="shared" si="120"/>
        <v>161280</v>
      </c>
      <c r="AG872" s="405" t="s">
        <v>1069</v>
      </c>
      <c r="AH872" s="405"/>
      <c r="AI872" s="414">
        <v>60</v>
      </c>
      <c r="AJ872" s="405" t="s">
        <v>2053</v>
      </c>
      <c r="AK872" s="425" t="s">
        <v>1136</v>
      </c>
      <c r="AL872" s="405">
        <v>78216</v>
      </c>
      <c r="AM872" s="405" t="s">
        <v>52</v>
      </c>
      <c r="AN872" s="405" t="s">
        <v>1071</v>
      </c>
      <c r="AO872" s="405"/>
      <c r="AP872" s="417"/>
      <c r="AQ872" s="417" t="s">
        <v>37</v>
      </c>
      <c r="AR872" s="417"/>
      <c r="AS872" s="426"/>
      <c r="AT872" s="426"/>
      <c r="AU872" s="357"/>
      <c r="AV872" s="409"/>
    </row>
    <row r="873" spans="1:48" s="402" customFormat="1" ht="15" customHeight="1">
      <c r="A873" s="403"/>
      <c r="B873" s="445">
        <v>44557</v>
      </c>
      <c r="C873" s="403"/>
      <c r="D873" s="443" t="s">
        <v>1914</v>
      </c>
      <c r="E873" s="432" t="s">
        <v>2155</v>
      </c>
      <c r="F873" s="432"/>
      <c r="G873" s="432">
        <v>2022</v>
      </c>
      <c r="H873" s="432" t="s">
        <v>1498</v>
      </c>
      <c r="I873" s="443" t="s">
        <v>1498</v>
      </c>
      <c r="J873" s="433"/>
      <c r="K873" s="434" t="s">
        <v>3226</v>
      </c>
      <c r="L873" s="432" t="s">
        <v>1967</v>
      </c>
      <c r="M873" s="435">
        <v>44545</v>
      </c>
      <c r="N873" s="435">
        <v>44896</v>
      </c>
      <c r="O873" s="435"/>
      <c r="P873" s="349"/>
      <c r="Q873" s="433"/>
      <c r="R873" s="433"/>
      <c r="S873" s="432" t="s">
        <v>1443</v>
      </c>
      <c r="T873" s="432">
        <v>60</v>
      </c>
      <c r="U873" s="350">
        <v>49401140</v>
      </c>
      <c r="V873" s="432" t="s">
        <v>2284</v>
      </c>
      <c r="W873" s="432">
        <v>400</v>
      </c>
      <c r="X873" s="436">
        <v>768</v>
      </c>
      <c r="Y873" s="408">
        <f t="shared" si="117"/>
        <v>307200</v>
      </c>
      <c r="Z873" s="409">
        <v>0.52500000000000002</v>
      </c>
      <c r="AA873" s="423">
        <f t="shared" si="118"/>
        <v>161280</v>
      </c>
      <c r="AB873" s="411"/>
      <c r="AC873" s="412">
        <f t="shared" si="119"/>
        <v>0</v>
      </c>
      <c r="AD873" s="421"/>
      <c r="AE873" s="413"/>
      <c r="AF873" s="424">
        <f t="shared" si="120"/>
        <v>161280</v>
      </c>
      <c r="AG873" s="405" t="s">
        <v>1069</v>
      </c>
      <c r="AH873" s="405"/>
      <c r="AI873" s="414">
        <v>60</v>
      </c>
      <c r="AJ873" s="405" t="s">
        <v>2053</v>
      </c>
      <c r="AK873" s="425" t="s">
        <v>1136</v>
      </c>
      <c r="AL873" s="405">
        <v>78216</v>
      </c>
      <c r="AM873" s="405" t="s">
        <v>52</v>
      </c>
      <c r="AN873" s="405" t="s">
        <v>1071</v>
      </c>
      <c r="AO873" s="405"/>
      <c r="AP873" s="417"/>
      <c r="AQ873" s="417" t="s">
        <v>37</v>
      </c>
      <c r="AR873" s="417"/>
      <c r="AS873" s="426"/>
      <c r="AT873" s="426"/>
      <c r="AU873" s="357"/>
      <c r="AV873" s="409"/>
    </row>
    <row r="874" spans="1:48" s="402" customFormat="1" ht="15" customHeight="1">
      <c r="A874" s="403"/>
      <c r="B874" s="445">
        <v>44557</v>
      </c>
      <c r="C874" s="403"/>
      <c r="D874" s="443" t="s">
        <v>1914</v>
      </c>
      <c r="E874" s="432" t="s">
        <v>2155</v>
      </c>
      <c r="F874" s="432"/>
      <c r="G874" s="432">
        <v>2022</v>
      </c>
      <c r="H874" s="432" t="s">
        <v>1498</v>
      </c>
      <c r="I874" s="443" t="s">
        <v>1498</v>
      </c>
      <c r="J874" s="433"/>
      <c r="K874" s="434" t="s">
        <v>3227</v>
      </c>
      <c r="L874" s="432" t="s">
        <v>1967</v>
      </c>
      <c r="M874" s="435">
        <v>44545</v>
      </c>
      <c r="N874" s="435">
        <v>44898</v>
      </c>
      <c r="O874" s="435"/>
      <c r="P874" s="349"/>
      <c r="Q874" s="433"/>
      <c r="R874" s="433"/>
      <c r="S874" s="432" t="s">
        <v>1443</v>
      </c>
      <c r="T874" s="432">
        <v>60</v>
      </c>
      <c r="U874" s="350">
        <v>49401140</v>
      </c>
      <c r="V874" s="432" t="s">
        <v>2284</v>
      </c>
      <c r="W874" s="432">
        <v>400</v>
      </c>
      <c r="X874" s="436">
        <v>768</v>
      </c>
      <c r="Y874" s="408">
        <f t="shared" si="117"/>
        <v>307200</v>
      </c>
      <c r="Z874" s="409">
        <v>0.52500000000000002</v>
      </c>
      <c r="AA874" s="423">
        <f t="shared" si="118"/>
        <v>161280</v>
      </c>
      <c r="AB874" s="411"/>
      <c r="AC874" s="412">
        <f t="shared" si="119"/>
        <v>0</v>
      </c>
      <c r="AD874" s="421"/>
      <c r="AE874" s="413"/>
      <c r="AF874" s="424">
        <f t="shared" si="120"/>
        <v>161280</v>
      </c>
      <c r="AG874" s="405" t="s">
        <v>1069</v>
      </c>
      <c r="AH874" s="405"/>
      <c r="AI874" s="414">
        <v>60</v>
      </c>
      <c r="AJ874" s="405" t="s">
        <v>2053</v>
      </c>
      <c r="AK874" s="425" t="s">
        <v>1136</v>
      </c>
      <c r="AL874" s="405">
        <v>78216</v>
      </c>
      <c r="AM874" s="405" t="s">
        <v>52</v>
      </c>
      <c r="AN874" s="405" t="s">
        <v>1071</v>
      </c>
      <c r="AO874" s="405"/>
      <c r="AP874" s="417"/>
      <c r="AQ874" s="417" t="s">
        <v>37</v>
      </c>
      <c r="AR874" s="417"/>
      <c r="AS874" s="426"/>
      <c r="AT874" s="426"/>
      <c r="AU874" s="357"/>
      <c r="AV874" s="409"/>
    </row>
    <row r="875" spans="1:48" s="402" customFormat="1" ht="15" customHeight="1">
      <c r="A875" s="403"/>
      <c r="B875" s="445">
        <v>44557</v>
      </c>
      <c r="C875" s="403"/>
      <c r="D875" s="443" t="s">
        <v>1914</v>
      </c>
      <c r="E875" s="432" t="s">
        <v>2155</v>
      </c>
      <c r="F875" s="432"/>
      <c r="G875" s="432">
        <v>2022</v>
      </c>
      <c r="H875" s="432" t="s">
        <v>1498</v>
      </c>
      <c r="I875" s="443" t="s">
        <v>1498</v>
      </c>
      <c r="J875" s="433"/>
      <c r="K875" s="434" t="s">
        <v>3228</v>
      </c>
      <c r="L875" s="432" t="s">
        <v>1967</v>
      </c>
      <c r="M875" s="435">
        <v>44545</v>
      </c>
      <c r="N875" s="435">
        <v>44901</v>
      </c>
      <c r="O875" s="435"/>
      <c r="P875" s="349"/>
      <c r="Q875" s="433"/>
      <c r="R875" s="433"/>
      <c r="S875" s="432" t="s">
        <v>1443</v>
      </c>
      <c r="T875" s="432">
        <v>60</v>
      </c>
      <c r="U875" s="350">
        <v>49401140</v>
      </c>
      <c r="V875" s="432" t="s">
        <v>2284</v>
      </c>
      <c r="W875" s="432">
        <v>400</v>
      </c>
      <c r="X875" s="436">
        <v>768</v>
      </c>
      <c r="Y875" s="408">
        <f t="shared" si="117"/>
        <v>307200</v>
      </c>
      <c r="Z875" s="409">
        <v>0.52500000000000002</v>
      </c>
      <c r="AA875" s="423">
        <f t="shared" si="118"/>
        <v>161280</v>
      </c>
      <c r="AB875" s="411"/>
      <c r="AC875" s="412">
        <f t="shared" si="119"/>
        <v>0</v>
      </c>
      <c r="AD875" s="421"/>
      <c r="AE875" s="413"/>
      <c r="AF875" s="424">
        <f t="shared" si="120"/>
        <v>161280</v>
      </c>
      <c r="AG875" s="405" t="s">
        <v>1069</v>
      </c>
      <c r="AH875" s="405"/>
      <c r="AI875" s="414">
        <v>60</v>
      </c>
      <c r="AJ875" s="405" t="s">
        <v>2053</v>
      </c>
      <c r="AK875" s="425" t="s">
        <v>1136</v>
      </c>
      <c r="AL875" s="405">
        <v>78216</v>
      </c>
      <c r="AM875" s="405" t="s">
        <v>52</v>
      </c>
      <c r="AN875" s="405" t="s">
        <v>1071</v>
      </c>
      <c r="AO875" s="405"/>
      <c r="AP875" s="417"/>
      <c r="AQ875" s="417" t="s">
        <v>37</v>
      </c>
      <c r="AR875" s="417"/>
      <c r="AS875" s="426"/>
      <c r="AT875" s="426"/>
      <c r="AU875" s="357"/>
      <c r="AV875" s="409"/>
    </row>
    <row r="876" spans="1:48" s="402" customFormat="1" ht="15" customHeight="1">
      <c r="A876" s="403"/>
      <c r="B876" s="445">
        <v>44522</v>
      </c>
      <c r="C876" s="403"/>
      <c r="D876" s="443" t="s">
        <v>1914</v>
      </c>
      <c r="E876" s="432" t="s">
        <v>2155</v>
      </c>
      <c r="F876" s="432"/>
      <c r="G876" s="432">
        <v>2022</v>
      </c>
      <c r="H876" s="432" t="s">
        <v>1498</v>
      </c>
      <c r="I876" s="443" t="s">
        <v>1498</v>
      </c>
      <c r="J876" s="433"/>
      <c r="K876" s="434" t="s">
        <v>3229</v>
      </c>
      <c r="L876" s="432" t="s">
        <v>1967</v>
      </c>
      <c r="M876" s="435">
        <v>44518</v>
      </c>
      <c r="N876" s="435">
        <v>44577</v>
      </c>
      <c r="O876" s="435"/>
      <c r="P876" s="349"/>
      <c r="Q876" s="433"/>
      <c r="R876" s="433"/>
      <c r="S876" s="432" t="s">
        <v>1443</v>
      </c>
      <c r="T876" s="432">
        <v>60</v>
      </c>
      <c r="U876" s="350">
        <v>49401140</v>
      </c>
      <c r="V876" s="432" t="s">
        <v>973</v>
      </c>
      <c r="W876" s="432">
        <v>400</v>
      </c>
      <c r="X876" s="436">
        <v>768</v>
      </c>
      <c r="Y876" s="408">
        <f t="shared" si="117"/>
        <v>307200</v>
      </c>
      <c r="Z876" s="409">
        <f>210/400</f>
        <v>0.52500000000000002</v>
      </c>
      <c r="AA876" s="423">
        <f t="shared" si="118"/>
        <v>161280</v>
      </c>
      <c r="AB876" s="411"/>
      <c r="AC876" s="412">
        <f t="shared" si="119"/>
        <v>0</v>
      </c>
      <c r="AD876" s="421"/>
      <c r="AE876" s="413"/>
      <c r="AF876" s="424">
        <f t="shared" si="120"/>
        <v>161280</v>
      </c>
      <c r="AG876" s="405" t="s">
        <v>1069</v>
      </c>
      <c r="AH876" s="405"/>
      <c r="AI876" s="414" t="s">
        <v>1962</v>
      </c>
      <c r="AJ876" s="405" t="s">
        <v>1944</v>
      </c>
      <c r="AK876" s="425" t="s">
        <v>1136</v>
      </c>
      <c r="AL876" s="405">
        <v>75063</v>
      </c>
      <c r="AM876" s="405" t="s">
        <v>52</v>
      </c>
      <c r="AN876" s="405"/>
      <c r="AO876" s="405"/>
      <c r="AP876" s="417"/>
      <c r="AQ876" s="417"/>
      <c r="AR876" s="417"/>
      <c r="AS876" s="426"/>
      <c r="AT876" s="426"/>
      <c r="AU876" s="357"/>
      <c r="AV876" s="409"/>
    </row>
    <row r="877" spans="1:48" s="402" customFormat="1" ht="15" customHeight="1">
      <c r="A877" s="403"/>
      <c r="B877" s="445">
        <v>44522</v>
      </c>
      <c r="C877" s="403"/>
      <c r="D877" s="443" t="s">
        <v>1914</v>
      </c>
      <c r="E877" s="432" t="s">
        <v>2155</v>
      </c>
      <c r="F877" s="432"/>
      <c r="G877" s="432">
        <v>2022</v>
      </c>
      <c r="H877" s="432" t="s">
        <v>1498</v>
      </c>
      <c r="I877" s="443" t="s">
        <v>1498</v>
      </c>
      <c r="J877" s="433"/>
      <c r="K877" s="434" t="s">
        <v>3230</v>
      </c>
      <c r="L877" s="432" t="s">
        <v>1967</v>
      </c>
      <c r="M877" s="435">
        <v>44518</v>
      </c>
      <c r="N877" s="435">
        <v>44608</v>
      </c>
      <c r="O877" s="435"/>
      <c r="P877" s="349"/>
      <c r="Q877" s="433"/>
      <c r="R877" s="433"/>
      <c r="S877" s="432" t="s">
        <v>1443</v>
      </c>
      <c r="T877" s="432">
        <v>60</v>
      </c>
      <c r="U877" s="350">
        <v>49401140</v>
      </c>
      <c r="V877" s="432" t="s">
        <v>973</v>
      </c>
      <c r="W877" s="432">
        <v>400</v>
      </c>
      <c r="X877" s="436">
        <v>768</v>
      </c>
      <c r="Y877" s="408">
        <f t="shared" si="117"/>
        <v>307200</v>
      </c>
      <c r="Z877" s="409">
        <f>210/400</f>
        <v>0.52500000000000002</v>
      </c>
      <c r="AA877" s="423">
        <f t="shared" si="118"/>
        <v>161280</v>
      </c>
      <c r="AB877" s="411"/>
      <c r="AC877" s="412">
        <f t="shared" si="119"/>
        <v>0</v>
      </c>
      <c r="AD877" s="421"/>
      <c r="AE877" s="413"/>
      <c r="AF877" s="424">
        <f t="shared" si="120"/>
        <v>161280</v>
      </c>
      <c r="AG877" s="405" t="s">
        <v>1069</v>
      </c>
      <c r="AH877" s="405"/>
      <c r="AI877" s="414" t="s">
        <v>1962</v>
      </c>
      <c r="AJ877" s="405" t="s">
        <v>1944</v>
      </c>
      <c r="AK877" s="425" t="s">
        <v>1136</v>
      </c>
      <c r="AL877" s="405">
        <v>75063</v>
      </c>
      <c r="AM877" s="405" t="s">
        <v>52</v>
      </c>
      <c r="AN877" s="405"/>
      <c r="AO877" s="405"/>
      <c r="AP877" s="417"/>
      <c r="AQ877" s="417"/>
      <c r="AR877" s="417"/>
      <c r="AS877" s="426"/>
      <c r="AT877" s="426"/>
      <c r="AU877" s="357"/>
      <c r="AV877" s="409"/>
    </row>
    <row r="878" spans="1:48" s="402" customFormat="1" ht="15" customHeight="1">
      <c r="A878" s="403"/>
      <c r="B878" s="445">
        <v>44522</v>
      </c>
      <c r="C878" s="403"/>
      <c r="D878" s="443" t="s">
        <v>1914</v>
      </c>
      <c r="E878" s="432" t="s">
        <v>2155</v>
      </c>
      <c r="F878" s="432"/>
      <c r="G878" s="432">
        <v>2022</v>
      </c>
      <c r="H878" s="432" t="s">
        <v>1498</v>
      </c>
      <c r="I878" s="443" t="s">
        <v>1498</v>
      </c>
      <c r="J878" s="433"/>
      <c r="K878" s="434" t="s">
        <v>3231</v>
      </c>
      <c r="L878" s="432" t="s">
        <v>1967</v>
      </c>
      <c r="M878" s="435">
        <v>44518</v>
      </c>
      <c r="N878" s="435">
        <v>44633</v>
      </c>
      <c r="O878" s="435"/>
      <c r="P878" s="349"/>
      <c r="Q878" s="433"/>
      <c r="R878" s="433"/>
      <c r="S878" s="432" t="s">
        <v>1443</v>
      </c>
      <c r="T878" s="432">
        <v>60</v>
      </c>
      <c r="U878" s="350">
        <v>49401140</v>
      </c>
      <c r="V878" s="432" t="s">
        <v>973</v>
      </c>
      <c r="W878" s="432">
        <v>400</v>
      </c>
      <c r="X878" s="436">
        <v>768</v>
      </c>
      <c r="Y878" s="408">
        <f t="shared" si="117"/>
        <v>307200</v>
      </c>
      <c r="Z878" s="409">
        <f>210/400</f>
        <v>0.52500000000000002</v>
      </c>
      <c r="AA878" s="423">
        <f t="shared" si="118"/>
        <v>161280</v>
      </c>
      <c r="AB878" s="411"/>
      <c r="AC878" s="412">
        <f t="shared" si="119"/>
        <v>0</v>
      </c>
      <c r="AD878" s="421"/>
      <c r="AE878" s="413"/>
      <c r="AF878" s="424">
        <f t="shared" si="120"/>
        <v>161280</v>
      </c>
      <c r="AG878" s="405" t="s">
        <v>1069</v>
      </c>
      <c r="AH878" s="405"/>
      <c r="AI878" s="414" t="s">
        <v>1962</v>
      </c>
      <c r="AJ878" s="405" t="s">
        <v>1944</v>
      </c>
      <c r="AK878" s="425" t="s">
        <v>1136</v>
      </c>
      <c r="AL878" s="405">
        <v>76063</v>
      </c>
      <c r="AM878" s="405" t="s">
        <v>52</v>
      </c>
      <c r="AN878" s="405"/>
      <c r="AO878" s="405"/>
      <c r="AP878" s="417"/>
      <c r="AQ878" s="417"/>
      <c r="AR878" s="417"/>
      <c r="AS878" s="426"/>
      <c r="AT878" s="426"/>
      <c r="AU878" s="357"/>
      <c r="AV878" s="409"/>
    </row>
    <row r="879" spans="1:48" s="402" customFormat="1" ht="15" customHeight="1">
      <c r="A879" s="403"/>
      <c r="B879" s="445">
        <v>44522</v>
      </c>
      <c r="C879" s="403"/>
      <c r="D879" s="443" t="s">
        <v>1914</v>
      </c>
      <c r="E879" s="432" t="s">
        <v>2155</v>
      </c>
      <c r="F879" s="432"/>
      <c r="G879" s="432">
        <v>2022</v>
      </c>
      <c r="H879" s="432" t="s">
        <v>1498</v>
      </c>
      <c r="I879" s="443" t="s">
        <v>1498</v>
      </c>
      <c r="J879" s="433"/>
      <c r="K879" s="434" t="s">
        <v>3232</v>
      </c>
      <c r="L879" s="432" t="s">
        <v>1967</v>
      </c>
      <c r="M879" s="435">
        <v>44518</v>
      </c>
      <c r="N879" s="435">
        <v>44639</v>
      </c>
      <c r="O879" s="435"/>
      <c r="P879" s="349"/>
      <c r="Q879" s="433"/>
      <c r="R879" s="433"/>
      <c r="S879" s="432" t="s">
        <v>1443</v>
      </c>
      <c r="T879" s="432">
        <v>60</v>
      </c>
      <c r="U879" s="350">
        <v>49401140</v>
      </c>
      <c r="V879" s="432" t="s">
        <v>973</v>
      </c>
      <c r="W879" s="432">
        <v>400</v>
      </c>
      <c r="X879" s="436">
        <v>768</v>
      </c>
      <c r="Y879" s="408">
        <f t="shared" si="117"/>
        <v>307200</v>
      </c>
      <c r="Z879" s="409">
        <f>210/400</f>
        <v>0.52500000000000002</v>
      </c>
      <c r="AA879" s="423">
        <f t="shared" si="118"/>
        <v>161280</v>
      </c>
      <c r="AB879" s="411"/>
      <c r="AC879" s="412">
        <f t="shared" si="119"/>
        <v>0</v>
      </c>
      <c r="AD879" s="421"/>
      <c r="AE879" s="413"/>
      <c r="AF879" s="424">
        <f t="shared" si="120"/>
        <v>161280</v>
      </c>
      <c r="AG879" s="405" t="s">
        <v>1069</v>
      </c>
      <c r="AH879" s="405"/>
      <c r="AI879" s="414" t="s">
        <v>1962</v>
      </c>
      <c r="AJ879" s="405" t="s">
        <v>1944</v>
      </c>
      <c r="AK879" s="425" t="s">
        <v>1136</v>
      </c>
      <c r="AL879" s="405">
        <v>75063</v>
      </c>
      <c r="AM879" s="405" t="s">
        <v>52</v>
      </c>
      <c r="AN879" s="405"/>
      <c r="AO879" s="405"/>
      <c r="AP879" s="417"/>
      <c r="AQ879" s="417"/>
      <c r="AR879" s="417"/>
      <c r="AS879" s="426"/>
      <c r="AT879" s="426"/>
      <c r="AU879" s="357"/>
      <c r="AV879" s="409"/>
    </row>
    <row r="880" spans="1:48" s="402" customFormat="1" ht="15" customHeight="1">
      <c r="A880" s="403"/>
      <c r="B880" s="445">
        <v>44522</v>
      </c>
      <c r="C880" s="403"/>
      <c r="D880" s="443" t="s">
        <v>1914</v>
      </c>
      <c r="E880" s="432" t="s">
        <v>2155</v>
      </c>
      <c r="F880" s="432"/>
      <c r="G880" s="432">
        <v>2022</v>
      </c>
      <c r="H880" s="432" t="s">
        <v>1498</v>
      </c>
      <c r="I880" s="443" t="s">
        <v>1498</v>
      </c>
      <c r="J880" s="433"/>
      <c r="K880" s="434" t="s">
        <v>3233</v>
      </c>
      <c r="L880" s="432" t="s">
        <v>1967</v>
      </c>
      <c r="M880" s="435">
        <v>44518</v>
      </c>
      <c r="N880" s="435">
        <v>44731</v>
      </c>
      <c r="O880" s="435"/>
      <c r="P880" s="349"/>
      <c r="Q880" s="433"/>
      <c r="R880" s="433"/>
      <c r="S880" s="432" t="s">
        <v>1443</v>
      </c>
      <c r="T880" s="432">
        <v>60</v>
      </c>
      <c r="U880" s="350">
        <v>49401140</v>
      </c>
      <c r="V880" s="432" t="s">
        <v>973</v>
      </c>
      <c r="W880" s="432">
        <v>400</v>
      </c>
      <c r="X880" s="436">
        <v>768</v>
      </c>
      <c r="Y880" s="408">
        <f t="shared" si="117"/>
        <v>307200</v>
      </c>
      <c r="Z880" s="409">
        <f>210/400</f>
        <v>0.52500000000000002</v>
      </c>
      <c r="AA880" s="423">
        <f t="shared" si="118"/>
        <v>161280</v>
      </c>
      <c r="AB880" s="411"/>
      <c r="AC880" s="412">
        <f t="shared" si="119"/>
        <v>0</v>
      </c>
      <c r="AD880" s="421"/>
      <c r="AE880" s="413"/>
      <c r="AF880" s="424">
        <f t="shared" si="120"/>
        <v>161280</v>
      </c>
      <c r="AG880" s="405" t="s">
        <v>1069</v>
      </c>
      <c r="AH880" s="405"/>
      <c r="AI880" s="414" t="s">
        <v>1962</v>
      </c>
      <c r="AJ880" s="405" t="s">
        <v>1944</v>
      </c>
      <c r="AK880" s="425" t="s">
        <v>1136</v>
      </c>
      <c r="AL880" s="405">
        <v>75063</v>
      </c>
      <c r="AM880" s="405" t="s">
        <v>52</v>
      </c>
      <c r="AN880" s="405"/>
      <c r="AO880" s="405"/>
      <c r="AP880" s="417"/>
      <c r="AQ880" s="417"/>
      <c r="AR880" s="417"/>
      <c r="AS880" s="426"/>
      <c r="AT880" s="426"/>
      <c r="AU880" s="357"/>
      <c r="AV880" s="409"/>
    </row>
    <row r="881" spans="1:48" s="402" customFormat="1" ht="15" customHeight="1">
      <c r="A881" s="403"/>
      <c r="B881" s="445">
        <v>44557</v>
      </c>
      <c r="C881" s="403"/>
      <c r="D881" s="443" t="s">
        <v>1914</v>
      </c>
      <c r="E881" s="432" t="s">
        <v>2155</v>
      </c>
      <c r="F881" s="432"/>
      <c r="G881" s="432">
        <v>2022</v>
      </c>
      <c r="H881" s="432" t="s">
        <v>1498</v>
      </c>
      <c r="I881" s="443" t="s">
        <v>1498</v>
      </c>
      <c r="J881" s="433"/>
      <c r="K881" s="434" t="s">
        <v>3234</v>
      </c>
      <c r="L881" s="432" t="s">
        <v>1967</v>
      </c>
      <c r="M881" s="435">
        <v>44545</v>
      </c>
      <c r="N881" s="435">
        <v>44744</v>
      </c>
      <c r="O881" s="435"/>
      <c r="P881" s="349"/>
      <c r="Q881" s="433"/>
      <c r="R881" s="433"/>
      <c r="S881" s="432" t="s">
        <v>1443</v>
      </c>
      <c r="T881" s="432">
        <v>60</v>
      </c>
      <c r="U881" s="350">
        <v>49401140</v>
      </c>
      <c r="V881" s="432" t="s">
        <v>973</v>
      </c>
      <c r="W881" s="432">
        <v>400</v>
      </c>
      <c r="X881" s="436">
        <v>768</v>
      </c>
      <c r="Y881" s="408">
        <f t="shared" si="117"/>
        <v>307200</v>
      </c>
      <c r="Z881" s="409">
        <v>0.52500000000000002</v>
      </c>
      <c r="AA881" s="423">
        <f t="shared" si="118"/>
        <v>161280</v>
      </c>
      <c r="AB881" s="411"/>
      <c r="AC881" s="412">
        <f t="shared" si="119"/>
        <v>0</v>
      </c>
      <c r="AD881" s="421"/>
      <c r="AE881" s="413"/>
      <c r="AF881" s="424">
        <f t="shared" si="120"/>
        <v>161280</v>
      </c>
      <c r="AG881" s="405" t="s">
        <v>1069</v>
      </c>
      <c r="AH881" s="405"/>
      <c r="AI881" s="414">
        <v>60</v>
      </c>
      <c r="AJ881" s="405" t="s">
        <v>1944</v>
      </c>
      <c r="AK881" s="425" t="s">
        <v>1136</v>
      </c>
      <c r="AL881" s="405">
        <v>75063</v>
      </c>
      <c r="AM881" s="405" t="s">
        <v>52</v>
      </c>
      <c r="AN881" s="405" t="s">
        <v>1071</v>
      </c>
      <c r="AO881" s="405"/>
      <c r="AP881" s="417"/>
      <c r="AQ881" s="417" t="s">
        <v>37</v>
      </c>
      <c r="AR881" s="417"/>
      <c r="AS881" s="426"/>
      <c r="AT881" s="426"/>
      <c r="AU881" s="357"/>
      <c r="AV881" s="409"/>
    </row>
    <row r="882" spans="1:48" s="402" customFormat="1" ht="15" customHeight="1">
      <c r="A882" s="403"/>
      <c r="B882" s="445">
        <v>44557</v>
      </c>
      <c r="C882" s="403"/>
      <c r="D882" s="443" t="s">
        <v>1914</v>
      </c>
      <c r="E882" s="432" t="s">
        <v>2155</v>
      </c>
      <c r="F882" s="432"/>
      <c r="G882" s="432">
        <v>2022</v>
      </c>
      <c r="H882" s="432" t="s">
        <v>1498</v>
      </c>
      <c r="I882" s="443" t="s">
        <v>1498</v>
      </c>
      <c r="J882" s="433"/>
      <c r="K882" s="434" t="s">
        <v>3235</v>
      </c>
      <c r="L882" s="432" t="s">
        <v>1967</v>
      </c>
      <c r="M882" s="435">
        <v>44545</v>
      </c>
      <c r="N882" s="435">
        <v>44747</v>
      </c>
      <c r="O882" s="435"/>
      <c r="P882" s="349"/>
      <c r="Q882" s="433"/>
      <c r="R882" s="433"/>
      <c r="S882" s="432" t="s">
        <v>1443</v>
      </c>
      <c r="T882" s="432">
        <v>60</v>
      </c>
      <c r="U882" s="350">
        <v>49401140</v>
      </c>
      <c r="V882" s="432" t="s">
        <v>973</v>
      </c>
      <c r="W882" s="432">
        <v>400</v>
      </c>
      <c r="X882" s="436">
        <v>768</v>
      </c>
      <c r="Y882" s="408">
        <f t="shared" si="117"/>
        <v>307200</v>
      </c>
      <c r="Z882" s="409">
        <v>0.52500000000000002</v>
      </c>
      <c r="AA882" s="423">
        <f t="shared" si="118"/>
        <v>161280</v>
      </c>
      <c r="AB882" s="411"/>
      <c r="AC882" s="412">
        <f t="shared" si="119"/>
        <v>0</v>
      </c>
      <c r="AD882" s="421"/>
      <c r="AE882" s="413"/>
      <c r="AF882" s="424">
        <f t="shared" si="120"/>
        <v>161280</v>
      </c>
      <c r="AG882" s="405" t="s">
        <v>1069</v>
      </c>
      <c r="AH882" s="405"/>
      <c r="AI882" s="414">
        <v>60</v>
      </c>
      <c r="AJ882" s="405" t="s">
        <v>1944</v>
      </c>
      <c r="AK882" s="425" t="s">
        <v>1136</v>
      </c>
      <c r="AL882" s="405">
        <v>75063</v>
      </c>
      <c r="AM882" s="405" t="s">
        <v>52</v>
      </c>
      <c r="AN882" s="405" t="s">
        <v>1071</v>
      </c>
      <c r="AO882" s="405"/>
      <c r="AP882" s="417"/>
      <c r="AQ882" s="417" t="s">
        <v>37</v>
      </c>
      <c r="AR882" s="417"/>
      <c r="AS882" s="426"/>
      <c r="AT882" s="426"/>
      <c r="AU882" s="357"/>
      <c r="AV882" s="409"/>
    </row>
    <row r="883" spans="1:48" s="402" customFormat="1" ht="15" customHeight="1">
      <c r="A883" s="403"/>
      <c r="B883" s="445">
        <v>44557</v>
      </c>
      <c r="C883" s="403"/>
      <c r="D883" s="443" t="s">
        <v>1914</v>
      </c>
      <c r="E883" s="432" t="s">
        <v>2155</v>
      </c>
      <c r="F883" s="432"/>
      <c r="G883" s="432">
        <v>2022</v>
      </c>
      <c r="H883" s="432" t="s">
        <v>1498</v>
      </c>
      <c r="I883" s="443" t="s">
        <v>1498</v>
      </c>
      <c r="J883" s="433"/>
      <c r="K883" s="434" t="s">
        <v>3236</v>
      </c>
      <c r="L883" s="432" t="s">
        <v>1967</v>
      </c>
      <c r="M883" s="435">
        <v>44545</v>
      </c>
      <c r="N883" s="435">
        <v>44751</v>
      </c>
      <c r="O883" s="435"/>
      <c r="P883" s="349"/>
      <c r="Q883" s="433"/>
      <c r="R883" s="433"/>
      <c r="S883" s="432" t="s">
        <v>1443</v>
      </c>
      <c r="T883" s="432">
        <v>60</v>
      </c>
      <c r="U883" s="350">
        <v>49401140</v>
      </c>
      <c r="V883" s="432" t="s">
        <v>973</v>
      </c>
      <c r="W883" s="432">
        <v>400</v>
      </c>
      <c r="X883" s="436">
        <v>768</v>
      </c>
      <c r="Y883" s="408">
        <f t="shared" si="117"/>
        <v>307200</v>
      </c>
      <c r="Z883" s="409">
        <v>0.52500000000000002</v>
      </c>
      <c r="AA883" s="423">
        <f t="shared" si="118"/>
        <v>161280</v>
      </c>
      <c r="AB883" s="411"/>
      <c r="AC883" s="412">
        <f t="shared" si="119"/>
        <v>0</v>
      </c>
      <c r="AD883" s="421"/>
      <c r="AE883" s="413"/>
      <c r="AF883" s="424">
        <f t="shared" si="120"/>
        <v>161280</v>
      </c>
      <c r="AG883" s="405" t="s">
        <v>1069</v>
      </c>
      <c r="AH883" s="405"/>
      <c r="AI883" s="414">
        <v>60</v>
      </c>
      <c r="AJ883" s="405" t="s">
        <v>1944</v>
      </c>
      <c r="AK883" s="425" t="s">
        <v>1136</v>
      </c>
      <c r="AL883" s="405">
        <v>75063</v>
      </c>
      <c r="AM883" s="405" t="s">
        <v>52</v>
      </c>
      <c r="AN883" s="405" t="s">
        <v>1071</v>
      </c>
      <c r="AO883" s="405"/>
      <c r="AP883" s="417"/>
      <c r="AQ883" s="417" t="s">
        <v>37</v>
      </c>
      <c r="AR883" s="417"/>
      <c r="AS883" s="426"/>
      <c r="AT883" s="426"/>
      <c r="AU883" s="357"/>
      <c r="AV883" s="409"/>
    </row>
    <row r="884" spans="1:48" s="402" customFormat="1" ht="15" customHeight="1">
      <c r="A884" s="403"/>
      <c r="B884" s="445">
        <v>44557</v>
      </c>
      <c r="C884" s="403"/>
      <c r="D884" s="443" t="s">
        <v>1914</v>
      </c>
      <c r="E884" s="432" t="s">
        <v>2155</v>
      </c>
      <c r="F884" s="432"/>
      <c r="G884" s="432">
        <v>2022</v>
      </c>
      <c r="H884" s="432" t="s">
        <v>1498</v>
      </c>
      <c r="I884" s="443" t="s">
        <v>1498</v>
      </c>
      <c r="J884" s="433"/>
      <c r="K884" s="434" t="s">
        <v>3237</v>
      </c>
      <c r="L884" s="432" t="s">
        <v>1967</v>
      </c>
      <c r="M884" s="435">
        <v>44545</v>
      </c>
      <c r="N884" s="435">
        <v>44754</v>
      </c>
      <c r="O884" s="435"/>
      <c r="P884" s="349"/>
      <c r="Q884" s="433"/>
      <c r="R884" s="433"/>
      <c r="S884" s="432" t="s">
        <v>1443</v>
      </c>
      <c r="T884" s="432">
        <v>60</v>
      </c>
      <c r="U884" s="350">
        <v>49401140</v>
      </c>
      <c r="V884" s="432" t="s">
        <v>973</v>
      </c>
      <c r="W884" s="432">
        <v>400</v>
      </c>
      <c r="X884" s="436">
        <v>768</v>
      </c>
      <c r="Y884" s="408">
        <f t="shared" si="117"/>
        <v>307200</v>
      </c>
      <c r="Z884" s="409">
        <v>0.52500000000000002</v>
      </c>
      <c r="AA884" s="423">
        <f t="shared" si="118"/>
        <v>161280</v>
      </c>
      <c r="AB884" s="411"/>
      <c r="AC884" s="412">
        <f t="shared" si="119"/>
        <v>0</v>
      </c>
      <c r="AD884" s="421"/>
      <c r="AE884" s="413"/>
      <c r="AF884" s="424">
        <f t="shared" si="120"/>
        <v>161280</v>
      </c>
      <c r="AG884" s="405" t="s">
        <v>1069</v>
      </c>
      <c r="AH884" s="405"/>
      <c r="AI884" s="414">
        <v>60</v>
      </c>
      <c r="AJ884" s="405" t="s">
        <v>1944</v>
      </c>
      <c r="AK884" s="425" t="s">
        <v>1136</v>
      </c>
      <c r="AL884" s="405">
        <v>75063</v>
      </c>
      <c r="AM884" s="405" t="s">
        <v>52</v>
      </c>
      <c r="AN884" s="405" t="s">
        <v>1071</v>
      </c>
      <c r="AO884" s="405"/>
      <c r="AP884" s="417"/>
      <c r="AQ884" s="417" t="s">
        <v>37</v>
      </c>
      <c r="AR884" s="417"/>
      <c r="AS884" s="426"/>
      <c r="AT884" s="426"/>
      <c r="AU884" s="357"/>
      <c r="AV884" s="409"/>
    </row>
    <row r="885" spans="1:48" s="402" customFormat="1" ht="15" customHeight="1">
      <c r="A885" s="403"/>
      <c r="B885" s="445">
        <v>44557</v>
      </c>
      <c r="C885" s="403"/>
      <c r="D885" s="443" t="s">
        <v>1914</v>
      </c>
      <c r="E885" s="432" t="s">
        <v>2155</v>
      </c>
      <c r="F885" s="432"/>
      <c r="G885" s="432">
        <v>2022</v>
      </c>
      <c r="H885" s="432" t="s">
        <v>1498</v>
      </c>
      <c r="I885" s="443" t="s">
        <v>1498</v>
      </c>
      <c r="J885" s="433"/>
      <c r="K885" s="434" t="s">
        <v>3238</v>
      </c>
      <c r="L885" s="432" t="s">
        <v>1967</v>
      </c>
      <c r="M885" s="435">
        <v>44545</v>
      </c>
      <c r="N885" s="435">
        <v>44757</v>
      </c>
      <c r="O885" s="435"/>
      <c r="P885" s="349"/>
      <c r="Q885" s="433"/>
      <c r="R885" s="433"/>
      <c r="S885" s="432" t="s">
        <v>1443</v>
      </c>
      <c r="T885" s="432">
        <v>60</v>
      </c>
      <c r="U885" s="350">
        <v>49401140</v>
      </c>
      <c r="V885" s="432" t="s">
        <v>973</v>
      </c>
      <c r="W885" s="432">
        <v>400</v>
      </c>
      <c r="X885" s="436">
        <v>768</v>
      </c>
      <c r="Y885" s="408">
        <f t="shared" si="117"/>
        <v>307200</v>
      </c>
      <c r="Z885" s="409">
        <v>0.52500000000000002</v>
      </c>
      <c r="AA885" s="423">
        <f t="shared" si="118"/>
        <v>161280</v>
      </c>
      <c r="AB885" s="411"/>
      <c r="AC885" s="412">
        <f t="shared" si="119"/>
        <v>0</v>
      </c>
      <c r="AD885" s="421"/>
      <c r="AE885" s="413"/>
      <c r="AF885" s="424">
        <f t="shared" si="120"/>
        <v>161280</v>
      </c>
      <c r="AG885" s="405" t="s">
        <v>1069</v>
      </c>
      <c r="AH885" s="405"/>
      <c r="AI885" s="414">
        <v>60</v>
      </c>
      <c r="AJ885" s="405" t="s">
        <v>1944</v>
      </c>
      <c r="AK885" s="425" t="s">
        <v>1136</v>
      </c>
      <c r="AL885" s="405">
        <v>75063</v>
      </c>
      <c r="AM885" s="405" t="s">
        <v>52</v>
      </c>
      <c r="AN885" s="405" t="s">
        <v>1071</v>
      </c>
      <c r="AO885" s="405"/>
      <c r="AP885" s="417"/>
      <c r="AQ885" s="417" t="s">
        <v>37</v>
      </c>
      <c r="AR885" s="417"/>
      <c r="AS885" s="426"/>
      <c r="AT885" s="426"/>
      <c r="AU885" s="357"/>
      <c r="AV885" s="409"/>
    </row>
    <row r="886" spans="1:48" s="402" customFormat="1" ht="15" customHeight="1">
      <c r="A886" s="403"/>
      <c r="B886" s="445">
        <v>44557</v>
      </c>
      <c r="C886" s="403"/>
      <c r="D886" s="443" t="s">
        <v>1914</v>
      </c>
      <c r="E886" s="432" t="s">
        <v>2155</v>
      </c>
      <c r="F886" s="432"/>
      <c r="G886" s="432">
        <v>2022</v>
      </c>
      <c r="H886" s="432" t="s">
        <v>1498</v>
      </c>
      <c r="I886" s="443" t="s">
        <v>1498</v>
      </c>
      <c r="J886" s="433"/>
      <c r="K886" s="434" t="s">
        <v>3239</v>
      </c>
      <c r="L886" s="432" t="s">
        <v>1967</v>
      </c>
      <c r="M886" s="435">
        <v>44545</v>
      </c>
      <c r="N886" s="435">
        <v>44775</v>
      </c>
      <c r="O886" s="435"/>
      <c r="P886" s="349"/>
      <c r="Q886" s="433"/>
      <c r="R886" s="433"/>
      <c r="S886" s="432" t="s">
        <v>1443</v>
      </c>
      <c r="T886" s="432">
        <v>60</v>
      </c>
      <c r="U886" s="350">
        <v>49401140</v>
      </c>
      <c r="V886" s="432" t="s">
        <v>2284</v>
      </c>
      <c r="W886" s="432">
        <v>400</v>
      </c>
      <c r="X886" s="436">
        <v>768</v>
      </c>
      <c r="Y886" s="408">
        <f t="shared" si="117"/>
        <v>307200</v>
      </c>
      <c r="Z886" s="409">
        <v>0.52500000000000002</v>
      </c>
      <c r="AA886" s="423">
        <f t="shared" si="118"/>
        <v>161280</v>
      </c>
      <c r="AB886" s="411"/>
      <c r="AC886" s="412">
        <f t="shared" si="119"/>
        <v>0</v>
      </c>
      <c r="AD886" s="421"/>
      <c r="AE886" s="413"/>
      <c r="AF886" s="424">
        <f t="shared" si="120"/>
        <v>161280</v>
      </c>
      <c r="AG886" s="405" t="s">
        <v>1069</v>
      </c>
      <c r="AH886" s="405"/>
      <c r="AI886" s="414">
        <v>60</v>
      </c>
      <c r="AJ886" s="405" t="s">
        <v>1944</v>
      </c>
      <c r="AK886" s="425" t="s">
        <v>1136</v>
      </c>
      <c r="AL886" s="405">
        <v>75063</v>
      </c>
      <c r="AM886" s="405" t="s">
        <v>52</v>
      </c>
      <c r="AN886" s="405" t="s">
        <v>1071</v>
      </c>
      <c r="AO886" s="405"/>
      <c r="AP886" s="417"/>
      <c r="AQ886" s="417" t="s">
        <v>37</v>
      </c>
      <c r="AR886" s="417"/>
      <c r="AS886" s="426"/>
      <c r="AT886" s="426"/>
      <c r="AU886" s="357"/>
      <c r="AV886" s="409"/>
    </row>
    <row r="887" spans="1:48" s="402" customFormat="1" ht="15" customHeight="1">
      <c r="A887" s="403"/>
      <c r="B887" s="445">
        <v>44557</v>
      </c>
      <c r="C887" s="403"/>
      <c r="D887" s="443" t="s">
        <v>1914</v>
      </c>
      <c r="E887" s="432" t="s">
        <v>2155</v>
      </c>
      <c r="F887" s="432"/>
      <c r="G887" s="432">
        <v>2022</v>
      </c>
      <c r="H887" s="432" t="s">
        <v>1498</v>
      </c>
      <c r="I887" s="443" t="s">
        <v>1498</v>
      </c>
      <c r="J887" s="433"/>
      <c r="K887" s="434" t="s">
        <v>3240</v>
      </c>
      <c r="L887" s="432" t="s">
        <v>1967</v>
      </c>
      <c r="M887" s="435">
        <v>44545</v>
      </c>
      <c r="N887" s="435">
        <v>44778</v>
      </c>
      <c r="O887" s="435"/>
      <c r="P887" s="349"/>
      <c r="Q887" s="433"/>
      <c r="R887" s="433"/>
      <c r="S887" s="432" t="s">
        <v>1443</v>
      </c>
      <c r="T887" s="432">
        <v>60</v>
      </c>
      <c r="U887" s="350">
        <v>49401140</v>
      </c>
      <c r="V887" s="432" t="s">
        <v>2284</v>
      </c>
      <c r="W887" s="432">
        <v>400</v>
      </c>
      <c r="X887" s="436">
        <v>768</v>
      </c>
      <c r="Y887" s="408">
        <f t="shared" si="117"/>
        <v>307200</v>
      </c>
      <c r="Z887" s="409">
        <v>0.52500000000000002</v>
      </c>
      <c r="AA887" s="423">
        <f t="shared" si="118"/>
        <v>161280</v>
      </c>
      <c r="AB887" s="411"/>
      <c r="AC887" s="412">
        <f t="shared" si="119"/>
        <v>0</v>
      </c>
      <c r="AD887" s="421"/>
      <c r="AE887" s="413"/>
      <c r="AF887" s="424">
        <f t="shared" si="120"/>
        <v>161280</v>
      </c>
      <c r="AG887" s="405" t="s">
        <v>1069</v>
      </c>
      <c r="AH887" s="405"/>
      <c r="AI887" s="414">
        <v>60</v>
      </c>
      <c r="AJ887" s="405" t="s">
        <v>1944</v>
      </c>
      <c r="AK887" s="425" t="s">
        <v>1136</v>
      </c>
      <c r="AL887" s="405">
        <v>75063</v>
      </c>
      <c r="AM887" s="405" t="s">
        <v>52</v>
      </c>
      <c r="AN887" s="405" t="s">
        <v>1071</v>
      </c>
      <c r="AO887" s="405"/>
      <c r="AP887" s="417"/>
      <c r="AQ887" s="417" t="s">
        <v>37</v>
      </c>
      <c r="AR887" s="417"/>
      <c r="AS887" s="426"/>
      <c r="AT887" s="426"/>
      <c r="AU887" s="357"/>
      <c r="AV887" s="409"/>
    </row>
    <row r="888" spans="1:48" s="402" customFormat="1" ht="15" customHeight="1">
      <c r="A888" s="403"/>
      <c r="B888" s="445">
        <v>44557</v>
      </c>
      <c r="C888" s="403"/>
      <c r="D888" s="443" t="s">
        <v>1914</v>
      </c>
      <c r="E888" s="432" t="s">
        <v>2155</v>
      </c>
      <c r="F888" s="432"/>
      <c r="G888" s="432">
        <v>2022</v>
      </c>
      <c r="H888" s="432" t="s">
        <v>1498</v>
      </c>
      <c r="I888" s="443" t="s">
        <v>1498</v>
      </c>
      <c r="J888" s="433"/>
      <c r="K888" s="434" t="s">
        <v>3241</v>
      </c>
      <c r="L888" s="432" t="s">
        <v>1967</v>
      </c>
      <c r="M888" s="435">
        <v>44545</v>
      </c>
      <c r="N888" s="435">
        <v>44782</v>
      </c>
      <c r="O888" s="435"/>
      <c r="P888" s="349"/>
      <c r="Q888" s="433"/>
      <c r="R888" s="433"/>
      <c r="S888" s="432" t="s">
        <v>1443</v>
      </c>
      <c r="T888" s="432">
        <v>60</v>
      </c>
      <c r="U888" s="350">
        <v>49401140</v>
      </c>
      <c r="V888" s="432" t="s">
        <v>2284</v>
      </c>
      <c r="W888" s="432">
        <v>400</v>
      </c>
      <c r="X888" s="436">
        <v>768</v>
      </c>
      <c r="Y888" s="408">
        <f t="shared" si="117"/>
        <v>307200</v>
      </c>
      <c r="Z888" s="409">
        <v>0.52500000000000002</v>
      </c>
      <c r="AA888" s="423">
        <f t="shared" si="118"/>
        <v>161280</v>
      </c>
      <c r="AB888" s="411"/>
      <c r="AC888" s="412">
        <f t="shared" si="119"/>
        <v>0</v>
      </c>
      <c r="AD888" s="421"/>
      <c r="AE888" s="413"/>
      <c r="AF888" s="424">
        <f t="shared" si="120"/>
        <v>161280</v>
      </c>
      <c r="AG888" s="405" t="s">
        <v>1069</v>
      </c>
      <c r="AH888" s="405"/>
      <c r="AI888" s="414">
        <v>60</v>
      </c>
      <c r="AJ888" s="405" t="s">
        <v>1944</v>
      </c>
      <c r="AK888" s="425" t="s">
        <v>1136</v>
      </c>
      <c r="AL888" s="405">
        <v>75063</v>
      </c>
      <c r="AM888" s="405" t="s">
        <v>52</v>
      </c>
      <c r="AN888" s="405" t="s">
        <v>1071</v>
      </c>
      <c r="AO888" s="405"/>
      <c r="AP888" s="417"/>
      <c r="AQ888" s="417" t="s">
        <v>37</v>
      </c>
      <c r="AR888" s="417"/>
      <c r="AS888" s="426"/>
      <c r="AT888" s="426"/>
      <c r="AU888" s="357"/>
      <c r="AV888" s="409"/>
    </row>
    <row r="889" spans="1:48" s="402" customFormat="1" ht="15" customHeight="1">
      <c r="A889" s="403"/>
      <c r="B889" s="445">
        <v>44557</v>
      </c>
      <c r="C889" s="403"/>
      <c r="D889" s="443" t="s">
        <v>1914</v>
      </c>
      <c r="E889" s="432" t="s">
        <v>2155</v>
      </c>
      <c r="F889" s="432"/>
      <c r="G889" s="432">
        <v>2022</v>
      </c>
      <c r="H889" s="432" t="s">
        <v>1498</v>
      </c>
      <c r="I889" s="443" t="s">
        <v>1498</v>
      </c>
      <c r="J889" s="433"/>
      <c r="K889" s="434" t="s">
        <v>3242</v>
      </c>
      <c r="L889" s="432" t="s">
        <v>1967</v>
      </c>
      <c r="M889" s="435">
        <v>44545</v>
      </c>
      <c r="N889" s="435">
        <v>44785</v>
      </c>
      <c r="O889" s="435"/>
      <c r="P889" s="349"/>
      <c r="Q889" s="433"/>
      <c r="R889" s="433"/>
      <c r="S889" s="432" t="s">
        <v>1443</v>
      </c>
      <c r="T889" s="432">
        <v>60</v>
      </c>
      <c r="U889" s="350">
        <v>49401140</v>
      </c>
      <c r="V889" s="432" t="s">
        <v>2284</v>
      </c>
      <c r="W889" s="432">
        <v>400</v>
      </c>
      <c r="X889" s="436">
        <v>768</v>
      </c>
      <c r="Y889" s="408">
        <f t="shared" si="117"/>
        <v>307200</v>
      </c>
      <c r="Z889" s="409">
        <v>0.52500000000000002</v>
      </c>
      <c r="AA889" s="423">
        <f t="shared" si="118"/>
        <v>161280</v>
      </c>
      <c r="AB889" s="411"/>
      <c r="AC889" s="412">
        <f t="shared" si="119"/>
        <v>0</v>
      </c>
      <c r="AD889" s="421"/>
      <c r="AE889" s="413"/>
      <c r="AF889" s="424">
        <f t="shared" si="120"/>
        <v>161280</v>
      </c>
      <c r="AG889" s="405" t="s">
        <v>1069</v>
      </c>
      <c r="AH889" s="405"/>
      <c r="AI889" s="414">
        <v>60</v>
      </c>
      <c r="AJ889" s="405" t="s">
        <v>1944</v>
      </c>
      <c r="AK889" s="425" t="s">
        <v>1136</v>
      </c>
      <c r="AL889" s="405">
        <v>75063</v>
      </c>
      <c r="AM889" s="405" t="s">
        <v>52</v>
      </c>
      <c r="AN889" s="405" t="s">
        <v>1071</v>
      </c>
      <c r="AO889" s="405"/>
      <c r="AP889" s="417"/>
      <c r="AQ889" s="417" t="s">
        <v>37</v>
      </c>
      <c r="AR889" s="417"/>
      <c r="AS889" s="426"/>
      <c r="AT889" s="426"/>
      <c r="AU889" s="357"/>
      <c r="AV889" s="409"/>
    </row>
    <row r="890" spans="1:48" s="402" customFormat="1" ht="15" customHeight="1">
      <c r="A890" s="403"/>
      <c r="B890" s="445">
        <v>44557</v>
      </c>
      <c r="C890" s="403"/>
      <c r="D890" s="443" t="s">
        <v>1914</v>
      </c>
      <c r="E890" s="432" t="s">
        <v>2155</v>
      </c>
      <c r="F890" s="432"/>
      <c r="G890" s="432">
        <v>2022</v>
      </c>
      <c r="H890" s="432" t="s">
        <v>1498</v>
      </c>
      <c r="I890" s="443" t="s">
        <v>1498</v>
      </c>
      <c r="J890" s="433"/>
      <c r="K890" s="434" t="s">
        <v>3243</v>
      </c>
      <c r="L890" s="432" t="s">
        <v>1967</v>
      </c>
      <c r="M890" s="435">
        <v>44545</v>
      </c>
      <c r="N890" s="435">
        <v>44788</v>
      </c>
      <c r="O890" s="435"/>
      <c r="P890" s="349"/>
      <c r="Q890" s="433"/>
      <c r="R890" s="433"/>
      <c r="S890" s="432" t="s">
        <v>1443</v>
      </c>
      <c r="T890" s="432">
        <v>60</v>
      </c>
      <c r="U890" s="350">
        <v>49401140</v>
      </c>
      <c r="V890" s="432" t="s">
        <v>2284</v>
      </c>
      <c r="W890" s="432">
        <v>400</v>
      </c>
      <c r="X890" s="436">
        <v>768</v>
      </c>
      <c r="Y890" s="408">
        <f t="shared" si="117"/>
        <v>307200</v>
      </c>
      <c r="Z890" s="409">
        <v>0.52500000000000002</v>
      </c>
      <c r="AA890" s="423">
        <f t="shared" si="118"/>
        <v>161280</v>
      </c>
      <c r="AB890" s="411"/>
      <c r="AC890" s="412">
        <f t="shared" si="119"/>
        <v>0</v>
      </c>
      <c r="AD890" s="421"/>
      <c r="AE890" s="413"/>
      <c r="AF890" s="424">
        <f t="shared" si="120"/>
        <v>161280</v>
      </c>
      <c r="AG890" s="405" t="s">
        <v>1069</v>
      </c>
      <c r="AH890" s="405"/>
      <c r="AI890" s="414">
        <v>60</v>
      </c>
      <c r="AJ890" s="405" t="s">
        <v>1944</v>
      </c>
      <c r="AK890" s="425" t="s">
        <v>1136</v>
      </c>
      <c r="AL890" s="405">
        <v>75063</v>
      </c>
      <c r="AM890" s="405" t="s">
        <v>52</v>
      </c>
      <c r="AN890" s="405" t="s">
        <v>1071</v>
      </c>
      <c r="AO890" s="405"/>
      <c r="AP890" s="417"/>
      <c r="AQ890" s="417" t="s">
        <v>37</v>
      </c>
      <c r="AR890" s="417"/>
      <c r="AS890" s="426"/>
      <c r="AT890" s="426"/>
      <c r="AU890" s="357"/>
      <c r="AV890" s="409"/>
    </row>
    <row r="891" spans="1:48" s="402" customFormat="1" ht="15" customHeight="1">
      <c r="A891" s="403"/>
      <c r="B891" s="445">
        <v>44557</v>
      </c>
      <c r="C891" s="403"/>
      <c r="D891" s="443" t="s">
        <v>1914</v>
      </c>
      <c r="E891" s="432" t="s">
        <v>2155</v>
      </c>
      <c r="F891" s="432"/>
      <c r="G891" s="432">
        <v>2022</v>
      </c>
      <c r="H891" s="432" t="s">
        <v>1498</v>
      </c>
      <c r="I891" s="443" t="s">
        <v>1498</v>
      </c>
      <c r="J891" s="433"/>
      <c r="K891" s="434" t="s">
        <v>3244</v>
      </c>
      <c r="L891" s="432" t="s">
        <v>1967</v>
      </c>
      <c r="M891" s="435">
        <v>44545</v>
      </c>
      <c r="N891" s="435">
        <v>44806</v>
      </c>
      <c r="O891" s="435"/>
      <c r="P891" s="349"/>
      <c r="Q891" s="433"/>
      <c r="R891" s="433"/>
      <c r="S891" s="432" t="s">
        <v>1443</v>
      </c>
      <c r="T891" s="432">
        <v>60</v>
      </c>
      <c r="U891" s="350">
        <v>49401140</v>
      </c>
      <c r="V891" s="432" t="s">
        <v>2284</v>
      </c>
      <c r="W891" s="432">
        <v>400</v>
      </c>
      <c r="X891" s="436">
        <v>768</v>
      </c>
      <c r="Y891" s="408">
        <f t="shared" si="117"/>
        <v>307200</v>
      </c>
      <c r="Z891" s="409">
        <v>0.52500000000000002</v>
      </c>
      <c r="AA891" s="423">
        <f t="shared" si="118"/>
        <v>161280</v>
      </c>
      <c r="AB891" s="411"/>
      <c r="AC891" s="412">
        <f t="shared" si="119"/>
        <v>0</v>
      </c>
      <c r="AD891" s="421"/>
      <c r="AE891" s="413"/>
      <c r="AF891" s="424">
        <f t="shared" si="120"/>
        <v>161280</v>
      </c>
      <c r="AG891" s="405" t="s">
        <v>1069</v>
      </c>
      <c r="AH891" s="405"/>
      <c r="AI891" s="414">
        <v>60</v>
      </c>
      <c r="AJ891" s="405" t="s">
        <v>1944</v>
      </c>
      <c r="AK891" s="425" t="s">
        <v>1136</v>
      </c>
      <c r="AL891" s="405">
        <v>75063</v>
      </c>
      <c r="AM891" s="405" t="s">
        <v>52</v>
      </c>
      <c r="AN891" s="405" t="s">
        <v>1071</v>
      </c>
      <c r="AO891" s="405"/>
      <c r="AP891" s="417"/>
      <c r="AQ891" s="417" t="s">
        <v>37</v>
      </c>
      <c r="AR891" s="417"/>
      <c r="AS891" s="426"/>
      <c r="AT891" s="426"/>
      <c r="AU891" s="357"/>
      <c r="AV891" s="409"/>
    </row>
    <row r="892" spans="1:48" s="402" customFormat="1" ht="15" customHeight="1">
      <c r="A892" s="403"/>
      <c r="B892" s="445">
        <v>44557</v>
      </c>
      <c r="C892" s="403"/>
      <c r="D892" s="443" t="s">
        <v>1914</v>
      </c>
      <c r="E892" s="432" t="s">
        <v>2155</v>
      </c>
      <c r="F892" s="432"/>
      <c r="G892" s="432">
        <v>2022</v>
      </c>
      <c r="H892" s="432" t="s">
        <v>1498</v>
      </c>
      <c r="I892" s="443" t="s">
        <v>1498</v>
      </c>
      <c r="J892" s="433"/>
      <c r="K892" s="434" t="s">
        <v>3245</v>
      </c>
      <c r="L892" s="432" t="s">
        <v>1967</v>
      </c>
      <c r="M892" s="435">
        <v>44545</v>
      </c>
      <c r="N892" s="435">
        <v>44809</v>
      </c>
      <c r="O892" s="435"/>
      <c r="P892" s="349"/>
      <c r="Q892" s="433"/>
      <c r="R892" s="433"/>
      <c r="S892" s="432" t="s">
        <v>1443</v>
      </c>
      <c r="T892" s="432">
        <v>60</v>
      </c>
      <c r="U892" s="350">
        <v>49401140</v>
      </c>
      <c r="V892" s="432" t="s">
        <v>2284</v>
      </c>
      <c r="W892" s="432">
        <v>400</v>
      </c>
      <c r="X892" s="436">
        <v>768</v>
      </c>
      <c r="Y892" s="408">
        <f t="shared" si="117"/>
        <v>307200</v>
      </c>
      <c r="Z892" s="409">
        <v>0.52500000000000002</v>
      </c>
      <c r="AA892" s="423">
        <f t="shared" si="118"/>
        <v>161280</v>
      </c>
      <c r="AB892" s="411"/>
      <c r="AC892" s="412">
        <f t="shared" si="119"/>
        <v>0</v>
      </c>
      <c r="AD892" s="421"/>
      <c r="AE892" s="413"/>
      <c r="AF892" s="424">
        <f t="shared" si="120"/>
        <v>161280</v>
      </c>
      <c r="AG892" s="405" t="s">
        <v>1069</v>
      </c>
      <c r="AH892" s="405"/>
      <c r="AI892" s="414">
        <v>60</v>
      </c>
      <c r="AJ892" s="405" t="s">
        <v>1944</v>
      </c>
      <c r="AK892" s="425" t="s">
        <v>1136</v>
      </c>
      <c r="AL892" s="405">
        <v>75063</v>
      </c>
      <c r="AM892" s="405" t="s">
        <v>52</v>
      </c>
      <c r="AN892" s="405" t="s">
        <v>1071</v>
      </c>
      <c r="AO892" s="405"/>
      <c r="AP892" s="417"/>
      <c r="AQ892" s="417" t="s">
        <v>37</v>
      </c>
      <c r="AR892" s="417"/>
      <c r="AS892" s="426"/>
      <c r="AT892" s="426"/>
      <c r="AU892" s="357"/>
      <c r="AV892" s="409"/>
    </row>
    <row r="893" spans="1:48" s="402" customFormat="1" ht="15" customHeight="1">
      <c r="A893" s="403"/>
      <c r="B893" s="445">
        <v>44557</v>
      </c>
      <c r="C893" s="403"/>
      <c r="D893" s="443" t="s">
        <v>1914</v>
      </c>
      <c r="E893" s="432" t="s">
        <v>2155</v>
      </c>
      <c r="F893" s="432"/>
      <c r="G893" s="432">
        <v>2022</v>
      </c>
      <c r="H893" s="432" t="s">
        <v>1498</v>
      </c>
      <c r="I893" s="443" t="s">
        <v>1498</v>
      </c>
      <c r="J893" s="433"/>
      <c r="K893" s="434" t="s">
        <v>3246</v>
      </c>
      <c r="L893" s="432" t="s">
        <v>1967</v>
      </c>
      <c r="M893" s="435">
        <v>44545</v>
      </c>
      <c r="N893" s="435">
        <v>44813</v>
      </c>
      <c r="O893" s="435"/>
      <c r="P893" s="349"/>
      <c r="Q893" s="433"/>
      <c r="R893" s="433"/>
      <c r="S893" s="432" t="s">
        <v>1443</v>
      </c>
      <c r="T893" s="432">
        <v>60</v>
      </c>
      <c r="U893" s="350">
        <v>49401140</v>
      </c>
      <c r="V893" s="432" t="s">
        <v>2284</v>
      </c>
      <c r="W893" s="432">
        <v>400</v>
      </c>
      <c r="X893" s="436">
        <v>768</v>
      </c>
      <c r="Y893" s="408">
        <f t="shared" si="117"/>
        <v>307200</v>
      </c>
      <c r="Z893" s="409">
        <v>0.52500000000000002</v>
      </c>
      <c r="AA893" s="423">
        <f t="shared" si="118"/>
        <v>161280</v>
      </c>
      <c r="AB893" s="411"/>
      <c r="AC893" s="412">
        <f t="shared" si="119"/>
        <v>0</v>
      </c>
      <c r="AD893" s="421"/>
      <c r="AE893" s="413"/>
      <c r="AF893" s="424">
        <f t="shared" si="120"/>
        <v>161280</v>
      </c>
      <c r="AG893" s="405" t="s">
        <v>1069</v>
      </c>
      <c r="AH893" s="405"/>
      <c r="AI893" s="414">
        <v>60</v>
      </c>
      <c r="AJ893" s="405" t="s">
        <v>1944</v>
      </c>
      <c r="AK893" s="425" t="s">
        <v>1136</v>
      </c>
      <c r="AL893" s="405">
        <v>75063</v>
      </c>
      <c r="AM893" s="405" t="s">
        <v>52</v>
      </c>
      <c r="AN893" s="405" t="s">
        <v>1071</v>
      </c>
      <c r="AO893" s="405"/>
      <c r="AP893" s="417"/>
      <c r="AQ893" s="417" t="s">
        <v>37</v>
      </c>
      <c r="AR893" s="417"/>
      <c r="AS893" s="426"/>
      <c r="AT893" s="426"/>
      <c r="AU893" s="357"/>
      <c r="AV893" s="409"/>
    </row>
    <row r="894" spans="1:48" s="402" customFormat="1" ht="15" customHeight="1">
      <c r="A894" s="403"/>
      <c r="B894" s="445">
        <v>44557</v>
      </c>
      <c r="C894" s="403"/>
      <c r="D894" s="443" t="s">
        <v>1914</v>
      </c>
      <c r="E894" s="432" t="s">
        <v>2155</v>
      </c>
      <c r="F894" s="432"/>
      <c r="G894" s="432">
        <v>2022</v>
      </c>
      <c r="H894" s="432" t="s">
        <v>1498</v>
      </c>
      <c r="I894" s="443" t="s">
        <v>1498</v>
      </c>
      <c r="J894" s="433"/>
      <c r="K894" s="434" t="s">
        <v>3247</v>
      </c>
      <c r="L894" s="432" t="s">
        <v>1967</v>
      </c>
      <c r="M894" s="435">
        <v>44545</v>
      </c>
      <c r="N894" s="435">
        <v>44816</v>
      </c>
      <c r="O894" s="435"/>
      <c r="P894" s="349"/>
      <c r="Q894" s="433"/>
      <c r="R894" s="433"/>
      <c r="S894" s="432" t="s">
        <v>1443</v>
      </c>
      <c r="T894" s="432">
        <v>60</v>
      </c>
      <c r="U894" s="350">
        <v>49401140</v>
      </c>
      <c r="V894" s="432" t="s">
        <v>2284</v>
      </c>
      <c r="W894" s="432">
        <v>400</v>
      </c>
      <c r="X894" s="436">
        <v>768</v>
      </c>
      <c r="Y894" s="408">
        <f t="shared" si="117"/>
        <v>307200</v>
      </c>
      <c r="Z894" s="409">
        <v>0.52500000000000002</v>
      </c>
      <c r="AA894" s="423">
        <f t="shared" si="118"/>
        <v>161280</v>
      </c>
      <c r="AB894" s="411"/>
      <c r="AC894" s="412">
        <f t="shared" si="119"/>
        <v>0</v>
      </c>
      <c r="AD894" s="421"/>
      <c r="AE894" s="413"/>
      <c r="AF894" s="424">
        <f t="shared" si="120"/>
        <v>161280</v>
      </c>
      <c r="AG894" s="405" t="s">
        <v>1069</v>
      </c>
      <c r="AH894" s="405"/>
      <c r="AI894" s="414">
        <v>60</v>
      </c>
      <c r="AJ894" s="405" t="s">
        <v>1944</v>
      </c>
      <c r="AK894" s="425" t="s">
        <v>1136</v>
      </c>
      <c r="AL894" s="405">
        <v>75063</v>
      </c>
      <c r="AM894" s="405" t="s">
        <v>52</v>
      </c>
      <c r="AN894" s="405" t="s">
        <v>1071</v>
      </c>
      <c r="AO894" s="405"/>
      <c r="AP894" s="417"/>
      <c r="AQ894" s="417" t="s">
        <v>37</v>
      </c>
      <c r="AR894" s="417"/>
      <c r="AS894" s="426"/>
      <c r="AT894" s="426"/>
      <c r="AU894" s="357"/>
      <c r="AV894" s="409"/>
    </row>
    <row r="895" spans="1:48" s="402" customFormat="1" ht="15" customHeight="1">
      <c r="A895" s="403"/>
      <c r="B895" s="445">
        <v>44557</v>
      </c>
      <c r="C895" s="403"/>
      <c r="D895" s="443" t="s">
        <v>1914</v>
      </c>
      <c r="E895" s="432" t="s">
        <v>2155</v>
      </c>
      <c r="F895" s="432"/>
      <c r="G895" s="432">
        <v>2022</v>
      </c>
      <c r="H895" s="432" t="s">
        <v>1498</v>
      </c>
      <c r="I895" s="443" t="s">
        <v>1498</v>
      </c>
      <c r="J895" s="433"/>
      <c r="K895" s="434" t="s">
        <v>3248</v>
      </c>
      <c r="L895" s="432" t="s">
        <v>1967</v>
      </c>
      <c r="M895" s="435">
        <v>44545</v>
      </c>
      <c r="N895" s="435">
        <v>44819</v>
      </c>
      <c r="O895" s="435"/>
      <c r="P895" s="349"/>
      <c r="Q895" s="433"/>
      <c r="R895" s="433"/>
      <c r="S895" s="432" t="s">
        <v>1443</v>
      </c>
      <c r="T895" s="432">
        <v>60</v>
      </c>
      <c r="U895" s="350">
        <v>49401140</v>
      </c>
      <c r="V895" s="432" t="s">
        <v>2284</v>
      </c>
      <c r="W895" s="432">
        <v>400</v>
      </c>
      <c r="X895" s="436">
        <v>768</v>
      </c>
      <c r="Y895" s="408">
        <f t="shared" si="117"/>
        <v>307200</v>
      </c>
      <c r="Z895" s="409">
        <v>0.52500000000000002</v>
      </c>
      <c r="AA895" s="423">
        <f t="shared" si="118"/>
        <v>161280</v>
      </c>
      <c r="AB895" s="411"/>
      <c r="AC895" s="412">
        <f t="shared" si="119"/>
        <v>0</v>
      </c>
      <c r="AD895" s="421"/>
      <c r="AE895" s="413"/>
      <c r="AF895" s="424">
        <f t="shared" si="120"/>
        <v>161280</v>
      </c>
      <c r="AG895" s="405" t="s">
        <v>1069</v>
      </c>
      <c r="AH895" s="405"/>
      <c r="AI895" s="414">
        <v>60</v>
      </c>
      <c r="AJ895" s="405" t="s">
        <v>1944</v>
      </c>
      <c r="AK895" s="425" t="s">
        <v>1136</v>
      </c>
      <c r="AL895" s="405">
        <v>75063</v>
      </c>
      <c r="AM895" s="405" t="s">
        <v>52</v>
      </c>
      <c r="AN895" s="405" t="s">
        <v>1071</v>
      </c>
      <c r="AO895" s="405"/>
      <c r="AP895" s="417"/>
      <c r="AQ895" s="417" t="s">
        <v>37</v>
      </c>
      <c r="AR895" s="417"/>
      <c r="AS895" s="426"/>
      <c r="AT895" s="426"/>
      <c r="AU895" s="357"/>
      <c r="AV895" s="409"/>
    </row>
    <row r="896" spans="1:48" s="402" customFormat="1" ht="15" customHeight="1">
      <c r="A896" s="403"/>
      <c r="B896" s="445">
        <v>44557</v>
      </c>
      <c r="C896" s="403"/>
      <c r="D896" s="443" t="s">
        <v>1914</v>
      </c>
      <c r="E896" s="432" t="s">
        <v>2155</v>
      </c>
      <c r="F896" s="432"/>
      <c r="G896" s="432">
        <v>2022</v>
      </c>
      <c r="H896" s="432" t="s">
        <v>1498</v>
      </c>
      <c r="I896" s="443" t="s">
        <v>1498</v>
      </c>
      <c r="J896" s="433"/>
      <c r="K896" s="434" t="s">
        <v>3249</v>
      </c>
      <c r="L896" s="432" t="s">
        <v>1967</v>
      </c>
      <c r="M896" s="435">
        <v>44545</v>
      </c>
      <c r="N896" s="435">
        <v>44823</v>
      </c>
      <c r="O896" s="435"/>
      <c r="P896" s="349"/>
      <c r="Q896" s="433"/>
      <c r="R896" s="433"/>
      <c r="S896" s="432" t="s">
        <v>1443</v>
      </c>
      <c r="T896" s="432">
        <v>60</v>
      </c>
      <c r="U896" s="350">
        <v>49401140</v>
      </c>
      <c r="V896" s="432" t="s">
        <v>2284</v>
      </c>
      <c r="W896" s="432">
        <v>400</v>
      </c>
      <c r="X896" s="436">
        <v>768</v>
      </c>
      <c r="Y896" s="408">
        <f t="shared" si="117"/>
        <v>307200</v>
      </c>
      <c r="Z896" s="409">
        <v>0.52500000000000002</v>
      </c>
      <c r="AA896" s="423">
        <f t="shared" si="118"/>
        <v>161280</v>
      </c>
      <c r="AB896" s="411"/>
      <c r="AC896" s="412">
        <f t="shared" si="119"/>
        <v>0</v>
      </c>
      <c r="AD896" s="421"/>
      <c r="AE896" s="413"/>
      <c r="AF896" s="424">
        <f t="shared" si="120"/>
        <v>161280</v>
      </c>
      <c r="AG896" s="405" t="s">
        <v>1069</v>
      </c>
      <c r="AH896" s="405"/>
      <c r="AI896" s="414">
        <v>60</v>
      </c>
      <c r="AJ896" s="405" t="s">
        <v>1944</v>
      </c>
      <c r="AK896" s="425" t="s">
        <v>1136</v>
      </c>
      <c r="AL896" s="405">
        <v>75063</v>
      </c>
      <c r="AM896" s="405" t="s">
        <v>52</v>
      </c>
      <c r="AN896" s="405" t="s">
        <v>1071</v>
      </c>
      <c r="AO896" s="405"/>
      <c r="AP896" s="417"/>
      <c r="AQ896" s="417" t="s">
        <v>37</v>
      </c>
      <c r="AR896" s="417"/>
      <c r="AS896" s="426"/>
      <c r="AT896" s="426"/>
      <c r="AU896" s="357"/>
      <c r="AV896" s="409"/>
    </row>
    <row r="897" spans="1:48" s="402" customFormat="1" ht="15" customHeight="1">
      <c r="A897" s="403"/>
      <c r="B897" s="445">
        <v>44557</v>
      </c>
      <c r="C897" s="403"/>
      <c r="D897" s="443" t="s">
        <v>1914</v>
      </c>
      <c r="E897" s="432" t="s">
        <v>2155</v>
      </c>
      <c r="F897" s="432"/>
      <c r="G897" s="432">
        <v>2022</v>
      </c>
      <c r="H897" s="432" t="s">
        <v>1498</v>
      </c>
      <c r="I897" s="443" t="s">
        <v>1498</v>
      </c>
      <c r="J897" s="433"/>
      <c r="K897" s="434" t="s">
        <v>3250</v>
      </c>
      <c r="L897" s="432" t="s">
        <v>1967</v>
      </c>
      <c r="M897" s="435">
        <v>44545</v>
      </c>
      <c r="N897" s="435">
        <v>44835</v>
      </c>
      <c r="O897" s="435"/>
      <c r="P897" s="349"/>
      <c r="Q897" s="433"/>
      <c r="R897" s="433"/>
      <c r="S897" s="432" t="s">
        <v>1443</v>
      </c>
      <c r="T897" s="432">
        <v>60</v>
      </c>
      <c r="U897" s="350">
        <v>49401140</v>
      </c>
      <c r="V897" s="432" t="s">
        <v>2284</v>
      </c>
      <c r="W897" s="432">
        <v>400</v>
      </c>
      <c r="X897" s="436">
        <v>768</v>
      </c>
      <c r="Y897" s="408">
        <f t="shared" si="117"/>
        <v>307200</v>
      </c>
      <c r="Z897" s="409">
        <v>0.52500000000000002</v>
      </c>
      <c r="AA897" s="423">
        <f t="shared" si="118"/>
        <v>161280</v>
      </c>
      <c r="AB897" s="411"/>
      <c r="AC897" s="412">
        <f t="shared" si="119"/>
        <v>0</v>
      </c>
      <c r="AD897" s="421"/>
      <c r="AE897" s="413"/>
      <c r="AF897" s="424">
        <f t="shared" si="120"/>
        <v>161280</v>
      </c>
      <c r="AG897" s="405" t="s">
        <v>1069</v>
      </c>
      <c r="AH897" s="405"/>
      <c r="AI897" s="414">
        <v>60</v>
      </c>
      <c r="AJ897" s="405" t="s">
        <v>1944</v>
      </c>
      <c r="AK897" s="425" t="s">
        <v>1136</v>
      </c>
      <c r="AL897" s="405">
        <v>75063</v>
      </c>
      <c r="AM897" s="405" t="s">
        <v>52</v>
      </c>
      <c r="AN897" s="405" t="s">
        <v>1071</v>
      </c>
      <c r="AO897" s="405"/>
      <c r="AP897" s="417"/>
      <c r="AQ897" s="417" t="s">
        <v>37</v>
      </c>
      <c r="AR897" s="417"/>
      <c r="AS897" s="426"/>
      <c r="AT897" s="426"/>
      <c r="AU897" s="357"/>
      <c r="AV897" s="409"/>
    </row>
    <row r="898" spans="1:48" s="402" customFormat="1" ht="15" customHeight="1">
      <c r="A898" s="403"/>
      <c r="B898" s="445">
        <v>44557</v>
      </c>
      <c r="C898" s="403"/>
      <c r="D898" s="443" t="s">
        <v>1914</v>
      </c>
      <c r="E898" s="432" t="s">
        <v>2155</v>
      </c>
      <c r="F898" s="432"/>
      <c r="G898" s="432">
        <v>2022</v>
      </c>
      <c r="H898" s="432" t="s">
        <v>1498</v>
      </c>
      <c r="I898" s="443" t="s">
        <v>1498</v>
      </c>
      <c r="J898" s="433"/>
      <c r="K898" s="434" t="s">
        <v>3251</v>
      </c>
      <c r="L898" s="432" t="s">
        <v>1967</v>
      </c>
      <c r="M898" s="435">
        <v>44545</v>
      </c>
      <c r="N898" s="435">
        <v>44837</v>
      </c>
      <c r="O898" s="435"/>
      <c r="P898" s="349"/>
      <c r="Q898" s="433"/>
      <c r="R898" s="433"/>
      <c r="S898" s="432" t="s">
        <v>1443</v>
      </c>
      <c r="T898" s="432">
        <v>60</v>
      </c>
      <c r="U898" s="350">
        <v>49401140</v>
      </c>
      <c r="V898" s="432" t="s">
        <v>2284</v>
      </c>
      <c r="W898" s="432">
        <v>400</v>
      </c>
      <c r="X898" s="436">
        <v>768</v>
      </c>
      <c r="Y898" s="408">
        <f t="shared" si="117"/>
        <v>307200</v>
      </c>
      <c r="Z898" s="409">
        <v>0.52500000000000002</v>
      </c>
      <c r="AA898" s="423">
        <f t="shared" si="118"/>
        <v>161280</v>
      </c>
      <c r="AB898" s="411"/>
      <c r="AC898" s="412">
        <f t="shared" si="119"/>
        <v>0</v>
      </c>
      <c r="AD898" s="421"/>
      <c r="AE898" s="413"/>
      <c r="AF898" s="424">
        <f t="shared" si="120"/>
        <v>161280</v>
      </c>
      <c r="AG898" s="405" t="s">
        <v>1069</v>
      </c>
      <c r="AH898" s="405"/>
      <c r="AI898" s="414">
        <v>60</v>
      </c>
      <c r="AJ898" s="405" t="s">
        <v>1944</v>
      </c>
      <c r="AK898" s="425" t="s">
        <v>1136</v>
      </c>
      <c r="AL898" s="405">
        <v>75063</v>
      </c>
      <c r="AM898" s="405" t="s">
        <v>52</v>
      </c>
      <c r="AN898" s="405" t="s">
        <v>1071</v>
      </c>
      <c r="AO898" s="405"/>
      <c r="AP898" s="417"/>
      <c r="AQ898" s="417" t="s">
        <v>37</v>
      </c>
      <c r="AR898" s="417"/>
      <c r="AS898" s="426"/>
      <c r="AT898" s="426"/>
      <c r="AU898" s="357"/>
      <c r="AV898" s="409"/>
    </row>
    <row r="899" spans="1:48" s="402" customFormat="1" ht="15" customHeight="1">
      <c r="A899" s="403"/>
      <c r="B899" s="445">
        <v>44557</v>
      </c>
      <c r="C899" s="403"/>
      <c r="D899" s="443" t="s">
        <v>1914</v>
      </c>
      <c r="E899" s="432" t="s">
        <v>2155</v>
      </c>
      <c r="F899" s="432"/>
      <c r="G899" s="432">
        <v>2022</v>
      </c>
      <c r="H899" s="432" t="s">
        <v>1498</v>
      </c>
      <c r="I899" s="443" t="s">
        <v>1498</v>
      </c>
      <c r="J899" s="433"/>
      <c r="K899" s="434" t="s">
        <v>3252</v>
      </c>
      <c r="L899" s="432" t="s">
        <v>1967</v>
      </c>
      <c r="M899" s="435">
        <v>44545</v>
      </c>
      <c r="N899" s="435">
        <v>44840</v>
      </c>
      <c r="O899" s="435"/>
      <c r="P899" s="349"/>
      <c r="Q899" s="433"/>
      <c r="R899" s="433"/>
      <c r="S899" s="432" t="s">
        <v>1443</v>
      </c>
      <c r="T899" s="432">
        <v>60</v>
      </c>
      <c r="U899" s="350">
        <v>49401140</v>
      </c>
      <c r="V899" s="432" t="s">
        <v>2284</v>
      </c>
      <c r="W899" s="432">
        <v>400</v>
      </c>
      <c r="X899" s="436">
        <v>768</v>
      </c>
      <c r="Y899" s="408">
        <f t="shared" si="117"/>
        <v>307200</v>
      </c>
      <c r="Z899" s="409">
        <v>0.52500000000000002</v>
      </c>
      <c r="AA899" s="423">
        <f t="shared" si="118"/>
        <v>161280</v>
      </c>
      <c r="AB899" s="411"/>
      <c r="AC899" s="412">
        <f t="shared" si="119"/>
        <v>0</v>
      </c>
      <c r="AD899" s="421"/>
      <c r="AE899" s="413"/>
      <c r="AF899" s="424">
        <f t="shared" si="120"/>
        <v>161280</v>
      </c>
      <c r="AG899" s="405" t="s">
        <v>1069</v>
      </c>
      <c r="AH899" s="405"/>
      <c r="AI899" s="414">
        <v>60</v>
      </c>
      <c r="AJ899" s="405" t="s">
        <v>1944</v>
      </c>
      <c r="AK899" s="425" t="s">
        <v>1136</v>
      </c>
      <c r="AL899" s="405">
        <v>75063</v>
      </c>
      <c r="AM899" s="405" t="s">
        <v>52</v>
      </c>
      <c r="AN899" s="405" t="s">
        <v>1071</v>
      </c>
      <c r="AO899" s="405"/>
      <c r="AP899" s="417"/>
      <c r="AQ899" s="417" t="s">
        <v>37</v>
      </c>
      <c r="AR899" s="417"/>
      <c r="AS899" s="426"/>
      <c r="AT899" s="426"/>
      <c r="AU899" s="357"/>
      <c r="AV899" s="409"/>
    </row>
    <row r="900" spans="1:48" s="402" customFormat="1" ht="15" customHeight="1">
      <c r="A900" s="403"/>
      <c r="B900" s="445">
        <v>44557</v>
      </c>
      <c r="C900" s="403"/>
      <c r="D900" s="443" t="s">
        <v>1914</v>
      </c>
      <c r="E900" s="432" t="s">
        <v>2155</v>
      </c>
      <c r="F900" s="432"/>
      <c r="G900" s="432">
        <v>2022</v>
      </c>
      <c r="H900" s="432" t="s">
        <v>1498</v>
      </c>
      <c r="I900" s="443" t="s">
        <v>1498</v>
      </c>
      <c r="J900" s="433"/>
      <c r="K900" s="434" t="s">
        <v>3253</v>
      </c>
      <c r="L900" s="432" t="s">
        <v>1967</v>
      </c>
      <c r="M900" s="435">
        <v>44545</v>
      </c>
      <c r="N900" s="435">
        <v>44844</v>
      </c>
      <c r="O900" s="435"/>
      <c r="P900" s="349"/>
      <c r="Q900" s="433"/>
      <c r="R900" s="433"/>
      <c r="S900" s="432" t="s">
        <v>1443</v>
      </c>
      <c r="T900" s="432">
        <v>60</v>
      </c>
      <c r="U900" s="350">
        <v>49401140</v>
      </c>
      <c r="V900" s="432" t="s">
        <v>2284</v>
      </c>
      <c r="W900" s="432">
        <v>400</v>
      </c>
      <c r="X900" s="436">
        <v>768</v>
      </c>
      <c r="Y900" s="408">
        <f t="shared" si="117"/>
        <v>307200</v>
      </c>
      <c r="Z900" s="409">
        <v>0.52500000000000002</v>
      </c>
      <c r="AA900" s="423">
        <f t="shared" si="118"/>
        <v>161280</v>
      </c>
      <c r="AB900" s="411"/>
      <c r="AC900" s="412">
        <f t="shared" si="119"/>
        <v>0</v>
      </c>
      <c r="AD900" s="421"/>
      <c r="AE900" s="413"/>
      <c r="AF900" s="424">
        <f t="shared" si="120"/>
        <v>161280</v>
      </c>
      <c r="AG900" s="405" t="s">
        <v>1069</v>
      </c>
      <c r="AH900" s="405"/>
      <c r="AI900" s="414">
        <v>60</v>
      </c>
      <c r="AJ900" s="405" t="s">
        <v>1944</v>
      </c>
      <c r="AK900" s="425" t="s">
        <v>1136</v>
      </c>
      <c r="AL900" s="405">
        <v>75063</v>
      </c>
      <c r="AM900" s="405" t="s">
        <v>52</v>
      </c>
      <c r="AN900" s="405" t="s">
        <v>1071</v>
      </c>
      <c r="AO900" s="405"/>
      <c r="AP900" s="417"/>
      <c r="AQ900" s="417" t="s">
        <v>37</v>
      </c>
      <c r="AR900" s="417"/>
      <c r="AS900" s="426"/>
      <c r="AT900" s="426"/>
      <c r="AU900" s="357"/>
      <c r="AV900" s="409"/>
    </row>
    <row r="901" spans="1:48" s="402" customFormat="1" ht="15" customHeight="1">
      <c r="A901" s="403"/>
      <c r="B901" s="445">
        <v>44557</v>
      </c>
      <c r="C901" s="403"/>
      <c r="D901" s="443" t="s">
        <v>1914</v>
      </c>
      <c r="E901" s="432" t="s">
        <v>2155</v>
      </c>
      <c r="F901" s="432"/>
      <c r="G901" s="432">
        <v>2022</v>
      </c>
      <c r="H901" s="432" t="s">
        <v>1498</v>
      </c>
      <c r="I901" s="443" t="s">
        <v>1498</v>
      </c>
      <c r="J901" s="433"/>
      <c r="K901" s="434" t="s">
        <v>3254</v>
      </c>
      <c r="L901" s="432" t="s">
        <v>1967</v>
      </c>
      <c r="M901" s="435">
        <v>44545</v>
      </c>
      <c r="N901" s="435">
        <v>44847</v>
      </c>
      <c r="O901" s="435"/>
      <c r="P901" s="349"/>
      <c r="Q901" s="433"/>
      <c r="R901" s="433"/>
      <c r="S901" s="432" t="s">
        <v>1443</v>
      </c>
      <c r="T901" s="432">
        <v>60</v>
      </c>
      <c r="U901" s="350">
        <v>49401140</v>
      </c>
      <c r="V901" s="432" t="s">
        <v>2284</v>
      </c>
      <c r="W901" s="432">
        <v>400</v>
      </c>
      <c r="X901" s="436">
        <v>768</v>
      </c>
      <c r="Y901" s="408">
        <f t="shared" si="117"/>
        <v>307200</v>
      </c>
      <c r="Z901" s="409">
        <v>0.52500000000000002</v>
      </c>
      <c r="AA901" s="423">
        <f t="shared" si="118"/>
        <v>161280</v>
      </c>
      <c r="AB901" s="411"/>
      <c r="AC901" s="412">
        <f t="shared" si="119"/>
        <v>0</v>
      </c>
      <c r="AD901" s="421"/>
      <c r="AE901" s="413"/>
      <c r="AF901" s="424">
        <f t="shared" si="120"/>
        <v>161280</v>
      </c>
      <c r="AG901" s="405" t="s">
        <v>1069</v>
      </c>
      <c r="AH901" s="405"/>
      <c r="AI901" s="414">
        <v>60</v>
      </c>
      <c r="AJ901" s="405" t="s">
        <v>1944</v>
      </c>
      <c r="AK901" s="425" t="s">
        <v>1136</v>
      </c>
      <c r="AL901" s="405">
        <v>75063</v>
      </c>
      <c r="AM901" s="405" t="s">
        <v>52</v>
      </c>
      <c r="AN901" s="405" t="s">
        <v>1071</v>
      </c>
      <c r="AO901" s="405"/>
      <c r="AP901" s="417"/>
      <c r="AQ901" s="417" t="s">
        <v>37</v>
      </c>
      <c r="AR901" s="417"/>
      <c r="AS901" s="426"/>
      <c r="AT901" s="426"/>
      <c r="AU901" s="357"/>
      <c r="AV901" s="409"/>
    </row>
    <row r="902" spans="1:48" s="402" customFormat="1" ht="15" customHeight="1">
      <c r="A902" s="403"/>
      <c r="B902" s="445">
        <v>44557</v>
      </c>
      <c r="C902" s="403"/>
      <c r="D902" s="443" t="s">
        <v>1914</v>
      </c>
      <c r="E902" s="432" t="s">
        <v>2155</v>
      </c>
      <c r="F902" s="432"/>
      <c r="G902" s="432">
        <v>2022</v>
      </c>
      <c r="H902" s="432" t="s">
        <v>1498</v>
      </c>
      <c r="I902" s="443" t="s">
        <v>1498</v>
      </c>
      <c r="J902" s="433"/>
      <c r="K902" s="434" t="s">
        <v>3255</v>
      </c>
      <c r="L902" s="432" t="s">
        <v>1967</v>
      </c>
      <c r="M902" s="435">
        <v>44545</v>
      </c>
      <c r="N902" s="435">
        <v>44850</v>
      </c>
      <c r="O902" s="435"/>
      <c r="P902" s="349"/>
      <c r="Q902" s="433"/>
      <c r="R902" s="433"/>
      <c r="S902" s="432" t="s">
        <v>1443</v>
      </c>
      <c r="T902" s="432">
        <v>60</v>
      </c>
      <c r="U902" s="350">
        <v>49401140</v>
      </c>
      <c r="V902" s="432" t="s">
        <v>2284</v>
      </c>
      <c r="W902" s="432">
        <v>400</v>
      </c>
      <c r="X902" s="436">
        <v>768</v>
      </c>
      <c r="Y902" s="408">
        <f t="shared" si="117"/>
        <v>307200</v>
      </c>
      <c r="Z902" s="409">
        <v>0.52500000000000002</v>
      </c>
      <c r="AA902" s="423">
        <f t="shared" si="118"/>
        <v>161280</v>
      </c>
      <c r="AB902" s="411"/>
      <c r="AC902" s="412">
        <f t="shared" si="119"/>
        <v>0</v>
      </c>
      <c r="AD902" s="421"/>
      <c r="AE902" s="413"/>
      <c r="AF902" s="424">
        <f t="shared" si="120"/>
        <v>161280</v>
      </c>
      <c r="AG902" s="405" t="s">
        <v>1069</v>
      </c>
      <c r="AH902" s="405"/>
      <c r="AI902" s="414">
        <v>60</v>
      </c>
      <c r="AJ902" s="405" t="s">
        <v>1944</v>
      </c>
      <c r="AK902" s="425" t="s">
        <v>1136</v>
      </c>
      <c r="AL902" s="405">
        <v>75063</v>
      </c>
      <c r="AM902" s="405" t="s">
        <v>52</v>
      </c>
      <c r="AN902" s="405" t="s">
        <v>1071</v>
      </c>
      <c r="AO902" s="405"/>
      <c r="AP902" s="417"/>
      <c r="AQ902" s="417" t="s">
        <v>37</v>
      </c>
      <c r="AR902" s="417"/>
      <c r="AS902" s="426"/>
      <c r="AT902" s="426"/>
      <c r="AU902" s="357"/>
      <c r="AV902" s="409"/>
    </row>
    <row r="903" spans="1:48" s="402" customFormat="1" ht="15" customHeight="1">
      <c r="A903" s="403"/>
      <c r="B903" s="445">
        <v>44557</v>
      </c>
      <c r="C903" s="403"/>
      <c r="D903" s="443" t="s">
        <v>1914</v>
      </c>
      <c r="E903" s="432" t="s">
        <v>2155</v>
      </c>
      <c r="F903" s="432"/>
      <c r="G903" s="432">
        <v>2022</v>
      </c>
      <c r="H903" s="432" t="s">
        <v>1498</v>
      </c>
      <c r="I903" s="443" t="s">
        <v>1498</v>
      </c>
      <c r="J903" s="433"/>
      <c r="K903" s="434" t="s">
        <v>3256</v>
      </c>
      <c r="L903" s="432" t="s">
        <v>1967</v>
      </c>
      <c r="M903" s="435">
        <v>44545</v>
      </c>
      <c r="N903" s="435">
        <v>44854</v>
      </c>
      <c r="O903" s="435"/>
      <c r="P903" s="349"/>
      <c r="Q903" s="433"/>
      <c r="R903" s="433"/>
      <c r="S903" s="432" t="s">
        <v>1443</v>
      </c>
      <c r="T903" s="432">
        <v>60</v>
      </c>
      <c r="U903" s="350">
        <v>49401140</v>
      </c>
      <c r="V903" s="432" t="s">
        <v>2284</v>
      </c>
      <c r="W903" s="432">
        <v>400</v>
      </c>
      <c r="X903" s="436">
        <v>768</v>
      </c>
      <c r="Y903" s="408">
        <f t="shared" si="117"/>
        <v>307200</v>
      </c>
      <c r="Z903" s="409">
        <v>0.52500000000000002</v>
      </c>
      <c r="AA903" s="423">
        <f t="shared" si="118"/>
        <v>161280</v>
      </c>
      <c r="AB903" s="411"/>
      <c r="AC903" s="412">
        <f t="shared" si="119"/>
        <v>0</v>
      </c>
      <c r="AD903" s="421"/>
      <c r="AE903" s="413"/>
      <c r="AF903" s="424">
        <f t="shared" si="120"/>
        <v>161280</v>
      </c>
      <c r="AG903" s="405" t="s">
        <v>1069</v>
      </c>
      <c r="AH903" s="405"/>
      <c r="AI903" s="414">
        <v>60</v>
      </c>
      <c r="AJ903" s="405" t="s">
        <v>1944</v>
      </c>
      <c r="AK903" s="425" t="s">
        <v>1136</v>
      </c>
      <c r="AL903" s="405">
        <v>75063</v>
      </c>
      <c r="AM903" s="405" t="s">
        <v>52</v>
      </c>
      <c r="AN903" s="405" t="s">
        <v>1071</v>
      </c>
      <c r="AO903" s="405"/>
      <c r="AP903" s="417"/>
      <c r="AQ903" s="417" t="s">
        <v>37</v>
      </c>
      <c r="AR903" s="417"/>
      <c r="AS903" s="426"/>
      <c r="AT903" s="426"/>
      <c r="AU903" s="357"/>
      <c r="AV903" s="409"/>
    </row>
    <row r="904" spans="1:48" s="402" customFormat="1" ht="15" customHeight="1">
      <c r="A904" s="403"/>
      <c r="B904" s="445">
        <v>44557</v>
      </c>
      <c r="C904" s="403"/>
      <c r="D904" s="443" t="s">
        <v>1914</v>
      </c>
      <c r="E904" s="432" t="s">
        <v>2155</v>
      </c>
      <c r="F904" s="432"/>
      <c r="G904" s="432">
        <v>2022</v>
      </c>
      <c r="H904" s="432" t="s">
        <v>1498</v>
      </c>
      <c r="I904" s="443" t="s">
        <v>1498</v>
      </c>
      <c r="J904" s="433"/>
      <c r="K904" s="434" t="s">
        <v>3257</v>
      </c>
      <c r="L904" s="432" t="s">
        <v>1967</v>
      </c>
      <c r="M904" s="435">
        <v>44545</v>
      </c>
      <c r="N904" s="435">
        <v>44866</v>
      </c>
      <c r="O904" s="435"/>
      <c r="P904" s="349"/>
      <c r="Q904" s="433"/>
      <c r="R904" s="433"/>
      <c r="S904" s="432" t="s">
        <v>1443</v>
      </c>
      <c r="T904" s="432">
        <v>60</v>
      </c>
      <c r="U904" s="350">
        <v>49401140</v>
      </c>
      <c r="V904" s="432" t="s">
        <v>2284</v>
      </c>
      <c r="W904" s="432">
        <v>400</v>
      </c>
      <c r="X904" s="436">
        <v>768</v>
      </c>
      <c r="Y904" s="408">
        <f t="shared" si="117"/>
        <v>307200</v>
      </c>
      <c r="Z904" s="409">
        <v>0.52500000000000002</v>
      </c>
      <c r="AA904" s="423">
        <f t="shared" si="118"/>
        <v>161280</v>
      </c>
      <c r="AB904" s="411"/>
      <c r="AC904" s="412">
        <f t="shared" si="119"/>
        <v>0</v>
      </c>
      <c r="AD904" s="421"/>
      <c r="AE904" s="413"/>
      <c r="AF904" s="424">
        <f t="shared" si="120"/>
        <v>161280</v>
      </c>
      <c r="AG904" s="405" t="s">
        <v>1069</v>
      </c>
      <c r="AH904" s="405"/>
      <c r="AI904" s="414">
        <v>60</v>
      </c>
      <c r="AJ904" s="405" t="s">
        <v>1944</v>
      </c>
      <c r="AK904" s="425" t="s">
        <v>1136</v>
      </c>
      <c r="AL904" s="405">
        <v>75063</v>
      </c>
      <c r="AM904" s="405" t="s">
        <v>52</v>
      </c>
      <c r="AN904" s="405" t="s">
        <v>1071</v>
      </c>
      <c r="AO904" s="405"/>
      <c r="AP904" s="417"/>
      <c r="AQ904" s="417" t="s">
        <v>37</v>
      </c>
      <c r="AR904" s="417"/>
      <c r="AS904" s="426"/>
      <c r="AT904" s="426"/>
      <c r="AU904" s="357"/>
      <c r="AV904" s="409"/>
    </row>
    <row r="905" spans="1:48" s="402" customFormat="1" ht="15" customHeight="1">
      <c r="A905" s="403"/>
      <c r="B905" s="445">
        <v>44557</v>
      </c>
      <c r="C905" s="403"/>
      <c r="D905" s="443" t="s">
        <v>1914</v>
      </c>
      <c r="E905" s="432" t="s">
        <v>2155</v>
      </c>
      <c r="F905" s="432"/>
      <c r="G905" s="432">
        <v>2022</v>
      </c>
      <c r="H905" s="432" t="s">
        <v>1498</v>
      </c>
      <c r="I905" s="443" t="s">
        <v>1498</v>
      </c>
      <c r="J905" s="433"/>
      <c r="K905" s="434" t="s">
        <v>3258</v>
      </c>
      <c r="L905" s="432" t="s">
        <v>1967</v>
      </c>
      <c r="M905" s="435">
        <v>44545</v>
      </c>
      <c r="N905" s="435">
        <v>44868</v>
      </c>
      <c r="O905" s="435"/>
      <c r="P905" s="349"/>
      <c r="Q905" s="433"/>
      <c r="R905" s="433"/>
      <c r="S905" s="432" t="s">
        <v>1443</v>
      </c>
      <c r="T905" s="432">
        <v>60</v>
      </c>
      <c r="U905" s="350">
        <v>49401140</v>
      </c>
      <c r="V905" s="432" t="s">
        <v>2284</v>
      </c>
      <c r="W905" s="432">
        <v>400</v>
      </c>
      <c r="X905" s="436">
        <v>768</v>
      </c>
      <c r="Y905" s="408">
        <f t="shared" si="117"/>
        <v>307200</v>
      </c>
      <c r="Z905" s="409">
        <v>0.52500000000000002</v>
      </c>
      <c r="AA905" s="423">
        <f t="shared" si="118"/>
        <v>161280</v>
      </c>
      <c r="AB905" s="411"/>
      <c r="AC905" s="412">
        <f t="shared" si="119"/>
        <v>0</v>
      </c>
      <c r="AD905" s="421"/>
      <c r="AE905" s="413"/>
      <c r="AF905" s="424">
        <f t="shared" si="120"/>
        <v>161280</v>
      </c>
      <c r="AG905" s="405" t="s">
        <v>1069</v>
      </c>
      <c r="AH905" s="405"/>
      <c r="AI905" s="414">
        <v>60</v>
      </c>
      <c r="AJ905" s="405" t="s">
        <v>1944</v>
      </c>
      <c r="AK905" s="425" t="s">
        <v>1136</v>
      </c>
      <c r="AL905" s="405">
        <v>75063</v>
      </c>
      <c r="AM905" s="405" t="s">
        <v>52</v>
      </c>
      <c r="AN905" s="405" t="s">
        <v>1071</v>
      </c>
      <c r="AO905" s="405"/>
      <c r="AP905" s="417"/>
      <c r="AQ905" s="417" t="s">
        <v>37</v>
      </c>
      <c r="AR905" s="417"/>
      <c r="AS905" s="426"/>
      <c r="AT905" s="426"/>
      <c r="AU905" s="357"/>
      <c r="AV905" s="409"/>
    </row>
    <row r="906" spans="1:48" s="402" customFormat="1" ht="15" customHeight="1">
      <c r="A906" s="403"/>
      <c r="B906" s="445">
        <v>44557</v>
      </c>
      <c r="C906" s="403"/>
      <c r="D906" s="443" t="s">
        <v>1914</v>
      </c>
      <c r="E906" s="432" t="s">
        <v>2155</v>
      </c>
      <c r="F906" s="432"/>
      <c r="G906" s="432">
        <v>2022</v>
      </c>
      <c r="H906" s="432" t="s">
        <v>1498</v>
      </c>
      <c r="I906" s="443" t="s">
        <v>1498</v>
      </c>
      <c r="J906" s="433"/>
      <c r="K906" s="434" t="s">
        <v>3259</v>
      </c>
      <c r="L906" s="432" t="s">
        <v>1967</v>
      </c>
      <c r="M906" s="435">
        <v>44545</v>
      </c>
      <c r="N906" s="435">
        <v>44871</v>
      </c>
      <c r="O906" s="435"/>
      <c r="P906" s="349"/>
      <c r="Q906" s="433"/>
      <c r="R906" s="433"/>
      <c r="S906" s="432" t="s">
        <v>1443</v>
      </c>
      <c r="T906" s="432">
        <v>60</v>
      </c>
      <c r="U906" s="350">
        <v>49401140</v>
      </c>
      <c r="V906" s="432" t="s">
        <v>2284</v>
      </c>
      <c r="W906" s="432">
        <v>400</v>
      </c>
      <c r="X906" s="436">
        <v>768</v>
      </c>
      <c r="Y906" s="408">
        <f t="shared" si="117"/>
        <v>307200</v>
      </c>
      <c r="Z906" s="409">
        <v>0.52500000000000002</v>
      </c>
      <c r="AA906" s="423">
        <f t="shared" si="118"/>
        <v>161280</v>
      </c>
      <c r="AB906" s="411"/>
      <c r="AC906" s="412">
        <f t="shared" si="119"/>
        <v>0</v>
      </c>
      <c r="AD906" s="421"/>
      <c r="AE906" s="413"/>
      <c r="AF906" s="424">
        <f t="shared" si="120"/>
        <v>161280</v>
      </c>
      <c r="AG906" s="405" t="s">
        <v>1069</v>
      </c>
      <c r="AH906" s="405"/>
      <c r="AI906" s="414">
        <v>60</v>
      </c>
      <c r="AJ906" s="405" t="s">
        <v>1944</v>
      </c>
      <c r="AK906" s="425" t="s">
        <v>1136</v>
      </c>
      <c r="AL906" s="405">
        <v>75063</v>
      </c>
      <c r="AM906" s="405" t="s">
        <v>52</v>
      </c>
      <c r="AN906" s="405" t="s">
        <v>1071</v>
      </c>
      <c r="AO906" s="405"/>
      <c r="AP906" s="417"/>
      <c r="AQ906" s="417" t="s">
        <v>37</v>
      </c>
      <c r="AR906" s="417"/>
      <c r="AS906" s="426"/>
      <c r="AT906" s="426"/>
      <c r="AU906" s="357"/>
      <c r="AV906" s="409"/>
    </row>
    <row r="907" spans="1:48" s="402" customFormat="1" ht="15" customHeight="1">
      <c r="A907" s="403"/>
      <c r="B907" s="445">
        <v>44557</v>
      </c>
      <c r="C907" s="403"/>
      <c r="D907" s="443" t="s">
        <v>1914</v>
      </c>
      <c r="E907" s="432" t="s">
        <v>2155</v>
      </c>
      <c r="F907" s="432"/>
      <c r="G907" s="432">
        <v>2022</v>
      </c>
      <c r="H907" s="432" t="s">
        <v>1498</v>
      </c>
      <c r="I907" s="443" t="s">
        <v>1498</v>
      </c>
      <c r="J907" s="433"/>
      <c r="K907" s="434" t="s">
        <v>3260</v>
      </c>
      <c r="L907" s="432" t="s">
        <v>1967</v>
      </c>
      <c r="M907" s="435">
        <v>44545</v>
      </c>
      <c r="N907" s="435">
        <v>44876</v>
      </c>
      <c r="O907" s="435"/>
      <c r="P907" s="349"/>
      <c r="Q907" s="433"/>
      <c r="R907" s="433"/>
      <c r="S907" s="432" t="s">
        <v>1443</v>
      </c>
      <c r="T907" s="432">
        <v>60</v>
      </c>
      <c r="U907" s="350">
        <v>49401140</v>
      </c>
      <c r="V907" s="432" t="s">
        <v>2284</v>
      </c>
      <c r="W907" s="432">
        <v>400</v>
      </c>
      <c r="X907" s="436">
        <v>768</v>
      </c>
      <c r="Y907" s="408">
        <f t="shared" si="117"/>
        <v>307200</v>
      </c>
      <c r="Z907" s="409">
        <v>0.52500000000000002</v>
      </c>
      <c r="AA907" s="423">
        <f t="shared" si="118"/>
        <v>161280</v>
      </c>
      <c r="AB907" s="411"/>
      <c r="AC907" s="412">
        <f t="shared" si="119"/>
        <v>0</v>
      </c>
      <c r="AD907" s="421"/>
      <c r="AE907" s="413"/>
      <c r="AF907" s="424">
        <f t="shared" si="120"/>
        <v>161280</v>
      </c>
      <c r="AG907" s="405" t="s">
        <v>1069</v>
      </c>
      <c r="AH907" s="405"/>
      <c r="AI907" s="414">
        <v>60</v>
      </c>
      <c r="AJ907" s="405" t="s">
        <v>1944</v>
      </c>
      <c r="AK907" s="425" t="s">
        <v>1136</v>
      </c>
      <c r="AL907" s="405">
        <v>75063</v>
      </c>
      <c r="AM907" s="405" t="s">
        <v>52</v>
      </c>
      <c r="AN907" s="405" t="s">
        <v>1071</v>
      </c>
      <c r="AO907" s="405"/>
      <c r="AP907" s="417"/>
      <c r="AQ907" s="417" t="s">
        <v>37</v>
      </c>
      <c r="AR907" s="417"/>
      <c r="AS907" s="426"/>
      <c r="AT907" s="426"/>
      <c r="AU907" s="357"/>
      <c r="AV907" s="409"/>
    </row>
    <row r="908" spans="1:48" s="402" customFormat="1" ht="15" customHeight="1">
      <c r="A908" s="403"/>
      <c r="B908" s="445">
        <v>44557</v>
      </c>
      <c r="C908" s="403"/>
      <c r="D908" s="443" t="s">
        <v>1914</v>
      </c>
      <c r="E908" s="432" t="s">
        <v>2155</v>
      </c>
      <c r="F908" s="432"/>
      <c r="G908" s="432">
        <v>2022</v>
      </c>
      <c r="H908" s="432" t="s">
        <v>1498</v>
      </c>
      <c r="I908" s="443" t="s">
        <v>1498</v>
      </c>
      <c r="J908" s="433"/>
      <c r="K908" s="434" t="s">
        <v>3261</v>
      </c>
      <c r="L908" s="432" t="s">
        <v>1967</v>
      </c>
      <c r="M908" s="435">
        <v>44545</v>
      </c>
      <c r="N908" s="435">
        <v>44878</v>
      </c>
      <c r="O908" s="435"/>
      <c r="P908" s="349"/>
      <c r="Q908" s="433"/>
      <c r="R908" s="433"/>
      <c r="S908" s="432" t="s">
        <v>1443</v>
      </c>
      <c r="T908" s="432">
        <v>60</v>
      </c>
      <c r="U908" s="350">
        <v>49401140</v>
      </c>
      <c r="V908" s="432" t="s">
        <v>2284</v>
      </c>
      <c r="W908" s="432">
        <v>400</v>
      </c>
      <c r="X908" s="436">
        <v>768</v>
      </c>
      <c r="Y908" s="408">
        <f t="shared" si="117"/>
        <v>307200</v>
      </c>
      <c r="Z908" s="409">
        <v>0.52500000000000002</v>
      </c>
      <c r="AA908" s="423">
        <f t="shared" si="118"/>
        <v>161280</v>
      </c>
      <c r="AB908" s="411"/>
      <c r="AC908" s="412">
        <f t="shared" si="119"/>
        <v>0</v>
      </c>
      <c r="AD908" s="421"/>
      <c r="AE908" s="413"/>
      <c r="AF908" s="424">
        <f t="shared" si="120"/>
        <v>161280</v>
      </c>
      <c r="AG908" s="405" t="s">
        <v>1069</v>
      </c>
      <c r="AH908" s="405"/>
      <c r="AI908" s="414">
        <v>60</v>
      </c>
      <c r="AJ908" s="405" t="s">
        <v>1944</v>
      </c>
      <c r="AK908" s="425" t="s">
        <v>1136</v>
      </c>
      <c r="AL908" s="405">
        <v>75063</v>
      </c>
      <c r="AM908" s="405" t="s">
        <v>52</v>
      </c>
      <c r="AN908" s="405" t="s">
        <v>1071</v>
      </c>
      <c r="AO908" s="405"/>
      <c r="AP908" s="417"/>
      <c r="AQ908" s="417" t="s">
        <v>37</v>
      </c>
      <c r="AR908" s="417"/>
      <c r="AS908" s="426"/>
      <c r="AT908" s="426"/>
      <c r="AU908" s="357"/>
      <c r="AV908" s="409"/>
    </row>
    <row r="909" spans="1:48" s="402" customFormat="1" ht="15" customHeight="1">
      <c r="A909" s="403"/>
      <c r="B909" s="445">
        <v>44557</v>
      </c>
      <c r="C909" s="403"/>
      <c r="D909" s="443" t="s">
        <v>1914</v>
      </c>
      <c r="E909" s="432" t="s">
        <v>2155</v>
      </c>
      <c r="F909" s="432"/>
      <c r="G909" s="432">
        <v>2022</v>
      </c>
      <c r="H909" s="432" t="s">
        <v>1498</v>
      </c>
      <c r="I909" s="443" t="s">
        <v>1498</v>
      </c>
      <c r="J909" s="433"/>
      <c r="K909" s="434" t="s">
        <v>3262</v>
      </c>
      <c r="L909" s="432" t="s">
        <v>1967</v>
      </c>
      <c r="M909" s="435">
        <v>44545</v>
      </c>
      <c r="N909" s="435">
        <v>44881</v>
      </c>
      <c r="O909" s="435"/>
      <c r="P909" s="349"/>
      <c r="Q909" s="433"/>
      <c r="R909" s="433"/>
      <c r="S909" s="432" t="s">
        <v>1443</v>
      </c>
      <c r="T909" s="432">
        <v>60</v>
      </c>
      <c r="U909" s="350">
        <v>49401140</v>
      </c>
      <c r="V909" s="432" t="s">
        <v>2284</v>
      </c>
      <c r="W909" s="432">
        <v>400</v>
      </c>
      <c r="X909" s="436">
        <v>768</v>
      </c>
      <c r="Y909" s="408">
        <f t="shared" si="117"/>
        <v>307200</v>
      </c>
      <c r="Z909" s="409">
        <v>0.52500000000000002</v>
      </c>
      <c r="AA909" s="423">
        <f t="shared" si="118"/>
        <v>161280</v>
      </c>
      <c r="AB909" s="411"/>
      <c r="AC909" s="412">
        <f t="shared" si="119"/>
        <v>0</v>
      </c>
      <c r="AD909" s="421"/>
      <c r="AE909" s="413"/>
      <c r="AF909" s="424">
        <f t="shared" si="120"/>
        <v>161280</v>
      </c>
      <c r="AG909" s="405" t="s">
        <v>1069</v>
      </c>
      <c r="AH909" s="405"/>
      <c r="AI909" s="414">
        <v>60</v>
      </c>
      <c r="AJ909" s="405" t="s">
        <v>1944</v>
      </c>
      <c r="AK909" s="425" t="s">
        <v>1136</v>
      </c>
      <c r="AL909" s="405">
        <v>75063</v>
      </c>
      <c r="AM909" s="405" t="s">
        <v>52</v>
      </c>
      <c r="AN909" s="405" t="s">
        <v>1071</v>
      </c>
      <c r="AO909" s="405"/>
      <c r="AP909" s="417"/>
      <c r="AQ909" s="417" t="s">
        <v>37</v>
      </c>
      <c r="AR909" s="417"/>
      <c r="AS909" s="426"/>
      <c r="AT909" s="426"/>
      <c r="AU909" s="357"/>
      <c r="AV909" s="409"/>
    </row>
    <row r="910" spans="1:48" s="402" customFormat="1" ht="15" customHeight="1">
      <c r="A910" s="403"/>
      <c r="B910" s="445">
        <v>44557</v>
      </c>
      <c r="C910" s="403"/>
      <c r="D910" s="443" t="s">
        <v>1914</v>
      </c>
      <c r="E910" s="432" t="s">
        <v>2155</v>
      </c>
      <c r="F910" s="432"/>
      <c r="G910" s="432">
        <v>2022</v>
      </c>
      <c r="H910" s="432" t="s">
        <v>1498</v>
      </c>
      <c r="I910" s="443" t="s">
        <v>1498</v>
      </c>
      <c r="J910" s="433"/>
      <c r="K910" s="434" t="s">
        <v>3263</v>
      </c>
      <c r="L910" s="432" t="s">
        <v>1967</v>
      </c>
      <c r="M910" s="435">
        <v>44545</v>
      </c>
      <c r="N910" s="435">
        <v>44885</v>
      </c>
      <c r="O910" s="435"/>
      <c r="P910" s="349"/>
      <c r="Q910" s="433"/>
      <c r="R910" s="433"/>
      <c r="S910" s="432" t="s">
        <v>1443</v>
      </c>
      <c r="T910" s="432">
        <v>60</v>
      </c>
      <c r="U910" s="350">
        <v>49401140</v>
      </c>
      <c r="V910" s="432" t="s">
        <v>2284</v>
      </c>
      <c r="W910" s="432">
        <v>400</v>
      </c>
      <c r="X910" s="436">
        <v>768</v>
      </c>
      <c r="Y910" s="408">
        <f t="shared" si="117"/>
        <v>307200</v>
      </c>
      <c r="Z910" s="409">
        <v>0.52500000000000002</v>
      </c>
      <c r="AA910" s="423">
        <f t="shared" si="118"/>
        <v>161280</v>
      </c>
      <c r="AB910" s="411"/>
      <c r="AC910" s="412">
        <f t="shared" si="119"/>
        <v>0</v>
      </c>
      <c r="AD910" s="421"/>
      <c r="AE910" s="413"/>
      <c r="AF910" s="424">
        <f t="shared" si="120"/>
        <v>161280</v>
      </c>
      <c r="AG910" s="405" t="s">
        <v>1069</v>
      </c>
      <c r="AH910" s="405"/>
      <c r="AI910" s="414">
        <v>60</v>
      </c>
      <c r="AJ910" s="405" t="s">
        <v>1944</v>
      </c>
      <c r="AK910" s="425" t="s">
        <v>1136</v>
      </c>
      <c r="AL910" s="405">
        <v>75063</v>
      </c>
      <c r="AM910" s="405" t="s">
        <v>52</v>
      </c>
      <c r="AN910" s="405" t="s">
        <v>1071</v>
      </c>
      <c r="AO910" s="405"/>
      <c r="AP910" s="417"/>
      <c r="AQ910" s="417" t="s">
        <v>37</v>
      </c>
      <c r="AR910" s="417"/>
      <c r="AS910" s="426"/>
      <c r="AT910" s="426"/>
      <c r="AU910" s="357"/>
      <c r="AV910" s="409"/>
    </row>
    <row r="911" spans="1:48" s="402" customFormat="1" ht="15" customHeight="1">
      <c r="A911" s="403"/>
      <c r="B911" s="445">
        <v>44557</v>
      </c>
      <c r="C911" s="403"/>
      <c r="D911" s="443" t="s">
        <v>1914</v>
      </c>
      <c r="E911" s="432" t="s">
        <v>2155</v>
      </c>
      <c r="F911" s="432"/>
      <c r="G911" s="432">
        <v>2022</v>
      </c>
      <c r="H911" s="432" t="s">
        <v>1498</v>
      </c>
      <c r="I911" s="443" t="s">
        <v>1498</v>
      </c>
      <c r="J911" s="433"/>
      <c r="K911" s="434" t="s">
        <v>3264</v>
      </c>
      <c r="L911" s="432" t="s">
        <v>1967</v>
      </c>
      <c r="M911" s="435">
        <v>44545</v>
      </c>
      <c r="N911" s="435">
        <v>44896</v>
      </c>
      <c r="O911" s="435"/>
      <c r="P911" s="349"/>
      <c r="Q911" s="433"/>
      <c r="R911" s="433"/>
      <c r="S911" s="432" t="s">
        <v>1443</v>
      </c>
      <c r="T911" s="432">
        <v>60</v>
      </c>
      <c r="U911" s="350">
        <v>49401140</v>
      </c>
      <c r="V911" s="432" t="s">
        <v>2284</v>
      </c>
      <c r="W911" s="432">
        <v>400</v>
      </c>
      <c r="X911" s="436">
        <v>768</v>
      </c>
      <c r="Y911" s="408">
        <f t="shared" si="117"/>
        <v>307200</v>
      </c>
      <c r="Z911" s="409">
        <v>0.52500000000000002</v>
      </c>
      <c r="AA911" s="423">
        <f t="shared" si="118"/>
        <v>161280</v>
      </c>
      <c r="AB911" s="411"/>
      <c r="AC911" s="412">
        <f t="shared" si="119"/>
        <v>0</v>
      </c>
      <c r="AD911" s="421"/>
      <c r="AE911" s="413"/>
      <c r="AF911" s="424">
        <f t="shared" si="120"/>
        <v>161280</v>
      </c>
      <c r="AG911" s="405" t="s">
        <v>1069</v>
      </c>
      <c r="AH911" s="405"/>
      <c r="AI911" s="414">
        <v>60</v>
      </c>
      <c r="AJ911" s="405" t="s">
        <v>1944</v>
      </c>
      <c r="AK911" s="425" t="s">
        <v>1136</v>
      </c>
      <c r="AL911" s="405">
        <v>75063</v>
      </c>
      <c r="AM911" s="405" t="s">
        <v>52</v>
      </c>
      <c r="AN911" s="405" t="s">
        <v>1071</v>
      </c>
      <c r="AO911" s="405"/>
      <c r="AP911" s="417"/>
      <c r="AQ911" s="417" t="s">
        <v>37</v>
      </c>
      <c r="AR911" s="417"/>
      <c r="AS911" s="426"/>
      <c r="AT911" s="426"/>
      <c r="AU911" s="357"/>
      <c r="AV911" s="409"/>
    </row>
    <row r="912" spans="1:48" s="402" customFormat="1" ht="15" customHeight="1">
      <c r="A912" s="403"/>
      <c r="B912" s="445">
        <v>44557</v>
      </c>
      <c r="C912" s="403"/>
      <c r="D912" s="443" t="s">
        <v>1914</v>
      </c>
      <c r="E912" s="432" t="s">
        <v>2155</v>
      </c>
      <c r="F912" s="432"/>
      <c r="G912" s="432">
        <v>2022</v>
      </c>
      <c r="H912" s="432" t="s">
        <v>1498</v>
      </c>
      <c r="I912" s="443" t="s">
        <v>1498</v>
      </c>
      <c r="J912" s="433"/>
      <c r="K912" s="434" t="s">
        <v>3265</v>
      </c>
      <c r="L912" s="432" t="s">
        <v>1967</v>
      </c>
      <c r="M912" s="435">
        <v>44545</v>
      </c>
      <c r="N912" s="435">
        <v>44898</v>
      </c>
      <c r="O912" s="435"/>
      <c r="P912" s="349"/>
      <c r="Q912" s="433"/>
      <c r="R912" s="433"/>
      <c r="S912" s="432" t="s">
        <v>1443</v>
      </c>
      <c r="T912" s="432">
        <v>60</v>
      </c>
      <c r="U912" s="350">
        <v>49401140</v>
      </c>
      <c r="V912" s="432" t="s">
        <v>2284</v>
      </c>
      <c r="W912" s="432">
        <v>400</v>
      </c>
      <c r="X912" s="436">
        <v>768</v>
      </c>
      <c r="Y912" s="408">
        <f t="shared" si="117"/>
        <v>307200</v>
      </c>
      <c r="Z912" s="409">
        <v>0.52500000000000002</v>
      </c>
      <c r="AA912" s="423">
        <f t="shared" si="118"/>
        <v>161280</v>
      </c>
      <c r="AB912" s="411"/>
      <c r="AC912" s="412">
        <f t="shared" si="119"/>
        <v>0</v>
      </c>
      <c r="AD912" s="421"/>
      <c r="AE912" s="413"/>
      <c r="AF912" s="424">
        <f t="shared" si="120"/>
        <v>161280</v>
      </c>
      <c r="AG912" s="405" t="s">
        <v>1069</v>
      </c>
      <c r="AH912" s="405"/>
      <c r="AI912" s="414">
        <v>60</v>
      </c>
      <c r="AJ912" s="405" t="s">
        <v>1944</v>
      </c>
      <c r="AK912" s="425" t="s">
        <v>1136</v>
      </c>
      <c r="AL912" s="405">
        <v>75063</v>
      </c>
      <c r="AM912" s="405" t="s">
        <v>52</v>
      </c>
      <c r="AN912" s="405" t="s">
        <v>1071</v>
      </c>
      <c r="AO912" s="405"/>
      <c r="AP912" s="417"/>
      <c r="AQ912" s="417" t="s">
        <v>37</v>
      </c>
      <c r="AR912" s="417"/>
      <c r="AS912" s="426"/>
      <c r="AT912" s="426"/>
      <c r="AU912" s="357"/>
      <c r="AV912" s="409"/>
    </row>
    <row r="913" spans="1:48" s="402" customFormat="1" ht="15" customHeight="1">
      <c r="A913" s="403"/>
      <c r="B913" s="445">
        <v>44557</v>
      </c>
      <c r="C913" s="403"/>
      <c r="D913" s="443" t="s">
        <v>1914</v>
      </c>
      <c r="E913" s="432" t="s">
        <v>2155</v>
      </c>
      <c r="F913" s="432"/>
      <c r="G913" s="432">
        <v>2022</v>
      </c>
      <c r="H913" s="432" t="s">
        <v>1498</v>
      </c>
      <c r="I913" s="443" t="s">
        <v>1498</v>
      </c>
      <c r="J913" s="433"/>
      <c r="K913" s="434" t="s">
        <v>3266</v>
      </c>
      <c r="L913" s="432" t="s">
        <v>1967</v>
      </c>
      <c r="M913" s="435">
        <v>44545</v>
      </c>
      <c r="N913" s="435">
        <v>44849</v>
      </c>
      <c r="O913" s="435"/>
      <c r="P913" s="349"/>
      <c r="Q913" s="433"/>
      <c r="R913" s="433"/>
      <c r="S913" s="432" t="s">
        <v>1443</v>
      </c>
      <c r="T913" s="432">
        <v>60</v>
      </c>
      <c r="U913" s="350">
        <v>49201132</v>
      </c>
      <c r="V913" s="432" t="s">
        <v>986</v>
      </c>
      <c r="W913" s="432">
        <v>360</v>
      </c>
      <c r="X913" s="436">
        <v>832</v>
      </c>
      <c r="Y913" s="408">
        <f t="shared" ref="Y913:Y976" si="122">X913*W913</f>
        <v>299520</v>
      </c>
      <c r="Z913" s="409">
        <v>0.79</v>
      </c>
      <c r="AA913" s="423">
        <f t="shared" ref="AA913:AA976" si="123">Z913*Y913</f>
        <v>236620.80000000002</v>
      </c>
      <c r="AB913" s="411"/>
      <c r="AC913" s="412">
        <f t="shared" ref="AC913:AC976" si="124">AB913*Y913</f>
        <v>0</v>
      </c>
      <c r="AD913" s="421"/>
      <c r="AE913" s="413"/>
      <c r="AF913" s="424">
        <f t="shared" ref="AF913:AF976" si="125">AA913+AE913</f>
        <v>236620.80000000002</v>
      </c>
      <c r="AG913" s="405" t="s">
        <v>1069</v>
      </c>
      <c r="AH913" s="405"/>
      <c r="AI913" s="414">
        <v>60</v>
      </c>
      <c r="AJ913" s="405" t="s">
        <v>1968</v>
      </c>
      <c r="AK913" s="425" t="s">
        <v>1599</v>
      </c>
      <c r="AL913" s="405">
        <v>97210</v>
      </c>
      <c r="AM913" s="405" t="s">
        <v>52</v>
      </c>
      <c r="AN913" s="405" t="s">
        <v>1071</v>
      </c>
      <c r="AO913" s="405"/>
      <c r="AP913" s="417"/>
      <c r="AQ913" s="417" t="s">
        <v>37</v>
      </c>
      <c r="AR913" s="417"/>
      <c r="AS913" s="426"/>
      <c r="AT913" s="426"/>
      <c r="AU913" s="357"/>
      <c r="AV913" s="409"/>
    </row>
    <row r="914" spans="1:48" s="402" customFormat="1" ht="15" customHeight="1">
      <c r="A914" s="403"/>
      <c r="B914" s="445">
        <v>44522</v>
      </c>
      <c r="C914" s="403"/>
      <c r="D914" s="443" t="s">
        <v>1914</v>
      </c>
      <c r="E914" s="432" t="s">
        <v>2155</v>
      </c>
      <c r="F914" s="432"/>
      <c r="G914" s="432">
        <v>2022</v>
      </c>
      <c r="H914" s="432" t="s">
        <v>1498</v>
      </c>
      <c r="I914" s="443" t="s">
        <v>1498</v>
      </c>
      <c r="J914" s="433"/>
      <c r="K914" s="434" t="s">
        <v>3267</v>
      </c>
      <c r="L914" s="432" t="s">
        <v>1967</v>
      </c>
      <c r="M914" s="435">
        <v>44505</v>
      </c>
      <c r="N914" s="435">
        <v>44655</v>
      </c>
      <c r="O914" s="435"/>
      <c r="P914" s="349"/>
      <c r="Q914" s="433"/>
      <c r="R914" s="433"/>
      <c r="S914" s="432" t="s">
        <v>1443</v>
      </c>
      <c r="T914" s="432">
        <v>60</v>
      </c>
      <c r="U914" s="350">
        <v>49401140</v>
      </c>
      <c r="V914" s="432" t="s">
        <v>973</v>
      </c>
      <c r="W914" s="432">
        <v>400</v>
      </c>
      <c r="X914" s="436">
        <v>768</v>
      </c>
      <c r="Y914" s="408">
        <f t="shared" si="122"/>
        <v>307200</v>
      </c>
      <c r="Z914" s="409">
        <f t="shared" ref="Z914:Z922" si="126">210/400</f>
        <v>0.52500000000000002</v>
      </c>
      <c r="AA914" s="423">
        <f t="shared" si="123"/>
        <v>161280</v>
      </c>
      <c r="AB914" s="411"/>
      <c r="AC914" s="412">
        <f t="shared" si="124"/>
        <v>0</v>
      </c>
      <c r="AD914" s="421"/>
      <c r="AE914" s="413"/>
      <c r="AF914" s="424">
        <f t="shared" si="125"/>
        <v>161280</v>
      </c>
      <c r="AG914" s="405" t="s">
        <v>1069</v>
      </c>
      <c r="AH914" s="405"/>
      <c r="AI914" s="414" t="s">
        <v>1962</v>
      </c>
      <c r="AJ914" s="405" t="s">
        <v>1584</v>
      </c>
      <c r="AK914" s="425" t="s">
        <v>50</v>
      </c>
      <c r="AL914" s="405" t="s">
        <v>1685</v>
      </c>
      <c r="AM914" s="405" t="s">
        <v>52</v>
      </c>
      <c r="AN914" s="405"/>
      <c r="AO914" s="405"/>
      <c r="AP914" s="417"/>
      <c r="AQ914" s="417" t="s">
        <v>37</v>
      </c>
      <c r="AR914" s="417"/>
      <c r="AS914" s="426"/>
      <c r="AT914" s="426"/>
      <c r="AU914" s="357"/>
      <c r="AV914" s="409"/>
    </row>
    <row r="915" spans="1:48" s="402" customFormat="1" ht="15" customHeight="1">
      <c r="A915" s="403"/>
      <c r="B915" s="445">
        <v>44522</v>
      </c>
      <c r="C915" s="403"/>
      <c r="D915" s="443" t="s">
        <v>1914</v>
      </c>
      <c r="E915" s="432" t="s">
        <v>2155</v>
      </c>
      <c r="F915" s="432"/>
      <c r="G915" s="432">
        <v>2022</v>
      </c>
      <c r="H915" s="432" t="s">
        <v>1498</v>
      </c>
      <c r="I915" s="443" t="s">
        <v>1498</v>
      </c>
      <c r="J915" s="433"/>
      <c r="K915" s="434" t="s">
        <v>3268</v>
      </c>
      <c r="L915" s="432" t="s">
        <v>1967</v>
      </c>
      <c r="M915" s="435">
        <v>44505</v>
      </c>
      <c r="N915" s="435">
        <v>44662</v>
      </c>
      <c r="O915" s="435"/>
      <c r="P915" s="349"/>
      <c r="Q915" s="433"/>
      <c r="R915" s="433"/>
      <c r="S915" s="432" t="s">
        <v>1443</v>
      </c>
      <c r="T915" s="432">
        <v>60</v>
      </c>
      <c r="U915" s="350">
        <v>49401140</v>
      </c>
      <c r="V915" s="432" t="s">
        <v>973</v>
      </c>
      <c r="W915" s="432">
        <v>400</v>
      </c>
      <c r="X915" s="436">
        <v>768</v>
      </c>
      <c r="Y915" s="408">
        <f t="shared" si="122"/>
        <v>307200</v>
      </c>
      <c r="Z915" s="409">
        <f t="shared" si="126"/>
        <v>0.52500000000000002</v>
      </c>
      <c r="AA915" s="423">
        <f t="shared" si="123"/>
        <v>161280</v>
      </c>
      <c r="AB915" s="411"/>
      <c r="AC915" s="412">
        <f t="shared" si="124"/>
        <v>0</v>
      </c>
      <c r="AD915" s="421"/>
      <c r="AE915" s="413"/>
      <c r="AF915" s="424">
        <f t="shared" si="125"/>
        <v>161280</v>
      </c>
      <c r="AG915" s="405" t="s">
        <v>1069</v>
      </c>
      <c r="AH915" s="405"/>
      <c r="AI915" s="414" t="s">
        <v>1962</v>
      </c>
      <c r="AJ915" s="405" t="s">
        <v>1584</v>
      </c>
      <c r="AK915" s="425" t="s">
        <v>50</v>
      </c>
      <c r="AL915" s="405" t="s">
        <v>1685</v>
      </c>
      <c r="AM915" s="405" t="s">
        <v>52</v>
      </c>
      <c r="AN915" s="405"/>
      <c r="AO915" s="405"/>
      <c r="AP915" s="417"/>
      <c r="AQ915" s="417" t="s">
        <v>37</v>
      </c>
      <c r="AR915" s="417"/>
      <c r="AS915" s="426"/>
      <c r="AT915" s="426"/>
      <c r="AU915" s="357"/>
      <c r="AV915" s="409"/>
    </row>
    <row r="916" spans="1:48" s="402" customFormat="1" ht="15" customHeight="1">
      <c r="A916" s="403"/>
      <c r="B916" s="445">
        <v>44522</v>
      </c>
      <c r="C916" s="403"/>
      <c r="D916" s="443" t="s">
        <v>1914</v>
      </c>
      <c r="E916" s="432" t="s">
        <v>2155</v>
      </c>
      <c r="F916" s="432"/>
      <c r="G916" s="432">
        <v>2022</v>
      </c>
      <c r="H916" s="432" t="s">
        <v>1498</v>
      </c>
      <c r="I916" s="443" t="s">
        <v>1498</v>
      </c>
      <c r="J916" s="433"/>
      <c r="K916" s="434" t="s">
        <v>3269</v>
      </c>
      <c r="L916" s="432" t="s">
        <v>1967</v>
      </c>
      <c r="M916" s="435">
        <v>44505</v>
      </c>
      <c r="N916" s="435">
        <v>44666</v>
      </c>
      <c r="O916" s="435"/>
      <c r="P916" s="349"/>
      <c r="Q916" s="433"/>
      <c r="R916" s="433"/>
      <c r="S916" s="432" t="s">
        <v>1443</v>
      </c>
      <c r="T916" s="432">
        <v>60</v>
      </c>
      <c r="U916" s="350">
        <v>49401140</v>
      </c>
      <c r="V916" s="432" t="s">
        <v>973</v>
      </c>
      <c r="W916" s="432">
        <v>400</v>
      </c>
      <c r="X916" s="436">
        <v>768</v>
      </c>
      <c r="Y916" s="408">
        <f t="shared" si="122"/>
        <v>307200</v>
      </c>
      <c r="Z916" s="409">
        <f t="shared" si="126"/>
        <v>0.52500000000000002</v>
      </c>
      <c r="AA916" s="423">
        <f t="shared" si="123"/>
        <v>161280</v>
      </c>
      <c r="AB916" s="411"/>
      <c r="AC916" s="412">
        <f t="shared" si="124"/>
        <v>0</v>
      </c>
      <c r="AD916" s="421"/>
      <c r="AE916" s="413"/>
      <c r="AF916" s="424">
        <f t="shared" si="125"/>
        <v>161280</v>
      </c>
      <c r="AG916" s="405" t="s">
        <v>1069</v>
      </c>
      <c r="AH916" s="405"/>
      <c r="AI916" s="414" t="s">
        <v>1962</v>
      </c>
      <c r="AJ916" s="405" t="s">
        <v>2000</v>
      </c>
      <c r="AK916" s="425" t="s">
        <v>50</v>
      </c>
      <c r="AL916" s="405" t="s">
        <v>1685</v>
      </c>
      <c r="AM916" s="405" t="s">
        <v>52</v>
      </c>
      <c r="AN916" s="405"/>
      <c r="AO916" s="405"/>
      <c r="AP916" s="417"/>
      <c r="AQ916" s="417" t="s">
        <v>37</v>
      </c>
      <c r="AR916" s="417"/>
      <c r="AS916" s="426"/>
      <c r="AT916" s="426"/>
      <c r="AU916" s="357"/>
      <c r="AV916" s="409"/>
    </row>
    <row r="917" spans="1:48" s="402" customFormat="1" ht="15" customHeight="1">
      <c r="A917" s="403"/>
      <c r="B917" s="445">
        <v>44522</v>
      </c>
      <c r="C917" s="403"/>
      <c r="D917" s="443" t="s">
        <v>1914</v>
      </c>
      <c r="E917" s="432" t="s">
        <v>2155</v>
      </c>
      <c r="F917" s="432"/>
      <c r="G917" s="432">
        <v>2022</v>
      </c>
      <c r="H917" s="432" t="s">
        <v>1498</v>
      </c>
      <c r="I917" s="443" t="s">
        <v>1498</v>
      </c>
      <c r="J917" s="433"/>
      <c r="K917" s="434" t="s">
        <v>3270</v>
      </c>
      <c r="L917" s="432" t="s">
        <v>1967</v>
      </c>
      <c r="M917" s="435">
        <v>44505</v>
      </c>
      <c r="N917" s="435">
        <v>44685</v>
      </c>
      <c r="O917" s="435"/>
      <c r="P917" s="349"/>
      <c r="Q917" s="433"/>
      <c r="R917" s="433"/>
      <c r="S917" s="432" t="s">
        <v>1443</v>
      </c>
      <c r="T917" s="432">
        <v>60</v>
      </c>
      <c r="U917" s="350">
        <v>49401140</v>
      </c>
      <c r="V917" s="432" t="s">
        <v>973</v>
      </c>
      <c r="W917" s="432">
        <v>400</v>
      </c>
      <c r="X917" s="436">
        <v>768</v>
      </c>
      <c r="Y917" s="408">
        <f t="shared" si="122"/>
        <v>307200</v>
      </c>
      <c r="Z917" s="409">
        <f t="shared" si="126"/>
        <v>0.52500000000000002</v>
      </c>
      <c r="AA917" s="423">
        <f t="shared" si="123"/>
        <v>161280</v>
      </c>
      <c r="AB917" s="411"/>
      <c r="AC917" s="412">
        <f t="shared" si="124"/>
        <v>0</v>
      </c>
      <c r="AD917" s="421"/>
      <c r="AE917" s="413"/>
      <c r="AF917" s="424">
        <f t="shared" si="125"/>
        <v>161280</v>
      </c>
      <c r="AG917" s="405" t="s">
        <v>1069</v>
      </c>
      <c r="AH917" s="405"/>
      <c r="AI917" s="414" t="s">
        <v>1962</v>
      </c>
      <c r="AJ917" s="405" t="s">
        <v>2000</v>
      </c>
      <c r="AK917" s="425" t="s">
        <v>50</v>
      </c>
      <c r="AL917" s="405" t="s">
        <v>1685</v>
      </c>
      <c r="AM917" s="405" t="s">
        <v>52</v>
      </c>
      <c r="AN917" s="405"/>
      <c r="AO917" s="405"/>
      <c r="AP917" s="417"/>
      <c r="AQ917" s="417" t="s">
        <v>37</v>
      </c>
      <c r="AR917" s="417"/>
      <c r="AS917" s="426"/>
      <c r="AT917" s="426"/>
      <c r="AU917" s="357"/>
      <c r="AV917" s="409"/>
    </row>
    <row r="918" spans="1:48" s="402" customFormat="1" ht="15" customHeight="1">
      <c r="A918" s="403"/>
      <c r="B918" s="445">
        <v>44522</v>
      </c>
      <c r="C918" s="403"/>
      <c r="D918" s="443" t="s">
        <v>1914</v>
      </c>
      <c r="E918" s="432" t="s">
        <v>2155</v>
      </c>
      <c r="F918" s="432"/>
      <c r="G918" s="432">
        <v>2022</v>
      </c>
      <c r="H918" s="432" t="s">
        <v>1498</v>
      </c>
      <c r="I918" s="443" t="s">
        <v>1498</v>
      </c>
      <c r="J918" s="433"/>
      <c r="K918" s="434" t="s">
        <v>3271</v>
      </c>
      <c r="L918" s="432" t="s">
        <v>1967</v>
      </c>
      <c r="M918" s="435">
        <v>44505</v>
      </c>
      <c r="N918" s="435">
        <v>44692</v>
      </c>
      <c r="O918" s="435"/>
      <c r="P918" s="349"/>
      <c r="Q918" s="433"/>
      <c r="R918" s="433"/>
      <c r="S918" s="432" t="s">
        <v>1443</v>
      </c>
      <c r="T918" s="432">
        <v>60</v>
      </c>
      <c r="U918" s="350">
        <v>49401140</v>
      </c>
      <c r="V918" s="432" t="s">
        <v>973</v>
      </c>
      <c r="W918" s="432">
        <v>400</v>
      </c>
      <c r="X918" s="436">
        <v>768</v>
      </c>
      <c r="Y918" s="408">
        <f t="shared" si="122"/>
        <v>307200</v>
      </c>
      <c r="Z918" s="409">
        <f t="shared" si="126"/>
        <v>0.52500000000000002</v>
      </c>
      <c r="AA918" s="423">
        <f t="shared" si="123"/>
        <v>161280</v>
      </c>
      <c r="AB918" s="411"/>
      <c r="AC918" s="412">
        <f t="shared" si="124"/>
        <v>0</v>
      </c>
      <c r="AD918" s="421"/>
      <c r="AE918" s="413"/>
      <c r="AF918" s="424">
        <f t="shared" si="125"/>
        <v>161280</v>
      </c>
      <c r="AG918" s="405" t="s">
        <v>1069</v>
      </c>
      <c r="AH918" s="405"/>
      <c r="AI918" s="414" t="s">
        <v>1962</v>
      </c>
      <c r="AJ918" s="405" t="s">
        <v>2000</v>
      </c>
      <c r="AK918" s="425" t="s">
        <v>50</v>
      </c>
      <c r="AL918" s="405" t="s">
        <v>1685</v>
      </c>
      <c r="AM918" s="405" t="s">
        <v>52</v>
      </c>
      <c r="AN918" s="405"/>
      <c r="AO918" s="405"/>
      <c r="AP918" s="417"/>
      <c r="AQ918" s="417" t="s">
        <v>37</v>
      </c>
      <c r="AR918" s="417"/>
      <c r="AS918" s="426"/>
      <c r="AT918" s="426"/>
      <c r="AU918" s="357"/>
      <c r="AV918" s="409"/>
    </row>
    <row r="919" spans="1:48" s="402" customFormat="1" ht="15" customHeight="1">
      <c r="A919" s="403"/>
      <c r="B919" s="445">
        <v>44522</v>
      </c>
      <c r="C919" s="403"/>
      <c r="D919" s="443" t="s">
        <v>1914</v>
      </c>
      <c r="E919" s="432" t="s">
        <v>2155</v>
      </c>
      <c r="F919" s="432"/>
      <c r="G919" s="432">
        <v>2022</v>
      </c>
      <c r="H919" s="432" t="s">
        <v>1498</v>
      </c>
      <c r="I919" s="443" t="s">
        <v>1498</v>
      </c>
      <c r="J919" s="433"/>
      <c r="K919" s="434" t="s">
        <v>3272</v>
      </c>
      <c r="L919" s="432" t="s">
        <v>1967</v>
      </c>
      <c r="M919" s="435">
        <v>44505</v>
      </c>
      <c r="N919" s="435">
        <v>44697</v>
      </c>
      <c r="O919" s="435"/>
      <c r="P919" s="349"/>
      <c r="Q919" s="433"/>
      <c r="R919" s="433"/>
      <c r="S919" s="432" t="s">
        <v>1443</v>
      </c>
      <c r="T919" s="432">
        <v>60</v>
      </c>
      <c r="U919" s="350">
        <v>49401140</v>
      </c>
      <c r="V919" s="432" t="s">
        <v>1970</v>
      </c>
      <c r="W919" s="432">
        <v>400</v>
      </c>
      <c r="X919" s="436">
        <v>768</v>
      </c>
      <c r="Y919" s="408">
        <f t="shared" si="122"/>
        <v>307200</v>
      </c>
      <c r="Z919" s="409">
        <f t="shared" si="126"/>
        <v>0.52500000000000002</v>
      </c>
      <c r="AA919" s="423">
        <f t="shared" si="123"/>
        <v>161280</v>
      </c>
      <c r="AB919" s="411"/>
      <c r="AC919" s="412">
        <f t="shared" si="124"/>
        <v>0</v>
      </c>
      <c r="AD919" s="421"/>
      <c r="AE919" s="413"/>
      <c r="AF919" s="424">
        <f t="shared" si="125"/>
        <v>161280</v>
      </c>
      <c r="AG919" s="405" t="s">
        <v>1069</v>
      </c>
      <c r="AH919" s="405"/>
      <c r="AI919" s="414" t="s">
        <v>1962</v>
      </c>
      <c r="AJ919" s="405" t="s">
        <v>1584</v>
      </c>
      <c r="AK919" s="425" t="s">
        <v>50</v>
      </c>
      <c r="AL919" s="405" t="s">
        <v>1685</v>
      </c>
      <c r="AM919" s="405" t="s">
        <v>52</v>
      </c>
      <c r="AN919" s="405"/>
      <c r="AO919" s="405"/>
      <c r="AP919" s="417"/>
      <c r="AQ919" s="417" t="s">
        <v>37</v>
      </c>
      <c r="AR919" s="417"/>
      <c r="AS919" s="426"/>
      <c r="AT919" s="426"/>
      <c r="AU919" s="357"/>
      <c r="AV919" s="409"/>
    </row>
    <row r="920" spans="1:48" s="402" customFormat="1" ht="15" customHeight="1">
      <c r="A920" s="403"/>
      <c r="B920" s="445">
        <v>44522</v>
      </c>
      <c r="C920" s="403"/>
      <c r="D920" s="443" t="s">
        <v>1914</v>
      </c>
      <c r="E920" s="432" t="s">
        <v>2155</v>
      </c>
      <c r="F920" s="432"/>
      <c r="G920" s="432">
        <v>2022</v>
      </c>
      <c r="H920" s="432" t="s">
        <v>1498</v>
      </c>
      <c r="I920" s="443" t="s">
        <v>1498</v>
      </c>
      <c r="J920" s="433"/>
      <c r="K920" s="434" t="s">
        <v>3273</v>
      </c>
      <c r="L920" s="432" t="s">
        <v>1967</v>
      </c>
      <c r="M920" s="435">
        <v>44505</v>
      </c>
      <c r="N920" s="435">
        <v>44717</v>
      </c>
      <c r="O920" s="435"/>
      <c r="P920" s="349"/>
      <c r="Q920" s="433"/>
      <c r="R920" s="433"/>
      <c r="S920" s="432" t="s">
        <v>1443</v>
      </c>
      <c r="T920" s="432">
        <v>60</v>
      </c>
      <c r="U920" s="350">
        <v>49401140</v>
      </c>
      <c r="V920" s="432" t="s">
        <v>1970</v>
      </c>
      <c r="W920" s="432">
        <v>400</v>
      </c>
      <c r="X920" s="436">
        <v>768</v>
      </c>
      <c r="Y920" s="408">
        <f t="shared" si="122"/>
        <v>307200</v>
      </c>
      <c r="Z920" s="409">
        <f t="shared" si="126"/>
        <v>0.52500000000000002</v>
      </c>
      <c r="AA920" s="423">
        <f t="shared" si="123"/>
        <v>161280</v>
      </c>
      <c r="AB920" s="411"/>
      <c r="AC920" s="412">
        <f t="shared" si="124"/>
        <v>0</v>
      </c>
      <c r="AD920" s="421"/>
      <c r="AE920" s="413"/>
      <c r="AF920" s="424">
        <f t="shared" si="125"/>
        <v>161280</v>
      </c>
      <c r="AG920" s="405" t="s">
        <v>1069</v>
      </c>
      <c r="AH920" s="405"/>
      <c r="AI920" s="414" t="s">
        <v>1962</v>
      </c>
      <c r="AJ920" s="405" t="s">
        <v>2000</v>
      </c>
      <c r="AK920" s="425" t="s">
        <v>50</v>
      </c>
      <c r="AL920" s="405" t="s">
        <v>1685</v>
      </c>
      <c r="AM920" s="405" t="s">
        <v>52</v>
      </c>
      <c r="AN920" s="405"/>
      <c r="AO920" s="405"/>
      <c r="AP920" s="417"/>
      <c r="AQ920" s="417" t="s">
        <v>37</v>
      </c>
      <c r="AR920" s="417"/>
      <c r="AS920" s="426"/>
      <c r="AT920" s="426"/>
      <c r="AU920" s="357"/>
      <c r="AV920" s="409"/>
    </row>
    <row r="921" spans="1:48" s="402" customFormat="1" ht="15" customHeight="1">
      <c r="A921" s="403"/>
      <c r="B921" s="445">
        <v>44522</v>
      </c>
      <c r="C921" s="403"/>
      <c r="D921" s="443" t="s">
        <v>1914</v>
      </c>
      <c r="E921" s="432" t="s">
        <v>2155</v>
      </c>
      <c r="F921" s="432"/>
      <c r="G921" s="432">
        <v>2022</v>
      </c>
      <c r="H921" s="432" t="s">
        <v>1498</v>
      </c>
      <c r="I921" s="443" t="s">
        <v>1498</v>
      </c>
      <c r="J921" s="433"/>
      <c r="K921" s="434" t="s">
        <v>3274</v>
      </c>
      <c r="L921" s="432" t="s">
        <v>1967</v>
      </c>
      <c r="M921" s="435">
        <v>44505</v>
      </c>
      <c r="N921" s="435">
        <v>44727</v>
      </c>
      <c r="O921" s="435"/>
      <c r="P921" s="349"/>
      <c r="Q921" s="433"/>
      <c r="R921" s="433"/>
      <c r="S921" s="432" t="s">
        <v>1443</v>
      </c>
      <c r="T921" s="432">
        <v>60</v>
      </c>
      <c r="U921" s="350">
        <v>49401140</v>
      </c>
      <c r="V921" s="432" t="s">
        <v>973</v>
      </c>
      <c r="W921" s="432">
        <v>400</v>
      </c>
      <c r="X921" s="436">
        <v>768</v>
      </c>
      <c r="Y921" s="408">
        <f t="shared" si="122"/>
        <v>307200</v>
      </c>
      <c r="Z921" s="409">
        <f t="shared" si="126"/>
        <v>0.52500000000000002</v>
      </c>
      <c r="AA921" s="423">
        <f t="shared" si="123"/>
        <v>161280</v>
      </c>
      <c r="AB921" s="411"/>
      <c r="AC921" s="412">
        <f t="shared" si="124"/>
        <v>0</v>
      </c>
      <c r="AD921" s="421"/>
      <c r="AE921" s="413"/>
      <c r="AF921" s="424">
        <f t="shared" si="125"/>
        <v>161280</v>
      </c>
      <c r="AG921" s="405" t="s">
        <v>1069</v>
      </c>
      <c r="AH921" s="405"/>
      <c r="AI921" s="414" t="s">
        <v>1962</v>
      </c>
      <c r="AJ921" s="405" t="s">
        <v>2000</v>
      </c>
      <c r="AK921" s="425" t="s">
        <v>50</v>
      </c>
      <c r="AL921" s="405" t="s">
        <v>1685</v>
      </c>
      <c r="AM921" s="405" t="s">
        <v>52</v>
      </c>
      <c r="AN921" s="405"/>
      <c r="AO921" s="405"/>
      <c r="AP921" s="417"/>
      <c r="AQ921" s="417" t="s">
        <v>37</v>
      </c>
      <c r="AR921" s="417"/>
      <c r="AS921" s="426"/>
      <c r="AT921" s="426"/>
      <c r="AU921" s="357"/>
      <c r="AV921" s="409"/>
    </row>
    <row r="922" spans="1:48" s="402" customFormat="1" ht="15" customHeight="1">
      <c r="A922" s="403"/>
      <c r="B922" s="445">
        <v>44522</v>
      </c>
      <c r="C922" s="403"/>
      <c r="D922" s="443" t="s">
        <v>1914</v>
      </c>
      <c r="E922" s="432" t="s">
        <v>2155</v>
      </c>
      <c r="F922" s="432"/>
      <c r="G922" s="432">
        <v>2022</v>
      </c>
      <c r="H922" s="432" t="s">
        <v>1498</v>
      </c>
      <c r="I922" s="443" t="s">
        <v>1498</v>
      </c>
      <c r="J922" s="433"/>
      <c r="K922" s="434" t="s">
        <v>3275</v>
      </c>
      <c r="L922" s="432" t="s">
        <v>1967</v>
      </c>
      <c r="M922" s="435">
        <v>44505</v>
      </c>
      <c r="N922" s="435">
        <v>44731</v>
      </c>
      <c r="O922" s="435"/>
      <c r="P922" s="349"/>
      <c r="Q922" s="433"/>
      <c r="R922" s="433"/>
      <c r="S922" s="432" t="s">
        <v>1443</v>
      </c>
      <c r="T922" s="432">
        <v>60</v>
      </c>
      <c r="U922" s="350">
        <v>49401140</v>
      </c>
      <c r="V922" s="432" t="s">
        <v>973</v>
      </c>
      <c r="W922" s="432">
        <v>400</v>
      </c>
      <c r="X922" s="436">
        <v>768</v>
      </c>
      <c r="Y922" s="408">
        <f t="shared" si="122"/>
        <v>307200</v>
      </c>
      <c r="Z922" s="409">
        <f t="shared" si="126"/>
        <v>0.52500000000000002</v>
      </c>
      <c r="AA922" s="423">
        <f t="shared" si="123"/>
        <v>161280</v>
      </c>
      <c r="AB922" s="411"/>
      <c r="AC922" s="412">
        <f t="shared" si="124"/>
        <v>0</v>
      </c>
      <c r="AD922" s="421"/>
      <c r="AE922" s="413"/>
      <c r="AF922" s="424">
        <f t="shared" si="125"/>
        <v>161280</v>
      </c>
      <c r="AG922" s="405" t="s">
        <v>1069</v>
      </c>
      <c r="AH922" s="405"/>
      <c r="AI922" s="414" t="s">
        <v>1962</v>
      </c>
      <c r="AJ922" s="405" t="s">
        <v>2000</v>
      </c>
      <c r="AK922" s="425" t="s">
        <v>50</v>
      </c>
      <c r="AL922" s="405" t="s">
        <v>1685</v>
      </c>
      <c r="AM922" s="405" t="s">
        <v>52</v>
      </c>
      <c r="AN922" s="405"/>
      <c r="AO922" s="405"/>
      <c r="AP922" s="417"/>
      <c r="AQ922" s="417" t="s">
        <v>37</v>
      </c>
      <c r="AR922" s="417"/>
      <c r="AS922" s="426"/>
      <c r="AT922" s="426"/>
      <c r="AU922" s="357"/>
      <c r="AV922" s="409"/>
    </row>
    <row r="923" spans="1:48" s="402" customFormat="1" ht="15" customHeight="1">
      <c r="A923" s="403"/>
      <c r="B923" s="445">
        <v>44557</v>
      </c>
      <c r="C923" s="403"/>
      <c r="D923" s="443" t="s">
        <v>1914</v>
      </c>
      <c r="E923" s="432" t="s">
        <v>2155</v>
      </c>
      <c r="F923" s="432"/>
      <c r="G923" s="432">
        <v>2022</v>
      </c>
      <c r="H923" s="432" t="s">
        <v>1498</v>
      </c>
      <c r="I923" s="443" t="s">
        <v>1498</v>
      </c>
      <c r="J923" s="433"/>
      <c r="K923" s="434" t="s">
        <v>3276</v>
      </c>
      <c r="L923" s="432" t="s">
        <v>1967</v>
      </c>
      <c r="M923" s="435">
        <v>44545</v>
      </c>
      <c r="N923" s="435">
        <v>44849</v>
      </c>
      <c r="O923" s="435"/>
      <c r="P923" s="349"/>
      <c r="Q923" s="433"/>
      <c r="R923" s="433"/>
      <c r="S923" s="432" t="s">
        <v>1443</v>
      </c>
      <c r="T923" s="432">
        <v>60</v>
      </c>
      <c r="U923" s="350">
        <v>49201132</v>
      </c>
      <c r="V923" s="432" t="s">
        <v>986</v>
      </c>
      <c r="W923" s="432">
        <v>360</v>
      </c>
      <c r="X923" s="436">
        <v>832</v>
      </c>
      <c r="Y923" s="408">
        <f t="shared" si="122"/>
        <v>299520</v>
      </c>
      <c r="Z923" s="409">
        <v>0.505</v>
      </c>
      <c r="AA923" s="423">
        <f t="shared" si="123"/>
        <v>151257.60000000001</v>
      </c>
      <c r="AB923" s="411"/>
      <c r="AC923" s="412">
        <f t="shared" si="124"/>
        <v>0</v>
      </c>
      <c r="AD923" s="421"/>
      <c r="AE923" s="413"/>
      <c r="AF923" s="424">
        <f t="shared" si="125"/>
        <v>151257.60000000001</v>
      </c>
      <c r="AG923" s="405" t="s">
        <v>1069</v>
      </c>
      <c r="AH923" s="405"/>
      <c r="AI923" s="414">
        <v>60</v>
      </c>
      <c r="AJ923" s="405" t="s">
        <v>1584</v>
      </c>
      <c r="AK923" s="425" t="s">
        <v>50</v>
      </c>
      <c r="AL923" s="405">
        <v>95834</v>
      </c>
      <c r="AM923" s="405" t="s">
        <v>52</v>
      </c>
      <c r="AN923" s="405" t="s">
        <v>1071</v>
      </c>
      <c r="AO923" s="405"/>
      <c r="AP923" s="417"/>
      <c r="AQ923" s="417" t="s">
        <v>37</v>
      </c>
      <c r="AR923" s="417"/>
      <c r="AS923" s="426"/>
      <c r="AT923" s="426"/>
      <c r="AU923" s="357"/>
      <c r="AV923" s="409"/>
    </row>
    <row r="924" spans="1:48" s="402" customFormat="1" ht="15" customHeight="1">
      <c r="A924" s="403"/>
      <c r="B924" s="445">
        <v>44557</v>
      </c>
      <c r="C924" s="403"/>
      <c r="D924" s="443" t="s">
        <v>1914</v>
      </c>
      <c r="E924" s="432" t="s">
        <v>2155</v>
      </c>
      <c r="F924" s="432"/>
      <c r="G924" s="432">
        <v>2022</v>
      </c>
      <c r="H924" s="432" t="s">
        <v>1498</v>
      </c>
      <c r="I924" s="443" t="s">
        <v>1498</v>
      </c>
      <c r="J924" s="433"/>
      <c r="K924" s="434" t="s">
        <v>3277</v>
      </c>
      <c r="L924" s="432" t="s">
        <v>1967</v>
      </c>
      <c r="M924" s="435">
        <v>44544</v>
      </c>
      <c r="N924" s="435">
        <v>44717</v>
      </c>
      <c r="O924" s="435"/>
      <c r="P924" s="349"/>
      <c r="Q924" s="433"/>
      <c r="R924" s="433"/>
      <c r="S924" s="432" t="s">
        <v>1443</v>
      </c>
      <c r="T924" s="432">
        <v>60</v>
      </c>
      <c r="U924" s="350">
        <v>49401140</v>
      </c>
      <c r="V924" s="432" t="s">
        <v>1970</v>
      </c>
      <c r="W924" s="432">
        <v>400</v>
      </c>
      <c r="X924" s="436">
        <v>768</v>
      </c>
      <c r="Y924" s="408">
        <f t="shared" si="122"/>
        <v>307200</v>
      </c>
      <c r="Z924" s="409">
        <v>0.52500000000000002</v>
      </c>
      <c r="AA924" s="423">
        <f t="shared" si="123"/>
        <v>161280</v>
      </c>
      <c r="AB924" s="411"/>
      <c r="AC924" s="412">
        <f t="shared" si="124"/>
        <v>0</v>
      </c>
      <c r="AD924" s="421"/>
      <c r="AE924" s="413"/>
      <c r="AF924" s="424">
        <f t="shared" si="125"/>
        <v>161280</v>
      </c>
      <c r="AG924" s="405" t="s">
        <v>1069</v>
      </c>
      <c r="AH924" s="405"/>
      <c r="AI924" s="414" t="s">
        <v>1962</v>
      </c>
      <c r="AJ924" s="405" t="s">
        <v>1616</v>
      </c>
      <c r="AK924" s="425" t="s">
        <v>50</v>
      </c>
      <c r="AL924" s="405">
        <v>93722</v>
      </c>
      <c r="AM924" s="405" t="s">
        <v>52</v>
      </c>
      <c r="AN924" s="405" t="s">
        <v>1071</v>
      </c>
      <c r="AO924" s="405"/>
      <c r="AP924" s="417"/>
      <c r="AQ924" s="417" t="s">
        <v>37</v>
      </c>
      <c r="AR924" s="417"/>
      <c r="AS924" s="426"/>
      <c r="AT924" s="426"/>
      <c r="AU924" s="357"/>
      <c r="AV924" s="409"/>
    </row>
    <row r="925" spans="1:48" s="402" customFormat="1" ht="15" customHeight="1">
      <c r="A925" s="403"/>
      <c r="B925" s="445">
        <v>44557</v>
      </c>
      <c r="C925" s="403"/>
      <c r="D925" s="443" t="s">
        <v>1914</v>
      </c>
      <c r="E925" s="432" t="s">
        <v>2155</v>
      </c>
      <c r="F925" s="432"/>
      <c r="G925" s="432">
        <v>2022</v>
      </c>
      <c r="H925" s="432" t="s">
        <v>1498</v>
      </c>
      <c r="I925" s="443" t="s">
        <v>1498</v>
      </c>
      <c r="J925" s="433"/>
      <c r="K925" s="434" t="s">
        <v>3278</v>
      </c>
      <c r="L925" s="432" t="s">
        <v>1967</v>
      </c>
      <c r="M925" s="435">
        <v>44545</v>
      </c>
      <c r="N925" s="435">
        <v>44849</v>
      </c>
      <c r="O925" s="435"/>
      <c r="P925" s="349"/>
      <c r="Q925" s="433"/>
      <c r="R925" s="433"/>
      <c r="S925" s="432" t="s">
        <v>1443</v>
      </c>
      <c r="T925" s="432">
        <v>60</v>
      </c>
      <c r="U925" s="350">
        <v>49401140</v>
      </c>
      <c r="V925" s="432" t="s">
        <v>973</v>
      </c>
      <c r="W925" s="432">
        <v>400</v>
      </c>
      <c r="X925" s="436">
        <v>768</v>
      </c>
      <c r="Y925" s="408">
        <f t="shared" si="122"/>
        <v>307200</v>
      </c>
      <c r="Z925" s="409">
        <v>0.52500000000000002</v>
      </c>
      <c r="AA925" s="423">
        <f t="shared" si="123"/>
        <v>161280</v>
      </c>
      <c r="AB925" s="411"/>
      <c r="AC925" s="412">
        <f t="shared" si="124"/>
        <v>0</v>
      </c>
      <c r="AD925" s="421"/>
      <c r="AE925" s="413"/>
      <c r="AF925" s="424">
        <f t="shared" si="125"/>
        <v>161280</v>
      </c>
      <c r="AG925" s="405" t="s">
        <v>1069</v>
      </c>
      <c r="AH925" s="405"/>
      <c r="AI925" s="414">
        <v>60</v>
      </c>
      <c r="AJ925" s="405" t="s">
        <v>1616</v>
      </c>
      <c r="AK925" s="425" t="s">
        <v>50</v>
      </c>
      <c r="AL925" s="405">
        <v>93722</v>
      </c>
      <c r="AM925" s="405" t="s">
        <v>52</v>
      </c>
      <c r="AN925" s="405" t="s">
        <v>1071</v>
      </c>
      <c r="AO925" s="405"/>
      <c r="AP925" s="417"/>
      <c r="AQ925" s="417" t="s">
        <v>37</v>
      </c>
      <c r="AR925" s="417"/>
      <c r="AS925" s="426"/>
      <c r="AT925" s="426"/>
      <c r="AU925" s="357"/>
      <c r="AV925" s="409"/>
    </row>
    <row r="926" spans="1:48" s="402" customFormat="1" ht="15" customHeight="1">
      <c r="A926" s="403"/>
      <c r="B926" s="445">
        <v>44522</v>
      </c>
      <c r="C926" s="403"/>
      <c r="D926" s="443" t="s">
        <v>1914</v>
      </c>
      <c r="E926" s="432" t="s">
        <v>2155</v>
      </c>
      <c r="F926" s="432"/>
      <c r="G926" s="432">
        <v>2022</v>
      </c>
      <c r="H926" s="432" t="s">
        <v>1498</v>
      </c>
      <c r="I926" s="443" t="s">
        <v>1498</v>
      </c>
      <c r="J926" s="433"/>
      <c r="K926" s="434" t="s">
        <v>3279</v>
      </c>
      <c r="L926" s="432" t="s">
        <v>1967</v>
      </c>
      <c r="M926" s="435">
        <v>44505</v>
      </c>
      <c r="N926" s="435">
        <v>44661</v>
      </c>
      <c r="O926" s="435"/>
      <c r="P926" s="349"/>
      <c r="Q926" s="433"/>
      <c r="R926" s="433"/>
      <c r="S926" s="432" t="s">
        <v>1443</v>
      </c>
      <c r="T926" s="432">
        <v>60</v>
      </c>
      <c r="U926" s="350">
        <v>49401140</v>
      </c>
      <c r="V926" s="432" t="s">
        <v>973</v>
      </c>
      <c r="W926" s="432">
        <v>400</v>
      </c>
      <c r="X926" s="436">
        <v>768</v>
      </c>
      <c r="Y926" s="408">
        <f t="shared" si="122"/>
        <v>307200</v>
      </c>
      <c r="Z926" s="409">
        <f>210/400</f>
        <v>0.52500000000000002</v>
      </c>
      <c r="AA926" s="423">
        <f t="shared" si="123"/>
        <v>161280</v>
      </c>
      <c r="AB926" s="411"/>
      <c r="AC926" s="412">
        <f t="shared" si="124"/>
        <v>0</v>
      </c>
      <c r="AD926" s="421"/>
      <c r="AE926" s="413"/>
      <c r="AF926" s="424">
        <f t="shared" si="125"/>
        <v>161280</v>
      </c>
      <c r="AG926" s="405" t="s">
        <v>1069</v>
      </c>
      <c r="AH926" s="405"/>
      <c r="AI926" s="414" t="s">
        <v>1962</v>
      </c>
      <c r="AJ926" s="405" t="s">
        <v>1924</v>
      </c>
      <c r="AK926" s="425" t="s">
        <v>50</v>
      </c>
      <c r="AL926" s="405" t="s">
        <v>3280</v>
      </c>
      <c r="AM926" s="405" t="s">
        <v>52</v>
      </c>
      <c r="AN926" s="405"/>
      <c r="AO926" s="405"/>
      <c r="AP926" s="417"/>
      <c r="AQ926" s="417" t="s">
        <v>37</v>
      </c>
      <c r="AR926" s="417"/>
      <c r="AS926" s="426"/>
      <c r="AT926" s="426"/>
      <c r="AU926" s="357"/>
      <c r="AV926" s="409"/>
    </row>
    <row r="927" spans="1:48" s="402" customFormat="1" ht="15" customHeight="1">
      <c r="A927" s="403"/>
      <c r="B927" s="445">
        <v>44522</v>
      </c>
      <c r="C927" s="403"/>
      <c r="D927" s="443" t="s">
        <v>1914</v>
      </c>
      <c r="E927" s="432" t="s">
        <v>2155</v>
      </c>
      <c r="F927" s="432"/>
      <c r="G927" s="432">
        <v>2022</v>
      </c>
      <c r="H927" s="432" t="s">
        <v>1498</v>
      </c>
      <c r="I927" s="443" t="s">
        <v>1498</v>
      </c>
      <c r="J927" s="433"/>
      <c r="K927" s="434" t="s">
        <v>3281</v>
      </c>
      <c r="L927" s="432" t="s">
        <v>1967</v>
      </c>
      <c r="M927" s="435">
        <v>44505</v>
      </c>
      <c r="N927" s="435">
        <v>44722</v>
      </c>
      <c r="O927" s="435"/>
      <c r="P927" s="349"/>
      <c r="Q927" s="433"/>
      <c r="R927" s="433"/>
      <c r="S927" s="432" t="s">
        <v>1443</v>
      </c>
      <c r="T927" s="432">
        <v>60</v>
      </c>
      <c r="U927" s="350">
        <v>49401140</v>
      </c>
      <c r="V927" s="432" t="s">
        <v>973</v>
      </c>
      <c r="W927" s="432">
        <v>400</v>
      </c>
      <c r="X927" s="436">
        <v>768</v>
      </c>
      <c r="Y927" s="408">
        <f t="shared" si="122"/>
        <v>307200</v>
      </c>
      <c r="Z927" s="409">
        <f>210/400</f>
        <v>0.52500000000000002</v>
      </c>
      <c r="AA927" s="423">
        <f t="shared" si="123"/>
        <v>161280</v>
      </c>
      <c r="AB927" s="411"/>
      <c r="AC927" s="412">
        <f t="shared" si="124"/>
        <v>0</v>
      </c>
      <c r="AD927" s="421"/>
      <c r="AE927" s="413"/>
      <c r="AF927" s="424">
        <f t="shared" si="125"/>
        <v>161280</v>
      </c>
      <c r="AG927" s="405" t="s">
        <v>1069</v>
      </c>
      <c r="AH927" s="405"/>
      <c r="AI927" s="414" t="s">
        <v>1962</v>
      </c>
      <c r="AJ927" s="405" t="s">
        <v>1924</v>
      </c>
      <c r="AK927" s="425" t="s">
        <v>50</v>
      </c>
      <c r="AL927" s="405" t="s">
        <v>3280</v>
      </c>
      <c r="AM927" s="405" t="s">
        <v>52</v>
      </c>
      <c r="AN927" s="405"/>
      <c r="AO927" s="405"/>
      <c r="AP927" s="417"/>
      <c r="AQ927" s="417" t="s">
        <v>37</v>
      </c>
      <c r="AR927" s="417"/>
      <c r="AS927" s="426"/>
      <c r="AT927" s="426"/>
      <c r="AU927" s="357"/>
      <c r="AV927" s="409"/>
    </row>
    <row r="928" spans="1:48" s="402" customFormat="1" ht="15" customHeight="1">
      <c r="A928" s="403"/>
      <c r="B928" s="445">
        <v>44557</v>
      </c>
      <c r="C928" s="403"/>
      <c r="D928" s="443" t="s">
        <v>1914</v>
      </c>
      <c r="E928" s="432" t="s">
        <v>2155</v>
      </c>
      <c r="F928" s="432"/>
      <c r="G928" s="432">
        <v>2022</v>
      </c>
      <c r="H928" s="432" t="s">
        <v>1498</v>
      </c>
      <c r="I928" s="443" t="s">
        <v>1498</v>
      </c>
      <c r="J928" s="433"/>
      <c r="K928" s="434" t="s">
        <v>3282</v>
      </c>
      <c r="L928" s="432" t="s">
        <v>1967</v>
      </c>
      <c r="M928" s="435">
        <v>44544</v>
      </c>
      <c r="N928" s="435">
        <v>44747</v>
      </c>
      <c r="O928" s="435"/>
      <c r="P928" s="349"/>
      <c r="Q928" s="433"/>
      <c r="R928" s="433"/>
      <c r="S928" s="432" t="s">
        <v>1443</v>
      </c>
      <c r="T928" s="432">
        <v>60</v>
      </c>
      <c r="U928" s="350">
        <v>49401140</v>
      </c>
      <c r="V928" s="432" t="s">
        <v>1970</v>
      </c>
      <c r="W928" s="432">
        <v>400</v>
      </c>
      <c r="X928" s="436">
        <v>768</v>
      </c>
      <c r="Y928" s="408">
        <f t="shared" si="122"/>
        <v>307200</v>
      </c>
      <c r="Z928" s="409">
        <v>0.52500000000000002</v>
      </c>
      <c r="AA928" s="423">
        <f t="shared" si="123"/>
        <v>161280</v>
      </c>
      <c r="AB928" s="411"/>
      <c r="AC928" s="412">
        <f t="shared" si="124"/>
        <v>0</v>
      </c>
      <c r="AD928" s="421"/>
      <c r="AE928" s="413"/>
      <c r="AF928" s="424">
        <f t="shared" si="125"/>
        <v>161280</v>
      </c>
      <c r="AG928" s="405" t="s">
        <v>1069</v>
      </c>
      <c r="AH928" s="405"/>
      <c r="AI928" s="414" t="s">
        <v>1962</v>
      </c>
      <c r="AJ928" s="405" t="s">
        <v>1924</v>
      </c>
      <c r="AK928" s="425" t="s">
        <v>50</v>
      </c>
      <c r="AL928" s="405">
        <v>90620</v>
      </c>
      <c r="AM928" s="405" t="s">
        <v>52</v>
      </c>
      <c r="AN928" s="405" t="s">
        <v>1071</v>
      </c>
      <c r="AO928" s="405"/>
      <c r="AP928" s="417"/>
      <c r="AQ928" s="417" t="s">
        <v>37</v>
      </c>
      <c r="AR928" s="417"/>
      <c r="AS928" s="426"/>
      <c r="AT928" s="426"/>
      <c r="AU928" s="357"/>
      <c r="AV928" s="409"/>
    </row>
    <row r="929" spans="1:48" s="402" customFormat="1" ht="15" customHeight="1">
      <c r="A929" s="403"/>
      <c r="B929" s="445">
        <v>44557</v>
      </c>
      <c r="C929" s="403"/>
      <c r="D929" s="443" t="s">
        <v>1914</v>
      </c>
      <c r="E929" s="432" t="s">
        <v>2155</v>
      </c>
      <c r="F929" s="432"/>
      <c r="G929" s="432">
        <v>2022</v>
      </c>
      <c r="H929" s="432" t="s">
        <v>1498</v>
      </c>
      <c r="I929" s="443" t="s">
        <v>1498</v>
      </c>
      <c r="J929" s="433"/>
      <c r="K929" s="434" t="s">
        <v>3283</v>
      </c>
      <c r="L929" s="432" t="s">
        <v>1967</v>
      </c>
      <c r="M929" s="435">
        <v>44545</v>
      </c>
      <c r="N929" s="435">
        <v>44839</v>
      </c>
      <c r="O929" s="435"/>
      <c r="P929" s="349"/>
      <c r="Q929" s="433"/>
      <c r="R929" s="433"/>
      <c r="S929" s="432" t="s">
        <v>1443</v>
      </c>
      <c r="T929" s="432">
        <v>60</v>
      </c>
      <c r="U929" s="350">
        <v>49401140</v>
      </c>
      <c r="V929" s="432" t="s">
        <v>1970</v>
      </c>
      <c r="W929" s="432">
        <v>400</v>
      </c>
      <c r="X929" s="436">
        <v>768</v>
      </c>
      <c r="Y929" s="408">
        <f t="shared" si="122"/>
        <v>307200</v>
      </c>
      <c r="Z929" s="409">
        <v>0.52500000000000002</v>
      </c>
      <c r="AA929" s="423">
        <f t="shared" si="123"/>
        <v>161280</v>
      </c>
      <c r="AB929" s="411"/>
      <c r="AC929" s="412">
        <f t="shared" si="124"/>
        <v>0</v>
      </c>
      <c r="AD929" s="421"/>
      <c r="AE929" s="413"/>
      <c r="AF929" s="424">
        <f t="shared" si="125"/>
        <v>161280</v>
      </c>
      <c r="AG929" s="405" t="s">
        <v>1069</v>
      </c>
      <c r="AH929" s="405"/>
      <c r="AI929" s="414" t="s">
        <v>1962</v>
      </c>
      <c r="AJ929" s="405" t="s">
        <v>1924</v>
      </c>
      <c r="AK929" s="425" t="s">
        <v>50</v>
      </c>
      <c r="AL929" s="405">
        <v>90620</v>
      </c>
      <c r="AM929" s="405" t="s">
        <v>52</v>
      </c>
      <c r="AN929" s="405" t="s">
        <v>1071</v>
      </c>
      <c r="AO929" s="405"/>
      <c r="AP929" s="417"/>
      <c r="AQ929" s="417" t="s">
        <v>37</v>
      </c>
      <c r="AR929" s="417"/>
      <c r="AS929" s="426"/>
      <c r="AT929" s="426"/>
      <c r="AU929" s="357"/>
      <c r="AV929" s="409"/>
    </row>
    <row r="930" spans="1:48" s="402" customFormat="1" ht="15" customHeight="1">
      <c r="A930" s="403"/>
      <c r="B930" s="445">
        <v>44557</v>
      </c>
      <c r="C930" s="403"/>
      <c r="D930" s="443" t="s">
        <v>1914</v>
      </c>
      <c r="E930" s="432" t="s">
        <v>2155</v>
      </c>
      <c r="F930" s="432"/>
      <c r="G930" s="432">
        <v>2022</v>
      </c>
      <c r="H930" s="432" t="s">
        <v>1498</v>
      </c>
      <c r="I930" s="443" t="s">
        <v>1498</v>
      </c>
      <c r="J930" s="433"/>
      <c r="K930" s="434" t="s">
        <v>3284</v>
      </c>
      <c r="L930" s="432" t="s">
        <v>1967</v>
      </c>
      <c r="M930" s="435">
        <v>44545</v>
      </c>
      <c r="N930" s="435">
        <v>44849</v>
      </c>
      <c r="O930" s="435"/>
      <c r="P930" s="349"/>
      <c r="Q930" s="433"/>
      <c r="R930" s="433"/>
      <c r="S930" s="432" t="s">
        <v>1443</v>
      </c>
      <c r="T930" s="432">
        <v>60</v>
      </c>
      <c r="U930" s="350">
        <v>49401140</v>
      </c>
      <c r="V930" s="432" t="s">
        <v>2284</v>
      </c>
      <c r="W930" s="432">
        <v>400</v>
      </c>
      <c r="X930" s="436">
        <v>768</v>
      </c>
      <c r="Y930" s="408">
        <f t="shared" si="122"/>
        <v>307200</v>
      </c>
      <c r="Z930" s="409">
        <v>0.52500000000000002</v>
      </c>
      <c r="AA930" s="423">
        <f t="shared" si="123"/>
        <v>161280</v>
      </c>
      <c r="AB930" s="411"/>
      <c r="AC930" s="412">
        <f t="shared" si="124"/>
        <v>0</v>
      </c>
      <c r="AD930" s="421"/>
      <c r="AE930" s="413"/>
      <c r="AF930" s="424">
        <f t="shared" si="125"/>
        <v>161280</v>
      </c>
      <c r="AG930" s="405" t="s">
        <v>1069</v>
      </c>
      <c r="AH930" s="405"/>
      <c r="AI930" s="414">
        <v>60</v>
      </c>
      <c r="AJ930" s="405" t="s">
        <v>3285</v>
      </c>
      <c r="AK930" s="425" t="s">
        <v>50</v>
      </c>
      <c r="AL930" s="405">
        <v>90620</v>
      </c>
      <c r="AM930" s="405" t="s">
        <v>52</v>
      </c>
      <c r="AN930" s="405" t="s">
        <v>1071</v>
      </c>
      <c r="AO930" s="405"/>
      <c r="AP930" s="417"/>
      <c r="AQ930" s="417" t="s">
        <v>37</v>
      </c>
      <c r="AR930" s="417"/>
      <c r="AS930" s="426"/>
      <c r="AT930" s="426"/>
      <c r="AU930" s="357"/>
      <c r="AV930" s="409"/>
    </row>
    <row r="931" spans="1:48" s="402" customFormat="1" ht="15" customHeight="1">
      <c r="A931" s="403"/>
      <c r="B931" s="445">
        <v>44557</v>
      </c>
      <c r="C931" s="403"/>
      <c r="D931" s="443" t="s">
        <v>1914</v>
      </c>
      <c r="E931" s="432" t="s">
        <v>2155</v>
      </c>
      <c r="F931" s="432"/>
      <c r="G931" s="432">
        <v>2022</v>
      </c>
      <c r="H931" s="432" t="s">
        <v>1498</v>
      </c>
      <c r="I931" s="443" t="s">
        <v>1498</v>
      </c>
      <c r="J931" s="433"/>
      <c r="K931" s="434" t="s">
        <v>3286</v>
      </c>
      <c r="L931" s="432" t="s">
        <v>1967</v>
      </c>
      <c r="M931" s="435">
        <v>44545</v>
      </c>
      <c r="N931" s="435">
        <v>44870</v>
      </c>
      <c r="O931" s="435"/>
      <c r="P931" s="349"/>
      <c r="Q931" s="433"/>
      <c r="R931" s="433"/>
      <c r="S931" s="432" t="s">
        <v>1443</v>
      </c>
      <c r="T931" s="432">
        <v>60</v>
      </c>
      <c r="U931" s="350">
        <v>49401140</v>
      </c>
      <c r="V931" s="432" t="s">
        <v>1970</v>
      </c>
      <c r="W931" s="432">
        <v>400</v>
      </c>
      <c r="X931" s="436">
        <v>768</v>
      </c>
      <c r="Y931" s="408">
        <f t="shared" si="122"/>
        <v>307200</v>
      </c>
      <c r="Z931" s="409">
        <v>0.52500000000000002</v>
      </c>
      <c r="AA931" s="423">
        <f t="shared" si="123"/>
        <v>161280</v>
      </c>
      <c r="AB931" s="411"/>
      <c r="AC931" s="412">
        <f t="shared" si="124"/>
        <v>0</v>
      </c>
      <c r="AD931" s="421"/>
      <c r="AE931" s="413"/>
      <c r="AF931" s="424">
        <f t="shared" si="125"/>
        <v>161280</v>
      </c>
      <c r="AG931" s="405" t="s">
        <v>1069</v>
      </c>
      <c r="AH931" s="405"/>
      <c r="AI931" s="414" t="s">
        <v>1962</v>
      </c>
      <c r="AJ931" s="405" t="s">
        <v>1924</v>
      </c>
      <c r="AK931" s="425" t="s">
        <v>50</v>
      </c>
      <c r="AL931" s="405">
        <v>90620</v>
      </c>
      <c r="AM931" s="405" t="s">
        <v>52</v>
      </c>
      <c r="AN931" s="405" t="s">
        <v>1071</v>
      </c>
      <c r="AO931" s="405"/>
      <c r="AP931" s="417"/>
      <c r="AQ931" s="417" t="s">
        <v>37</v>
      </c>
      <c r="AR931" s="417"/>
      <c r="AS931" s="426"/>
      <c r="AT931" s="426"/>
      <c r="AU931" s="357"/>
      <c r="AV931" s="409"/>
    </row>
    <row r="932" spans="1:48" s="402" customFormat="1" ht="15" customHeight="1">
      <c r="A932" s="403"/>
      <c r="B932" s="445">
        <v>44522</v>
      </c>
      <c r="C932" s="403"/>
      <c r="D932" s="443" t="s">
        <v>1914</v>
      </c>
      <c r="E932" s="432" t="s">
        <v>2155</v>
      </c>
      <c r="F932" s="432"/>
      <c r="G932" s="432">
        <v>2022</v>
      </c>
      <c r="H932" s="432" t="s">
        <v>1498</v>
      </c>
      <c r="I932" s="443" t="s">
        <v>1498</v>
      </c>
      <c r="J932" s="433"/>
      <c r="K932" s="434" t="s">
        <v>3287</v>
      </c>
      <c r="L932" s="432" t="s">
        <v>1967</v>
      </c>
      <c r="M932" s="435">
        <v>44505</v>
      </c>
      <c r="N932" s="435">
        <v>44656</v>
      </c>
      <c r="O932" s="435"/>
      <c r="P932" s="349"/>
      <c r="Q932" s="433"/>
      <c r="R932" s="433"/>
      <c r="S932" s="432" t="s">
        <v>1443</v>
      </c>
      <c r="T932" s="432">
        <v>60</v>
      </c>
      <c r="U932" s="350">
        <v>49201132</v>
      </c>
      <c r="V932" s="432" t="s">
        <v>986</v>
      </c>
      <c r="W932" s="432">
        <v>360</v>
      </c>
      <c r="X932" s="436">
        <v>832</v>
      </c>
      <c r="Y932" s="408">
        <f t="shared" si="122"/>
        <v>299520</v>
      </c>
      <c r="Z932" s="409">
        <f>181.8/360</f>
        <v>0.505</v>
      </c>
      <c r="AA932" s="423">
        <f t="shared" si="123"/>
        <v>151257.60000000001</v>
      </c>
      <c r="AB932" s="411"/>
      <c r="AC932" s="412">
        <f t="shared" si="124"/>
        <v>0</v>
      </c>
      <c r="AD932" s="421"/>
      <c r="AE932" s="413"/>
      <c r="AF932" s="424">
        <f t="shared" si="125"/>
        <v>151257.60000000001</v>
      </c>
      <c r="AG932" s="405" t="s">
        <v>1069</v>
      </c>
      <c r="AH932" s="405"/>
      <c r="AI932" s="414" t="s">
        <v>1962</v>
      </c>
      <c r="AJ932" s="405" t="s">
        <v>1573</v>
      </c>
      <c r="AK932" s="425" t="s">
        <v>50</v>
      </c>
      <c r="AL932" s="405" t="s">
        <v>1700</v>
      </c>
      <c r="AM932" s="405" t="s">
        <v>52</v>
      </c>
      <c r="AN932" s="405"/>
      <c r="AO932" s="405"/>
      <c r="AP932" s="417"/>
      <c r="AQ932" s="417" t="s">
        <v>37</v>
      </c>
      <c r="AR932" s="417"/>
      <c r="AS932" s="426"/>
      <c r="AT932" s="426"/>
      <c r="AU932" s="357"/>
      <c r="AV932" s="409"/>
    </row>
    <row r="933" spans="1:48" s="402" customFormat="1" ht="15" customHeight="1">
      <c r="A933" s="403"/>
      <c r="B933" s="445">
        <v>44557</v>
      </c>
      <c r="C933" s="403"/>
      <c r="D933" s="443" t="s">
        <v>1914</v>
      </c>
      <c r="E933" s="432" t="s">
        <v>2155</v>
      </c>
      <c r="F933" s="432"/>
      <c r="G933" s="432">
        <v>2022</v>
      </c>
      <c r="H933" s="432" t="s">
        <v>1498</v>
      </c>
      <c r="I933" s="443" t="s">
        <v>1498</v>
      </c>
      <c r="J933" s="433"/>
      <c r="K933" s="434" t="s">
        <v>3288</v>
      </c>
      <c r="L933" s="432" t="s">
        <v>1967</v>
      </c>
      <c r="M933" s="435">
        <v>44544</v>
      </c>
      <c r="N933" s="435">
        <v>44744</v>
      </c>
      <c r="O933" s="435"/>
      <c r="P933" s="349"/>
      <c r="Q933" s="433"/>
      <c r="R933" s="433"/>
      <c r="S933" s="432" t="s">
        <v>1443</v>
      </c>
      <c r="T933" s="432">
        <v>60</v>
      </c>
      <c r="U933" s="350">
        <v>49401140</v>
      </c>
      <c r="V933" s="432" t="s">
        <v>1970</v>
      </c>
      <c r="W933" s="432">
        <v>400</v>
      </c>
      <c r="X933" s="436">
        <v>768</v>
      </c>
      <c r="Y933" s="408">
        <f t="shared" si="122"/>
        <v>307200</v>
      </c>
      <c r="Z933" s="409">
        <v>0.52500000000000002</v>
      </c>
      <c r="AA933" s="423">
        <f t="shared" si="123"/>
        <v>161280</v>
      </c>
      <c r="AB933" s="411"/>
      <c r="AC933" s="412">
        <f t="shared" si="124"/>
        <v>0</v>
      </c>
      <c r="AD933" s="421"/>
      <c r="AE933" s="413"/>
      <c r="AF933" s="424">
        <f t="shared" si="125"/>
        <v>161280</v>
      </c>
      <c r="AG933" s="405" t="s">
        <v>1069</v>
      </c>
      <c r="AH933" s="405"/>
      <c r="AI933" s="414" t="s">
        <v>1962</v>
      </c>
      <c r="AJ933" s="405" t="s">
        <v>1573</v>
      </c>
      <c r="AK933" s="425" t="s">
        <v>50</v>
      </c>
      <c r="AL933" s="405">
        <v>93308</v>
      </c>
      <c r="AM933" s="405" t="s">
        <v>52</v>
      </c>
      <c r="AN933" s="405" t="s">
        <v>1071</v>
      </c>
      <c r="AO933" s="405"/>
      <c r="AP933" s="417"/>
      <c r="AQ933" s="417" t="s">
        <v>37</v>
      </c>
      <c r="AR933" s="417"/>
      <c r="AS933" s="426"/>
      <c r="AT933" s="426"/>
      <c r="AU933" s="357"/>
      <c r="AV933" s="409"/>
    </row>
    <row r="934" spans="1:48" s="402" customFormat="1" ht="15" customHeight="1">
      <c r="A934" s="403"/>
      <c r="B934" s="445">
        <v>44557</v>
      </c>
      <c r="C934" s="403"/>
      <c r="D934" s="443" t="s">
        <v>1914</v>
      </c>
      <c r="E934" s="432" t="s">
        <v>2155</v>
      </c>
      <c r="F934" s="432"/>
      <c r="G934" s="432">
        <v>2022</v>
      </c>
      <c r="H934" s="432" t="s">
        <v>1498</v>
      </c>
      <c r="I934" s="443" t="s">
        <v>1498</v>
      </c>
      <c r="J934" s="433"/>
      <c r="K934" s="434" t="s">
        <v>3289</v>
      </c>
      <c r="L934" s="432" t="s">
        <v>1967</v>
      </c>
      <c r="M934" s="435">
        <v>44544</v>
      </c>
      <c r="N934" s="435">
        <v>44747</v>
      </c>
      <c r="O934" s="435"/>
      <c r="P934" s="349"/>
      <c r="Q934" s="433"/>
      <c r="R934" s="433"/>
      <c r="S934" s="432" t="s">
        <v>1443</v>
      </c>
      <c r="T934" s="432">
        <v>60</v>
      </c>
      <c r="U934" s="350">
        <v>49401140</v>
      </c>
      <c r="V934" s="432" t="s">
        <v>1970</v>
      </c>
      <c r="W934" s="432">
        <v>400</v>
      </c>
      <c r="X934" s="436">
        <v>768</v>
      </c>
      <c r="Y934" s="408">
        <f t="shared" si="122"/>
        <v>307200</v>
      </c>
      <c r="Z934" s="409">
        <v>0.52500000000000002</v>
      </c>
      <c r="AA934" s="423">
        <f t="shared" si="123"/>
        <v>161280</v>
      </c>
      <c r="AB934" s="411"/>
      <c r="AC934" s="412">
        <f t="shared" si="124"/>
        <v>0</v>
      </c>
      <c r="AD934" s="421"/>
      <c r="AE934" s="413"/>
      <c r="AF934" s="424">
        <f t="shared" si="125"/>
        <v>161280</v>
      </c>
      <c r="AG934" s="405" t="s">
        <v>1069</v>
      </c>
      <c r="AH934" s="405"/>
      <c r="AI934" s="414" t="s">
        <v>1962</v>
      </c>
      <c r="AJ934" s="405" t="s">
        <v>1573</v>
      </c>
      <c r="AK934" s="425" t="s">
        <v>50</v>
      </c>
      <c r="AL934" s="405">
        <v>93308</v>
      </c>
      <c r="AM934" s="405" t="s">
        <v>52</v>
      </c>
      <c r="AN934" s="405" t="s">
        <v>1071</v>
      </c>
      <c r="AO934" s="405"/>
      <c r="AP934" s="417"/>
      <c r="AQ934" s="417" t="s">
        <v>37</v>
      </c>
      <c r="AR934" s="417"/>
      <c r="AS934" s="426"/>
      <c r="AT934" s="426"/>
      <c r="AU934" s="357"/>
      <c r="AV934" s="409"/>
    </row>
    <row r="935" spans="1:48" s="402" customFormat="1" ht="15" customHeight="1">
      <c r="A935" s="403"/>
      <c r="B935" s="445">
        <v>44557</v>
      </c>
      <c r="C935" s="403"/>
      <c r="D935" s="443" t="s">
        <v>1914</v>
      </c>
      <c r="E935" s="432" t="s">
        <v>2155</v>
      </c>
      <c r="F935" s="432"/>
      <c r="G935" s="432">
        <v>2022</v>
      </c>
      <c r="H935" s="432" t="s">
        <v>1498</v>
      </c>
      <c r="I935" s="443" t="s">
        <v>1498</v>
      </c>
      <c r="J935" s="433"/>
      <c r="K935" s="434" t="s">
        <v>3290</v>
      </c>
      <c r="L935" s="432" t="s">
        <v>1967</v>
      </c>
      <c r="M935" s="435">
        <v>44544</v>
      </c>
      <c r="N935" s="435">
        <v>44751</v>
      </c>
      <c r="O935" s="435"/>
      <c r="P935" s="349"/>
      <c r="Q935" s="433"/>
      <c r="R935" s="433"/>
      <c r="S935" s="432" t="s">
        <v>1443</v>
      </c>
      <c r="T935" s="432">
        <v>60</v>
      </c>
      <c r="U935" s="350">
        <v>49401140</v>
      </c>
      <c r="V935" s="432" t="s">
        <v>1970</v>
      </c>
      <c r="W935" s="432">
        <v>400</v>
      </c>
      <c r="X935" s="436">
        <v>768</v>
      </c>
      <c r="Y935" s="408">
        <f t="shared" si="122"/>
        <v>307200</v>
      </c>
      <c r="Z935" s="409">
        <v>0.52500000000000002</v>
      </c>
      <c r="AA935" s="423">
        <f t="shared" si="123"/>
        <v>161280</v>
      </c>
      <c r="AB935" s="411"/>
      <c r="AC935" s="412">
        <f t="shared" si="124"/>
        <v>0</v>
      </c>
      <c r="AD935" s="421"/>
      <c r="AE935" s="413"/>
      <c r="AF935" s="424">
        <f t="shared" si="125"/>
        <v>161280</v>
      </c>
      <c r="AG935" s="405" t="s">
        <v>1069</v>
      </c>
      <c r="AH935" s="405"/>
      <c r="AI935" s="414" t="s">
        <v>1962</v>
      </c>
      <c r="AJ935" s="405" t="s">
        <v>1573</v>
      </c>
      <c r="AK935" s="425" t="s">
        <v>50</v>
      </c>
      <c r="AL935" s="405">
        <v>93308</v>
      </c>
      <c r="AM935" s="405" t="s">
        <v>52</v>
      </c>
      <c r="AN935" s="405" t="s">
        <v>1071</v>
      </c>
      <c r="AO935" s="405"/>
      <c r="AP935" s="417"/>
      <c r="AQ935" s="417" t="s">
        <v>37</v>
      </c>
      <c r="AR935" s="417"/>
      <c r="AS935" s="426"/>
      <c r="AT935" s="426"/>
      <c r="AU935" s="357"/>
      <c r="AV935" s="409"/>
    </row>
    <row r="936" spans="1:48" s="402" customFormat="1" ht="15" customHeight="1">
      <c r="A936" s="403"/>
      <c r="B936" s="445">
        <v>44557</v>
      </c>
      <c r="C936" s="403"/>
      <c r="D936" s="443" t="s">
        <v>1914</v>
      </c>
      <c r="E936" s="432" t="s">
        <v>2155</v>
      </c>
      <c r="F936" s="432"/>
      <c r="G936" s="432">
        <v>2022</v>
      </c>
      <c r="H936" s="432" t="s">
        <v>1498</v>
      </c>
      <c r="I936" s="443" t="s">
        <v>1498</v>
      </c>
      <c r="J936" s="433"/>
      <c r="K936" s="434" t="s">
        <v>3291</v>
      </c>
      <c r="L936" s="432" t="s">
        <v>1967</v>
      </c>
      <c r="M936" s="435">
        <v>44545</v>
      </c>
      <c r="N936" s="435">
        <v>44775</v>
      </c>
      <c r="O936" s="435"/>
      <c r="P936" s="349"/>
      <c r="Q936" s="433"/>
      <c r="R936" s="433"/>
      <c r="S936" s="432" t="s">
        <v>1443</v>
      </c>
      <c r="T936" s="432">
        <v>60</v>
      </c>
      <c r="U936" s="350">
        <v>49401140</v>
      </c>
      <c r="V936" s="432" t="s">
        <v>1970</v>
      </c>
      <c r="W936" s="432">
        <v>400</v>
      </c>
      <c r="X936" s="436">
        <v>768</v>
      </c>
      <c r="Y936" s="408">
        <f t="shared" si="122"/>
        <v>307200</v>
      </c>
      <c r="Z936" s="409">
        <v>0.52500000000000002</v>
      </c>
      <c r="AA936" s="423">
        <f t="shared" si="123"/>
        <v>161280</v>
      </c>
      <c r="AB936" s="411"/>
      <c r="AC936" s="412">
        <f t="shared" si="124"/>
        <v>0</v>
      </c>
      <c r="AD936" s="421"/>
      <c r="AE936" s="413"/>
      <c r="AF936" s="424">
        <f t="shared" si="125"/>
        <v>161280</v>
      </c>
      <c r="AG936" s="405" t="s">
        <v>1069</v>
      </c>
      <c r="AH936" s="405"/>
      <c r="AI936" s="414" t="s">
        <v>1962</v>
      </c>
      <c r="AJ936" s="405" t="s">
        <v>1573</v>
      </c>
      <c r="AK936" s="425" t="s">
        <v>50</v>
      </c>
      <c r="AL936" s="405">
        <v>93308</v>
      </c>
      <c r="AM936" s="405" t="s">
        <v>52</v>
      </c>
      <c r="AN936" s="405" t="s">
        <v>1071</v>
      </c>
      <c r="AO936" s="405"/>
      <c r="AP936" s="417"/>
      <c r="AQ936" s="417" t="s">
        <v>37</v>
      </c>
      <c r="AR936" s="417"/>
      <c r="AS936" s="426"/>
      <c r="AT936" s="426"/>
      <c r="AU936" s="357"/>
      <c r="AV936" s="409"/>
    </row>
    <row r="937" spans="1:48" s="402" customFormat="1" ht="15" customHeight="1">
      <c r="A937" s="403"/>
      <c r="B937" s="445">
        <v>44557</v>
      </c>
      <c r="C937" s="403"/>
      <c r="D937" s="443" t="s">
        <v>1914</v>
      </c>
      <c r="E937" s="432" t="s">
        <v>2155</v>
      </c>
      <c r="F937" s="432"/>
      <c r="G937" s="432">
        <v>2022</v>
      </c>
      <c r="H937" s="432" t="s">
        <v>1498</v>
      </c>
      <c r="I937" s="443" t="s">
        <v>1498</v>
      </c>
      <c r="J937" s="433"/>
      <c r="K937" s="434" t="s">
        <v>3292</v>
      </c>
      <c r="L937" s="432" t="s">
        <v>1967</v>
      </c>
      <c r="M937" s="435">
        <v>44545</v>
      </c>
      <c r="N937" s="435">
        <v>44778</v>
      </c>
      <c r="O937" s="435"/>
      <c r="P937" s="349"/>
      <c r="Q937" s="433"/>
      <c r="R937" s="433"/>
      <c r="S937" s="432" t="s">
        <v>1443</v>
      </c>
      <c r="T937" s="432">
        <v>60</v>
      </c>
      <c r="U937" s="350">
        <v>49401140</v>
      </c>
      <c r="V937" s="432" t="s">
        <v>1970</v>
      </c>
      <c r="W937" s="432">
        <v>400</v>
      </c>
      <c r="X937" s="436">
        <v>768</v>
      </c>
      <c r="Y937" s="408">
        <f t="shared" si="122"/>
        <v>307200</v>
      </c>
      <c r="Z937" s="409">
        <v>0.52500000000000002</v>
      </c>
      <c r="AA937" s="423">
        <f t="shared" si="123"/>
        <v>161280</v>
      </c>
      <c r="AB937" s="411"/>
      <c r="AC937" s="412">
        <f t="shared" si="124"/>
        <v>0</v>
      </c>
      <c r="AD937" s="421"/>
      <c r="AE937" s="413"/>
      <c r="AF937" s="424">
        <f t="shared" si="125"/>
        <v>161280</v>
      </c>
      <c r="AG937" s="405" t="s">
        <v>1069</v>
      </c>
      <c r="AH937" s="405"/>
      <c r="AI937" s="414" t="s">
        <v>1962</v>
      </c>
      <c r="AJ937" s="405" t="s">
        <v>1573</v>
      </c>
      <c r="AK937" s="425" t="s">
        <v>50</v>
      </c>
      <c r="AL937" s="405">
        <v>93308</v>
      </c>
      <c r="AM937" s="405" t="s">
        <v>52</v>
      </c>
      <c r="AN937" s="405" t="s">
        <v>1071</v>
      </c>
      <c r="AO937" s="405"/>
      <c r="AP937" s="417"/>
      <c r="AQ937" s="417" t="s">
        <v>37</v>
      </c>
      <c r="AR937" s="417"/>
      <c r="AS937" s="426"/>
      <c r="AT937" s="426"/>
      <c r="AU937" s="357"/>
      <c r="AV937" s="409"/>
    </row>
    <row r="938" spans="1:48" s="402" customFormat="1" ht="15" customHeight="1">
      <c r="A938" s="403"/>
      <c r="B938" s="445">
        <v>44557</v>
      </c>
      <c r="C938" s="403"/>
      <c r="D938" s="443" t="s">
        <v>1914</v>
      </c>
      <c r="E938" s="432" t="s">
        <v>2155</v>
      </c>
      <c r="F938" s="432"/>
      <c r="G938" s="432">
        <v>2022</v>
      </c>
      <c r="H938" s="432" t="s">
        <v>1498</v>
      </c>
      <c r="I938" s="443" t="s">
        <v>1498</v>
      </c>
      <c r="J938" s="433"/>
      <c r="K938" s="434" t="s">
        <v>3293</v>
      </c>
      <c r="L938" s="432" t="s">
        <v>1967</v>
      </c>
      <c r="M938" s="435">
        <v>44545</v>
      </c>
      <c r="N938" s="435">
        <v>44783</v>
      </c>
      <c r="O938" s="435"/>
      <c r="P938" s="349"/>
      <c r="Q938" s="433"/>
      <c r="R938" s="433"/>
      <c r="S938" s="432" t="s">
        <v>1443</v>
      </c>
      <c r="T938" s="432">
        <v>60</v>
      </c>
      <c r="U938" s="350">
        <v>49201132</v>
      </c>
      <c r="V938" s="432" t="s">
        <v>986</v>
      </c>
      <c r="W938" s="432">
        <v>360</v>
      </c>
      <c r="X938" s="436">
        <v>832</v>
      </c>
      <c r="Y938" s="408">
        <f t="shared" si="122"/>
        <v>299520</v>
      </c>
      <c r="Z938" s="409">
        <v>0.505</v>
      </c>
      <c r="AA938" s="423">
        <f t="shared" si="123"/>
        <v>151257.60000000001</v>
      </c>
      <c r="AB938" s="411"/>
      <c r="AC938" s="412">
        <f t="shared" si="124"/>
        <v>0</v>
      </c>
      <c r="AD938" s="421"/>
      <c r="AE938" s="413"/>
      <c r="AF938" s="424">
        <f t="shared" si="125"/>
        <v>151257.60000000001</v>
      </c>
      <c r="AG938" s="405" t="s">
        <v>1069</v>
      </c>
      <c r="AH938" s="405"/>
      <c r="AI938" s="414" t="s">
        <v>1962</v>
      </c>
      <c r="AJ938" s="405" t="s">
        <v>1573</v>
      </c>
      <c r="AK938" s="425" t="s">
        <v>50</v>
      </c>
      <c r="AL938" s="405">
        <v>93308</v>
      </c>
      <c r="AM938" s="405" t="s">
        <v>52</v>
      </c>
      <c r="AN938" s="405" t="s">
        <v>1071</v>
      </c>
      <c r="AO938" s="405"/>
      <c r="AP938" s="417"/>
      <c r="AQ938" s="417" t="s">
        <v>37</v>
      </c>
      <c r="AR938" s="417"/>
      <c r="AS938" s="426"/>
      <c r="AT938" s="426"/>
      <c r="AU938" s="357"/>
      <c r="AV938" s="409"/>
    </row>
    <row r="939" spans="1:48" s="402" customFormat="1" ht="15" customHeight="1">
      <c r="A939" s="403"/>
      <c r="B939" s="445">
        <v>44557</v>
      </c>
      <c r="C939" s="403"/>
      <c r="D939" s="443" t="s">
        <v>1914</v>
      </c>
      <c r="E939" s="432" t="s">
        <v>2155</v>
      </c>
      <c r="F939" s="432"/>
      <c r="G939" s="432">
        <v>2022</v>
      </c>
      <c r="H939" s="432" t="s">
        <v>1498</v>
      </c>
      <c r="I939" s="443" t="s">
        <v>1498</v>
      </c>
      <c r="J939" s="433"/>
      <c r="K939" s="434" t="s">
        <v>3294</v>
      </c>
      <c r="L939" s="432" t="s">
        <v>1967</v>
      </c>
      <c r="M939" s="435">
        <v>44545</v>
      </c>
      <c r="N939" s="435">
        <v>44785</v>
      </c>
      <c r="O939" s="435"/>
      <c r="P939" s="349"/>
      <c r="Q939" s="433"/>
      <c r="R939" s="433"/>
      <c r="S939" s="432" t="s">
        <v>1443</v>
      </c>
      <c r="T939" s="432">
        <v>60</v>
      </c>
      <c r="U939" s="350">
        <v>49401140</v>
      </c>
      <c r="V939" s="432" t="s">
        <v>1970</v>
      </c>
      <c r="W939" s="432">
        <v>400</v>
      </c>
      <c r="X939" s="436">
        <v>768</v>
      </c>
      <c r="Y939" s="408">
        <f t="shared" si="122"/>
        <v>307200</v>
      </c>
      <c r="Z939" s="409">
        <v>0.52500000000000002</v>
      </c>
      <c r="AA939" s="423">
        <f t="shared" si="123"/>
        <v>161280</v>
      </c>
      <c r="AB939" s="411"/>
      <c r="AC939" s="412">
        <f t="shared" si="124"/>
        <v>0</v>
      </c>
      <c r="AD939" s="421"/>
      <c r="AE939" s="413"/>
      <c r="AF939" s="424">
        <f t="shared" si="125"/>
        <v>161280</v>
      </c>
      <c r="AG939" s="405" t="s">
        <v>1069</v>
      </c>
      <c r="AH939" s="405"/>
      <c r="AI939" s="414" t="s">
        <v>1962</v>
      </c>
      <c r="AJ939" s="405" t="s">
        <v>1573</v>
      </c>
      <c r="AK939" s="425" t="s">
        <v>50</v>
      </c>
      <c r="AL939" s="405">
        <v>93308</v>
      </c>
      <c r="AM939" s="405" t="s">
        <v>52</v>
      </c>
      <c r="AN939" s="405" t="s">
        <v>1071</v>
      </c>
      <c r="AO939" s="405"/>
      <c r="AP939" s="417"/>
      <c r="AQ939" s="417" t="s">
        <v>37</v>
      </c>
      <c r="AR939" s="417"/>
      <c r="AS939" s="426"/>
      <c r="AT939" s="426"/>
      <c r="AU939" s="357"/>
      <c r="AV939" s="409"/>
    </row>
    <row r="940" spans="1:48" s="402" customFormat="1" ht="15" customHeight="1">
      <c r="A940" s="403"/>
      <c r="B940" s="445">
        <v>44557</v>
      </c>
      <c r="C940" s="403"/>
      <c r="D940" s="443" t="s">
        <v>1914</v>
      </c>
      <c r="E940" s="432" t="s">
        <v>2155</v>
      </c>
      <c r="F940" s="432"/>
      <c r="G940" s="432">
        <v>2022</v>
      </c>
      <c r="H940" s="432" t="s">
        <v>1498</v>
      </c>
      <c r="I940" s="443" t="s">
        <v>1498</v>
      </c>
      <c r="J940" s="433"/>
      <c r="K940" s="434" t="s">
        <v>3295</v>
      </c>
      <c r="L940" s="432" t="s">
        <v>1967</v>
      </c>
      <c r="M940" s="435">
        <v>44545</v>
      </c>
      <c r="N940" s="435">
        <v>44782</v>
      </c>
      <c r="O940" s="435"/>
      <c r="P940" s="349"/>
      <c r="Q940" s="433"/>
      <c r="R940" s="433"/>
      <c r="S940" s="432" t="s">
        <v>1443</v>
      </c>
      <c r="T940" s="432">
        <v>60</v>
      </c>
      <c r="U940" s="350">
        <v>49401140</v>
      </c>
      <c r="V940" s="432" t="s">
        <v>1970</v>
      </c>
      <c r="W940" s="432">
        <v>400</v>
      </c>
      <c r="X940" s="436">
        <v>768</v>
      </c>
      <c r="Y940" s="408">
        <f t="shared" si="122"/>
        <v>307200</v>
      </c>
      <c r="Z940" s="409">
        <v>0.52500000000000002</v>
      </c>
      <c r="AA940" s="423">
        <f t="shared" si="123"/>
        <v>161280</v>
      </c>
      <c r="AB940" s="411"/>
      <c r="AC940" s="412">
        <f t="shared" si="124"/>
        <v>0</v>
      </c>
      <c r="AD940" s="421"/>
      <c r="AE940" s="413"/>
      <c r="AF940" s="424">
        <f t="shared" si="125"/>
        <v>161280</v>
      </c>
      <c r="AG940" s="405" t="s">
        <v>1069</v>
      </c>
      <c r="AH940" s="405"/>
      <c r="AI940" s="414" t="s">
        <v>1962</v>
      </c>
      <c r="AJ940" s="405" t="s">
        <v>1573</v>
      </c>
      <c r="AK940" s="425" t="s">
        <v>50</v>
      </c>
      <c r="AL940" s="405">
        <v>93308</v>
      </c>
      <c r="AM940" s="405" t="s">
        <v>52</v>
      </c>
      <c r="AN940" s="405" t="s">
        <v>1071</v>
      </c>
      <c r="AO940" s="405"/>
      <c r="AP940" s="417"/>
      <c r="AQ940" s="417" t="s">
        <v>37</v>
      </c>
      <c r="AR940" s="417"/>
      <c r="AS940" s="426"/>
      <c r="AT940" s="426"/>
      <c r="AU940" s="357"/>
      <c r="AV940" s="409"/>
    </row>
    <row r="941" spans="1:48" s="402" customFormat="1" ht="15" customHeight="1">
      <c r="A941" s="403"/>
      <c r="B941" s="445">
        <v>44557</v>
      </c>
      <c r="C941" s="403"/>
      <c r="D941" s="443" t="s">
        <v>1914</v>
      </c>
      <c r="E941" s="432" t="s">
        <v>2155</v>
      </c>
      <c r="F941" s="432"/>
      <c r="G941" s="432">
        <v>2022</v>
      </c>
      <c r="H941" s="432" t="s">
        <v>1498</v>
      </c>
      <c r="I941" s="443" t="s">
        <v>1498</v>
      </c>
      <c r="J941" s="433"/>
      <c r="K941" s="434" t="s">
        <v>3296</v>
      </c>
      <c r="L941" s="432" t="s">
        <v>1967</v>
      </c>
      <c r="M941" s="435">
        <v>44545</v>
      </c>
      <c r="N941" s="435">
        <v>44788</v>
      </c>
      <c r="O941" s="435"/>
      <c r="P941" s="349"/>
      <c r="Q941" s="433"/>
      <c r="R941" s="433"/>
      <c r="S941" s="432" t="s">
        <v>1443</v>
      </c>
      <c r="T941" s="432">
        <v>60</v>
      </c>
      <c r="U941" s="350">
        <v>49401140</v>
      </c>
      <c r="V941" s="432" t="s">
        <v>1970</v>
      </c>
      <c r="W941" s="432">
        <v>400</v>
      </c>
      <c r="X941" s="436">
        <v>768</v>
      </c>
      <c r="Y941" s="408">
        <f t="shared" si="122"/>
        <v>307200</v>
      </c>
      <c r="Z941" s="409">
        <v>0.52500000000000002</v>
      </c>
      <c r="AA941" s="423">
        <f t="shared" si="123"/>
        <v>161280</v>
      </c>
      <c r="AB941" s="411"/>
      <c r="AC941" s="412">
        <f t="shared" si="124"/>
        <v>0</v>
      </c>
      <c r="AD941" s="421"/>
      <c r="AE941" s="413"/>
      <c r="AF941" s="424">
        <f t="shared" si="125"/>
        <v>161280</v>
      </c>
      <c r="AG941" s="405" t="s">
        <v>1069</v>
      </c>
      <c r="AH941" s="405"/>
      <c r="AI941" s="414" t="s">
        <v>1962</v>
      </c>
      <c r="AJ941" s="405" t="s">
        <v>1573</v>
      </c>
      <c r="AK941" s="425" t="s">
        <v>50</v>
      </c>
      <c r="AL941" s="405">
        <v>93308</v>
      </c>
      <c r="AM941" s="405" t="s">
        <v>52</v>
      </c>
      <c r="AN941" s="405" t="s">
        <v>1071</v>
      </c>
      <c r="AO941" s="405"/>
      <c r="AP941" s="417"/>
      <c r="AQ941" s="417" t="s">
        <v>37</v>
      </c>
      <c r="AR941" s="417"/>
      <c r="AS941" s="426"/>
      <c r="AT941" s="426"/>
      <c r="AU941" s="357"/>
      <c r="AV941" s="409"/>
    </row>
    <row r="942" spans="1:48" s="402" customFormat="1" ht="15" customHeight="1">
      <c r="A942" s="403"/>
      <c r="B942" s="445">
        <v>44557</v>
      </c>
      <c r="C942" s="403"/>
      <c r="D942" s="443" t="s">
        <v>1914</v>
      </c>
      <c r="E942" s="432" t="s">
        <v>2155</v>
      </c>
      <c r="F942" s="432"/>
      <c r="G942" s="432">
        <v>2022</v>
      </c>
      <c r="H942" s="432" t="s">
        <v>1498</v>
      </c>
      <c r="I942" s="443" t="s">
        <v>1498</v>
      </c>
      <c r="J942" s="433"/>
      <c r="K942" s="434" t="s">
        <v>3297</v>
      </c>
      <c r="L942" s="432" t="s">
        <v>1967</v>
      </c>
      <c r="M942" s="435">
        <v>44545</v>
      </c>
      <c r="N942" s="435">
        <v>44806</v>
      </c>
      <c r="O942" s="435"/>
      <c r="P942" s="349"/>
      <c r="Q942" s="433"/>
      <c r="R942" s="433"/>
      <c r="S942" s="432" t="s">
        <v>1443</v>
      </c>
      <c r="T942" s="432">
        <v>60</v>
      </c>
      <c r="U942" s="350">
        <v>49401140</v>
      </c>
      <c r="V942" s="432" t="s">
        <v>1970</v>
      </c>
      <c r="W942" s="432">
        <v>400</v>
      </c>
      <c r="X942" s="436">
        <v>768</v>
      </c>
      <c r="Y942" s="408">
        <f t="shared" si="122"/>
        <v>307200</v>
      </c>
      <c r="Z942" s="409">
        <v>0.52500000000000002</v>
      </c>
      <c r="AA942" s="423">
        <f t="shared" si="123"/>
        <v>161280</v>
      </c>
      <c r="AB942" s="411"/>
      <c r="AC942" s="412">
        <f t="shared" si="124"/>
        <v>0</v>
      </c>
      <c r="AD942" s="421"/>
      <c r="AE942" s="413"/>
      <c r="AF942" s="424">
        <f t="shared" si="125"/>
        <v>161280</v>
      </c>
      <c r="AG942" s="405" t="s">
        <v>1069</v>
      </c>
      <c r="AH942" s="405"/>
      <c r="AI942" s="414" t="s">
        <v>1962</v>
      </c>
      <c r="AJ942" s="405" t="s">
        <v>1573</v>
      </c>
      <c r="AK942" s="425" t="s">
        <v>50</v>
      </c>
      <c r="AL942" s="405">
        <v>93308</v>
      </c>
      <c r="AM942" s="405" t="s">
        <v>52</v>
      </c>
      <c r="AN942" s="405" t="s">
        <v>1071</v>
      </c>
      <c r="AO942" s="405"/>
      <c r="AP942" s="417"/>
      <c r="AQ942" s="417" t="s">
        <v>37</v>
      </c>
      <c r="AR942" s="417"/>
      <c r="AS942" s="426"/>
      <c r="AT942" s="426"/>
      <c r="AU942" s="357"/>
      <c r="AV942" s="409"/>
    </row>
    <row r="943" spans="1:48" s="402" customFormat="1" ht="15" customHeight="1">
      <c r="A943" s="403"/>
      <c r="B943" s="445">
        <v>44557</v>
      </c>
      <c r="C943" s="403"/>
      <c r="D943" s="443" t="s">
        <v>1914</v>
      </c>
      <c r="E943" s="432" t="s">
        <v>2155</v>
      </c>
      <c r="F943" s="432"/>
      <c r="G943" s="432">
        <v>2022</v>
      </c>
      <c r="H943" s="432" t="s">
        <v>1498</v>
      </c>
      <c r="I943" s="443" t="s">
        <v>1498</v>
      </c>
      <c r="J943" s="433"/>
      <c r="K943" s="434" t="s">
        <v>3298</v>
      </c>
      <c r="L943" s="432" t="s">
        <v>1967</v>
      </c>
      <c r="M943" s="435">
        <v>44545</v>
      </c>
      <c r="N943" s="435">
        <v>44809</v>
      </c>
      <c r="O943" s="435"/>
      <c r="P943" s="349"/>
      <c r="Q943" s="433"/>
      <c r="R943" s="433"/>
      <c r="S943" s="432" t="s">
        <v>1443</v>
      </c>
      <c r="T943" s="432">
        <v>60</v>
      </c>
      <c r="U943" s="350">
        <v>49401140</v>
      </c>
      <c r="V943" s="432" t="s">
        <v>1970</v>
      </c>
      <c r="W943" s="432">
        <v>400</v>
      </c>
      <c r="X943" s="436">
        <v>768</v>
      </c>
      <c r="Y943" s="408">
        <f t="shared" si="122"/>
        <v>307200</v>
      </c>
      <c r="Z943" s="409">
        <v>0.52500000000000002</v>
      </c>
      <c r="AA943" s="423">
        <f t="shared" si="123"/>
        <v>161280</v>
      </c>
      <c r="AB943" s="411"/>
      <c r="AC943" s="412">
        <f t="shared" si="124"/>
        <v>0</v>
      </c>
      <c r="AD943" s="421"/>
      <c r="AE943" s="413"/>
      <c r="AF943" s="424">
        <f t="shared" si="125"/>
        <v>161280</v>
      </c>
      <c r="AG943" s="405" t="s">
        <v>1069</v>
      </c>
      <c r="AH943" s="405"/>
      <c r="AI943" s="414" t="s">
        <v>1962</v>
      </c>
      <c r="AJ943" s="405" t="s">
        <v>1573</v>
      </c>
      <c r="AK943" s="425" t="s">
        <v>50</v>
      </c>
      <c r="AL943" s="405">
        <v>93308</v>
      </c>
      <c r="AM943" s="405" t="s">
        <v>52</v>
      </c>
      <c r="AN943" s="405" t="s">
        <v>1071</v>
      </c>
      <c r="AO943" s="405"/>
      <c r="AP943" s="417"/>
      <c r="AQ943" s="417" t="s">
        <v>37</v>
      </c>
      <c r="AR943" s="417"/>
      <c r="AS943" s="426"/>
      <c r="AT943" s="426"/>
      <c r="AU943" s="357"/>
      <c r="AV943" s="409"/>
    </row>
    <row r="944" spans="1:48" s="402" customFormat="1" ht="15" customHeight="1">
      <c r="A944" s="403"/>
      <c r="B944" s="445">
        <v>44557</v>
      </c>
      <c r="C944" s="403"/>
      <c r="D944" s="443" t="s">
        <v>1914</v>
      </c>
      <c r="E944" s="432" t="s">
        <v>2155</v>
      </c>
      <c r="F944" s="432"/>
      <c r="G944" s="432">
        <v>2022</v>
      </c>
      <c r="H944" s="432" t="s">
        <v>1498</v>
      </c>
      <c r="I944" s="443" t="s">
        <v>1498</v>
      </c>
      <c r="J944" s="433"/>
      <c r="K944" s="434" t="s">
        <v>3299</v>
      </c>
      <c r="L944" s="432" t="s">
        <v>1967</v>
      </c>
      <c r="M944" s="435">
        <v>44545</v>
      </c>
      <c r="N944" s="435">
        <v>44813</v>
      </c>
      <c r="O944" s="435"/>
      <c r="P944" s="349"/>
      <c r="Q944" s="433"/>
      <c r="R944" s="433"/>
      <c r="S944" s="432" t="s">
        <v>1443</v>
      </c>
      <c r="T944" s="432">
        <v>60</v>
      </c>
      <c r="U944" s="350">
        <v>49401140</v>
      </c>
      <c r="V944" s="432" t="s">
        <v>1970</v>
      </c>
      <c r="W944" s="432">
        <v>400</v>
      </c>
      <c r="X944" s="436">
        <v>768</v>
      </c>
      <c r="Y944" s="408">
        <f t="shared" si="122"/>
        <v>307200</v>
      </c>
      <c r="Z944" s="409">
        <v>0.52500000000000002</v>
      </c>
      <c r="AA944" s="423">
        <f t="shared" si="123"/>
        <v>161280</v>
      </c>
      <c r="AB944" s="411"/>
      <c r="AC944" s="412">
        <f t="shared" si="124"/>
        <v>0</v>
      </c>
      <c r="AD944" s="421"/>
      <c r="AE944" s="413"/>
      <c r="AF944" s="424">
        <f t="shared" si="125"/>
        <v>161280</v>
      </c>
      <c r="AG944" s="405" t="s">
        <v>1069</v>
      </c>
      <c r="AH944" s="405"/>
      <c r="AI944" s="414" t="s">
        <v>1962</v>
      </c>
      <c r="AJ944" s="405" t="s">
        <v>1573</v>
      </c>
      <c r="AK944" s="425" t="s">
        <v>50</v>
      </c>
      <c r="AL944" s="405">
        <v>93308</v>
      </c>
      <c r="AM944" s="405" t="s">
        <v>52</v>
      </c>
      <c r="AN944" s="405" t="s">
        <v>1071</v>
      </c>
      <c r="AO944" s="405"/>
      <c r="AP944" s="417"/>
      <c r="AQ944" s="417" t="s">
        <v>37</v>
      </c>
      <c r="AR944" s="417"/>
      <c r="AS944" s="426"/>
      <c r="AT944" s="426"/>
      <c r="AU944" s="357"/>
      <c r="AV944" s="409"/>
    </row>
    <row r="945" spans="1:48" s="402" customFormat="1" ht="15" customHeight="1">
      <c r="A945" s="403"/>
      <c r="B945" s="445">
        <v>44557</v>
      </c>
      <c r="C945" s="403"/>
      <c r="D945" s="443" t="s">
        <v>1914</v>
      </c>
      <c r="E945" s="432" t="s">
        <v>2155</v>
      </c>
      <c r="F945" s="432"/>
      <c r="G945" s="432">
        <v>2022</v>
      </c>
      <c r="H945" s="432" t="s">
        <v>1498</v>
      </c>
      <c r="I945" s="443" t="s">
        <v>1498</v>
      </c>
      <c r="J945" s="433"/>
      <c r="K945" s="434" t="s">
        <v>3300</v>
      </c>
      <c r="L945" s="432" t="s">
        <v>1967</v>
      </c>
      <c r="M945" s="435">
        <v>44545</v>
      </c>
      <c r="N945" s="435">
        <v>44815</v>
      </c>
      <c r="O945" s="435"/>
      <c r="P945" s="349"/>
      <c r="Q945" s="433"/>
      <c r="R945" s="433"/>
      <c r="S945" s="432" t="s">
        <v>1443</v>
      </c>
      <c r="T945" s="432">
        <v>60</v>
      </c>
      <c r="U945" s="350">
        <v>49401140</v>
      </c>
      <c r="V945" s="432" t="s">
        <v>1970</v>
      </c>
      <c r="W945" s="432">
        <v>400</v>
      </c>
      <c r="X945" s="436">
        <v>768</v>
      </c>
      <c r="Y945" s="408">
        <f t="shared" si="122"/>
        <v>307200</v>
      </c>
      <c r="Z945" s="409">
        <v>0.52500000000000002</v>
      </c>
      <c r="AA945" s="423">
        <f t="shared" si="123"/>
        <v>161280</v>
      </c>
      <c r="AB945" s="411"/>
      <c r="AC945" s="412">
        <f t="shared" si="124"/>
        <v>0</v>
      </c>
      <c r="AD945" s="421"/>
      <c r="AE945" s="413"/>
      <c r="AF945" s="424">
        <f t="shared" si="125"/>
        <v>161280</v>
      </c>
      <c r="AG945" s="405" t="s">
        <v>1069</v>
      </c>
      <c r="AH945" s="405"/>
      <c r="AI945" s="414" t="s">
        <v>1962</v>
      </c>
      <c r="AJ945" s="405" t="s">
        <v>1573</v>
      </c>
      <c r="AK945" s="425" t="s">
        <v>50</v>
      </c>
      <c r="AL945" s="405">
        <v>93308</v>
      </c>
      <c r="AM945" s="405" t="s">
        <v>52</v>
      </c>
      <c r="AN945" s="405" t="s">
        <v>1071</v>
      </c>
      <c r="AO945" s="405"/>
      <c r="AP945" s="417"/>
      <c r="AQ945" s="417" t="s">
        <v>37</v>
      </c>
      <c r="AR945" s="417"/>
      <c r="AS945" s="426"/>
      <c r="AT945" s="426"/>
      <c r="AU945" s="357"/>
      <c r="AV945" s="409"/>
    </row>
    <row r="946" spans="1:48" s="402" customFormat="1" ht="15" customHeight="1">
      <c r="A946" s="403"/>
      <c r="B946" s="445">
        <v>44557</v>
      </c>
      <c r="C946" s="403"/>
      <c r="D946" s="443" t="s">
        <v>1914</v>
      </c>
      <c r="E946" s="432" t="s">
        <v>2155</v>
      </c>
      <c r="F946" s="432"/>
      <c r="G946" s="432">
        <v>2022</v>
      </c>
      <c r="H946" s="432" t="s">
        <v>1498</v>
      </c>
      <c r="I946" s="443" t="s">
        <v>1498</v>
      </c>
      <c r="J946" s="433"/>
      <c r="K946" s="434" t="s">
        <v>3301</v>
      </c>
      <c r="L946" s="432" t="s">
        <v>1967</v>
      </c>
      <c r="M946" s="435">
        <v>44545</v>
      </c>
      <c r="N946" s="435">
        <v>44819</v>
      </c>
      <c r="O946" s="435"/>
      <c r="P946" s="349"/>
      <c r="Q946" s="433"/>
      <c r="R946" s="433"/>
      <c r="S946" s="432" t="s">
        <v>1443</v>
      </c>
      <c r="T946" s="432">
        <v>60</v>
      </c>
      <c r="U946" s="350">
        <v>49401140</v>
      </c>
      <c r="V946" s="432" t="s">
        <v>1970</v>
      </c>
      <c r="W946" s="432">
        <v>400</v>
      </c>
      <c r="X946" s="436">
        <v>768</v>
      </c>
      <c r="Y946" s="408">
        <f t="shared" si="122"/>
        <v>307200</v>
      </c>
      <c r="Z946" s="409">
        <v>0.52500000000000002</v>
      </c>
      <c r="AA946" s="423">
        <f t="shared" si="123"/>
        <v>161280</v>
      </c>
      <c r="AB946" s="411"/>
      <c r="AC946" s="412">
        <f t="shared" si="124"/>
        <v>0</v>
      </c>
      <c r="AD946" s="421"/>
      <c r="AE946" s="413"/>
      <c r="AF946" s="424">
        <f t="shared" si="125"/>
        <v>161280</v>
      </c>
      <c r="AG946" s="405" t="s">
        <v>1069</v>
      </c>
      <c r="AH946" s="405"/>
      <c r="AI946" s="414" t="s">
        <v>1962</v>
      </c>
      <c r="AJ946" s="405" t="s">
        <v>1573</v>
      </c>
      <c r="AK946" s="425" t="s">
        <v>50</v>
      </c>
      <c r="AL946" s="405">
        <v>93308</v>
      </c>
      <c r="AM946" s="405" t="s">
        <v>52</v>
      </c>
      <c r="AN946" s="405" t="s">
        <v>1071</v>
      </c>
      <c r="AO946" s="405"/>
      <c r="AP946" s="417"/>
      <c r="AQ946" s="417" t="s">
        <v>37</v>
      </c>
      <c r="AR946" s="417"/>
      <c r="AS946" s="426"/>
      <c r="AT946" s="426"/>
      <c r="AU946" s="357"/>
      <c r="AV946" s="409"/>
    </row>
    <row r="947" spans="1:48" s="402" customFormat="1" ht="15" customHeight="1">
      <c r="A947" s="403"/>
      <c r="B947" s="445">
        <v>44557</v>
      </c>
      <c r="C947" s="403"/>
      <c r="D947" s="443" t="s">
        <v>1914</v>
      </c>
      <c r="E947" s="432" t="s">
        <v>2155</v>
      </c>
      <c r="F947" s="432"/>
      <c r="G947" s="432">
        <v>2022</v>
      </c>
      <c r="H947" s="432" t="s">
        <v>1498</v>
      </c>
      <c r="I947" s="443" t="s">
        <v>1498</v>
      </c>
      <c r="J947" s="433"/>
      <c r="K947" s="434" t="s">
        <v>3302</v>
      </c>
      <c r="L947" s="432" t="s">
        <v>1967</v>
      </c>
      <c r="M947" s="435">
        <v>44545</v>
      </c>
      <c r="N947" s="435">
        <v>44835</v>
      </c>
      <c r="O947" s="435"/>
      <c r="P947" s="349"/>
      <c r="Q947" s="433"/>
      <c r="R947" s="433"/>
      <c r="S947" s="432" t="s">
        <v>1443</v>
      </c>
      <c r="T947" s="432">
        <v>60</v>
      </c>
      <c r="U947" s="350">
        <v>49401140</v>
      </c>
      <c r="V947" s="432" t="s">
        <v>1970</v>
      </c>
      <c r="W947" s="432">
        <v>400</v>
      </c>
      <c r="X947" s="436">
        <v>768</v>
      </c>
      <c r="Y947" s="408">
        <f t="shared" si="122"/>
        <v>307200</v>
      </c>
      <c r="Z947" s="409">
        <v>0.52500000000000002</v>
      </c>
      <c r="AA947" s="423">
        <f t="shared" si="123"/>
        <v>161280</v>
      </c>
      <c r="AB947" s="411"/>
      <c r="AC947" s="412">
        <f t="shared" si="124"/>
        <v>0</v>
      </c>
      <c r="AD947" s="421"/>
      <c r="AE947" s="413"/>
      <c r="AF947" s="424">
        <f t="shared" si="125"/>
        <v>161280</v>
      </c>
      <c r="AG947" s="405" t="s">
        <v>1069</v>
      </c>
      <c r="AH947" s="405"/>
      <c r="AI947" s="414" t="s">
        <v>1962</v>
      </c>
      <c r="AJ947" s="405" t="s">
        <v>1573</v>
      </c>
      <c r="AK947" s="425" t="s">
        <v>50</v>
      </c>
      <c r="AL947" s="405">
        <v>93308</v>
      </c>
      <c r="AM947" s="405" t="s">
        <v>52</v>
      </c>
      <c r="AN947" s="405" t="s">
        <v>1071</v>
      </c>
      <c r="AO947" s="405"/>
      <c r="AP947" s="417"/>
      <c r="AQ947" s="417" t="s">
        <v>37</v>
      </c>
      <c r="AR947" s="417"/>
      <c r="AS947" s="426"/>
      <c r="AT947" s="426"/>
      <c r="AU947" s="357"/>
      <c r="AV947" s="409"/>
    </row>
    <row r="948" spans="1:48" s="402" customFormat="1" ht="15" customHeight="1">
      <c r="A948" s="403"/>
      <c r="B948" s="445">
        <v>44557</v>
      </c>
      <c r="C948" s="403"/>
      <c r="D948" s="443" t="s">
        <v>1914</v>
      </c>
      <c r="E948" s="432" t="s">
        <v>2155</v>
      </c>
      <c r="F948" s="432"/>
      <c r="G948" s="432">
        <v>2022</v>
      </c>
      <c r="H948" s="432" t="s">
        <v>1498</v>
      </c>
      <c r="I948" s="443" t="s">
        <v>1498</v>
      </c>
      <c r="J948" s="433"/>
      <c r="K948" s="434" t="s">
        <v>3303</v>
      </c>
      <c r="L948" s="432" t="s">
        <v>1967</v>
      </c>
      <c r="M948" s="435">
        <v>44545</v>
      </c>
      <c r="N948" s="435">
        <v>44837</v>
      </c>
      <c r="O948" s="435"/>
      <c r="P948" s="349"/>
      <c r="Q948" s="433"/>
      <c r="R948" s="433"/>
      <c r="S948" s="432" t="s">
        <v>1443</v>
      </c>
      <c r="T948" s="432">
        <v>60</v>
      </c>
      <c r="U948" s="350">
        <v>49401140</v>
      </c>
      <c r="V948" s="432" t="s">
        <v>1970</v>
      </c>
      <c r="W948" s="432">
        <v>400</v>
      </c>
      <c r="X948" s="436">
        <v>768</v>
      </c>
      <c r="Y948" s="408">
        <f t="shared" si="122"/>
        <v>307200</v>
      </c>
      <c r="Z948" s="409">
        <v>0.52500000000000002</v>
      </c>
      <c r="AA948" s="423">
        <f t="shared" si="123"/>
        <v>161280</v>
      </c>
      <c r="AB948" s="411"/>
      <c r="AC948" s="412">
        <f t="shared" si="124"/>
        <v>0</v>
      </c>
      <c r="AD948" s="421"/>
      <c r="AE948" s="413"/>
      <c r="AF948" s="424">
        <f t="shared" si="125"/>
        <v>161280</v>
      </c>
      <c r="AG948" s="405" t="s">
        <v>1069</v>
      </c>
      <c r="AH948" s="405"/>
      <c r="AI948" s="414" t="s">
        <v>1962</v>
      </c>
      <c r="AJ948" s="405" t="s">
        <v>1573</v>
      </c>
      <c r="AK948" s="425" t="s">
        <v>50</v>
      </c>
      <c r="AL948" s="405">
        <v>93308</v>
      </c>
      <c r="AM948" s="405" t="s">
        <v>52</v>
      </c>
      <c r="AN948" s="405" t="s">
        <v>1071</v>
      </c>
      <c r="AO948" s="405"/>
      <c r="AP948" s="417"/>
      <c r="AQ948" s="417" t="s">
        <v>37</v>
      </c>
      <c r="AR948" s="417"/>
      <c r="AS948" s="426"/>
      <c r="AT948" s="426"/>
      <c r="AU948" s="357"/>
      <c r="AV948" s="409"/>
    </row>
    <row r="949" spans="1:48" s="402" customFormat="1" ht="15" customHeight="1">
      <c r="A949" s="403"/>
      <c r="B949" s="445">
        <v>44557</v>
      </c>
      <c r="C949" s="403"/>
      <c r="D949" s="443" t="s">
        <v>1914</v>
      </c>
      <c r="E949" s="432" t="s">
        <v>2155</v>
      </c>
      <c r="F949" s="432"/>
      <c r="G949" s="432">
        <v>2022</v>
      </c>
      <c r="H949" s="432" t="s">
        <v>1498</v>
      </c>
      <c r="I949" s="443" t="s">
        <v>1498</v>
      </c>
      <c r="J949" s="433"/>
      <c r="K949" s="434" t="s">
        <v>3304</v>
      </c>
      <c r="L949" s="432" t="s">
        <v>1967</v>
      </c>
      <c r="M949" s="435">
        <v>44545</v>
      </c>
      <c r="N949" s="435">
        <v>44840</v>
      </c>
      <c r="O949" s="435"/>
      <c r="P949" s="349"/>
      <c r="Q949" s="433"/>
      <c r="R949" s="433"/>
      <c r="S949" s="432" t="s">
        <v>1443</v>
      </c>
      <c r="T949" s="432">
        <v>60</v>
      </c>
      <c r="U949" s="350">
        <v>49401140</v>
      </c>
      <c r="V949" s="432" t="s">
        <v>1970</v>
      </c>
      <c r="W949" s="432">
        <v>400</v>
      </c>
      <c r="X949" s="436">
        <v>768</v>
      </c>
      <c r="Y949" s="408">
        <f t="shared" si="122"/>
        <v>307200</v>
      </c>
      <c r="Z949" s="409">
        <v>0.52500000000000002</v>
      </c>
      <c r="AA949" s="423">
        <f t="shared" si="123"/>
        <v>161280</v>
      </c>
      <c r="AB949" s="411"/>
      <c r="AC949" s="412">
        <f t="shared" si="124"/>
        <v>0</v>
      </c>
      <c r="AD949" s="421"/>
      <c r="AE949" s="413"/>
      <c r="AF949" s="424">
        <f t="shared" si="125"/>
        <v>161280</v>
      </c>
      <c r="AG949" s="405" t="s">
        <v>1069</v>
      </c>
      <c r="AH949" s="405"/>
      <c r="AI949" s="414" t="s">
        <v>1962</v>
      </c>
      <c r="AJ949" s="405" t="s">
        <v>1573</v>
      </c>
      <c r="AK949" s="425" t="s">
        <v>50</v>
      </c>
      <c r="AL949" s="405">
        <v>93308</v>
      </c>
      <c r="AM949" s="405" t="s">
        <v>52</v>
      </c>
      <c r="AN949" s="405" t="s">
        <v>1071</v>
      </c>
      <c r="AO949" s="405"/>
      <c r="AP949" s="417"/>
      <c r="AQ949" s="417" t="s">
        <v>37</v>
      </c>
      <c r="AR949" s="417"/>
      <c r="AS949" s="426"/>
      <c r="AT949" s="426"/>
      <c r="AU949" s="357"/>
      <c r="AV949" s="409"/>
    </row>
    <row r="950" spans="1:48" s="402" customFormat="1" ht="15" customHeight="1">
      <c r="A950" s="403"/>
      <c r="B950" s="445">
        <v>44557</v>
      </c>
      <c r="C950" s="403"/>
      <c r="D950" s="443" t="s">
        <v>1914</v>
      </c>
      <c r="E950" s="432" t="s">
        <v>2155</v>
      </c>
      <c r="F950" s="432"/>
      <c r="G950" s="432">
        <v>2022</v>
      </c>
      <c r="H950" s="432" t="s">
        <v>1498</v>
      </c>
      <c r="I950" s="443" t="s">
        <v>1498</v>
      </c>
      <c r="J950" s="433"/>
      <c r="K950" s="434" t="s">
        <v>3305</v>
      </c>
      <c r="L950" s="432" t="s">
        <v>1967</v>
      </c>
      <c r="M950" s="435">
        <v>44545</v>
      </c>
      <c r="N950" s="435">
        <v>44844</v>
      </c>
      <c r="O950" s="435"/>
      <c r="P950" s="349"/>
      <c r="Q950" s="433"/>
      <c r="R950" s="433"/>
      <c r="S950" s="432" t="s">
        <v>1443</v>
      </c>
      <c r="T950" s="432">
        <v>60</v>
      </c>
      <c r="U950" s="350">
        <v>49401140</v>
      </c>
      <c r="V950" s="432" t="s">
        <v>1970</v>
      </c>
      <c r="W950" s="432">
        <v>400</v>
      </c>
      <c r="X950" s="436">
        <v>768</v>
      </c>
      <c r="Y950" s="408">
        <f t="shared" si="122"/>
        <v>307200</v>
      </c>
      <c r="Z950" s="409">
        <v>0.52500000000000002</v>
      </c>
      <c r="AA950" s="423">
        <f t="shared" si="123"/>
        <v>161280</v>
      </c>
      <c r="AB950" s="411"/>
      <c r="AC950" s="412">
        <f t="shared" si="124"/>
        <v>0</v>
      </c>
      <c r="AD950" s="421"/>
      <c r="AE950" s="413"/>
      <c r="AF950" s="424">
        <f t="shared" si="125"/>
        <v>161280</v>
      </c>
      <c r="AG950" s="405" t="s">
        <v>1069</v>
      </c>
      <c r="AH950" s="405"/>
      <c r="AI950" s="414" t="s">
        <v>1962</v>
      </c>
      <c r="AJ950" s="405" t="s">
        <v>1573</v>
      </c>
      <c r="AK950" s="425" t="s">
        <v>50</v>
      </c>
      <c r="AL950" s="405">
        <v>93308</v>
      </c>
      <c r="AM950" s="405" t="s">
        <v>52</v>
      </c>
      <c r="AN950" s="405" t="s">
        <v>1071</v>
      </c>
      <c r="AO950" s="405"/>
      <c r="AP950" s="417"/>
      <c r="AQ950" s="417" t="s">
        <v>37</v>
      </c>
      <c r="AR950" s="417"/>
      <c r="AS950" s="426"/>
      <c r="AT950" s="426"/>
      <c r="AU950" s="357"/>
      <c r="AV950" s="409"/>
    </row>
    <row r="951" spans="1:48" s="402" customFormat="1" ht="15" customHeight="1">
      <c r="A951" s="403"/>
      <c r="B951" s="445">
        <v>44557</v>
      </c>
      <c r="C951" s="403"/>
      <c r="D951" s="443" t="s">
        <v>1914</v>
      </c>
      <c r="E951" s="432" t="s">
        <v>2155</v>
      </c>
      <c r="F951" s="432"/>
      <c r="G951" s="432">
        <v>2022</v>
      </c>
      <c r="H951" s="432" t="s">
        <v>1498</v>
      </c>
      <c r="I951" s="443" t="s">
        <v>1498</v>
      </c>
      <c r="J951" s="433"/>
      <c r="K951" s="434" t="s">
        <v>3306</v>
      </c>
      <c r="L951" s="432" t="s">
        <v>1967</v>
      </c>
      <c r="M951" s="435">
        <v>44545</v>
      </c>
      <c r="N951" s="435">
        <v>44844</v>
      </c>
      <c r="O951" s="435"/>
      <c r="P951" s="349"/>
      <c r="Q951" s="433"/>
      <c r="R951" s="433"/>
      <c r="S951" s="432" t="s">
        <v>1443</v>
      </c>
      <c r="T951" s="432">
        <v>60</v>
      </c>
      <c r="U951" s="350">
        <v>49201132</v>
      </c>
      <c r="V951" s="432" t="s">
        <v>986</v>
      </c>
      <c r="W951" s="432">
        <v>360</v>
      </c>
      <c r="X951" s="436">
        <v>832</v>
      </c>
      <c r="Y951" s="408">
        <f t="shared" si="122"/>
        <v>299520</v>
      </c>
      <c r="Z951" s="409">
        <v>0.505</v>
      </c>
      <c r="AA951" s="423">
        <f t="shared" si="123"/>
        <v>151257.60000000001</v>
      </c>
      <c r="AB951" s="411"/>
      <c r="AC951" s="412">
        <f t="shared" si="124"/>
        <v>0</v>
      </c>
      <c r="AD951" s="421"/>
      <c r="AE951" s="413"/>
      <c r="AF951" s="424">
        <f t="shared" si="125"/>
        <v>151257.60000000001</v>
      </c>
      <c r="AG951" s="405" t="s">
        <v>1069</v>
      </c>
      <c r="AH951" s="405"/>
      <c r="AI951" s="414" t="s">
        <v>1962</v>
      </c>
      <c r="AJ951" s="405" t="s">
        <v>1573</v>
      </c>
      <c r="AK951" s="425" t="s">
        <v>50</v>
      </c>
      <c r="AL951" s="405">
        <v>93308</v>
      </c>
      <c r="AM951" s="405" t="s">
        <v>52</v>
      </c>
      <c r="AN951" s="405" t="s">
        <v>1071</v>
      </c>
      <c r="AO951" s="405"/>
      <c r="AP951" s="417"/>
      <c r="AQ951" s="417" t="s">
        <v>37</v>
      </c>
      <c r="AR951" s="417"/>
      <c r="AS951" s="426"/>
      <c r="AT951" s="426"/>
      <c r="AU951" s="357"/>
      <c r="AV951" s="409"/>
    </row>
    <row r="952" spans="1:48" s="402" customFormat="1" ht="15" customHeight="1">
      <c r="A952" s="403"/>
      <c r="B952" s="445">
        <v>44557</v>
      </c>
      <c r="C952" s="403"/>
      <c r="D952" s="443" t="s">
        <v>1914</v>
      </c>
      <c r="E952" s="432" t="s">
        <v>2155</v>
      </c>
      <c r="F952" s="432"/>
      <c r="G952" s="432">
        <v>2022</v>
      </c>
      <c r="H952" s="432" t="s">
        <v>1498</v>
      </c>
      <c r="I952" s="443" t="s">
        <v>1498</v>
      </c>
      <c r="J952" s="433"/>
      <c r="K952" s="434" t="s">
        <v>3307</v>
      </c>
      <c r="L952" s="432" t="s">
        <v>1967</v>
      </c>
      <c r="M952" s="435">
        <v>44545</v>
      </c>
      <c r="N952" s="435">
        <v>44847</v>
      </c>
      <c r="O952" s="435"/>
      <c r="P952" s="349"/>
      <c r="Q952" s="433"/>
      <c r="R952" s="433"/>
      <c r="S952" s="432" t="s">
        <v>1443</v>
      </c>
      <c r="T952" s="432">
        <v>60</v>
      </c>
      <c r="U952" s="350">
        <v>49401140</v>
      </c>
      <c r="V952" s="432" t="s">
        <v>1970</v>
      </c>
      <c r="W952" s="432">
        <v>400</v>
      </c>
      <c r="X952" s="436">
        <v>768</v>
      </c>
      <c r="Y952" s="408">
        <f t="shared" si="122"/>
        <v>307200</v>
      </c>
      <c r="Z952" s="409">
        <v>0.52500000000000002</v>
      </c>
      <c r="AA952" s="423">
        <f t="shared" si="123"/>
        <v>161280</v>
      </c>
      <c r="AB952" s="411"/>
      <c r="AC952" s="412">
        <f t="shared" si="124"/>
        <v>0</v>
      </c>
      <c r="AD952" s="421"/>
      <c r="AE952" s="413"/>
      <c r="AF952" s="424">
        <f t="shared" si="125"/>
        <v>161280</v>
      </c>
      <c r="AG952" s="405" t="s">
        <v>1069</v>
      </c>
      <c r="AH952" s="405"/>
      <c r="AI952" s="414" t="s">
        <v>1962</v>
      </c>
      <c r="AJ952" s="405" t="s">
        <v>1573</v>
      </c>
      <c r="AK952" s="425" t="s">
        <v>50</v>
      </c>
      <c r="AL952" s="405">
        <v>93308</v>
      </c>
      <c r="AM952" s="405" t="s">
        <v>52</v>
      </c>
      <c r="AN952" s="405" t="s">
        <v>1071</v>
      </c>
      <c r="AO952" s="405"/>
      <c r="AP952" s="417"/>
      <c r="AQ952" s="417" t="s">
        <v>37</v>
      </c>
      <c r="AR952" s="417"/>
      <c r="AS952" s="426"/>
      <c r="AT952" s="426"/>
      <c r="AU952" s="357"/>
      <c r="AV952" s="409"/>
    </row>
    <row r="953" spans="1:48" s="402" customFormat="1" ht="15" customHeight="1">
      <c r="A953" s="403"/>
      <c r="B953" s="445">
        <v>44557</v>
      </c>
      <c r="C953" s="403"/>
      <c r="D953" s="443" t="s">
        <v>1914</v>
      </c>
      <c r="E953" s="432" t="s">
        <v>2155</v>
      </c>
      <c r="F953" s="432"/>
      <c r="G953" s="432">
        <v>2022</v>
      </c>
      <c r="H953" s="432" t="s">
        <v>1498</v>
      </c>
      <c r="I953" s="443" t="s">
        <v>1498</v>
      </c>
      <c r="J953" s="433"/>
      <c r="K953" s="434" t="s">
        <v>3308</v>
      </c>
      <c r="L953" s="432" t="s">
        <v>1967</v>
      </c>
      <c r="M953" s="435">
        <v>44545</v>
      </c>
      <c r="N953" s="435">
        <v>44850</v>
      </c>
      <c r="O953" s="435"/>
      <c r="P953" s="349"/>
      <c r="Q953" s="433"/>
      <c r="R953" s="433"/>
      <c r="S953" s="432" t="s">
        <v>1443</v>
      </c>
      <c r="T953" s="432">
        <v>60</v>
      </c>
      <c r="U953" s="350">
        <v>49401140</v>
      </c>
      <c r="V953" s="432" t="s">
        <v>2284</v>
      </c>
      <c r="W953" s="432">
        <v>400</v>
      </c>
      <c r="X953" s="436">
        <v>768</v>
      </c>
      <c r="Y953" s="408">
        <f t="shared" si="122"/>
        <v>307200</v>
      </c>
      <c r="Z953" s="409">
        <v>0.52500000000000002</v>
      </c>
      <c r="AA953" s="423">
        <f t="shared" si="123"/>
        <v>161280</v>
      </c>
      <c r="AB953" s="411"/>
      <c r="AC953" s="412">
        <f t="shared" si="124"/>
        <v>0</v>
      </c>
      <c r="AD953" s="421"/>
      <c r="AE953" s="413"/>
      <c r="AF953" s="424">
        <f t="shared" si="125"/>
        <v>161280</v>
      </c>
      <c r="AG953" s="405" t="s">
        <v>1069</v>
      </c>
      <c r="AH953" s="405"/>
      <c r="AI953" s="414">
        <v>60</v>
      </c>
      <c r="AJ953" s="405" t="s">
        <v>1573</v>
      </c>
      <c r="AK953" s="425" t="s">
        <v>50</v>
      </c>
      <c r="AL953" s="405">
        <v>93308</v>
      </c>
      <c r="AM953" s="405" t="s">
        <v>52</v>
      </c>
      <c r="AN953" s="405" t="s">
        <v>1071</v>
      </c>
      <c r="AO953" s="405"/>
      <c r="AP953" s="417"/>
      <c r="AQ953" s="417" t="s">
        <v>37</v>
      </c>
      <c r="AR953" s="417"/>
      <c r="AS953" s="426"/>
      <c r="AT953" s="426"/>
      <c r="AU953" s="357"/>
      <c r="AV953" s="409"/>
    </row>
    <row r="954" spans="1:48" s="402" customFormat="1" ht="15" customHeight="1">
      <c r="A954" s="403"/>
      <c r="B954" s="445">
        <v>44557</v>
      </c>
      <c r="C954" s="403"/>
      <c r="D954" s="443" t="s">
        <v>1914</v>
      </c>
      <c r="E954" s="432" t="s">
        <v>2155</v>
      </c>
      <c r="F954" s="432"/>
      <c r="G954" s="432">
        <v>2022</v>
      </c>
      <c r="H954" s="432" t="s">
        <v>1498</v>
      </c>
      <c r="I954" s="443" t="s">
        <v>1498</v>
      </c>
      <c r="J954" s="433"/>
      <c r="K954" s="434" t="s">
        <v>3309</v>
      </c>
      <c r="L954" s="432" t="s">
        <v>1967</v>
      </c>
      <c r="M954" s="435">
        <v>44545</v>
      </c>
      <c r="N954" s="435">
        <v>44876</v>
      </c>
      <c r="O954" s="435"/>
      <c r="P954" s="349"/>
      <c r="Q954" s="433"/>
      <c r="R954" s="433"/>
      <c r="S954" s="432" t="s">
        <v>1443</v>
      </c>
      <c r="T954" s="432">
        <v>60</v>
      </c>
      <c r="U954" s="350">
        <v>49401140</v>
      </c>
      <c r="V954" s="432" t="s">
        <v>1970</v>
      </c>
      <c r="W954" s="432">
        <v>400</v>
      </c>
      <c r="X954" s="436">
        <v>768</v>
      </c>
      <c r="Y954" s="408">
        <f t="shared" si="122"/>
        <v>307200</v>
      </c>
      <c r="Z954" s="409">
        <v>0.52500000000000002</v>
      </c>
      <c r="AA954" s="423">
        <f t="shared" si="123"/>
        <v>161280</v>
      </c>
      <c r="AB954" s="411"/>
      <c r="AC954" s="412">
        <f t="shared" si="124"/>
        <v>0</v>
      </c>
      <c r="AD954" s="421"/>
      <c r="AE954" s="413"/>
      <c r="AF954" s="424">
        <f t="shared" si="125"/>
        <v>161280</v>
      </c>
      <c r="AG954" s="405" t="s">
        <v>1069</v>
      </c>
      <c r="AH954" s="405"/>
      <c r="AI954" s="414" t="s">
        <v>1962</v>
      </c>
      <c r="AJ954" s="405" t="s">
        <v>1573</v>
      </c>
      <c r="AK954" s="425" t="s">
        <v>50</v>
      </c>
      <c r="AL954" s="405">
        <v>93308</v>
      </c>
      <c r="AM954" s="405" t="s">
        <v>52</v>
      </c>
      <c r="AN954" s="405" t="s">
        <v>1071</v>
      </c>
      <c r="AO954" s="405"/>
      <c r="AP954" s="417"/>
      <c r="AQ954" s="417" t="s">
        <v>37</v>
      </c>
      <c r="AR954" s="417"/>
      <c r="AS954" s="426"/>
      <c r="AT954" s="426"/>
      <c r="AU954" s="357"/>
      <c r="AV954" s="409"/>
    </row>
    <row r="955" spans="1:48" s="402" customFormat="1" ht="15" customHeight="1">
      <c r="A955" s="403"/>
      <c r="B955" s="445">
        <v>44557</v>
      </c>
      <c r="C955" s="403"/>
      <c r="D955" s="443" t="s">
        <v>1914</v>
      </c>
      <c r="E955" s="432" t="s">
        <v>2155</v>
      </c>
      <c r="F955" s="432"/>
      <c r="G955" s="432">
        <v>2022</v>
      </c>
      <c r="H955" s="432" t="s">
        <v>1498</v>
      </c>
      <c r="I955" s="443" t="s">
        <v>1498</v>
      </c>
      <c r="J955" s="433"/>
      <c r="K955" s="434" t="s">
        <v>3310</v>
      </c>
      <c r="L955" s="432" t="s">
        <v>1967</v>
      </c>
      <c r="M955" s="435">
        <v>44545</v>
      </c>
      <c r="N955" s="435">
        <v>44896</v>
      </c>
      <c r="O955" s="435"/>
      <c r="P955" s="349"/>
      <c r="Q955" s="433"/>
      <c r="R955" s="433"/>
      <c r="S955" s="432" t="s">
        <v>1443</v>
      </c>
      <c r="T955" s="432">
        <v>60</v>
      </c>
      <c r="U955" s="350">
        <v>49401140</v>
      </c>
      <c r="V955" s="432" t="s">
        <v>1970</v>
      </c>
      <c r="W955" s="432">
        <v>400</v>
      </c>
      <c r="X955" s="436">
        <v>768</v>
      </c>
      <c r="Y955" s="408">
        <f t="shared" si="122"/>
        <v>307200</v>
      </c>
      <c r="Z955" s="409">
        <v>0.52500000000000002</v>
      </c>
      <c r="AA955" s="423">
        <f t="shared" si="123"/>
        <v>161280</v>
      </c>
      <c r="AB955" s="411"/>
      <c r="AC955" s="412">
        <f t="shared" si="124"/>
        <v>0</v>
      </c>
      <c r="AD955" s="421"/>
      <c r="AE955" s="413"/>
      <c r="AF955" s="424">
        <f t="shared" si="125"/>
        <v>161280</v>
      </c>
      <c r="AG955" s="405" t="s">
        <v>1069</v>
      </c>
      <c r="AH955" s="405"/>
      <c r="AI955" s="414" t="s">
        <v>1962</v>
      </c>
      <c r="AJ955" s="405" t="s">
        <v>1573</v>
      </c>
      <c r="AK955" s="425" t="s">
        <v>50</v>
      </c>
      <c r="AL955" s="405">
        <v>93308</v>
      </c>
      <c r="AM955" s="405" t="s">
        <v>52</v>
      </c>
      <c r="AN955" s="405" t="s">
        <v>1071</v>
      </c>
      <c r="AO955" s="405"/>
      <c r="AP955" s="417"/>
      <c r="AQ955" s="417" t="s">
        <v>37</v>
      </c>
      <c r="AR955" s="417"/>
      <c r="AS955" s="426"/>
      <c r="AT955" s="426"/>
      <c r="AU955" s="357"/>
      <c r="AV955" s="409"/>
    </row>
    <row r="956" spans="1:48" s="402" customFormat="1" ht="15" customHeight="1">
      <c r="A956" s="403"/>
      <c r="B956" s="445">
        <v>44557</v>
      </c>
      <c r="C956" s="403"/>
      <c r="D956" s="443" t="s">
        <v>1914</v>
      </c>
      <c r="E956" s="432" t="s">
        <v>2155</v>
      </c>
      <c r="F956" s="432"/>
      <c r="G956" s="432">
        <v>2022</v>
      </c>
      <c r="H956" s="432" t="s">
        <v>1498</v>
      </c>
      <c r="I956" s="443" t="s">
        <v>1498</v>
      </c>
      <c r="J956" s="433"/>
      <c r="K956" s="434" t="s">
        <v>3311</v>
      </c>
      <c r="L956" s="432" t="s">
        <v>1967</v>
      </c>
      <c r="M956" s="435">
        <v>44545</v>
      </c>
      <c r="N956" s="435">
        <v>44898</v>
      </c>
      <c r="O956" s="435"/>
      <c r="P956" s="349"/>
      <c r="Q956" s="433"/>
      <c r="R956" s="433"/>
      <c r="S956" s="432" t="s">
        <v>1443</v>
      </c>
      <c r="T956" s="432">
        <v>60</v>
      </c>
      <c r="U956" s="350">
        <v>49401140</v>
      </c>
      <c r="V956" s="432" t="s">
        <v>1970</v>
      </c>
      <c r="W956" s="432">
        <v>400</v>
      </c>
      <c r="X956" s="436">
        <v>768</v>
      </c>
      <c r="Y956" s="408">
        <f t="shared" si="122"/>
        <v>307200</v>
      </c>
      <c r="Z956" s="409">
        <v>0.52500000000000002</v>
      </c>
      <c r="AA956" s="423">
        <f t="shared" si="123"/>
        <v>161280</v>
      </c>
      <c r="AB956" s="411"/>
      <c r="AC956" s="412">
        <f t="shared" si="124"/>
        <v>0</v>
      </c>
      <c r="AD956" s="421"/>
      <c r="AE956" s="413"/>
      <c r="AF956" s="424">
        <f t="shared" si="125"/>
        <v>161280</v>
      </c>
      <c r="AG956" s="405" t="s">
        <v>1069</v>
      </c>
      <c r="AH956" s="405"/>
      <c r="AI956" s="414" t="s">
        <v>1962</v>
      </c>
      <c r="AJ956" s="405" t="s">
        <v>1573</v>
      </c>
      <c r="AK956" s="425" t="s">
        <v>50</v>
      </c>
      <c r="AL956" s="405">
        <v>93308</v>
      </c>
      <c r="AM956" s="405" t="s">
        <v>52</v>
      </c>
      <c r="AN956" s="405" t="s">
        <v>1071</v>
      </c>
      <c r="AO956" s="405"/>
      <c r="AP956" s="417"/>
      <c r="AQ956" s="417" t="s">
        <v>37</v>
      </c>
      <c r="AR956" s="417"/>
      <c r="AS956" s="426"/>
      <c r="AT956" s="426"/>
      <c r="AU956" s="357"/>
      <c r="AV956" s="409"/>
    </row>
    <row r="957" spans="1:48" s="402" customFormat="1" ht="15" customHeight="1">
      <c r="A957" s="403"/>
      <c r="B957" s="445">
        <v>44557</v>
      </c>
      <c r="C957" s="403"/>
      <c r="D957" s="443" t="s">
        <v>1914</v>
      </c>
      <c r="E957" s="432" t="s">
        <v>2155</v>
      </c>
      <c r="F957" s="432"/>
      <c r="G957" s="432">
        <v>2022</v>
      </c>
      <c r="H957" s="432" t="s">
        <v>1498</v>
      </c>
      <c r="I957" s="443" t="s">
        <v>1498</v>
      </c>
      <c r="J957" s="433"/>
      <c r="K957" s="434" t="s">
        <v>3312</v>
      </c>
      <c r="L957" s="432" t="s">
        <v>1967</v>
      </c>
      <c r="M957" s="435">
        <v>44545</v>
      </c>
      <c r="N957" s="435">
        <v>44901</v>
      </c>
      <c r="O957" s="435"/>
      <c r="P957" s="349"/>
      <c r="Q957" s="433"/>
      <c r="R957" s="433"/>
      <c r="S957" s="432" t="s">
        <v>1443</v>
      </c>
      <c r="T957" s="432">
        <v>60</v>
      </c>
      <c r="U957" s="350">
        <v>49401140</v>
      </c>
      <c r="V957" s="432" t="s">
        <v>1970</v>
      </c>
      <c r="W957" s="432">
        <v>400</v>
      </c>
      <c r="X957" s="436">
        <v>768</v>
      </c>
      <c r="Y957" s="408">
        <f t="shared" si="122"/>
        <v>307200</v>
      </c>
      <c r="Z957" s="409">
        <v>0.52500000000000002</v>
      </c>
      <c r="AA957" s="423">
        <f t="shared" si="123"/>
        <v>161280</v>
      </c>
      <c r="AB957" s="411"/>
      <c r="AC957" s="412">
        <f t="shared" si="124"/>
        <v>0</v>
      </c>
      <c r="AD957" s="421"/>
      <c r="AE957" s="413"/>
      <c r="AF957" s="424">
        <f t="shared" si="125"/>
        <v>161280</v>
      </c>
      <c r="AG957" s="405" t="s">
        <v>1069</v>
      </c>
      <c r="AH957" s="405"/>
      <c r="AI957" s="414" t="s">
        <v>1962</v>
      </c>
      <c r="AJ957" s="405" t="s">
        <v>1573</v>
      </c>
      <c r="AK957" s="425" t="s">
        <v>50</v>
      </c>
      <c r="AL957" s="405">
        <v>93308</v>
      </c>
      <c r="AM957" s="405" t="s">
        <v>52</v>
      </c>
      <c r="AN957" s="405" t="s">
        <v>1071</v>
      </c>
      <c r="AO957" s="405"/>
      <c r="AP957" s="417"/>
      <c r="AQ957" s="417" t="s">
        <v>37</v>
      </c>
      <c r="AR957" s="417"/>
      <c r="AS957" s="426"/>
      <c r="AT957" s="426"/>
      <c r="AU957" s="357"/>
      <c r="AV957" s="409"/>
    </row>
    <row r="958" spans="1:48" s="402" customFormat="1" ht="15" customHeight="1">
      <c r="A958" s="403"/>
      <c r="B958" s="445">
        <v>44557</v>
      </c>
      <c r="C958" s="403"/>
      <c r="D958" s="443" t="s">
        <v>1914</v>
      </c>
      <c r="E958" s="432" t="s">
        <v>2155</v>
      </c>
      <c r="F958" s="432"/>
      <c r="G958" s="432">
        <v>2022</v>
      </c>
      <c r="H958" s="432" t="s">
        <v>1498</v>
      </c>
      <c r="I958" s="443" t="s">
        <v>1498</v>
      </c>
      <c r="J958" s="433"/>
      <c r="K958" s="434" t="s">
        <v>3313</v>
      </c>
      <c r="L958" s="432" t="s">
        <v>1967</v>
      </c>
      <c r="M958" s="435">
        <v>44545</v>
      </c>
      <c r="N958" s="435">
        <v>44782</v>
      </c>
      <c r="O958" s="435"/>
      <c r="P958" s="349"/>
      <c r="Q958" s="433"/>
      <c r="R958" s="433"/>
      <c r="S958" s="432" t="s">
        <v>1443</v>
      </c>
      <c r="T958" s="432">
        <v>60</v>
      </c>
      <c r="U958" s="350">
        <v>49401140</v>
      </c>
      <c r="V958" s="432" t="s">
        <v>1970</v>
      </c>
      <c r="W958" s="432">
        <v>400</v>
      </c>
      <c r="X958" s="436">
        <v>768</v>
      </c>
      <c r="Y958" s="408">
        <f t="shared" si="122"/>
        <v>307200</v>
      </c>
      <c r="Z958" s="409">
        <v>0.52500000000000002</v>
      </c>
      <c r="AA958" s="423">
        <f t="shared" si="123"/>
        <v>161280</v>
      </c>
      <c r="AB958" s="411"/>
      <c r="AC958" s="412">
        <f t="shared" si="124"/>
        <v>0</v>
      </c>
      <c r="AD958" s="421"/>
      <c r="AE958" s="413"/>
      <c r="AF958" s="424">
        <f t="shared" si="125"/>
        <v>161280</v>
      </c>
      <c r="AG958" s="405" t="s">
        <v>1069</v>
      </c>
      <c r="AH958" s="405"/>
      <c r="AI958" s="414" t="s">
        <v>1962</v>
      </c>
      <c r="AJ958" s="405" t="s">
        <v>1573</v>
      </c>
      <c r="AK958" s="425" t="s">
        <v>50</v>
      </c>
      <c r="AL958" s="405">
        <v>93308</v>
      </c>
      <c r="AM958" s="405" t="s">
        <v>52</v>
      </c>
      <c r="AN958" s="405" t="s">
        <v>1071</v>
      </c>
      <c r="AO958" s="405"/>
      <c r="AP958" s="417"/>
      <c r="AQ958" s="417"/>
      <c r="AR958" s="417"/>
      <c r="AS958" s="426"/>
      <c r="AT958" s="426"/>
      <c r="AU958" s="357"/>
      <c r="AV958" s="409"/>
    </row>
    <row r="959" spans="1:48" s="402" customFormat="1" ht="15" customHeight="1">
      <c r="A959" s="403"/>
      <c r="B959" s="445">
        <v>44557</v>
      </c>
      <c r="C959" s="403"/>
      <c r="D959" s="443" t="s">
        <v>1914</v>
      </c>
      <c r="E959" s="432" t="s">
        <v>2155</v>
      </c>
      <c r="F959" s="432"/>
      <c r="G959" s="432">
        <v>2022</v>
      </c>
      <c r="H959" s="432" t="s">
        <v>1498</v>
      </c>
      <c r="I959" s="443" t="s">
        <v>1498</v>
      </c>
      <c r="J959" s="433"/>
      <c r="K959" s="434" t="s">
        <v>3314</v>
      </c>
      <c r="L959" s="432" t="s">
        <v>1967</v>
      </c>
      <c r="M959" s="435">
        <v>44545</v>
      </c>
      <c r="N959" s="435">
        <v>44908</v>
      </c>
      <c r="O959" s="435"/>
      <c r="P959" s="349"/>
      <c r="Q959" s="433"/>
      <c r="R959" s="433"/>
      <c r="S959" s="432" t="s">
        <v>1443</v>
      </c>
      <c r="T959" s="432">
        <v>60</v>
      </c>
      <c r="U959" s="350">
        <v>49401140</v>
      </c>
      <c r="V959" s="432" t="s">
        <v>1970</v>
      </c>
      <c r="W959" s="432">
        <v>400</v>
      </c>
      <c r="X959" s="436">
        <v>768</v>
      </c>
      <c r="Y959" s="408">
        <f t="shared" si="122"/>
        <v>307200</v>
      </c>
      <c r="Z959" s="409">
        <v>0.52500000000000002</v>
      </c>
      <c r="AA959" s="423">
        <f t="shared" si="123"/>
        <v>161280</v>
      </c>
      <c r="AB959" s="411"/>
      <c r="AC959" s="412">
        <f t="shared" si="124"/>
        <v>0</v>
      </c>
      <c r="AD959" s="421"/>
      <c r="AE959" s="413"/>
      <c r="AF959" s="424">
        <f t="shared" si="125"/>
        <v>161280</v>
      </c>
      <c r="AG959" s="405" t="s">
        <v>1069</v>
      </c>
      <c r="AH959" s="405"/>
      <c r="AI959" s="414" t="s">
        <v>1962</v>
      </c>
      <c r="AJ959" s="405" t="s">
        <v>1573</v>
      </c>
      <c r="AK959" s="425" t="s">
        <v>50</v>
      </c>
      <c r="AL959" s="405">
        <v>93308</v>
      </c>
      <c r="AM959" s="405" t="s">
        <v>52</v>
      </c>
      <c r="AN959" s="405" t="s">
        <v>1071</v>
      </c>
      <c r="AO959" s="405"/>
      <c r="AP959" s="417"/>
      <c r="AQ959" s="417" t="s">
        <v>37</v>
      </c>
      <c r="AR959" s="417"/>
      <c r="AS959" s="426"/>
      <c r="AT959" s="426"/>
      <c r="AU959" s="357"/>
      <c r="AV959" s="409"/>
    </row>
    <row r="960" spans="1:48" s="402" customFormat="1" ht="15" customHeight="1">
      <c r="A960" s="403"/>
      <c r="B960" s="445">
        <v>44522</v>
      </c>
      <c r="C960" s="403"/>
      <c r="D960" s="443" t="s">
        <v>1914</v>
      </c>
      <c r="E960" s="432" t="s">
        <v>2155</v>
      </c>
      <c r="F960" s="432"/>
      <c r="G960" s="432">
        <v>2022</v>
      </c>
      <c r="H960" s="432" t="s">
        <v>1498</v>
      </c>
      <c r="I960" s="443" t="s">
        <v>1498</v>
      </c>
      <c r="J960" s="433"/>
      <c r="K960" s="434" t="s">
        <v>3315</v>
      </c>
      <c r="L960" s="432" t="s">
        <v>1967</v>
      </c>
      <c r="M960" s="435">
        <v>44505</v>
      </c>
      <c r="N960" s="435">
        <v>44727</v>
      </c>
      <c r="O960" s="435"/>
      <c r="P960" s="349"/>
      <c r="Q960" s="433"/>
      <c r="R960" s="433"/>
      <c r="S960" s="432" t="s">
        <v>1443</v>
      </c>
      <c r="T960" s="432">
        <v>60</v>
      </c>
      <c r="U960" s="350">
        <v>49401140</v>
      </c>
      <c r="V960" s="432" t="s">
        <v>973</v>
      </c>
      <c r="W960" s="432">
        <v>400</v>
      </c>
      <c r="X960" s="436">
        <v>768</v>
      </c>
      <c r="Y960" s="408">
        <f t="shared" si="122"/>
        <v>307200</v>
      </c>
      <c r="Z960" s="409">
        <f>210/400</f>
        <v>0.52500000000000002</v>
      </c>
      <c r="AA960" s="423">
        <f t="shared" si="123"/>
        <v>161280</v>
      </c>
      <c r="AB960" s="411"/>
      <c r="AC960" s="412">
        <f t="shared" si="124"/>
        <v>0</v>
      </c>
      <c r="AD960" s="421"/>
      <c r="AE960" s="413"/>
      <c r="AF960" s="424">
        <f t="shared" si="125"/>
        <v>161280</v>
      </c>
      <c r="AG960" s="405" t="s">
        <v>1069</v>
      </c>
      <c r="AH960" s="405"/>
      <c r="AI960" s="414" t="s">
        <v>1962</v>
      </c>
      <c r="AJ960" s="405" t="s">
        <v>1969</v>
      </c>
      <c r="AK960" s="425" t="s">
        <v>1125</v>
      </c>
      <c r="AL960" s="405" t="s">
        <v>2016</v>
      </c>
      <c r="AM960" s="405" t="s">
        <v>52</v>
      </c>
      <c r="AN960" s="405"/>
      <c r="AO960" s="405"/>
      <c r="AP960" s="417"/>
      <c r="AQ960" s="417" t="s">
        <v>37</v>
      </c>
      <c r="AR960" s="417"/>
      <c r="AS960" s="426"/>
      <c r="AT960" s="426"/>
      <c r="AU960" s="357"/>
      <c r="AV960" s="409"/>
    </row>
    <row r="961" spans="1:48" s="402" customFormat="1" ht="15" customHeight="1">
      <c r="A961" s="403"/>
      <c r="B961" s="445">
        <v>44522</v>
      </c>
      <c r="C961" s="403"/>
      <c r="D961" s="443" t="s">
        <v>1914</v>
      </c>
      <c r="E961" s="432" t="s">
        <v>2155</v>
      </c>
      <c r="F961" s="432"/>
      <c r="G961" s="432">
        <v>2022</v>
      </c>
      <c r="H961" s="432" t="s">
        <v>1498</v>
      </c>
      <c r="I961" s="443" t="s">
        <v>1498</v>
      </c>
      <c r="J961" s="433"/>
      <c r="K961" s="434" t="s">
        <v>3316</v>
      </c>
      <c r="L961" s="432" t="s">
        <v>1967</v>
      </c>
      <c r="M961" s="435">
        <v>44505</v>
      </c>
      <c r="N961" s="435">
        <v>44658</v>
      </c>
      <c r="O961" s="435"/>
      <c r="P961" s="349"/>
      <c r="Q961" s="433"/>
      <c r="R961" s="433"/>
      <c r="S961" s="432" t="s">
        <v>1443</v>
      </c>
      <c r="T961" s="432">
        <v>60</v>
      </c>
      <c r="U961" s="350">
        <v>49201132</v>
      </c>
      <c r="V961" s="432" t="s">
        <v>986</v>
      </c>
      <c r="W961" s="432">
        <v>360</v>
      </c>
      <c r="X961" s="436">
        <v>832</v>
      </c>
      <c r="Y961" s="408">
        <f t="shared" si="122"/>
        <v>299520</v>
      </c>
      <c r="Z961" s="409">
        <f t="shared" ref="Z961:Z966" si="127">181.8/360</f>
        <v>0.505</v>
      </c>
      <c r="AA961" s="423">
        <f t="shared" si="123"/>
        <v>151257.60000000001</v>
      </c>
      <c r="AB961" s="411"/>
      <c r="AC961" s="412">
        <f t="shared" si="124"/>
        <v>0</v>
      </c>
      <c r="AD961" s="421"/>
      <c r="AE961" s="413"/>
      <c r="AF961" s="424">
        <f t="shared" si="125"/>
        <v>151257.60000000001</v>
      </c>
      <c r="AG961" s="405" t="s">
        <v>1069</v>
      </c>
      <c r="AH961" s="405"/>
      <c r="AI961" s="414" t="s">
        <v>1962</v>
      </c>
      <c r="AJ961" s="405" t="s">
        <v>1969</v>
      </c>
      <c r="AK961" s="425" t="s">
        <v>1125</v>
      </c>
      <c r="AL961" s="405" t="s">
        <v>2016</v>
      </c>
      <c r="AM961" s="405" t="s">
        <v>52</v>
      </c>
      <c r="AN961" s="405"/>
      <c r="AO961" s="405"/>
      <c r="AP961" s="417"/>
      <c r="AQ961" s="417" t="s">
        <v>37</v>
      </c>
      <c r="AR961" s="417"/>
      <c r="AS961" s="426"/>
      <c r="AT961" s="426"/>
      <c r="AU961" s="357"/>
      <c r="AV961" s="409"/>
    </row>
    <row r="962" spans="1:48" s="402" customFormat="1" ht="15" customHeight="1">
      <c r="A962" s="403"/>
      <c r="B962" s="445">
        <v>44522</v>
      </c>
      <c r="C962" s="403"/>
      <c r="D962" s="443" t="s">
        <v>1914</v>
      </c>
      <c r="E962" s="432" t="s">
        <v>2155</v>
      </c>
      <c r="F962" s="432"/>
      <c r="G962" s="432">
        <v>2022</v>
      </c>
      <c r="H962" s="432" t="s">
        <v>1498</v>
      </c>
      <c r="I962" s="443" t="s">
        <v>1498</v>
      </c>
      <c r="J962" s="433"/>
      <c r="K962" s="434" t="s">
        <v>3317</v>
      </c>
      <c r="L962" s="432" t="s">
        <v>1967</v>
      </c>
      <c r="M962" s="435">
        <v>44505</v>
      </c>
      <c r="N962" s="435">
        <v>44666</v>
      </c>
      <c r="O962" s="435"/>
      <c r="P962" s="349"/>
      <c r="Q962" s="433"/>
      <c r="R962" s="433"/>
      <c r="S962" s="432" t="s">
        <v>1443</v>
      </c>
      <c r="T962" s="432">
        <v>60</v>
      </c>
      <c r="U962" s="350">
        <v>49201132</v>
      </c>
      <c r="V962" s="432" t="s">
        <v>986</v>
      </c>
      <c r="W962" s="432">
        <v>360</v>
      </c>
      <c r="X962" s="436">
        <v>832</v>
      </c>
      <c r="Y962" s="408">
        <f t="shared" si="122"/>
        <v>299520</v>
      </c>
      <c r="Z962" s="409">
        <f t="shared" si="127"/>
        <v>0.505</v>
      </c>
      <c r="AA962" s="423">
        <f t="shared" si="123"/>
        <v>151257.60000000001</v>
      </c>
      <c r="AB962" s="411"/>
      <c r="AC962" s="412">
        <f t="shared" si="124"/>
        <v>0</v>
      </c>
      <c r="AD962" s="421"/>
      <c r="AE962" s="413"/>
      <c r="AF962" s="424">
        <f t="shared" si="125"/>
        <v>151257.60000000001</v>
      </c>
      <c r="AG962" s="405" t="s">
        <v>1069</v>
      </c>
      <c r="AH962" s="405"/>
      <c r="AI962" s="414" t="s">
        <v>1962</v>
      </c>
      <c r="AJ962" s="405" t="s">
        <v>1969</v>
      </c>
      <c r="AK962" s="425" t="s">
        <v>1125</v>
      </c>
      <c r="AL962" s="405" t="s">
        <v>2016</v>
      </c>
      <c r="AM962" s="405" t="s">
        <v>52</v>
      </c>
      <c r="AN962" s="405"/>
      <c r="AO962" s="405"/>
      <c r="AP962" s="417"/>
      <c r="AQ962" s="417" t="s">
        <v>37</v>
      </c>
      <c r="AR962" s="417"/>
      <c r="AS962" s="426"/>
      <c r="AT962" s="426"/>
      <c r="AU962" s="357"/>
      <c r="AV962" s="409"/>
    </row>
    <row r="963" spans="1:48" s="402" customFormat="1" ht="15" customHeight="1">
      <c r="A963" s="403"/>
      <c r="B963" s="445">
        <v>44522</v>
      </c>
      <c r="C963" s="403"/>
      <c r="D963" s="443" t="s">
        <v>1914</v>
      </c>
      <c r="E963" s="432" t="s">
        <v>4742</v>
      </c>
      <c r="F963" s="432"/>
      <c r="G963" s="432">
        <v>2022</v>
      </c>
      <c r="H963" s="432" t="s">
        <v>1498</v>
      </c>
      <c r="I963" s="443" t="s">
        <v>1498</v>
      </c>
      <c r="J963" s="433"/>
      <c r="K963" s="434" t="s">
        <v>3318</v>
      </c>
      <c r="L963" s="432" t="s">
        <v>1967</v>
      </c>
      <c r="M963" s="435">
        <v>44505</v>
      </c>
      <c r="N963" s="435">
        <v>44685</v>
      </c>
      <c r="O963" s="435"/>
      <c r="P963" s="349"/>
      <c r="Q963" s="433"/>
      <c r="R963" s="433"/>
      <c r="S963" s="432" t="s">
        <v>1443</v>
      </c>
      <c r="T963" s="432">
        <v>60</v>
      </c>
      <c r="U963" s="350">
        <v>49201132</v>
      </c>
      <c r="V963" s="432" t="s">
        <v>986</v>
      </c>
      <c r="W963" s="432">
        <v>360</v>
      </c>
      <c r="X963" s="436">
        <v>832</v>
      </c>
      <c r="Y963" s="408">
        <f t="shared" si="122"/>
        <v>299520</v>
      </c>
      <c r="Z963" s="409">
        <f t="shared" si="127"/>
        <v>0.505</v>
      </c>
      <c r="AA963" s="423">
        <f t="shared" si="123"/>
        <v>151257.60000000001</v>
      </c>
      <c r="AB963" s="411"/>
      <c r="AC963" s="412">
        <f t="shared" si="124"/>
        <v>0</v>
      </c>
      <c r="AD963" s="421"/>
      <c r="AE963" s="413"/>
      <c r="AF963" s="424">
        <f t="shared" si="125"/>
        <v>151257.60000000001</v>
      </c>
      <c r="AG963" s="405" t="s">
        <v>1069</v>
      </c>
      <c r="AH963" s="405"/>
      <c r="AI963" s="414" t="s">
        <v>1962</v>
      </c>
      <c r="AJ963" s="405" t="s">
        <v>1969</v>
      </c>
      <c r="AK963" s="425" t="s">
        <v>1125</v>
      </c>
      <c r="AL963" s="405" t="s">
        <v>2016</v>
      </c>
      <c r="AM963" s="405" t="s">
        <v>52</v>
      </c>
      <c r="AN963" s="405"/>
      <c r="AO963" s="405"/>
      <c r="AP963" s="417"/>
      <c r="AQ963" s="417" t="s">
        <v>37</v>
      </c>
      <c r="AR963" s="417"/>
      <c r="AS963" s="426"/>
      <c r="AT963" s="426"/>
      <c r="AU963" s="357"/>
      <c r="AV963" s="409"/>
    </row>
    <row r="964" spans="1:48" s="402" customFormat="1" ht="15" customHeight="1">
      <c r="A964" s="403"/>
      <c r="B964" s="445">
        <v>44522</v>
      </c>
      <c r="C964" s="403"/>
      <c r="D964" s="443" t="s">
        <v>1914</v>
      </c>
      <c r="E964" s="432" t="s">
        <v>2155</v>
      </c>
      <c r="F964" s="432"/>
      <c r="G964" s="432">
        <v>2022</v>
      </c>
      <c r="H964" s="432" t="s">
        <v>1498</v>
      </c>
      <c r="I964" s="443" t="s">
        <v>1498</v>
      </c>
      <c r="J964" s="433"/>
      <c r="K964" s="434" t="s">
        <v>3319</v>
      </c>
      <c r="L964" s="432" t="s">
        <v>1967</v>
      </c>
      <c r="M964" s="435">
        <v>44505</v>
      </c>
      <c r="N964" s="435">
        <v>44693</v>
      </c>
      <c r="O964" s="435"/>
      <c r="P964" s="349"/>
      <c r="Q964" s="433"/>
      <c r="R964" s="433"/>
      <c r="S964" s="432" t="s">
        <v>1443</v>
      </c>
      <c r="T964" s="432">
        <v>60</v>
      </c>
      <c r="U964" s="350">
        <v>49201132</v>
      </c>
      <c r="V964" s="432" t="s">
        <v>986</v>
      </c>
      <c r="W964" s="432">
        <v>360</v>
      </c>
      <c r="X964" s="436">
        <v>832</v>
      </c>
      <c r="Y964" s="408">
        <f t="shared" si="122"/>
        <v>299520</v>
      </c>
      <c r="Z964" s="409">
        <f t="shared" si="127"/>
        <v>0.505</v>
      </c>
      <c r="AA964" s="423">
        <f t="shared" si="123"/>
        <v>151257.60000000001</v>
      </c>
      <c r="AB964" s="411"/>
      <c r="AC964" s="412">
        <f t="shared" si="124"/>
        <v>0</v>
      </c>
      <c r="AD964" s="421"/>
      <c r="AE964" s="413"/>
      <c r="AF964" s="424">
        <f t="shared" si="125"/>
        <v>151257.60000000001</v>
      </c>
      <c r="AG964" s="405" t="s">
        <v>1069</v>
      </c>
      <c r="AH964" s="405"/>
      <c r="AI964" s="414" t="s">
        <v>1962</v>
      </c>
      <c r="AJ964" s="405" t="s">
        <v>1969</v>
      </c>
      <c r="AK964" s="425" t="s">
        <v>1125</v>
      </c>
      <c r="AL964" s="405" t="s">
        <v>2016</v>
      </c>
      <c r="AM964" s="405" t="s">
        <v>52</v>
      </c>
      <c r="AN964" s="405"/>
      <c r="AO964" s="405"/>
      <c r="AP964" s="417"/>
      <c r="AQ964" s="417" t="s">
        <v>37</v>
      </c>
      <c r="AR964" s="417"/>
      <c r="AS964" s="426"/>
      <c r="AT964" s="426"/>
      <c r="AU964" s="357"/>
      <c r="AV964" s="409"/>
    </row>
    <row r="965" spans="1:48" s="402" customFormat="1" ht="15" customHeight="1">
      <c r="A965" s="403"/>
      <c r="B965" s="445">
        <v>44522</v>
      </c>
      <c r="C965" s="403"/>
      <c r="D965" s="443" t="s">
        <v>1914</v>
      </c>
      <c r="E965" s="432" t="s">
        <v>2155</v>
      </c>
      <c r="F965" s="432"/>
      <c r="G965" s="432">
        <v>2022</v>
      </c>
      <c r="H965" s="432" t="s">
        <v>1498</v>
      </c>
      <c r="I965" s="443" t="s">
        <v>1498</v>
      </c>
      <c r="J965" s="433"/>
      <c r="K965" s="434" t="s">
        <v>3320</v>
      </c>
      <c r="L965" s="432" t="s">
        <v>1967</v>
      </c>
      <c r="M965" s="435">
        <v>44505</v>
      </c>
      <c r="N965" s="435">
        <v>44719</v>
      </c>
      <c r="O965" s="435"/>
      <c r="P965" s="349"/>
      <c r="Q965" s="433"/>
      <c r="R965" s="433"/>
      <c r="S965" s="432" t="s">
        <v>1443</v>
      </c>
      <c r="T965" s="432">
        <v>60</v>
      </c>
      <c r="U965" s="350">
        <v>49201132</v>
      </c>
      <c r="V965" s="432" t="s">
        <v>986</v>
      </c>
      <c r="W965" s="432">
        <v>360</v>
      </c>
      <c r="X965" s="436">
        <v>832</v>
      </c>
      <c r="Y965" s="408">
        <f t="shared" si="122"/>
        <v>299520</v>
      </c>
      <c r="Z965" s="409">
        <f t="shared" si="127"/>
        <v>0.505</v>
      </c>
      <c r="AA965" s="423">
        <f t="shared" si="123"/>
        <v>151257.60000000001</v>
      </c>
      <c r="AB965" s="411"/>
      <c r="AC965" s="412">
        <f t="shared" si="124"/>
        <v>0</v>
      </c>
      <c r="AD965" s="421"/>
      <c r="AE965" s="413"/>
      <c r="AF965" s="424">
        <f t="shared" si="125"/>
        <v>151257.60000000001</v>
      </c>
      <c r="AG965" s="405" t="s">
        <v>1069</v>
      </c>
      <c r="AH965" s="405"/>
      <c r="AI965" s="414" t="s">
        <v>1962</v>
      </c>
      <c r="AJ965" s="405" t="s">
        <v>1969</v>
      </c>
      <c r="AK965" s="425" t="s">
        <v>1125</v>
      </c>
      <c r="AL965" s="405" t="s">
        <v>2016</v>
      </c>
      <c r="AM965" s="405" t="s">
        <v>52</v>
      </c>
      <c r="AN965" s="405"/>
      <c r="AO965" s="405"/>
      <c r="AP965" s="417"/>
      <c r="AQ965" s="417" t="s">
        <v>37</v>
      </c>
      <c r="AR965" s="417"/>
      <c r="AS965" s="426"/>
      <c r="AT965" s="426"/>
      <c r="AU965" s="357"/>
      <c r="AV965" s="409"/>
    </row>
    <row r="966" spans="1:48" s="402" customFormat="1" ht="15" customHeight="1">
      <c r="A966" s="403"/>
      <c r="B966" s="445">
        <v>44522</v>
      </c>
      <c r="C966" s="403"/>
      <c r="D966" s="443" t="s">
        <v>1914</v>
      </c>
      <c r="E966" s="432" t="s">
        <v>2155</v>
      </c>
      <c r="F966" s="432"/>
      <c r="G966" s="432">
        <v>2022</v>
      </c>
      <c r="H966" s="432" t="s">
        <v>1498</v>
      </c>
      <c r="I966" s="443" t="s">
        <v>1498</v>
      </c>
      <c r="J966" s="433"/>
      <c r="K966" s="434" t="s">
        <v>3321</v>
      </c>
      <c r="L966" s="432" t="s">
        <v>1967</v>
      </c>
      <c r="M966" s="435">
        <v>44505</v>
      </c>
      <c r="N966" s="435">
        <v>44724</v>
      </c>
      <c r="O966" s="435"/>
      <c r="P966" s="349"/>
      <c r="Q966" s="433"/>
      <c r="R966" s="433"/>
      <c r="S966" s="432" t="s">
        <v>1443</v>
      </c>
      <c r="T966" s="432">
        <v>60</v>
      </c>
      <c r="U966" s="350">
        <v>49201132</v>
      </c>
      <c r="V966" s="432" t="s">
        <v>986</v>
      </c>
      <c r="W966" s="432">
        <v>360</v>
      </c>
      <c r="X966" s="436">
        <v>832</v>
      </c>
      <c r="Y966" s="408">
        <f t="shared" si="122"/>
        <v>299520</v>
      </c>
      <c r="Z966" s="409">
        <f t="shared" si="127"/>
        <v>0.505</v>
      </c>
      <c r="AA966" s="423">
        <f t="shared" si="123"/>
        <v>151257.60000000001</v>
      </c>
      <c r="AB966" s="411"/>
      <c r="AC966" s="412">
        <f t="shared" si="124"/>
        <v>0</v>
      </c>
      <c r="AD966" s="421"/>
      <c r="AE966" s="413"/>
      <c r="AF966" s="424">
        <f t="shared" si="125"/>
        <v>151257.60000000001</v>
      </c>
      <c r="AG966" s="405" t="s">
        <v>1069</v>
      </c>
      <c r="AH966" s="405"/>
      <c r="AI966" s="414" t="s">
        <v>1962</v>
      </c>
      <c r="AJ966" s="405" t="s">
        <v>1969</v>
      </c>
      <c r="AK966" s="425" t="s">
        <v>1125</v>
      </c>
      <c r="AL966" s="405" t="s">
        <v>2016</v>
      </c>
      <c r="AM966" s="405" t="s">
        <v>52</v>
      </c>
      <c r="AN966" s="405"/>
      <c r="AO966" s="405"/>
      <c r="AP966" s="417"/>
      <c r="AQ966" s="417" t="s">
        <v>37</v>
      </c>
      <c r="AR966" s="417"/>
      <c r="AS966" s="426"/>
      <c r="AT966" s="426"/>
      <c r="AU966" s="357"/>
      <c r="AV966" s="409"/>
    </row>
    <row r="967" spans="1:48" s="402" customFormat="1" ht="15" customHeight="1">
      <c r="A967" s="403"/>
      <c r="B967" s="445">
        <v>44599</v>
      </c>
      <c r="C967" s="403"/>
      <c r="D967" s="443" t="s">
        <v>1914</v>
      </c>
      <c r="E967" s="432" t="s">
        <v>2155</v>
      </c>
      <c r="F967" s="432"/>
      <c r="G967" s="432">
        <v>2022</v>
      </c>
      <c r="H967" s="432" t="s">
        <v>1498</v>
      </c>
      <c r="I967" s="443" t="s">
        <v>1498</v>
      </c>
      <c r="J967" s="433"/>
      <c r="K967" s="434" t="s">
        <v>3322</v>
      </c>
      <c r="L967" s="432" t="s">
        <v>1967</v>
      </c>
      <c r="M967" s="435">
        <v>44596</v>
      </c>
      <c r="N967" s="435">
        <v>44719</v>
      </c>
      <c r="O967" s="435"/>
      <c r="P967" s="349"/>
      <c r="Q967" s="433"/>
      <c r="R967" s="433"/>
      <c r="S967" s="432" t="s">
        <v>1443</v>
      </c>
      <c r="T967" s="432">
        <v>60</v>
      </c>
      <c r="U967" s="350">
        <v>49403140</v>
      </c>
      <c r="V967" s="432" t="s">
        <v>973</v>
      </c>
      <c r="W967" s="432">
        <v>400</v>
      </c>
      <c r="X967" s="436">
        <v>768</v>
      </c>
      <c r="Y967" s="408">
        <f t="shared" si="122"/>
        <v>307200</v>
      </c>
      <c r="Z967" s="409">
        <f>222/400</f>
        <v>0.55500000000000005</v>
      </c>
      <c r="AA967" s="423">
        <f t="shared" si="123"/>
        <v>170496.00000000003</v>
      </c>
      <c r="AB967" s="411"/>
      <c r="AC967" s="412">
        <f t="shared" si="124"/>
        <v>0</v>
      </c>
      <c r="AD967" s="421"/>
      <c r="AE967" s="413"/>
      <c r="AF967" s="424">
        <f t="shared" si="125"/>
        <v>170496.00000000003</v>
      </c>
      <c r="AG967" s="405" t="s">
        <v>1069</v>
      </c>
      <c r="AH967" s="405"/>
      <c r="AI967" s="414" t="s">
        <v>3323</v>
      </c>
      <c r="AJ967" s="405" t="s">
        <v>1983</v>
      </c>
      <c r="AK967" s="425" t="s">
        <v>1136</v>
      </c>
      <c r="AL967" s="405">
        <v>75069</v>
      </c>
      <c r="AM967" s="405" t="s">
        <v>52</v>
      </c>
      <c r="AN967" s="405"/>
      <c r="AO967" s="405"/>
      <c r="AP967" s="417"/>
      <c r="AQ967" s="417" t="s">
        <v>37</v>
      </c>
      <c r="AR967" s="417"/>
      <c r="AS967" s="426"/>
      <c r="AT967" s="426"/>
      <c r="AU967" s="357"/>
      <c r="AV967" s="409"/>
    </row>
    <row r="968" spans="1:48" s="402" customFormat="1" ht="15" customHeight="1">
      <c r="A968" s="403"/>
      <c r="B968" s="445">
        <v>44557</v>
      </c>
      <c r="C968" s="403"/>
      <c r="D968" s="443" t="s">
        <v>1914</v>
      </c>
      <c r="E968" s="432" t="s">
        <v>2155</v>
      </c>
      <c r="F968" s="432"/>
      <c r="G968" s="432">
        <v>2022</v>
      </c>
      <c r="H968" s="432" t="s">
        <v>1498</v>
      </c>
      <c r="I968" s="443" t="s">
        <v>1498</v>
      </c>
      <c r="J968" s="433"/>
      <c r="K968" s="434" t="s">
        <v>3324</v>
      </c>
      <c r="L968" s="432" t="s">
        <v>1967</v>
      </c>
      <c r="M968" s="435">
        <v>44544</v>
      </c>
      <c r="N968" s="435">
        <v>44744</v>
      </c>
      <c r="O968" s="435"/>
      <c r="P968" s="349"/>
      <c r="Q968" s="433"/>
      <c r="R968" s="433"/>
      <c r="S968" s="432" t="s">
        <v>1443</v>
      </c>
      <c r="T968" s="432">
        <v>60</v>
      </c>
      <c r="U968" s="350">
        <v>49401140</v>
      </c>
      <c r="V968" s="432" t="s">
        <v>1970</v>
      </c>
      <c r="W968" s="432">
        <v>400</v>
      </c>
      <c r="X968" s="436">
        <v>768</v>
      </c>
      <c r="Y968" s="408">
        <f t="shared" si="122"/>
        <v>307200</v>
      </c>
      <c r="Z968" s="409">
        <v>0.52500000000000002</v>
      </c>
      <c r="AA968" s="423">
        <f t="shared" si="123"/>
        <v>161280</v>
      </c>
      <c r="AB968" s="411"/>
      <c r="AC968" s="412">
        <f t="shared" si="124"/>
        <v>0</v>
      </c>
      <c r="AD968" s="421"/>
      <c r="AE968" s="413"/>
      <c r="AF968" s="424">
        <f t="shared" si="125"/>
        <v>161280</v>
      </c>
      <c r="AG968" s="405" t="s">
        <v>1069</v>
      </c>
      <c r="AH968" s="405"/>
      <c r="AI968" s="414" t="s">
        <v>1962</v>
      </c>
      <c r="AJ968" s="405" t="s">
        <v>1969</v>
      </c>
      <c r="AK968" s="425" t="s">
        <v>1125</v>
      </c>
      <c r="AL968" s="405">
        <v>85008</v>
      </c>
      <c r="AM968" s="405" t="s">
        <v>52</v>
      </c>
      <c r="AN968" s="405" t="s">
        <v>1071</v>
      </c>
      <c r="AO968" s="405"/>
      <c r="AP968" s="417"/>
      <c r="AQ968" s="417" t="s">
        <v>37</v>
      </c>
      <c r="AR968" s="417"/>
      <c r="AS968" s="426"/>
      <c r="AT968" s="426"/>
      <c r="AU968" s="357"/>
      <c r="AV968" s="409"/>
    </row>
    <row r="969" spans="1:48" s="402" customFormat="1" ht="15" customHeight="1">
      <c r="A969" s="403"/>
      <c r="B969" s="445">
        <v>44557</v>
      </c>
      <c r="C969" s="403"/>
      <c r="D969" s="443" t="s">
        <v>1914</v>
      </c>
      <c r="E969" s="432" t="s">
        <v>2155</v>
      </c>
      <c r="F969" s="432"/>
      <c r="G969" s="432">
        <v>2022</v>
      </c>
      <c r="H969" s="432" t="s">
        <v>1498</v>
      </c>
      <c r="I969" s="443" t="s">
        <v>1498</v>
      </c>
      <c r="J969" s="433"/>
      <c r="K969" s="434" t="s">
        <v>3325</v>
      </c>
      <c r="L969" s="432" t="s">
        <v>1967</v>
      </c>
      <c r="M969" s="435">
        <v>44544</v>
      </c>
      <c r="N969" s="435">
        <v>44744</v>
      </c>
      <c r="O969" s="435"/>
      <c r="P969" s="349"/>
      <c r="Q969" s="433"/>
      <c r="R969" s="433"/>
      <c r="S969" s="432" t="s">
        <v>1443</v>
      </c>
      <c r="T969" s="432">
        <v>60</v>
      </c>
      <c r="U969" s="350">
        <v>49201132</v>
      </c>
      <c r="V969" s="432" t="s">
        <v>986</v>
      </c>
      <c r="W969" s="432">
        <v>360</v>
      </c>
      <c r="X969" s="436">
        <v>832</v>
      </c>
      <c r="Y969" s="408">
        <f t="shared" si="122"/>
        <v>299520</v>
      </c>
      <c r="Z969" s="409">
        <v>0.505</v>
      </c>
      <c r="AA969" s="423">
        <f t="shared" si="123"/>
        <v>151257.60000000001</v>
      </c>
      <c r="AB969" s="411"/>
      <c r="AC969" s="412">
        <f t="shared" si="124"/>
        <v>0</v>
      </c>
      <c r="AD969" s="421"/>
      <c r="AE969" s="413"/>
      <c r="AF969" s="424">
        <f t="shared" si="125"/>
        <v>151257.60000000001</v>
      </c>
      <c r="AG969" s="405" t="s">
        <v>1069</v>
      </c>
      <c r="AH969" s="405"/>
      <c r="AI969" s="414" t="s">
        <v>1962</v>
      </c>
      <c r="AJ969" s="405" t="s">
        <v>1969</v>
      </c>
      <c r="AK969" s="425" t="s">
        <v>1125</v>
      </c>
      <c r="AL969" s="405">
        <v>85008</v>
      </c>
      <c r="AM969" s="405" t="s">
        <v>52</v>
      </c>
      <c r="AN969" s="405" t="s">
        <v>1071</v>
      </c>
      <c r="AO969" s="405"/>
      <c r="AP969" s="417"/>
      <c r="AQ969" s="417" t="s">
        <v>37</v>
      </c>
      <c r="AR969" s="417"/>
      <c r="AS969" s="426"/>
      <c r="AT969" s="426"/>
      <c r="AU969" s="357"/>
      <c r="AV969" s="409"/>
    </row>
    <row r="970" spans="1:48" s="402" customFormat="1" ht="15" customHeight="1">
      <c r="A970" s="403"/>
      <c r="B970" s="445">
        <v>44557</v>
      </c>
      <c r="C970" s="403"/>
      <c r="D970" s="443" t="s">
        <v>1914</v>
      </c>
      <c r="E970" s="432" t="s">
        <v>2155</v>
      </c>
      <c r="F970" s="432"/>
      <c r="G970" s="432">
        <v>2022</v>
      </c>
      <c r="H970" s="432" t="s">
        <v>1498</v>
      </c>
      <c r="I970" s="443" t="s">
        <v>1498</v>
      </c>
      <c r="J970" s="433"/>
      <c r="K970" s="434" t="s">
        <v>3326</v>
      </c>
      <c r="L970" s="432" t="s">
        <v>1967</v>
      </c>
      <c r="M970" s="435">
        <v>44544</v>
      </c>
      <c r="N970" s="435">
        <v>44747</v>
      </c>
      <c r="O970" s="435"/>
      <c r="P970" s="349"/>
      <c r="Q970" s="433"/>
      <c r="R970" s="433"/>
      <c r="S970" s="432" t="s">
        <v>1443</v>
      </c>
      <c r="T970" s="432">
        <v>60</v>
      </c>
      <c r="U970" s="350">
        <v>49401140</v>
      </c>
      <c r="V970" s="432" t="s">
        <v>1970</v>
      </c>
      <c r="W970" s="432">
        <v>400</v>
      </c>
      <c r="X970" s="436">
        <v>768</v>
      </c>
      <c r="Y970" s="408">
        <f t="shared" si="122"/>
        <v>307200</v>
      </c>
      <c r="Z970" s="409">
        <v>0.52500000000000002</v>
      </c>
      <c r="AA970" s="423">
        <f t="shared" si="123"/>
        <v>161280</v>
      </c>
      <c r="AB970" s="411"/>
      <c r="AC970" s="412">
        <f t="shared" si="124"/>
        <v>0</v>
      </c>
      <c r="AD970" s="421"/>
      <c r="AE970" s="413"/>
      <c r="AF970" s="424">
        <f t="shared" si="125"/>
        <v>161280</v>
      </c>
      <c r="AG970" s="405" t="s">
        <v>1069</v>
      </c>
      <c r="AH970" s="405"/>
      <c r="AI970" s="414" t="s">
        <v>1962</v>
      </c>
      <c r="AJ970" s="405" t="s">
        <v>1969</v>
      </c>
      <c r="AK970" s="425" t="s">
        <v>1125</v>
      </c>
      <c r="AL970" s="405">
        <v>85008</v>
      </c>
      <c r="AM970" s="405" t="s">
        <v>52</v>
      </c>
      <c r="AN970" s="405" t="s">
        <v>1071</v>
      </c>
      <c r="AO970" s="405"/>
      <c r="AP970" s="417"/>
      <c r="AQ970" s="417" t="s">
        <v>37</v>
      </c>
      <c r="AR970" s="417"/>
      <c r="AS970" s="426"/>
      <c r="AT970" s="426"/>
      <c r="AU970" s="357"/>
      <c r="AV970" s="409"/>
    </row>
    <row r="971" spans="1:48" s="402" customFormat="1" ht="15" customHeight="1">
      <c r="A971" s="403"/>
      <c r="B971" s="445">
        <v>44557</v>
      </c>
      <c r="C971" s="403"/>
      <c r="D971" s="443" t="s">
        <v>1914</v>
      </c>
      <c r="E971" s="432" t="s">
        <v>2155</v>
      </c>
      <c r="F971" s="432"/>
      <c r="G971" s="432">
        <v>2022</v>
      </c>
      <c r="H971" s="432" t="s">
        <v>1498</v>
      </c>
      <c r="I971" s="443" t="s">
        <v>1498</v>
      </c>
      <c r="J971" s="433"/>
      <c r="K971" s="434" t="s">
        <v>3327</v>
      </c>
      <c r="L971" s="432" t="s">
        <v>1967</v>
      </c>
      <c r="M971" s="435">
        <v>44544</v>
      </c>
      <c r="N971" s="435">
        <v>44750</v>
      </c>
      <c r="O971" s="435"/>
      <c r="P971" s="349"/>
      <c r="Q971" s="433"/>
      <c r="R971" s="433"/>
      <c r="S971" s="432" t="s">
        <v>1443</v>
      </c>
      <c r="T971" s="432">
        <v>60</v>
      </c>
      <c r="U971" s="350">
        <v>49401140</v>
      </c>
      <c r="V971" s="432" t="s">
        <v>1970</v>
      </c>
      <c r="W971" s="432">
        <v>400</v>
      </c>
      <c r="X971" s="436">
        <v>768</v>
      </c>
      <c r="Y971" s="408">
        <f t="shared" si="122"/>
        <v>307200</v>
      </c>
      <c r="Z971" s="409">
        <v>0.52500000000000002</v>
      </c>
      <c r="AA971" s="423">
        <f t="shared" si="123"/>
        <v>161280</v>
      </c>
      <c r="AB971" s="411"/>
      <c r="AC971" s="412">
        <f t="shared" si="124"/>
        <v>0</v>
      </c>
      <c r="AD971" s="421"/>
      <c r="AE971" s="413"/>
      <c r="AF971" s="424">
        <f t="shared" si="125"/>
        <v>161280</v>
      </c>
      <c r="AG971" s="405" t="s">
        <v>1069</v>
      </c>
      <c r="AH971" s="405"/>
      <c r="AI971" s="414" t="s">
        <v>1962</v>
      </c>
      <c r="AJ971" s="405" t="s">
        <v>1969</v>
      </c>
      <c r="AK971" s="425" t="s">
        <v>1125</v>
      </c>
      <c r="AL971" s="405">
        <v>85008</v>
      </c>
      <c r="AM971" s="405" t="s">
        <v>52</v>
      </c>
      <c r="AN971" s="405" t="s">
        <v>1071</v>
      </c>
      <c r="AO971" s="405"/>
      <c r="AP971" s="417"/>
      <c r="AQ971" s="417" t="s">
        <v>37</v>
      </c>
      <c r="AR971" s="417"/>
      <c r="AS971" s="426"/>
      <c r="AT971" s="426"/>
      <c r="AU971" s="357"/>
      <c r="AV971" s="409"/>
    </row>
    <row r="972" spans="1:48" s="402" customFormat="1" ht="15" customHeight="1">
      <c r="A972" s="403"/>
      <c r="B972" s="445">
        <v>44557</v>
      </c>
      <c r="C972" s="403"/>
      <c r="D972" s="443" t="s">
        <v>1914</v>
      </c>
      <c r="E972" s="432" t="s">
        <v>2155</v>
      </c>
      <c r="F972" s="432"/>
      <c r="G972" s="432">
        <v>2022</v>
      </c>
      <c r="H972" s="432" t="s">
        <v>1498</v>
      </c>
      <c r="I972" s="443" t="s">
        <v>1498</v>
      </c>
      <c r="J972" s="433"/>
      <c r="K972" s="434" t="s">
        <v>3328</v>
      </c>
      <c r="L972" s="432" t="s">
        <v>1967</v>
      </c>
      <c r="M972" s="435">
        <v>44544</v>
      </c>
      <c r="N972" s="435">
        <v>44753</v>
      </c>
      <c r="O972" s="435"/>
      <c r="P972" s="349"/>
      <c r="Q972" s="433"/>
      <c r="R972" s="433"/>
      <c r="S972" s="432" t="s">
        <v>1443</v>
      </c>
      <c r="T972" s="432">
        <v>60</v>
      </c>
      <c r="U972" s="350">
        <v>49401140</v>
      </c>
      <c r="V972" s="432" t="s">
        <v>1970</v>
      </c>
      <c r="W972" s="432">
        <v>400</v>
      </c>
      <c r="X972" s="436">
        <v>768</v>
      </c>
      <c r="Y972" s="408">
        <f t="shared" si="122"/>
        <v>307200</v>
      </c>
      <c r="Z972" s="409">
        <v>0.52500000000000002</v>
      </c>
      <c r="AA972" s="423">
        <f t="shared" si="123"/>
        <v>161280</v>
      </c>
      <c r="AB972" s="411"/>
      <c r="AC972" s="412">
        <f t="shared" si="124"/>
        <v>0</v>
      </c>
      <c r="AD972" s="421"/>
      <c r="AE972" s="413"/>
      <c r="AF972" s="424">
        <f t="shared" si="125"/>
        <v>161280</v>
      </c>
      <c r="AG972" s="405" t="s">
        <v>1069</v>
      </c>
      <c r="AH972" s="405"/>
      <c r="AI972" s="414" t="s">
        <v>1962</v>
      </c>
      <c r="AJ972" s="405" t="s">
        <v>1969</v>
      </c>
      <c r="AK972" s="425" t="s">
        <v>1125</v>
      </c>
      <c r="AL972" s="405">
        <v>85008</v>
      </c>
      <c r="AM972" s="405" t="s">
        <v>52</v>
      </c>
      <c r="AN972" s="405" t="s">
        <v>1071</v>
      </c>
      <c r="AO972" s="405"/>
      <c r="AP972" s="417"/>
      <c r="AQ972" s="417" t="s">
        <v>37</v>
      </c>
      <c r="AR972" s="417"/>
      <c r="AS972" s="426"/>
      <c r="AT972" s="426"/>
      <c r="AU972" s="357"/>
      <c r="AV972" s="409"/>
    </row>
    <row r="973" spans="1:48" s="402" customFormat="1" ht="15" customHeight="1">
      <c r="A973" s="403"/>
      <c r="B973" s="445">
        <v>44557</v>
      </c>
      <c r="C973" s="403"/>
      <c r="D973" s="443" t="s">
        <v>1914</v>
      </c>
      <c r="E973" s="432" t="s">
        <v>2155</v>
      </c>
      <c r="F973" s="432"/>
      <c r="G973" s="432">
        <v>2022</v>
      </c>
      <c r="H973" s="432" t="s">
        <v>1498</v>
      </c>
      <c r="I973" s="443" t="s">
        <v>1498</v>
      </c>
      <c r="J973" s="433"/>
      <c r="K973" s="434" t="s">
        <v>3329</v>
      </c>
      <c r="L973" s="432" t="s">
        <v>1967</v>
      </c>
      <c r="M973" s="435">
        <v>44544</v>
      </c>
      <c r="N973" s="435">
        <v>44756</v>
      </c>
      <c r="O973" s="435"/>
      <c r="P973" s="349"/>
      <c r="Q973" s="433"/>
      <c r="R973" s="433"/>
      <c r="S973" s="432" t="s">
        <v>1443</v>
      </c>
      <c r="T973" s="432">
        <v>60</v>
      </c>
      <c r="U973" s="350">
        <v>49401140</v>
      </c>
      <c r="V973" s="432" t="s">
        <v>1970</v>
      </c>
      <c r="W973" s="432">
        <v>400</v>
      </c>
      <c r="X973" s="436">
        <v>768</v>
      </c>
      <c r="Y973" s="408">
        <f t="shared" si="122"/>
        <v>307200</v>
      </c>
      <c r="Z973" s="409">
        <v>0.52500000000000002</v>
      </c>
      <c r="AA973" s="423">
        <f t="shared" si="123"/>
        <v>161280</v>
      </c>
      <c r="AB973" s="411"/>
      <c r="AC973" s="412">
        <f t="shared" si="124"/>
        <v>0</v>
      </c>
      <c r="AD973" s="421"/>
      <c r="AE973" s="413"/>
      <c r="AF973" s="424">
        <f t="shared" si="125"/>
        <v>161280</v>
      </c>
      <c r="AG973" s="405" t="s">
        <v>1069</v>
      </c>
      <c r="AH973" s="405"/>
      <c r="AI973" s="414" t="s">
        <v>1962</v>
      </c>
      <c r="AJ973" s="405" t="s">
        <v>1969</v>
      </c>
      <c r="AK973" s="425" t="s">
        <v>1125</v>
      </c>
      <c r="AL973" s="405">
        <v>85008</v>
      </c>
      <c r="AM973" s="405" t="s">
        <v>52</v>
      </c>
      <c r="AN973" s="405" t="s">
        <v>1071</v>
      </c>
      <c r="AO973" s="405"/>
      <c r="AP973" s="417"/>
      <c r="AQ973" s="417" t="s">
        <v>37</v>
      </c>
      <c r="AR973" s="417"/>
      <c r="AS973" s="426"/>
      <c r="AT973" s="426"/>
      <c r="AU973" s="357"/>
      <c r="AV973" s="409"/>
    </row>
    <row r="974" spans="1:48" s="402" customFormat="1" ht="15" customHeight="1">
      <c r="A974" s="403"/>
      <c r="B974" s="445">
        <v>44557</v>
      </c>
      <c r="C974" s="403"/>
      <c r="D974" s="443" t="s">
        <v>1914</v>
      </c>
      <c r="E974" s="432" t="s">
        <v>2155</v>
      </c>
      <c r="F974" s="432"/>
      <c r="G974" s="432">
        <v>2022</v>
      </c>
      <c r="H974" s="432" t="s">
        <v>1498</v>
      </c>
      <c r="I974" s="443" t="s">
        <v>1498</v>
      </c>
      <c r="J974" s="433"/>
      <c r="K974" s="434" t="s">
        <v>3330</v>
      </c>
      <c r="L974" s="432" t="s">
        <v>1967</v>
      </c>
      <c r="M974" s="435">
        <v>44545</v>
      </c>
      <c r="N974" s="435">
        <v>44757</v>
      </c>
      <c r="O974" s="435"/>
      <c r="P974" s="349"/>
      <c r="Q974" s="433"/>
      <c r="R974" s="433"/>
      <c r="S974" s="432" t="s">
        <v>1443</v>
      </c>
      <c r="T974" s="432">
        <v>60</v>
      </c>
      <c r="U974" s="350">
        <v>49201132</v>
      </c>
      <c r="V974" s="432" t="s">
        <v>986</v>
      </c>
      <c r="W974" s="432">
        <v>360</v>
      </c>
      <c r="X974" s="436">
        <v>832</v>
      </c>
      <c r="Y974" s="408">
        <f t="shared" si="122"/>
        <v>299520</v>
      </c>
      <c r="Z974" s="409">
        <v>0.505</v>
      </c>
      <c r="AA974" s="423">
        <f t="shared" si="123"/>
        <v>151257.60000000001</v>
      </c>
      <c r="AB974" s="411"/>
      <c r="AC974" s="412">
        <f t="shared" si="124"/>
        <v>0</v>
      </c>
      <c r="AD974" s="421"/>
      <c r="AE974" s="413"/>
      <c r="AF974" s="424">
        <f t="shared" si="125"/>
        <v>151257.60000000001</v>
      </c>
      <c r="AG974" s="405" t="s">
        <v>1069</v>
      </c>
      <c r="AH974" s="405"/>
      <c r="AI974" s="414" t="s">
        <v>1962</v>
      </c>
      <c r="AJ974" s="405" t="s">
        <v>1969</v>
      </c>
      <c r="AK974" s="425" t="s">
        <v>1125</v>
      </c>
      <c r="AL974" s="405">
        <v>85008</v>
      </c>
      <c r="AM974" s="405" t="s">
        <v>52</v>
      </c>
      <c r="AN974" s="405" t="s">
        <v>1071</v>
      </c>
      <c r="AO974" s="405"/>
      <c r="AP974" s="417"/>
      <c r="AQ974" s="417" t="s">
        <v>37</v>
      </c>
      <c r="AR974" s="417"/>
      <c r="AS974" s="426"/>
      <c r="AT974" s="426"/>
      <c r="AU974" s="357"/>
      <c r="AV974" s="409"/>
    </row>
    <row r="975" spans="1:48" s="402" customFormat="1" ht="15" customHeight="1">
      <c r="A975" s="403"/>
      <c r="B975" s="445">
        <v>44557</v>
      </c>
      <c r="C975" s="403"/>
      <c r="D975" s="443" t="s">
        <v>1914</v>
      </c>
      <c r="E975" s="432" t="s">
        <v>2155</v>
      </c>
      <c r="F975" s="432"/>
      <c r="G975" s="432">
        <v>2022</v>
      </c>
      <c r="H975" s="432" t="s">
        <v>1498</v>
      </c>
      <c r="I975" s="443" t="s">
        <v>1498</v>
      </c>
      <c r="J975" s="433"/>
      <c r="K975" s="434" t="s">
        <v>3331</v>
      </c>
      <c r="L975" s="432" t="s">
        <v>1967</v>
      </c>
      <c r="M975" s="435">
        <v>44545</v>
      </c>
      <c r="N975" s="435">
        <v>44759</v>
      </c>
      <c r="O975" s="435"/>
      <c r="P975" s="349"/>
      <c r="Q975" s="433"/>
      <c r="R975" s="433"/>
      <c r="S975" s="432" t="s">
        <v>1443</v>
      </c>
      <c r="T975" s="432">
        <v>60</v>
      </c>
      <c r="U975" s="350">
        <v>49401140</v>
      </c>
      <c r="V975" s="432" t="s">
        <v>1970</v>
      </c>
      <c r="W975" s="432">
        <v>400</v>
      </c>
      <c r="X975" s="436">
        <v>768</v>
      </c>
      <c r="Y975" s="408">
        <f t="shared" si="122"/>
        <v>307200</v>
      </c>
      <c r="Z975" s="409">
        <v>0.52500000000000002</v>
      </c>
      <c r="AA975" s="423">
        <f t="shared" si="123"/>
        <v>161280</v>
      </c>
      <c r="AB975" s="411"/>
      <c r="AC975" s="412">
        <f t="shared" si="124"/>
        <v>0</v>
      </c>
      <c r="AD975" s="421"/>
      <c r="AE975" s="413"/>
      <c r="AF975" s="424">
        <f t="shared" si="125"/>
        <v>161280</v>
      </c>
      <c r="AG975" s="405" t="s">
        <v>1069</v>
      </c>
      <c r="AH975" s="405"/>
      <c r="AI975" s="414" t="s">
        <v>1962</v>
      </c>
      <c r="AJ975" s="405" t="s">
        <v>1969</v>
      </c>
      <c r="AK975" s="425" t="s">
        <v>1125</v>
      </c>
      <c r="AL975" s="405">
        <v>85008</v>
      </c>
      <c r="AM975" s="405" t="s">
        <v>52</v>
      </c>
      <c r="AN975" s="405" t="s">
        <v>1071</v>
      </c>
      <c r="AO975" s="405"/>
      <c r="AP975" s="417"/>
      <c r="AQ975" s="417" t="s">
        <v>37</v>
      </c>
      <c r="AR975" s="417"/>
      <c r="AS975" s="426"/>
      <c r="AT975" s="426"/>
      <c r="AU975" s="357"/>
      <c r="AV975" s="409"/>
    </row>
    <row r="976" spans="1:48" s="402" customFormat="1" ht="15" customHeight="1">
      <c r="A976" s="403"/>
      <c r="B976" s="445">
        <v>44557</v>
      </c>
      <c r="C976" s="403"/>
      <c r="D976" s="443" t="s">
        <v>1914</v>
      </c>
      <c r="E976" s="432" t="s">
        <v>2155</v>
      </c>
      <c r="F976" s="432"/>
      <c r="G976" s="432">
        <v>2022</v>
      </c>
      <c r="H976" s="432" t="s">
        <v>1498</v>
      </c>
      <c r="I976" s="443" t="s">
        <v>1498</v>
      </c>
      <c r="J976" s="433"/>
      <c r="K976" s="434" t="s">
        <v>3332</v>
      </c>
      <c r="L976" s="432" t="s">
        <v>1967</v>
      </c>
      <c r="M976" s="435">
        <v>44545</v>
      </c>
      <c r="N976" s="435">
        <v>44762</v>
      </c>
      <c r="O976" s="435"/>
      <c r="P976" s="349"/>
      <c r="Q976" s="433"/>
      <c r="R976" s="433"/>
      <c r="S976" s="432" t="s">
        <v>1443</v>
      </c>
      <c r="T976" s="432">
        <v>60</v>
      </c>
      <c r="U976" s="350">
        <v>49401140</v>
      </c>
      <c r="V976" s="432" t="s">
        <v>1970</v>
      </c>
      <c r="W976" s="432">
        <v>400</v>
      </c>
      <c r="X976" s="436">
        <v>768</v>
      </c>
      <c r="Y976" s="408">
        <f t="shared" si="122"/>
        <v>307200</v>
      </c>
      <c r="Z976" s="409">
        <v>0.52500000000000002</v>
      </c>
      <c r="AA976" s="423">
        <f t="shared" si="123"/>
        <v>161280</v>
      </c>
      <c r="AB976" s="411"/>
      <c r="AC976" s="412">
        <f t="shared" si="124"/>
        <v>0</v>
      </c>
      <c r="AD976" s="421"/>
      <c r="AE976" s="413"/>
      <c r="AF976" s="424">
        <f t="shared" si="125"/>
        <v>161280</v>
      </c>
      <c r="AG976" s="405" t="s">
        <v>1069</v>
      </c>
      <c r="AH976" s="405"/>
      <c r="AI976" s="414" t="s">
        <v>1962</v>
      </c>
      <c r="AJ976" s="405" t="s">
        <v>1969</v>
      </c>
      <c r="AK976" s="425" t="s">
        <v>1125</v>
      </c>
      <c r="AL976" s="405">
        <v>85008</v>
      </c>
      <c r="AM976" s="405" t="s">
        <v>52</v>
      </c>
      <c r="AN976" s="405" t="s">
        <v>1071</v>
      </c>
      <c r="AO976" s="405"/>
      <c r="AP976" s="417"/>
      <c r="AQ976" s="417" t="s">
        <v>37</v>
      </c>
      <c r="AR976" s="417"/>
      <c r="AS976" s="426"/>
      <c r="AT976" s="426"/>
      <c r="AU976" s="357"/>
      <c r="AV976" s="409"/>
    </row>
    <row r="977" spans="1:48" s="402" customFormat="1" ht="15" customHeight="1">
      <c r="A977" s="403"/>
      <c r="B977" s="445">
        <v>44557</v>
      </c>
      <c r="C977" s="403"/>
      <c r="D977" s="443" t="s">
        <v>1914</v>
      </c>
      <c r="E977" s="432" t="s">
        <v>2155</v>
      </c>
      <c r="F977" s="432"/>
      <c r="G977" s="432">
        <v>2022</v>
      </c>
      <c r="H977" s="432" t="s">
        <v>1498</v>
      </c>
      <c r="I977" s="443" t="s">
        <v>1498</v>
      </c>
      <c r="J977" s="433"/>
      <c r="K977" s="434" t="s">
        <v>3333</v>
      </c>
      <c r="L977" s="432" t="s">
        <v>1967</v>
      </c>
      <c r="M977" s="435">
        <v>44545</v>
      </c>
      <c r="N977" s="435">
        <v>44764</v>
      </c>
      <c r="O977" s="435"/>
      <c r="P977" s="349"/>
      <c r="Q977" s="433"/>
      <c r="R977" s="433"/>
      <c r="S977" s="432" t="s">
        <v>1443</v>
      </c>
      <c r="T977" s="432">
        <v>60</v>
      </c>
      <c r="U977" s="350">
        <v>49401140</v>
      </c>
      <c r="V977" s="432" t="s">
        <v>1970</v>
      </c>
      <c r="W977" s="432">
        <v>400</v>
      </c>
      <c r="X977" s="436">
        <v>768</v>
      </c>
      <c r="Y977" s="408">
        <f t="shared" ref="Y977:Y1040" si="128">X977*W977</f>
        <v>307200</v>
      </c>
      <c r="Z977" s="409">
        <v>0.52500000000000002</v>
      </c>
      <c r="AA977" s="423">
        <f t="shared" ref="AA977:AA1040" si="129">Z977*Y977</f>
        <v>161280</v>
      </c>
      <c r="AB977" s="411"/>
      <c r="AC977" s="412">
        <f t="shared" ref="AC977:AC1040" si="130">AB977*Y977</f>
        <v>0</v>
      </c>
      <c r="AD977" s="421"/>
      <c r="AE977" s="413"/>
      <c r="AF977" s="424">
        <f t="shared" ref="AF977:AF1040" si="131">AA977+AE977</f>
        <v>161280</v>
      </c>
      <c r="AG977" s="405" t="s">
        <v>1069</v>
      </c>
      <c r="AH977" s="405"/>
      <c r="AI977" s="414" t="s">
        <v>1962</v>
      </c>
      <c r="AJ977" s="405" t="s">
        <v>1969</v>
      </c>
      <c r="AK977" s="425" t="s">
        <v>1125</v>
      </c>
      <c r="AL977" s="405">
        <v>85008</v>
      </c>
      <c r="AM977" s="405" t="s">
        <v>52</v>
      </c>
      <c r="AN977" s="405" t="s">
        <v>1071</v>
      </c>
      <c r="AO977" s="405"/>
      <c r="AP977" s="417"/>
      <c r="AQ977" s="417" t="s">
        <v>37</v>
      </c>
      <c r="AR977" s="417"/>
      <c r="AS977" s="426"/>
      <c r="AT977" s="426"/>
      <c r="AU977" s="357"/>
      <c r="AV977" s="409"/>
    </row>
    <row r="978" spans="1:48" s="402" customFormat="1" ht="15" customHeight="1">
      <c r="A978" s="403"/>
      <c r="B978" s="445">
        <v>44557</v>
      </c>
      <c r="C978" s="403"/>
      <c r="D978" s="443" t="s">
        <v>1914</v>
      </c>
      <c r="E978" s="432" t="s">
        <v>2155</v>
      </c>
      <c r="F978" s="432"/>
      <c r="G978" s="432">
        <v>2022</v>
      </c>
      <c r="H978" s="432" t="s">
        <v>1498</v>
      </c>
      <c r="I978" s="443" t="s">
        <v>1498</v>
      </c>
      <c r="J978" s="433"/>
      <c r="K978" s="434" t="s">
        <v>3334</v>
      </c>
      <c r="L978" s="432" t="s">
        <v>1967</v>
      </c>
      <c r="M978" s="435">
        <v>44545</v>
      </c>
      <c r="N978" s="435">
        <v>44775</v>
      </c>
      <c r="O978" s="435"/>
      <c r="P978" s="349"/>
      <c r="Q978" s="433"/>
      <c r="R978" s="433"/>
      <c r="S978" s="432" t="s">
        <v>1443</v>
      </c>
      <c r="T978" s="432">
        <v>60</v>
      </c>
      <c r="U978" s="350">
        <v>49401140</v>
      </c>
      <c r="V978" s="432" t="s">
        <v>1970</v>
      </c>
      <c r="W978" s="432">
        <v>400</v>
      </c>
      <c r="X978" s="436">
        <v>768</v>
      </c>
      <c r="Y978" s="408">
        <f t="shared" si="128"/>
        <v>307200</v>
      </c>
      <c r="Z978" s="409">
        <v>0.52500000000000002</v>
      </c>
      <c r="AA978" s="423">
        <f t="shared" si="129"/>
        <v>161280</v>
      </c>
      <c r="AB978" s="411"/>
      <c r="AC978" s="412">
        <f t="shared" si="130"/>
        <v>0</v>
      </c>
      <c r="AD978" s="421"/>
      <c r="AE978" s="413"/>
      <c r="AF978" s="424">
        <f t="shared" si="131"/>
        <v>161280</v>
      </c>
      <c r="AG978" s="405" t="s">
        <v>1069</v>
      </c>
      <c r="AH978" s="405"/>
      <c r="AI978" s="414" t="s">
        <v>1962</v>
      </c>
      <c r="AJ978" s="405" t="s">
        <v>1969</v>
      </c>
      <c r="AK978" s="425" t="s">
        <v>1125</v>
      </c>
      <c r="AL978" s="405">
        <v>85008</v>
      </c>
      <c r="AM978" s="405" t="s">
        <v>52</v>
      </c>
      <c r="AN978" s="405" t="s">
        <v>1071</v>
      </c>
      <c r="AO978" s="405"/>
      <c r="AP978" s="417"/>
      <c r="AQ978" s="417" t="s">
        <v>37</v>
      </c>
      <c r="AR978" s="417"/>
      <c r="AS978" s="426"/>
      <c r="AT978" s="426"/>
      <c r="AU978" s="357"/>
      <c r="AV978" s="409"/>
    </row>
    <row r="979" spans="1:48" s="402" customFormat="1" ht="15" customHeight="1">
      <c r="A979" s="403"/>
      <c r="B979" s="445">
        <v>44557</v>
      </c>
      <c r="C979" s="403"/>
      <c r="D979" s="443" t="s">
        <v>1914</v>
      </c>
      <c r="E979" s="432" t="s">
        <v>2155</v>
      </c>
      <c r="F979" s="432"/>
      <c r="G979" s="432">
        <v>2022</v>
      </c>
      <c r="H979" s="432" t="s">
        <v>1498</v>
      </c>
      <c r="I979" s="443" t="s">
        <v>1498</v>
      </c>
      <c r="J979" s="433"/>
      <c r="K979" s="434" t="s">
        <v>3335</v>
      </c>
      <c r="L979" s="432" t="s">
        <v>1967</v>
      </c>
      <c r="M979" s="435">
        <v>44545</v>
      </c>
      <c r="N979" s="435">
        <v>44775</v>
      </c>
      <c r="O979" s="435"/>
      <c r="P979" s="349"/>
      <c r="Q979" s="433"/>
      <c r="R979" s="433"/>
      <c r="S979" s="432" t="s">
        <v>1443</v>
      </c>
      <c r="T979" s="432">
        <v>60</v>
      </c>
      <c r="U979" s="350">
        <v>49201132</v>
      </c>
      <c r="V979" s="432" t="s">
        <v>986</v>
      </c>
      <c r="W979" s="432">
        <v>360</v>
      </c>
      <c r="X979" s="436">
        <v>832</v>
      </c>
      <c r="Y979" s="408">
        <f t="shared" si="128"/>
        <v>299520</v>
      </c>
      <c r="Z979" s="409">
        <v>0.505</v>
      </c>
      <c r="AA979" s="423">
        <f t="shared" si="129"/>
        <v>151257.60000000001</v>
      </c>
      <c r="AB979" s="411"/>
      <c r="AC979" s="412">
        <f t="shared" si="130"/>
        <v>0</v>
      </c>
      <c r="AD979" s="421"/>
      <c r="AE979" s="413"/>
      <c r="AF979" s="424">
        <f t="shared" si="131"/>
        <v>151257.60000000001</v>
      </c>
      <c r="AG979" s="405" t="s">
        <v>1069</v>
      </c>
      <c r="AH979" s="405"/>
      <c r="AI979" s="414" t="s">
        <v>1962</v>
      </c>
      <c r="AJ979" s="405" t="s">
        <v>1969</v>
      </c>
      <c r="AK979" s="425" t="s">
        <v>1125</v>
      </c>
      <c r="AL979" s="405">
        <v>85008</v>
      </c>
      <c r="AM979" s="405" t="s">
        <v>52</v>
      </c>
      <c r="AN979" s="405" t="s">
        <v>1071</v>
      </c>
      <c r="AO979" s="405"/>
      <c r="AP979" s="417"/>
      <c r="AQ979" s="417" t="s">
        <v>37</v>
      </c>
      <c r="AR979" s="417"/>
      <c r="AS979" s="426"/>
      <c r="AT979" s="426"/>
      <c r="AU979" s="357"/>
      <c r="AV979" s="409"/>
    </row>
    <row r="980" spans="1:48" s="402" customFormat="1" ht="15" customHeight="1">
      <c r="A980" s="403"/>
      <c r="B980" s="445">
        <v>44557</v>
      </c>
      <c r="C980" s="403"/>
      <c r="D980" s="443" t="s">
        <v>1914</v>
      </c>
      <c r="E980" s="432" t="s">
        <v>2155</v>
      </c>
      <c r="F980" s="432"/>
      <c r="G980" s="432">
        <v>2022</v>
      </c>
      <c r="H980" s="432" t="s">
        <v>1498</v>
      </c>
      <c r="I980" s="443" t="s">
        <v>1498</v>
      </c>
      <c r="J980" s="433"/>
      <c r="K980" s="434" t="s">
        <v>3336</v>
      </c>
      <c r="L980" s="432" t="s">
        <v>1967</v>
      </c>
      <c r="M980" s="435">
        <v>44545</v>
      </c>
      <c r="N980" s="435">
        <v>44778</v>
      </c>
      <c r="O980" s="435"/>
      <c r="P980" s="349"/>
      <c r="Q980" s="433"/>
      <c r="R980" s="433"/>
      <c r="S980" s="432" t="s">
        <v>1443</v>
      </c>
      <c r="T980" s="432">
        <v>60</v>
      </c>
      <c r="U980" s="350">
        <v>49401140</v>
      </c>
      <c r="V980" s="432" t="s">
        <v>1970</v>
      </c>
      <c r="W980" s="432">
        <v>400</v>
      </c>
      <c r="X980" s="436">
        <v>768</v>
      </c>
      <c r="Y980" s="408">
        <f t="shared" si="128"/>
        <v>307200</v>
      </c>
      <c r="Z980" s="409">
        <v>0.52500000000000002</v>
      </c>
      <c r="AA980" s="423">
        <f t="shared" si="129"/>
        <v>161280</v>
      </c>
      <c r="AB980" s="411"/>
      <c r="AC980" s="412">
        <f t="shared" si="130"/>
        <v>0</v>
      </c>
      <c r="AD980" s="421"/>
      <c r="AE980" s="413"/>
      <c r="AF980" s="424">
        <f t="shared" si="131"/>
        <v>161280</v>
      </c>
      <c r="AG980" s="405" t="s">
        <v>1069</v>
      </c>
      <c r="AH980" s="405"/>
      <c r="AI980" s="414" t="s">
        <v>1962</v>
      </c>
      <c r="AJ980" s="405" t="s">
        <v>1969</v>
      </c>
      <c r="AK980" s="425" t="s">
        <v>1125</v>
      </c>
      <c r="AL980" s="405">
        <v>85008</v>
      </c>
      <c r="AM980" s="405" t="s">
        <v>52</v>
      </c>
      <c r="AN980" s="405" t="s">
        <v>1071</v>
      </c>
      <c r="AO980" s="405"/>
      <c r="AP980" s="417"/>
      <c r="AQ980" s="417" t="s">
        <v>37</v>
      </c>
      <c r="AR980" s="417"/>
      <c r="AS980" s="426"/>
      <c r="AT980" s="426"/>
      <c r="AU980" s="357"/>
      <c r="AV980" s="409"/>
    </row>
    <row r="981" spans="1:48" s="402" customFormat="1" ht="15" customHeight="1">
      <c r="A981" s="403"/>
      <c r="B981" s="445">
        <v>44557</v>
      </c>
      <c r="C981" s="403"/>
      <c r="D981" s="443" t="s">
        <v>1914</v>
      </c>
      <c r="E981" s="432" t="s">
        <v>2155</v>
      </c>
      <c r="F981" s="432"/>
      <c r="G981" s="432">
        <v>2022</v>
      </c>
      <c r="H981" s="432" t="s">
        <v>1498</v>
      </c>
      <c r="I981" s="443" t="s">
        <v>1498</v>
      </c>
      <c r="J981" s="433"/>
      <c r="K981" s="434" t="s">
        <v>3337</v>
      </c>
      <c r="L981" s="432" t="s">
        <v>1967</v>
      </c>
      <c r="M981" s="435">
        <v>44545</v>
      </c>
      <c r="N981" s="435">
        <v>44781</v>
      </c>
      <c r="O981" s="435"/>
      <c r="P981" s="349"/>
      <c r="Q981" s="433"/>
      <c r="R981" s="433"/>
      <c r="S981" s="432" t="s">
        <v>1443</v>
      </c>
      <c r="T981" s="432">
        <v>60</v>
      </c>
      <c r="U981" s="350">
        <v>49401140</v>
      </c>
      <c r="V981" s="432" t="s">
        <v>1970</v>
      </c>
      <c r="W981" s="432">
        <v>400</v>
      </c>
      <c r="X981" s="436">
        <v>768</v>
      </c>
      <c r="Y981" s="408">
        <f t="shared" si="128"/>
        <v>307200</v>
      </c>
      <c r="Z981" s="409">
        <v>0.52500000000000002</v>
      </c>
      <c r="AA981" s="423">
        <f t="shared" si="129"/>
        <v>161280</v>
      </c>
      <c r="AB981" s="411"/>
      <c r="AC981" s="412">
        <f t="shared" si="130"/>
        <v>0</v>
      </c>
      <c r="AD981" s="421"/>
      <c r="AE981" s="413"/>
      <c r="AF981" s="424">
        <f t="shared" si="131"/>
        <v>161280</v>
      </c>
      <c r="AG981" s="405" t="s">
        <v>1069</v>
      </c>
      <c r="AH981" s="405"/>
      <c r="AI981" s="414" t="s">
        <v>1962</v>
      </c>
      <c r="AJ981" s="405" t="s">
        <v>1969</v>
      </c>
      <c r="AK981" s="425" t="s">
        <v>1125</v>
      </c>
      <c r="AL981" s="405">
        <v>85008</v>
      </c>
      <c r="AM981" s="405" t="s">
        <v>52</v>
      </c>
      <c r="AN981" s="405" t="s">
        <v>1071</v>
      </c>
      <c r="AO981" s="405"/>
      <c r="AP981" s="417"/>
      <c r="AQ981" s="417" t="s">
        <v>37</v>
      </c>
      <c r="AR981" s="417"/>
      <c r="AS981" s="426"/>
      <c r="AT981" s="426"/>
      <c r="AU981" s="357"/>
      <c r="AV981" s="409"/>
    </row>
    <row r="982" spans="1:48" s="402" customFormat="1" ht="15" customHeight="1">
      <c r="A982" s="403"/>
      <c r="B982" s="445">
        <v>44557</v>
      </c>
      <c r="C982" s="403"/>
      <c r="D982" s="443" t="s">
        <v>1914</v>
      </c>
      <c r="E982" s="432" t="s">
        <v>2155</v>
      </c>
      <c r="F982" s="432"/>
      <c r="G982" s="432">
        <v>2022</v>
      </c>
      <c r="H982" s="432" t="s">
        <v>1498</v>
      </c>
      <c r="I982" s="443" t="s">
        <v>1498</v>
      </c>
      <c r="J982" s="433"/>
      <c r="K982" s="434" t="s">
        <v>3338</v>
      </c>
      <c r="L982" s="432" t="s">
        <v>1967</v>
      </c>
      <c r="M982" s="435">
        <v>44545</v>
      </c>
      <c r="N982" s="435">
        <v>44784</v>
      </c>
      <c r="O982" s="435"/>
      <c r="P982" s="349"/>
      <c r="Q982" s="433"/>
      <c r="R982" s="433"/>
      <c r="S982" s="432" t="s">
        <v>1443</v>
      </c>
      <c r="T982" s="432">
        <v>60</v>
      </c>
      <c r="U982" s="350">
        <v>49401140</v>
      </c>
      <c r="V982" s="432" t="s">
        <v>1970</v>
      </c>
      <c r="W982" s="432">
        <v>400</v>
      </c>
      <c r="X982" s="436">
        <v>768</v>
      </c>
      <c r="Y982" s="408">
        <f t="shared" si="128"/>
        <v>307200</v>
      </c>
      <c r="Z982" s="409">
        <v>0.52500000000000002</v>
      </c>
      <c r="AA982" s="423">
        <f t="shared" si="129"/>
        <v>161280</v>
      </c>
      <c r="AB982" s="411"/>
      <c r="AC982" s="412">
        <f t="shared" si="130"/>
        <v>0</v>
      </c>
      <c r="AD982" s="421"/>
      <c r="AE982" s="413"/>
      <c r="AF982" s="424">
        <f t="shared" si="131"/>
        <v>161280</v>
      </c>
      <c r="AG982" s="405" t="s">
        <v>1069</v>
      </c>
      <c r="AH982" s="405"/>
      <c r="AI982" s="414" t="s">
        <v>1962</v>
      </c>
      <c r="AJ982" s="405" t="s">
        <v>1969</v>
      </c>
      <c r="AK982" s="425" t="s">
        <v>1125</v>
      </c>
      <c r="AL982" s="405">
        <v>85008</v>
      </c>
      <c r="AM982" s="405" t="s">
        <v>52</v>
      </c>
      <c r="AN982" s="405" t="s">
        <v>1071</v>
      </c>
      <c r="AO982" s="405"/>
      <c r="AP982" s="417"/>
      <c r="AQ982" s="417" t="s">
        <v>37</v>
      </c>
      <c r="AR982" s="417"/>
      <c r="AS982" s="426"/>
      <c r="AT982" s="426"/>
      <c r="AU982" s="357"/>
      <c r="AV982" s="409"/>
    </row>
    <row r="983" spans="1:48" s="402" customFormat="1" ht="15" customHeight="1">
      <c r="A983" s="403"/>
      <c r="B983" s="445">
        <v>44557</v>
      </c>
      <c r="C983" s="403"/>
      <c r="D983" s="443" t="s">
        <v>1914</v>
      </c>
      <c r="E983" s="432" t="s">
        <v>2155</v>
      </c>
      <c r="F983" s="432"/>
      <c r="G983" s="432">
        <v>2022</v>
      </c>
      <c r="H983" s="432" t="s">
        <v>1498</v>
      </c>
      <c r="I983" s="443" t="s">
        <v>1498</v>
      </c>
      <c r="J983" s="433"/>
      <c r="K983" s="434" t="s">
        <v>3339</v>
      </c>
      <c r="L983" s="432" t="s">
        <v>1967</v>
      </c>
      <c r="M983" s="435">
        <v>44545</v>
      </c>
      <c r="N983" s="435">
        <v>44787</v>
      </c>
      <c r="O983" s="435"/>
      <c r="P983" s="349"/>
      <c r="Q983" s="433"/>
      <c r="R983" s="433"/>
      <c r="S983" s="432" t="s">
        <v>1443</v>
      </c>
      <c r="T983" s="432">
        <v>60</v>
      </c>
      <c r="U983" s="350">
        <v>49401140</v>
      </c>
      <c r="V983" s="432" t="s">
        <v>1970</v>
      </c>
      <c r="W983" s="432">
        <v>400</v>
      </c>
      <c r="X983" s="436">
        <v>768</v>
      </c>
      <c r="Y983" s="408">
        <f t="shared" si="128"/>
        <v>307200</v>
      </c>
      <c r="Z983" s="409">
        <v>0.52500000000000002</v>
      </c>
      <c r="AA983" s="423">
        <f t="shared" si="129"/>
        <v>161280</v>
      </c>
      <c r="AB983" s="411"/>
      <c r="AC983" s="412">
        <f t="shared" si="130"/>
        <v>0</v>
      </c>
      <c r="AD983" s="421"/>
      <c r="AE983" s="413"/>
      <c r="AF983" s="424">
        <f t="shared" si="131"/>
        <v>161280</v>
      </c>
      <c r="AG983" s="405" t="s">
        <v>1069</v>
      </c>
      <c r="AH983" s="405"/>
      <c r="AI983" s="414" t="s">
        <v>1962</v>
      </c>
      <c r="AJ983" s="405" t="s">
        <v>1969</v>
      </c>
      <c r="AK983" s="425" t="s">
        <v>1125</v>
      </c>
      <c r="AL983" s="405">
        <v>85008</v>
      </c>
      <c r="AM983" s="405" t="s">
        <v>52</v>
      </c>
      <c r="AN983" s="405" t="s">
        <v>1071</v>
      </c>
      <c r="AO983" s="405"/>
      <c r="AP983" s="417"/>
      <c r="AQ983" s="417" t="s">
        <v>37</v>
      </c>
      <c r="AR983" s="417"/>
      <c r="AS983" s="426"/>
      <c r="AT983" s="426"/>
      <c r="AU983" s="357"/>
      <c r="AV983" s="409"/>
    </row>
    <row r="984" spans="1:48" s="402" customFormat="1" ht="15" customHeight="1">
      <c r="A984" s="403"/>
      <c r="B984" s="445">
        <v>44557</v>
      </c>
      <c r="C984" s="403"/>
      <c r="D984" s="443" t="s">
        <v>1914</v>
      </c>
      <c r="E984" s="432" t="s">
        <v>2155</v>
      </c>
      <c r="F984" s="432"/>
      <c r="G984" s="432">
        <v>2022</v>
      </c>
      <c r="H984" s="432" t="s">
        <v>1498</v>
      </c>
      <c r="I984" s="443" t="s">
        <v>1498</v>
      </c>
      <c r="J984" s="433"/>
      <c r="K984" s="434" t="s">
        <v>3340</v>
      </c>
      <c r="L984" s="432" t="s">
        <v>1967</v>
      </c>
      <c r="M984" s="435">
        <v>44545</v>
      </c>
      <c r="N984" s="435">
        <v>44778</v>
      </c>
      <c r="O984" s="435"/>
      <c r="P984" s="349"/>
      <c r="Q984" s="433"/>
      <c r="R984" s="433"/>
      <c r="S984" s="432" t="s">
        <v>1443</v>
      </c>
      <c r="T984" s="432">
        <v>60</v>
      </c>
      <c r="U984" s="350">
        <v>49201132</v>
      </c>
      <c r="V984" s="432" t="s">
        <v>986</v>
      </c>
      <c r="W984" s="432">
        <v>360</v>
      </c>
      <c r="X984" s="436">
        <v>832</v>
      </c>
      <c r="Y984" s="408">
        <f t="shared" si="128"/>
        <v>299520</v>
      </c>
      <c r="Z984" s="409">
        <v>0.505</v>
      </c>
      <c r="AA984" s="423">
        <f t="shared" si="129"/>
        <v>151257.60000000001</v>
      </c>
      <c r="AB984" s="411"/>
      <c r="AC984" s="412">
        <f t="shared" si="130"/>
        <v>0</v>
      </c>
      <c r="AD984" s="421"/>
      <c r="AE984" s="413"/>
      <c r="AF984" s="424">
        <f t="shared" si="131"/>
        <v>151257.60000000001</v>
      </c>
      <c r="AG984" s="405" t="s">
        <v>1069</v>
      </c>
      <c r="AH984" s="405"/>
      <c r="AI984" s="414" t="s">
        <v>1962</v>
      </c>
      <c r="AJ984" s="405" t="s">
        <v>1969</v>
      </c>
      <c r="AK984" s="425" t="s">
        <v>1125</v>
      </c>
      <c r="AL984" s="405">
        <v>85008</v>
      </c>
      <c r="AM984" s="405" t="s">
        <v>52</v>
      </c>
      <c r="AN984" s="405" t="s">
        <v>1071</v>
      </c>
      <c r="AO984" s="405"/>
      <c r="AP984" s="417"/>
      <c r="AQ984" s="417" t="s">
        <v>37</v>
      </c>
      <c r="AR984" s="417"/>
      <c r="AS984" s="426"/>
      <c r="AT984" s="426"/>
      <c r="AU984" s="357"/>
      <c r="AV984" s="409"/>
    </row>
    <row r="985" spans="1:48" s="402" customFormat="1" ht="15" customHeight="1">
      <c r="A985" s="403"/>
      <c r="B985" s="445">
        <v>44557</v>
      </c>
      <c r="C985" s="403"/>
      <c r="D985" s="443" t="s">
        <v>1914</v>
      </c>
      <c r="E985" s="432" t="s">
        <v>2155</v>
      </c>
      <c r="F985" s="432"/>
      <c r="G985" s="432">
        <v>2022</v>
      </c>
      <c r="H985" s="432" t="s">
        <v>1498</v>
      </c>
      <c r="I985" s="443" t="s">
        <v>1498</v>
      </c>
      <c r="J985" s="433"/>
      <c r="K985" s="434" t="s">
        <v>3341</v>
      </c>
      <c r="L985" s="432" t="s">
        <v>1967</v>
      </c>
      <c r="M985" s="435">
        <v>44545</v>
      </c>
      <c r="N985" s="435">
        <v>44791</v>
      </c>
      <c r="O985" s="435"/>
      <c r="P985" s="349"/>
      <c r="Q985" s="433"/>
      <c r="R985" s="433"/>
      <c r="S985" s="432" t="s">
        <v>1443</v>
      </c>
      <c r="T985" s="432">
        <v>60</v>
      </c>
      <c r="U985" s="350">
        <v>49401140</v>
      </c>
      <c r="V985" s="432" t="s">
        <v>1970</v>
      </c>
      <c r="W985" s="432">
        <v>400</v>
      </c>
      <c r="X985" s="436">
        <v>768</v>
      </c>
      <c r="Y985" s="408">
        <f t="shared" si="128"/>
        <v>307200</v>
      </c>
      <c r="Z985" s="409">
        <v>0.52500000000000002</v>
      </c>
      <c r="AA985" s="423">
        <f t="shared" si="129"/>
        <v>161280</v>
      </c>
      <c r="AB985" s="411"/>
      <c r="AC985" s="412">
        <f t="shared" si="130"/>
        <v>0</v>
      </c>
      <c r="AD985" s="421"/>
      <c r="AE985" s="413"/>
      <c r="AF985" s="424">
        <f t="shared" si="131"/>
        <v>161280</v>
      </c>
      <c r="AG985" s="405" t="s">
        <v>1069</v>
      </c>
      <c r="AH985" s="405"/>
      <c r="AI985" s="414" t="s">
        <v>1962</v>
      </c>
      <c r="AJ985" s="405" t="s">
        <v>1969</v>
      </c>
      <c r="AK985" s="425" t="s">
        <v>1125</v>
      </c>
      <c r="AL985" s="405">
        <v>85008</v>
      </c>
      <c r="AM985" s="405" t="s">
        <v>52</v>
      </c>
      <c r="AN985" s="405" t="s">
        <v>1071</v>
      </c>
      <c r="AO985" s="405"/>
      <c r="AP985" s="417"/>
      <c r="AQ985" s="417" t="s">
        <v>37</v>
      </c>
      <c r="AR985" s="417"/>
      <c r="AS985" s="426"/>
      <c r="AT985" s="426"/>
      <c r="AU985" s="357"/>
      <c r="AV985" s="409"/>
    </row>
    <row r="986" spans="1:48" s="402" customFormat="1" ht="15" customHeight="1">
      <c r="A986" s="403"/>
      <c r="B986" s="445">
        <v>44557</v>
      </c>
      <c r="C986" s="403"/>
      <c r="D986" s="443" t="s">
        <v>1914</v>
      </c>
      <c r="E986" s="432" t="s">
        <v>2155</v>
      </c>
      <c r="F986" s="432"/>
      <c r="G986" s="432">
        <v>2022</v>
      </c>
      <c r="H986" s="432" t="s">
        <v>1498</v>
      </c>
      <c r="I986" s="443" t="s">
        <v>1498</v>
      </c>
      <c r="J986" s="433"/>
      <c r="K986" s="434" t="s">
        <v>3342</v>
      </c>
      <c r="L986" s="432" t="s">
        <v>1967</v>
      </c>
      <c r="M986" s="435">
        <v>44545</v>
      </c>
      <c r="N986" s="435">
        <v>44793</v>
      </c>
      <c r="O986" s="435"/>
      <c r="P986" s="349"/>
      <c r="Q986" s="433"/>
      <c r="R986" s="433"/>
      <c r="S986" s="432" t="s">
        <v>1443</v>
      </c>
      <c r="T986" s="432">
        <v>60</v>
      </c>
      <c r="U986" s="350">
        <v>49401140</v>
      </c>
      <c r="V986" s="432" t="s">
        <v>1970</v>
      </c>
      <c r="W986" s="432">
        <v>400</v>
      </c>
      <c r="X986" s="436">
        <v>768</v>
      </c>
      <c r="Y986" s="408">
        <f t="shared" si="128"/>
        <v>307200</v>
      </c>
      <c r="Z986" s="409">
        <v>0.52500000000000002</v>
      </c>
      <c r="AA986" s="423">
        <f t="shared" si="129"/>
        <v>161280</v>
      </c>
      <c r="AB986" s="411"/>
      <c r="AC986" s="412">
        <f t="shared" si="130"/>
        <v>0</v>
      </c>
      <c r="AD986" s="421"/>
      <c r="AE986" s="413"/>
      <c r="AF986" s="424">
        <f t="shared" si="131"/>
        <v>161280</v>
      </c>
      <c r="AG986" s="405" t="s">
        <v>1069</v>
      </c>
      <c r="AH986" s="405"/>
      <c r="AI986" s="414" t="s">
        <v>1962</v>
      </c>
      <c r="AJ986" s="405" t="s">
        <v>1969</v>
      </c>
      <c r="AK986" s="425" t="s">
        <v>1125</v>
      </c>
      <c r="AL986" s="405">
        <v>85008</v>
      </c>
      <c r="AM986" s="405" t="s">
        <v>52</v>
      </c>
      <c r="AN986" s="405" t="s">
        <v>1071</v>
      </c>
      <c r="AO986" s="405"/>
      <c r="AP986" s="417"/>
      <c r="AQ986" s="417" t="s">
        <v>37</v>
      </c>
      <c r="AR986" s="417"/>
      <c r="AS986" s="426"/>
      <c r="AT986" s="426"/>
      <c r="AU986" s="357"/>
      <c r="AV986" s="409"/>
    </row>
    <row r="987" spans="1:48" s="402" customFormat="1" ht="15" customHeight="1">
      <c r="A987" s="403"/>
      <c r="B987" s="445">
        <v>44557</v>
      </c>
      <c r="C987" s="403"/>
      <c r="D987" s="443" t="s">
        <v>1914</v>
      </c>
      <c r="E987" s="432" t="s">
        <v>2155</v>
      </c>
      <c r="F987" s="432"/>
      <c r="G987" s="432">
        <v>2022</v>
      </c>
      <c r="H987" s="432" t="s">
        <v>1498</v>
      </c>
      <c r="I987" s="443" t="s">
        <v>1498</v>
      </c>
      <c r="J987" s="433"/>
      <c r="K987" s="434" t="s">
        <v>3343</v>
      </c>
      <c r="L987" s="432" t="s">
        <v>1967</v>
      </c>
      <c r="M987" s="435">
        <v>44545</v>
      </c>
      <c r="N987" s="435">
        <v>44795</v>
      </c>
      <c r="O987" s="435"/>
      <c r="P987" s="349"/>
      <c r="Q987" s="433"/>
      <c r="R987" s="433"/>
      <c r="S987" s="432" t="s">
        <v>1443</v>
      </c>
      <c r="T987" s="432">
        <v>60</v>
      </c>
      <c r="U987" s="350">
        <v>49401140</v>
      </c>
      <c r="V987" s="432" t="s">
        <v>1970</v>
      </c>
      <c r="W987" s="432">
        <v>400</v>
      </c>
      <c r="X987" s="436">
        <v>768</v>
      </c>
      <c r="Y987" s="408">
        <f t="shared" si="128"/>
        <v>307200</v>
      </c>
      <c r="Z987" s="409">
        <v>0.52500000000000002</v>
      </c>
      <c r="AA987" s="423">
        <f t="shared" si="129"/>
        <v>161280</v>
      </c>
      <c r="AB987" s="411"/>
      <c r="AC987" s="412">
        <f t="shared" si="130"/>
        <v>0</v>
      </c>
      <c r="AD987" s="421"/>
      <c r="AE987" s="413"/>
      <c r="AF987" s="424">
        <f t="shared" si="131"/>
        <v>161280</v>
      </c>
      <c r="AG987" s="405" t="s">
        <v>1069</v>
      </c>
      <c r="AH987" s="405"/>
      <c r="AI987" s="414" t="s">
        <v>1962</v>
      </c>
      <c r="AJ987" s="405" t="s">
        <v>1969</v>
      </c>
      <c r="AK987" s="425" t="s">
        <v>1125</v>
      </c>
      <c r="AL987" s="405">
        <v>85008</v>
      </c>
      <c r="AM987" s="405" t="s">
        <v>52</v>
      </c>
      <c r="AN987" s="405" t="s">
        <v>1071</v>
      </c>
      <c r="AO987" s="405"/>
      <c r="AP987" s="417"/>
      <c r="AQ987" s="417" t="s">
        <v>37</v>
      </c>
      <c r="AR987" s="417"/>
      <c r="AS987" s="426"/>
      <c r="AT987" s="426"/>
      <c r="AU987" s="357"/>
      <c r="AV987" s="409"/>
    </row>
    <row r="988" spans="1:48" s="402" customFormat="1" ht="15" customHeight="1">
      <c r="A988" s="403"/>
      <c r="B988" s="445">
        <v>44557</v>
      </c>
      <c r="C988" s="403"/>
      <c r="D988" s="443" t="s">
        <v>1914</v>
      </c>
      <c r="E988" s="432" t="s">
        <v>2155</v>
      </c>
      <c r="F988" s="432"/>
      <c r="G988" s="432">
        <v>2022</v>
      </c>
      <c r="H988" s="432" t="s">
        <v>1498</v>
      </c>
      <c r="I988" s="443" t="s">
        <v>1498</v>
      </c>
      <c r="J988" s="433"/>
      <c r="K988" s="434" t="s">
        <v>3344</v>
      </c>
      <c r="L988" s="432" t="s">
        <v>1967</v>
      </c>
      <c r="M988" s="435">
        <v>44545</v>
      </c>
      <c r="N988" s="435">
        <v>44798</v>
      </c>
      <c r="O988" s="435"/>
      <c r="P988" s="349"/>
      <c r="Q988" s="433"/>
      <c r="R988" s="433"/>
      <c r="S988" s="432" t="s">
        <v>1443</v>
      </c>
      <c r="T988" s="432">
        <v>60</v>
      </c>
      <c r="U988" s="350">
        <v>49401140</v>
      </c>
      <c r="V988" s="432" t="s">
        <v>1970</v>
      </c>
      <c r="W988" s="432">
        <v>400</v>
      </c>
      <c r="X988" s="436">
        <v>768</v>
      </c>
      <c r="Y988" s="408">
        <f t="shared" si="128"/>
        <v>307200</v>
      </c>
      <c r="Z988" s="409">
        <v>0.52500000000000002</v>
      </c>
      <c r="AA988" s="423">
        <f t="shared" si="129"/>
        <v>161280</v>
      </c>
      <c r="AB988" s="411"/>
      <c r="AC988" s="412">
        <f t="shared" si="130"/>
        <v>0</v>
      </c>
      <c r="AD988" s="421"/>
      <c r="AE988" s="413"/>
      <c r="AF988" s="424">
        <f t="shared" si="131"/>
        <v>161280</v>
      </c>
      <c r="AG988" s="405" t="s">
        <v>1069</v>
      </c>
      <c r="AH988" s="405"/>
      <c r="AI988" s="414" t="s">
        <v>1962</v>
      </c>
      <c r="AJ988" s="405" t="s">
        <v>1969</v>
      </c>
      <c r="AK988" s="425" t="s">
        <v>1125</v>
      </c>
      <c r="AL988" s="405">
        <v>85008</v>
      </c>
      <c r="AM988" s="405" t="s">
        <v>52</v>
      </c>
      <c r="AN988" s="405" t="s">
        <v>1071</v>
      </c>
      <c r="AO988" s="405"/>
      <c r="AP988" s="417"/>
      <c r="AQ988" s="417" t="s">
        <v>37</v>
      </c>
      <c r="AR988" s="417"/>
      <c r="AS988" s="426"/>
      <c r="AT988" s="426"/>
      <c r="AU988" s="357"/>
      <c r="AV988" s="409"/>
    </row>
    <row r="989" spans="1:48" s="402" customFormat="1" ht="15" customHeight="1">
      <c r="A989" s="403"/>
      <c r="B989" s="445">
        <v>44557</v>
      </c>
      <c r="C989" s="403"/>
      <c r="D989" s="443" t="s">
        <v>1914</v>
      </c>
      <c r="E989" s="432" t="s">
        <v>2155</v>
      </c>
      <c r="F989" s="432"/>
      <c r="G989" s="432">
        <v>2022</v>
      </c>
      <c r="H989" s="432" t="s">
        <v>1498</v>
      </c>
      <c r="I989" s="443" t="s">
        <v>1498</v>
      </c>
      <c r="J989" s="433"/>
      <c r="K989" s="434" t="s">
        <v>3345</v>
      </c>
      <c r="L989" s="432" t="s">
        <v>1967</v>
      </c>
      <c r="M989" s="435">
        <v>44545</v>
      </c>
      <c r="N989" s="435">
        <v>44806</v>
      </c>
      <c r="O989" s="435"/>
      <c r="P989" s="349"/>
      <c r="Q989" s="433"/>
      <c r="R989" s="433"/>
      <c r="S989" s="432" t="s">
        <v>1443</v>
      </c>
      <c r="T989" s="432">
        <v>60</v>
      </c>
      <c r="U989" s="350">
        <v>49401140</v>
      </c>
      <c r="V989" s="432" t="s">
        <v>1970</v>
      </c>
      <c r="W989" s="432">
        <v>400</v>
      </c>
      <c r="X989" s="436">
        <v>768</v>
      </c>
      <c r="Y989" s="408">
        <f t="shared" si="128"/>
        <v>307200</v>
      </c>
      <c r="Z989" s="409">
        <v>0.52500000000000002</v>
      </c>
      <c r="AA989" s="423">
        <f t="shared" si="129"/>
        <v>161280</v>
      </c>
      <c r="AB989" s="411"/>
      <c r="AC989" s="412">
        <f t="shared" si="130"/>
        <v>0</v>
      </c>
      <c r="AD989" s="421"/>
      <c r="AE989" s="413"/>
      <c r="AF989" s="424">
        <f t="shared" si="131"/>
        <v>161280</v>
      </c>
      <c r="AG989" s="405" t="s">
        <v>1069</v>
      </c>
      <c r="AH989" s="405"/>
      <c r="AI989" s="414" t="s">
        <v>1962</v>
      </c>
      <c r="AJ989" s="405" t="s">
        <v>1969</v>
      </c>
      <c r="AK989" s="425" t="s">
        <v>1125</v>
      </c>
      <c r="AL989" s="405">
        <v>85008</v>
      </c>
      <c r="AM989" s="405" t="s">
        <v>52</v>
      </c>
      <c r="AN989" s="405" t="s">
        <v>1071</v>
      </c>
      <c r="AO989" s="405"/>
      <c r="AP989" s="417"/>
      <c r="AQ989" s="417" t="s">
        <v>37</v>
      </c>
      <c r="AR989" s="417"/>
      <c r="AS989" s="426"/>
      <c r="AT989" s="426"/>
      <c r="AU989" s="357"/>
      <c r="AV989" s="409"/>
    </row>
    <row r="990" spans="1:48" s="402" customFormat="1" ht="15" customHeight="1">
      <c r="A990" s="403"/>
      <c r="B990" s="445">
        <v>44557</v>
      </c>
      <c r="C990" s="403"/>
      <c r="D990" s="443" t="s">
        <v>1914</v>
      </c>
      <c r="E990" s="432" t="s">
        <v>2155</v>
      </c>
      <c r="F990" s="432"/>
      <c r="G990" s="432">
        <v>2022</v>
      </c>
      <c r="H990" s="432" t="s">
        <v>1498</v>
      </c>
      <c r="I990" s="443" t="s">
        <v>1498</v>
      </c>
      <c r="J990" s="433"/>
      <c r="K990" s="434" t="s">
        <v>3346</v>
      </c>
      <c r="L990" s="432" t="s">
        <v>1967</v>
      </c>
      <c r="M990" s="435">
        <v>44545</v>
      </c>
      <c r="N990" s="435">
        <v>44806</v>
      </c>
      <c r="O990" s="435"/>
      <c r="P990" s="349"/>
      <c r="Q990" s="433"/>
      <c r="R990" s="433"/>
      <c r="S990" s="432" t="s">
        <v>1443</v>
      </c>
      <c r="T990" s="432">
        <v>60</v>
      </c>
      <c r="U990" s="350">
        <v>49201132</v>
      </c>
      <c r="V990" s="432" t="s">
        <v>986</v>
      </c>
      <c r="W990" s="432">
        <v>360</v>
      </c>
      <c r="X990" s="436">
        <v>832</v>
      </c>
      <c r="Y990" s="408">
        <f t="shared" si="128"/>
        <v>299520</v>
      </c>
      <c r="Z990" s="409">
        <v>0.505</v>
      </c>
      <c r="AA990" s="423">
        <f t="shared" si="129"/>
        <v>151257.60000000001</v>
      </c>
      <c r="AB990" s="411"/>
      <c r="AC990" s="412">
        <f t="shared" si="130"/>
        <v>0</v>
      </c>
      <c r="AD990" s="421"/>
      <c r="AE990" s="413"/>
      <c r="AF990" s="424">
        <f t="shared" si="131"/>
        <v>151257.60000000001</v>
      </c>
      <c r="AG990" s="405" t="s">
        <v>1069</v>
      </c>
      <c r="AH990" s="405"/>
      <c r="AI990" s="414" t="s">
        <v>1962</v>
      </c>
      <c r="AJ990" s="405" t="s">
        <v>1969</v>
      </c>
      <c r="AK990" s="425" t="s">
        <v>1125</v>
      </c>
      <c r="AL990" s="405">
        <v>85008</v>
      </c>
      <c r="AM990" s="405" t="s">
        <v>52</v>
      </c>
      <c r="AN990" s="405" t="s">
        <v>1071</v>
      </c>
      <c r="AO990" s="405"/>
      <c r="AP990" s="417"/>
      <c r="AQ990" s="417" t="s">
        <v>37</v>
      </c>
      <c r="AR990" s="417"/>
      <c r="AS990" s="426"/>
      <c r="AT990" s="426"/>
      <c r="AU990" s="357"/>
      <c r="AV990" s="409"/>
    </row>
    <row r="991" spans="1:48" s="402" customFormat="1" ht="15" customHeight="1">
      <c r="A991" s="403"/>
      <c r="B991" s="445">
        <v>44557</v>
      </c>
      <c r="C991" s="403"/>
      <c r="D991" s="443" t="s">
        <v>1914</v>
      </c>
      <c r="E991" s="432" t="s">
        <v>2155</v>
      </c>
      <c r="F991" s="432"/>
      <c r="G991" s="432">
        <v>2022</v>
      </c>
      <c r="H991" s="432" t="s">
        <v>1498</v>
      </c>
      <c r="I991" s="443" t="s">
        <v>1498</v>
      </c>
      <c r="J991" s="433"/>
      <c r="K991" s="434" t="s">
        <v>3347</v>
      </c>
      <c r="L991" s="432" t="s">
        <v>1967</v>
      </c>
      <c r="M991" s="435">
        <v>44545</v>
      </c>
      <c r="N991" s="435">
        <v>44809</v>
      </c>
      <c r="O991" s="435"/>
      <c r="P991" s="349"/>
      <c r="Q991" s="433"/>
      <c r="R991" s="433"/>
      <c r="S991" s="432" t="s">
        <v>1443</v>
      </c>
      <c r="T991" s="432">
        <v>60</v>
      </c>
      <c r="U991" s="350">
        <v>49401140</v>
      </c>
      <c r="V991" s="432" t="s">
        <v>1970</v>
      </c>
      <c r="W991" s="432">
        <v>400</v>
      </c>
      <c r="X991" s="436">
        <v>768</v>
      </c>
      <c r="Y991" s="408">
        <f t="shared" si="128"/>
        <v>307200</v>
      </c>
      <c r="Z991" s="409">
        <v>0.52500000000000002</v>
      </c>
      <c r="AA991" s="423">
        <f t="shared" si="129"/>
        <v>161280</v>
      </c>
      <c r="AB991" s="411"/>
      <c r="AC991" s="412">
        <f t="shared" si="130"/>
        <v>0</v>
      </c>
      <c r="AD991" s="421"/>
      <c r="AE991" s="413"/>
      <c r="AF991" s="424">
        <f t="shared" si="131"/>
        <v>161280</v>
      </c>
      <c r="AG991" s="405" t="s">
        <v>1069</v>
      </c>
      <c r="AH991" s="405"/>
      <c r="AI991" s="414" t="s">
        <v>1962</v>
      </c>
      <c r="AJ991" s="405" t="s">
        <v>1969</v>
      </c>
      <c r="AK991" s="425" t="s">
        <v>1125</v>
      </c>
      <c r="AL991" s="405">
        <v>85008</v>
      </c>
      <c r="AM991" s="405" t="s">
        <v>52</v>
      </c>
      <c r="AN991" s="405" t="s">
        <v>1071</v>
      </c>
      <c r="AO991" s="405"/>
      <c r="AP991" s="417"/>
      <c r="AQ991" s="417" t="s">
        <v>37</v>
      </c>
      <c r="AR991" s="417"/>
      <c r="AS991" s="426"/>
      <c r="AT991" s="426"/>
      <c r="AU991" s="357"/>
      <c r="AV991" s="409"/>
    </row>
    <row r="992" spans="1:48" s="402" customFormat="1" ht="15" customHeight="1">
      <c r="A992" s="403"/>
      <c r="B992" s="445">
        <v>44557</v>
      </c>
      <c r="C992" s="403"/>
      <c r="D992" s="443" t="s">
        <v>1914</v>
      </c>
      <c r="E992" s="432" t="s">
        <v>2155</v>
      </c>
      <c r="F992" s="432"/>
      <c r="G992" s="432">
        <v>2022</v>
      </c>
      <c r="H992" s="432" t="s">
        <v>1498</v>
      </c>
      <c r="I992" s="443" t="s">
        <v>1498</v>
      </c>
      <c r="J992" s="433"/>
      <c r="K992" s="434" t="s">
        <v>3348</v>
      </c>
      <c r="L992" s="432" t="s">
        <v>1967</v>
      </c>
      <c r="M992" s="435">
        <v>44545</v>
      </c>
      <c r="N992" s="435">
        <v>44812</v>
      </c>
      <c r="O992" s="435"/>
      <c r="P992" s="349"/>
      <c r="Q992" s="433"/>
      <c r="R992" s="433"/>
      <c r="S992" s="432" t="s">
        <v>1443</v>
      </c>
      <c r="T992" s="432">
        <v>60</v>
      </c>
      <c r="U992" s="350">
        <v>49401140</v>
      </c>
      <c r="V992" s="432" t="s">
        <v>1970</v>
      </c>
      <c r="W992" s="432">
        <v>400</v>
      </c>
      <c r="X992" s="436">
        <v>768</v>
      </c>
      <c r="Y992" s="408">
        <f t="shared" si="128"/>
        <v>307200</v>
      </c>
      <c r="Z992" s="409">
        <v>0.52500000000000002</v>
      </c>
      <c r="AA992" s="423">
        <f t="shared" si="129"/>
        <v>161280</v>
      </c>
      <c r="AB992" s="411"/>
      <c r="AC992" s="412">
        <f t="shared" si="130"/>
        <v>0</v>
      </c>
      <c r="AD992" s="421"/>
      <c r="AE992" s="413"/>
      <c r="AF992" s="424">
        <f t="shared" si="131"/>
        <v>161280</v>
      </c>
      <c r="AG992" s="405" t="s">
        <v>1069</v>
      </c>
      <c r="AH992" s="405"/>
      <c r="AI992" s="414" t="s">
        <v>1962</v>
      </c>
      <c r="AJ992" s="405" t="s">
        <v>1969</v>
      </c>
      <c r="AK992" s="425" t="s">
        <v>1125</v>
      </c>
      <c r="AL992" s="405">
        <v>85008</v>
      </c>
      <c r="AM992" s="405" t="s">
        <v>52</v>
      </c>
      <c r="AN992" s="405" t="s">
        <v>1071</v>
      </c>
      <c r="AO992" s="405"/>
      <c r="AP992" s="417"/>
      <c r="AQ992" s="417" t="s">
        <v>37</v>
      </c>
      <c r="AR992" s="417"/>
      <c r="AS992" s="426"/>
      <c r="AT992" s="426"/>
      <c r="AU992" s="357"/>
      <c r="AV992" s="409"/>
    </row>
    <row r="993" spans="1:48" s="402" customFormat="1" ht="15" customHeight="1">
      <c r="A993" s="403"/>
      <c r="B993" s="445">
        <v>44557</v>
      </c>
      <c r="C993" s="403"/>
      <c r="D993" s="443" t="s">
        <v>1914</v>
      </c>
      <c r="E993" s="432" t="s">
        <v>2155</v>
      </c>
      <c r="F993" s="432"/>
      <c r="G993" s="432">
        <v>2022</v>
      </c>
      <c r="H993" s="432" t="s">
        <v>1498</v>
      </c>
      <c r="I993" s="443" t="s">
        <v>1498</v>
      </c>
      <c r="J993" s="433"/>
      <c r="K993" s="434" t="s">
        <v>3349</v>
      </c>
      <c r="L993" s="432" t="s">
        <v>1967</v>
      </c>
      <c r="M993" s="435">
        <v>44545</v>
      </c>
      <c r="N993" s="435">
        <v>44815</v>
      </c>
      <c r="O993" s="435"/>
      <c r="P993" s="349"/>
      <c r="Q993" s="433"/>
      <c r="R993" s="433"/>
      <c r="S993" s="432" t="s">
        <v>1443</v>
      </c>
      <c r="T993" s="432">
        <v>60</v>
      </c>
      <c r="U993" s="350">
        <v>49401140</v>
      </c>
      <c r="V993" s="432" t="s">
        <v>1970</v>
      </c>
      <c r="W993" s="432">
        <v>400</v>
      </c>
      <c r="X993" s="436">
        <v>768</v>
      </c>
      <c r="Y993" s="408">
        <f t="shared" si="128"/>
        <v>307200</v>
      </c>
      <c r="Z993" s="409">
        <v>0.52500000000000002</v>
      </c>
      <c r="AA993" s="423">
        <f t="shared" si="129"/>
        <v>161280</v>
      </c>
      <c r="AB993" s="411"/>
      <c r="AC993" s="412">
        <f t="shared" si="130"/>
        <v>0</v>
      </c>
      <c r="AD993" s="421"/>
      <c r="AE993" s="413"/>
      <c r="AF993" s="424">
        <f t="shared" si="131"/>
        <v>161280</v>
      </c>
      <c r="AG993" s="405" t="s">
        <v>1069</v>
      </c>
      <c r="AH993" s="405"/>
      <c r="AI993" s="414" t="s">
        <v>1962</v>
      </c>
      <c r="AJ993" s="405" t="s">
        <v>1969</v>
      </c>
      <c r="AK993" s="425" t="s">
        <v>1125</v>
      </c>
      <c r="AL993" s="405">
        <v>85008</v>
      </c>
      <c r="AM993" s="405" t="s">
        <v>52</v>
      </c>
      <c r="AN993" s="405" t="s">
        <v>1071</v>
      </c>
      <c r="AO993" s="405"/>
      <c r="AP993" s="417"/>
      <c r="AQ993" s="417" t="s">
        <v>37</v>
      </c>
      <c r="AR993" s="417"/>
      <c r="AS993" s="426"/>
      <c r="AT993" s="426"/>
      <c r="AU993" s="357"/>
      <c r="AV993" s="409"/>
    </row>
    <row r="994" spans="1:48" s="402" customFormat="1" ht="15" customHeight="1">
      <c r="A994" s="403"/>
      <c r="B994" s="445">
        <v>44557</v>
      </c>
      <c r="C994" s="403"/>
      <c r="D994" s="443" t="s">
        <v>1914</v>
      </c>
      <c r="E994" s="432" t="s">
        <v>2155</v>
      </c>
      <c r="F994" s="432"/>
      <c r="G994" s="432">
        <v>2022</v>
      </c>
      <c r="H994" s="432" t="s">
        <v>1498</v>
      </c>
      <c r="I994" s="443" t="s">
        <v>1498</v>
      </c>
      <c r="J994" s="433"/>
      <c r="K994" s="434" t="s">
        <v>3350</v>
      </c>
      <c r="L994" s="432" t="s">
        <v>1967</v>
      </c>
      <c r="M994" s="435">
        <v>44545</v>
      </c>
      <c r="N994" s="435">
        <v>44818</v>
      </c>
      <c r="O994" s="435"/>
      <c r="P994" s="349"/>
      <c r="Q994" s="433"/>
      <c r="R994" s="433"/>
      <c r="S994" s="432" t="s">
        <v>1443</v>
      </c>
      <c r="T994" s="432">
        <v>60</v>
      </c>
      <c r="U994" s="350">
        <v>49401140</v>
      </c>
      <c r="V994" s="432" t="s">
        <v>1970</v>
      </c>
      <c r="W994" s="432">
        <v>400</v>
      </c>
      <c r="X994" s="436">
        <v>768</v>
      </c>
      <c r="Y994" s="408">
        <f t="shared" si="128"/>
        <v>307200</v>
      </c>
      <c r="Z994" s="409">
        <v>0.52500000000000002</v>
      </c>
      <c r="AA994" s="423">
        <f t="shared" si="129"/>
        <v>161280</v>
      </c>
      <c r="AB994" s="411"/>
      <c r="AC994" s="412">
        <f t="shared" si="130"/>
        <v>0</v>
      </c>
      <c r="AD994" s="421"/>
      <c r="AE994" s="413"/>
      <c r="AF994" s="424">
        <f t="shared" si="131"/>
        <v>161280</v>
      </c>
      <c r="AG994" s="405" t="s">
        <v>1069</v>
      </c>
      <c r="AH994" s="405"/>
      <c r="AI994" s="414" t="s">
        <v>1962</v>
      </c>
      <c r="AJ994" s="405" t="s">
        <v>1969</v>
      </c>
      <c r="AK994" s="425" t="s">
        <v>1125</v>
      </c>
      <c r="AL994" s="405">
        <v>85008</v>
      </c>
      <c r="AM994" s="405" t="s">
        <v>52</v>
      </c>
      <c r="AN994" s="405" t="s">
        <v>1071</v>
      </c>
      <c r="AO994" s="405"/>
      <c r="AP994" s="417"/>
      <c r="AQ994" s="417" t="s">
        <v>37</v>
      </c>
      <c r="AR994" s="417"/>
      <c r="AS994" s="426"/>
      <c r="AT994" s="426"/>
      <c r="AU994" s="357"/>
      <c r="AV994" s="409"/>
    </row>
    <row r="995" spans="1:48" s="402" customFormat="1" ht="15" customHeight="1">
      <c r="A995" s="403"/>
      <c r="B995" s="445">
        <v>44557</v>
      </c>
      <c r="C995" s="403"/>
      <c r="D995" s="443" t="s">
        <v>1914</v>
      </c>
      <c r="E995" s="432" t="s">
        <v>2155</v>
      </c>
      <c r="F995" s="432"/>
      <c r="G995" s="432">
        <v>2022</v>
      </c>
      <c r="H995" s="432" t="s">
        <v>1498</v>
      </c>
      <c r="I995" s="443" t="s">
        <v>1498</v>
      </c>
      <c r="J995" s="433"/>
      <c r="K995" s="434" t="s">
        <v>3351</v>
      </c>
      <c r="L995" s="432" t="s">
        <v>1967</v>
      </c>
      <c r="M995" s="435">
        <v>44545</v>
      </c>
      <c r="N995" s="435">
        <v>44819</v>
      </c>
      <c r="O995" s="435"/>
      <c r="P995" s="349"/>
      <c r="Q995" s="433"/>
      <c r="R995" s="433"/>
      <c r="S995" s="432" t="s">
        <v>1443</v>
      </c>
      <c r="T995" s="432">
        <v>60</v>
      </c>
      <c r="U995" s="350">
        <v>49201132</v>
      </c>
      <c r="V995" s="432" t="s">
        <v>986</v>
      </c>
      <c r="W995" s="432">
        <v>360</v>
      </c>
      <c r="X995" s="436">
        <v>832</v>
      </c>
      <c r="Y995" s="408">
        <f t="shared" si="128"/>
        <v>299520</v>
      </c>
      <c r="Z995" s="409">
        <v>0.505</v>
      </c>
      <c r="AA995" s="423">
        <f t="shared" si="129"/>
        <v>151257.60000000001</v>
      </c>
      <c r="AB995" s="411"/>
      <c r="AC995" s="412">
        <f t="shared" si="130"/>
        <v>0</v>
      </c>
      <c r="AD995" s="421"/>
      <c r="AE995" s="413"/>
      <c r="AF995" s="424">
        <f t="shared" si="131"/>
        <v>151257.60000000001</v>
      </c>
      <c r="AG995" s="405" t="s">
        <v>1069</v>
      </c>
      <c r="AH995" s="405"/>
      <c r="AI995" s="414" t="s">
        <v>1962</v>
      </c>
      <c r="AJ995" s="405" t="s">
        <v>1969</v>
      </c>
      <c r="AK995" s="425" t="s">
        <v>1125</v>
      </c>
      <c r="AL995" s="405">
        <v>85008</v>
      </c>
      <c r="AM995" s="405" t="s">
        <v>52</v>
      </c>
      <c r="AN995" s="405" t="s">
        <v>1071</v>
      </c>
      <c r="AO995" s="405"/>
      <c r="AP995" s="417"/>
      <c r="AQ995" s="417" t="s">
        <v>37</v>
      </c>
      <c r="AR995" s="417"/>
      <c r="AS995" s="426"/>
      <c r="AT995" s="426"/>
      <c r="AU995" s="357"/>
      <c r="AV995" s="409"/>
    </row>
    <row r="996" spans="1:48" s="402" customFormat="1" ht="15" customHeight="1">
      <c r="A996" s="403"/>
      <c r="B996" s="445">
        <v>44557</v>
      </c>
      <c r="C996" s="403"/>
      <c r="D996" s="443" t="s">
        <v>1914</v>
      </c>
      <c r="E996" s="432" t="s">
        <v>2155</v>
      </c>
      <c r="F996" s="432"/>
      <c r="G996" s="432">
        <v>2022</v>
      </c>
      <c r="H996" s="432" t="s">
        <v>1498</v>
      </c>
      <c r="I996" s="443" t="s">
        <v>1498</v>
      </c>
      <c r="J996" s="433"/>
      <c r="K996" s="434" t="s">
        <v>3352</v>
      </c>
      <c r="L996" s="432" t="s">
        <v>1967</v>
      </c>
      <c r="M996" s="435">
        <v>44545</v>
      </c>
      <c r="N996" s="435">
        <v>44823</v>
      </c>
      <c r="O996" s="435"/>
      <c r="P996" s="349"/>
      <c r="Q996" s="433"/>
      <c r="R996" s="433"/>
      <c r="S996" s="432" t="s">
        <v>1443</v>
      </c>
      <c r="T996" s="432">
        <v>60</v>
      </c>
      <c r="U996" s="350">
        <v>49401140</v>
      </c>
      <c r="V996" s="432" t="s">
        <v>1970</v>
      </c>
      <c r="W996" s="432">
        <v>400</v>
      </c>
      <c r="X996" s="436">
        <v>768</v>
      </c>
      <c r="Y996" s="408">
        <f t="shared" si="128"/>
        <v>307200</v>
      </c>
      <c r="Z996" s="409">
        <v>0.52500000000000002</v>
      </c>
      <c r="AA996" s="423">
        <f t="shared" si="129"/>
        <v>161280</v>
      </c>
      <c r="AB996" s="411"/>
      <c r="AC996" s="412">
        <f t="shared" si="130"/>
        <v>0</v>
      </c>
      <c r="AD996" s="421"/>
      <c r="AE996" s="413"/>
      <c r="AF996" s="424">
        <f t="shared" si="131"/>
        <v>161280</v>
      </c>
      <c r="AG996" s="405" t="s">
        <v>1069</v>
      </c>
      <c r="AH996" s="405"/>
      <c r="AI996" s="414" t="s">
        <v>1962</v>
      </c>
      <c r="AJ996" s="405" t="s">
        <v>1969</v>
      </c>
      <c r="AK996" s="425" t="s">
        <v>1125</v>
      </c>
      <c r="AL996" s="405">
        <v>85008</v>
      </c>
      <c r="AM996" s="405" t="s">
        <v>52</v>
      </c>
      <c r="AN996" s="405" t="s">
        <v>1071</v>
      </c>
      <c r="AO996" s="405"/>
      <c r="AP996" s="417"/>
      <c r="AQ996" s="417" t="s">
        <v>37</v>
      </c>
      <c r="AR996" s="417"/>
      <c r="AS996" s="426"/>
      <c r="AT996" s="426"/>
      <c r="AU996" s="357"/>
      <c r="AV996" s="409"/>
    </row>
    <row r="997" spans="1:48" s="402" customFormat="1" ht="15" customHeight="1">
      <c r="A997" s="403"/>
      <c r="B997" s="445">
        <v>44557</v>
      </c>
      <c r="C997" s="403"/>
      <c r="D997" s="443" t="s">
        <v>1914</v>
      </c>
      <c r="E997" s="432" t="s">
        <v>2155</v>
      </c>
      <c r="F997" s="432"/>
      <c r="G997" s="432">
        <v>2022</v>
      </c>
      <c r="H997" s="432" t="s">
        <v>1498</v>
      </c>
      <c r="I997" s="443" t="s">
        <v>1498</v>
      </c>
      <c r="J997" s="433"/>
      <c r="K997" s="434" t="s">
        <v>3353</v>
      </c>
      <c r="L997" s="432" t="s">
        <v>1967</v>
      </c>
      <c r="M997" s="435">
        <v>44545</v>
      </c>
      <c r="N997" s="435">
        <v>44824</v>
      </c>
      <c r="O997" s="435"/>
      <c r="P997" s="349"/>
      <c r="Q997" s="433"/>
      <c r="R997" s="433"/>
      <c r="S997" s="432" t="s">
        <v>1443</v>
      </c>
      <c r="T997" s="432">
        <v>60</v>
      </c>
      <c r="U997" s="350">
        <v>49401140</v>
      </c>
      <c r="V997" s="432" t="s">
        <v>1970</v>
      </c>
      <c r="W997" s="432">
        <v>400</v>
      </c>
      <c r="X997" s="436">
        <v>768</v>
      </c>
      <c r="Y997" s="408">
        <f t="shared" si="128"/>
        <v>307200</v>
      </c>
      <c r="Z997" s="409">
        <v>0.52500000000000002</v>
      </c>
      <c r="AA997" s="423">
        <f t="shared" si="129"/>
        <v>161280</v>
      </c>
      <c r="AB997" s="411"/>
      <c r="AC997" s="412">
        <f t="shared" si="130"/>
        <v>0</v>
      </c>
      <c r="AD997" s="421"/>
      <c r="AE997" s="413"/>
      <c r="AF997" s="424">
        <f t="shared" si="131"/>
        <v>161280</v>
      </c>
      <c r="AG997" s="405" t="s">
        <v>1069</v>
      </c>
      <c r="AH997" s="405"/>
      <c r="AI997" s="414" t="s">
        <v>1962</v>
      </c>
      <c r="AJ997" s="405" t="s">
        <v>1969</v>
      </c>
      <c r="AK997" s="425" t="s">
        <v>1125</v>
      </c>
      <c r="AL997" s="405">
        <v>85008</v>
      </c>
      <c r="AM997" s="405" t="s">
        <v>52</v>
      </c>
      <c r="AN997" s="405" t="s">
        <v>1071</v>
      </c>
      <c r="AO997" s="405"/>
      <c r="AP997" s="417"/>
      <c r="AQ997" s="417" t="s">
        <v>37</v>
      </c>
      <c r="AR997" s="417"/>
      <c r="AS997" s="426"/>
      <c r="AT997" s="426"/>
      <c r="AU997" s="357"/>
      <c r="AV997" s="409"/>
    </row>
    <row r="998" spans="1:48" s="402" customFormat="1" ht="15" customHeight="1">
      <c r="A998" s="403"/>
      <c r="B998" s="445">
        <v>44557</v>
      </c>
      <c r="C998" s="403"/>
      <c r="D998" s="443" t="s">
        <v>1914</v>
      </c>
      <c r="E998" s="432" t="s">
        <v>2155</v>
      </c>
      <c r="F998" s="432"/>
      <c r="G998" s="432">
        <v>2022</v>
      </c>
      <c r="H998" s="432" t="s">
        <v>1498</v>
      </c>
      <c r="I998" s="443" t="s">
        <v>1498</v>
      </c>
      <c r="J998" s="433"/>
      <c r="K998" s="434" t="s">
        <v>3354</v>
      </c>
      <c r="L998" s="432" t="s">
        <v>1967</v>
      </c>
      <c r="M998" s="435">
        <v>44545</v>
      </c>
      <c r="N998" s="435">
        <v>44826</v>
      </c>
      <c r="O998" s="435"/>
      <c r="P998" s="349"/>
      <c r="Q998" s="433"/>
      <c r="R998" s="433"/>
      <c r="S998" s="432" t="s">
        <v>1443</v>
      </c>
      <c r="T998" s="432">
        <v>60</v>
      </c>
      <c r="U998" s="350">
        <v>49401140</v>
      </c>
      <c r="V998" s="432" t="s">
        <v>1970</v>
      </c>
      <c r="W998" s="432">
        <v>400</v>
      </c>
      <c r="X998" s="436">
        <v>768</v>
      </c>
      <c r="Y998" s="408">
        <f t="shared" si="128"/>
        <v>307200</v>
      </c>
      <c r="Z998" s="409">
        <v>0.52500000000000002</v>
      </c>
      <c r="AA998" s="423">
        <f t="shared" si="129"/>
        <v>161280</v>
      </c>
      <c r="AB998" s="411"/>
      <c r="AC998" s="412">
        <f t="shared" si="130"/>
        <v>0</v>
      </c>
      <c r="AD998" s="421"/>
      <c r="AE998" s="413"/>
      <c r="AF998" s="424">
        <f t="shared" si="131"/>
        <v>161280</v>
      </c>
      <c r="AG998" s="405" t="s">
        <v>1069</v>
      </c>
      <c r="AH998" s="405"/>
      <c r="AI998" s="414" t="s">
        <v>1962</v>
      </c>
      <c r="AJ998" s="405" t="s">
        <v>1969</v>
      </c>
      <c r="AK998" s="425" t="s">
        <v>1125</v>
      </c>
      <c r="AL998" s="405">
        <v>85008</v>
      </c>
      <c r="AM998" s="405" t="s">
        <v>52</v>
      </c>
      <c r="AN998" s="405" t="s">
        <v>1071</v>
      </c>
      <c r="AO998" s="405"/>
      <c r="AP998" s="417"/>
      <c r="AQ998" s="417" t="s">
        <v>37</v>
      </c>
      <c r="AR998" s="417"/>
      <c r="AS998" s="426"/>
      <c r="AT998" s="426"/>
      <c r="AU998" s="357"/>
      <c r="AV998" s="409"/>
    </row>
    <row r="999" spans="1:48" s="402" customFormat="1" ht="15" customHeight="1">
      <c r="A999" s="403"/>
      <c r="B999" s="445">
        <v>44557</v>
      </c>
      <c r="C999" s="403"/>
      <c r="D999" s="443" t="s">
        <v>1914</v>
      </c>
      <c r="E999" s="432" t="s">
        <v>2155</v>
      </c>
      <c r="F999" s="432"/>
      <c r="G999" s="432">
        <v>2022</v>
      </c>
      <c r="H999" s="432" t="s">
        <v>1498</v>
      </c>
      <c r="I999" s="443" t="s">
        <v>1498</v>
      </c>
      <c r="J999" s="433"/>
      <c r="K999" s="434" t="s">
        <v>3355</v>
      </c>
      <c r="L999" s="432" t="s">
        <v>1967</v>
      </c>
      <c r="M999" s="435">
        <v>44545</v>
      </c>
      <c r="N999" s="435">
        <v>44835</v>
      </c>
      <c r="O999" s="435"/>
      <c r="P999" s="349"/>
      <c r="Q999" s="433"/>
      <c r="R999" s="433"/>
      <c r="S999" s="432" t="s">
        <v>1443</v>
      </c>
      <c r="T999" s="432">
        <v>60</v>
      </c>
      <c r="U999" s="350">
        <v>49401140</v>
      </c>
      <c r="V999" s="432" t="s">
        <v>1970</v>
      </c>
      <c r="W999" s="432">
        <v>400</v>
      </c>
      <c r="X999" s="436">
        <v>768</v>
      </c>
      <c r="Y999" s="408">
        <f t="shared" si="128"/>
        <v>307200</v>
      </c>
      <c r="Z999" s="409">
        <v>0.52500000000000002</v>
      </c>
      <c r="AA999" s="423">
        <f t="shared" si="129"/>
        <v>161280</v>
      </c>
      <c r="AB999" s="411"/>
      <c r="AC999" s="412">
        <f t="shared" si="130"/>
        <v>0</v>
      </c>
      <c r="AD999" s="421"/>
      <c r="AE999" s="413"/>
      <c r="AF999" s="424">
        <f t="shared" si="131"/>
        <v>161280</v>
      </c>
      <c r="AG999" s="405" t="s">
        <v>1069</v>
      </c>
      <c r="AH999" s="405"/>
      <c r="AI999" s="414" t="s">
        <v>1962</v>
      </c>
      <c r="AJ999" s="405" t="s">
        <v>1969</v>
      </c>
      <c r="AK999" s="425" t="s">
        <v>1125</v>
      </c>
      <c r="AL999" s="405">
        <v>85008</v>
      </c>
      <c r="AM999" s="405" t="s">
        <v>52</v>
      </c>
      <c r="AN999" s="405" t="s">
        <v>1071</v>
      </c>
      <c r="AO999" s="405"/>
      <c r="AP999" s="417"/>
      <c r="AQ999" s="417" t="s">
        <v>37</v>
      </c>
      <c r="AR999" s="417"/>
      <c r="AS999" s="426"/>
      <c r="AT999" s="426"/>
      <c r="AU999" s="357"/>
      <c r="AV999" s="409"/>
    </row>
    <row r="1000" spans="1:48" s="402" customFormat="1" ht="15" customHeight="1">
      <c r="A1000" s="403"/>
      <c r="B1000" s="445">
        <v>44557</v>
      </c>
      <c r="C1000" s="403"/>
      <c r="D1000" s="443" t="s">
        <v>1914</v>
      </c>
      <c r="E1000" s="432" t="s">
        <v>2155</v>
      </c>
      <c r="F1000" s="432"/>
      <c r="G1000" s="432">
        <v>2022</v>
      </c>
      <c r="H1000" s="432" t="s">
        <v>1498</v>
      </c>
      <c r="I1000" s="443" t="s">
        <v>1498</v>
      </c>
      <c r="J1000" s="433"/>
      <c r="K1000" s="434" t="s">
        <v>3356</v>
      </c>
      <c r="L1000" s="432" t="s">
        <v>1967</v>
      </c>
      <c r="M1000" s="435">
        <v>44545</v>
      </c>
      <c r="N1000" s="435">
        <v>44835</v>
      </c>
      <c r="O1000" s="435"/>
      <c r="P1000" s="349"/>
      <c r="Q1000" s="433"/>
      <c r="R1000" s="433"/>
      <c r="S1000" s="432" t="s">
        <v>1443</v>
      </c>
      <c r="T1000" s="432">
        <v>60</v>
      </c>
      <c r="U1000" s="350">
        <v>49201132</v>
      </c>
      <c r="V1000" s="432" t="s">
        <v>986</v>
      </c>
      <c r="W1000" s="432">
        <v>360</v>
      </c>
      <c r="X1000" s="436">
        <v>832</v>
      </c>
      <c r="Y1000" s="408">
        <f t="shared" si="128"/>
        <v>299520</v>
      </c>
      <c r="Z1000" s="409">
        <v>0.505</v>
      </c>
      <c r="AA1000" s="423">
        <f t="shared" si="129"/>
        <v>151257.60000000001</v>
      </c>
      <c r="AB1000" s="411"/>
      <c r="AC1000" s="412">
        <f t="shared" si="130"/>
        <v>0</v>
      </c>
      <c r="AD1000" s="421"/>
      <c r="AE1000" s="413"/>
      <c r="AF1000" s="424">
        <f t="shared" si="131"/>
        <v>151257.60000000001</v>
      </c>
      <c r="AG1000" s="405" t="s">
        <v>1069</v>
      </c>
      <c r="AH1000" s="405"/>
      <c r="AI1000" s="414" t="s">
        <v>1962</v>
      </c>
      <c r="AJ1000" s="405" t="s">
        <v>1969</v>
      </c>
      <c r="AK1000" s="425" t="s">
        <v>1125</v>
      </c>
      <c r="AL1000" s="405">
        <v>85008</v>
      </c>
      <c r="AM1000" s="405" t="s">
        <v>52</v>
      </c>
      <c r="AN1000" s="405" t="s">
        <v>1071</v>
      </c>
      <c r="AO1000" s="405"/>
      <c r="AP1000" s="417"/>
      <c r="AQ1000" s="417" t="s">
        <v>37</v>
      </c>
      <c r="AR1000" s="417"/>
      <c r="AS1000" s="426"/>
      <c r="AT1000" s="426"/>
      <c r="AU1000" s="357"/>
      <c r="AV1000" s="409"/>
    </row>
    <row r="1001" spans="1:48" s="402" customFormat="1" ht="15" customHeight="1">
      <c r="A1001" s="403"/>
      <c r="B1001" s="445">
        <v>44557</v>
      </c>
      <c r="C1001" s="403"/>
      <c r="D1001" s="443" t="s">
        <v>1914</v>
      </c>
      <c r="E1001" s="432" t="s">
        <v>2155</v>
      </c>
      <c r="F1001" s="432"/>
      <c r="G1001" s="432">
        <v>2022</v>
      </c>
      <c r="H1001" s="432" t="s">
        <v>1498</v>
      </c>
      <c r="I1001" s="443" t="s">
        <v>1498</v>
      </c>
      <c r="J1001" s="433"/>
      <c r="K1001" s="434" t="s">
        <v>3357</v>
      </c>
      <c r="L1001" s="432" t="s">
        <v>1967</v>
      </c>
      <c r="M1001" s="435">
        <v>44545</v>
      </c>
      <c r="N1001" s="435">
        <v>44837</v>
      </c>
      <c r="O1001" s="435"/>
      <c r="P1001" s="349"/>
      <c r="Q1001" s="433"/>
      <c r="R1001" s="433"/>
      <c r="S1001" s="432" t="s">
        <v>1443</v>
      </c>
      <c r="T1001" s="432">
        <v>60</v>
      </c>
      <c r="U1001" s="350">
        <v>49401140</v>
      </c>
      <c r="V1001" s="432" t="s">
        <v>1970</v>
      </c>
      <c r="W1001" s="432">
        <v>400</v>
      </c>
      <c r="X1001" s="436">
        <v>768</v>
      </c>
      <c r="Y1001" s="408">
        <f t="shared" si="128"/>
        <v>307200</v>
      </c>
      <c r="Z1001" s="409">
        <v>0.52500000000000002</v>
      </c>
      <c r="AA1001" s="423">
        <f t="shared" si="129"/>
        <v>161280</v>
      </c>
      <c r="AB1001" s="411"/>
      <c r="AC1001" s="412">
        <f t="shared" si="130"/>
        <v>0</v>
      </c>
      <c r="AD1001" s="421"/>
      <c r="AE1001" s="413"/>
      <c r="AF1001" s="424">
        <f t="shared" si="131"/>
        <v>161280</v>
      </c>
      <c r="AG1001" s="405" t="s">
        <v>1069</v>
      </c>
      <c r="AH1001" s="405"/>
      <c r="AI1001" s="414" t="s">
        <v>1962</v>
      </c>
      <c r="AJ1001" s="405" t="s">
        <v>1969</v>
      </c>
      <c r="AK1001" s="425" t="s">
        <v>1125</v>
      </c>
      <c r="AL1001" s="405">
        <v>85008</v>
      </c>
      <c r="AM1001" s="405" t="s">
        <v>52</v>
      </c>
      <c r="AN1001" s="405" t="s">
        <v>1071</v>
      </c>
      <c r="AO1001" s="405"/>
      <c r="AP1001" s="417"/>
      <c r="AQ1001" s="417" t="s">
        <v>37</v>
      </c>
      <c r="AR1001" s="417"/>
      <c r="AS1001" s="426"/>
      <c r="AT1001" s="426"/>
      <c r="AU1001" s="357"/>
      <c r="AV1001" s="409"/>
    </row>
    <row r="1002" spans="1:48" s="402" customFormat="1" ht="15" customHeight="1">
      <c r="A1002" s="403"/>
      <c r="B1002" s="445">
        <v>44557</v>
      </c>
      <c r="C1002" s="403"/>
      <c r="D1002" s="443" t="s">
        <v>1914</v>
      </c>
      <c r="E1002" s="432" t="s">
        <v>2155</v>
      </c>
      <c r="F1002" s="432"/>
      <c r="G1002" s="432">
        <v>2022</v>
      </c>
      <c r="H1002" s="432" t="s">
        <v>1498</v>
      </c>
      <c r="I1002" s="443" t="s">
        <v>1498</v>
      </c>
      <c r="J1002" s="433"/>
      <c r="K1002" s="434" t="s">
        <v>3358</v>
      </c>
      <c r="L1002" s="432" t="s">
        <v>1967</v>
      </c>
      <c r="M1002" s="435">
        <v>44545</v>
      </c>
      <c r="N1002" s="435">
        <v>44839</v>
      </c>
      <c r="O1002" s="435"/>
      <c r="P1002" s="349"/>
      <c r="Q1002" s="433"/>
      <c r="R1002" s="433"/>
      <c r="S1002" s="432" t="s">
        <v>1443</v>
      </c>
      <c r="T1002" s="432">
        <v>60</v>
      </c>
      <c r="U1002" s="350">
        <v>49401140</v>
      </c>
      <c r="V1002" s="432" t="s">
        <v>1970</v>
      </c>
      <c r="W1002" s="432">
        <v>400</v>
      </c>
      <c r="X1002" s="436">
        <v>768</v>
      </c>
      <c r="Y1002" s="408">
        <f t="shared" si="128"/>
        <v>307200</v>
      </c>
      <c r="Z1002" s="409">
        <v>0.52500000000000002</v>
      </c>
      <c r="AA1002" s="423">
        <f t="shared" si="129"/>
        <v>161280</v>
      </c>
      <c r="AB1002" s="411"/>
      <c r="AC1002" s="412">
        <f t="shared" si="130"/>
        <v>0</v>
      </c>
      <c r="AD1002" s="421"/>
      <c r="AE1002" s="413"/>
      <c r="AF1002" s="424">
        <f t="shared" si="131"/>
        <v>161280</v>
      </c>
      <c r="AG1002" s="405" t="s">
        <v>1069</v>
      </c>
      <c r="AH1002" s="405"/>
      <c r="AI1002" s="414" t="s">
        <v>1962</v>
      </c>
      <c r="AJ1002" s="405" t="s">
        <v>1969</v>
      </c>
      <c r="AK1002" s="425" t="s">
        <v>1125</v>
      </c>
      <c r="AL1002" s="405">
        <v>85008</v>
      </c>
      <c r="AM1002" s="405" t="s">
        <v>52</v>
      </c>
      <c r="AN1002" s="405" t="s">
        <v>1071</v>
      </c>
      <c r="AO1002" s="405"/>
      <c r="AP1002" s="417"/>
      <c r="AQ1002" s="417" t="s">
        <v>37</v>
      </c>
      <c r="AR1002" s="417"/>
      <c r="AS1002" s="426"/>
      <c r="AT1002" s="426"/>
      <c r="AU1002" s="357"/>
      <c r="AV1002" s="409"/>
    </row>
    <row r="1003" spans="1:48" s="402" customFormat="1" ht="15" customHeight="1">
      <c r="A1003" s="403"/>
      <c r="B1003" s="445">
        <v>44557</v>
      </c>
      <c r="C1003" s="403"/>
      <c r="D1003" s="443" t="s">
        <v>1914</v>
      </c>
      <c r="E1003" s="432" t="s">
        <v>2155</v>
      </c>
      <c r="F1003" s="432"/>
      <c r="G1003" s="432">
        <v>2022</v>
      </c>
      <c r="H1003" s="432" t="s">
        <v>1498</v>
      </c>
      <c r="I1003" s="443" t="s">
        <v>1498</v>
      </c>
      <c r="J1003" s="433"/>
      <c r="K1003" s="434" t="s">
        <v>3359</v>
      </c>
      <c r="L1003" s="432" t="s">
        <v>1967</v>
      </c>
      <c r="M1003" s="435">
        <v>44545</v>
      </c>
      <c r="N1003" s="435">
        <v>44842</v>
      </c>
      <c r="O1003" s="435"/>
      <c r="P1003" s="349"/>
      <c r="Q1003" s="433"/>
      <c r="R1003" s="433"/>
      <c r="S1003" s="432" t="s">
        <v>1443</v>
      </c>
      <c r="T1003" s="432">
        <v>60</v>
      </c>
      <c r="U1003" s="350">
        <v>49401140</v>
      </c>
      <c r="V1003" s="432" t="s">
        <v>1970</v>
      </c>
      <c r="W1003" s="432">
        <v>400</v>
      </c>
      <c r="X1003" s="436">
        <v>768</v>
      </c>
      <c r="Y1003" s="408">
        <f t="shared" si="128"/>
        <v>307200</v>
      </c>
      <c r="Z1003" s="409">
        <v>0.52500000000000002</v>
      </c>
      <c r="AA1003" s="423">
        <f t="shared" si="129"/>
        <v>161280</v>
      </c>
      <c r="AB1003" s="411"/>
      <c r="AC1003" s="412">
        <f t="shared" si="130"/>
        <v>0</v>
      </c>
      <c r="AD1003" s="421"/>
      <c r="AE1003" s="413"/>
      <c r="AF1003" s="424">
        <f t="shared" si="131"/>
        <v>161280</v>
      </c>
      <c r="AG1003" s="405" t="s">
        <v>1069</v>
      </c>
      <c r="AH1003" s="405"/>
      <c r="AI1003" s="414" t="s">
        <v>1962</v>
      </c>
      <c r="AJ1003" s="405" t="s">
        <v>1969</v>
      </c>
      <c r="AK1003" s="425" t="s">
        <v>1125</v>
      </c>
      <c r="AL1003" s="405">
        <v>85008</v>
      </c>
      <c r="AM1003" s="405" t="s">
        <v>52</v>
      </c>
      <c r="AN1003" s="405" t="s">
        <v>1071</v>
      </c>
      <c r="AO1003" s="405"/>
      <c r="AP1003" s="417"/>
      <c r="AQ1003" s="417" t="s">
        <v>37</v>
      </c>
      <c r="AR1003" s="417"/>
      <c r="AS1003" s="426"/>
      <c r="AT1003" s="426"/>
      <c r="AU1003" s="357"/>
      <c r="AV1003" s="409"/>
    </row>
    <row r="1004" spans="1:48" s="402" customFormat="1" ht="15" customHeight="1">
      <c r="A1004" s="403"/>
      <c r="B1004" s="445">
        <v>44557</v>
      </c>
      <c r="C1004" s="403"/>
      <c r="D1004" s="443" t="s">
        <v>1914</v>
      </c>
      <c r="E1004" s="432" t="s">
        <v>2155</v>
      </c>
      <c r="F1004" s="432"/>
      <c r="G1004" s="432">
        <v>2022</v>
      </c>
      <c r="H1004" s="432" t="s">
        <v>1498</v>
      </c>
      <c r="I1004" s="443" t="s">
        <v>1498</v>
      </c>
      <c r="J1004" s="433"/>
      <c r="K1004" s="434" t="s">
        <v>3360</v>
      </c>
      <c r="L1004" s="432" t="s">
        <v>1967</v>
      </c>
      <c r="M1004" s="435">
        <v>44545</v>
      </c>
      <c r="N1004" s="435">
        <v>44845</v>
      </c>
      <c r="O1004" s="435"/>
      <c r="P1004" s="349"/>
      <c r="Q1004" s="433"/>
      <c r="R1004" s="433"/>
      <c r="S1004" s="432" t="s">
        <v>1443</v>
      </c>
      <c r="T1004" s="432">
        <v>60</v>
      </c>
      <c r="U1004" s="350">
        <v>49401140</v>
      </c>
      <c r="V1004" s="432" t="s">
        <v>1970</v>
      </c>
      <c r="W1004" s="432">
        <v>400</v>
      </c>
      <c r="X1004" s="436">
        <v>768</v>
      </c>
      <c r="Y1004" s="408">
        <f t="shared" si="128"/>
        <v>307200</v>
      </c>
      <c r="Z1004" s="409">
        <v>0.52500000000000002</v>
      </c>
      <c r="AA1004" s="423">
        <f t="shared" si="129"/>
        <v>161280</v>
      </c>
      <c r="AB1004" s="411"/>
      <c r="AC1004" s="412">
        <f t="shared" si="130"/>
        <v>0</v>
      </c>
      <c r="AD1004" s="421"/>
      <c r="AE1004" s="413"/>
      <c r="AF1004" s="424">
        <f t="shared" si="131"/>
        <v>161280</v>
      </c>
      <c r="AG1004" s="405" t="s">
        <v>1069</v>
      </c>
      <c r="AH1004" s="405"/>
      <c r="AI1004" s="414" t="s">
        <v>1962</v>
      </c>
      <c r="AJ1004" s="405" t="s">
        <v>1969</v>
      </c>
      <c r="AK1004" s="425" t="s">
        <v>1125</v>
      </c>
      <c r="AL1004" s="405">
        <v>85008</v>
      </c>
      <c r="AM1004" s="405" t="s">
        <v>52</v>
      </c>
      <c r="AN1004" s="405" t="s">
        <v>1071</v>
      </c>
      <c r="AO1004" s="405"/>
      <c r="AP1004" s="417"/>
      <c r="AQ1004" s="417" t="s">
        <v>37</v>
      </c>
      <c r="AR1004" s="417"/>
      <c r="AS1004" s="426"/>
      <c r="AT1004" s="426"/>
      <c r="AU1004" s="357"/>
      <c r="AV1004" s="409"/>
    </row>
    <row r="1005" spans="1:48" s="402" customFormat="1" ht="15" customHeight="1">
      <c r="A1005" s="403"/>
      <c r="B1005" s="445">
        <v>44557</v>
      </c>
      <c r="C1005" s="403"/>
      <c r="D1005" s="443" t="s">
        <v>1914</v>
      </c>
      <c r="E1005" s="432" t="s">
        <v>2155</v>
      </c>
      <c r="F1005" s="432"/>
      <c r="G1005" s="432">
        <v>2022</v>
      </c>
      <c r="H1005" s="432" t="s">
        <v>1498</v>
      </c>
      <c r="I1005" s="443" t="s">
        <v>1498</v>
      </c>
      <c r="J1005" s="433"/>
      <c r="K1005" s="434" t="s">
        <v>3361</v>
      </c>
      <c r="L1005" s="432" t="s">
        <v>1967</v>
      </c>
      <c r="M1005" s="435">
        <v>44545</v>
      </c>
      <c r="N1005" s="435">
        <v>44847</v>
      </c>
      <c r="O1005" s="435"/>
      <c r="P1005" s="349"/>
      <c r="Q1005" s="433"/>
      <c r="R1005" s="433"/>
      <c r="S1005" s="432" t="s">
        <v>1443</v>
      </c>
      <c r="T1005" s="432">
        <v>60</v>
      </c>
      <c r="U1005" s="350">
        <v>49201132</v>
      </c>
      <c r="V1005" s="432" t="s">
        <v>986</v>
      </c>
      <c r="W1005" s="432">
        <v>360</v>
      </c>
      <c r="X1005" s="436">
        <v>832</v>
      </c>
      <c r="Y1005" s="408">
        <f t="shared" si="128"/>
        <v>299520</v>
      </c>
      <c r="Z1005" s="409">
        <v>0.505</v>
      </c>
      <c r="AA1005" s="423">
        <f t="shared" si="129"/>
        <v>151257.60000000001</v>
      </c>
      <c r="AB1005" s="411"/>
      <c r="AC1005" s="412">
        <f t="shared" si="130"/>
        <v>0</v>
      </c>
      <c r="AD1005" s="421"/>
      <c r="AE1005" s="413"/>
      <c r="AF1005" s="424">
        <f t="shared" si="131"/>
        <v>151257.60000000001</v>
      </c>
      <c r="AG1005" s="405" t="s">
        <v>1069</v>
      </c>
      <c r="AH1005" s="405"/>
      <c r="AI1005" s="414" t="s">
        <v>1962</v>
      </c>
      <c r="AJ1005" s="405" t="s">
        <v>1969</v>
      </c>
      <c r="AK1005" s="425" t="s">
        <v>1125</v>
      </c>
      <c r="AL1005" s="405">
        <v>85008</v>
      </c>
      <c r="AM1005" s="405" t="s">
        <v>52</v>
      </c>
      <c r="AN1005" s="405" t="s">
        <v>1071</v>
      </c>
      <c r="AO1005" s="405"/>
      <c r="AP1005" s="417"/>
      <c r="AQ1005" s="417" t="s">
        <v>37</v>
      </c>
      <c r="AR1005" s="417"/>
      <c r="AS1005" s="426"/>
      <c r="AT1005" s="426"/>
      <c r="AU1005" s="357"/>
      <c r="AV1005" s="409"/>
    </row>
    <row r="1006" spans="1:48" s="402" customFormat="1" ht="15" customHeight="1">
      <c r="A1006" s="403"/>
      <c r="B1006" s="445">
        <v>44557</v>
      </c>
      <c r="C1006" s="403"/>
      <c r="D1006" s="443" t="s">
        <v>1914</v>
      </c>
      <c r="E1006" s="432" t="s">
        <v>2155</v>
      </c>
      <c r="F1006" s="432"/>
      <c r="G1006" s="432">
        <v>2022</v>
      </c>
      <c r="H1006" s="432" t="s">
        <v>1498</v>
      </c>
      <c r="I1006" s="443" t="s">
        <v>1498</v>
      </c>
      <c r="J1006" s="433"/>
      <c r="K1006" s="434" t="s">
        <v>3362</v>
      </c>
      <c r="L1006" s="432" t="s">
        <v>1967</v>
      </c>
      <c r="M1006" s="435">
        <v>44545</v>
      </c>
      <c r="N1006" s="435">
        <v>44848</v>
      </c>
      <c r="O1006" s="435"/>
      <c r="P1006" s="349"/>
      <c r="Q1006" s="433"/>
      <c r="R1006" s="433"/>
      <c r="S1006" s="432" t="s">
        <v>1443</v>
      </c>
      <c r="T1006" s="432">
        <v>60</v>
      </c>
      <c r="U1006" s="350">
        <v>49401140</v>
      </c>
      <c r="V1006" s="432" t="s">
        <v>1970</v>
      </c>
      <c r="W1006" s="432">
        <v>400</v>
      </c>
      <c r="X1006" s="436">
        <v>768</v>
      </c>
      <c r="Y1006" s="408">
        <f t="shared" si="128"/>
        <v>307200</v>
      </c>
      <c r="Z1006" s="409">
        <v>0.52500000000000002</v>
      </c>
      <c r="AA1006" s="423">
        <f t="shared" si="129"/>
        <v>161280</v>
      </c>
      <c r="AB1006" s="411"/>
      <c r="AC1006" s="412">
        <f t="shared" si="130"/>
        <v>0</v>
      </c>
      <c r="AD1006" s="421"/>
      <c r="AE1006" s="413"/>
      <c r="AF1006" s="424">
        <f t="shared" si="131"/>
        <v>161280</v>
      </c>
      <c r="AG1006" s="405" t="s">
        <v>1069</v>
      </c>
      <c r="AH1006" s="405"/>
      <c r="AI1006" s="414" t="s">
        <v>1962</v>
      </c>
      <c r="AJ1006" s="405" t="s">
        <v>1969</v>
      </c>
      <c r="AK1006" s="425" t="s">
        <v>1125</v>
      </c>
      <c r="AL1006" s="405">
        <v>85008</v>
      </c>
      <c r="AM1006" s="405" t="s">
        <v>52</v>
      </c>
      <c r="AN1006" s="405" t="s">
        <v>1071</v>
      </c>
      <c r="AO1006" s="405"/>
      <c r="AP1006" s="417"/>
      <c r="AQ1006" s="417" t="s">
        <v>37</v>
      </c>
      <c r="AR1006" s="417"/>
      <c r="AS1006" s="426"/>
      <c r="AT1006" s="426"/>
      <c r="AU1006" s="357"/>
      <c r="AV1006" s="409"/>
    </row>
    <row r="1007" spans="1:48" s="402" customFormat="1" ht="15" customHeight="1">
      <c r="A1007" s="403"/>
      <c r="B1007" s="445">
        <v>44557</v>
      </c>
      <c r="C1007" s="403"/>
      <c r="D1007" s="443" t="s">
        <v>1914</v>
      </c>
      <c r="E1007" s="432" t="s">
        <v>2155</v>
      </c>
      <c r="F1007" s="432"/>
      <c r="G1007" s="432">
        <v>2022</v>
      </c>
      <c r="H1007" s="432" t="s">
        <v>1498</v>
      </c>
      <c r="I1007" s="443" t="s">
        <v>1498</v>
      </c>
      <c r="J1007" s="433"/>
      <c r="K1007" s="434" t="s">
        <v>3363</v>
      </c>
      <c r="L1007" s="432" t="s">
        <v>1967</v>
      </c>
      <c r="M1007" s="435">
        <v>44545</v>
      </c>
      <c r="N1007" s="435">
        <v>44850</v>
      </c>
      <c r="O1007" s="435"/>
      <c r="P1007" s="349"/>
      <c r="Q1007" s="433"/>
      <c r="R1007" s="433"/>
      <c r="S1007" s="432" t="s">
        <v>1443</v>
      </c>
      <c r="T1007" s="432">
        <v>60</v>
      </c>
      <c r="U1007" s="350">
        <v>49401140</v>
      </c>
      <c r="V1007" s="432" t="s">
        <v>2284</v>
      </c>
      <c r="W1007" s="432">
        <v>400</v>
      </c>
      <c r="X1007" s="436">
        <v>768</v>
      </c>
      <c r="Y1007" s="408">
        <f t="shared" si="128"/>
        <v>307200</v>
      </c>
      <c r="Z1007" s="409">
        <v>0.52500000000000002</v>
      </c>
      <c r="AA1007" s="423">
        <f t="shared" si="129"/>
        <v>161280</v>
      </c>
      <c r="AB1007" s="411"/>
      <c r="AC1007" s="412">
        <f t="shared" si="130"/>
        <v>0</v>
      </c>
      <c r="AD1007" s="421"/>
      <c r="AE1007" s="413"/>
      <c r="AF1007" s="424">
        <f t="shared" si="131"/>
        <v>161280</v>
      </c>
      <c r="AG1007" s="405" t="s">
        <v>1069</v>
      </c>
      <c r="AH1007" s="405"/>
      <c r="AI1007" s="414">
        <v>60</v>
      </c>
      <c r="AJ1007" s="405" t="s">
        <v>1969</v>
      </c>
      <c r="AK1007" s="425" t="s">
        <v>1125</v>
      </c>
      <c r="AL1007" s="405">
        <v>85008</v>
      </c>
      <c r="AM1007" s="405" t="s">
        <v>52</v>
      </c>
      <c r="AN1007" s="405" t="s">
        <v>1071</v>
      </c>
      <c r="AO1007" s="405"/>
      <c r="AP1007" s="417"/>
      <c r="AQ1007" s="417" t="s">
        <v>37</v>
      </c>
      <c r="AR1007" s="417"/>
      <c r="AS1007" s="426"/>
      <c r="AT1007" s="426"/>
      <c r="AU1007" s="357"/>
      <c r="AV1007" s="409"/>
    </row>
    <row r="1008" spans="1:48" s="402" customFormat="1" ht="15" customHeight="1">
      <c r="A1008" s="403"/>
      <c r="B1008" s="445">
        <v>44557</v>
      </c>
      <c r="C1008" s="403"/>
      <c r="D1008" s="443" t="s">
        <v>1914</v>
      </c>
      <c r="E1008" s="432" t="s">
        <v>2155</v>
      </c>
      <c r="F1008" s="432"/>
      <c r="G1008" s="432">
        <v>2022</v>
      </c>
      <c r="H1008" s="432" t="s">
        <v>1498</v>
      </c>
      <c r="I1008" s="443" t="s">
        <v>1498</v>
      </c>
      <c r="J1008" s="433"/>
      <c r="K1008" s="434" t="s">
        <v>3364</v>
      </c>
      <c r="L1008" s="432" t="s">
        <v>1967</v>
      </c>
      <c r="M1008" s="435">
        <v>44545</v>
      </c>
      <c r="N1008" s="435">
        <v>44853</v>
      </c>
      <c r="O1008" s="435"/>
      <c r="P1008" s="349"/>
      <c r="Q1008" s="433"/>
      <c r="R1008" s="433"/>
      <c r="S1008" s="432" t="s">
        <v>1443</v>
      </c>
      <c r="T1008" s="432">
        <v>60</v>
      </c>
      <c r="U1008" s="350">
        <v>49401140</v>
      </c>
      <c r="V1008" s="432" t="s">
        <v>1970</v>
      </c>
      <c r="W1008" s="432">
        <v>400</v>
      </c>
      <c r="X1008" s="436">
        <v>768</v>
      </c>
      <c r="Y1008" s="408">
        <f t="shared" si="128"/>
        <v>307200</v>
      </c>
      <c r="Z1008" s="409">
        <v>0.52500000000000002</v>
      </c>
      <c r="AA1008" s="423">
        <f t="shared" si="129"/>
        <v>161280</v>
      </c>
      <c r="AB1008" s="411"/>
      <c r="AC1008" s="412">
        <f t="shared" si="130"/>
        <v>0</v>
      </c>
      <c r="AD1008" s="421"/>
      <c r="AE1008" s="413"/>
      <c r="AF1008" s="424">
        <f t="shared" si="131"/>
        <v>161280</v>
      </c>
      <c r="AG1008" s="405" t="s">
        <v>1069</v>
      </c>
      <c r="AH1008" s="405"/>
      <c r="AI1008" s="414" t="s">
        <v>1962</v>
      </c>
      <c r="AJ1008" s="405" t="s">
        <v>1969</v>
      </c>
      <c r="AK1008" s="425" t="s">
        <v>1125</v>
      </c>
      <c r="AL1008" s="405">
        <v>85008</v>
      </c>
      <c r="AM1008" s="405" t="s">
        <v>52</v>
      </c>
      <c r="AN1008" s="405" t="s">
        <v>1071</v>
      </c>
      <c r="AO1008" s="405"/>
      <c r="AP1008" s="417"/>
      <c r="AQ1008" s="417" t="s">
        <v>37</v>
      </c>
      <c r="AR1008" s="417"/>
      <c r="AS1008" s="426"/>
      <c r="AT1008" s="426"/>
      <c r="AU1008" s="357"/>
      <c r="AV1008" s="409"/>
    </row>
    <row r="1009" spans="1:48" s="402" customFormat="1" ht="15" customHeight="1">
      <c r="A1009" s="403"/>
      <c r="B1009" s="445">
        <v>44557</v>
      </c>
      <c r="C1009" s="403"/>
      <c r="D1009" s="443" t="s">
        <v>1914</v>
      </c>
      <c r="E1009" s="432" t="s">
        <v>2155</v>
      </c>
      <c r="F1009" s="432"/>
      <c r="G1009" s="432">
        <v>2022</v>
      </c>
      <c r="H1009" s="432" t="s">
        <v>1498</v>
      </c>
      <c r="I1009" s="443" t="s">
        <v>1498</v>
      </c>
      <c r="J1009" s="433"/>
      <c r="K1009" s="434" t="s">
        <v>3365</v>
      </c>
      <c r="L1009" s="432" t="s">
        <v>1967</v>
      </c>
      <c r="M1009" s="435">
        <v>44545</v>
      </c>
      <c r="N1009" s="435">
        <v>44855</v>
      </c>
      <c r="O1009" s="435"/>
      <c r="P1009" s="349"/>
      <c r="Q1009" s="433"/>
      <c r="R1009" s="433"/>
      <c r="S1009" s="432" t="s">
        <v>1443</v>
      </c>
      <c r="T1009" s="432">
        <v>60</v>
      </c>
      <c r="U1009" s="350">
        <v>49401140</v>
      </c>
      <c r="V1009" s="432" t="s">
        <v>1970</v>
      </c>
      <c r="W1009" s="432">
        <v>400</v>
      </c>
      <c r="X1009" s="436">
        <v>768</v>
      </c>
      <c r="Y1009" s="408">
        <f t="shared" si="128"/>
        <v>307200</v>
      </c>
      <c r="Z1009" s="409">
        <v>0.52500000000000002</v>
      </c>
      <c r="AA1009" s="423">
        <f t="shared" si="129"/>
        <v>161280</v>
      </c>
      <c r="AB1009" s="411"/>
      <c r="AC1009" s="412">
        <f t="shared" si="130"/>
        <v>0</v>
      </c>
      <c r="AD1009" s="421"/>
      <c r="AE1009" s="413"/>
      <c r="AF1009" s="424">
        <f t="shared" si="131"/>
        <v>161280</v>
      </c>
      <c r="AG1009" s="405" t="s">
        <v>1069</v>
      </c>
      <c r="AH1009" s="405"/>
      <c r="AI1009" s="414" t="s">
        <v>1962</v>
      </c>
      <c r="AJ1009" s="405" t="s">
        <v>1969</v>
      </c>
      <c r="AK1009" s="425" t="s">
        <v>1125</v>
      </c>
      <c r="AL1009" s="405">
        <v>85008</v>
      </c>
      <c r="AM1009" s="405" t="s">
        <v>52</v>
      </c>
      <c r="AN1009" s="405" t="s">
        <v>1071</v>
      </c>
      <c r="AO1009" s="405"/>
      <c r="AP1009" s="417"/>
      <c r="AQ1009" s="417" t="s">
        <v>37</v>
      </c>
      <c r="AR1009" s="417"/>
      <c r="AS1009" s="426"/>
      <c r="AT1009" s="426"/>
      <c r="AU1009" s="357"/>
      <c r="AV1009" s="409"/>
    </row>
    <row r="1010" spans="1:48" s="402" customFormat="1" ht="15" customHeight="1">
      <c r="A1010" s="403"/>
      <c r="B1010" s="445">
        <v>44557</v>
      </c>
      <c r="C1010" s="403"/>
      <c r="D1010" s="443" t="s">
        <v>1914</v>
      </c>
      <c r="E1010" s="432" t="s">
        <v>2155</v>
      </c>
      <c r="F1010" s="432"/>
      <c r="G1010" s="432">
        <v>2022</v>
      </c>
      <c r="H1010" s="432" t="s">
        <v>1498</v>
      </c>
      <c r="I1010" s="443" t="s">
        <v>1498</v>
      </c>
      <c r="J1010" s="433"/>
      <c r="K1010" s="434" t="s">
        <v>3366</v>
      </c>
      <c r="L1010" s="432" t="s">
        <v>1967</v>
      </c>
      <c r="M1010" s="435">
        <v>44545</v>
      </c>
      <c r="N1010" s="435">
        <v>44866</v>
      </c>
      <c r="O1010" s="435"/>
      <c r="P1010" s="349"/>
      <c r="Q1010" s="433"/>
      <c r="R1010" s="433"/>
      <c r="S1010" s="432" t="s">
        <v>1443</v>
      </c>
      <c r="T1010" s="432">
        <v>60</v>
      </c>
      <c r="U1010" s="350">
        <v>49401140</v>
      </c>
      <c r="V1010" s="432" t="s">
        <v>1970</v>
      </c>
      <c r="W1010" s="432">
        <v>400</v>
      </c>
      <c r="X1010" s="436">
        <v>768</v>
      </c>
      <c r="Y1010" s="408">
        <f t="shared" si="128"/>
        <v>307200</v>
      </c>
      <c r="Z1010" s="409">
        <v>0.52500000000000002</v>
      </c>
      <c r="AA1010" s="423">
        <f t="shared" si="129"/>
        <v>161280</v>
      </c>
      <c r="AB1010" s="411"/>
      <c r="AC1010" s="412">
        <f t="shared" si="130"/>
        <v>0</v>
      </c>
      <c r="AD1010" s="421"/>
      <c r="AE1010" s="413"/>
      <c r="AF1010" s="424">
        <f t="shared" si="131"/>
        <v>161280</v>
      </c>
      <c r="AG1010" s="405" t="s">
        <v>1069</v>
      </c>
      <c r="AH1010" s="405"/>
      <c r="AI1010" s="414" t="s">
        <v>1962</v>
      </c>
      <c r="AJ1010" s="405" t="s">
        <v>1969</v>
      </c>
      <c r="AK1010" s="425" t="s">
        <v>1125</v>
      </c>
      <c r="AL1010" s="405">
        <v>85008</v>
      </c>
      <c r="AM1010" s="405" t="s">
        <v>52</v>
      </c>
      <c r="AN1010" s="405" t="s">
        <v>1071</v>
      </c>
      <c r="AO1010" s="405"/>
      <c r="AP1010" s="417"/>
      <c r="AQ1010" s="417" t="s">
        <v>37</v>
      </c>
      <c r="AR1010" s="417"/>
      <c r="AS1010" s="426"/>
      <c r="AT1010" s="426"/>
      <c r="AU1010" s="357"/>
      <c r="AV1010" s="409"/>
    </row>
    <row r="1011" spans="1:48" s="402" customFormat="1" ht="15" customHeight="1">
      <c r="A1011" s="403"/>
      <c r="B1011" s="445">
        <v>44557</v>
      </c>
      <c r="C1011" s="403"/>
      <c r="D1011" s="443" t="s">
        <v>1914</v>
      </c>
      <c r="E1011" s="432" t="s">
        <v>2155</v>
      </c>
      <c r="F1011" s="432"/>
      <c r="G1011" s="432">
        <v>2022</v>
      </c>
      <c r="H1011" s="432" t="s">
        <v>1498</v>
      </c>
      <c r="I1011" s="443" t="s">
        <v>1498</v>
      </c>
      <c r="J1011" s="433"/>
      <c r="K1011" s="434" t="s">
        <v>3367</v>
      </c>
      <c r="L1011" s="432" t="s">
        <v>1967</v>
      </c>
      <c r="M1011" s="435">
        <v>44545</v>
      </c>
      <c r="N1011" s="435">
        <v>44866</v>
      </c>
      <c r="O1011" s="435"/>
      <c r="P1011" s="349"/>
      <c r="Q1011" s="433"/>
      <c r="R1011" s="433"/>
      <c r="S1011" s="432" t="s">
        <v>1443</v>
      </c>
      <c r="T1011" s="432">
        <v>60</v>
      </c>
      <c r="U1011" s="350">
        <v>49201132</v>
      </c>
      <c r="V1011" s="432" t="s">
        <v>986</v>
      </c>
      <c r="W1011" s="432">
        <v>360</v>
      </c>
      <c r="X1011" s="436">
        <v>832</v>
      </c>
      <c r="Y1011" s="408">
        <f t="shared" si="128"/>
        <v>299520</v>
      </c>
      <c r="Z1011" s="409">
        <v>0.505</v>
      </c>
      <c r="AA1011" s="423">
        <f t="shared" si="129"/>
        <v>151257.60000000001</v>
      </c>
      <c r="AB1011" s="411"/>
      <c r="AC1011" s="412">
        <f t="shared" si="130"/>
        <v>0</v>
      </c>
      <c r="AD1011" s="421"/>
      <c r="AE1011" s="413"/>
      <c r="AF1011" s="424">
        <f t="shared" si="131"/>
        <v>151257.60000000001</v>
      </c>
      <c r="AG1011" s="405" t="s">
        <v>1069</v>
      </c>
      <c r="AH1011" s="405"/>
      <c r="AI1011" s="414" t="s">
        <v>1962</v>
      </c>
      <c r="AJ1011" s="405" t="s">
        <v>1969</v>
      </c>
      <c r="AK1011" s="425" t="s">
        <v>1125</v>
      </c>
      <c r="AL1011" s="405">
        <v>85008</v>
      </c>
      <c r="AM1011" s="405" t="s">
        <v>52</v>
      </c>
      <c r="AN1011" s="405" t="s">
        <v>1071</v>
      </c>
      <c r="AO1011" s="405"/>
      <c r="AP1011" s="417"/>
      <c r="AQ1011" s="417" t="s">
        <v>37</v>
      </c>
      <c r="AR1011" s="417"/>
      <c r="AS1011" s="426"/>
      <c r="AT1011" s="426"/>
      <c r="AU1011" s="357"/>
      <c r="AV1011" s="409"/>
    </row>
    <row r="1012" spans="1:48" s="402" customFormat="1" ht="15" customHeight="1">
      <c r="A1012" s="403"/>
      <c r="B1012" s="445">
        <v>44557</v>
      </c>
      <c r="C1012" s="403"/>
      <c r="D1012" s="443" t="s">
        <v>1914</v>
      </c>
      <c r="E1012" s="432" t="s">
        <v>2155</v>
      </c>
      <c r="F1012" s="432"/>
      <c r="G1012" s="432">
        <v>2022</v>
      </c>
      <c r="H1012" s="432" t="s">
        <v>1498</v>
      </c>
      <c r="I1012" s="443" t="s">
        <v>1498</v>
      </c>
      <c r="J1012" s="433"/>
      <c r="K1012" s="434" t="s">
        <v>3368</v>
      </c>
      <c r="L1012" s="432" t="s">
        <v>1967</v>
      </c>
      <c r="M1012" s="435">
        <v>44545</v>
      </c>
      <c r="N1012" s="435">
        <v>44868</v>
      </c>
      <c r="O1012" s="435"/>
      <c r="P1012" s="349"/>
      <c r="Q1012" s="433"/>
      <c r="R1012" s="433"/>
      <c r="S1012" s="432" t="s">
        <v>1443</v>
      </c>
      <c r="T1012" s="432">
        <v>60</v>
      </c>
      <c r="U1012" s="350">
        <v>49401140</v>
      </c>
      <c r="V1012" s="432" t="s">
        <v>1970</v>
      </c>
      <c r="W1012" s="432">
        <v>400</v>
      </c>
      <c r="X1012" s="436">
        <v>768</v>
      </c>
      <c r="Y1012" s="408">
        <f t="shared" si="128"/>
        <v>307200</v>
      </c>
      <c r="Z1012" s="409">
        <v>0.52500000000000002</v>
      </c>
      <c r="AA1012" s="423">
        <f t="shared" si="129"/>
        <v>161280</v>
      </c>
      <c r="AB1012" s="411"/>
      <c r="AC1012" s="412">
        <f t="shared" si="130"/>
        <v>0</v>
      </c>
      <c r="AD1012" s="421"/>
      <c r="AE1012" s="413"/>
      <c r="AF1012" s="424">
        <f t="shared" si="131"/>
        <v>161280</v>
      </c>
      <c r="AG1012" s="405" t="s">
        <v>1069</v>
      </c>
      <c r="AH1012" s="405"/>
      <c r="AI1012" s="414" t="s">
        <v>1962</v>
      </c>
      <c r="AJ1012" s="405" t="s">
        <v>1969</v>
      </c>
      <c r="AK1012" s="425" t="s">
        <v>1125</v>
      </c>
      <c r="AL1012" s="405">
        <v>85008</v>
      </c>
      <c r="AM1012" s="405" t="s">
        <v>52</v>
      </c>
      <c r="AN1012" s="405" t="s">
        <v>1071</v>
      </c>
      <c r="AO1012" s="405"/>
      <c r="AP1012" s="417"/>
      <c r="AQ1012" s="417" t="s">
        <v>37</v>
      </c>
      <c r="AR1012" s="417"/>
      <c r="AS1012" s="426"/>
      <c r="AT1012" s="426"/>
      <c r="AU1012" s="357"/>
      <c r="AV1012" s="409"/>
    </row>
    <row r="1013" spans="1:48" s="402" customFormat="1" ht="15" customHeight="1">
      <c r="A1013" s="403"/>
      <c r="B1013" s="445">
        <v>44557</v>
      </c>
      <c r="C1013" s="403"/>
      <c r="D1013" s="443" t="s">
        <v>1914</v>
      </c>
      <c r="E1013" s="432" t="s">
        <v>2155</v>
      </c>
      <c r="F1013" s="432"/>
      <c r="G1013" s="432">
        <v>2022</v>
      </c>
      <c r="H1013" s="432" t="s">
        <v>1498</v>
      </c>
      <c r="I1013" s="443" t="s">
        <v>1498</v>
      </c>
      <c r="J1013" s="433"/>
      <c r="K1013" s="434" t="s">
        <v>3369</v>
      </c>
      <c r="L1013" s="432" t="s">
        <v>1967</v>
      </c>
      <c r="M1013" s="435">
        <v>44545</v>
      </c>
      <c r="N1013" s="435">
        <v>44871</v>
      </c>
      <c r="O1013" s="435"/>
      <c r="P1013" s="349"/>
      <c r="Q1013" s="433"/>
      <c r="R1013" s="433"/>
      <c r="S1013" s="432" t="s">
        <v>1443</v>
      </c>
      <c r="T1013" s="432">
        <v>60</v>
      </c>
      <c r="U1013" s="350">
        <v>49201132</v>
      </c>
      <c r="V1013" s="432" t="s">
        <v>986</v>
      </c>
      <c r="W1013" s="432">
        <v>360</v>
      </c>
      <c r="X1013" s="436">
        <v>832</v>
      </c>
      <c r="Y1013" s="408">
        <f t="shared" si="128"/>
        <v>299520</v>
      </c>
      <c r="Z1013" s="409">
        <v>0.505</v>
      </c>
      <c r="AA1013" s="423">
        <f t="shared" si="129"/>
        <v>151257.60000000001</v>
      </c>
      <c r="AB1013" s="411"/>
      <c r="AC1013" s="412">
        <f t="shared" si="130"/>
        <v>0</v>
      </c>
      <c r="AD1013" s="421"/>
      <c r="AE1013" s="413"/>
      <c r="AF1013" s="424">
        <f t="shared" si="131"/>
        <v>151257.60000000001</v>
      </c>
      <c r="AG1013" s="405" t="s">
        <v>1069</v>
      </c>
      <c r="AH1013" s="405"/>
      <c r="AI1013" s="414" t="s">
        <v>1962</v>
      </c>
      <c r="AJ1013" s="405" t="s">
        <v>1969</v>
      </c>
      <c r="AK1013" s="425" t="s">
        <v>1125</v>
      </c>
      <c r="AL1013" s="405">
        <v>85008</v>
      </c>
      <c r="AM1013" s="405" t="s">
        <v>52</v>
      </c>
      <c r="AN1013" s="405" t="s">
        <v>1071</v>
      </c>
      <c r="AO1013" s="405"/>
      <c r="AP1013" s="417"/>
      <c r="AQ1013" s="417" t="s">
        <v>37</v>
      </c>
      <c r="AR1013" s="417"/>
      <c r="AS1013" s="426"/>
      <c r="AT1013" s="426"/>
      <c r="AU1013" s="357"/>
      <c r="AV1013" s="409"/>
    </row>
    <row r="1014" spans="1:48" s="402" customFormat="1" ht="15" customHeight="1">
      <c r="A1014" s="403"/>
      <c r="B1014" s="445">
        <v>44557</v>
      </c>
      <c r="C1014" s="403"/>
      <c r="D1014" s="443" t="s">
        <v>1914</v>
      </c>
      <c r="E1014" s="432" t="s">
        <v>2155</v>
      </c>
      <c r="F1014" s="432"/>
      <c r="G1014" s="432">
        <v>2022</v>
      </c>
      <c r="H1014" s="432" t="s">
        <v>1498</v>
      </c>
      <c r="I1014" s="443" t="s">
        <v>1498</v>
      </c>
      <c r="J1014" s="433"/>
      <c r="K1014" s="434" t="s">
        <v>3370</v>
      </c>
      <c r="L1014" s="432" t="s">
        <v>1967</v>
      </c>
      <c r="M1014" s="435">
        <v>44545</v>
      </c>
      <c r="N1014" s="435">
        <v>44873</v>
      </c>
      <c r="O1014" s="435"/>
      <c r="P1014" s="349"/>
      <c r="Q1014" s="433"/>
      <c r="R1014" s="433"/>
      <c r="S1014" s="432" t="s">
        <v>1443</v>
      </c>
      <c r="T1014" s="432">
        <v>60</v>
      </c>
      <c r="U1014" s="350">
        <v>49401140</v>
      </c>
      <c r="V1014" s="432" t="s">
        <v>1970</v>
      </c>
      <c r="W1014" s="432">
        <v>400</v>
      </c>
      <c r="X1014" s="436">
        <v>768</v>
      </c>
      <c r="Y1014" s="408">
        <f t="shared" si="128"/>
        <v>307200</v>
      </c>
      <c r="Z1014" s="409">
        <v>0.52500000000000002</v>
      </c>
      <c r="AA1014" s="423">
        <f t="shared" si="129"/>
        <v>161280</v>
      </c>
      <c r="AB1014" s="411"/>
      <c r="AC1014" s="412">
        <f t="shared" si="130"/>
        <v>0</v>
      </c>
      <c r="AD1014" s="421"/>
      <c r="AE1014" s="413"/>
      <c r="AF1014" s="424">
        <f t="shared" si="131"/>
        <v>161280</v>
      </c>
      <c r="AG1014" s="405" t="s">
        <v>1069</v>
      </c>
      <c r="AH1014" s="405"/>
      <c r="AI1014" s="414" t="s">
        <v>1962</v>
      </c>
      <c r="AJ1014" s="405" t="s">
        <v>1969</v>
      </c>
      <c r="AK1014" s="425" t="s">
        <v>1125</v>
      </c>
      <c r="AL1014" s="405">
        <v>85008</v>
      </c>
      <c r="AM1014" s="405" t="s">
        <v>52</v>
      </c>
      <c r="AN1014" s="405" t="s">
        <v>1071</v>
      </c>
      <c r="AO1014" s="405"/>
      <c r="AP1014" s="417"/>
      <c r="AQ1014" s="417" t="s">
        <v>37</v>
      </c>
      <c r="AR1014" s="417"/>
      <c r="AS1014" s="426"/>
      <c r="AT1014" s="426"/>
      <c r="AU1014" s="357"/>
      <c r="AV1014" s="409"/>
    </row>
    <row r="1015" spans="1:48" s="402" customFormat="1" ht="15" customHeight="1">
      <c r="A1015" s="403"/>
      <c r="B1015" s="445">
        <v>44557</v>
      </c>
      <c r="C1015" s="403"/>
      <c r="D1015" s="443" t="s">
        <v>1914</v>
      </c>
      <c r="E1015" s="432" t="s">
        <v>2155</v>
      </c>
      <c r="F1015" s="432"/>
      <c r="G1015" s="432">
        <v>2022</v>
      </c>
      <c r="H1015" s="432" t="s">
        <v>1498</v>
      </c>
      <c r="I1015" s="443" t="s">
        <v>1498</v>
      </c>
      <c r="J1015" s="433"/>
      <c r="K1015" s="434" t="s">
        <v>3371</v>
      </c>
      <c r="L1015" s="432" t="s">
        <v>1967</v>
      </c>
      <c r="M1015" s="435">
        <v>44545</v>
      </c>
      <c r="N1015" s="435">
        <v>44876</v>
      </c>
      <c r="O1015" s="435"/>
      <c r="P1015" s="349"/>
      <c r="Q1015" s="433"/>
      <c r="R1015" s="433"/>
      <c r="S1015" s="432" t="s">
        <v>1443</v>
      </c>
      <c r="T1015" s="432">
        <v>60</v>
      </c>
      <c r="U1015" s="350">
        <v>49401140</v>
      </c>
      <c r="V1015" s="432" t="s">
        <v>1970</v>
      </c>
      <c r="W1015" s="432">
        <v>400</v>
      </c>
      <c r="X1015" s="436">
        <v>768</v>
      </c>
      <c r="Y1015" s="408">
        <f t="shared" si="128"/>
        <v>307200</v>
      </c>
      <c r="Z1015" s="409">
        <v>0.52500000000000002</v>
      </c>
      <c r="AA1015" s="423">
        <f t="shared" si="129"/>
        <v>161280</v>
      </c>
      <c r="AB1015" s="411"/>
      <c r="AC1015" s="412">
        <f t="shared" si="130"/>
        <v>0</v>
      </c>
      <c r="AD1015" s="421"/>
      <c r="AE1015" s="413"/>
      <c r="AF1015" s="424">
        <f t="shared" si="131"/>
        <v>161280</v>
      </c>
      <c r="AG1015" s="405" t="s">
        <v>1069</v>
      </c>
      <c r="AH1015" s="405"/>
      <c r="AI1015" s="414" t="s">
        <v>1962</v>
      </c>
      <c r="AJ1015" s="405" t="s">
        <v>1969</v>
      </c>
      <c r="AK1015" s="425" t="s">
        <v>1125</v>
      </c>
      <c r="AL1015" s="405">
        <v>85008</v>
      </c>
      <c r="AM1015" s="405" t="s">
        <v>52</v>
      </c>
      <c r="AN1015" s="405" t="s">
        <v>1071</v>
      </c>
      <c r="AO1015" s="405"/>
      <c r="AP1015" s="417"/>
      <c r="AQ1015" s="417" t="s">
        <v>37</v>
      </c>
      <c r="AR1015" s="417"/>
      <c r="AS1015" s="426"/>
      <c r="AT1015" s="426"/>
      <c r="AU1015" s="357"/>
      <c r="AV1015" s="409"/>
    </row>
    <row r="1016" spans="1:48" s="402" customFormat="1" ht="15" customHeight="1">
      <c r="A1016" s="403"/>
      <c r="B1016" s="445">
        <v>44557</v>
      </c>
      <c r="C1016" s="403"/>
      <c r="D1016" s="443" t="s">
        <v>1914</v>
      </c>
      <c r="E1016" s="432" t="s">
        <v>2155</v>
      </c>
      <c r="F1016" s="432"/>
      <c r="G1016" s="432">
        <v>2022</v>
      </c>
      <c r="H1016" s="432" t="s">
        <v>1498</v>
      </c>
      <c r="I1016" s="443" t="s">
        <v>1498</v>
      </c>
      <c r="J1016" s="433"/>
      <c r="K1016" s="434" t="s">
        <v>3372</v>
      </c>
      <c r="L1016" s="432" t="s">
        <v>1967</v>
      </c>
      <c r="M1016" s="435">
        <v>44545</v>
      </c>
      <c r="N1016" s="435">
        <v>44884</v>
      </c>
      <c r="O1016" s="435"/>
      <c r="P1016" s="349"/>
      <c r="Q1016" s="433"/>
      <c r="R1016" s="433"/>
      <c r="S1016" s="432" t="s">
        <v>1443</v>
      </c>
      <c r="T1016" s="432">
        <v>60</v>
      </c>
      <c r="U1016" s="350">
        <v>49401140</v>
      </c>
      <c r="V1016" s="432" t="s">
        <v>973</v>
      </c>
      <c r="W1016" s="432">
        <v>400</v>
      </c>
      <c r="X1016" s="436">
        <v>768</v>
      </c>
      <c r="Y1016" s="408">
        <f t="shared" si="128"/>
        <v>307200</v>
      </c>
      <c r="Z1016" s="409">
        <v>0.52500000000000002</v>
      </c>
      <c r="AA1016" s="423">
        <f t="shared" si="129"/>
        <v>161280</v>
      </c>
      <c r="AB1016" s="411"/>
      <c r="AC1016" s="412">
        <f t="shared" si="130"/>
        <v>0</v>
      </c>
      <c r="AD1016" s="421"/>
      <c r="AE1016" s="413"/>
      <c r="AF1016" s="424">
        <f t="shared" si="131"/>
        <v>161280</v>
      </c>
      <c r="AG1016" s="405" t="s">
        <v>1069</v>
      </c>
      <c r="AH1016" s="405"/>
      <c r="AI1016" s="414">
        <v>60</v>
      </c>
      <c r="AJ1016" s="405" t="s">
        <v>1969</v>
      </c>
      <c r="AK1016" s="425" t="s">
        <v>1125</v>
      </c>
      <c r="AL1016" s="405">
        <v>85008</v>
      </c>
      <c r="AM1016" s="405" t="s">
        <v>52</v>
      </c>
      <c r="AN1016" s="405" t="s">
        <v>1071</v>
      </c>
      <c r="AO1016" s="405"/>
      <c r="AP1016" s="417"/>
      <c r="AQ1016" s="417" t="s">
        <v>37</v>
      </c>
      <c r="AR1016" s="417"/>
      <c r="AS1016" s="426"/>
      <c r="AT1016" s="426"/>
      <c r="AU1016" s="357"/>
      <c r="AV1016" s="409"/>
    </row>
    <row r="1017" spans="1:48" s="402" customFormat="1" ht="15" customHeight="1">
      <c r="A1017" s="403"/>
      <c r="B1017" s="445">
        <v>44557</v>
      </c>
      <c r="C1017" s="403"/>
      <c r="D1017" s="443" t="s">
        <v>1914</v>
      </c>
      <c r="E1017" s="432" t="s">
        <v>2155</v>
      </c>
      <c r="F1017" s="432"/>
      <c r="G1017" s="432">
        <v>2022</v>
      </c>
      <c r="H1017" s="432" t="s">
        <v>1498</v>
      </c>
      <c r="I1017" s="443" t="s">
        <v>1498</v>
      </c>
      <c r="J1017" s="433"/>
      <c r="K1017" s="434" t="s">
        <v>3373</v>
      </c>
      <c r="L1017" s="432" t="s">
        <v>1967</v>
      </c>
      <c r="M1017" s="435">
        <v>44545</v>
      </c>
      <c r="N1017" s="435">
        <v>44886</v>
      </c>
      <c r="O1017" s="435"/>
      <c r="P1017" s="349"/>
      <c r="Q1017" s="433"/>
      <c r="R1017" s="433"/>
      <c r="S1017" s="432" t="s">
        <v>1443</v>
      </c>
      <c r="T1017" s="432">
        <v>60</v>
      </c>
      <c r="U1017" s="350">
        <v>49401140</v>
      </c>
      <c r="V1017" s="432" t="s">
        <v>1970</v>
      </c>
      <c r="W1017" s="432">
        <v>400</v>
      </c>
      <c r="X1017" s="436">
        <v>768</v>
      </c>
      <c r="Y1017" s="408">
        <f t="shared" si="128"/>
        <v>307200</v>
      </c>
      <c r="Z1017" s="409">
        <v>0.52500000000000002</v>
      </c>
      <c r="AA1017" s="423">
        <f t="shared" si="129"/>
        <v>161280</v>
      </c>
      <c r="AB1017" s="411"/>
      <c r="AC1017" s="412">
        <f t="shared" si="130"/>
        <v>0</v>
      </c>
      <c r="AD1017" s="421"/>
      <c r="AE1017" s="413"/>
      <c r="AF1017" s="424">
        <f t="shared" si="131"/>
        <v>161280</v>
      </c>
      <c r="AG1017" s="405" t="s">
        <v>1069</v>
      </c>
      <c r="AH1017" s="405"/>
      <c r="AI1017" s="414" t="s">
        <v>1962</v>
      </c>
      <c r="AJ1017" s="405" t="s">
        <v>1969</v>
      </c>
      <c r="AK1017" s="425" t="s">
        <v>1125</v>
      </c>
      <c r="AL1017" s="405">
        <v>85008</v>
      </c>
      <c r="AM1017" s="405" t="s">
        <v>52</v>
      </c>
      <c r="AN1017" s="405" t="s">
        <v>1071</v>
      </c>
      <c r="AO1017" s="405"/>
      <c r="AP1017" s="417"/>
      <c r="AQ1017" s="417" t="s">
        <v>37</v>
      </c>
      <c r="AR1017" s="417"/>
      <c r="AS1017" s="426"/>
      <c r="AT1017" s="426"/>
      <c r="AU1017" s="357"/>
      <c r="AV1017" s="409"/>
    </row>
    <row r="1018" spans="1:48" s="402" customFormat="1" ht="15" customHeight="1">
      <c r="A1018" s="403"/>
      <c r="B1018" s="445">
        <v>44557</v>
      </c>
      <c r="C1018" s="403"/>
      <c r="D1018" s="443" t="s">
        <v>1914</v>
      </c>
      <c r="E1018" s="432" t="s">
        <v>2155</v>
      </c>
      <c r="F1018" s="432"/>
      <c r="G1018" s="432">
        <v>2022</v>
      </c>
      <c r="H1018" s="432" t="s">
        <v>1498</v>
      </c>
      <c r="I1018" s="443" t="s">
        <v>1498</v>
      </c>
      <c r="J1018" s="433"/>
      <c r="K1018" s="434" t="s">
        <v>3374</v>
      </c>
      <c r="L1018" s="432" t="s">
        <v>1967</v>
      </c>
      <c r="M1018" s="435">
        <v>44545</v>
      </c>
      <c r="N1018" s="435">
        <v>44888</v>
      </c>
      <c r="O1018" s="435"/>
      <c r="P1018" s="349"/>
      <c r="Q1018" s="433"/>
      <c r="R1018" s="433"/>
      <c r="S1018" s="432" t="s">
        <v>1443</v>
      </c>
      <c r="T1018" s="432">
        <v>60</v>
      </c>
      <c r="U1018" s="350">
        <v>49401140</v>
      </c>
      <c r="V1018" s="432" t="s">
        <v>1970</v>
      </c>
      <c r="W1018" s="432">
        <v>400</v>
      </c>
      <c r="X1018" s="436">
        <v>768</v>
      </c>
      <c r="Y1018" s="408">
        <f t="shared" si="128"/>
        <v>307200</v>
      </c>
      <c r="Z1018" s="409">
        <v>0.52500000000000002</v>
      </c>
      <c r="AA1018" s="423">
        <f t="shared" si="129"/>
        <v>161280</v>
      </c>
      <c r="AB1018" s="411"/>
      <c r="AC1018" s="412">
        <f t="shared" si="130"/>
        <v>0</v>
      </c>
      <c r="AD1018" s="421"/>
      <c r="AE1018" s="413"/>
      <c r="AF1018" s="424">
        <f t="shared" si="131"/>
        <v>161280</v>
      </c>
      <c r="AG1018" s="405" t="s">
        <v>1069</v>
      </c>
      <c r="AH1018" s="405"/>
      <c r="AI1018" s="414" t="s">
        <v>1962</v>
      </c>
      <c r="AJ1018" s="405" t="s">
        <v>1969</v>
      </c>
      <c r="AK1018" s="425" t="s">
        <v>1125</v>
      </c>
      <c r="AL1018" s="405">
        <v>85008</v>
      </c>
      <c r="AM1018" s="405" t="s">
        <v>52</v>
      </c>
      <c r="AN1018" s="405" t="s">
        <v>1071</v>
      </c>
      <c r="AO1018" s="405"/>
      <c r="AP1018" s="417"/>
      <c r="AQ1018" s="417" t="s">
        <v>37</v>
      </c>
      <c r="AR1018" s="417"/>
      <c r="AS1018" s="426"/>
      <c r="AT1018" s="426"/>
      <c r="AU1018" s="357"/>
      <c r="AV1018" s="409"/>
    </row>
    <row r="1019" spans="1:48" s="402" customFormat="1" ht="15" customHeight="1">
      <c r="A1019" s="403"/>
      <c r="B1019" s="445">
        <v>44557</v>
      </c>
      <c r="C1019" s="403"/>
      <c r="D1019" s="443" t="s">
        <v>1914</v>
      </c>
      <c r="E1019" s="432" t="s">
        <v>2155</v>
      </c>
      <c r="F1019" s="432"/>
      <c r="G1019" s="432">
        <v>2022</v>
      </c>
      <c r="H1019" s="432" t="s">
        <v>1498</v>
      </c>
      <c r="I1019" s="443" t="s">
        <v>1498</v>
      </c>
      <c r="J1019" s="433"/>
      <c r="K1019" s="434" t="s">
        <v>3375</v>
      </c>
      <c r="L1019" s="432" t="s">
        <v>1967</v>
      </c>
      <c r="M1019" s="435">
        <v>44545</v>
      </c>
      <c r="N1019" s="435">
        <v>44898</v>
      </c>
      <c r="O1019" s="435"/>
      <c r="P1019" s="349"/>
      <c r="Q1019" s="433"/>
      <c r="R1019" s="433"/>
      <c r="S1019" s="432" t="s">
        <v>1443</v>
      </c>
      <c r="T1019" s="432">
        <v>60</v>
      </c>
      <c r="U1019" s="350">
        <v>49401140</v>
      </c>
      <c r="V1019" s="432" t="s">
        <v>1970</v>
      </c>
      <c r="W1019" s="432">
        <v>400</v>
      </c>
      <c r="X1019" s="436">
        <v>768</v>
      </c>
      <c r="Y1019" s="408">
        <f t="shared" si="128"/>
        <v>307200</v>
      </c>
      <c r="Z1019" s="409">
        <v>0.52500000000000002</v>
      </c>
      <c r="AA1019" s="423">
        <f t="shared" si="129"/>
        <v>161280</v>
      </c>
      <c r="AB1019" s="411"/>
      <c r="AC1019" s="412">
        <f t="shared" si="130"/>
        <v>0</v>
      </c>
      <c r="AD1019" s="421"/>
      <c r="AE1019" s="413"/>
      <c r="AF1019" s="424">
        <f t="shared" si="131"/>
        <v>161280</v>
      </c>
      <c r="AG1019" s="405" t="s">
        <v>1069</v>
      </c>
      <c r="AH1019" s="405"/>
      <c r="AI1019" s="414" t="s">
        <v>1962</v>
      </c>
      <c r="AJ1019" s="405" t="s">
        <v>1969</v>
      </c>
      <c r="AK1019" s="425" t="s">
        <v>1125</v>
      </c>
      <c r="AL1019" s="405">
        <v>85008</v>
      </c>
      <c r="AM1019" s="405" t="s">
        <v>52</v>
      </c>
      <c r="AN1019" s="405" t="s">
        <v>1071</v>
      </c>
      <c r="AO1019" s="405"/>
      <c r="AP1019" s="417"/>
      <c r="AQ1019" s="417" t="s">
        <v>37</v>
      </c>
      <c r="AR1019" s="417"/>
      <c r="AS1019" s="426"/>
      <c r="AT1019" s="426"/>
      <c r="AU1019" s="357"/>
      <c r="AV1019" s="409"/>
    </row>
    <row r="1020" spans="1:48" s="402" customFormat="1" ht="15" customHeight="1">
      <c r="A1020" s="403"/>
      <c r="B1020" s="445">
        <v>44557</v>
      </c>
      <c r="C1020" s="403"/>
      <c r="D1020" s="443" t="s">
        <v>1914</v>
      </c>
      <c r="E1020" s="432" t="s">
        <v>2155</v>
      </c>
      <c r="F1020" s="432"/>
      <c r="G1020" s="432">
        <v>2022</v>
      </c>
      <c r="H1020" s="432" t="s">
        <v>1498</v>
      </c>
      <c r="I1020" s="443" t="s">
        <v>1498</v>
      </c>
      <c r="J1020" s="433"/>
      <c r="K1020" s="434" t="s">
        <v>3376</v>
      </c>
      <c r="L1020" s="432" t="s">
        <v>1967</v>
      </c>
      <c r="M1020" s="435">
        <v>44545</v>
      </c>
      <c r="N1020" s="435">
        <v>44899</v>
      </c>
      <c r="O1020" s="435"/>
      <c r="P1020" s="349"/>
      <c r="Q1020" s="433"/>
      <c r="R1020" s="433"/>
      <c r="S1020" s="432" t="s">
        <v>1443</v>
      </c>
      <c r="T1020" s="432">
        <v>60</v>
      </c>
      <c r="U1020" s="350">
        <v>49201132</v>
      </c>
      <c r="V1020" s="432" t="s">
        <v>986</v>
      </c>
      <c r="W1020" s="432">
        <v>360</v>
      </c>
      <c r="X1020" s="436">
        <v>832</v>
      </c>
      <c r="Y1020" s="408">
        <f t="shared" si="128"/>
        <v>299520</v>
      </c>
      <c r="Z1020" s="409">
        <v>0.505</v>
      </c>
      <c r="AA1020" s="423">
        <f t="shared" si="129"/>
        <v>151257.60000000001</v>
      </c>
      <c r="AB1020" s="411"/>
      <c r="AC1020" s="412">
        <f t="shared" si="130"/>
        <v>0</v>
      </c>
      <c r="AD1020" s="421"/>
      <c r="AE1020" s="413"/>
      <c r="AF1020" s="424">
        <f t="shared" si="131"/>
        <v>151257.60000000001</v>
      </c>
      <c r="AG1020" s="405" t="s">
        <v>1069</v>
      </c>
      <c r="AH1020" s="405"/>
      <c r="AI1020" s="414" t="s">
        <v>1962</v>
      </c>
      <c r="AJ1020" s="405" t="s">
        <v>1969</v>
      </c>
      <c r="AK1020" s="425" t="s">
        <v>1125</v>
      </c>
      <c r="AL1020" s="405">
        <v>85008</v>
      </c>
      <c r="AM1020" s="405" t="s">
        <v>52</v>
      </c>
      <c r="AN1020" s="405" t="s">
        <v>1071</v>
      </c>
      <c r="AO1020" s="405"/>
      <c r="AP1020" s="417"/>
      <c r="AQ1020" s="417" t="s">
        <v>37</v>
      </c>
      <c r="AR1020" s="417"/>
      <c r="AS1020" s="426"/>
      <c r="AT1020" s="426"/>
      <c r="AU1020" s="357"/>
      <c r="AV1020" s="409"/>
    </row>
    <row r="1021" spans="1:48" s="402" customFormat="1" ht="15" customHeight="1">
      <c r="A1021" s="403"/>
      <c r="B1021" s="445">
        <v>44557</v>
      </c>
      <c r="C1021" s="403"/>
      <c r="D1021" s="443" t="s">
        <v>1914</v>
      </c>
      <c r="E1021" s="432" t="s">
        <v>2155</v>
      </c>
      <c r="F1021" s="432"/>
      <c r="G1021" s="432">
        <v>2022</v>
      </c>
      <c r="H1021" s="432" t="s">
        <v>1498</v>
      </c>
      <c r="I1021" s="443" t="s">
        <v>1498</v>
      </c>
      <c r="J1021" s="433"/>
      <c r="K1021" s="434" t="s">
        <v>3377</v>
      </c>
      <c r="L1021" s="432" t="s">
        <v>1967</v>
      </c>
      <c r="M1021" s="435">
        <v>44545</v>
      </c>
      <c r="N1021" s="435">
        <v>44900</v>
      </c>
      <c r="O1021" s="435"/>
      <c r="P1021" s="349"/>
      <c r="Q1021" s="433"/>
      <c r="R1021" s="433"/>
      <c r="S1021" s="432" t="s">
        <v>1443</v>
      </c>
      <c r="T1021" s="432">
        <v>60</v>
      </c>
      <c r="U1021" s="350">
        <v>49401140</v>
      </c>
      <c r="V1021" s="432" t="s">
        <v>1970</v>
      </c>
      <c r="W1021" s="432">
        <v>400</v>
      </c>
      <c r="X1021" s="436">
        <v>768</v>
      </c>
      <c r="Y1021" s="408">
        <f t="shared" si="128"/>
        <v>307200</v>
      </c>
      <c r="Z1021" s="409">
        <v>0.52500000000000002</v>
      </c>
      <c r="AA1021" s="423">
        <f t="shared" si="129"/>
        <v>161280</v>
      </c>
      <c r="AB1021" s="411"/>
      <c r="AC1021" s="412">
        <f t="shared" si="130"/>
        <v>0</v>
      </c>
      <c r="AD1021" s="421"/>
      <c r="AE1021" s="413"/>
      <c r="AF1021" s="424">
        <f t="shared" si="131"/>
        <v>161280</v>
      </c>
      <c r="AG1021" s="405" t="s">
        <v>1069</v>
      </c>
      <c r="AH1021" s="405"/>
      <c r="AI1021" s="414" t="s">
        <v>1962</v>
      </c>
      <c r="AJ1021" s="405" t="s">
        <v>1969</v>
      </c>
      <c r="AK1021" s="425" t="s">
        <v>1125</v>
      </c>
      <c r="AL1021" s="405">
        <v>85008</v>
      </c>
      <c r="AM1021" s="405" t="s">
        <v>52</v>
      </c>
      <c r="AN1021" s="405" t="s">
        <v>1071</v>
      </c>
      <c r="AO1021" s="405"/>
      <c r="AP1021" s="417"/>
      <c r="AQ1021" s="417" t="s">
        <v>37</v>
      </c>
      <c r="AR1021" s="417"/>
      <c r="AS1021" s="426"/>
      <c r="AT1021" s="426"/>
      <c r="AU1021" s="357"/>
      <c r="AV1021" s="409"/>
    </row>
    <row r="1022" spans="1:48" s="402" customFormat="1" ht="15" customHeight="1">
      <c r="A1022" s="403"/>
      <c r="B1022" s="445">
        <v>44557</v>
      </c>
      <c r="C1022" s="403"/>
      <c r="D1022" s="443" t="s">
        <v>1914</v>
      </c>
      <c r="E1022" s="432" t="s">
        <v>2155</v>
      </c>
      <c r="F1022" s="432"/>
      <c r="G1022" s="432">
        <v>2022</v>
      </c>
      <c r="H1022" s="432" t="s">
        <v>1498</v>
      </c>
      <c r="I1022" s="443" t="s">
        <v>1498</v>
      </c>
      <c r="J1022" s="433"/>
      <c r="K1022" s="434" t="s">
        <v>3378</v>
      </c>
      <c r="L1022" s="432" t="s">
        <v>1967</v>
      </c>
      <c r="M1022" s="435">
        <v>44545</v>
      </c>
      <c r="N1022" s="435">
        <v>44906</v>
      </c>
      <c r="O1022" s="435"/>
      <c r="P1022" s="349"/>
      <c r="Q1022" s="433"/>
      <c r="R1022" s="433"/>
      <c r="S1022" s="432" t="s">
        <v>1443</v>
      </c>
      <c r="T1022" s="432">
        <v>60</v>
      </c>
      <c r="U1022" s="350">
        <v>49401140</v>
      </c>
      <c r="V1022" s="432" t="s">
        <v>1970</v>
      </c>
      <c r="W1022" s="432">
        <v>400</v>
      </c>
      <c r="X1022" s="436">
        <v>768</v>
      </c>
      <c r="Y1022" s="408">
        <f t="shared" si="128"/>
        <v>307200</v>
      </c>
      <c r="Z1022" s="409">
        <v>0.52500000000000002</v>
      </c>
      <c r="AA1022" s="423">
        <f t="shared" si="129"/>
        <v>161280</v>
      </c>
      <c r="AB1022" s="411"/>
      <c r="AC1022" s="412">
        <f t="shared" si="130"/>
        <v>0</v>
      </c>
      <c r="AD1022" s="421"/>
      <c r="AE1022" s="413"/>
      <c r="AF1022" s="424">
        <f t="shared" si="131"/>
        <v>161280</v>
      </c>
      <c r="AG1022" s="405" t="s">
        <v>1069</v>
      </c>
      <c r="AH1022" s="405"/>
      <c r="AI1022" s="414" t="s">
        <v>1962</v>
      </c>
      <c r="AJ1022" s="405" t="s">
        <v>1969</v>
      </c>
      <c r="AK1022" s="425" t="s">
        <v>1125</v>
      </c>
      <c r="AL1022" s="405">
        <v>85008</v>
      </c>
      <c r="AM1022" s="405" t="s">
        <v>52</v>
      </c>
      <c r="AN1022" s="405" t="s">
        <v>1071</v>
      </c>
      <c r="AO1022" s="405"/>
      <c r="AP1022" s="417"/>
      <c r="AQ1022" s="417" t="s">
        <v>37</v>
      </c>
      <c r="AR1022" s="417"/>
      <c r="AS1022" s="426"/>
      <c r="AT1022" s="426"/>
      <c r="AU1022" s="357"/>
      <c r="AV1022" s="409"/>
    </row>
    <row r="1023" spans="1:48" s="402" customFormat="1" ht="15" customHeight="1">
      <c r="A1023" s="403"/>
      <c r="B1023" s="445">
        <v>44557</v>
      </c>
      <c r="C1023" s="403"/>
      <c r="D1023" s="443" t="s">
        <v>1914</v>
      </c>
      <c r="E1023" s="432" t="s">
        <v>2155</v>
      </c>
      <c r="F1023" s="432"/>
      <c r="G1023" s="432">
        <v>2022</v>
      </c>
      <c r="H1023" s="432" t="s">
        <v>1498</v>
      </c>
      <c r="I1023" s="443" t="s">
        <v>1498</v>
      </c>
      <c r="J1023" s="433"/>
      <c r="K1023" s="434" t="s">
        <v>3379</v>
      </c>
      <c r="L1023" s="432" t="s">
        <v>1967</v>
      </c>
      <c r="M1023" s="435">
        <v>44545</v>
      </c>
      <c r="N1023" s="435">
        <v>44911</v>
      </c>
      <c r="O1023" s="435"/>
      <c r="P1023" s="349"/>
      <c r="Q1023" s="433"/>
      <c r="R1023" s="433"/>
      <c r="S1023" s="432" t="s">
        <v>1443</v>
      </c>
      <c r="T1023" s="432">
        <v>60</v>
      </c>
      <c r="U1023" s="350">
        <v>49401140</v>
      </c>
      <c r="V1023" s="432" t="s">
        <v>1970</v>
      </c>
      <c r="W1023" s="432">
        <v>400</v>
      </c>
      <c r="X1023" s="436">
        <v>768</v>
      </c>
      <c r="Y1023" s="408">
        <f t="shared" si="128"/>
        <v>307200</v>
      </c>
      <c r="Z1023" s="409">
        <v>0.52500000000000002</v>
      </c>
      <c r="AA1023" s="423">
        <f t="shared" si="129"/>
        <v>161280</v>
      </c>
      <c r="AB1023" s="411"/>
      <c r="AC1023" s="412">
        <f t="shared" si="130"/>
        <v>0</v>
      </c>
      <c r="AD1023" s="421"/>
      <c r="AE1023" s="413"/>
      <c r="AF1023" s="424">
        <f t="shared" si="131"/>
        <v>161280</v>
      </c>
      <c r="AG1023" s="405" t="s">
        <v>1069</v>
      </c>
      <c r="AH1023" s="405"/>
      <c r="AI1023" s="414" t="s">
        <v>1962</v>
      </c>
      <c r="AJ1023" s="405" t="s">
        <v>1969</v>
      </c>
      <c r="AK1023" s="425" t="s">
        <v>1125</v>
      </c>
      <c r="AL1023" s="405">
        <v>85008</v>
      </c>
      <c r="AM1023" s="405" t="s">
        <v>52</v>
      </c>
      <c r="AN1023" s="405" t="s">
        <v>1071</v>
      </c>
      <c r="AO1023" s="405"/>
      <c r="AP1023" s="417"/>
      <c r="AQ1023" s="417" t="s">
        <v>37</v>
      </c>
      <c r="AR1023" s="417"/>
      <c r="AS1023" s="426"/>
      <c r="AT1023" s="426"/>
      <c r="AU1023" s="357"/>
      <c r="AV1023" s="409"/>
    </row>
    <row r="1024" spans="1:48" s="402" customFormat="1" ht="15" customHeight="1">
      <c r="A1024" s="403"/>
      <c r="B1024" s="445">
        <v>44557</v>
      </c>
      <c r="C1024" s="403"/>
      <c r="D1024" s="443" t="s">
        <v>1914</v>
      </c>
      <c r="E1024" s="432" t="s">
        <v>2155</v>
      </c>
      <c r="F1024" s="432"/>
      <c r="G1024" s="432">
        <v>2022</v>
      </c>
      <c r="H1024" s="432" t="s">
        <v>1498</v>
      </c>
      <c r="I1024" s="443" t="s">
        <v>1498</v>
      </c>
      <c r="J1024" s="433"/>
      <c r="K1024" s="434" t="s">
        <v>3380</v>
      </c>
      <c r="L1024" s="432" t="s">
        <v>1967</v>
      </c>
      <c r="M1024" s="435">
        <v>44545</v>
      </c>
      <c r="N1024" s="435">
        <v>44914</v>
      </c>
      <c r="O1024" s="435"/>
      <c r="P1024" s="349"/>
      <c r="Q1024" s="433"/>
      <c r="R1024" s="433"/>
      <c r="S1024" s="432" t="s">
        <v>1443</v>
      </c>
      <c r="T1024" s="432">
        <v>60</v>
      </c>
      <c r="U1024" s="350">
        <v>49401140</v>
      </c>
      <c r="V1024" s="432" t="s">
        <v>1970</v>
      </c>
      <c r="W1024" s="432">
        <v>400</v>
      </c>
      <c r="X1024" s="436">
        <v>768</v>
      </c>
      <c r="Y1024" s="408">
        <f t="shared" si="128"/>
        <v>307200</v>
      </c>
      <c r="Z1024" s="409">
        <v>0.52500000000000002</v>
      </c>
      <c r="AA1024" s="423">
        <f t="shared" si="129"/>
        <v>161280</v>
      </c>
      <c r="AB1024" s="411"/>
      <c r="AC1024" s="412">
        <f t="shared" si="130"/>
        <v>0</v>
      </c>
      <c r="AD1024" s="421"/>
      <c r="AE1024" s="413"/>
      <c r="AF1024" s="424">
        <f t="shared" si="131"/>
        <v>161280</v>
      </c>
      <c r="AG1024" s="405" t="s">
        <v>1069</v>
      </c>
      <c r="AH1024" s="405"/>
      <c r="AI1024" s="414" t="s">
        <v>1962</v>
      </c>
      <c r="AJ1024" s="405" t="s">
        <v>1969</v>
      </c>
      <c r="AK1024" s="425" t="s">
        <v>1125</v>
      </c>
      <c r="AL1024" s="405">
        <v>85008</v>
      </c>
      <c r="AM1024" s="405" t="s">
        <v>52</v>
      </c>
      <c r="AN1024" s="405" t="s">
        <v>1071</v>
      </c>
      <c r="AO1024" s="405"/>
      <c r="AP1024" s="417"/>
      <c r="AQ1024" s="417" t="s">
        <v>37</v>
      </c>
      <c r="AR1024" s="417"/>
      <c r="AS1024" s="426"/>
      <c r="AT1024" s="426"/>
      <c r="AU1024" s="357"/>
      <c r="AV1024" s="409"/>
    </row>
    <row r="1025" spans="1:48" s="402" customFormat="1" ht="15" customHeight="1">
      <c r="A1025" s="403"/>
      <c r="B1025" s="445">
        <v>44557</v>
      </c>
      <c r="C1025" s="403"/>
      <c r="D1025" s="443" t="s">
        <v>1914</v>
      </c>
      <c r="E1025" s="432" t="s">
        <v>2155</v>
      </c>
      <c r="F1025" s="432"/>
      <c r="G1025" s="432">
        <v>2022</v>
      </c>
      <c r="H1025" s="432" t="s">
        <v>1498</v>
      </c>
      <c r="I1025" s="443" t="s">
        <v>1498</v>
      </c>
      <c r="J1025" s="433"/>
      <c r="K1025" s="434" t="s">
        <v>3381</v>
      </c>
      <c r="L1025" s="432" t="s">
        <v>1967</v>
      </c>
      <c r="M1025" s="435">
        <v>44545</v>
      </c>
      <c r="N1025" s="435">
        <v>44916</v>
      </c>
      <c r="O1025" s="435"/>
      <c r="P1025" s="349"/>
      <c r="Q1025" s="433"/>
      <c r="R1025" s="433"/>
      <c r="S1025" s="432" t="s">
        <v>1443</v>
      </c>
      <c r="T1025" s="432">
        <v>60</v>
      </c>
      <c r="U1025" s="350">
        <v>49401140</v>
      </c>
      <c r="V1025" s="432" t="s">
        <v>1970</v>
      </c>
      <c r="W1025" s="432">
        <v>400</v>
      </c>
      <c r="X1025" s="436">
        <v>768</v>
      </c>
      <c r="Y1025" s="408">
        <f t="shared" si="128"/>
        <v>307200</v>
      </c>
      <c r="Z1025" s="409">
        <v>0.52500000000000002</v>
      </c>
      <c r="AA1025" s="423">
        <f t="shared" si="129"/>
        <v>161280</v>
      </c>
      <c r="AB1025" s="411"/>
      <c r="AC1025" s="412">
        <f t="shared" si="130"/>
        <v>0</v>
      </c>
      <c r="AD1025" s="421"/>
      <c r="AE1025" s="413"/>
      <c r="AF1025" s="424">
        <f t="shared" si="131"/>
        <v>161280</v>
      </c>
      <c r="AG1025" s="405" t="s">
        <v>1069</v>
      </c>
      <c r="AH1025" s="405"/>
      <c r="AI1025" s="414" t="s">
        <v>1962</v>
      </c>
      <c r="AJ1025" s="405" t="s">
        <v>1969</v>
      </c>
      <c r="AK1025" s="425" t="s">
        <v>1125</v>
      </c>
      <c r="AL1025" s="405">
        <v>85008</v>
      </c>
      <c r="AM1025" s="405" t="s">
        <v>52</v>
      </c>
      <c r="AN1025" s="405" t="s">
        <v>1071</v>
      </c>
      <c r="AO1025" s="405"/>
      <c r="AP1025" s="417"/>
      <c r="AQ1025" s="417" t="s">
        <v>37</v>
      </c>
      <c r="AR1025" s="417"/>
      <c r="AS1025" s="426"/>
      <c r="AT1025" s="426"/>
      <c r="AU1025" s="357"/>
      <c r="AV1025" s="409"/>
    </row>
    <row r="1026" spans="1:48" s="402" customFormat="1" ht="15" customHeight="1">
      <c r="A1026" s="403"/>
      <c r="B1026" s="445">
        <v>44522</v>
      </c>
      <c r="C1026" s="403"/>
      <c r="D1026" s="443" t="s">
        <v>1914</v>
      </c>
      <c r="E1026" s="432" t="s">
        <v>2155</v>
      </c>
      <c r="F1026" s="432"/>
      <c r="G1026" s="432">
        <v>2022</v>
      </c>
      <c r="H1026" s="432" t="s">
        <v>1498</v>
      </c>
      <c r="I1026" s="443" t="s">
        <v>1498</v>
      </c>
      <c r="J1026" s="433"/>
      <c r="K1026" s="434" t="s">
        <v>3382</v>
      </c>
      <c r="L1026" s="432" t="s">
        <v>1967</v>
      </c>
      <c r="M1026" s="435">
        <v>44518</v>
      </c>
      <c r="N1026" s="435">
        <v>44658</v>
      </c>
      <c r="O1026" s="435"/>
      <c r="P1026" s="349"/>
      <c r="Q1026" s="433"/>
      <c r="R1026" s="433"/>
      <c r="S1026" s="432" t="s">
        <v>1443</v>
      </c>
      <c r="T1026" s="432">
        <v>60</v>
      </c>
      <c r="U1026" s="350">
        <v>49401140</v>
      </c>
      <c r="V1026" s="432" t="s">
        <v>973</v>
      </c>
      <c r="W1026" s="432">
        <v>400</v>
      </c>
      <c r="X1026" s="436">
        <v>768</v>
      </c>
      <c r="Y1026" s="408">
        <f t="shared" si="128"/>
        <v>307200</v>
      </c>
      <c r="Z1026" s="409">
        <f t="shared" ref="Z1026:Z1031" si="132">210/400</f>
        <v>0.52500000000000002</v>
      </c>
      <c r="AA1026" s="423">
        <f t="shared" si="129"/>
        <v>161280</v>
      </c>
      <c r="AB1026" s="411"/>
      <c r="AC1026" s="412">
        <f t="shared" si="130"/>
        <v>0</v>
      </c>
      <c r="AD1026" s="421"/>
      <c r="AE1026" s="413"/>
      <c r="AF1026" s="424">
        <f t="shared" si="131"/>
        <v>161280</v>
      </c>
      <c r="AG1026" s="405" t="s">
        <v>1069</v>
      </c>
      <c r="AH1026" s="405"/>
      <c r="AI1026" s="414" t="s">
        <v>1962</v>
      </c>
      <c r="AJ1026" s="405" t="s">
        <v>1323</v>
      </c>
      <c r="AK1026" s="425" t="s">
        <v>1136</v>
      </c>
      <c r="AL1026" s="405">
        <v>77040</v>
      </c>
      <c r="AM1026" s="405" t="s">
        <v>52</v>
      </c>
      <c r="AN1026" s="405"/>
      <c r="AO1026" s="405"/>
      <c r="AP1026" s="417"/>
      <c r="AQ1026" s="417"/>
      <c r="AR1026" s="417"/>
      <c r="AS1026" s="426"/>
      <c r="AT1026" s="426"/>
      <c r="AU1026" s="357"/>
      <c r="AV1026" s="409"/>
    </row>
    <row r="1027" spans="1:48" s="402" customFormat="1" ht="15" customHeight="1">
      <c r="A1027" s="403"/>
      <c r="B1027" s="445">
        <v>44522</v>
      </c>
      <c r="C1027" s="403"/>
      <c r="D1027" s="443" t="s">
        <v>1914</v>
      </c>
      <c r="E1027" s="432" t="s">
        <v>2155</v>
      </c>
      <c r="F1027" s="432"/>
      <c r="G1027" s="432">
        <v>2022</v>
      </c>
      <c r="H1027" s="432" t="s">
        <v>1498</v>
      </c>
      <c r="I1027" s="443" t="s">
        <v>1498</v>
      </c>
      <c r="J1027" s="433"/>
      <c r="K1027" s="434" t="s">
        <v>3383</v>
      </c>
      <c r="L1027" s="432" t="s">
        <v>1967</v>
      </c>
      <c r="M1027" s="435">
        <v>44518</v>
      </c>
      <c r="N1027" s="435">
        <v>44665</v>
      </c>
      <c r="O1027" s="435"/>
      <c r="P1027" s="349"/>
      <c r="Q1027" s="433"/>
      <c r="R1027" s="433"/>
      <c r="S1027" s="432" t="s">
        <v>1443</v>
      </c>
      <c r="T1027" s="432">
        <v>60</v>
      </c>
      <c r="U1027" s="350">
        <v>49401140</v>
      </c>
      <c r="V1027" s="432" t="s">
        <v>973</v>
      </c>
      <c r="W1027" s="432">
        <v>400</v>
      </c>
      <c r="X1027" s="436">
        <v>768</v>
      </c>
      <c r="Y1027" s="408">
        <f t="shared" si="128"/>
        <v>307200</v>
      </c>
      <c r="Z1027" s="409">
        <f t="shared" si="132"/>
        <v>0.52500000000000002</v>
      </c>
      <c r="AA1027" s="423">
        <f t="shared" si="129"/>
        <v>161280</v>
      </c>
      <c r="AB1027" s="411"/>
      <c r="AC1027" s="412">
        <f t="shared" si="130"/>
        <v>0</v>
      </c>
      <c r="AD1027" s="421"/>
      <c r="AE1027" s="413"/>
      <c r="AF1027" s="424">
        <f t="shared" si="131"/>
        <v>161280</v>
      </c>
      <c r="AG1027" s="405" t="s">
        <v>1069</v>
      </c>
      <c r="AH1027" s="405"/>
      <c r="AI1027" s="414" t="s">
        <v>1962</v>
      </c>
      <c r="AJ1027" s="405" t="s">
        <v>1323</v>
      </c>
      <c r="AK1027" s="425" t="s">
        <v>1136</v>
      </c>
      <c r="AL1027" s="405">
        <v>77040</v>
      </c>
      <c r="AM1027" s="405" t="s">
        <v>52</v>
      </c>
      <c r="AN1027" s="405"/>
      <c r="AO1027" s="405"/>
      <c r="AP1027" s="417"/>
      <c r="AQ1027" s="417"/>
      <c r="AR1027" s="417"/>
      <c r="AS1027" s="426"/>
      <c r="AT1027" s="426"/>
      <c r="AU1027" s="357"/>
      <c r="AV1027" s="409"/>
    </row>
    <row r="1028" spans="1:48" s="402" customFormat="1" ht="15" customHeight="1">
      <c r="A1028" s="403"/>
      <c r="B1028" s="445">
        <v>44522</v>
      </c>
      <c r="C1028" s="403"/>
      <c r="D1028" s="443" t="s">
        <v>1914</v>
      </c>
      <c r="E1028" s="432" t="s">
        <v>2155</v>
      </c>
      <c r="F1028" s="432"/>
      <c r="G1028" s="432">
        <v>2022</v>
      </c>
      <c r="H1028" s="432" t="s">
        <v>1498</v>
      </c>
      <c r="I1028" s="443" t="s">
        <v>1498</v>
      </c>
      <c r="J1028" s="433"/>
      <c r="K1028" s="434" t="s">
        <v>3384</v>
      </c>
      <c r="L1028" s="432" t="s">
        <v>1967</v>
      </c>
      <c r="M1028" s="435">
        <v>44518</v>
      </c>
      <c r="N1028" s="435">
        <v>44688</v>
      </c>
      <c r="O1028" s="435"/>
      <c r="P1028" s="349"/>
      <c r="Q1028" s="433"/>
      <c r="R1028" s="433"/>
      <c r="S1028" s="432" t="s">
        <v>1443</v>
      </c>
      <c r="T1028" s="432">
        <v>60</v>
      </c>
      <c r="U1028" s="350">
        <v>49401140</v>
      </c>
      <c r="V1028" s="432" t="s">
        <v>973</v>
      </c>
      <c r="W1028" s="432">
        <v>400</v>
      </c>
      <c r="X1028" s="436">
        <v>768</v>
      </c>
      <c r="Y1028" s="408">
        <f t="shared" si="128"/>
        <v>307200</v>
      </c>
      <c r="Z1028" s="409">
        <f t="shared" si="132"/>
        <v>0.52500000000000002</v>
      </c>
      <c r="AA1028" s="423">
        <f t="shared" si="129"/>
        <v>161280</v>
      </c>
      <c r="AB1028" s="411"/>
      <c r="AC1028" s="412">
        <f t="shared" si="130"/>
        <v>0</v>
      </c>
      <c r="AD1028" s="421"/>
      <c r="AE1028" s="413"/>
      <c r="AF1028" s="424">
        <f t="shared" si="131"/>
        <v>161280</v>
      </c>
      <c r="AG1028" s="405" t="s">
        <v>1069</v>
      </c>
      <c r="AH1028" s="405"/>
      <c r="AI1028" s="414" t="s">
        <v>1962</v>
      </c>
      <c r="AJ1028" s="405" t="s">
        <v>1323</v>
      </c>
      <c r="AK1028" s="425" t="s">
        <v>1136</v>
      </c>
      <c r="AL1028" s="405">
        <v>77040</v>
      </c>
      <c r="AM1028" s="405" t="s">
        <v>52</v>
      </c>
      <c r="AN1028" s="405"/>
      <c r="AO1028" s="405"/>
      <c r="AP1028" s="417"/>
      <c r="AQ1028" s="417"/>
      <c r="AR1028" s="417"/>
      <c r="AS1028" s="426"/>
      <c r="AT1028" s="426"/>
      <c r="AU1028" s="357"/>
      <c r="AV1028" s="409"/>
    </row>
    <row r="1029" spans="1:48" s="402" customFormat="1" ht="15" customHeight="1">
      <c r="A1029" s="403"/>
      <c r="B1029" s="445">
        <v>44522</v>
      </c>
      <c r="C1029" s="403"/>
      <c r="D1029" s="443" t="s">
        <v>1914</v>
      </c>
      <c r="E1029" s="432" t="s">
        <v>2155</v>
      </c>
      <c r="F1029" s="432"/>
      <c r="G1029" s="432">
        <v>2022</v>
      </c>
      <c r="H1029" s="432" t="s">
        <v>1498</v>
      </c>
      <c r="I1029" s="443" t="s">
        <v>1498</v>
      </c>
      <c r="J1029" s="433"/>
      <c r="K1029" s="434" t="s">
        <v>3385</v>
      </c>
      <c r="L1029" s="432" t="s">
        <v>1967</v>
      </c>
      <c r="M1029" s="435">
        <v>44518</v>
      </c>
      <c r="N1029" s="435">
        <v>44695</v>
      </c>
      <c r="O1029" s="435"/>
      <c r="P1029" s="349"/>
      <c r="Q1029" s="433"/>
      <c r="R1029" s="433"/>
      <c r="S1029" s="432" t="s">
        <v>1443</v>
      </c>
      <c r="T1029" s="432">
        <v>60</v>
      </c>
      <c r="U1029" s="350">
        <v>49401140</v>
      </c>
      <c r="V1029" s="432" t="s">
        <v>973</v>
      </c>
      <c r="W1029" s="432">
        <v>400</v>
      </c>
      <c r="X1029" s="436">
        <v>768</v>
      </c>
      <c r="Y1029" s="408">
        <f t="shared" si="128"/>
        <v>307200</v>
      </c>
      <c r="Z1029" s="409">
        <f t="shared" si="132"/>
        <v>0.52500000000000002</v>
      </c>
      <c r="AA1029" s="423">
        <f t="shared" si="129"/>
        <v>161280</v>
      </c>
      <c r="AB1029" s="411"/>
      <c r="AC1029" s="412">
        <f t="shared" si="130"/>
        <v>0</v>
      </c>
      <c r="AD1029" s="421"/>
      <c r="AE1029" s="413"/>
      <c r="AF1029" s="424">
        <f t="shared" si="131"/>
        <v>161280</v>
      </c>
      <c r="AG1029" s="405" t="s">
        <v>1069</v>
      </c>
      <c r="AH1029" s="405"/>
      <c r="AI1029" s="414" t="s">
        <v>1962</v>
      </c>
      <c r="AJ1029" s="405" t="s">
        <v>1323</v>
      </c>
      <c r="AK1029" s="425" t="s">
        <v>1136</v>
      </c>
      <c r="AL1029" s="405">
        <v>77040</v>
      </c>
      <c r="AM1029" s="405" t="s">
        <v>52</v>
      </c>
      <c r="AN1029" s="405"/>
      <c r="AO1029" s="405"/>
      <c r="AP1029" s="417"/>
      <c r="AQ1029" s="417"/>
      <c r="AR1029" s="417"/>
      <c r="AS1029" s="426"/>
      <c r="AT1029" s="426"/>
      <c r="AU1029" s="357"/>
      <c r="AV1029" s="409"/>
    </row>
    <row r="1030" spans="1:48" s="402" customFormat="1" ht="15" customHeight="1">
      <c r="A1030" s="403"/>
      <c r="B1030" s="445">
        <v>44522</v>
      </c>
      <c r="C1030" s="403"/>
      <c r="D1030" s="443" t="s">
        <v>1914</v>
      </c>
      <c r="E1030" s="432" t="s">
        <v>2155</v>
      </c>
      <c r="F1030" s="432"/>
      <c r="G1030" s="432">
        <v>2022</v>
      </c>
      <c r="H1030" s="432" t="s">
        <v>1498</v>
      </c>
      <c r="I1030" s="443" t="s">
        <v>1498</v>
      </c>
      <c r="J1030" s="433"/>
      <c r="K1030" s="434" t="s">
        <v>3386</v>
      </c>
      <c r="L1030" s="432" t="s">
        <v>1967</v>
      </c>
      <c r="M1030" s="435">
        <v>44518</v>
      </c>
      <c r="N1030" s="435">
        <v>44719</v>
      </c>
      <c r="O1030" s="435"/>
      <c r="P1030" s="349"/>
      <c r="Q1030" s="433"/>
      <c r="R1030" s="433"/>
      <c r="S1030" s="432" t="s">
        <v>1443</v>
      </c>
      <c r="T1030" s="432">
        <v>60</v>
      </c>
      <c r="U1030" s="350">
        <v>49401140</v>
      </c>
      <c r="V1030" s="432" t="s">
        <v>973</v>
      </c>
      <c r="W1030" s="432">
        <v>400</v>
      </c>
      <c r="X1030" s="436">
        <v>768</v>
      </c>
      <c r="Y1030" s="408">
        <f t="shared" si="128"/>
        <v>307200</v>
      </c>
      <c r="Z1030" s="409">
        <f t="shared" si="132"/>
        <v>0.52500000000000002</v>
      </c>
      <c r="AA1030" s="423">
        <f t="shared" si="129"/>
        <v>161280</v>
      </c>
      <c r="AB1030" s="411"/>
      <c r="AC1030" s="412">
        <f t="shared" si="130"/>
        <v>0</v>
      </c>
      <c r="AD1030" s="421"/>
      <c r="AE1030" s="413"/>
      <c r="AF1030" s="424">
        <f t="shared" si="131"/>
        <v>161280</v>
      </c>
      <c r="AG1030" s="405" t="s">
        <v>1069</v>
      </c>
      <c r="AH1030" s="405"/>
      <c r="AI1030" s="414" t="s">
        <v>1962</v>
      </c>
      <c r="AJ1030" s="405" t="s">
        <v>1323</v>
      </c>
      <c r="AK1030" s="425" t="s">
        <v>1136</v>
      </c>
      <c r="AL1030" s="405">
        <v>77040</v>
      </c>
      <c r="AM1030" s="405" t="s">
        <v>52</v>
      </c>
      <c r="AN1030" s="405"/>
      <c r="AO1030" s="405"/>
      <c r="AP1030" s="417"/>
      <c r="AQ1030" s="417"/>
      <c r="AR1030" s="417"/>
      <c r="AS1030" s="426"/>
      <c r="AT1030" s="426"/>
      <c r="AU1030" s="357"/>
      <c r="AV1030" s="409"/>
    </row>
    <row r="1031" spans="1:48" s="402" customFormat="1" ht="15" customHeight="1">
      <c r="A1031" s="403"/>
      <c r="B1031" s="445">
        <v>44522</v>
      </c>
      <c r="C1031" s="403"/>
      <c r="D1031" s="443" t="s">
        <v>1914</v>
      </c>
      <c r="E1031" s="432" t="s">
        <v>2155</v>
      </c>
      <c r="F1031" s="432"/>
      <c r="G1031" s="432">
        <v>2022</v>
      </c>
      <c r="H1031" s="432" t="s">
        <v>1498</v>
      </c>
      <c r="I1031" s="443" t="s">
        <v>1498</v>
      </c>
      <c r="J1031" s="433"/>
      <c r="K1031" s="434" t="s">
        <v>3387</v>
      </c>
      <c r="L1031" s="432" t="s">
        <v>1967</v>
      </c>
      <c r="M1031" s="435">
        <v>44518</v>
      </c>
      <c r="N1031" s="435">
        <v>44726</v>
      </c>
      <c r="O1031" s="435"/>
      <c r="P1031" s="349"/>
      <c r="Q1031" s="433"/>
      <c r="R1031" s="433"/>
      <c r="S1031" s="432" t="s">
        <v>1443</v>
      </c>
      <c r="T1031" s="432">
        <v>60</v>
      </c>
      <c r="U1031" s="350">
        <v>49401140</v>
      </c>
      <c r="V1031" s="432" t="s">
        <v>973</v>
      </c>
      <c r="W1031" s="432">
        <v>400</v>
      </c>
      <c r="X1031" s="436">
        <v>768</v>
      </c>
      <c r="Y1031" s="408">
        <f t="shared" si="128"/>
        <v>307200</v>
      </c>
      <c r="Z1031" s="409">
        <f t="shared" si="132"/>
        <v>0.52500000000000002</v>
      </c>
      <c r="AA1031" s="423">
        <f t="shared" si="129"/>
        <v>161280</v>
      </c>
      <c r="AB1031" s="411"/>
      <c r="AC1031" s="412">
        <f t="shared" si="130"/>
        <v>0</v>
      </c>
      <c r="AD1031" s="421"/>
      <c r="AE1031" s="413"/>
      <c r="AF1031" s="424">
        <f t="shared" si="131"/>
        <v>161280</v>
      </c>
      <c r="AG1031" s="405" t="s">
        <v>1069</v>
      </c>
      <c r="AH1031" s="405"/>
      <c r="AI1031" s="414" t="s">
        <v>1962</v>
      </c>
      <c r="AJ1031" s="405" t="s">
        <v>1323</v>
      </c>
      <c r="AK1031" s="425" t="s">
        <v>1136</v>
      </c>
      <c r="AL1031" s="405">
        <v>77040</v>
      </c>
      <c r="AM1031" s="405" t="s">
        <v>52</v>
      </c>
      <c r="AN1031" s="405"/>
      <c r="AO1031" s="405"/>
      <c r="AP1031" s="417"/>
      <c r="AQ1031" s="417"/>
      <c r="AR1031" s="417"/>
      <c r="AS1031" s="426"/>
      <c r="AT1031" s="426"/>
      <c r="AU1031" s="357"/>
      <c r="AV1031" s="409"/>
    </row>
    <row r="1032" spans="1:48" s="402" customFormat="1" ht="15" customHeight="1">
      <c r="A1032" s="403"/>
      <c r="B1032" s="445">
        <v>44557</v>
      </c>
      <c r="C1032" s="403"/>
      <c r="D1032" s="443" t="s">
        <v>1914</v>
      </c>
      <c r="E1032" s="432" t="s">
        <v>2155</v>
      </c>
      <c r="F1032" s="432"/>
      <c r="G1032" s="432">
        <v>2022</v>
      </c>
      <c r="H1032" s="432" t="s">
        <v>1498</v>
      </c>
      <c r="I1032" s="443" t="s">
        <v>1498</v>
      </c>
      <c r="J1032" s="433"/>
      <c r="K1032" s="434" t="s">
        <v>3388</v>
      </c>
      <c r="L1032" s="432" t="s">
        <v>1967</v>
      </c>
      <c r="M1032" s="435">
        <v>44545</v>
      </c>
      <c r="N1032" s="435">
        <v>44744</v>
      </c>
      <c r="O1032" s="435"/>
      <c r="P1032" s="349"/>
      <c r="Q1032" s="433"/>
      <c r="R1032" s="433"/>
      <c r="S1032" s="432" t="s">
        <v>1443</v>
      </c>
      <c r="T1032" s="432">
        <v>60</v>
      </c>
      <c r="U1032" s="350">
        <v>49401140</v>
      </c>
      <c r="V1032" s="432" t="s">
        <v>973</v>
      </c>
      <c r="W1032" s="432">
        <v>400</v>
      </c>
      <c r="X1032" s="436">
        <v>768</v>
      </c>
      <c r="Y1032" s="408">
        <f t="shared" si="128"/>
        <v>307200</v>
      </c>
      <c r="Z1032" s="409">
        <v>0.52500000000000002</v>
      </c>
      <c r="AA1032" s="423">
        <f t="shared" si="129"/>
        <v>161280</v>
      </c>
      <c r="AB1032" s="411"/>
      <c r="AC1032" s="412">
        <f t="shared" si="130"/>
        <v>0</v>
      </c>
      <c r="AD1032" s="421"/>
      <c r="AE1032" s="413"/>
      <c r="AF1032" s="424">
        <f t="shared" si="131"/>
        <v>161280</v>
      </c>
      <c r="AG1032" s="405" t="s">
        <v>1069</v>
      </c>
      <c r="AH1032" s="405"/>
      <c r="AI1032" s="414">
        <v>60</v>
      </c>
      <c r="AJ1032" s="405" t="s">
        <v>1323</v>
      </c>
      <c r="AK1032" s="425" t="s">
        <v>1136</v>
      </c>
      <c r="AL1032" s="405">
        <v>77040</v>
      </c>
      <c r="AM1032" s="405" t="s">
        <v>52</v>
      </c>
      <c r="AN1032" s="405" t="s">
        <v>1071</v>
      </c>
      <c r="AO1032" s="405"/>
      <c r="AP1032" s="417"/>
      <c r="AQ1032" s="417" t="s">
        <v>37</v>
      </c>
      <c r="AR1032" s="417"/>
      <c r="AS1032" s="426"/>
      <c r="AT1032" s="426"/>
      <c r="AU1032" s="357"/>
      <c r="AV1032" s="409"/>
    </row>
    <row r="1033" spans="1:48" s="402" customFormat="1" ht="15" customHeight="1">
      <c r="A1033" s="403"/>
      <c r="B1033" s="445">
        <v>44557</v>
      </c>
      <c r="C1033" s="403"/>
      <c r="D1033" s="443" t="s">
        <v>1914</v>
      </c>
      <c r="E1033" s="432" t="s">
        <v>2155</v>
      </c>
      <c r="F1033" s="432"/>
      <c r="G1033" s="432">
        <v>2022</v>
      </c>
      <c r="H1033" s="432" t="s">
        <v>1498</v>
      </c>
      <c r="I1033" s="443" t="s">
        <v>1498</v>
      </c>
      <c r="J1033" s="433"/>
      <c r="K1033" s="434" t="s">
        <v>3389</v>
      </c>
      <c r="L1033" s="432" t="s">
        <v>1967</v>
      </c>
      <c r="M1033" s="435">
        <v>44545</v>
      </c>
      <c r="N1033" s="435">
        <v>44757</v>
      </c>
      <c r="O1033" s="435"/>
      <c r="P1033" s="349"/>
      <c r="Q1033" s="433"/>
      <c r="R1033" s="433"/>
      <c r="S1033" s="432" t="s">
        <v>1443</v>
      </c>
      <c r="T1033" s="432">
        <v>60</v>
      </c>
      <c r="U1033" s="350">
        <v>49401140</v>
      </c>
      <c r="V1033" s="432" t="s">
        <v>2284</v>
      </c>
      <c r="W1033" s="432">
        <v>400</v>
      </c>
      <c r="X1033" s="436">
        <v>768</v>
      </c>
      <c r="Y1033" s="408">
        <f t="shared" si="128"/>
        <v>307200</v>
      </c>
      <c r="Z1033" s="409">
        <v>0.52500000000000002</v>
      </c>
      <c r="AA1033" s="423">
        <f t="shared" si="129"/>
        <v>161280</v>
      </c>
      <c r="AB1033" s="411"/>
      <c r="AC1033" s="412">
        <f t="shared" si="130"/>
        <v>0</v>
      </c>
      <c r="AD1033" s="421"/>
      <c r="AE1033" s="413"/>
      <c r="AF1033" s="424">
        <f t="shared" si="131"/>
        <v>161280</v>
      </c>
      <c r="AG1033" s="405" t="s">
        <v>1069</v>
      </c>
      <c r="AH1033" s="405"/>
      <c r="AI1033" s="414">
        <v>60</v>
      </c>
      <c r="AJ1033" s="405" t="s">
        <v>1323</v>
      </c>
      <c r="AK1033" s="425" t="s">
        <v>1136</v>
      </c>
      <c r="AL1033" s="405">
        <v>77040</v>
      </c>
      <c r="AM1033" s="405" t="s">
        <v>52</v>
      </c>
      <c r="AN1033" s="405" t="s">
        <v>1071</v>
      </c>
      <c r="AO1033" s="405"/>
      <c r="AP1033" s="417"/>
      <c r="AQ1033" s="417" t="s">
        <v>37</v>
      </c>
      <c r="AR1033" s="417"/>
      <c r="AS1033" s="426"/>
      <c r="AT1033" s="426"/>
      <c r="AU1033" s="357"/>
      <c r="AV1033" s="409"/>
    </row>
    <row r="1034" spans="1:48" s="402" customFormat="1" ht="15" customHeight="1">
      <c r="A1034" s="403"/>
      <c r="B1034" s="445">
        <v>44557</v>
      </c>
      <c r="C1034" s="403"/>
      <c r="D1034" s="443" t="s">
        <v>1914</v>
      </c>
      <c r="E1034" s="432" t="s">
        <v>2155</v>
      </c>
      <c r="F1034" s="432"/>
      <c r="G1034" s="432">
        <v>2022</v>
      </c>
      <c r="H1034" s="432" t="s">
        <v>1498</v>
      </c>
      <c r="I1034" s="443" t="s">
        <v>1498</v>
      </c>
      <c r="J1034" s="433"/>
      <c r="K1034" s="434" t="s">
        <v>3390</v>
      </c>
      <c r="L1034" s="432" t="s">
        <v>1967</v>
      </c>
      <c r="M1034" s="435">
        <v>44545</v>
      </c>
      <c r="N1034" s="435">
        <v>44775</v>
      </c>
      <c r="O1034" s="435"/>
      <c r="P1034" s="349"/>
      <c r="Q1034" s="433"/>
      <c r="R1034" s="433"/>
      <c r="S1034" s="432" t="s">
        <v>1443</v>
      </c>
      <c r="T1034" s="432">
        <v>60</v>
      </c>
      <c r="U1034" s="350">
        <v>49401140</v>
      </c>
      <c r="V1034" s="432" t="s">
        <v>2284</v>
      </c>
      <c r="W1034" s="432">
        <v>400</v>
      </c>
      <c r="X1034" s="436">
        <v>768</v>
      </c>
      <c r="Y1034" s="408">
        <f t="shared" si="128"/>
        <v>307200</v>
      </c>
      <c r="Z1034" s="409">
        <v>0.52500000000000002</v>
      </c>
      <c r="AA1034" s="423">
        <f t="shared" si="129"/>
        <v>161280</v>
      </c>
      <c r="AB1034" s="411"/>
      <c r="AC1034" s="412">
        <f t="shared" si="130"/>
        <v>0</v>
      </c>
      <c r="AD1034" s="421"/>
      <c r="AE1034" s="413"/>
      <c r="AF1034" s="424">
        <f t="shared" si="131"/>
        <v>161280</v>
      </c>
      <c r="AG1034" s="405" t="s">
        <v>1069</v>
      </c>
      <c r="AH1034" s="405"/>
      <c r="AI1034" s="414">
        <v>60</v>
      </c>
      <c r="AJ1034" s="405" t="s">
        <v>1323</v>
      </c>
      <c r="AK1034" s="425" t="s">
        <v>1136</v>
      </c>
      <c r="AL1034" s="405">
        <v>77040</v>
      </c>
      <c r="AM1034" s="405" t="s">
        <v>52</v>
      </c>
      <c r="AN1034" s="405" t="s">
        <v>1071</v>
      </c>
      <c r="AO1034" s="405"/>
      <c r="AP1034" s="417"/>
      <c r="AQ1034" s="417" t="s">
        <v>37</v>
      </c>
      <c r="AR1034" s="417"/>
      <c r="AS1034" s="426"/>
      <c r="AT1034" s="426"/>
      <c r="AU1034" s="357"/>
      <c r="AV1034" s="409"/>
    </row>
    <row r="1035" spans="1:48" s="402" customFormat="1" ht="15" customHeight="1">
      <c r="A1035" s="403"/>
      <c r="B1035" s="445">
        <v>44557</v>
      </c>
      <c r="C1035" s="403"/>
      <c r="D1035" s="443" t="s">
        <v>1914</v>
      </c>
      <c r="E1035" s="432" t="s">
        <v>2155</v>
      </c>
      <c r="F1035" s="432"/>
      <c r="G1035" s="432">
        <v>2022</v>
      </c>
      <c r="H1035" s="432" t="s">
        <v>1498</v>
      </c>
      <c r="I1035" s="443" t="s">
        <v>1498</v>
      </c>
      <c r="J1035" s="433"/>
      <c r="K1035" s="434" t="s">
        <v>3391</v>
      </c>
      <c r="L1035" s="432" t="s">
        <v>1967</v>
      </c>
      <c r="M1035" s="435">
        <v>44545</v>
      </c>
      <c r="N1035" s="435">
        <v>44788</v>
      </c>
      <c r="O1035" s="435"/>
      <c r="P1035" s="349"/>
      <c r="Q1035" s="433"/>
      <c r="R1035" s="433"/>
      <c r="S1035" s="432" t="s">
        <v>1443</v>
      </c>
      <c r="T1035" s="432">
        <v>60</v>
      </c>
      <c r="U1035" s="350">
        <v>49401140</v>
      </c>
      <c r="V1035" s="432" t="s">
        <v>2284</v>
      </c>
      <c r="W1035" s="432">
        <v>400</v>
      </c>
      <c r="X1035" s="436">
        <v>768</v>
      </c>
      <c r="Y1035" s="408">
        <f t="shared" si="128"/>
        <v>307200</v>
      </c>
      <c r="Z1035" s="409">
        <v>0.52500000000000002</v>
      </c>
      <c r="AA1035" s="423">
        <f t="shared" si="129"/>
        <v>161280</v>
      </c>
      <c r="AB1035" s="411"/>
      <c r="AC1035" s="412">
        <f t="shared" si="130"/>
        <v>0</v>
      </c>
      <c r="AD1035" s="421"/>
      <c r="AE1035" s="413"/>
      <c r="AF1035" s="424">
        <f t="shared" si="131"/>
        <v>161280</v>
      </c>
      <c r="AG1035" s="405" t="s">
        <v>1069</v>
      </c>
      <c r="AH1035" s="405"/>
      <c r="AI1035" s="414">
        <v>60</v>
      </c>
      <c r="AJ1035" s="405" t="s">
        <v>1323</v>
      </c>
      <c r="AK1035" s="425" t="s">
        <v>1136</v>
      </c>
      <c r="AL1035" s="405">
        <v>77040</v>
      </c>
      <c r="AM1035" s="405" t="s">
        <v>52</v>
      </c>
      <c r="AN1035" s="405" t="s">
        <v>1071</v>
      </c>
      <c r="AO1035" s="405"/>
      <c r="AP1035" s="417"/>
      <c r="AQ1035" s="417" t="s">
        <v>37</v>
      </c>
      <c r="AR1035" s="417"/>
      <c r="AS1035" s="426"/>
      <c r="AT1035" s="426"/>
      <c r="AU1035" s="357"/>
      <c r="AV1035" s="409"/>
    </row>
    <row r="1036" spans="1:48" s="402" customFormat="1" ht="15" customHeight="1">
      <c r="A1036" s="403"/>
      <c r="B1036" s="445">
        <v>44557</v>
      </c>
      <c r="C1036" s="403"/>
      <c r="D1036" s="443" t="s">
        <v>1914</v>
      </c>
      <c r="E1036" s="432" t="s">
        <v>2155</v>
      </c>
      <c r="F1036" s="432"/>
      <c r="G1036" s="432">
        <v>2022</v>
      </c>
      <c r="H1036" s="432" t="s">
        <v>1498</v>
      </c>
      <c r="I1036" s="443" t="s">
        <v>1498</v>
      </c>
      <c r="J1036" s="433"/>
      <c r="K1036" s="434" t="s">
        <v>3392</v>
      </c>
      <c r="L1036" s="432" t="s">
        <v>1967</v>
      </c>
      <c r="M1036" s="435">
        <v>44545</v>
      </c>
      <c r="N1036" s="435">
        <v>44806</v>
      </c>
      <c r="O1036" s="435"/>
      <c r="P1036" s="349"/>
      <c r="Q1036" s="433"/>
      <c r="R1036" s="433"/>
      <c r="S1036" s="432" t="s">
        <v>1443</v>
      </c>
      <c r="T1036" s="432">
        <v>60</v>
      </c>
      <c r="U1036" s="350">
        <v>49401140</v>
      </c>
      <c r="V1036" s="432" t="s">
        <v>2284</v>
      </c>
      <c r="W1036" s="432">
        <v>400</v>
      </c>
      <c r="X1036" s="436">
        <v>768</v>
      </c>
      <c r="Y1036" s="408">
        <f t="shared" si="128"/>
        <v>307200</v>
      </c>
      <c r="Z1036" s="409">
        <v>0.52500000000000002</v>
      </c>
      <c r="AA1036" s="423">
        <f t="shared" si="129"/>
        <v>161280</v>
      </c>
      <c r="AB1036" s="411"/>
      <c r="AC1036" s="412">
        <f t="shared" si="130"/>
        <v>0</v>
      </c>
      <c r="AD1036" s="421"/>
      <c r="AE1036" s="413"/>
      <c r="AF1036" s="424">
        <f t="shared" si="131"/>
        <v>161280</v>
      </c>
      <c r="AG1036" s="405" t="s">
        <v>1069</v>
      </c>
      <c r="AH1036" s="405"/>
      <c r="AI1036" s="414">
        <v>60</v>
      </c>
      <c r="AJ1036" s="405" t="s">
        <v>1323</v>
      </c>
      <c r="AK1036" s="425" t="s">
        <v>1136</v>
      </c>
      <c r="AL1036" s="405">
        <v>77040</v>
      </c>
      <c r="AM1036" s="405" t="s">
        <v>52</v>
      </c>
      <c r="AN1036" s="405" t="s">
        <v>1071</v>
      </c>
      <c r="AO1036" s="405"/>
      <c r="AP1036" s="417"/>
      <c r="AQ1036" s="417" t="s">
        <v>37</v>
      </c>
      <c r="AR1036" s="417"/>
      <c r="AS1036" s="426"/>
      <c r="AT1036" s="426"/>
      <c r="AU1036" s="357"/>
      <c r="AV1036" s="409"/>
    </row>
    <row r="1037" spans="1:48" s="402" customFormat="1" ht="15" customHeight="1">
      <c r="A1037" s="403"/>
      <c r="B1037" s="445">
        <v>44557</v>
      </c>
      <c r="C1037" s="403"/>
      <c r="D1037" s="443" t="s">
        <v>1914</v>
      </c>
      <c r="E1037" s="432" t="s">
        <v>2155</v>
      </c>
      <c r="F1037" s="432"/>
      <c r="G1037" s="432">
        <v>2022</v>
      </c>
      <c r="H1037" s="432" t="s">
        <v>1498</v>
      </c>
      <c r="I1037" s="443" t="s">
        <v>1498</v>
      </c>
      <c r="J1037" s="433"/>
      <c r="K1037" s="434" t="s">
        <v>3393</v>
      </c>
      <c r="L1037" s="432" t="s">
        <v>1967</v>
      </c>
      <c r="M1037" s="435">
        <v>44545</v>
      </c>
      <c r="N1037" s="435">
        <v>44819</v>
      </c>
      <c r="O1037" s="435"/>
      <c r="P1037" s="349"/>
      <c r="Q1037" s="433"/>
      <c r="R1037" s="433"/>
      <c r="S1037" s="432" t="s">
        <v>1443</v>
      </c>
      <c r="T1037" s="432">
        <v>60</v>
      </c>
      <c r="U1037" s="350">
        <v>49401140</v>
      </c>
      <c r="V1037" s="432" t="s">
        <v>2284</v>
      </c>
      <c r="W1037" s="432">
        <v>400</v>
      </c>
      <c r="X1037" s="436">
        <v>768</v>
      </c>
      <c r="Y1037" s="408">
        <f t="shared" si="128"/>
        <v>307200</v>
      </c>
      <c r="Z1037" s="409">
        <v>0.52500000000000002</v>
      </c>
      <c r="AA1037" s="423">
        <f t="shared" si="129"/>
        <v>161280</v>
      </c>
      <c r="AB1037" s="411"/>
      <c r="AC1037" s="412">
        <f t="shared" si="130"/>
        <v>0</v>
      </c>
      <c r="AD1037" s="421"/>
      <c r="AE1037" s="413"/>
      <c r="AF1037" s="424">
        <f t="shared" si="131"/>
        <v>161280</v>
      </c>
      <c r="AG1037" s="405" t="s">
        <v>1069</v>
      </c>
      <c r="AH1037" s="405"/>
      <c r="AI1037" s="414">
        <v>60</v>
      </c>
      <c r="AJ1037" s="405" t="s">
        <v>1323</v>
      </c>
      <c r="AK1037" s="425" t="s">
        <v>1136</v>
      </c>
      <c r="AL1037" s="405">
        <v>77040</v>
      </c>
      <c r="AM1037" s="405" t="s">
        <v>52</v>
      </c>
      <c r="AN1037" s="405" t="s">
        <v>1071</v>
      </c>
      <c r="AO1037" s="405"/>
      <c r="AP1037" s="417"/>
      <c r="AQ1037" s="417" t="s">
        <v>37</v>
      </c>
      <c r="AR1037" s="417"/>
      <c r="AS1037" s="426"/>
      <c r="AT1037" s="426"/>
      <c r="AU1037" s="357"/>
      <c r="AV1037" s="409"/>
    </row>
    <row r="1038" spans="1:48" s="402" customFormat="1" ht="15" customHeight="1">
      <c r="A1038" s="403"/>
      <c r="B1038" s="445">
        <v>44557</v>
      </c>
      <c r="C1038" s="403"/>
      <c r="D1038" s="443" t="s">
        <v>1914</v>
      </c>
      <c r="E1038" s="432" t="s">
        <v>2155</v>
      </c>
      <c r="F1038" s="432"/>
      <c r="G1038" s="432">
        <v>2022</v>
      </c>
      <c r="H1038" s="432" t="s">
        <v>1498</v>
      </c>
      <c r="I1038" s="443" t="s">
        <v>1498</v>
      </c>
      <c r="J1038" s="433"/>
      <c r="K1038" s="434" t="s">
        <v>3394</v>
      </c>
      <c r="L1038" s="432" t="s">
        <v>1967</v>
      </c>
      <c r="M1038" s="435">
        <v>44545</v>
      </c>
      <c r="N1038" s="435">
        <v>44835</v>
      </c>
      <c r="O1038" s="435"/>
      <c r="P1038" s="349"/>
      <c r="Q1038" s="433"/>
      <c r="R1038" s="433"/>
      <c r="S1038" s="432" t="s">
        <v>1443</v>
      </c>
      <c r="T1038" s="432">
        <v>60</v>
      </c>
      <c r="U1038" s="350">
        <v>49401140</v>
      </c>
      <c r="V1038" s="432" t="s">
        <v>2284</v>
      </c>
      <c r="W1038" s="432">
        <v>400</v>
      </c>
      <c r="X1038" s="436">
        <v>768</v>
      </c>
      <c r="Y1038" s="408">
        <f t="shared" si="128"/>
        <v>307200</v>
      </c>
      <c r="Z1038" s="409">
        <v>0.52500000000000002</v>
      </c>
      <c r="AA1038" s="423">
        <f t="shared" si="129"/>
        <v>161280</v>
      </c>
      <c r="AB1038" s="411"/>
      <c r="AC1038" s="412">
        <f t="shared" si="130"/>
        <v>0</v>
      </c>
      <c r="AD1038" s="421"/>
      <c r="AE1038" s="413"/>
      <c r="AF1038" s="424">
        <f t="shared" si="131"/>
        <v>161280</v>
      </c>
      <c r="AG1038" s="405" t="s">
        <v>1069</v>
      </c>
      <c r="AH1038" s="405"/>
      <c r="AI1038" s="414">
        <v>60</v>
      </c>
      <c r="AJ1038" s="405" t="s">
        <v>1323</v>
      </c>
      <c r="AK1038" s="425" t="s">
        <v>1136</v>
      </c>
      <c r="AL1038" s="405">
        <v>77040</v>
      </c>
      <c r="AM1038" s="405" t="s">
        <v>52</v>
      </c>
      <c r="AN1038" s="405" t="s">
        <v>1071</v>
      </c>
      <c r="AO1038" s="405"/>
      <c r="AP1038" s="417"/>
      <c r="AQ1038" s="417" t="s">
        <v>37</v>
      </c>
      <c r="AR1038" s="417"/>
      <c r="AS1038" s="426"/>
      <c r="AT1038" s="426"/>
      <c r="AU1038" s="357"/>
      <c r="AV1038" s="409"/>
    </row>
    <row r="1039" spans="1:48" s="402" customFormat="1" ht="15" customHeight="1">
      <c r="A1039" s="403"/>
      <c r="B1039" s="445">
        <v>44557</v>
      </c>
      <c r="C1039" s="403"/>
      <c r="D1039" s="443" t="s">
        <v>1914</v>
      </c>
      <c r="E1039" s="432" t="s">
        <v>2155</v>
      </c>
      <c r="F1039" s="432"/>
      <c r="G1039" s="432">
        <v>2022</v>
      </c>
      <c r="H1039" s="432" t="s">
        <v>1498</v>
      </c>
      <c r="I1039" s="443" t="s">
        <v>1498</v>
      </c>
      <c r="J1039" s="433"/>
      <c r="K1039" s="434" t="s">
        <v>3395</v>
      </c>
      <c r="L1039" s="432" t="s">
        <v>1967</v>
      </c>
      <c r="M1039" s="435">
        <v>44545</v>
      </c>
      <c r="N1039" s="435">
        <v>44847</v>
      </c>
      <c r="O1039" s="435"/>
      <c r="P1039" s="349"/>
      <c r="Q1039" s="433"/>
      <c r="R1039" s="433"/>
      <c r="S1039" s="432" t="s">
        <v>1443</v>
      </c>
      <c r="T1039" s="432">
        <v>60</v>
      </c>
      <c r="U1039" s="350">
        <v>49401140</v>
      </c>
      <c r="V1039" s="432" t="s">
        <v>2284</v>
      </c>
      <c r="W1039" s="432">
        <v>400</v>
      </c>
      <c r="X1039" s="436">
        <v>768</v>
      </c>
      <c r="Y1039" s="408">
        <f t="shared" si="128"/>
        <v>307200</v>
      </c>
      <c r="Z1039" s="409">
        <v>0.52500000000000002</v>
      </c>
      <c r="AA1039" s="423">
        <f t="shared" si="129"/>
        <v>161280</v>
      </c>
      <c r="AB1039" s="411"/>
      <c r="AC1039" s="412">
        <f t="shared" si="130"/>
        <v>0</v>
      </c>
      <c r="AD1039" s="421"/>
      <c r="AE1039" s="413"/>
      <c r="AF1039" s="424">
        <f t="shared" si="131"/>
        <v>161280</v>
      </c>
      <c r="AG1039" s="405" t="s">
        <v>1069</v>
      </c>
      <c r="AH1039" s="405"/>
      <c r="AI1039" s="414">
        <v>60</v>
      </c>
      <c r="AJ1039" s="405" t="s">
        <v>1323</v>
      </c>
      <c r="AK1039" s="425" t="s">
        <v>1136</v>
      </c>
      <c r="AL1039" s="405">
        <v>77040</v>
      </c>
      <c r="AM1039" s="405" t="s">
        <v>52</v>
      </c>
      <c r="AN1039" s="405" t="s">
        <v>1071</v>
      </c>
      <c r="AO1039" s="405"/>
      <c r="AP1039" s="417"/>
      <c r="AQ1039" s="417" t="s">
        <v>37</v>
      </c>
      <c r="AR1039" s="417"/>
      <c r="AS1039" s="426"/>
      <c r="AT1039" s="426"/>
      <c r="AU1039" s="357"/>
      <c r="AV1039" s="409"/>
    </row>
    <row r="1040" spans="1:48" s="402" customFormat="1" ht="15" customHeight="1">
      <c r="A1040" s="403"/>
      <c r="B1040" s="445">
        <v>44557</v>
      </c>
      <c r="C1040" s="403"/>
      <c r="D1040" s="443" t="s">
        <v>1914</v>
      </c>
      <c r="E1040" s="432" t="s">
        <v>2155</v>
      </c>
      <c r="F1040" s="432"/>
      <c r="G1040" s="432">
        <v>2022</v>
      </c>
      <c r="H1040" s="432" t="s">
        <v>1498</v>
      </c>
      <c r="I1040" s="443" t="s">
        <v>1498</v>
      </c>
      <c r="J1040" s="433"/>
      <c r="K1040" s="434" t="s">
        <v>3396</v>
      </c>
      <c r="L1040" s="432" t="s">
        <v>1967</v>
      </c>
      <c r="M1040" s="435">
        <v>44545</v>
      </c>
      <c r="N1040" s="435">
        <v>44866</v>
      </c>
      <c r="O1040" s="435"/>
      <c r="P1040" s="349"/>
      <c r="Q1040" s="433"/>
      <c r="R1040" s="433"/>
      <c r="S1040" s="432" t="s">
        <v>1443</v>
      </c>
      <c r="T1040" s="432">
        <v>60</v>
      </c>
      <c r="U1040" s="350">
        <v>49401140</v>
      </c>
      <c r="V1040" s="432" t="s">
        <v>2284</v>
      </c>
      <c r="W1040" s="432">
        <v>400</v>
      </c>
      <c r="X1040" s="436">
        <v>768</v>
      </c>
      <c r="Y1040" s="408">
        <f t="shared" si="128"/>
        <v>307200</v>
      </c>
      <c r="Z1040" s="409">
        <v>0.52500000000000002</v>
      </c>
      <c r="AA1040" s="423">
        <f t="shared" si="129"/>
        <v>161280</v>
      </c>
      <c r="AB1040" s="411"/>
      <c r="AC1040" s="412">
        <f t="shared" si="130"/>
        <v>0</v>
      </c>
      <c r="AD1040" s="421"/>
      <c r="AE1040" s="413"/>
      <c r="AF1040" s="424">
        <f t="shared" si="131"/>
        <v>161280</v>
      </c>
      <c r="AG1040" s="405" t="s">
        <v>1069</v>
      </c>
      <c r="AH1040" s="405"/>
      <c r="AI1040" s="414">
        <v>60</v>
      </c>
      <c r="AJ1040" s="405" t="s">
        <v>1323</v>
      </c>
      <c r="AK1040" s="425" t="s">
        <v>1136</v>
      </c>
      <c r="AL1040" s="405">
        <v>77040</v>
      </c>
      <c r="AM1040" s="405" t="s">
        <v>52</v>
      </c>
      <c r="AN1040" s="405" t="s">
        <v>1071</v>
      </c>
      <c r="AO1040" s="405"/>
      <c r="AP1040" s="417"/>
      <c r="AQ1040" s="417" t="s">
        <v>37</v>
      </c>
      <c r="AR1040" s="417"/>
      <c r="AS1040" s="426"/>
      <c r="AT1040" s="426"/>
      <c r="AU1040" s="357"/>
      <c r="AV1040" s="409"/>
    </row>
    <row r="1041" spans="1:48" s="402" customFormat="1" ht="15" customHeight="1">
      <c r="A1041" s="403"/>
      <c r="B1041" s="445">
        <v>44557</v>
      </c>
      <c r="C1041" s="403"/>
      <c r="D1041" s="443" t="s">
        <v>1914</v>
      </c>
      <c r="E1041" s="432" t="s">
        <v>2155</v>
      </c>
      <c r="F1041" s="432"/>
      <c r="G1041" s="432">
        <v>2022</v>
      </c>
      <c r="H1041" s="432" t="s">
        <v>1498</v>
      </c>
      <c r="I1041" s="443" t="s">
        <v>1498</v>
      </c>
      <c r="J1041" s="433"/>
      <c r="K1041" s="434" t="s">
        <v>3397</v>
      </c>
      <c r="L1041" s="432" t="s">
        <v>1967</v>
      </c>
      <c r="M1041" s="435">
        <v>44545</v>
      </c>
      <c r="N1041" s="435">
        <v>44871</v>
      </c>
      <c r="O1041" s="435"/>
      <c r="P1041" s="349"/>
      <c r="Q1041" s="433"/>
      <c r="R1041" s="433"/>
      <c r="S1041" s="432" t="s">
        <v>1443</v>
      </c>
      <c r="T1041" s="432">
        <v>60</v>
      </c>
      <c r="U1041" s="350">
        <v>49401140</v>
      </c>
      <c r="V1041" s="432" t="s">
        <v>2284</v>
      </c>
      <c r="W1041" s="432">
        <v>400</v>
      </c>
      <c r="X1041" s="436">
        <v>768</v>
      </c>
      <c r="Y1041" s="408">
        <f t="shared" ref="Y1041:Y1104" si="133">X1041*W1041</f>
        <v>307200</v>
      </c>
      <c r="Z1041" s="409">
        <v>0.52500000000000002</v>
      </c>
      <c r="AA1041" s="423">
        <f t="shared" ref="AA1041:AA1104" si="134">Z1041*Y1041</f>
        <v>161280</v>
      </c>
      <c r="AB1041" s="411"/>
      <c r="AC1041" s="412">
        <f t="shared" ref="AC1041:AC1104" si="135">AB1041*Y1041</f>
        <v>0</v>
      </c>
      <c r="AD1041" s="421"/>
      <c r="AE1041" s="413"/>
      <c r="AF1041" s="424">
        <f t="shared" ref="AF1041:AF1104" si="136">AA1041+AE1041</f>
        <v>161280</v>
      </c>
      <c r="AG1041" s="405" t="s">
        <v>1069</v>
      </c>
      <c r="AH1041" s="405"/>
      <c r="AI1041" s="414">
        <v>60</v>
      </c>
      <c r="AJ1041" s="405" t="s">
        <v>1323</v>
      </c>
      <c r="AK1041" s="425" t="s">
        <v>1136</v>
      </c>
      <c r="AL1041" s="405">
        <v>77040</v>
      </c>
      <c r="AM1041" s="405" t="s">
        <v>52</v>
      </c>
      <c r="AN1041" s="405" t="s">
        <v>1071</v>
      </c>
      <c r="AO1041" s="405"/>
      <c r="AP1041" s="417"/>
      <c r="AQ1041" s="417" t="s">
        <v>37</v>
      </c>
      <c r="AR1041" s="417"/>
      <c r="AS1041" s="426"/>
      <c r="AT1041" s="426"/>
      <c r="AU1041" s="357"/>
      <c r="AV1041" s="409"/>
    </row>
    <row r="1042" spans="1:48" s="402" customFormat="1" ht="15" customHeight="1">
      <c r="A1042" s="403"/>
      <c r="B1042" s="445">
        <v>44557</v>
      </c>
      <c r="C1042" s="403"/>
      <c r="D1042" s="443" t="s">
        <v>1914</v>
      </c>
      <c r="E1042" s="432" t="s">
        <v>2155</v>
      </c>
      <c r="F1042" s="432"/>
      <c r="G1042" s="432">
        <v>2022</v>
      </c>
      <c r="H1042" s="432" t="s">
        <v>1498</v>
      </c>
      <c r="I1042" s="443" t="s">
        <v>1498</v>
      </c>
      <c r="J1042" s="433"/>
      <c r="K1042" s="434" t="s">
        <v>3398</v>
      </c>
      <c r="L1042" s="432" t="s">
        <v>1967</v>
      </c>
      <c r="M1042" s="435">
        <v>44545</v>
      </c>
      <c r="N1042" s="435">
        <v>44880</v>
      </c>
      <c r="O1042" s="435"/>
      <c r="P1042" s="349"/>
      <c r="Q1042" s="433"/>
      <c r="R1042" s="433"/>
      <c r="S1042" s="432" t="s">
        <v>1443</v>
      </c>
      <c r="T1042" s="432">
        <v>60</v>
      </c>
      <c r="U1042" s="350">
        <v>49401140</v>
      </c>
      <c r="V1042" s="432" t="s">
        <v>2284</v>
      </c>
      <c r="W1042" s="432">
        <v>400</v>
      </c>
      <c r="X1042" s="436">
        <v>768</v>
      </c>
      <c r="Y1042" s="408">
        <f t="shared" si="133"/>
        <v>307200</v>
      </c>
      <c r="Z1042" s="409">
        <v>0.52500000000000002</v>
      </c>
      <c r="AA1042" s="423">
        <f t="shared" si="134"/>
        <v>161280</v>
      </c>
      <c r="AB1042" s="411"/>
      <c r="AC1042" s="412">
        <f t="shared" si="135"/>
        <v>0</v>
      </c>
      <c r="AD1042" s="421"/>
      <c r="AE1042" s="413"/>
      <c r="AF1042" s="424">
        <f t="shared" si="136"/>
        <v>161280</v>
      </c>
      <c r="AG1042" s="405" t="s">
        <v>1069</v>
      </c>
      <c r="AH1042" s="405"/>
      <c r="AI1042" s="414">
        <v>60</v>
      </c>
      <c r="AJ1042" s="405" t="s">
        <v>1323</v>
      </c>
      <c r="AK1042" s="425" t="s">
        <v>1136</v>
      </c>
      <c r="AL1042" s="405">
        <v>77040</v>
      </c>
      <c r="AM1042" s="405" t="s">
        <v>52</v>
      </c>
      <c r="AN1042" s="405" t="s">
        <v>1071</v>
      </c>
      <c r="AO1042" s="405"/>
      <c r="AP1042" s="417"/>
      <c r="AQ1042" s="417" t="s">
        <v>37</v>
      </c>
      <c r="AR1042" s="417"/>
      <c r="AS1042" s="426"/>
      <c r="AT1042" s="426"/>
      <c r="AU1042" s="357"/>
      <c r="AV1042" s="409"/>
    </row>
    <row r="1043" spans="1:48" s="402" customFormat="1" ht="15" customHeight="1">
      <c r="A1043" s="403"/>
      <c r="B1043" s="445">
        <v>44557</v>
      </c>
      <c r="C1043" s="403"/>
      <c r="D1043" s="443" t="s">
        <v>1914</v>
      </c>
      <c r="E1043" s="432" t="s">
        <v>2155</v>
      </c>
      <c r="F1043" s="432"/>
      <c r="G1043" s="432">
        <v>2022</v>
      </c>
      <c r="H1043" s="432" t="s">
        <v>1498</v>
      </c>
      <c r="I1043" s="443" t="s">
        <v>1498</v>
      </c>
      <c r="J1043" s="433"/>
      <c r="K1043" s="434" t="s">
        <v>3399</v>
      </c>
      <c r="L1043" s="432" t="s">
        <v>1967</v>
      </c>
      <c r="M1043" s="435">
        <v>44545</v>
      </c>
      <c r="N1043" s="435">
        <v>44899</v>
      </c>
      <c r="O1043" s="435"/>
      <c r="P1043" s="349"/>
      <c r="Q1043" s="433"/>
      <c r="R1043" s="433"/>
      <c r="S1043" s="432" t="s">
        <v>1443</v>
      </c>
      <c r="T1043" s="432">
        <v>60</v>
      </c>
      <c r="U1043" s="350">
        <v>49401140</v>
      </c>
      <c r="V1043" s="432" t="s">
        <v>2284</v>
      </c>
      <c r="W1043" s="432">
        <v>400</v>
      </c>
      <c r="X1043" s="436">
        <v>768</v>
      </c>
      <c r="Y1043" s="408">
        <f t="shared" si="133"/>
        <v>307200</v>
      </c>
      <c r="Z1043" s="409">
        <v>0.52500000000000002</v>
      </c>
      <c r="AA1043" s="423">
        <f t="shared" si="134"/>
        <v>161280</v>
      </c>
      <c r="AB1043" s="411"/>
      <c r="AC1043" s="412">
        <f t="shared" si="135"/>
        <v>0</v>
      </c>
      <c r="AD1043" s="421"/>
      <c r="AE1043" s="413"/>
      <c r="AF1043" s="424">
        <f t="shared" si="136"/>
        <v>161280</v>
      </c>
      <c r="AG1043" s="405" t="s">
        <v>1069</v>
      </c>
      <c r="AH1043" s="405"/>
      <c r="AI1043" s="414">
        <v>60</v>
      </c>
      <c r="AJ1043" s="405" t="s">
        <v>1323</v>
      </c>
      <c r="AK1043" s="425" t="s">
        <v>1136</v>
      </c>
      <c r="AL1043" s="405">
        <v>77040</v>
      </c>
      <c r="AM1043" s="405" t="s">
        <v>52</v>
      </c>
      <c r="AN1043" s="405" t="s">
        <v>1071</v>
      </c>
      <c r="AO1043" s="405"/>
      <c r="AP1043" s="417"/>
      <c r="AQ1043" s="417" t="s">
        <v>37</v>
      </c>
      <c r="AR1043" s="417"/>
      <c r="AS1043" s="426"/>
      <c r="AT1043" s="426"/>
      <c r="AU1043" s="357"/>
      <c r="AV1043" s="409"/>
    </row>
    <row r="1044" spans="1:48" s="402" customFormat="1" ht="15" customHeight="1">
      <c r="A1044" s="403"/>
      <c r="B1044" s="445">
        <v>44557</v>
      </c>
      <c r="C1044" s="403"/>
      <c r="D1044" s="443" t="s">
        <v>1914</v>
      </c>
      <c r="E1044" s="432" t="s">
        <v>2155</v>
      </c>
      <c r="F1044" s="432"/>
      <c r="G1044" s="432">
        <v>2022</v>
      </c>
      <c r="H1044" s="432" t="s">
        <v>1498</v>
      </c>
      <c r="I1044" s="443" t="s">
        <v>1498</v>
      </c>
      <c r="J1044" s="433"/>
      <c r="K1044" s="434" t="s">
        <v>3400</v>
      </c>
      <c r="L1044" s="432" t="s">
        <v>1967</v>
      </c>
      <c r="M1044" s="435">
        <v>44545</v>
      </c>
      <c r="N1044" s="435">
        <v>44908</v>
      </c>
      <c r="O1044" s="435"/>
      <c r="P1044" s="349"/>
      <c r="Q1044" s="433"/>
      <c r="R1044" s="433"/>
      <c r="S1044" s="432" t="s">
        <v>1443</v>
      </c>
      <c r="T1044" s="432">
        <v>60</v>
      </c>
      <c r="U1044" s="350">
        <v>49401140</v>
      </c>
      <c r="V1044" s="432" t="s">
        <v>1970</v>
      </c>
      <c r="W1044" s="432">
        <v>400</v>
      </c>
      <c r="X1044" s="436">
        <v>768</v>
      </c>
      <c r="Y1044" s="408">
        <f t="shared" si="133"/>
        <v>307200</v>
      </c>
      <c r="Z1044" s="409">
        <v>0.52500000000000002</v>
      </c>
      <c r="AA1044" s="423">
        <f t="shared" si="134"/>
        <v>161280</v>
      </c>
      <c r="AB1044" s="411"/>
      <c r="AC1044" s="412">
        <f t="shared" si="135"/>
        <v>0</v>
      </c>
      <c r="AD1044" s="421"/>
      <c r="AE1044" s="413"/>
      <c r="AF1044" s="424">
        <f t="shared" si="136"/>
        <v>161280</v>
      </c>
      <c r="AG1044" s="405" t="s">
        <v>1069</v>
      </c>
      <c r="AH1044" s="405"/>
      <c r="AI1044" s="414" t="s">
        <v>1962</v>
      </c>
      <c r="AJ1044" s="405" t="s">
        <v>1323</v>
      </c>
      <c r="AK1044" s="425" t="s">
        <v>1136</v>
      </c>
      <c r="AL1044" s="405">
        <v>77040</v>
      </c>
      <c r="AM1044" s="405" t="s">
        <v>52</v>
      </c>
      <c r="AN1044" s="405" t="s">
        <v>1071</v>
      </c>
      <c r="AO1044" s="405"/>
      <c r="AP1044" s="417"/>
      <c r="AQ1044" s="417" t="s">
        <v>37</v>
      </c>
      <c r="AR1044" s="417"/>
      <c r="AS1044" s="426"/>
      <c r="AT1044" s="426"/>
      <c r="AU1044" s="357"/>
      <c r="AV1044" s="409"/>
    </row>
    <row r="1045" spans="1:48" s="402" customFormat="1" ht="15" customHeight="1">
      <c r="A1045" s="403"/>
      <c r="B1045" s="445">
        <v>44522</v>
      </c>
      <c r="C1045" s="403"/>
      <c r="D1045" s="443" t="s">
        <v>1914</v>
      </c>
      <c r="E1045" s="432" t="s">
        <v>2155</v>
      </c>
      <c r="F1045" s="432"/>
      <c r="G1045" s="432">
        <v>2022</v>
      </c>
      <c r="H1045" s="432" t="s">
        <v>1498</v>
      </c>
      <c r="I1045" s="443" t="s">
        <v>1498</v>
      </c>
      <c r="J1045" s="433"/>
      <c r="K1045" s="434" t="s">
        <v>3401</v>
      </c>
      <c r="L1045" s="432" t="s">
        <v>1967</v>
      </c>
      <c r="M1045" s="435">
        <v>44509</v>
      </c>
      <c r="N1045" s="435">
        <v>44571</v>
      </c>
      <c r="O1045" s="435"/>
      <c r="P1045" s="349"/>
      <c r="Q1045" s="433"/>
      <c r="R1045" s="433"/>
      <c r="S1045" s="432" t="s">
        <v>1443</v>
      </c>
      <c r="T1045" s="432">
        <v>60</v>
      </c>
      <c r="U1045" s="350">
        <v>49401140</v>
      </c>
      <c r="V1045" s="432" t="s">
        <v>973</v>
      </c>
      <c r="W1045" s="432">
        <v>400</v>
      </c>
      <c r="X1045" s="436">
        <v>768</v>
      </c>
      <c r="Y1045" s="408">
        <f t="shared" si="133"/>
        <v>307200</v>
      </c>
      <c r="Z1045" s="409">
        <f>210/400</f>
        <v>0.52500000000000002</v>
      </c>
      <c r="AA1045" s="423">
        <f t="shared" si="134"/>
        <v>161280</v>
      </c>
      <c r="AB1045" s="411"/>
      <c r="AC1045" s="412">
        <f t="shared" si="135"/>
        <v>0</v>
      </c>
      <c r="AD1045" s="421"/>
      <c r="AE1045" s="413"/>
      <c r="AF1045" s="424">
        <f t="shared" si="136"/>
        <v>161280</v>
      </c>
      <c r="AG1045" s="405" t="s">
        <v>1069</v>
      </c>
      <c r="AH1045" s="405"/>
      <c r="AI1045" s="414" t="s">
        <v>1962</v>
      </c>
      <c r="AJ1045" s="405" t="s">
        <v>1933</v>
      </c>
      <c r="AK1045" s="425" t="s">
        <v>1328</v>
      </c>
      <c r="AL1045" s="405">
        <v>89120</v>
      </c>
      <c r="AM1045" s="405" t="s">
        <v>52</v>
      </c>
      <c r="AN1045" s="405"/>
      <c r="AO1045" s="405"/>
      <c r="AP1045" s="417"/>
      <c r="AQ1045" s="417" t="s">
        <v>37</v>
      </c>
      <c r="AR1045" s="417"/>
      <c r="AS1045" s="426"/>
      <c r="AT1045" s="426"/>
      <c r="AU1045" s="357"/>
      <c r="AV1045" s="409"/>
    </row>
    <row r="1046" spans="1:48" s="402" customFormat="1" ht="15" customHeight="1">
      <c r="A1046" s="403"/>
      <c r="B1046" s="445">
        <v>44557</v>
      </c>
      <c r="C1046" s="403"/>
      <c r="D1046" s="443" t="s">
        <v>1914</v>
      </c>
      <c r="E1046" s="432" t="s">
        <v>2155</v>
      </c>
      <c r="F1046" s="432"/>
      <c r="G1046" s="432">
        <v>2022</v>
      </c>
      <c r="H1046" s="432" t="s">
        <v>1498</v>
      </c>
      <c r="I1046" s="443" t="s">
        <v>1498</v>
      </c>
      <c r="J1046" s="433"/>
      <c r="K1046" s="434" t="s">
        <v>3402</v>
      </c>
      <c r="L1046" s="432" t="s">
        <v>1967</v>
      </c>
      <c r="M1046" s="435">
        <v>44545</v>
      </c>
      <c r="N1046" s="435">
        <v>44809</v>
      </c>
      <c r="O1046" s="435"/>
      <c r="P1046" s="349"/>
      <c r="Q1046" s="433"/>
      <c r="R1046" s="433"/>
      <c r="S1046" s="432" t="s">
        <v>1443</v>
      </c>
      <c r="T1046" s="432">
        <v>60</v>
      </c>
      <c r="U1046" s="350">
        <v>49401140</v>
      </c>
      <c r="V1046" s="432" t="s">
        <v>1970</v>
      </c>
      <c r="W1046" s="432">
        <v>400</v>
      </c>
      <c r="X1046" s="436">
        <v>768</v>
      </c>
      <c r="Y1046" s="408">
        <f t="shared" si="133"/>
        <v>307200</v>
      </c>
      <c r="Z1046" s="409">
        <v>0.52500000000000002</v>
      </c>
      <c r="AA1046" s="423">
        <f t="shared" si="134"/>
        <v>161280</v>
      </c>
      <c r="AB1046" s="411"/>
      <c r="AC1046" s="412">
        <f t="shared" si="135"/>
        <v>0</v>
      </c>
      <c r="AD1046" s="421"/>
      <c r="AE1046" s="413"/>
      <c r="AF1046" s="424">
        <f t="shared" si="136"/>
        <v>161280</v>
      </c>
      <c r="AG1046" s="405" t="s">
        <v>1069</v>
      </c>
      <c r="AH1046" s="405"/>
      <c r="AI1046" s="414" t="s">
        <v>1962</v>
      </c>
      <c r="AJ1046" s="405" t="s">
        <v>1933</v>
      </c>
      <c r="AK1046" s="425" t="s">
        <v>1328</v>
      </c>
      <c r="AL1046" s="405">
        <v>89120</v>
      </c>
      <c r="AM1046" s="405" t="s">
        <v>52</v>
      </c>
      <c r="AN1046" s="405" t="s">
        <v>1071</v>
      </c>
      <c r="AO1046" s="405"/>
      <c r="AP1046" s="417"/>
      <c r="AQ1046" s="417" t="s">
        <v>37</v>
      </c>
      <c r="AR1046" s="417"/>
      <c r="AS1046" s="426"/>
      <c r="AT1046" s="426"/>
      <c r="AU1046" s="357"/>
      <c r="AV1046" s="409"/>
    </row>
    <row r="1047" spans="1:48" s="402" customFormat="1" ht="15" customHeight="1">
      <c r="A1047" s="403"/>
      <c r="B1047" s="445">
        <v>44557</v>
      </c>
      <c r="C1047" s="403"/>
      <c r="D1047" s="443" t="s">
        <v>1914</v>
      </c>
      <c r="E1047" s="432" t="s">
        <v>2155</v>
      </c>
      <c r="F1047" s="432"/>
      <c r="G1047" s="432">
        <v>2022</v>
      </c>
      <c r="H1047" s="432" t="s">
        <v>1498</v>
      </c>
      <c r="I1047" s="443" t="s">
        <v>1498</v>
      </c>
      <c r="J1047" s="433"/>
      <c r="K1047" s="434" t="s">
        <v>3403</v>
      </c>
      <c r="L1047" s="432" t="s">
        <v>1967</v>
      </c>
      <c r="M1047" s="435">
        <v>44545</v>
      </c>
      <c r="N1047" s="435">
        <v>44839</v>
      </c>
      <c r="O1047" s="435"/>
      <c r="P1047" s="349"/>
      <c r="Q1047" s="433"/>
      <c r="R1047" s="433"/>
      <c r="S1047" s="432" t="s">
        <v>1443</v>
      </c>
      <c r="T1047" s="432">
        <v>60</v>
      </c>
      <c r="U1047" s="350">
        <v>49401140</v>
      </c>
      <c r="V1047" s="432" t="s">
        <v>1970</v>
      </c>
      <c r="W1047" s="432">
        <v>400</v>
      </c>
      <c r="X1047" s="436">
        <v>768</v>
      </c>
      <c r="Y1047" s="408">
        <f t="shared" si="133"/>
        <v>307200</v>
      </c>
      <c r="Z1047" s="409">
        <v>0.52500000000000002</v>
      </c>
      <c r="AA1047" s="423">
        <f t="shared" si="134"/>
        <v>161280</v>
      </c>
      <c r="AB1047" s="411"/>
      <c r="AC1047" s="412">
        <f t="shared" si="135"/>
        <v>0</v>
      </c>
      <c r="AD1047" s="421"/>
      <c r="AE1047" s="413"/>
      <c r="AF1047" s="424">
        <f t="shared" si="136"/>
        <v>161280</v>
      </c>
      <c r="AG1047" s="405" t="s">
        <v>1069</v>
      </c>
      <c r="AH1047" s="405"/>
      <c r="AI1047" s="414" t="s">
        <v>1962</v>
      </c>
      <c r="AJ1047" s="405" t="s">
        <v>1933</v>
      </c>
      <c r="AK1047" s="425" t="s">
        <v>1328</v>
      </c>
      <c r="AL1047" s="405">
        <v>89120</v>
      </c>
      <c r="AM1047" s="405" t="s">
        <v>52</v>
      </c>
      <c r="AN1047" s="405" t="s">
        <v>1071</v>
      </c>
      <c r="AO1047" s="405"/>
      <c r="AP1047" s="417"/>
      <c r="AQ1047" s="417" t="s">
        <v>37</v>
      </c>
      <c r="AR1047" s="417"/>
      <c r="AS1047" s="426"/>
      <c r="AT1047" s="426"/>
      <c r="AU1047" s="357"/>
      <c r="AV1047" s="409"/>
    </row>
    <row r="1048" spans="1:48" s="402" customFormat="1" ht="15" customHeight="1">
      <c r="A1048" s="403"/>
      <c r="B1048" s="445">
        <v>44557</v>
      </c>
      <c r="C1048" s="403"/>
      <c r="D1048" s="443" t="s">
        <v>1914</v>
      </c>
      <c r="E1048" s="432" t="s">
        <v>2155</v>
      </c>
      <c r="F1048" s="432"/>
      <c r="G1048" s="432">
        <v>2022</v>
      </c>
      <c r="H1048" s="432" t="s">
        <v>1498</v>
      </c>
      <c r="I1048" s="443" t="s">
        <v>1498</v>
      </c>
      <c r="J1048" s="433"/>
      <c r="K1048" s="434" t="s">
        <v>3404</v>
      </c>
      <c r="L1048" s="432" t="s">
        <v>1967</v>
      </c>
      <c r="M1048" s="435">
        <v>44545</v>
      </c>
      <c r="N1048" s="435">
        <v>44870</v>
      </c>
      <c r="O1048" s="435"/>
      <c r="P1048" s="349"/>
      <c r="Q1048" s="433"/>
      <c r="R1048" s="433"/>
      <c r="S1048" s="432" t="s">
        <v>1443</v>
      </c>
      <c r="T1048" s="432">
        <v>60</v>
      </c>
      <c r="U1048" s="350">
        <v>49401140</v>
      </c>
      <c r="V1048" s="432" t="s">
        <v>1970</v>
      </c>
      <c r="W1048" s="432">
        <v>400</v>
      </c>
      <c r="X1048" s="436">
        <v>768</v>
      </c>
      <c r="Y1048" s="408">
        <f t="shared" si="133"/>
        <v>307200</v>
      </c>
      <c r="Z1048" s="409">
        <v>0.52500000000000002</v>
      </c>
      <c r="AA1048" s="423">
        <f t="shared" si="134"/>
        <v>161280</v>
      </c>
      <c r="AB1048" s="411"/>
      <c r="AC1048" s="412">
        <f t="shared" si="135"/>
        <v>0</v>
      </c>
      <c r="AD1048" s="421"/>
      <c r="AE1048" s="413"/>
      <c r="AF1048" s="424">
        <f t="shared" si="136"/>
        <v>161280</v>
      </c>
      <c r="AG1048" s="405" t="s">
        <v>1069</v>
      </c>
      <c r="AH1048" s="405"/>
      <c r="AI1048" s="414" t="s">
        <v>1962</v>
      </c>
      <c r="AJ1048" s="405" t="s">
        <v>1933</v>
      </c>
      <c r="AK1048" s="425" t="s">
        <v>1328</v>
      </c>
      <c r="AL1048" s="405">
        <v>89120</v>
      </c>
      <c r="AM1048" s="405" t="s">
        <v>52</v>
      </c>
      <c r="AN1048" s="405" t="s">
        <v>1071</v>
      </c>
      <c r="AO1048" s="405"/>
      <c r="AP1048" s="417"/>
      <c r="AQ1048" s="417" t="s">
        <v>37</v>
      </c>
      <c r="AR1048" s="417"/>
      <c r="AS1048" s="426"/>
      <c r="AT1048" s="426"/>
      <c r="AU1048" s="357"/>
      <c r="AV1048" s="409"/>
    </row>
    <row r="1049" spans="1:48" s="402" customFormat="1" ht="15" customHeight="1">
      <c r="A1049" s="403"/>
      <c r="B1049" s="445"/>
      <c r="C1049" s="403"/>
      <c r="D1049" s="443" t="s">
        <v>1914</v>
      </c>
      <c r="E1049" s="432" t="s">
        <v>2155</v>
      </c>
      <c r="F1049" s="432"/>
      <c r="G1049" s="432">
        <v>2022</v>
      </c>
      <c r="H1049" s="432" t="s">
        <v>1498</v>
      </c>
      <c r="I1049" s="443" t="s">
        <v>1498</v>
      </c>
      <c r="J1049" s="433"/>
      <c r="K1049" s="434" t="s">
        <v>3405</v>
      </c>
      <c r="L1049" s="432" t="s">
        <v>1967</v>
      </c>
      <c r="M1049" s="435">
        <v>44545</v>
      </c>
      <c r="N1049" s="435">
        <v>44809</v>
      </c>
      <c r="O1049" s="435"/>
      <c r="P1049" s="349"/>
      <c r="Q1049" s="433"/>
      <c r="R1049" s="433"/>
      <c r="S1049" s="432" t="s">
        <v>1443</v>
      </c>
      <c r="T1049" s="432">
        <v>60</v>
      </c>
      <c r="U1049" s="350">
        <v>49401140</v>
      </c>
      <c r="V1049" s="432" t="s">
        <v>973</v>
      </c>
      <c r="W1049" s="432">
        <v>400</v>
      </c>
      <c r="X1049" s="436">
        <v>768</v>
      </c>
      <c r="Y1049" s="408">
        <f t="shared" si="133"/>
        <v>307200</v>
      </c>
      <c r="Z1049" s="409">
        <f>210/400</f>
        <v>0.52500000000000002</v>
      </c>
      <c r="AA1049" s="410">
        <f t="shared" si="134"/>
        <v>161280</v>
      </c>
      <c r="AB1049" s="411"/>
      <c r="AC1049" s="412">
        <f t="shared" si="135"/>
        <v>0</v>
      </c>
      <c r="AD1049" s="421"/>
      <c r="AE1049" s="413"/>
      <c r="AF1049" s="424">
        <f t="shared" si="136"/>
        <v>161280</v>
      </c>
      <c r="AG1049" s="405" t="s">
        <v>1069</v>
      </c>
      <c r="AH1049" s="405"/>
      <c r="AI1049" s="414">
        <v>60</v>
      </c>
      <c r="AJ1049" s="405" t="s">
        <v>1924</v>
      </c>
      <c r="AK1049" s="425" t="s">
        <v>50</v>
      </c>
      <c r="AL1049" s="405">
        <v>90620</v>
      </c>
      <c r="AM1049" s="405" t="s">
        <v>52</v>
      </c>
      <c r="AN1049" s="405"/>
      <c r="AO1049" s="405"/>
      <c r="AP1049" s="417"/>
      <c r="AQ1049" s="417" t="s">
        <v>37</v>
      </c>
      <c r="AR1049" s="417"/>
      <c r="AS1049" s="426"/>
      <c r="AT1049" s="426"/>
      <c r="AU1049" s="357"/>
      <c r="AV1049" s="409"/>
    </row>
    <row r="1050" spans="1:48" s="402" customFormat="1" ht="15" customHeight="1">
      <c r="A1050" s="403"/>
      <c r="B1050" s="445"/>
      <c r="C1050" s="403"/>
      <c r="D1050" s="443" t="s">
        <v>1914</v>
      </c>
      <c r="E1050" s="432" t="s">
        <v>2155</v>
      </c>
      <c r="F1050" s="432"/>
      <c r="G1050" s="432">
        <v>2022</v>
      </c>
      <c r="H1050" s="432" t="s">
        <v>1498</v>
      </c>
      <c r="I1050" s="443" t="s">
        <v>1498</v>
      </c>
      <c r="J1050" s="433"/>
      <c r="K1050" s="434" t="s">
        <v>3406</v>
      </c>
      <c r="L1050" s="432" t="s">
        <v>1967</v>
      </c>
      <c r="M1050" s="435">
        <v>44545</v>
      </c>
      <c r="N1050" s="435">
        <v>44900</v>
      </c>
      <c r="O1050" s="435"/>
      <c r="P1050" s="349"/>
      <c r="Q1050" s="433"/>
      <c r="R1050" s="433"/>
      <c r="S1050" s="432" t="s">
        <v>1443</v>
      </c>
      <c r="T1050" s="432">
        <v>60</v>
      </c>
      <c r="U1050" s="350">
        <v>49401140</v>
      </c>
      <c r="V1050" s="432" t="s">
        <v>973</v>
      </c>
      <c r="W1050" s="432">
        <v>400</v>
      </c>
      <c r="X1050" s="436">
        <v>768</v>
      </c>
      <c r="Y1050" s="408">
        <f t="shared" si="133"/>
        <v>307200</v>
      </c>
      <c r="Z1050" s="409">
        <f>210/400</f>
        <v>0.52500000000000002</v>
      </c>
      <c r="AA1050" s="410">
        <f t="shared" si="134"/>
        <v>161280</v>
      </c>
      <c r="AB1050" s="411"/>
      <c r="AC1050" s="412">
        <f t="shared" si="135"/>
        <v>0</v>
      </c>
      <c r="AD1050" s="421"/>
      <c r="AE1050" s="413"/>
      <c r="AF1050" s="424">
        <f t="shared" si="136"/>
        <v>161280</v>
      </c>
      <c r="AG1050" s="405" t="s">
        <v>1069</v>
      </c>
      <c r="AH1050" s="405"/>
      <c r="AI1050" s="414">
        <v>60</v>
      </c>
      <c r="AJ1050" s="405" t="s">
        <v>1924</v>
      </c>
      <c r="AK1050" s="425" t="s">
        <v>50</v>
      </c>
      <c r="AL1050" s="405">
        <v>90621</v>
      </c>
      <c r="AM1050" s="405" t="s">
        <v>52</v>
      </c>
      <c r="AN1050" s="405"/>
      <c r="AO1050" s="405"/>
      <c r="AP1050" s="417"/>
      <c r="AQ1050" s="417" t="s">
        <v>37</v>
      </c>
      <c r="AR1050" s="417"/>
      <c r="AS1050" s="426"/>
      <c r="AT1050" s="426"/>
      <c r="AU1050" s="357"/>
      <c r="AV1050" s="409"/>
    </row>
    <row r="1051" spans="1:48" s="402" customFormat="1" ht="15" customHeight="1">
      <c r="A1051" s="403"/>
      <c r="B1051" s="445"/>
      <c r="C1051" s="403"/>
      <c r="D1051" s="443" t="s">
        <v>1914</v>
      </c>
      <c r="E1051" s="432" t="s">
        <v>2155</v>
      </c>
      <c r="F1051" s="432"/>
      <c r="G1051" s="432">
        <v>2022</v>
      </c>
      <c r="H1051" s="432" t="s">
        <v>1498</v>
      </c>
      <c r="I1051" s="443" t="s">
        <v>1498</v>
      </c>
      <c r="J1051" s="433"/>
      <c r="K1051" s="434" t="s">
        <v>3407</v>
      </c>
      <c r="L1051" s="432" t="s">
        <v>1967</v>
      </c>
      <c r="M1051" s="435">
        <v>44545</v>
      </c>
      <c r="N1051" s="435">
        <v>44888</v>
      </c>
      <c r="O1051" s="435"/>
      <c r="P1051" s="349"/>
      <c r="Q1051" s="433"/>
      <c r="R1051" s="433"/>
      <c r="S1051" s="432" t="s">
        <v>1443</v>
      </c>
      <c r="T1051" s="432">
        <v>60</v>
      </c>
      <c r="U1051" s="350">
        <v>49401140</v>
      </c>
      <c r="V1051" s="432" t="s">
        <v>973</v>
      </c>
      <c r="W1051" s="432">
        <v>400</v>
      </c>
      <c r="X1051" s="436">
        <v>768</v>
      </c>
      <c r="Y1051" s="408">
        <f t="shared" si="133"/>
        <v>307200</v>
      </c>
      <c r="Z1051" s="409">
        <f>210/400</f>
        <v>0.52500000000000002</v>
      </c>
      <c r="AA1051" s="410">
        <f t="shared" si="134"/>
        <v>161280</v>
      </c>
      <c r="AB1051" s="411"/>
      <c r="AC1051" s="412">
        <f t="shared" si="135"/>
        <v>0</v>
      </c>
      <c r="AD1051" s="421"/>
      <c r="AE1051" s="413"/>
      <c r="AF1051" s="424">
        <f t="shared" si="136"/>
        <v>161280</v>
      </c>
      <c r="AG1051" s="405" t="s">
        <v>1069</v>
      </c>
      <c r="AH1051" s="405"/>
      <c r="AI1051" s="414">
        <v>60</v>
      </c>
      <c r="AJ1051" s="405" t="s">
        <v>1969</v>
      </c>
      <c r="AK1051" s="425" t="s">
        <v>1125</v>
      </c>
      <c r="AL1051" s="405">
        <v>85008</v>
      </c>
      <c r="AM1051" s="405" t="s">
        <v>52</v>
      </c>
      <c r="AN1051" s="405"/>
      <c r="AO1051" s="405"/>
      <c r="AP1051" s="417"/>
      <c r="AQ1051" s="417" t="s">
        <v>37</v>
      </c>
      <c r="AR1051" s="417"/>
      <c r="AS1051" s="426"/>
      <c r="AT1051" s="426"/>
      <c r="AU1051" s="357"/>
      <c r="AV1051" s="409"/>
    </row>
    <row r="1052" spans="1:48" s="402" customFormat="1" ht="15" customHeight="1">
      <c r="A1052" s="403"/>
      <c r="B1052" s="445"/>
      <c r="C1052" s="403"/>
      <c r="D1052" s="443" t="s">
        <v>1914</v>
      </c>
      <c r="E1052" s="432" t="s">
        <v>2155</v>
      </c>
      <c r="F1052" s="432"/>
      <c r="G1052" s="432">
        <v>2022</v>
      </c>
      <c r="H1052" s="432" t="s">
        <v>1498</v>
      </c>
      <c r="I1052" s="443" t="s">
        <v>1498</v>
      </c>
      <c r="J1052" s="433"/>
      <c r="K1052" s="434" t="s">
        <v>3408</v>
      </c>
      <c r="L1052" s="432" t="s">
        <v>1967</v>
      </c>
      <c r="M1052" s="435">
        <v>44545</v>
      </c>
      <c r="N1052" s="435">
        <v>44849</v>
      </c>
      <c r="O1052" s="435"/>
      <c r="P1052" s="349"/>
      <c r="Q1052" s="433"/>
      <c r="R1052" s="433"/>
      <c r="S1052" s="432" t="s">
        <v>1443</v>
      </c>
      <c r="T1052" s="432">
        <v>60</v>
      </c>
      <c r="U1052" s="350"/>
      <c r="V1052" s="432" t="s">
        <v>1192</v>
      </c>
      <c r="W1052" s="432">
        <v>360</v>
      </c>
      <c r="X1052" s="436">
        <v>832</v>
      </c>
      <c r="Y1052" s="408">
        <f t="shared" si="133"/>
        <v>299520</v>
      </c>
      <c r="Z1052" s="409">
        <f>284.4/360</f>
        <v>0.78999999999999992</v>
      </c>
      <c r="AA1052" s="410">
        <f t="shared" si="134"/>
        <v>236620.79999999999</v>
      </c>
      <c r="AB1052" s="411"/>
      <c r="AC1052" s="412">
        <f t="shared" si="135"/>
        <v>0</v>
      </c>
      <c r="AD1052" s="421"/>
      <c r="AE1052" s="413"/>
      <c r="AF1052" s="424">
        <f t="shared" si="136"/>
        <v>236620.79999999999</v>
      </c>
      <c r="AG1052" s="405" t="s">
        <v>1069</v>
      </c>
      <c r="AH1052" s="405"/>
      <c r="AI1052" s="414">
        <v>60</v>
      </c>
      <c r="AJ1052" s="405" t="s">
        <v>1968</v>
      </c>
      <c r="AK1052" s="425" t="s">
        <v>1599</v>
      </c>
      <c r="AL1052" s="405">
        <v>97210</v>
      </c>
      <c r="AM1052" s="405" t="s">
        <v>52</v>
      </c>
      <c r="AN1052" s="405"/>
      <c r="AO1052" s="405"/>
      <c r="AP1052" s="417"/>
      <c r="AQ1052" s="417" t="s">
        <v>37</v>
      </c>
      <c r="AR1052" s="417"/>
      <c r="AS1052" s="426"/>
      <c r="AT1052" s="426"/>
      <c r="AU1052" s="357"/>
      <c r="AV1052" s="409"/>
    </row>
    <row r="1053" spans="1:48" s="402" customFormat="1" ht="15" customHeight="1">
      <c r="A1053" s="403"/>
      <c r="B1053" s="445"/>
      <c r="C1053" s="403"/>
      <c r="D1053" s="443" t="s">
        <v>1914</v>
      </c>
      <c r="E1053" s="432" t="s">
        <v>2155</v>
      </c>
      <c r="F1053" s="432"/>
      <c r="G1053" s="432">
        <v>2022</v>
      </c>
      <c r="H1053" s="432" t="s">
        <v>1498</v>
      </c>
      <c r="I1053" s="443" t="s">
        <v>1498</v>
      </c>
      <c r="J1053" s="433"/>
      <c r="K1053" s="487" t="s">
        <v>4652</v>
      </c>
      <c r="L1053" s="488" t="s">
        <v>1967</v>
      </c>
      <c r="M1053" s="435">
        <v>44686</v>
      </c>
      <c r="N1053" s="435">
        <v>44722</v>
      </c>
      <c r="O1053" s="435"/>
      <c r="P1053" s="349"/>
      <c r="Q1053" s="433"/>
      <c r="R1053" s="433"/>
      <c r="S1053" s="432" t="s">
        <v>1443</v>
      </c>
      <c r="T1053" s="432">
        <v>60</v>
      </c>
      <c r="U1053" s="350"/>
      <c r="V1053" s="432" t="s">
        <v>1192</v>
      </c>
      <c r="W1053" s="432">
        <v>360</v>
      </c>
      <c r="X1053" s="436">
        <v>832</v>
      </c>
      <c r="Y1053" s="408">
        <f t="shared" si="133"/>
        <v>299520</v>
      </c>
      <c r="Z1053" s="409">
        <v>0.9</v>
      </c>
      <c r="AA1053" s="410">
        <f t="shared" si="134"/>
        <v>269568</v>
      </c>
      <c r="AB1053" s="411"/>
      <c r="AC1053" s="412">
        <f t="shared" si="135"/>
        <v>0</v>
      </c>
      <c r="AD1053" s="421"/>
      <c r="AE1053" s="413"/>
      <c r="AF1053" s="424">
        <f t="shared" si="136"/>
        <v>269568</v>
      </c>
      <c r="AG1053" s="405" t="s">
        <v>1069</v>
      </c>
      <c r="AH1053" s="405"/>
      <c r="AI1053" s="414">
        <v>60</v>
      </c>
      <c r="AJ1053" s="405" t="s">
        <v>1968</v>
      </c>
      <c r="AK1053" s="425" t="s">
        <v>1599</v>
      </c>
      <c r="AL1053" s="405">
        <v>97210</v>
      </c>
      <c r="AM1053" s="405" t="s">
        <v>52</v>
      </c>
      <c r="AN1053" s="405"/>
      <c r="AO1053" s="405"/>
      <c r="AP1053" s="417"/>
      <c r="AQ1053" s="417" t="s">
        <v>37</v>
      </c>
      <c r="AR1053" s="417"/>
      <c r="AS1053" s="426"/>
      <c r="AT1053" s="426"/>
      <c r="AU1053" s="357"/>
      <c r="AV1053" s="409"/>
    </row>
    <row r="1054" spans="1:48" s="402" customFormat="1" ht="15" customHeight="1">
      <c r="A1054" s="403"/>
      <c r="B1054" s="445"/>
      <c r="C1054" s="403"/>
      <c r="D1054" s="443" t="s">
        <v>1914</v>
      </c>
      <c r="E1054" s="432" t="s">
        <v>2155</v>
      </c>
      <c r="F1054" s="432"/>
      <c r="G1054" s="432">
        <v>2022</v>
      </c>
      <c r="H1054" s="432" t="s">
        <v>1498</v>
      </c>
      <c r="I1054" s="443" t="s">
        <v>1498</v>
      </c>
      <c r="J1054" s="433"/>
      <c r="K1054" s="487" t="s">
        <v>4653</v>
      </c>
      <c r="L1054" s="488" t="s">
        <v>1967</v>
      </c>
      <c r="M1054" s="435">
        <v>44686</v>
      </c>
      <c r="N1054" s="435">
        <v>44724</v>
      </c>
      <c r="O1054" s="435"/>
      <c r="P1054" s="349"/>
      <c r="Q1054" s="433"/>
      <c r="R1054" s="433"/>
      <c r="S1054" s="432" t="s">
        <v>1443</v>
      </c>
      <c r="T1054" s="432">
        <v>60</v>
      </c>
      <c r="U1054" s="350"/>
      <c r="V1054" s="432" t="s">
        <v>1192</v>
      </c>
      <c r="W1054" s="432">
        <v>360</v>
      </c>
      <c r="X1054" s="436">
        <v>832</v>
      </c>
      <c r="Y1054" s="408">
        <f t="shared" si="133"/>
        <v>299520</v>
      </c>
      <c r="Z1054" s="409">
        <v>0.9</v>
      </c>
      <c r="AA1054" s="410">
        <f t="shared" si="134"/>
        <v>269568</v>
      </c>
      <c r="AB1054" s="411"/>
      <c r="AC1054" s="412">
        <f t="shared" si="135"/>
        <v>0</v>
      </c>
      <c r="AD1054" s="421"/>
      <c r="AE1054" s="413"/>
      <c r="AF1054" s="424">
        <f t="shared" si="136"/>
        <v>269568</v>
      </c>
      <c r="AG1054" s="405" t="s">
        <v>1069</v>
      </c>
      <c r="AH1054" s="405"/>
      <c r="AI1054" s="414">
        <v>60</v>
      </c>
      <c r="AJ1054" s="405" t="s">
        <v>1968</v>
      </c>
      <c r="AK1054" s="425" t="s">
        <v>1599</v>
      </c>
      <c r="AL1054" s="405">
        <v>97210</v>
      </c>
      <c r="AM1054" s="405" t="s">
        <v>52</v>
      </c>
      <c r="AN1054" s="405"/>
      <c r="AO1054" s="405"/>
      <c r="AP1054" s="417"/>
      <c r="AQ1054" s="417" t="s">
        <v>37</v>
      </c>
      <c r="AR1054" s="417"/>
      <c r="AS1054" s="426"/>
      <c r="AT1054" s="426"/>
      <c r="AU1054" s="357"/>
      <c r="AV1054" s="409"/>
    </row>
    <row r="1055" spans="1:48" s="402" customFormat="1" ht="15" customHeight="1">
      <c r="A1055" s="403"/>
      <c r="B1055" s="445">
        <v>44522</v>
      </c>
      <c r="C1055" s="403"/>
      <c r="D1055" s="443" t="s">
        <v>1914</v>
      </c>
      <c r="E1055" s="432" t="s">
        <v>2155</v>
      </c>
      <c r="F1055" s="432"/>
      <c r="G1055" s="432">
        <v>2022</v>
      </c>
      <c r="H1055" s="432" t="s">
        <v>1498</v>
      </c>
      <c r="I1055" s="443" t="s">
        <v>1498</v>
      </c>
      <c r="J1055" s="433"/>
      <c r="K1055" s="460" t="s">
        <v>3410</v>
      </c>
      <c r="L1055" s="459" t="s">
        <v>1967</v>
      </c>
      <c r="M1055" s="435">
        <v>44518</v>
      </c>
      <c r="N1055" s="435">
        <v>44721</v>
      </c>
      <c r="O1055" s="435"/>
      <c r="P1055" s="349"/>
      <c r="Q1055" s="433"/>
      <c r="R1055" s="433"/>
      <c r="S1055" s="432" t="s">
        <v>1443</v>
      </c>
      <c r="T1055" s="432">
        <v>60</v>
      </c>
      <c r="U1055" s="350">
        <v>49401140</v>
      </c>
      <c r="V1055" s="432" t="s">
        <v>973</v>
      </c>
      <c r="W1055" s="432">
        <v>400</v>
      </c>
      <c r="X1055" s="436">
        <v>768</v>
      </c>
      <c r="Y1055" s="408">
        <f t="shared" si="133"/>
        <v>307200</v>
      </c>
      <c r="Z1055" s="409">
        <v>0.64</v>
      </c>
      <c r="AA1055" s="423">
        <f t="shared" si="134"/>
        <v>196608</v>
      </c>
      <c r="AB1055" s="411"/>
      <c r="AC1055" s="412">
        <f t="shared" si="135"/>
        <v>0</v>
      </c>
      <c r="AD1055" s="421"/>
      <c r="AE1055" s="413"/>
      <c r="AF1055" s="424">
        <f t="shared" si="136"/>
        <v>196608</v>
      </c>
      <c r="AG1055" s="405" t="s">
        <v>1069</v>
      </c>
      <c r="AH1055" s="405"/>
      <c r="AI1055" s="414" t="s">
        <v>1962</v>
      </c>
      <c r="AJ1055" s="405" t="s">
        <v>1944</v>
      </c>
      <c r="AK1055" s="425" t="s">
        <v>1136</v>
      </c>
      <c r="AL1055" s="405">
        <v>75063</v>
      </c>
      <c r="AM1055" s="405" t="s">
        <v>52</v>
      </c>
      <c r="AN1055" s="405"/>
      <c r="AO1055" s="405"/>
      <c r="AP1055" s="417"/>
      <c r="AQ1055" s="417"/>
      <c r="AR1055" s="417"/>
      <c r="AS1055" s="426"/>
      <c r="AT1055" s="426"/>
      <c r="AU1055" s="357"/>
      <c r="AV1055" s="409"/>
    </row>
    <row r="1056" spans="1:48" s="402" customFormat="1" ht="15" customHeight="1">
      <c r="A1056" s="403"/>
      <c r="B1056" s="445">
        <v>44522</v>
      </c>
      <c r="C1056" s="403"/>
      <c r="D1056" s="443" t="s">
        <v>1914</v>
      </c>
      <c r="E1056" s="432" t="s">
        <v>2155</v>
      </c>
      <c r="F1056" s="432"/>
      <c r="G1056" s="432">
        <v>2022</v>
      </c>
      <c r="H1056" s="432" t="s">
        <v>1498</v>
      </c>
      <c r="I1056" s="443" t="s">
        <v>1498</v>
      </c>
      <c r="J1056" s="433"/>
      <c r="K1056" s="487" t="s">
        <v>3411</v>
      </c>
      <c r="L1056" s="488" t="s">
        <v>1967</v>
      </c>
      <c r="M1056" s="435">
        <v>44505</v>
      </c>
      <c r="N1056" s="435">
        <v>44722</v>
      </c>
      <c r="O1056" s="435"/>
      <c r="P1056" s="349"/>
      <c r="Q1056" s="433"/>
      <c r="R1056" s="433"/>
      <c r="S1056" s="432" t="s">
        <v>1443</v>
      </c>
      <c r="T1056" s="432">
        <v>60</v>
      </c>
      <c r="U1056" s="350">
        <v>49401140</v>
      </c>
      <c r="V1056" s="432" t="s">
        <v>1970</v>
      </c>
      <c r="W1056" s="432">
        <v>400</v>
      </c>
      <c r="X1056" s="436">
        <v>768</v>
      </c>
      <c r="Y1056" s="408">
        <f t="shared" si="133"/>
        <v>307200</v>
      </c>
      <c r="Z1056" s="409">
        <v>0.64</v>
      </c>
      <c r="AA1056" s="423">
        <f t="shared" si="134"/>
        <v>196608</v>
      </c>
      <c r="AB1056" s="411"/>
      <c r="AC1056" s="412">
        <f t="shared" si="135"/>
        <v>0</v>
      </c>
      <c r="AD1056" s="421"/>
      <c r="AE1056" s="413"/>
      <c r="AF1056" s="424">
        <f t="shared" si="136"/>
        <v>196608</v>
      </c>
      <c r="AG1056" s="405" t="s">
        <v>1069</v>
      </c>
      <c r="AH1056" s="405"/>
      <c r="AI1056" s="414" t="s">
        <v>1962</v>
      </c>
      <c r="AJ1056" s="405" t="s">
        <v>1573</v>
      </c>
      <c r="AK1056" s="425" t="s">
        <v>50</v>
      </c>
      <c r="AL1056" s="405" t="s">
        <v>1700</v>
      </c>
      <c r="AM1056" s="405" t="s">
        <v>52</v>
      </c>
      <c r="AN1056" s="405"/>
      <c r="AO1056" s="405"/>
      <c r="AP1056" s="417"/>
      <c r="AQ1056" s="417" t="s">
        <v>37</v>
      </c>
      <c r="AR1056" s="417"/>
      <c r="AS1056" s="426"/>
      <c r="AT1056" s="426"/>
      <c r="AU1056" s="357"/>
      <c r="AV1056" s="409"/>
    </row>
    <row r="1057" spans="1:48" s="402" customFormat="1" ht="15" customHeight="1">
      <c r="A1057" s="403"/>
      <c r="B1057" s="445">
        <v>44522</v>
      </c>
      <c r="C1057" s="403"/>
      <c r="D1057" s="443" t="s">
        <v>1914</v>
      </c>
      <c r="E1057" s="432" t="s">
        <v>2155</v>
      </c>
      <c r="F1057" s="432"/>
      <c r="G1057" s="432">
        <v>2022</v>
      </c>
      <c r="H1057" s="432" t="s">
        <v>1498</v>
      </c>
      <c r="I1057" s="443" t="s">
        <v>1498</v>
      </c>
      <c r="J1057" s="433"/>
      <c r="K1057" s="487" t="s">
        <v>3412</v>
      </c>
      <c r="L1057" s="488" t="s">
        <v>1967</v>
      </c>
      <c r="M1057" s="435">
        <v>44505</v>
      </c>
      <c r="N1057" s="435">
        <v>44722</v>
      </c>
      <c r="O1057" s="435"/>
      <c r="P1057" s="349"/>
      <c r="Q1057" s="433"/>
      <c r="R1057" s="433"/>
      <c r="S1057" s="432" t="s">
        <v>1443</v>
      </c>
      <c r="T1057" s="432">
        <v>60</v>
      </c>
      <c r="U1057" s="350">
        <v>49401140</v>
      </c>
      <c r="V1057" s="432" t="s">
        <v>973</v>
      </c>
      <c r="W1057" s="432">
        <v>400</v>
      </c>
      <c r="X1057" s="436">
        <v>768</v>
      </c>
      <c r="Y1057" s="408">
        <f t="shared" si="133"/>
        <v>307200</v>
      </c>
      <c r="Z1057" s="409">
        <v>0.64</v>
      </c>
      <c r="AA1057" s="423">
        <f t="shared" si="134"/>
        <v>196608</v>
      </c>
      <c r="AB1057" s="411"/>
      <c r="AC1057" s="412">
        <f t="shared" si="135"/>
        <v>0</v>
      </c>
      <c r="AD1057" s="421"/>
      <c r="AE1057" s="413"/>
      <c r="AF1057" s="424">
        <f t="shared" si="136"/>
        <v>196608</v>
      </c>
      <c r="AG1057" s="405" t="s">
        <v>1069</v>
      </c>
      <c r="AH1057" s="405"/>
      <c r="AI1057" s="414" t="s">
        <v>1962</v>
      </c>
      <c r="AJ1057" s="405" t="s">
        <v>1969</v>
      </c>
      <c r="AK1057" s="425" t="s">
        <v>1125</v>
      </c>
      <c r="AL1057" s="405" t="s">
        <v>2016</v>
      </c>
      <c r="AM1057" s="405" t="s">
        <v>52</v>
      </c>
      <c r="AN1057" s="405"/>
      <c r="AO1057" s="405"/>
      <c r="AP1057" s="417"/>
      <c r="AQ1057" s="417" t="s">
        <v>37</v>
      </c>
      <c r="AR1057" s="417"/>
      <c r="AS1057" s="426"/>
      <c r="AT1057" s="426"/>
      <c r="AU1057" s="357"/>
      <c r="AV1057" s="409"/>
    </row>
    <row r="1058" spans="1:48" s="402" customFormat="1" ht="15" customHeight="1">
      <c r="A1058" s="403"/>
      <c r="B1058" s="445">
        <v>44599</v>
      </c>
      <c r="C1058" s="403"/>
      <c r="D1058" s="443" t="s">
        <v>1914</v>
      </c>
      <c r="E1058" s="432" t="s">
        <v>2155</v>
      </c>
      <c r="F1058" s="432"/>
      <c r="G1058" s="432">
        <v>2022</v>
      </c>
      <c r="H1058" s="432" t="s">
        <v>1498</v>
      </c>
      <c r="I1058" s="443" t="s">
        <v>1498</v>
      </c>
      <c r="J1058" s="433"/>
      <c r="K1058" s="434" t="s">
        <v>3413</v>
      </c>
      <c r="L1058" s="432" t="s">
        <v>1967</v>
      </c>
      <c r="M1058" s="435">
        <v>44596</v>
      </c>
      <c r="N1058" s="435">
        <v>44722</v>
      </c>
      <c r="O1058" s="435"/>
      <c r="P1058" s="349"/>
      <c r="Q1058" s="433"/>
      <c r="R1058" s="433"/>
      <c r="S1058" s="432" t="s">
        <v>1443</v>
      </c>
      <c r="T1058" s="432">
        <v>60</v>
      </c>
      <c r="U1058" s="350">
        <v>49403140</v>
      </c>
      <c r="V1058" s="432" t="s">
        <v>973</v>
      </c>
      <c r="W1058" s="432">
        <v>400</v>
      </c>
      <c r="X1058" s="436">
        <v>768</v>
      </c>
      <c r="Y1058" s="408">
        <f t="shared" si="133"/>
        <v>307200</v>
      </c>
      <c r="Z1058" s="409">
        <f t="shared" ref="Z1058:Z1059" si="137">222/400</f>
        <v>0.55500000000000005</v>
      </c>
      <c r="AA1058" s="423">
        <f t="shared" si="134"/>
        <v>170496.00000000003</v>
      </c>
      <c r="AB1058" s="411"/>
      <c r="AC1058" s="412">
        <f t="shared" si="135"/>
        <v>0</v>
      </c>
      <c r="AD1058" s="421"/>
      <c r="AE1058" s="413"/>
      <c r="AF1058" s="424">
        <f t="shared" si="136"/>
        <v>170496.00000000003</v>
      </c>
      <c r="AG1058" s="405" t="s">
        <v>1069</v>
      </c>
      <c r="AH1058" s="405"/>
      <c r="AI1058" s="414" t="s">
        <v>3414</v>
      </c>
      <c r="AJ1058" s="405" t="s">
        <v>1983</v>
      </c>
      <c r="AK1058" s="425" t="s">
        <v>1136</v>
      </c>
      <c r="AL1058" s="405">
        <v>75070</v>
      </c>
      <c r="AM1058" s="405" t="s">
        <v>52</v>
      </c>
      <c r="AN1058" s="405"/>
      <c r="AO1058" s="405"/>
      <c r="AP1058" s="417"/>
      <c r="AQ1058" s="417" t="s">
        <v>37</v>
      </c>
      <c r="AR1058" s="417"/>
      <c r="AS1058" s="426"/>
      <c r="AT1058" s="426"/>
      <c r="AU1058" s="357"/>
      <c r="AV1058" s="409"/>
    </row>
    <row r="1059" spans="1:48" s="402" customFormat="1" ht="15" customHeight="1">
      <c r="A1059" s="403"/>
      <c r="B1059" s="445">
        <v>44599</v>
      </c>
      <c r="C1059" s="403"/>
      <c r="D1059" s="443" t="s">
        <v>1914</v>
      </c>
      <c r="E1059" s="432" t="s">
        <v>2155</v>
      </c>
      <c r="F1059" s="432"/>
      <c r="G1059" s="432">
        <v>2022</v>
      </c>
      <c r="H1059" s="432" t="s">
        <v>1498</v>
      </c>
      <c r="I1059" s="443" t="s">
        <v>1498</v>
      </c>
      <c r="J1059" s="433"/>
      <c r="K1059" s="434" t="s">
        <v>3415</v>
      </c>
      <c r="L1059" s="432" t="s">
        <v>1967</v>
      </c>
      <c r="M1059" s="435">
        <v>44596</v>
      </c>
      <c r="N1059" s="435">
        <v>44724</v>
      </c>
      <c r="O1059" s="435"/>
      <c r="P1059" s="349"/>
      <c r="Q1059" s="433"/>
      <c r="R1059" s="433"/>
      <c r="S1059" s="432" t="s">
        <v>1443</v>
      </c>
      <c r="T1059" s="432">
        <v>60</v>
      </c>
      <c r="U1059" s="350">
        <v>49403140</v>
      </c>
      <c r="V1059" s="432" t="s">
        <v>973</v>
      </c>
      <c r="W1059" s="432">
        <v>400</v>
      </c>
      <c r="X1059" s="436">
        <v>768</v>
      </c>
      <c r="Y1059" s="408">
        <f t="shared" si="133"/>
        <v>307200</v>
      </c>
      <c r="Z1059" s="409">
        <f t="shared" si="137"/>
        <v>0.55500000000000005</v>
      </c>
      <c r="AA1059" s="423">
        <f t="shared" si="134"/>
        <v>170496.00000000003</v>
      </c>
      <c r="AB1059" s="411"/>
      <c r="AC1059" s="412">
        <f t="shared" si="135"/>
        <v>0</v>
      </c>
      <c r="AD1059" s="421"/>
      <c r="AE1059" s="413"/>
      <c r="AF1059" s="424">
        <f t="shared" si="136"/>
        <v>170496.00000000003</v>
      </c>
      <c r="AG1059" s="405" t="s">
        <v>1069</v>
      </c>
      <c r="AH1059" s="405"/>
      <c r="AI1059" s="414" t="s">
        <v>3416</v>
      </c>
      <c r="AJ1059" s="405" t="s">
        <v>1983</v>
      </c>
      <c r="AK1059" s="425" t="s">
        <v>1136</v>
      </c>
      <c r="AL1059" s="405">
        <v>75071</v>
      </c>
      <c r="AM1059" s="405" t="s">
        <v>52</v>
      </c>
      <c r="AN1059" s="405"/>
      <c r="AO1059" s="405"/>
      <c r="AP1059" s="417"/>
      <c r="AQ1059" s="417" t="s">
        <v>37</v>
      </c>
      <c r="AR1059" s="417"/>
      <c r="AS1059" s="426"/>
      <c r="AT1059" s="426"/>
      <c r="AU1059" s="357"/>
      <c r="AV1059" s="409"/>
    </row>
    <row r="1060" spans="1:48" s="402" customFormat="1" ht="15" customHeight="1">
      <c r="A1060" s="403"/>
      <c r="B1060" s="445">
        <v>44522</v>
      </c>
      <c r="C1060" s="403"/>
      <c r="D1060" s="443" t="s">
        <v>1914</v>
      </c>
      <c r="E1060" s="432" t="s">
        <v>2155</v>
      </c>
      <c r="F1060" s="432"/>
      <c r="G1060" s="432">
        <v>2022</v>
      </c>
      <c r="H1060" s="432" t="s">
        <v>1498</v>
      </c>
      <c r="I1060" s="443" t="s">
        <v>1498</v>
      </c>
      <c r="J1060" s="433"/>
      <c r="K1060" s="460" t="s">
        <v>3417</v>
      </c>
      <c r="L1060" s="459" t="s">
        <v>1967</v>
      </c>
      <c r="M1060" s="435">
        <v>44518</v>
      </c>
      <c r="N1060" s="435">
        <v>44725</v>
      </c>
      <c r="O1060" s="435"/>
      <c r="P1060" s="349"/>
      <c r="Q1060" s="433"/>
      <c r="R1060" s="433"/>
      <c r="S1060" s="432" t="s">
        <v>1443</v>
      </c>
      <c r="T1060" s="432">
        <v>60</v>
      </c>
      <c r="U1060" s="350">
        <v>49401140</v>
      </c>
      <c r="V1060" s="432" t="s">
        <v>973</v>
      </c>
      <c r="W1060" s="432">
        <v>400</v>
      </c>
      <c r="X1060" s="436">
        <v>768</v>
      </c>
      <c r="Y1060" s="408">
        <f t="shared" si="133"/>
        <v>307200</v>
      </c>
      <c r="Z1060" s="409">
        <v>0.64</v>
      </c>
      <c r="AA1060" s="423">
        <f t="shared" si="134"/>
        <v>196608</v>
      </c>
      <c r="AB1060" s="411"/>
      <c r="AC1060" s="412">
        <f t="shared" si="135"/>
        <v>0</v>
      </c>
      <c r="AD1060" s="421"/>
      <c r="AE1060" s="413"/>
      <c r="AF1060" s="424">
        <f t="shared" si="136"/>
        <v>196608</v>
      </c>
      <c r="AG1060" s="405" t="s">
        <v>1069</v>
      </c>
      <c r="AH1060" s="405"/>
      <c r="AI1060" s="414" t="s">
        <v>1962</v>
      </c>
      <c r="AJ1060" s="405" t="s">
        <v>1944</v>
      </c>
      <c r="AK1060" s="425" t="s">
        <v>1136</v>
      </c>
      <c r="AL1060" s="405">
        <v>75063</v>
      </c>
      <c r="AM1060" s="405" t="s">
        <v>52</v>
      </c>
      <c r="AN1060" s="405"/>
      <c r="AO1060" s="405"/>
      <c r="AP1060" s="417"/>
      <c r="AQ1060" s="417"/>
      <c r="AR1060" s="417"/>
      <c r="AS1060" s="426"/>
      <c r="AT1060" s="426"/>
      <c r="AU1060" s="357"/>
      <c r="AV1060" s="409"/>
    </row>
    <row r="1061" spans="1:48" s="402" customFormat="1" ht="15" customHeight="1">
      <c r="A1061" s="403"/>
      <c r="B1061" s="445">
        <v>44557</v>
      </c>
      <c r="C1061" s="403"/>
      <c r="D1061" s="443" t="s">
        <v>1914</v>
      </c>
      <c r="E1061" s="432" t="s">
        <v>2155</v>
      </c>
      <c r="F1061" s="432"/>
      <c r="G1061" s="432">
        <v>2022</v>
      </c>
      <c r="H1061" s="432" t="s">
        <v>1498</v>
      </c>
      <c r="I1061" s="443" t="s">
        <v>1498</v>
      </c>
      <c r="J1061" s="433"/>
      <c r="K1061" s="460" t="s">
        <v>3418</v>
      </c>
      <c r="L1061" s="459" t="s">
        <v>1967</v>
      </c>
      <c r="M1061" s="435">
        <v>44545</v>
      </c>
      <c r="N1061" s="435">
        <v>44727</v>
      </c>
      <c r="O1061" s="435"/>
      <c r="P1061" s="349"/>
      <c r="Q1061" s="433"/>
      <c r="R1061" s="433"/>
      <c r="S1061" s="432" t="s">
        <v>1443</v>
      </c>
      <c r="T1061" s="432">
        <v>60</v>
      </c>
      <c r="U1061" s="350">
        <v>49401140</v>
      </c>
      <c r="V1061" s="432" t="s">
        <v>973</v>
      </c>
      <c r="W1061" s="432">
        <v>400</v>
      </c>
      <c r="X1061" s="436">
        <v>768</v>
      </c>
      <c r="Y1061" s="408">
        <f t="shared" si="133"/>
        <v>307200</v>
      </c>
      <c r="Z1061" s="409">
        <v>0.64</v>
      </c>
      <c r="AA1061" s="423">
        <f t="shared" si="134"/>
        <v>196608</v>
      </c>
      <c r="AB1061" s="411"/>
      <c r="AC1061" s="412">
        <f t="shared" si="135"/>
        <v>0</v>
      </c>
      <c r="AD1061" s="421"/>
      <c r="AE1061" s="413"/>
      <c r="AF1061" s="424">
        <f t="shared" si="136"/>
        <v>196608</v>
      </c>
      <c r="AG1061" s="405" t="s">
        <v>1069</v>
      </c>
      <c r="AH1061" s="405"/>
      <c r="AI1061" s="414">
        <v>60</v>
      </c>
      <c r="AJ1061" s="405" t="s">
        <v>1944</v>
      </c>
      <c r="AK1061" s="425" t="s">
        <v>1136</v>
      </c>
      <c r="AL1061" s="405">
        <v>75063</v>
      </c>
      <c r="AM1061" s="405" t="s">
        <v>52</v>
      </c>
      <c r="AN1061" s="405" t="s">
        <v>1071</v>
      </c>
      <c r="AO1061" s="405"/>
      <c r="AP1061" s="417"/>
      <c r="AQ1061" s="417" t="s">
        <v>37</v>
      </c>
      <c r="AR1061" s="417"/>
      <c r="AS1061" s="426"/>
      <c r="AT1061" s="426"/>
      <c r="AU1061" s="357"/>
      <c r="AV1061" s="409"/>
    </row>
    <row r="1062" spans="1:48" s="402" customFormat="1" ht="15" customHeight="1">
      <c r="A1062" s="403"/>
      <c r="B1062" s="445">
        <v>44522</v>
      </c>
      <c r="C1062" s="403"/>
      <c r="D1062" s="443" t="s">
        <v>1914</v>
      </c>
      <c r="E1062" s="432" t="s">
        <v>2155</v>
      </c>
      <c r="F1062" s="432"/>
      <c r="G1062" s="432">
        <v>2022</v>
      </c>
      <c r="H1062" s="432" t="s">
        <v>1498</v>
      </c>
      <c r="I1062" s="443" t="s">
        <v>1498</v>
      </c>
      <c r="J1062" s="433"/>
      <c r="K1062" s="487" t="s">
        <v>3419</v>
      </c>
      <c r="L1062" s="488" t="s">
        <v>1967</v>
      </c>
      <c r="M1062" s="435">
        <v>44505</v>
      </c>
      <c r="N1062" s="435">
        <v>44727</v>
      </c>
      <c r="O1062" s="435"/>
      <c r="P1062" s="349"/>
      <c r="Q1062" s="433"/>
      <c r="R1062" s="433"/>
      <c r="S1062" s="432" t="s">
        <v>1443</v>
      </c>
      <c r="T1062" s="432">
        <v>60</v>
      </c>
      <c r="U1062" s="350">
        <v>49401140</v>
      </c>
      <c r="V1062" s="432" t="s">
        <v>973</v>
      </c>
      <c r="W1062" s="432">
        <v>400</v>
      </c>
      <c r="X1062" s="436">
        <v>768</v>
      </c>
      <c r="Y1062" s="408">
        <f t="shared" si="133"/>
        <v>307200</v>
      </c>
      <c r="Z1062" s="409">
        <v>0.64</v>
      </c>
      <c r="AA1062" s="423">
        <f t="shared" si="134"/>
        <v>196608</v>
      </c>
      <c r="AB1062" s="411"/>
      <c r="AC1062" s="412">
        <f t="shared" si="135"/>
        <v>0</v>
      </c>
      <c r="AD1062" s="421"/>
      <c r="AE1062" s="413"/>
      <c r="AF1062" s="424">
        <f t="shared" si="136"/>
        <v>196608</v>
      </c>
      <c r="AG1062" s="405" t="s">
        <v>1069</v>
      </c>
      <c r="AH1062" s="405"/>
      <c r="AI1062" s="414" t="s">
        <v>1962</v>
      </c>
      <c r="AJ1062" s="405" t="s">
        <v>1573</v>
      </c>
      <c r="AK1062" s="425" t="s">
        <v>50</v>
      </c>
      <c r="AL1062" s="405" t="s">
        <v>1700</v>
      </c>
      <c r="AM1062" s="405" t="s">
        <v>52</v>
      </c>
      <c r="AN1062" s="405"/>
      <c r="AO1062" s="405"/>
      <c r="AP1062" s="417"/>
      <c r="AQ1062" s="417" t="s">
        <v>37</v>
      </c>
      <c r="AR1062" s="417"/>
      <c r="AS1062" s="426"/>
      <c r="AT1062" s="426"/>
      <c r="AU1062" s="357"/>
      <c r="AV1062" s="409"/>
    </row>
    <row r="1063" spans="1:48" s="402" customFormat="1" ht="15" customHeight="1">
      <c r="A1063" s="403"/>
      <c r="B1063" s="445">
        <v>44522</v>
      </c>
      <c r="C1063" s="403"/>
      <c r="D1063" s="443" t="s">
        <v>1914</v>
      </c>
      <c r="E1063" s="432" t="s">
        <v>2155</v>
      </c>
      <c r="F1063" s="432"/>
      <c r="G1063" s="432">
        <v>2022</v>
      </c>
      <c r="H1063" s="432" t="s">
        <v>1498</v>
      </c>
      <c r="I1063" s="443" t="s">
        <v>1498</v>
      </c>
      <c r="J1063" s="433"/>
      <c r="K1063" s="487" t="s">
        <v>3420</v>
      </c>
      <c r="L1063" s="488" t="s">
        <v>1967</v>
      </c>
      <c r="M1063" s="435">
        <v>44505</v>
      </c>
      <c r="N1063" s="435">
        <v>44731</v>
      </c>
      <c r="O1063" s="435"/>
      <c r="P1063" s="349"/>
      <c r="Q1063" s="433"/>
      <c r="R1063" s="433"/>
      <c r="S1063" s="432" t="s">
        <v>1443</v>
      </c>
      <c r="T1063" s="432">
        <v>60</v>
      </c>
      <c r="U1063" s="350">
        <v>49401140</v>
      </c>
      <c r="V1063" s="432" t="s">
        <v>973</v>
      </c>
      <c r="W1063" s="432">
        <v>400</v>
      </c>
      <c r="X1063" s="436">
        <v>768</v>
      </c>
      <c r="Y1063" s="408">
        <f t="shared" si="133"/>
        <v>307200</v>
      </c>
      <c r="Z1063" s="409">
        <v>0.64</v>
      </c>
      <c r="AA1063" s="423">
        <f t="shared" si="134"/>
        <v>196608</v>
      </c>
      <c r="AB1063" s="411"/>
      <c r="AC1063" s="412">
        <f t="shared" si="135"/>
        <v>0</v>
      </c>
      <c r="AD1063" s="421"/>
      <c r="AE1063" s="413"/>
      <c r="AF1063" s="424">
        <f t="shared" si="136"/>
        <v>196608</v>
      </c>
      <c r="AG1063" s="405" t="s">
        <v>1069</v>
      </c>
      <c r="AH1063" s="405"/>
      <c r="AI1063" s="414" t="s">
        <v>1962</v>
      </c>
      <c r="AJ1063" s="405" t="s">
        <v>1573</v>
      </c>
      <c r="AK1063" s="425" t="s">
        <v>50</v>
      </c>
      <c r="AL1063" s="405" t="s">
        <v>1700</v>
      </c>
      <c r="AM1063" s="405" t="s">
        <v>52</v>
      </c>
      <c r="AN1063" s="405"/>
      <c r="AO1063" s="405"/>
      <c r="AP1063" s="417"/>
      <c r="AQ1063" s="417" t="s">
        <v>37</v>
      </c>
      <c r="AR1063" s="417"/>
      <c r="AS1063" s="426"/>
      <c r="AT1063" s="426"/>
      <c r="AU1063" s="357"/>
      <c r="AV1063" s="409"/>
    </row>
    <row r="1064" spans="1:48" s="402" customFormat="1" ht="15" customHeight="1">
      <c r="A1064" s="403"/>
      <c r="B1064" s="445">
        <v>44557</v>
      </c>
      <c r="C1064" s="403"/>
      <c r="D1064" s="443" t="s">
        <v>1914</v>
      </c>
      <c r="E1064" s="432" t="s">
        <v>2155</v>
      </c>
      <c r="F1064" s="432"/>
      <c r="G1064" s="432">
        <v>2022</v>
      </c>
      <c r="H1064" s="432" t="s">
        <v>1498</v>
      </c>
      <c r="I1064" s="443" t="s">
        <v>1498</v>
      </c>
      <c r="J1064" s="433"/>
      <c r="K1064" s="434" t="s">
        <v>3421</v>
      </c>
      <c r="L1064" s="432" t="s">
        <v>2004</v>
      </c>
      <c r="M1064" s="435">
        <v>44545</v>
      </c>
      <c r="N1064" s="435">
        <v>44847</v>
      </c>
      <c r="O1064" s="435"/>
      <c r="P1064" s="349"/>
      <c r="Q1064" s="433"/>
      <c r="R1064" s="433"/>
      <c r="S1064" s="432" t="s">
        <v>1443</v>
      </c>
      <c r="T1064" s="432">
        <v>60</v>
      </c>
      <c r="U1064" s="350">
        <v>49401140</v>
      </c>
      <c r="V1064" s="432" t="s">
        <v>973</v>
      </c>
      <c r="W1064" s="432">
        <v>400</v>
      </c>
      <c r="X1064" s="436">
        <v>768</v>
      </c>
      <c r="Y1064" s="408">
        <f t="shared" si="133"/>
        <v>307200</v>
      </c>
      <c r="Z1064" s="409">
        <f t="shared" ref="Z1064:Z1072" si="138">210/400</f>
        <v>0.52500000000000002</v>
      </c>
      <c r="AA1064" s="423">
        <f t="shared" si="134"/>
        <v>161280</v>
      </c>
      <c r="AB1064" s="411"/>
      <c r="AC1064" s="412">
        <f t="shared" si="135"/>
        <v>0</v>
      </c>
      <c r="AD1064" s="421"/>
      <c r="AE1064" s="413"/>
      <c r="AF1064" s="424">
        <f t="shared" si="136"/>
        <v>161280</v>
      </c>
      <c r="AG1064" s="405" t="s">
        <v>1069</v>
      </c>
      <c r="AH1064" s="405"/>
      <c r="AI1064" s="414" t="s">
        <v>1962</v>
      </c>
      <c r="AJ1064" s="405" t="s">
        <v>2053</v>
      </c>
      <c r="AK1064" s="425" t="s">
        <v>1136</v>
      </c>
      <c r="AL1064" s="405">
        <v>78216</v>
      </c>
      <c r="AM1064" s="405" t="s">
        <v>52</v>
      </c>
      <c r="AN1064" s="405"/>
      <c r="AO1064" s="405"/>
      <c r="AP1064" s="417"/>
      <c r="AQ1064" s="417" t="s">
        <v>37</v>
      </c>
      <c r="AR1064" s="417"/>
      <c r="AS1064" s="426"/>
      <c r="AT1064" s="426"/>
      <c r="AU1064" s="357"/>
      <c r="AV1064" s="409"/>
    </row>
    <row r="1065" spans="1:48" s="402" customFormat="1" ht="15" customHeight="1">
      <c r="A1065" s="403"/>
      <c r="B1065" s="445">
        <v>44557</v>
      </c>
      <c r="C1065" s="403"/>
      <c r="D1065" s="443" t="s">
        <v>1914</v>
      </c>
      <c r="E1065" s="432" t="s">
        <v>2155</v>
      </c>
      <c r="F1065" s="432"/>
      <c r="G1065" s="432">
        <v>2022</v>
      </c>
      <c r="H1065" s="432" t="s">
        <v>1498</v>
      </c>
      <c r="I1065" s="443" t="s">
        <v>1498</v>
      </c>
      <c r="J1065" s="433"/>
      <c r="K1065" s="434" t="s">
        <v>3422</v>
      </c>
      <c r="L1065" s="432" t="s">
        <v>2004</v>
      </c>
      <c r="M1065" s="435">
        <v>44545</v>
      </c>
      <c r="N1065" s="435">
        <v>44907</v>
      </c>
      <c r="O1065" s="435"/>
      <c r="P1065" s="349"/>
      <c r="Q1065" s="433"/>
      <c r="R1065" s="433"/>
      <c r="S1065" s="432" t="s">
        <v>1443</v>
      </c>
      <c r="T1065" s="432">
        <v>60</v>
      </c>
      <c r="U1065" s="350">
        <v>49401140</v>
      </c>
      <c r="V1065" s="432" t="s">
        <v>973</v>
      </c>
      <c r="W1065" s="432">
        <v>400</v>
      </c>
      <c r="X1065" s="436">
        <v>768</v>
      </c>
      <c r="Y1065" s="408">
        <f t="shared" si="133"/>
        <v>307200</v>
      </c>
      <c r="Z1065" s="409">
        <f t="shared" si="138"/>
        <v>0.52500000000000002</v>
      </c>
      <c r="AA1065" s="423">
        <f t="shared" si="134"/>
        <v>161280</v>
      </c>
      <c r="AB1065" s="411"/>
      <c r="AC1065" s="412">
        <f t="shared" si="135"/>
        <v>0</v>
      </c>
      <c r="AD1065" s="421"/>
      <c r="AE1065" s="413"/>
      <c r="AF1065" s="424">
        <f t="shared" si="136"/>
        <v>161280</v>
      </c>
      <c r="AG1065" s="405" t="s">
        <v>1069</v>
      </c>
      <c r="AH1065" s="405"/>
      <c r="AI1065" s="414" t="s">
        <v>1962</v>
      </c>
      <c r="AJ1065" s="405" t="s">
        <v>2053</v>
      </c>
      <c r="AK1065" s="425" t="s">
        <v>1136</v>
      </c>
      <c r="AL1065" s="405">
        <v>78216</v>
      </c>
      <c r="AM1065" s="405" t="s">
        <v>52</v>
      </c>
      <c r="AN1065" s="405"/>
      <c r="AO1065" s="405"/>
      <c r="AP1065" s="417"/>
      <c r="AQ1065" s="417" t="s">
        <v>37</v>
      </c>
      <c r="AR1065" s="417"/>
      <c r="AS1065" s="426"/>
      <c r="AT1065" s="426"/>
      <c r="AU1065" s="357"/>
      <c r="AV1065" s="409"/>
    </row>
    <row r="1066" spans="1:48" s="402" customFormat="1" ht="15" customHeight="1">
      <c r="A1066" s="403"/>
      <c r="B1066" s="445">
        <v>44557</v>
      </c>
      <c r="C1066" s="403"/>
      <c r="D1066" s="443" t="s">
        <v>1914</v>
      </c>
      <c r="E1066" s="432" t="s">
        <v>2155</v>
      </c>
      <c r="F1066" s="432"/>
      <c r="G1066" s="432">
        <v>2022</v>
      </c>
      <c r="H1066" s="432" t="s">
        <v>1498</v>
      </c>
      <c r="I1066" s="443" t="s">
        <v>1498</v>
      </c>
      <c r="J1066" s="433"/>
      <c r="K1066" s="434" t="s">
        <v>3423</v>
      </c>
      <c r="L1066" s="432" t="s">
        <v>2004</v>
      </c>
      <c r="M1066" s="435">
        <v>44545</v>
      </c>
      <c r="N1066" s="435">
        <v>44908</v>
      </c>
      <c r="O1066" s="435"/>
      <c r="P1066" s="349"/>
      <c r="Q1066" s="433"/>
      <c r="R1066" s="433"/>
      <c r="S1066" s="432" t="s">
        <v>1443</v>
      </c>
      <c r="T1066" s="432">
        <v>60</v>
      </c>
      <c r="U1066" s="350">
        <v>49401140</v>
      </c>
      <c r="V1066" s="432" t="s">
        <v>973</v>
      </c>
      <c r="W1066" s="432">
        <v>400</v>
      </c>
      <c r="X1066" s="436">
        <v>768</v>
      </c>
      <c r="Y1066" s="408">
        <f t="shared" si="133"/>
        <v>307200</v>
      </c>
      <c r="Z1066" s="409">
        <f t="shared" si="138"/>
        <v>0.52500000000000002</v>
      </c>
      <c r="AA1066" s="423">
        <f t="shared" si="134"/>
        <v>161280</v>
      </c>
      <c r="AB1066" s="411"/>
      <c r="AC1066" s="412">
        <f t="shared" si="135"/>
        <v>0</v>
      </c>
      <c r="AD1066" s="421"/>
      <c r="AE1066" s="413"/>
      <c r="AF1066" s="424">
        <f t="shared" si="136"/>
        <v>161280</v>
      </c>
      <c r="AG1066" s="405" t="s">
        <v>1069</v>
      </c>
      <c r="AH1066" s="405"/>
      <c r="AI1066" s="414" t="s">
        <v>1962</v>
      </c>
      <c r="AJ1066" s="405" t="s">
        <v>2053</v>
      </c>
      <c r="AK1066" s="425" t="s">
        <v>1136</v>
      </c>
      <c r="AL1066" s="405">
        <v>78216</v>
      </c>
      <c r="AM1066" s="405" t="s">
        <v>52</v>
      </c>
      <c r="AN1066" s="405"/>
      <c r="AO1066" s="405"/>
      <c r="AP1066" s="417"/>
      <c r="AQ1066" s="417" t="s">
        <v>37</v>
      </c>
      <c r="AR1066" s="417"/>
      <c r="AS1066" s="426"/>
      <c r="AT1066" s="426"/>
      <c r="AU1066" s="357"/>
      <c r="AV1066" s="409"/>
    </row>
    <row r="1067" spans="1:48" s="402" customFormat="1" ht="15" customHeight="1">
      <c r="A1067" s="403"/>
      <c r="B1067" s="445">
        <v>44557</v>
      </c>
      <c r="C1067" s="403"/>
      <c r="D1067" s="443" t="s">
        <v>1914</v>
      </c>
      <c r="E1067" s="432" t="s">
        <v>2155</v>
      </c>
      <c r="F1067" s="432"/>
      <c r="G1067" s="432">
        <v>2022</v>
      </c>
      <c r="H1067" s="432" t="s">
        <v>1498</v>
      </c>
      <c r="I1067" s="443" t="s">
        <v>1498</v>
      </c>
      <c r="J1067" s="433"/>
      <c r="K1067" s="434" t="s">
        <v>3424</v>
      </c>
      <c r="L1067" s="432" t="s">
        <v>2004</v>
      </c>
      <c r="M1067" s="435">
        <v>44545</v>
      </c>
      <c r="N1067" s="435">
        <v>44911</v>
      </c>
      <c r="O1067" s="435"/>
      <c r="P1067" s="349"/>
      <c r="Q1067" s="433"/>
      <c r="R1067" s="433"/>
      <c r="S1067" s="432" t="s">
        <v>1443</v>
      </c>
      <c r="T1067" s="432">
        <v>60</v>
      </c>
      <c r="U1067" s="350">
        <v>49401140</v>
      </c>
      <c r="V1067" s="432" t="s">
        <v>973</v>
      </c>
      <c r="W1067" s="432">
        <v>400</v>
      </c>
      <c r="X1067" s="436">
        <v>768</v>
      </c>
      <c r="Y1067" s="408">
        <f t="shared" si="133"/>
        <v>307200</v>
      </c>
      <c r="Z1067" s="409">
        <f t="shared" si="138"/>
        <v>0.52500000000000002</v>
      </c>
      <c r="AA1067" s="423">
        <f t="shared" si="134"/>
        <v>161280</v>
      </c>
      <c r="AB1067" s="411"/>
      <c r="AC1067" s="412">
        <f t="shared" si="135"/>
        <v>0</v>
      </c>
      <c r="AD1067" s="421"/>
      <c r="AE1067" s="413"/>
      <c r="AF1067" s="424">
        <f t="shared" si="136"/>
        <v>161280</v>
      </c>
      <c r="AG1067" s="405" t="s">
        <v>1069</v>
      </c>
      <c r="AH1067" s="405"/>
      <c r="AI1067" s="414" t="s">
        <v>1962</v>
      </c>
      <c r="AJ1067" s="405" t="s">
        <v>2053</v>
      </c>
      <c r="AK1067" s="425" t="s">
        <v>1136</v>
      </c>
      <c r="AL1067" s="405">
        <v>78216</v>
      </c>
      <c r="AM1067" s="405" t="s">
        <v>52</v>
      </c>
      <c r="AN1067" s="405"/>
      <c r="AO1067" s="405"/>
      <c r="AP1067" s="417"/>
      <c r="AQ1067" s="417" t="s">
        <v>37</v>
      </c>
      <c r="AR1067" s="417"/>
      <c r="AS1067" s="426"/>
      <c r="AT1067" s="426"/>
      <c r="AU1067" s="357"/>
      <c r="AV1067" s="409"/>
    </row>
    <row r="1068" spans="1:48" s="402" customFormat="1" ht="15" customHeight="1">
      <c r="A1068" s="403"/>
      <c r="B1068" s="445">
        <v>44557</v>
      </c>
      <c r="C1068" s="403"/>
      <c r="D1068" s="443" t="s">
        <v>1914</v>
      </c>
      <c r="E1068" s="432" t="s">
        <v>2155</v>
      </c>
      <c r="F1068" s="432"/>
      <c r="G1068" s="432">
        <v>2022</v>
      </c>
      <c r="H1068" s="432" t="s">
        <v>1498</v>
      </c>
      <c r="I1068" s="443" t="s">
        <v>1498</v>
      </c>
      <c r="J1068" s="433"/>
      <c r="K1068" s="434" t="s">
        <v>3425</v>
      </c>
      <c r="L1068" s="432" t="s">
        <v>2004</v>
      </c>
      <c r="M1068" s="435">
        <v>44545</v>
      </c>
      <c r="N1068" s="435">
        <v>44901</v>
      </c>
      <c r="O1068" s="435"/>
      <c r="P1068" s="349"/>
      <c r="Q1068" s="433"/>
      <c r="R1068" s="433"/>
      <c r="S1068" s="432" t="s">
        <v>1443</v>
      </c>
      <c r="T1068" s="432">
        <v>60</v>
      </c>
      <c r="U1068" s="350">
        <v>49401140</v>
      </c>
      <c r="V1068" s="432" t="s">
        <v>973</v>
      </c>
      <c r="W1068" s="432">
        <v>400</v>
      </c>
      <c r="X1068" s="436">
        <v>768</v>
      </c>
      <c r="Y1068" s="408">
        <f t="shared" si="133"/>
        <v>307200</v>
      </c>
      <c r="Z1068" s="409">
        <f t="shared" si="138"/>
        <v>0.52500000000000002</v>
      </c>
      <c r="AA1068" s="423">
        <f t="shared" si="134"/>
        <v>161280</v>
      </c>
      <c r="AB1068" s="411"/>
      <c r="AC1068" s="412">
        <f t="shared" si="135"/>
        <v>0</v>
      </c>
      <c r="AD1068" s="421"/>
      <c r="AE1068" s="413"/>
      <c r="AF1068" s="424">
        <f t="shared" si="136"/>
        <v>161280</v>
      </c>
      <c r="AG1068" s="405" t="s">
        <v>1069</v>
      </c>
      <c r="AH1068" s="405"/>
      <c r="AI1068" s="414" t="s">
        <v>1962</v>
      </c>
      <c r="AJ1068" s="405" t="s">
        <v>1944</v>
      </c>
      <c r="AK1068" s="425" t="s">
        <v>1136</v>
      </c>
      <c r="AL1068" s="405">
        <v>75063</v>
      </c>
      <c r="AM1068" s="405" t="s">
        <v>52</v>
      </c>
      <c r="AN1068" s="405"/>
      <c r="AO1068" s="405"/>
      <c r="AP1068" s="417"/>
      <c r="AQ1068" s="417" t="s">
        <v>37</v>
      </c>
      <c r="AR1068" s="417"/>
      <c r="AS1068" s="426"/>
      <c r="AT1068" s="426"/>
      <c r="AU1068" s="357"/>
      <c r="AV1068" s="409"/>
    </row>
    <row r="1069" spans="1:48" s="402" customFormat="1" ht="15" customHeight="1">
      <c r="A1069" s="403"/>
      <c r="B1069" s="445">
        <v>44557</v>
      </c>
      <c r="C1069" s="403"/>
      <c r="D1069" s="443" t="s">
        <v>1914</v>
      </c>
      <c r="E1069" s="432" t="s">
        <v>2155</v>
      </c>
      <c r="F1069" s="432"/>
      <c r="G1069" s="432">
        <v>2022</v>
      </c>
      <c r="H1069" s="432" t="s">
        <v>1498</v>
      </c>
      <c r="I1069" s="443" t="s">
        <v>1498</v>
      </c>
      <c r="J1069" s="433"/>
      <c r="K1069" s="434" t="s">
        <v>3426</v>
      </c>
      <c r="L1069" s="432" t="s">
        <v>2004</v>
      </c>
      <c r="M1069" s="435">
        <v>44545</v>
      </c>
      <c r="N1069" s="435">
        <v>44907</v>
      </c>
      <c r="O1069" s="435"/>
      <c r="P1069" s="349"/>
      <c r="Q1069" s="433"/>
      <c r="R1069" s="433"/>
      <c r="S1069" s="432" t="s">
        <v>1443</v>
      </c>
      <c r="T1069" s="432">
        <v>60</v>
      </c>
      <c r="U1069" s="350">
        <v>49401140</v>
      </c>
      <c r="V1069" s="432" t="s">
        <v>973</v>
      </c>
      <c r="W1069" s="432">
        <v>400</v>
      </c>
      <c r="X1069" s="436">
        <v>768</v>
      </c>
      <c r="Y1069" s="408">
        <f t="shared" si="133"/>
        <v>307200</v>
      </c>
      <c r="Z1069" s="409">
        <f t="shared" si="138"/>
        <v>0.52500000000000002</v>
      </c>
      <c r="AA1069" s="423">
        <f t="shared" si="134"/>
        <v>161280</v>
      </c>
      <c r="AB1069" s="411"/>
      <c r="AC1069" s="412">
        <f t="shared" si="135"/>
        <v>0</v>
      </c>
      <c r="AD1069" s="421"/>
      <c r="AE1069" s="413"/>
      <c r="AF1069" s="424">
        <f t="shared" si="136"/>
        <v>161280</v>
      </c>
      <c r="AG1069" s="405" t="s">
        <v>1069</v>
      </c>
      <c r="AH1069" s="405"/>
      <c r="AI1069" s="414" t="s">
        <v>1962</v>
      </c>
      <c r="AJ1069" s="405" t="s">
        <v>1944</v>
      </c>
      <c r="AK1069" s="425" t="s">
        <v>1136</v>
      </c>
      <c r="AL1069" s="405">
        <v>75063</v>
      </c>
      <c r="AM1069" s="405" t="s">
        <v>52</v>
      </c>
      <c r="AN1069" s="405"/>
      <c r="AO1069" s="405"/>
      <c r="AP1069" s="417"/>
      <c r="AQ1069" s="417" t="s">
        <v>37</v>
      </c>
      <c r="AR1069" s="417"/>
      <c r="AS1069" s="426"/>
      <c r="AT1069" s="426"/>
      <c r="AU1069" s="357"/>
      <c r="AV1069" s="409"/>
    </row>
    <row r="1070" spans="1:48" s="402" customFormat="1" ht="15" customHeight="1">
      <c r="A1070" s="403"/>
      <c r="B1070" s="445">
        <v>44557</v>
      </c>
      <c r="C1070" s="403"/>
      <c r="D1070" s="443" t="s">
        <v>1914</v>
      </c>
      <c r="E1070" s="432" t="s">
        <v>2155</v>
      </c>
      <c r="F1070" s="432"/>
      <c r="G1070" s="432">
        <v>2022</v>
      </c>
      <c r="H1070" s="432" t="s">
        <v>1498</v>
      </c>
      <c r="I1070" s="443" t="s">
        <v>1498</v>
      </c>
      <c r="J1070" s="433"/>
      <c r="K1070" s="434" t="s">
        <v>3427</v>
      </c>
      <c r="L1070" s="432" t="s">
        <v>2004</v>
      </c>
      <c r="M1070" s="435">
        <v>44545</v>
      </c>
      <c r="N1070" s="435">
        <v>44908</v>
      </c>
      <c r="O1070" s="435"/>
      <c r="P1070" s="349"/>
      <c r="Q1070" s="433"/>
      <c r="R1070" s="433"/>
      <c r="S1070" s="432" t="s">
        <v>1443</v>
      </c>
      <c r="T1070" s="432">
        <v>60</v>
      </c>
      <c r="U1070" s="350">
        <v>49401140</v>
      </c>
      <c r="V1070" s="432" t="s">
        <v>973</v>
      </c>
      <c r="W1070" s="432">
        <v>400</v>
      </c>
      <c r="X1070" s="436">
        <v>768</v>
      </c>
      <c r="Y1070" s="408">
        <f t="shared" si="133"/>
        <v>307200</v>
      </c>
      <c r="Z1070" s="409">
        <f t="shared" si="138"/>
        <v>0.52500000000000002</v>
      </c>
      <c r="AA1070" s="423">
        <f t="shared" si="134"/>
        <v>161280</v>
      </c>
      <c r="AB1070" s="411"/>
      <c r="AC1070" s="412">
        <f t="shared" si="135"/>
        <v>0</v>
      </c>
      <c r="AD1070" s="421"/>
      <c r="AE1070" s="413"/>
      <c r="AF1070" s="424">
        <f t="shared" si="136"/>
        <v>161280</v>
      </c>
      <c r="AG1070" s="405" t="s">
        <v>1069</v>
      </c>
      <c r="AH1070" s="405"/>
      <c r="AI1070" s="414" t="s">
        <v>1962</v>
      </c>
      <c r="AJ1070" s="405" t="s">
        <v>1944</v>
      </c>
      <c r="AK1070" s="425" t="s">
        <v>1136</v>
      </c>
      <c r="AL1070" s="405">
        <v>75063</v>
      </c>
      <c r="AM1070" s="405" t="s">
        <v>52</v>
      </c>
      <c r="AN1070" s="405"/>
      <c r="AO1070" s="405"/>
      <c r="AP1070" s="417"/>
      <c r="AQ1070" s="417" t="s">
        <v>37</v>
      </c>
      <c r="AR1070" s="417"/>
      <c r="AS1070" s="426"/>
      <c r="AT1070" s="426"/>
      <c r="AU1070" s="357"/>
      <c r="AV1070" s="409"/>
    </row>
    <row r="1071" spans="1:48" s="402" customFormat="1" ht="15" customHeight="1">
      <c r="A1071" s="403"/>
      <c r="B1071" s="445">
        <v>44557</v>
      </c>
      <c r="C1071" s="403"/>
      <c r="D1071" s="443" t="s">
        <v>1914</v>
      </c>
      <c r="E1071" s="432" t="s">
        <v>2155</v>
      </c>
      <c r="F1071" s="432"/>
      <c r="G1071" s="432">
        <v>2022</v>
      </c>
      <c r="H1071" s="432" t="s">
        <v>1498</v>
      </c>
      <c r="I1071" s="443" t="s">
        <v>1498</v>
      </c>
      <c r="J1071" s="433"/>
      <c r="K1071" s="434" t="s">
        <v>3428</v>
      </c>
      <c r="L1071" s="432" t="s">
        <v>2004</v>
      </c>
      <c r="M1071" s="435">
        <v>44544</v>
      </c>
      <c r="N1071" s="435">
        <v>44744</v>
      </c>
      <c r="O1071" s="435"/>
      <c r="P1071" s="349"/>
      <c r="Q1071" s="433"/>
      <c r="R1071" s="433"/>
      <c r="S1071" s="432" t="s">
        <v>1443</v>
      </c>
      <c r="T1071" s="432">
        <v>60</v>
      </c>
      <c r="U1071" s="350">
        <v>49401140</v>
      </c>
      <c r="V1071" s="432" t="s">
        <v>973</v>
      </c>
      <c r="W1071" s="432">
        <v>400</v>
      </c>
      <c r="X1071" s="436">
        <v>768</v>
      </c>
      <c r="Y1071" s="408">
        <f t="shared" si="133"/>
        <v>307200</v>
      </c>
      <c r="Z1071" s="409">
        <f t="shared" si="138"/>
        <v>0.52500000000000002</v>
      </c>
      <c r="AA1071" s="423">
        <f t="shared" si="134"/>
        <v>161280</v>
      </c>
      <c r="AB1071" s="411"/>
      <c r="AC1071" s="412">
        <f t="shared" si="135"/>
        <v>0</v>
      </c>
      <c r="AD1071" s="421"/>
      <c r="AE1071" s="413"/>
      <c r="AF1071" s="424">
        <f t="shared" si="136"/>
        <v>161280</v>
      </c>
      <c r="AG1071" s="405" t="s">
        <v>1069</v>
      </c>
      <c r="AH1071" s="405"/>
      <c r="AI1071" s="414" t="s">
        <v>1962</v>
      </c>
      <c r="AJ1071" s="405" t="s">
        <v>1584</v>
      </c>
      <c r="AK1071" s="425" t="s">
        <v>50</v>
      </c>
      <c r="AL1071" s="405">
        <v>95834</v>
      </c>
      <c r="AM1071" s="405" t="s">
        <v>52</v>
      </c>
      <c r="AN1071" s="405"/>
      <c r="AO1071" s="405"/>
      <c r="AP1071" s="417"/>
      <c r="AQ1071" s="417" t="s">
        <v>37</v>
      </c>
      <c r="AR1071" s="417"/>
      <c r="AS1071" s="426"/>
      <c r="AT1071" s="426"/>
      <c r="AU1071" s="357"/>
      <c r="AV1071" s="409"/>
    </row>
    <row r="1072" spans="1:48" s="402" customFormat="1" ht="15" customHeight="1">
      <c r="A1072" s="403"/>
      <c r="B1072" s="445">
        <v>44557</v>
      </c>
      <c r="C1072" s="403"/>
      <c r="D1072" s="443" t="s">
        <v>1914</v>
      </c>
      <c r="E1072" s="432" t="s">
        <v>2155</v>
      </c>
      <c r="F1072" s="432"/>
      <c r="G1072" s="432">
        <v>2022</v>
      </c>
      <c r="H1072" s="432" t="s">
        <v>1498</v>
      </c>
      <c r="I1072" s="443" t="s">
        <v>1498</v>
      </c>
      <c r="J1072" s="433"/>
      <c r="K1072" s="434" t="s">
        <v>3429</v>
      </c>
      <c r="L1072" s="432" t="s">
        <v>2004</v>
      </c>
      <c r="M1072" s="435">
        <v>44544</v>
      </c>
      <c r="N1072" s="435">
        <v>44751</v>
      </c>
      <c r="O1072" s="435"/>
      <c r="P1072" s="349"/>
      <c r="Q1072" s="433"/>
      <c r="R1072" s="433"/>
      <c r="S1072" s="432" t="s">
        <v>1443</v>
      </c>
      <c r="T1072" s="432">
        <v>60</v>
      </c>
      <c r="U1072" s="350">
        <v>49401140</v>
      </c>
      <c r="V1072" s="432" t="s">
        <v>973</v>
      </c>
      <c r="W1072" s="432">
        <v>400</v>
      </c>
      <c r="X1072" s="436">
        <v>768</v>
      </c>
      <c r="Y1072" s="408">
        <f t="shared" si="133"/>
        <v>307200</v>
      </c>
      <c r="Z1072" s="409">
        <f t="shared" si="138"/>
        <v>0.52500000000000002</v>
      </c>
      <c r="AA1072" s="423">
        <f t="shared" si="134"/>
        <v>161280</v>
      </c>
      <c r="AB1072" s="411"/>
      <c r="AC1072" s="412">
        <f t="shared" si="135"/>
        <v>0</v>
      </c>
      <c r="AD1072" s="421"/>
      <c r="AE1072" s="413"/>
      <c r="AF1072" s="424">
        <f t="shared" si="136"/>
        <v>161280</v>
      </c>
      <c r="AG1072" s="405" t="s">
        <v>1069</v>
      </c>
      <c r="AH1072" s="405"/>
      <c r="AI1072" s="414" t="s">
        <v>1962</v>
      </c>
      <c r="AJ1072" s="405" t="s">
        <v>1584</v>
      </c>
      <c r="AK1072" s="425" t="s">
        <v>50</v>
      </c>
      <c r="AL1072" s="405">
        <v>95834</v>
      </c>
      <c r="AM1072" s="405" t="s">
        <v>52</v>
      </c>
      <c r="AN1072" s="405"/>
      <c r="AO1072" s="405"/>
      <c r="AP1072" s="417"/>
      <c r="AQ1072" s="417" t="s">
        <v>37</v>
      </c>
      <c r="AR1072" s="417"/>
      <c r="AS1072" s="426"/>
      <c r="AT1072" s="426"/>
      <c r="AU1072" s="357"/>
      <c r="AV1072" s="409"/>
    </row>
    <row r="1073" spans="1:48" s="402" customFormat="1" ht="15" customHeight="1">
      <c r="A1073" s="403"/>
      <c r="B1073" s="445">
        <v>44557</v>
      </c>
      <c r="C1073" s="403"/>
      <c r="D1073" s="443" t="s">
        <v>1914</v>
      </c>
      <c r="E1073" s="432" t="s">
        <v>2155</v>
      </c>
      <c r="F1073" s="432"/>
      <c r="G1073" s="432">
        <v>2022</v>
      </c>
      <c r="H1073" s="432" t="s">
        <v>1498</v>
      </c>
      <c r="I1073" s="443" t="s">
        <v>1498</v>
      </c>
      <c r="J1073" s="433"/>
      <c r="K1073" s="434" t="s">
        <v>3430</v>
      </c>
      <c r="L1073" s="432" t="s">
        <v>2004</v>
      </c>
      <c r="M1073" s="435">
        <v>44544</v>
      </c>
      <c r="N1073" s="435">
        <v>44752</v>
      </c>
      <c r="O1073" s="435"/>
      <c r="P1073" s="349"/>
      <c r="Q1073" s="433"/>
      <c r="R1073" s="433"/>
      <c r="S1073" s="432" t="s">
        <v>1443</v>
      </c>
      <c r="T1073" s="432">
        <v>60</v>
      </c>
      <c r="U1073" s="350">
        <v>49201132</v>
      </c>
      <c r="V1073" s="432" t="s">
        <v>986</v>
      </c>
      <c r="W1073" s="432">
        <v>360</v>
      </c>
      <c r="X1073" s="436">
        <v>832</v>
      </c>
      <c r="Y1073" s="408">
        <f t="shared" si="133"/>
        <v>299520</v>
      </c>
      <c r="Z1073" s="409">
        <f>181.8/360</f>
        <v>0.505</v>
      </c>
      <c r="AA1073" s="423">
        <f t="shared" si="134"/>
        <v>151257.60000000001</v>
      </c>
      <c r="AB1073" s="411"/>
      <c r="AC1073" s="412">
        <f t="shared" si="135"/>
        <v>0</v>
      </c>
      <c r="AD1073" s="421"/>
      <c r="AE1073" s="413"/>
      <c r="AF1073" s="424">
        <f t="shared" si="136"/>
        <v>151257.60000000001</v>
      </c>
      <c r="AG1073" s="405" t="s">
        <v>1069</v>
      </c>
      <c r="AH1073" s="405"/>
      <c r="AI1073" s="414" t="s">
        <v>1962</v>
      </c>
      <c r="AJ1073" s="405" t="s">
        <v>1584</v>
      </c>
      <c r="AK1073" s="425" t="s">
        <v>50</v>
      </c>
      <c r="AL1073" s="405">
        <v>95834</v>
      </c>
      <c r="AM1073" s="405" t="s">
        <v>52</v>
      </c>
      <c r="AN1073" s="405"/>
      <c r="AO1073" s="405"/>
      <c r="AP1073" s="417"/>
      <c r="AQ1073" s="417" t="s">
        <v>37</v>
      </c>
      <c r="AR1073" s="417"/>
      <c r="AS1073" s="426"/>
      <c r="AT1073" s="426"/>
      <c r="AU1073" s="357"/>
      <c r="AV1073" s="409"/>
    </row>
    <row r="1074" spans="1:48" s="402" customFormat="1" ht="15" customHeight="1">
      <c r="A1074" s="403"/>
      <c r="B1074" s="445">
        <v>44557</v>
      </c>
      <c r="C1074" s="403"/>
      <c r="D1074" s="443" t="s">
        <v>1914</v>
      </c>
      <c r="E1074" s="432" t="s">
        <v>2155</v>
      </c>
      <c r="F1074" s="432"/>
      <c r="G1074" s="432">
        <v>2022</v>
      </c>
      <c r="H1074" s="432" t="s">
        <v>1498</v>
      </c>
      <c r="I1074" s="443" t="s">
        <v>1498</v>
      </c>
      <c r="J1074" s="433"/>
      <c r="K1074" s="434" t="s">
        <v>3431</v>
      </c>
      <c r="L1074" s="432" t="s">
        <v>2004</v>
      </c>
      <c r="M1074" s="435">
        <v>44544</v>
      </c>
      <c r="N1074" s="435">
        <v>44757</v>
      </c>
      <c r="O1074" s="435"/>
      <c r="P1074" s="349"/>
      <c r="Q1074" s="433"/>
      <c r="R1074" s="433"/>
      <c r="S1074" s="432" t="s">
        <v>1443</v>
      </c>
      <c r="T1074" s="432">
        <v>60</v>
      </c>
      <c r="U1074" s="350" t="s">
        <v>1102</v>
      </c>
      <c r="V1074" s="432" t="s">
        <v>973</v>
      </c>
      <c r="W1074" s="432">
        <v>400</v>
      </c>
      <c r="X1074" s="436">
        <v>768</v>
      </c>
      <c r="Y1074" s="408">
        <f t="shared" si="133"/>
        <v>307200</v>
      </c>
      <c r="Z1074" s="409">
        <f>210/400</f>
        <v>0.52500000000000002</v>
      </c>
      <c r="AA1074" s="423">
        <f t="shared" si="134"/>
        <v>161280</v>
      </c>
      <c r="AB1074" s="411"/>
      <c r="AC1074" s="412">
        <f t="shared" si="135"/>
        <v>0</v>
      </c>
      <c r="AD1074" s="421"/>
      <c r="AE1074" s="413"/>
      <c r="AF1074" s="424">
        <f t="shared" si="136"/>
        <v>161280</v>
      </c>
      <c r="AG1074" s="405" t="s">
        <v>1069</v>
      </c>
      <c r="AH1074" s="405"/>
      <c r="AI1074" s="414" t="s">
        <v>1962</v>
      </c>
      <c r="AJ1074" s="405" t="s">
        <v>1584</v>
      </c>
      <c r="AK1074" s="425" t="s">
        <v>50</v>
      </c>
      <c r="AL1074" s="405">
        <v>95834</v>
      </c>
      <c r="AM1074" s="405" t="s">
        <v>52</v>
      </c>
      <c r="AN1074" s="405"/>
      <c r="AO1074" s="405"/>
      <c r="AP1074" s="417"/>
      <c r="AQ1074" s="417" t="s">
        <v>37</v>
      </c>
      <c r="AR1074" s="417"/>
      <c r="AS1074" s="426"/>
      <c r="AT1074" s="426"/>
      <c r="AU1074" s="357"/>
      <c r="AV1074" s="409"/>
    </row>
    <row r="1075" spans="1:48" s="402" customFormat="1" ht="15" customHeight="1">
      <c r="A1075" s="403"/>
      <c r="B1075" s="445">
        <v>44557</v>
      </c>
      <c r="C1075" s="403"/>
      <c r="D1075" s="443" t="s">
        <v>1914</v>
      </c>
      <c r="E1075" s="432" t="s">
        <v>2155</v>
      </c>
      <c r="F1075" s="432"/>
      <c r="G1075" s="432">
        <v>2022</v>
      </c>
      <c r="H1075" s="432" t="s">
        <v>1498</v>
      </c>
      <c r="I1075" s="443" t="s">
        <v>1498</v>
      </c>
      <c r="J1075" s="433"/>
      <c r="K1075" s="434" t="s">
        <v>3432</v>
      </c>
      <c r="L1075" s="432" t="s">
        <v>2004</v>
      </c>
      <c r="M1075" s="435">
        <v>44545</v>
      </c>
      <c r="N1075" s="435">
        <v>44775</v>
      </c>
      <c r="O1075" s="435"/>
      <c r="P1075" s="349"/>
      <c r="Q1075" s="433"/>
      <c r="R1075" s="433"/>
      <c r="S1075" s="432" t="s">
        <v>1443</v>
      </c>
      <c r="T1075" s="432">
        <v>60</v>
      </c>
      <c r="U1075" s="350">
        <v>49401140</v>
      </c>
      <c r="V1075" s="432" t="s">
        <v>973</v>
      </c>
      <c r="W1075" s="432">
        <v>400</v>
      </c>
      <c r="X1075" s="436">
        <v>768</v>
      </c>
      <c r="Y1075" s="408">
        <f t="shared" si="133"/>
        <v>307200</v>
      </c>
      <c r="Z1075" s="409">
        <f>210/400</f>
        <v>0.52500000000000002</v>
      </c>
      <c r="AA1075" s="423">
        <f t="shared" si="134"/>
        <v>161280</v>
      </c>
      <c r="AB1075" s="411"/>
      <c r="AC1075" s="412">
        <f t="shared" si="135"/>
        <v>0</v>
      </c>
      <c r="AD1075" s="421"/>
      <c r="AE1075" s="413"/>
      <c r="AF1075" s="424">
        <f t="shared" si="136"/>
        <v>161280</v>
      </c>
      <c r="AG1075" s="405" t="s">
        <v>1069</v>
      </c>
      <c r="AH1075" s="405"/>
      <c r="AI1075" s="414" t="s">
        <v>1962</v>
      </c>
      <c r="AJ1075" s="405" t="s">
        <v>1584</v>
      </c>
      <c r="AK1075" s="425" t="s">
        <v>50</v>
      </c>
      <c r="AL1075" s="405">
        <v>95834</v>
      </c>
      <c r="AM1075" s="405" t="s">
        <v>52</v>
      </c>
      <c r="AN1075" s="405"/>
      <c r="AO1075" s="405"/>
      <c r="AP1075" s="417"/>
      <c r="AQ1075" s="417" t="s">
        <v>37</v>
      </c>
      <c r="AR1075" s="417"/>
      <c r="AS1075" s="426"/>
      <c r="AT1075" s="426"/>
      <c r="AU1075" s="357"/>
      <c r="AV1075" s="409"/>
    </row>
    <row r="1076" spans="1:48" s="402" customFormat="1" ht="15" customHeight="1">
      <c r="A1076" s="403"/>
      <c r="B1076" s="445">
        <v>44557</v>
      </c>
      <c r="C1076" s="403"/>
      <c r="D1076" s="443" t="s">
        <v>1914</v>
      </c>
      <c r="E1076" s="432" t="s">
        <v>2155</v>
      </c>
      <c r="F1076" s="432"/>
      <c r="G1076" s="432">
        <v>2022</v>
      </c>
      <c r="H1076" s="432" t="s">
        <v>1498</v>
      </c>
      <c r="I1076" s="443" t="s">
        <v>1498</v>
      </c>
      <c r="J1076" s="433"/>
      <c r="K1076" s="434" t="s">
        <v>3433</v>
      </c>
      <c r="L1076" s="432" t="s">
        <v>2004</v>
      </c>
      <c r="M1076" s="435">
        <v>44545</v>
      </c>
      <c r="N1076" s="435">
        <v>44781</v>
      </c>
      <c r="O1076" s="435"/>
      <c r="P1076" s="349"/>
      <c r="Q1076" s="433"/>
      <c r="R1076" s="433"/>
      <c r="S1076" s="432" t="s">
        <v>1443</v>
      </c>
      <c r="T1076" s="432">
        <v>60</v>
      </c>
      <c r="U1076" s="350">
        <v>49201132</v>
      </c>
      <c r="V1076" s="432" t="s">
        <v>986</v>
      </c>
      <c r="W1076" s="432">
        <v>360</v>
      </c>
      <c r="X1076" s="436">
        <v>832</v>
      </c>
      <c r="Y1076" s="408">
        <f t="shared" si="133"/>
        <v>299520</v>
      </c>
      <c r="Z1076" s="409">
        <f>181.8/360</f>
        <v>0.505</v>
      </c>
      <c r="AA1076" s="423">
        <f t="shared" si="134"/>
        <v>151257.60000000001</v>
      </c>
      <c r="AB1076" s="411"/>
      <c r="AC1076" s="412">
        <f t="shared" si="135"/>
        <v>0</v>
      </c>
      <c r="AD1076" s="421"/>
      <c r="AE1076" s="413"/>
      <c r="AF1076" s="424">
        <f t="shared" si="136"/>
        <v>151257.60000000001</v>
      </c>
      <c r="AG1076" s="405" t="s">
        <v>1069</v>
      </c>
      <c r="AH1076" s="405"/>
      <c r="AI1076" s="414" t="s">
        <v>1962</v>
      </c>
      <c r="AJ1076" s="405" t="s">
        <v>2000</v>
      </c>
      <c r="AK1076" s="425" t="s">
        <v>50</v>
      </c>
      <c r="AL1076" s="405">
        <v>95834</v>
      </c>
      <c r="AM1076" s="405" t="s">
        <v>52</v>
      </c>
      <c r="AN1076" s="405"/>
      <c r="AO1076" s="405"/>
      <c r="AP1076" s="417"/>
      <c r="AQ1076" s="417" t="s">
        <v>37</v>
      </c>
      <c r="AR1076" s="417"/>
      <c r="AS1076" s="426"/>
      <c r="AT1076" s="426"/>
      <c r="AU1076" s="357"/>
      <c r="AV1076" s="409"/>
    </row>
    <row r="1077" spans="1:48" s="402" customFormat="1" ht="15" customHeight="1">
      <c r="A1077" s="403"/>
      <c r="B1077" s="445">
        <v>44557</v>
      </c>
      <c r="C1077" s="403"/>
      <c r="D1077" s="443" t="s">
        <v>1914</v>
      </c>
      <c r="E1077" s="432" t="s">
        <v>2155</v>
      </c>
      <c r="F1077" s="432"/>
      <c r="G1077" s="432">
        <v>2022</v>
      </c>
      <c r="H1077" s="432" t="s">
        <v>1498</v>
      </c>
      <c r="I1077" s="443" t="s">
        <v>1498</v>
      </c>
      <c r="J1077" s="433"/>
      <c r="K1077" s="434" t="s">
        <v>3434</v>
      </c>
      <c r="L1077" s="432" t="s">
        <v>2004</v>
      </c>
      <c r="M1077" s="435">
        <v>44544</v>
      </c>
      <c r="N1077" s="435">
        <v>44782</v>
      </c>
      <c r="O1077" s="435"/>
      <c r="P1077" s="349"/>
      <c r="Q1077" s="433"/>
      <c r="R1077" s="433"/>
      <c r="S1077" s="432" t="s">
        <v>1443</v>
      </c>
      <c r="T1077" s="432">
        <v>60</v>
      </c>
      <c r="U1077" s="350">
        <v>49401140</v>
      </c>
      <c r="V1077" s="432" t="s">
        <v>973</v>
      </c>
      <c r="W1077" s="432">
        <v>400</v>
      </c>
      <c r="X1077" s="436">
        <v>768</v>
      </c>
      <c r="Y1077" s="408">
        <f t="shared" si="133"/>
        <v>307200</v>
      </c>
      <c r="Z1077" s="409">
        <f>210/400</f>
        <v>0.52500000000000002</v>
      </c>
      <c r="AA1077" s="423">
        <f t="shared" si="134"/>
        <v>161280</v>
      </c>
      <c r="AB1077" s="411"/>
      <c r="AC1077" s="412">
        <f t="shared" si="135"/>
        <v>0</v>
      </c>
      <c r="AD1077" s="421"/>
      <c r="AE1077" s="413"/>
      <c r="AF1077" s="424">
        <f t="shared" si="136"/>
        <v>161280</v>
      </c>
      <c r="AG1077" s="405" t="s">
        <v>1069</v>
      </c>
      <c r="AH1077" s="405"/>
      <c r="AI1077" s="414" t="s">
        <v>1962</v>
      </c>
      <c r="AJ1077" s="405" t="s">
        <v>1584</v>
      </c>
      <c r="AK1077" s="425" t="s">
        <v>50</v>
      </c>
      <c r="AL1077" s="405">
        <v>95834</v>
      </c>
      <c r="AM1077" s="405" t="s">
        <v>52</v>
      </c>
      <c r="AN1077" s="405"/>
      <c r="AO1077" s="405"/>
      <c r="AP1077" s="417"/>
      <c r="AQ1077" s="417" t="s">
        <v>37</v>
      </c>
      <c r="AR1077" s="417"/>
      <c r="AS1077" s="426"/>
      <c r="AT1077" s="426"/>
      <c r="AU1077" s="357"/>
      <c r="AV1077" s="409"/>
    </row>
    <row r="1078" spans="1:48" s="402" customFormat="1" ht="15" customHeight="1">
      <c r="A1078" s="403"/>
      <c r="B1078" s="445">
        <v>44557</v>
      </c>
      <c r="C1078" s="403"/>
      <c r="D1078" s="443" t="s">
        <v>1914</v>
      </c>
      <c r="E1078" s="432" t="s">
        <v>2155</v>
      </c>
      <c r="F1078" s="432"/>
      <c r="G1078" s="432">
        <v>2022</v>
      </c>
      <c r="H1078" s="432" t="s">
        <v>1498</v>
      </c>
      <c r="I1078" s="443" t="s">
        <v>1498</v>
      </c>
      <c r="J1078" s="433"/>
      <c r="K1078" s="434" t="s">
        <v>3435</v>
      </c>
      <c r="L1078" s="432" t="s">
        <v>2004</v>
      </c>
      <c r="M1078" s="435">
        <v>44544</v>
      </c>
      <c r="N1078" s="435">
        <v>44788</v>
      </c>
      <c r="O1078" s="435"/>
      <c r="P1078" s="349"/>
      <c r="Q1078" s="433"/>
      <c r="R1078" s="433"/>
      <c r="S1078" s="432" t="s">
        <v>1443</v>
      </c>
      <c r="T1078" s="432">
        <v>60</v>
      </c>
      <c r="U1078" s="350">
        <v>49401140</v>
      </c>
      <c r="V1078" s="432" t="s">
        <v>973</v>
      </c>
      <c r="W1078" s="432">
        <v>400</v>
      </c>
      <c r="X1078" s="436">
        <v>768</v>
      </c>
      <c r="Y1078" s="408">
        <f t="shared" si="133"/>
        <v>307200</v>
      </c>
      <c r="Z1078" s="409">
        <f>210/400</f>
        <v>0.52500000000000002</v>
      </c>
      <c r="AA1078" s="423">
        <f t="shared" si="134"/>
        <v>161280</v>
      </c>
      <c r="AB1078" s="411"/>
      <c r="AC1078" s="412">
        <f t="shared" si="135"/>
        <v>0</v>
      </c>
      <c r="AD1078" s="421"/>
      <c r="AE1078" s="413"/>
      <c r="AF1078" s="424">
        <f t="shared" si="136"/>
        <v>161280</v>
      </c>
      <c r="AG1078" s="405" t="s">
        <v>1069</v>
      </c>
      <c r="AH1078" s="405"/>
      <c r="AI1078" s="414" t="s">
        <v>1962</v>
      </c>
      <c r="AJ1078" s="405" t="s">
        <v>1584</v>
      </c>
      <c r="AK1078" s="425" t="s">
        <v>50</v>
      </c>
      <c r="AL1078" s="405">
        <v>95834</v>
      </c>
      <c r="AM1078" s="405" t="s">
        <v>52</v>
      </c>
      <c r="AN1078" s="405"/>
      <c r="AO1078" s="405"/>
      <c r="AP1078" s="417"/>
      <c r="AQ1078" s="417" t="s">
        <v>37</v>
      </c>
      <c r="AR1078" s="417"/>
      <c r="AS1078" s="426"/>
      <c r="AT1078" s="426"/>
      <c r="AU1078" s="357"/>
      <c r="AV1078" s="409"/>
    </row>
    <row r="1079" spans="1:48" s="402" customFormat="1" ht="15" customHeight="1">
      <c r="A1079" s="403"/>
      <c r="B1079" s="445">
        <v>44557</v>
      </c>
      <c r="C1079" s="403"/>
      <c r="D1079" s="443" t="s">
        <v>1914</v>
      </c>
      <c r="E1079" s="432" t="s">
        <v>2155</v>
      </c>
      <c r="F1079" s="432"/>
      <c r="G1079" s="432">
        <v>2022</v>
      </c>
      <c r="H1079" s="432" t="s">
        <v>1498</v>
      </c>
      <c r="I1079" s="443" t="s">
        <v>1498</v>
      </c>
      <c r="J1079" s="433"/>
      <c r="K1079" s="434" t="s">
        <v>3436</v>
      </c>
      <c r="L1079" s="432" t="s">
        <v>2004</v>
      </c>
      <c r="M1079" s="435">
        <v>44544</v>
      </c>
      <c r="N1079" s="435">
        <v>44789</v>
      </c>
      <c r="O1079" s="435"/>
      <c r="P1079" s="349"/>
      <c r="Q1079" s="433"/>
      <c r="R1079" s="433"/>
      <c r="S1079" s="432" t="s">
        <v>1443</v>
      </c>
      <c r="T1079" s="432">
        <v>60</v>
      </c>
      <c r="U1079" s="350">
        <v>49201132</v>
      </c>
      <c r="V1079" s="432" t="s">
        <v>986</v>
      </c>
      <c r="W1079" s="432">
        <v>360</v>
      </c>
      <c r="X1079" s="436">
        <v>832</v>
      </c>
      <c r="Y1079" s="408">
        <f t="shared" si="133"/>
        <v>299520</v>
      </c>
      <c r="Z1079" s="409">
        <f>181.8/360</f>
        <v>0.505</v>
      </c>
      <c r="AA1079" s="423">
        <f t="shared" si="134"/>
        <v>151257.60000000001</v>
      </c>
      <c r="AB1079" s="411"/>
      <c r="AC1079" s="412">
        <f t="shared" si="135"/>
        <v>0</v>
      </c>
      <c r="AD1079" s="421"/>
      <c r="AE1079" s="413"/>
      <c r="AF1079" s="424">
        <f t="shared" si="136"/>
        <v>151257.60000000001</v>
      </c>
      <c r="AG1079" s="405" t="s">
        <v>1069</v>
      </c>
      <c r="AH1079" s="405"/>
      <c r="AI1079" s="414" t="s">
        <v>1962</v>
      </c>
      <c r="AJ1079" s="405" t="s">
        <v>2000</v>
      </c>
      <c r="AK1079" s="425" t="s">
        <v>50</v>
      </c>
      <c r="AL1079" s="405">
        <v>95834</v>
      </c>
      <c r="AM1079" s="405" t="s">
        <v>52</v>
      </c>
      <c r="AN1079" s="405"/>
      <c r="AO1079" s="405"/>
      <c r="AP1079" s="417"/>
      <c r="AQ1079" s="417" t="s">
        <v>37</v>
      </c>
      <c r="AR1079" s="417"/>
      <c r="AS1079" s="426"/>
      <c r="AT1079" s="426"/>
      <c r="AU1079" s="357"/>
      <c r="AV1079" s="409"/>
    </row>
    <row r="1080" spans="1:48" s="402" customFormat="1" ht="15" customHeight="1">
      <c r="A1080" s="403"/>
      <c r="B1080" s="445">
        <v>44557</v>
      </c>
      <c r="C1080" s="403"/>
      <c r="D1080" s="443" t="s">
        <v>1914</v>
      </c>
      <c r="E1080" s="432" t="s">
        <v>2155</v>
      </c>
      <c r="F1080" s="432"/>
      <c r="G1080" s="432">
        <v>2022</v>
      </c>
      <c r="H1080" s="432" t="s">
        <v>1498</v>
      </c>
      <c r="I1080" s="443" t="s">
        <v>1498</v>
      </c>
      <c r="J1080" s="433"/>
      <c r="K1080" s="434" t="s">
        <v>3437</v>
      </c>
      <c r="L1080" s="432" t="s">
        <v>2004</v>
      </c>
      <c r="M1080" s="435">
        <v>44545</v>
      </c>
      <c r="N1080" s="435">
        <v>44793</v>
      </c>
      <c r="O1080" s="435"/>
      <c r="P1080" s="349"/>
      <c r="Q1080" s="433"/>
      <c r="R1080" s="433"/>
      <c r="S1080" s="432" t="s">
        <v>1443</v>
      </c>
      <c r="T1080" s="432">
        <v>60</v>
      </c>
      <c r="U1080" s="350">
        <v>49401140</v>
      </c>
      <c r="V1080" s="432" t="s">
        <v>973</v>
      </c>
      <c r="W1080" s="432">
        <v>400</v>
      </c>
      <c r="X1080" s="436">
        <v>768</v>
      </c>
      <c r="Y1080" s="408">
        <f t="shared" si="133"/>
        <v>307200</v>
      </c>
      <c r="Z1080" s="409">
        <f>210/400</f>
        <v>0.52500000000000002</v>
      </c>
      <c r="AA1080" s="423">
        <f t="shared" si="134"/>
        <v>161280</v>
      </c>
      <c r="AB1080" s="411"/>
      <c r="AC1080" s="412">
        <f t="shared" si="135"/>
        <v>0</v>
      </c>
      <c r="AD1080" s="421"/>
      <c r="AE1080" s="413"/>
      <c r="AF1080" s="424">
        <f t="shared" si="136"/>
        <v>161280</v>
      </c>
      <c r="AG1080" s="405" t="s">
        <v>1069</v>
      </c>
      <c r="AH1080" s="405"/>
      <c r="AI1080" s="414" t="s">
        <v>1962</v>
      </c>
      <c r="AJ1080" s="405" t="s">
        <v>1584</v>
      </c>
      <c r="AK1080" s="425" t="s">
        <v>50</v>
      </c>
      <c r="AL1080" s="405">
        <v>95834</v>
      </c>
      <c r="AM1080" s="405" t="s">
        <v>52</v>
      </c>
      <c r="AN1080" s="405"/>
      <c r="AO1080" s="405"/>
      <c r="AP1080" s="417"/>
      <c r="AQ1080" s="417" t="s">
        <v>37</v>
      </c>
      <c r="AR1080" s="417"/>
      <c r="AS1080" s="426"/>
      <c r="AT1080" s="426"/>
      <c r="AU1080" s="357"/>
      <c r="AV1080" s="409"/>
    </row>
    <row r="1081" spans="1:48" s="402" customFormat="1" ht="15" customHeight="1">
      <c r="A1081" s="403"/>
      <c r="B1081" s="445">
        <v>44557</v>
      </c>
      <c r="C1081" s="403"/>
      <c r="D1081" s="443" t="s">
        <v>1914</v>
      </c>
      <c r="E1081" s="432" t="s">
        <v>2155</v>
      </c>
      <c r="F1081" s="432"/>
      <c r="G1081" s="432">
        <v>2022</v>
      </c>
      <c r="H1081" s="432" t="s">
        <v>1498</v>
      </c>
      <c r="I1081" s="443" t="s">
        <v>1498</v>
      </c>
      <c r="J1081" s="433"/>
      <c r="K1081" s="434" t="s">
        <v>3438</v>
      </c>
      <c r="L1081" s="432" t="s">
        <v>2004</v>
      </c>
      <c r="M1081" s="435">
        <v>44545</v>
      </c>
      <c r="N1081" s="435">
        <v>44806</v>
      </c>
      <c r="O1081" s="435"/>
      <c r="P1081" s="349"/>
      <c r="Q1081" s="433"/>
      <c r="R1081" s="433"/>
      <c r="S1081" s="432" t="s">
        <v>1443</v>
      </c>
      <c r="T1081" s="432">
        <v>60</v>
      </c>
      <c r="U1081" s="350">
        <v>49401140</v>
      </c>
      <c r="V1081" s="432" t="s">
        <v>973</v>
      </c>
      <c r="W1081" s="432">
        <v>400</v>
      </c>
      <c r="X1081" s="436">
        <v>768</v>
      </c>
      <c r="Y1081" s="408">
        <f t="shared" si="133"/>
        <v>307200</v>
      </c>
      <c r="Z1081" s="409">
        <f>210/400</f>
        <v>0.52500000000000002</v>
      </c>
      <c r="AA1081" s="423">
        <f t="shared" si="134"/>
        <v>161280</v>
      </c>
      <c r="AB1081" s="411"/>
      <c r="AC1081" s="412">
        <f t="shared" si="135"/>
        <v>0</v>
      </c>
      <c r="AD1081" s="421"/>
      <c r="AE1081" s="413"/>
      <c r="AF1081" s="424">
        <f t="shared" si="136"/>
        <v>161280</v>
      </c>
      <c r="AG1081" s="405" t="s">
        <v>1069</v>
      </c>
      <c r="AH1081" s="405"/>
      <c r="AI1081" s="414" t="s">
        <v>1962</v>
      </c>
      <c r="AJ1081" s="405" t="s">
        <v>1584</v>
      </c>
      <c r="AK1081" s="425" t="s">
        <v>50</v>
      </c>
      <c r="AL1081" s="405">
        <v>95834</v>
      </c>
      <c r="AM1081" s="405" t="s">
        <v>52</v>
      </c>
      <c r="AN1081" s="405"/>
      <c r="AO1081" s="405"/>
      <c r="AP1081" s="417"/>
      <c r="AQ1081" s="417" t="s">
        <v>37</v>
      </c>
      <c r="AR1081" s="417"/>
      <c r="AS1081" s="426"/>
      <c r="AT1081" s="426"/>
      <c r="AU1081" s="357"/>
      <c r="AV1081" s="409"/>
    </row>
    <row r="1082" spans="1:48" s="402" customFormat="1" ht="15" customHeight="1">
      <c r="A1082" s="403"/>
      <c r="B1082" s="445">
        <v>44557</v>
      </c>
      <c r="C1082" s="403"/>
      <c r="D1082" s="443" t="s">
        <v>1914</v>
      </c>
      <c r="E1082" s="432" t="s">
        <v>2155</v>
      </c>
      <c r="F1082" s="432"/>
      <c r="G1082" s="432">
        <v>2022</v>
      </c>
      <c r="H1082" s="432" t="s">
        <v>1498</v>
      </c>
      <c r="I1082" s="443" t="s">
        <v>1498</v>
      </c>
      <c r="J1082" s="433"/>
      <c r="K1082" s="434" t="s">
        <v>3439</v>
      </c>
      <c r="L1082" s="432" t="s">
        <v>2004</v>
      </c>
      <c r="M1082" s="435">
        <v>44545</v>
      </c>
      <c r="N1082" s="435">
        <v>44813</v>
      </c>
      <c r="O1082" s="435"/>
      <c r="P1082" s="349"/>
      <c r="Q1082" s="433"/>
      <c r="R1082" s="433"/>
      <c r="S1082" s="432" t="s">
        <v>1443</v>
      </c>
      <c r="T1082" s="432">
        <v>60</v>
      </c>
      <c r="U1082" s="350">
        <v>49401140</v>
      </c>
      <c r="V1082" s="432" t="s">
        <v>973</v>
      </c>
      <c r="W1082" s="432">
        <v>400</v>
      </c>
      <c r="X1082" s="436">
        <v>768</v>
      </c>
      <c r="Y1082" s="408">
        <f t="shared" si="133"/>
        <v>307200</v>
      </c>
      <c r="Z1082" s="409">
        <f>210/400</f>
        <v>0.52500000000000002</v>
      </c>
      <c r="AA1082" s="423">
        <f t="shared" si="134"/>
        <v>161280</v>
      </c>
      <c r="AB1082" s="411"/>
      <c r="AC1082" s="412">
        <f t="shared" si="135"/>
        <v>0</v>
      </c>
      <c r="AD1082" s="421"/>
      <c r="AE1082" s="413"/>
      <c r="AF1082" s="424">
        <f t="shared" si="136"/>
        <v>161280</v>
      </c>
      <c r="AG1082" s="405" t="s">
        <v>1069</v>
      </c>
      <c r="AH1082" s="405"/>
      <c r="AI1082" s="414" t="s">
        <v>1962</v>
      </c>
      <c r="AJ1082" s="405" t="s">
        <v>1584</v>
      </c>
      <c r="AK1082" s="425" t="s">
        <v>50</v>
      </c>
      <c r="AL1082" s="405">
        <v>95834</v>
      </c>
      <c r="AM1082" s="405" t="s">
        <v>52</v>
      </c>
      <c r="AN1082" s="405"/>
      <c r="AO1082" s="405"/>
      <c r="AP1082" s="417"/>
      <c r="AQ1082" s="417" t="s">
        <v>37</v>
      </c>
      <c r="AR1082" s="417"/>
      <c r="AS1082" s="426"/>
      <c r="AT1082" s="426"/>
      <c r="AU1082" s="357"/>
      <c r="AV1082" s="409"/>
    </row>
    <row r="1083" spans="1:48" s="402" customFormat="1" ht="15" customHeight="1">
      <c r="A1083" s="403"/>
      <c r="B1083" s="445">
        <v>44557</v>
      </c>
      <c r="C1083" s="403"/>
      <c r="D1083" s="443" t="s">
        <v>1914</v>
      </c>
      <c r="E1083" s="432" t="s">
        <v>2155</v>
      </c>
      <c r="F1083" s="432"/>
      <c r="G1083" s="432">
        <v>2022</v>
      </c>
      <c r="H1083" s="432" t="s">
        <v>1498</v>
      </c>
      <c r="I1083" s="443" t="s">
        <v>1498</v>
      </c>
      <c r="J1083" s="433"/>
      <c r="K1083" s="434" t="s">
        <v>3440</v>
      </c>
      <c r="L1083" s="432" t="s">
        <v>2004</v>
      </c>
      <c r="M1083" s="435">
        <v>44545</v>
      </c>
      <c r="N1083" s="435">
        <v>44814</v>
      </c>
      <c r="O1083" s="435"/>
      <c r="P1083" s="349"/>
      <c r="Q1083" s="433"/>
      <c r="R1083" s="433"/>
      <c r="S1083" s="432" t="s">
        <v>1443</v>
      </c>
      <c r="T1083" s="432">
        <v>60</v>
      </c>
      <c r="U1083" s="350">
        <v>49201132</v>
      </c>
      <c r="V1083" s="432" t="s">
        <v>986</v>
      </c>
      <c r="W1083" s="432">
        <v>360</v>
      </c>
      <c r="X1083" s="436">
        <v>832</v>
      </c>
      <c r="Y1083" s="408">
        <f t="shared" si="133"/>
        <v>299520</v>
      </c>
      <c r="Z1083" s="409">
        <f>181.8/360</f>
        <v>0.505</v>
      </c>
      <c r="AA1083" s="423">
        <f t="shared" si="134"/>
        <v>151257.60000000001</v>
      </c>
      <c r="AB1083" s="411"/>
      <c r="AC1083" s="412">
        <f t="shared" si="135"/>
        <v>0</v>
      </c>
      <c r="AD1083" s="421"/>
      <c r="AE1083" s="413"/>
      <c r="AF1083" s="424">
        <f t="shared" si="136"/>
        <v>151257.60000000001</v>
      </c>
      <c r="AG1083" s="405" t="s">
        <v>1069</v>
      </c>
      <c r="AH1083" s="405"/>
      <c r="AI1083" s="414" t="s">
        <v>1962</v>
      </c>
      <c r="AJ1083" s="405" t="s">
        <v>1584</v>
      </c>
      <c r="AK1083" s="425" t="s">
        <v>50</v>
      </c>
      <c r="AL1083" s="405">
        <v>95834</v>
      </c>
      <c r="AM1083" s="405" t="s">
        <v>52</v>
      </c>
      <c r="AN1083" s="405"/>
      <c r="AO1083" s="405"/>
      <c r="AP1083" s="417"/>
      <c r="AQ1083" s="417" t="s">
        <v>37</v>
      </c>
      <c r="AR1083" s="417"/>
      <c r="AS1083" s="426"/>
      <c r="AT1083" s="426"/>
      <c r="AU1083" s="357"/>
      <c r="AV1083" s="409"/>
    </row>
    <row r="1084" spans="1:48" s="402" customFormat="1" ht="15" customHeight="1">
      <c r="A1084" s="403"/>
      <c r="B1084" s="445">
        <v>44557</v>
      </c>
      <c r="C1084" s="403"/>
      <c r="D1084" s="443" t="s">
        <v>1914</v>
      </c>
      <c r="E1084" s="432" t="s">
        <v>2155</v>
      </c>
      <c r="F1084" s="432"/>
      <c r="G1084" s="432">
        <v>2022</v>
      </c>
      <c r="H1084" s="432" t="s">
        <v>1498</v>
      </c>
      <c r="I1084" s="443" t="s">
        <v>1498</v>
      </c>
      <c r="J1084" s="433"/>
      <c r="K1084" s="434" t="s">
        <v>3441</v>
      </c>
      <c r="L1084" s="432" t="s">
        <v>2004</v>
      </c>
      <c r="M1084" s="435">
        <v>44545</v>
      </c>
      <c r="N1084" s="435">
        <v>44819</v>
      </c>
      <c r="O1084" s="435"/>
      <c r="P1084" s="349"/>
      <c r="Q1084" s="433"/>
      <c r="R1084" s="433"/>
      <c r="S1084" s="432" t="s">
        <v>1443</v>
      </c>
      <c r="T1084" s="432">
        <v>60</v>
      </c>
      <c r="U1084" s="350">
        <v>49401140</v>
      </c>
      <c r="V1084" s="432" t="s">
        <v>973</v>
      </c>
      <c r="W1084" s="432">
        <v>400</v>
      </c>
      <c r="X1084" s="436">
        <v>768</v>
      </c>
      <c r="Y1084" s="408">
        <f t="shared" si="133"/>
        <v>307200</v>
      </c>
      <c r="Z1084" s="409">
        <f>210/400</f>
        <v>0.52500000000000002</v>
      </c>
      <c r="AA1084" s="423">
        <f t="shared" si="134"/>
        <v>161280</v>
      </c>
      <c r="AB1084" s="411"/>
      <c r="AC1084" s="412">
        <f t="shared" si="135"/>
        <v>0</v>
      </c>
      <c r="AD1084" s="421"/>
      <c r="AE1084" s="413"/>
      <c r="AF1084" s="424">
        <f t="shared" si="136"/>
        <v>161280</v>
      </c>
      <c r="AG1084" s="405" t="s">
        <v>1069</v>
      </c>
      <c r="AH1084" s="405"/>
      <c r="AI1084" s="414" t="s">
        <v>1962</v>
      </c>
      <c r="AJ1084" s="405" t="s">
        <v>1584</v>
      </c>
      <c r="AK1084" s="425" t="s">
        <v>50</v>
      </c>
      <c r="AL1084" s="405">
        <v>95834</v>
      </c>
      <c r="AM1084" s="405" t="s">
        <v>52</v>
      </c>
      <c r="AN1084" s="405"/>
      <c r="AO1084" s="405"/>
      <c r="AP1084" s="417"/>
      <c r="AQ1084" s="417" t="s">
        <v>37</v>
      </c>
      <c r="AR1084" s="417"/>
      <c r="AS1084" s="426"/>
      <c r="AT1084" s="426"/>
      <c r="AU1084" s="357"/>
      <c r="AV1084" s="409"/>
    </row>
    <row r="1085" spans="1:48" s="402" customFormat="1" ht="15" customHeight="1">
      <c r="A1085" s="403"/>
      <c r="B1085" s="445">
        <v>44557</v>
      </c>
      <c r="C1085" s="403"/>
      <c r="D1085" s="443" t="s">
        <v>1914</v>
      </c>
      <c r="E1085" s="432" t="s">
        <v>2155</v>
      </c>
      <c r="F1085" s="432"/>
      <c r="G1085" s="432">
        <v>2022</v>
      </c>
      <c r="H1085" s="432" t="s">
        <v>1498</v>
      </c>
      <c r="I1085" s="443" t="s">
        <v>1498</v>
      </c>
      <c r="J1085" s="433"/>
      <c r="K1085" s="434" t="s">
        <v>3442</v>
      </c>
      <c r="L1085" s="432" t="s">
        <v>2004</v>
      </c>
      <c r="M1085" s="435">
        <v>44545</v>
      </c>
      <c r="N1085" s="435">
        <v>44835</v>
      </c>
      <c r="O1085" s="435"/>
      <c r="P1085" s="349"/>
      <c r="Q1085" s="433"/>
      <c r="R1085" s="433"/>
      <c r="S1085" s="432" t="s">
        <v>1443</v>
      </c>
      <c r="T1085" s="432">
        <v>60</v>
      </c>
      <c r="U1085" s="350">
        <v>49401140</v>
      </c>
      <c r="V1085" s="432" t="s">
        <v>973</v>
      </c>
      <c r="W1085" s="432">
        <v>400</v>
      </c>
      <c r="X1085" s="436">
        <v>768</v>
      </c>
      <c r="Y1085" s="408">
        <f t="shared" si="133"/>
        <v>307200</v>
      </c>
      <c r="Z1085" s="409">
        <f>210/400</f>
        <v>0.52500000000000002</v>
      </c>
      <c r="AA1085" s="423">
        <f t="shared" si="134"/>
        <v>161280</v>
      </c>
      <c r="AB1085" s="411"/>
      <c r="AC1085" s="412">
        <f t="shared" si="135"/>
        <v>0</v>
      </c>
      <c r="AD1085" s="421"/>
      <c r="AE1085" s="413"/>
      <c r="AF1085" s="424">
        <f t="shared" si="136"/>
        <v>161280</v>
      </c>
      <c r="AG1085" s="405" t="s">
        <v>1069</v>
      </c>
      <c r="AH1085" s="405"/>
      <c r="AI1085" s="414" t="s">
        <v>1962</v>
      </c>
      <c r="AJ1085" s="405" t="s">
        <v>1584</v>
      </c>
      <c r="AK1085" s="425" t="s">
        <v>50</v>
      </c>
      <c r="AL1085" s="405">
        <v>95834</v>
      </c>
      <c r="AM1085" s="405" t="s">
        <v>52</v>
      </c>
      <c r="AN1085" s="405"/>
      <c r="AO1085" s="405"/>
      <c r="AP1085" s="417"/>
      <c r="AQ1085" s="417" t="s">
        <v>37</v>
      </c>
      <c r="AR1085" s="417"/>
      <c r="AS1085" s="426"/>
      <c r="AT1085" s="426"/>
      <c r="AU1085" s="357"/>
      <c r="AV1085" s="409"/>
    </row>
    <row r="1086" spans="1:48" s="402" customFormat="1" ht="15" customHeight="1">
      <c r="A1086" s="403"/>
      <c r="B1086" s="445">
        <v>44557</v>
      </c>
      <c r="C1086" s="403"/>
      <c r="D1086" s="443" t="s">
        <v>1914</v>
      </c>
      <c r="E1086" s="432" t="s">
        <v>2155</v>
      </c>
      <c r="F1086" s="432"/>
      <c r="G1086" s="432">
        <v>2022</v>
      </c>
      <c r="H1086" s="432" t="s">
        <v>1498</v>
      </c>
      <c r="I1086" s="443" t="s">
        <v>1498</v>
      </c>
      <c r="J1086" s="433"/>
      <c r="K1086" s="434" t="s">
        <v>3443</v>
      </c>
      <c r="L1086" s="432" t="s">
        <v>2004</v>
      </c>
      <c r="M1086" s="435">
        <v>44545</v>
      </c>
      <c r="N1086" s="435">
        <v>44839</v>
      </c>
      <c r="O1086" s="435"/>
      <c r="P1086" s="349"/>
      <c r="Q1086" s="433"/>
      <c r="R1086" s="433"/>
      <c r="S1086" s="432" t="s">
        <v>1443</v>
      </c>
      <c r="T1086" s="432">
        <v>60</v>
      </c>
      <c r="U1086" s="350">
        <v>49201132</v>
      </c>
      <c r="V1086" s="432" t="s">
        <v>986</v>
      </c>
      <c r="W1086" s="432">
        <v>360</v>
      </c>
      <c r="X1086" s="436">
        <v>832</v>
      </c>
      <c r="Y1086" s="408">
        <f t="shared" si="133"/>
        <v>299520</v>
      </c>
      <c r="Z1086" s="409">
        <f>181.8/360</f>
        <v>0.505</v>
      </c>
      <c r="AA1086" s="423">
        <f t="shared" si="134"/>
        <v>151257.60000000001</v>
      </c>
      <c r="AB1086" s="411"/>
      <c r="AC1086" s="412">
        <f t="shared" si="135"/>
        <v>0</v>
      </c>
      <c r="AD1086" s="421"/>
      <c r="AE1086" s="413"/>
      <c r="AF1086" s="424">
        <f t="shared" si="136"/>
        <v>151257.60000000001</v>
      </c>
      <c r="AG1086" s="405" t="s">
        <v>1069</v>
      </c>
      <c r="AH1086" s="405"/>
      <c r="AI1086" s="414" t="s">
        <v>1962</v>
      </c>
      <c r="AJ1086" s="405" t="s">
        <v>1584</v>
      </c>
      <c r="AK1086" s="425" t="s">
        <v>50</v>
      </c>
      <c r="AL1086" s="405">
        <v>95834</v>
      </c>
      <c r="AM1086" s="405" t="s">
        <v>52</v>
      </c>
      <c r="AN1086" s="405"/>
      <c r="AO1086" s="405"/>
      <c r="AP1086" s="417"/>
      <c r="AQ1086" s="417" t="s">
        <v>37</v>
      </c>
      <c r="AR1086" s="417"/>
      <c r="AS1086" s="426"/>
      <c r="AT1086" s="426"/>
      <c r="AU1086" s="357"/>
      <c r="AV1086" s="409"/>
    </row>
    <row r="1087" spans="1:48" s="402" customFormat="1" ht="15" customHeight="1">
      <c r="A1087" s="403"/>
      <c r="B1087" s="445">
        <v>44557</v>
      </c>
      <c r="C1087" s="403"/>
      <c r="D1087" s="443" t="s">
        <v>1914</v>
      </c>
      <c r="E1087" s="432" t="s">
        <v>2155</v>
      </c>
      <c r="F1087" s="432"/>
      <c r="G1087" s="432">
        <v>2022</v>
      </c>
      <c r="H1087" s="432" t="s">
        <v>1498</v>
      </c>
      <c r="I1087" s="443" t="s">
        <v>1498</v>
      </c>
      <c r="J1087" s="433"/>
      <c r="K1087" s="434" t="s">
        <v>3444</v>
      </c>
      <c r="L1087" s="432" t="s">
        <v>2004</v>
      </c>
      <c r="M1087" s="435">
        <v>44545</v>
      </c>
      <c r="N1087" s="435">
        <v>44840</v>
      </c>
      <c r="O1087" s="435"/>
      <c r="P1087" s="349"/>
      <c r="Q1087" s="433"/>
      <c r="R1087" s="433"/>
      <c r="S1087" s="432" t="s">
        <v>1443</v>
      </c>
      <c r="T1087" s="432">
        <v>60</v>
      </c>
      <c r="U1087" s="350">
        <v>49401140</v>
      </c>
      <c r="V1087" s="432" t="s">
        <v>973</v>
      </c>
      <c r="W1087" s="432">
        <v>400</v>
      </c>
      <c r="X1087" s="436">
        <v>768</v>
      </c>
      <c r="Y1087" s="408">
        <f t="shared" si="133"/>
        <v>307200</v>
      </c>
      <c r="Z1087" s="409">
        <f>210/400</f>
        <v>0.52500000000000002</v>
      </c>
      <c r="AA1087" s="423">
        <f t="shared" si="134"/>
        <v>161280</v>
      </c>
      <c r="AB1087" s="411"/>
      <c r="AC1087" s="412">
        <f t="shared" si="135"/>
        <v>0</v>
      </c>
      <c r="AD1087" s="421"/>
      <c r="AE1087" s="413"/>
      <c r="AF1087" s="424">
        <f t="shared" si="136"/>
        <v>161280</v>
      </c>
      <c r="AG1087" s="405" t="s">
        <v>1069</v>
      </c>
      <c r="AH1087" s="405"/>
      <c r="AI1087" s="414" t="s">
        <v>1962</v>
      </c>
      <c r="AJ1087" s="405" t="s">
        <v>1584</v>
      </c>
      <c r="AK1087" s="425" t="s">
        <v>50</v>
      </c>
      <c r="AL1087" s="405">
        <v>95834</v>
      </c>
      <c r="AM1087" s="405" t="s">
        <v>52</v>
      </c>
      <c r="AN1087" s="405"/>
      <c r="AO1087" s="405"/>
      <c r="AP1087" s="417"/>
      <c r="AQ1087" s="417" t="s">
        <v>37</v>
      </c>
      <c r="AR1087" s="417"/>
      <c r="AS1087" s="426"/>
      <c r="AT1087" s="426"/>
      <c r="AU1087" s="357"/>
      <c r="AV1087" s="409"/>
    </row>
    <row r="1088" spans="1:48" s="402" customFormat="1" ht="15" customHeight="1">
      <c r="A1088" s="403"/>
      <c r="B1088" s="445">
        <v>44557</v>
      </c>
      <c r="C1088" s="403"/>
      <c r="D1088" s="443" t="s">
        <v>1914</v>
      </c>
      <c r="E1088" s="432" t="s">
        <v>2155</v>
      </c>
      <c r="F1088" s="432"/>
      <c r="G1088" s="432">
        <v>2022</v>
      </c>
      <c r="H1088" s="432" t="s">
        <v>1498</v>
      </c>
      <c r="I1088" s="443" t="s">
        <v>1498</v>
      </c>
      <c r="J1088" s="433"/>
      <c r="K1088" s="434" t="s">
        <v>3445</v>
      </c>
      <c r="L1088" s="432" t="s">
        <v>2004</v>
      </c>
      <c r="M1088" s="435">
        <v>44545</v>
      </c>
      <c r="N1088" s="435">
        <v>44844</v>
      </c>
      <c r="O1088" s="435"/>
      <c r="P1088" s="349"/>
      <c r="Q1088" s="433"/>
      <c r="R1088" s="433"/>
      <c r="S1088" s="432" t="s">
        <v>1443</v>
      </c>
      <c r="T1088" s="432">
        <v>60</v>
      </c>
      <c r="U1088" s="350">
        <v>49401140</v>
      </c>
      <c r="V1088" s="432" t="s">
        <v>973</v>
      </c>
      <c r="W1088" s="432">
        <v>400</v>
      </c>
      <c r="X1088" s="436">
        <v>768</v>
      </c>
      <c r="Y1088" s="408">
        <f t="shared" si="133"/>
        <v>307200</v>
      </c>
      <c r="Z1088" s="409">
        <f>210/400</f>
        <v>0.52500000000000002</v>
      </c>
      <c r="AA1088" s="423">
        <f t="shared" si="134"/>
        <v>161280</v>
      </c>
      <c r="AB1088" s="411"/>
      <c r="AC1088" s="412">
        <f t="shared" si="135"/>
        <v>0</v>
      </c>
      <c r="AD1088" s="421"/>
      <c r="AE1088" s="413"/>
      <c r="AF1088" s="424">
        <f t="shared" si="136"/>
        <v>161280</v>
      </c>
      <c r="AG1088" s="405" t="s">
        <v>1069</v>
      </c>
      <c r="AH1088" s="405"/>
      <c r="AI1088" s="414" t="s">
        <v>1962</v>
      </c>
      <c r="AJ1088" s="405" t="s">
        <v>1584</v>
      </c>
      <c r="AK1088" s="425" t="s">
        <v>50</v>
      </c>
      <c r="AL1088" s="405">
        <v>95834</v>
      </c>
      <c r="AM1088" s="405" t="s">
        <v>52</v>
      </c>
      <c r="AN1088" s="405"/>
      <c r="AO1088" s="405"/>
      <c r="AP1088" s="417"/>
      <c r="AQ1088" s="417" t="s">
        <v>37</v>
      </c>
      <c r="AR1088" s="417"/>
      <c r="AS1088" s="426"/>
      <c r="AT1088" s="426"/>
      <c r="AU1088" s="357"/>
      <c r="AV1088" s="409"/>
    </row>
    <row r="1089" spans="1:48" s="402" customFormat="1" ht="15" customHeight="1">
      <c r="A1089" s="403"/>
      <c r="B1089" s="445">
        <v>44557</v>
      </c>
      <c r="C1089" s="403"/>
      <c r="D1089" s="443" t="s">
        <v>1914</v>
      </c>
      <c r="E1089" s="432" t="s">
        <v>2155</v>
      </c>
      <c r="F1089" s="432"/>
      <c r="G1089" s="432">
        <v>2022</v>
      </c>
      <c r="H1089" s="432" t="s">
        <v>1498</v>
      </c>
      <c r="I1089" s="443" t="s">
        <v>1498</v>
      </c>
      <c r="J1089" s="433"/>
      <c r="K1089" s="434" t="s">
        <v>3446</v>
      </c>
      <c r="L1089" s="432" t="s">
        <v>2004</v>
      </c>
      <c r="M1089" s="435">
        <v>44545</v>
      </c>
      <c r="N1089" s="435">
        <v>44847</v>
      </c>
      <c r="O1089" s="435"/>
      <c r="P1089" s="349"/>
      <c r="Q1089" s="433"/>
      <c r="R1089" s="433"/>
      <c r="S1089" s="432" t="s">
        <v>1443</v>
      </c>
      <c r="T1089" s="432">
        <v>60</v>
      </c>
      <c r="U1089" s="350">
        <v>49401140</v>
      </c>
      <c r="V1089" s="432" t="s">
        <v>973</v>
      </c>
      <c r="W1089" s="432">
        <v>400</v>
      </c>
      <c r="X1089" s="436">
        <v>768</v>
      </c>
      <c r="Y1089" s="408">
        <f t="shared" si="133"/>
        <v>307200</v>
      </c>
      <c r="Z1089" s="409">
        <f>210/400</f>
        <v>0.52500000000000002</v>
      </c>
      <c r="AA1089" s="423">
        <f t="shared" si="134"/>
        <v>161280</v>
      </c>
      <c r="AB1089" s="411"/>
      <c r="AC1089" s="412">
        <f t="shared" si="135"/>
        <v>0</v>
      </c>
      <c r="AD1089" s="421"/>
      <c r="AE1089" s="413"/>
      <c r="AF1089" s="424">
        <f t="shared" si="136"/>
        <v>161280</v>
      </c>
      <c r="AG1089" s="405" t="s">
        <v>1069</v>
      </c>
      <c r="AH1089" s="405"/>
      <c r="AI1089" s="414" t="s">
        <v>1962</v>
      </c>
      <c r="AJ1089" s="405" t="s">
        <v>1584</v>
      </c>
      <c r="AK1089" s="425" t="s">
        <v>50</v>
      </c>
      <c r="AL1089" s="405">
        <v>95834</v>
      </c>
      <c r="AM1089" s="405" t="s">
        <v>52</v>
      </c>
      <c r="AN1089" s="405"/>
      <c r="AO1089" s="405"/>
      <c r="AP1089" s="417"/>
      <c r="AQ1089" s="417" t="s">
        <v>37</v>
      </c>
      <c r="AR1089" s="417"/>
      <c r="AS1089" s="426"/>
      <c r="AT1089" s="426"/>
      <c r="AU1089" s="357"/>
      <c r="AV1089" s="409"/>
    </row>
    <row r="1090" spans="1:48" s="402" customFormat="1" ht="15" customHeight="1">
      <c r="A1090" s="403"/>
      <c r="B1090" s="445">
        <v>44557</v>
      </c>
      <c r="C1090" s="403"/>
      <c r="D1090" s="443" t="s">
        <v>1914</v>
      </c>
      <c r="E1090" s="432" t="s">
        <v>2155</v>
      </c>
      <c r="F1090" s="432"/>
      <c r="G1090" s="432">
        <v>2022</v>
      </c>
      <c r="H1090" s="432" t="s">
        <v>1498</v>
      </c>
      <c r="I1090" s="443" t="s">
        <v>1498</v>
      </c>
      <c r="J1090" s="433"/>
      <c r="K1090" s="434" t="s">
        <v>3447</v>
      </c>
      <c r="L1090" s="432" t="s">
        <v>2004</v>
      </c>
      <c r="M1090" s="435">
        <v>44545</v>
      </c>
      <c r="N1090" s="435">
        <v>44870</v>
      </c>
      <c r="O1090" s="435"/>
      <c r="P1090" s="349"/>
      <c r="Q1090" s="433"/>
      <c r="R1090" s="433"/>
      <c r="S1090" s="432" t="s">
        <v>1443</v>
      </c>
      <c r="T1090" s="432">
        <v>60</v>
      </c>
      <c r="U1090" s="350">
        <v>49201132</v>
      </c>
      <c r="V1090" s="432" t="s">
        <v>986</v>
      </c>
      <c r="W1090" s="432">
        <v>360</v>
      </c>
      <c r="X1090" s="436">
        <v>832</v>
      </c>
      <c r="Y1090" s="408">
        <f t="shared" si="133"/>
        <v>299520</v>
      </c>
      <c r="Z1090" s="409">
        <f>181.8/360</f>
        <v>0.505</v>
      </c>
      <c r="AA1090" s="423">
        <f t="shared" si="134"/>
        <v>151257.60000000001</v>
      </c>
      <c r="AB1090" s="411"/>
      <c r="AC1090" s="412">
        <f t="shared" si="135"/>
        <v>0</v>
      </c>
      <c r="AD1090" s="421"/>
      <c r="AE1090" s="413"/>
      <c r="AF1090" s="424">
        <f t="shared" si="136"/>
        <v>151257.60000000001</v>
      </c>
      <c r="AG1090" s="405" t="s">
        <v>1069</v>
      </c>
      <c r="AH1090" s="405"/>
      <c r="AI1090" s="414" t="s">
        <v>1962</v>
      </c>
      <c r="AJ1090" s="405" t="s">
        <v>3209</v>
      </c>
      <c r="AK1090" s="425" t="s">
        <v>50</v>
      </c>
      <c r="AL1090" s="405">
        <v>95834</v>
      </c>
      <c r="AM1090" s="405" t="s">
        <v>52</v>
      </c>
      <c r="AN1090" s="405"/>
      <c r="AO1090" s="405"/>
      <c r="AP1090" s="417"/>
      <c r="AQ1090" s="417" t="s">
        <v>37</v>
      </c>
      <c r="AR1090" s="417"/>
      <c r="AS1090" s="426"/>
      <c r="AT1090" s="426"/>
      <c r="AU1090" s="357"/>
      <c r="AV1090" s="409"/>
    </row>
    <row r="1091" spans="1:48" s="402" customFormat="1" ht="15" customHeight="1">
      <c r="A1091" s="403"/>
      <c r="B1091" s="445">
        <v>44557</v>
      </c>
      <c r="C1091" s="403"/>
      <c r="D1091" s="443" t="s">
        <v>1914</v>
      </c>
      <c r="E1091" s="432" t="s">
        <v>2155</v>
      </c>
      <c r="F1091" s="432"/>
      <c r="G1091" s="432">
        <v>2022</v>
      </c>
      <c r="H1091" s="432" t="s">
        <v>1498</v>
      </c>
      <c r="I1091" s="443" t="s">
        <v>1498</v>
      </c>
      <c r="J1091" s="433"/>
      <c r="K1091" s="434" t="s">
        <v>3448</v>
      </c>
      <c r="L1091" s="432" t="s">
        <v>2004</v>
      </c>
      <c r="M1091" s="435">
        <v>44545</v>
      </c>
      <c r="N1091" s="435">
        <v>44871</v>
      </c>
      <c r="O1091" s="435"/>
      <c r="P1091" s="349"/>
      <c r="Q1091" s="433"/>
      <c r="R1091" s="433"/>
      <c r="S1091" s="432" t="s">
        <v>1443</v>
      </c>
      <c r="T1091" s="432">
        <v>60</v>
      </c>
      <c r="U1091" s="350">
        <v>49401140</v>
      </c>
      <c r="V1091" s="432" t="s">
        <v>973</v>
      </c>
      <c r="W1091" s="432">
        <v>400</v>
      </c>
      <c r="X1091" s="436">
        <v>768</v>
      </c>
      <c r="Y1091" s="408">
        <f t="shared" si="133"/>
        <v>307200</v>
      </c>
      <c r="Z1091" s="409">
        <f>210/400</f>
        <v>0.52500000000000002</v>
      </c>
      <c r="AA1091" s="423">
        <f t="shared" si="134"/>
        <v>161280</v>
      </c>
      <c r="AB1091" s="411"/>
      <c r="AC1091" s="412">
        <f t="shared" si="135"/>
        <v>0</v>
      </c>
      <c r="AD1091" s="421"/>
      <c r="AE1091" s="413"/>
      <c r="AF1091" s="424">
        <f t="shared" si="136"/>
        <v>161280</v>
      </c>
      <c r="AG1091" s="405" t="s">
        <v>1069</v>
      </c>
      <c r="AH1091" s="405"/>
      <c r="AI1091" s="414" t="s">
        <v>1962</v>
      </c>
      <c r="AJ1091" s="405" t="s">
        <v>3209</v>
      </c>
      <c r="AK1091" s="425" t="s">
        <v>50</v>
      </c>
      <c r="AL1091" s="405">
        <v>95834</v>
      </c>
      <c r="AM1091" s="405" t="s">
        <v>52</v>
      </c>
      <c r="AN1091" s="405"/>
      <c r="AO1091" s="405"/>
      <c r="AP1091" s="417"/>
      <c r="AQ1091" s="417" t="s">
        <v>37</v>
      </c>
      <c r="AR1091" s="417"/>
      <c r="AS1091" s="426"/>
      <c r="AT1091" s="426"/>
      <c r="AU1091" s="357"/>
      <c r="AV1091" s="409"/>
    </row>
    <row r="1092" spans="1:48" s="402" customFormat="1" ht="15" customHeight="1">
      <c r="A1092" s="403"/>
      <c r="B1092" s="445">
        <v>44557</v>
      </c>
      <c r="C1092" s="403"/>
      <c r="D1092" s="443" t="s">
        <v>1914</v>
      </c>
      <c r="E1092" s="432" t="s">
        <v>2155</v>
      </c>
      <c r="F1092" s="432"/>
      <c r="G1092" s="432">
        <v>2022</v>
      </c>
      <c r="H1092" s="432" t="s">
        <v>1498</v>
      </c>
      <c r="I1092" s="443" t="s">
        <v>1498</v>
      </c>
      <c r="J1092" s="433"/>
      <c r="K1092" s="434" t="s">
        <v>3449</v>
      </c>
      <c r="L1092" s="432" t="s">
        <v>2004</v>
      </c>
      <c r="M1092" s="435">
        <v>44545</v>
      </c>
      <c r="N1092" s="435">
        <v>44875</v>
      </c>
      <c r="O1092" s="435"/>
      <c r="P1092" s="349"/>
      <c r="Q1092" s="433"/>
      <c r="R1092" s="433"/>
      <c r="S1092" s="432" t="s">
        <v>1443</v>
      </c>
      <c r="T1092" s="432">
        <v>60</v>
      </c>
      <c r="U1092" s="350">
        <v>49401140</v>
      </c>
      <c r="V1092" s="432" t="s">
        <v>973</v>
      </c>
      <c r="W1092" s="432">
        <v>400</v>
      </c>
      <c r="X1092" s="436">
        <v>768</v>
      </c>
      <c r="Y1092" s="408">
        <f t="shared" si="133"/>
        <v>307200</v>
      </c>
      <c r="Z1092" s="409">
        <f>210/400</f>
        <v>0.52500000000000002</v>
      </c>
      <c r="AA1092" s="423">
        <f t="shared" si="134"/>
        <v>161280</v>
      </c>
      <c r="AB1092" s="411"/>
      <c r="AC1092" s="412">
        <f t="shared" si="135"/>
        <v>0</v>
      </c>
      <c r="AD1092" s="421"/>
      <c r="AE1092" s="413"/>
      <c r="AF1092" s="424">
        <f t="shared" si="136"/>
        <v>161280</v>
      </c>
      <c r="AG1092" s="405" t="s">
        <v>1069</v>
      </c>
      <c r="AH1092" s="405"/>
      <c r="AI1092" s="414" t="s">
        <v>1962</v>
      </c>
      <c r="AJ1092" s="405" t="s">
        <v>1584</v>
      </c>
      <c r="AK1092" s="425" t="s">
        <v>50</v>
      </c>
      <c r="AL1092" s="405">
        <v>95834</v>
      </c>
      <c r="AM1092" s="405" t="s">
        <v>52</v>
      </c>
      <c r="AN1092" s="405"/>
      <c r="AO1092" s="405"/>
      <c r="AP1092" s="417"/>
      <c r="AQ1092" s="417" t="s">
        <v>37</v>
      </c>
      <c r="AR1092" s="417"/>
      <c r="AS1092" s="426"/>
      <c r="AT1092" s="426"/>
      <c r="AU1092" s="357"/>
      <c r="AV1092" s="409"/>
    </row>
    <row r="1093" spans="1:48" s="402" customFormat="1" ht="15" customHeight="1">
      <c r="A1093" s="403"/>
      <c r="B1093" s="445">
        <v>44557</v>
      </c>
      <c r="C1093" s="403"/>
      <c r="D1093" s="443" t="s">
        <v>1914</v>
      </c>
      <c r="E1093" s="432" t="s">
        <v>2155</v>
      </c>
      <c r="F1093" s="432"/>
      <c r="G1093" s="432">
        <v>2022</v>
      </c>
      <c r="H1093" s="432" t="s">
        <v>1498</v>
      </c>
      <c r="I1093" s="443" t="s">
        <v>1498</v>
      </c>
      <c r="J1093" s="433"/>
      <c r="K1093" s="434" t="s">
        <v>3450</v>
      </c>
      <c r="L1093" s="432" t="s">
        <v>2004</v>
      </c>
      <c r="M1093" s="435">
        <v>44545</v>
      </c>
      <c r="N1093" s="435">
        <v>44880</v>
      </c>
      <c r="O1093" s="435"/>
      <c r="P1093" s="349"/>
      <c r="Q1093" s="433"/>
      <c r="R1093" s="433"/>
      <c r="S1093" s="432" t="s">
        <v>1443</v>
      </c>
      <c r="T1093" s="432">
        <v>60</v>
      </c>
      <c r="U1093" s="350">
        <v>49401140</v>
      </c>
      <c r="V1093" s="432" t="s">
        <v>973</v>
      </c>
      <c r="W1093" s="432">
        <v>400</v>
      </c>
      <c r="X1093" s="436">
        <v>768</v>
      </c>
      <c r="Y1093" s="408">
        <f t="shared" si="133"/>
        <v>307200</v>
      </c>
      <c r="Z1093" s="409">
        <f>210/400</f>
        <v>0.52500000000000002</v>
      </c>
      <c r="AA1093" s="423">
        <f t="shared" si="134"/>
        <v>161280</v>
      </c>
      <c r="AB1093" s="411"/>
      <c r="AC1093" s="412">
        <f t="shared" si="135"/>
        <v>0</v>
      </c>
      <c r="AD1093" s="421"/>
      <c r="AE1093" s="413"/>
      <c r="AF1093" s="424">
        <f t="shared" si="136"/>
        <v>161280</v>
      </c>
      <c r="AG1093" s="405" t="s">
        <v>1069</v>
      </c>
      <c r="AH1093" s="405"/>
      <c r="AI1093" s="414" t="s">
        <v>1962</v>
      </c>
      <c r="AJ1093" s="405" t="s">
        <v>1584</v>
      </c>
      <c r="AK1093" s="425" t="s">
        <v>50</v>
      </c>
      <c r="AL1093" s="405">
        <v>95834</v>
      </c>
      <c r="AM1093" s="405" t="s">
        <v>52</v>
      </c>
      <c r="AN1093" s="405"/>
      <c r="AO1093" s="405"/>
      <c r="AP1093" s="417"/>
      <c r="AQ1093" s="417" t="s">
        <v>37</v>
      </c>
      <c r="AR1093" s="417"/>
      <c r="AS1093" s="426"/>
      <c r="AT1093" s="426"/>
      <c r="AU1093" s="357"/>
      <c r="AV1093" s="409"/>
    </row>
    <row r="1094" spans="1:48" s="402" customFormat="1" ht="15" customHeight="1">
      <c r="A1094" s="403"/>
      <c r="B1094" s="445">
        <v>44557</v>
      </c>
      <c r="C1094" s="403"/>
      <c r="D1094" s="443" t="s">
        <v>1914</v>
      </c>
      <c r="E1094" s="432" t="s">
        <v>2155</v>
      </c>
      <c r="F1094" s="432"/>
      <c r="G1094" s="432">
        <v>2022</v>
      </c>
      <c r="H1094" s="432" t="s">
        <v>1498</v>
      </c>
      <c r="I1094" s="443" t="s">
        <v>1498</v>
      </c>
      <c r="J1094" s="433"/>
      <c r="K1094" s="434" t="s">
        <v>3451</v>
      </c>
      <c r="L1094" s="432" t="s">
        <v>2004</v>
      </c>
      <c r="M1094" s="435">
        <v>44545</v>
      </c>
      <c r="N1094" s="435">
        <v>44880</v>
      </c>
      <c r="O1094" s="435"/>
      <c r="P1094" s="349"/>
      <c r="Q1094" s="433"/>
      <c r="R1094" s="433"/>
      <c r="S1094" s="432" t="s">
        <v>1443</v>
      </c>
      <c r="T1094" s="432">
        <v>60</v>
      </c>
      <c r="U1094" s="350">
        <v>49201132</v>
      </c>
      <c r="V1094" s="432" t="s">
        <v>986</v>
      </c>
      <c r="W1094" s="432">
        <v>360</v>
      </c>
      <c r="X1094" s="436">
        <v>832</v>
      </c>
      <c r="Y1094" s="408">
        <f t="shared" si="133"/>
        <v>299520</v>
      </c>
      <c r="Z1094" s="409">
        <f>181.8/360</f>
        <v>0.505</v>
      </c>
      <c r="AA1094" s="423">
        <f t="shared" si="134"/>
        <v>151257.60000000001</v>
      </c>
      <c r="AB1094" s="411"/>
      <c r="AC1094" s="412">
        <f t="shared" si="135"/>
        <v>0</v>
      </c>
      <c r="AD1094" s="421"/>
      <c r="AE1094" s="413"/>
      <c r="AF1094" s="424">
        <f t="shared" si="136"/>
        <v>151257.60000000001</v>
      </c>
      <c r="AG1094" s="405" t="s">
        <v>1069</v>
      </c>
      <c r="AH1094" s="405"/>
      <c r="AI1094" s="414" t="s">
        <v>1962</v>
      </c>
      <c r="AJ1094" s="405" t="s">
        <v>3209</v>
      </c>
      <c r="AK1094" s="425" t="s">
        <v>50</v>
      </c>
      <c r="AL1094" s="405">
        <v>95834</v>
      </c>
      <c r="AM1094" s="405" t="s">
        <v>52</v>
      </c>
      <c r="AN1094" s="405"/>
      <c r="AO1094" s="405"/>
      <c r="AP1094" s="417"/>
      <c r="AQ1094" s="417" t="s">
        <v>37</v>
      </c>
      <c r="AR1094" s="417"/>
      <c r="AS1094" s="426"/>
      <c r="AT1094" s="426"/>
      <c r="AU1094" s="357"/>
      <c r="AV1094" s="409"/>
    </row>
    <row r="1095" spans="1:48" s="402" customFormat="1" ht="15" customHeight="1">
      <c r="A1095" s="403"/>
      <c r="B1095" s="445">
        <v>44557</v>
      </c>
      <c r="C1095" s="403"/>
      <c r="D1095" s="443" t="s">
        <v>1914</v>
      </c>
      <c r="E1095" s="432" t="s">
        <v>2155</v>
      </c>
      <c r="F1095" s="432"/>
      <c r="G1095" s="432">
        <v>2022</v>
      </c>
      <c r="H1095" s="432" t="s">
        <v>1498</v>
      </c>
      <c r="I1095" s="443" t="s">
        <v>1498</v>
      </c>
      <c r="J1095" s="433"/>
      <c r="K1095" s="434" t="s">
        <v>3452</v>
      </c>
      <c r="L1095" s="432" t="s">
        <v>2004</v>
      </c>
      <c r="M1095" s="435">
        <v>44545</v>
      </c>
      <c r="N1095" s="435">
        <v>44885</v>
      </c>
      <c r="O1095" s="435"/>
      <c r="P1095" s="349"/>
      <c r="Q1095" s="433"/>
      <c r="R1095" s="433"/>
      <c r="S1095" s="432" t="s">
        <v>1443</v>
      </c>
      <c r="T1095" s="432">
        <v>60</v>
      </c>
      <c r="U1095" s="350">
        <v>49401140</v>
      </c>
      <c r="V1095" s="432" t="s">
        <v>973</v>
      </c>
      <c r="W1095" s="432">
        <v>400</v>
      </c>
      <c r="X1095" s="436">
        <v>768</v>
      </c>
      <c r="Y1095" s="408">
        <f t="shared" si="133"/>
        <v>307200</v>
      </c>
      <c r="Z1095" s="409">
        <f>210/400</f>
        <v>0.52500000000000002</v>
      </c>
      <c r="AA1095" s="423">
        <f t="shared" si="134"/>
        <v>161280</v>
      </c>
      <c r="AB1095" s="411"/>
      <c r="AC1095" s="412">
        <f t="shared" si="135"/>
        <v>0</v>
      </c>
      <c r="AD1095" s="421"/>
      <c r="AE1095" s="413"/>
      <c r="AF1095" s="424">
        <f t="shared" si="136"/>
        <v>161280</v>
      </c>
      <c r="AG1095" s="405" t="s">
        <v>1069</v>
      </c>
      <c r="AH1095" s="405"/>
      <c r="AI1095" s="414" t="s">
        <v>1962</v>
      </c>
      <c r="AJ1095" s="405" t="s">
        <v>1584</v>
      </c>
      <c r="AK1095" s="425" t="s">
        <v>50</v>
      </c>
      <c r="AL1095" s="405">
        <v>95834</v>
      </c>
      <c r="AM1095" s="405" t="s">
        <v>52</v>
      </c>
      <c r="AN1095" s="405"/>
      <c r="AO1095" s="405"/>
      <c r="AP1095" s="417"/>
      <c r="AQ1095" s="417" t="s">
        <v>37</v>
      </c>
      <c r="AR1095" s="417"/>
      <c r="AS1095" s="426"/>
      <c r="AT1095" s="426"/>
      <c r="AU1095" s="357"/>
      <c r="AV1095" s="409"/>
    </row>
    <row r="1096" spans="1:48" s="402" customFormat="1" ht="15" customHeight="1">
      <c r="A1096" s="403"/>
      <c r="B1096" s="445">
        <v>44557</v>
      </c>
      <c r="C1096" s="403"/>
      <c r="D1096" s="443" t="s">
        <v>1914</v>
      </c>
      <c r="E1096" s="432" t="s">
        <v>2155</v>
      </c>
      <c r="F1096" s="432"/>
      <c r="G1096" s="432">
        <v>2022</v>
      </c>
      <c r="H1096" s="432" t="s">
        <v>1498</v>
      </c>
      <c r="I1096" s="443" t="s">
        <v>1498</v>
      </c>
      <c r="J1096" s="433"/>
      <c r="K1096" s="434" t="s">
        <v>3453</v>
      </c>
      <c r="L1096" s="432" t="s">
        <v>2004</v>
      </c>
      <c r="M1096" s="435">
        <v>44545</v>
      </c>
      <c r="N1096" s="435">
        <v>44899</v>
      </c>
      <c r="O1096" s="435"/>
      <c r="P1096" s="349"/>
      <c r="Q1096" s="433"/>
      <c r="R1096" s="433"/>
      <c r="S1096" s="432" t="s">
        <v>1443</v>
      </c>
      <c r="T1096" s="432">
        <v>60</v>
      </c>
      <c r="U1096" s="350">
        <v>49401140</v>
      </c>
      <c r="V1096" s="432" t="s">
        <v>973</v>
      </c>
      <c r="W1096" s="432">
        <v>400</v>
      </c>
      <c r="X1096" s="436">
        <v>768</v>
      </c>
      <c r="Y1096" s="408">
        <f t="shared" si="133"/>
        <v>307200</v>
      </c>
      <c r="Z1096" s="409">
        <f>210/400</f>
        <v>0.52500000000000002</v>
      </c>
      <c r="AA1096" s="423">
        <f t="shared" si="134"/>
        <v>161280</v>
      </c>
      <c r="AB1096" s="411"/>
      <c r="AC1096" s="412">
        <f t="shared" si="135"/>
        <v>0</v>
      </c>
      <c r="AD1096" s="421"/>
      <c r="AE1096" s="413"/>
      <c r="AF1096" s="424">
        <f t="shared" si="136"/>
        <v>161280</v>
      </c>
      <c r="AG1096" s="405" t="s">
        <v>1069</v>
      </c>
      <c r="AH1096" s="405"/>
      <c r="AI1096" s="414" t="s">
        <v>1962</v>
      </c>
      <c r="AJ1096" s="405" t="s">
        <v>1584</v>
      </c>
      <c r="AK1096" s="425" t="s">
        <v>50</v>
      </c>
      <c r="AL1096" s="405">
        <v>95834</v>
      </c>
      <c r="AM1096" s="405" t="s">
        <v>52</v>
      </c>
      <c r="AN1096" s="405"/>
      <c r="AO1096" s="405"/>
      <c r="AP1096" s="417"/>
      <c r="AQ1096" s="417" t="s">
        <v>37</v>
      </c>
      <c r="AR1096" s="417"/>
      <c r="AS1096" s="426"/>
      <c r="AT1096" s="426"/>
      <c r="AU1096" s="357"/>
      <c r="AV1096" s="409"/>
    </row>
    <row r="1097" spans="1:48" s="402" customFormat="1" ht="15" customHeight="1">
      <c r="A1097" s="403"/>
      <c r="B1097" s="445">
        <v>44557</v>
      </c>
      <c r="C1097" s="403"/>
      <c r="D1097" s="443" t="s">
        <v>1914</v>
      </c>
      <c r="E1097" s="432" t="s">
        <v>2155</v>
      </c>
      <c r="F1097" s="432"/>
      <c r="G1097" s="432">
        <v>2022</v>
      </c>
      <c r="H1097" s="432" t="s">
        <v>1498</v>
      </c>
      <c r="I1097" s="443" t="s">
        <v>1498</v>
      </c>
      <c r="J1097" s="433"/>
      <c r="K1097" s="434" t="s">
        <v>3454</v>
      </c>
      <c r="L1097" s="432" t="s">
        <v>2004</v>
      </c>
      <c r="M1097" s="435">
        <v>44545</v>
      </c>
      <c r="N1097" s="435">
        <v>44900</v>
      </c>
      <c r="O1097" s="435"/>
      <c r="P1097" s="349"/>
      <c r="Q1097" s="433"/>
      <c r="R1097" s="433"/>
      <c r="S1097" s="432" t="s">
        <v>1443</v>
      </c>
      <c r="T1097" s="432">
        <v>60</v>
      </c>
      <c r="U1097" s="350">
        <v>49201132</v>
      </c>
      <c r="V1097" s="432" t="s">
        <v>986</v>
      </c>
      <c r="W1097" s="432">
        <v>360</v>
      </c>
      <c r="X1097" s="436">
        <v>832</v>
      </c>
      <c r="Y1097" s="408">
        <f t="shared" si="133"/>
        <v>299520</v>
      </c>
      <c r="Z1097" s="409">
        <f>181.8/360</f>
        <v>0.505</v>
      </c>
      <c r="AA1097" s="423">
        <f t="shared" si="134"/>
        <v>151257.60000000001</v>
      </c>
      <c r="AB1097" s="411"/>
      <c r="AC1097" s="412">
        <f t="shared" si="135"/>
        <v>0</v>
      </c>
      <c r="AD1097" s="421"/>
      <c r="AE1097" s="413"/>
      <c r="AF1097" s="424">
        <f t="shared" si="136"/>
        <v>151257.60000000001</v>
      </c>
      <c r="AG1097" s="405" t="s">
        <v>1069</v>
      </c>
      <c r="AH1097" s="405"/>
      <c r="AI1097" s="414" t="s">
        <v>1962</v>
      </c>
      <c r="AJ1097" s="405" t="s">
        <v>1584</v>
      </c>
      <c r="AK1097" s="425" t="s">
        <v>50</v>
      </c>
      <c r="AL1097" s="405">
        <v>95834</v>
      </c>
      <c r="AM1097" s="405" t="s">
        <v>52</v>
      </c>
      <c r="AN1097" s="405"/>
      <c r="AO1097" s="405"/>
      <c r="AP1097" s="417"/>
      <c r="AQ1097" s="417" t="s">
        <v>37</v>
      </c>
      <c r="AR1097" s="417"/>
      <c r="AS1097" s="426"/>
      <c r="AT1097" s="426"/>
      <c r="AU1097" s="357"/>
      <c r="AV1097" s="409"/>
    </row>
    <row r="1098" spans="1:48" s="402" customFormat="1" ht="15" customHeight="1">
      <c r="A1098" s="403"/>
      <c r="B1098" s="445">
        <v>44557</v>
      </c>
      <c r="C1098" s="403"/>
      <c r="D1098" s="443" t="s">
        <v>1914</v>
      </c>
      <c r="E1098" s="432" t="s">
        <v>2155</v>
      </c>
      <c r="F1098" s="432"/>
      <c r="G1098" s="432">
        <v>2022</v>
      </c>
      <c r="H1098" s="432" t="s">
        <v>1498</v>
      </c>
      <c r="I1098" s="443" t="s">
        <v>1498</v>
      </c>
      <c r="J1098" s="433"/>
      <c r="K1098" s="434" t="s">
        <v>3455</v>
      </c>
      <c r="L1098" s="432" t="s">
        <v>2004</v>
      </c>
      <c r="M1098" s="435">
        <v>44545</v>
      </c>
      <c r="N1098" s="435">
        <v>44905</v>
      </c>
      <c r="O1098" s="435"/>
      <c r="P1098" s="349"/>
      <c r="Q1098" s="433"/>
      <c r="R1098" s="433"/>
      <c r="S1098" s="432" t="s">
        <v>1443</v>
      </c>
      <c r="T1098" s="432">
        <v>60</v>
      </c>
      <c r="U1098" s="350">
        <v>49401140</v>
      </c>
      <c r="V1098" s="432" t="s">
        <v>973</v>
      </c>
      <c r="W1098" s="432">
        <v>400</v>
      </c>
      <c r="X1098" s="436">
        <v>768</v>
      </c>
      <c r="Y1098" s="408">
        <f t="shared" si="133"/>
        <v>307200</v>
      </c>
      <c r="Z1098" s="409">
        <f>210/400</f>
        <v>0.52500000000000002</v>
      </c>
      <c r="AA1098" s="423">
        <f t="shared" si="134"/>
        <v>161280</v>
      </c>
      <c r="AB1098" s="411"/>
      <c r="AC1098" s="412">
        <f t="shared" si="135"/>
        <v>0</v>
      </c>
      <c r="AD1098" s="421"/>
      <c r="AE1098" s="413"/>
      <c r="AF1098" s="424">
        <f t="shared" si="136"/>
        <v>161280</v>
      </c>
      <c r="AG1098" s="405" t="s">
        <v>1069</v>
      </c>
      <c r="AH1098" s="405"/>
      <c r="AI1098" s="414" t="s">
        <v>1962</v>
      </c>
      <c r="AJ1098" s="405" t="s">
        <v>1584</v>
      </c>
      <c r="AK1098" s="425" t="s">
        <v>50</v>
      </c>
      <c r="AL1098" s="405">
        <v>95834</v>
      </c>
      <c r="AM1098" s="405" t="s">
        <v>52</v>
      </c>
      <c r="AN1098" s="405"/>
      <c r="AO1098" s="405"/>
      <c r="AP1098" s="417"/>
      <c r="AQ1098" s="417" t="s">
        <v>37</v>
      </c>
      <c r="AR1098" s="417"/>
      <c r="AS1098" s="426"/>
      <c r="AT1098" s="426"/>
      <c r="AU1098" s="357"/>
      <c r="AV1098" s="409"/>
    </row>
    <row r="1099" spans="1:48" s="402" customFormat="1" ht="15" customHeight="1">
      <c r="A1099" s="403"/>
      <c r="B1099" s="445">
        <v>44557</v>
      </c>
      <c r="C1099" s="403"/>
      <c r="D1099" s="443" t="s">
        <v>1914</v>
      </c>
      <c r="E1099" s="432" t="s">
        <v>2155</v>
      </c>
      <c r="F1099" s="432"/>
      <c r="G1099" s="432">
        <v>2022</v>
      </c>
      <c r="H1099" s="432" t="s">
        <v>1498</v>
      </c>
      <c r="I1099" s="443" t="s">
        <v>1498</v>
      </c>
      <c r="J1099" s="433"/>
      <c r="K1099" s="434" t="s">
        <v>3456</v>
      </c>
      <c r="L1099" s="432" t="s">
        <v>2004</v>
      </c>
      <c r="M1099" s="435">
        <v>44545</v>
      </c>
      <c r="N1099" s="435">
        <v>44908</v>
      </c>
      <c r="O1099" s="435"/>
      <c r="P1099" s="349"/>
      <c r="Q1099" s="433"/>
      <c r="R1099" s="433"/>
      <c r="S1099" s="432" t="s">
        <v>1443</v>
      </c>
      <c r="T1099" s="432">
        <v>60</v>
      </c>
      <c r="U1099" s="350">
        <v>49401140</v>
      </c>
      <c r="V1099" s="432" t="s">
        <v>973</v>
      </c>
      <c r="W1099" s="432">
        <v>400</v>
      </c>
      <c r="X1099" s="436">
        <v>768</v>
      </c>
      <c r="Y1099" s="408">
        <f t="shared" si="133"/>
        <v>307200</v>
      </c>
      <c r="Z1099" s="409">
        <f>210/400</f>
        <v>0.52500000000000002</v>
      </c>
      <c r="AA1099" s="423">
        <f t="shared" si="134"/>
        <v>161280</v>
      </c>
      <c r="AB1099" s="411"/>
      <c r="AC1099" s="412">
        <f t="shared" si="135"/>
        <v>0</v>
      </c>
      <c r="AD1099" s="421"/>
      <c r="AE1099" s="413"/>
      <c r="AF1099" s="424">
        <f t="shared" si="136"/>
        <v>161280</v>
      </c>
      <c r="AG1099" s="405" t="s">
        <v>1069</v>
      </c>
      <c r="AH1099" s="405"/>
      <c r="AI1099" s="414" t="s">
        <v>1962</v>
      </c>
      <c r="AJ1099" s="405" t="s">
        <v>1584</v>
      </c>
      <c r="AK1099" s="425" t="s">
        <v>50</v>
      </c>
      <c r="AL1099" s="405">
        <v>95834</v>
      </c>
      <c r="AM1099" s="405" t="s">
        <v>52</v>
      </c>
      <c r="AN1099" s="405"/>
      <c r="AO1099" s="405"/>
      <c r="AP1099" s="417"/>
      <c r="AQ1099" s="417" t="s">
        <v>37</v>
      </c>
      <c r="AR1099" s="417"/>
      <c r="AS1099" s="426"/>
      <c r="AT1099" s="426"/>
      <c r="AU1099" s="357"/>
      <c r="AV1099" s="409"/>
    </row>
    <row r="1100" spans="1:48" s="402" customFormat="1" ht="15" customHeight="1">
      <c r="A1100" s="403"/>
      <c r="B1100" s="445">
        <v>44522</v>
      </c>
      <c r="C1100" s="403"/>
      <c r="D1100" s="443" t="s">
        <v>1914</v>
      </c>
      <c r="E1100" s="432" t="s">
        <v>2155</v>
      </c>
      <c r="F1100" s="432"/>
      <c r="G1100" s="432">
        <v>2022</v>
      </c>
      <c r="H1100" s="432" t="s">
        <v>1498</v>
      </c>
      <c r="I1100" s="443" t="s">
        <v>1498</v>
      </c>
      <c r="J1100" s="433"/>
      <c r="K1100" s="487" t="s">
        <v>3457</v>
      </c>
      <c r="L1100" s="488" t="s">
        <v>1967</v>
      </c>
      <c r="M1100" s="435">
        <v>44505</v>
      </c>
      <c r="N1100" s="435">
        <v>44732</v>
      </c>
      <c r="O1100" s="435"/>
      <c r="P1100" s="349"/>
      <c r="Q1100" s="433"/>
      <c r="R1100" s="433"/>
      <c r="S1100" s="432" t="s">
        <v>1443</v>
      </c>
      <c r="T1100" s="432">
        <v>60</v>
      </c>
      <c r="U1100" s="350">
        <v>49401140</v>
      </c>
      <c r="V1100" s="432" t="s">
        <v>973</v>
      </c>
      <c r="W1100" s="432">
        <v>400</v>
      </c>
      <c r="X1100" s="436">
        <v>768</v>
      </c>
      <c r="Y1100" s="408">
        <f t="shared" si="133"/>
        <v>307200</v>
      </c>
      <c r="Z1100" s="409">
        <v>0.64</v>
      </c>
      <c r="AA1100" s="423">
        <f t="shared" si="134"/>
        <v>196608</v>
      </c>
      <c r="AB1100" s="411"/>
      <c r="AC1100" s="412">
        <f t="shared" si="135"/>
        <v>0</v>
      </c>
      <c r="AD1100" s="421"/>
      <c r="AE1100" s="413"/>
      <c r="AF1100" s="424">
        <f t="shared" si="136"/>
        <v>196608</v>
      </c>
      <c r="AG1100" s="405" t="s">
        <v>1069</v>
      </c>
      <c r="AH1100" s="405"/>
      <c r="AI1100" s="414" t="s">
        <v>1962</v>
      </c>
      <c r="AJ1100" s="405" t="s">
        <v>1969</v>
      </c>
      <c r="AK1100" s="425" t="s">
        <v>1125</v>
      </c>
      <c r="AL1100" s="405" t="s">
        <v>2016</v>
      </c>
      <c r="AM1100" s="405" t="s">
        <v>52</v>
      </c>
      <c r="AN1100" s="405"/>
      <c r="AO1100" s="405"/>
      <c r="AP1100" s="417"/>
      <c r="AQ1100" s="417" t="s">
        <v>37</v>
      </c>
      <c r="AR1100" s="417"/>
      <c r="AS1100" s="426"/>
      <c r="AT1100" s="426"/>
      <c r="AU1100" s="357"/>
      <c r="AV1100" s="409"/>
    </row>
    <row r="1101" spans="1:48" s="402" customFormat="1" ht="15" customHeight="1">
      <c r="A1101" s="403"/>
      <c r="B1101" s="445">
        <v>44557</v>
      </c>
      <c r="C1101" s="403"/>
      <c r="D1101" s="443" t="s">
        <v>1914</v>
      </c>
      <c r="E1101" s="432" t="s">
        <v>2155</v>
      </c>
      <c r="F1101" s="432"/>
      <c r="G1101" s="432">
        <v>2022</v>
      </c>
      <c r="H1101" s="432" t="s">
        <v>1498</v>
      </c>
      <c r="I1101" s="443" t="s">
        <v>1498</v>
      </c>
      <c r="J1101" s="433"/>
      <c r="K1101" s="434" t="s">
        <v>3458</v>
      </c>
      <c r="L1101" s="432" t="s">
        <v>2004</v>
      </c>
      <c r="M1101" s="435">
        <v>44544</v>
      </c>
      <c r="N1101" s="435">
        <v>44686</v>
      </c>
      <c r="O1101" s="435"/>
      <c r="P1101" s="349"/>
      <c r="Q1101" s="433"/>
      <c r="R1101" s="433"/>
      <c r="S1101" s="432" t="s">
        <v>1443</v>
      </c>
      <c r="T1101" s="432">
        <v>60</v>
      </c>
      <c r="U1101" s="350">
        <v>49401140</v>
      </c>
      <c r="V1101" s="432" t="s">
        <v>973</v>
      </c>
      <c r="W1101" s="432">
        <v>400</v>
      </c>
      <c r="X1101" s="436">
        <v>768</v>
      </c>
      <c r="Y1101" s="408">
        <f t="shared" si="133"/>
        <v>307200</v>
      </c>
      <c r="Z1101" s="409">
        <f t="shared" ref="Z1101:Z1110" si="139">210/400</f>
        <v>0.52500000000000002</v>
      </c>
      <c r="AA1101" s="423">
        <f t="shared" si="134"/>
        <v>161280</v>
      </c>
      <c r="AB1101" s="411"/>
      <c r="AC1101" s="412">
        <f t="shared" si="135"/>
        <v>0</v>
      </c>
      <c r="AD1101" s="421"/>
      <c r="AE1101" s="413"/>
      <c r="AF1101" s="424">
        <f t="shared" si="136"/>
        <v>161280</v>
      </c>
      <c r="AG1101" s="405" t="s">
        <v>1069</v>
      </c>
      <c r="AH1101" s="405"/>
      <c r="AI1101" s="414" t="s">
        <v>1962</v>
      </c>
      <c r="AJ1101" s="405" t="s">
        <v>1616</v>
      </c>
      <c r="AK1101" s="425" t="s">
        <v>50</v>
      </c>
      <c r="AL1101" s="405">
        <v>93722</v>
      </c>
      <c r="AM1101" s="405" t="s">
        <v>52</v>
      </c>
      <c r="AN1101" s="405"/>
      <c r="AO1101" s="405"/>
      <c r="AP1101" s="417"/>
      <c r="AQ1101" s="417" t="s">
        <v>37</v>
      </c>
      <c r="AR1101" s="417"/>
      <c r="AS1101" s="426"/>
      <c r="AT1101" s="426"/>
      <c r="AU1101" s="357"/>
      <c r="AV1101" s="409"/>
    </row>
    <row r="1102" spans="1:48" s="402" customFormat="1" ht="15" customHeight="1">
      <c r="A1102" s="403"/>
      <c r="B1102" s="445">
        <v>44557</v>
      </c>
      <c r="C1102" s="403"/>
      <c r="D1102" s="443" t="s">
        <v>1914</v>
      </c>
      <c r="E1102" s="432" t="s">
        <v>2155</v>
      </c>
      <c r="F1102" s="432"/>
      <c r="G1102" s="432">
        <v>2022</v>
      </c>
      <c r="H1102" s="432" t="s">
        <v>1498</v>
      </c>
      <c r="I1102" s="443" t="s">
        <v>1498</v>
      </c>
      <c r="J1102" s="433"/>
      <c r="K1102" s="434" t="s">
        <v>3459</v>
      </c>
      <c r="L1102" s="432" t="s">
        <v>2004</v>
      </c>
      <c r="M1102" s="435">
        <v>44544</v>
      </c>
      <c r="N1102" s="435">
        <v>44752</v>
      </c>
      <c r="O1102" s="435"/>
      <c r="P1102" s="349"/>
      <c r="Q1102" s="433"/>
      <c r="R1102" s="433"/>
      <c r="S1102" s="432" t="s">
        <v>1443</v>
      </c>
      <c r="T1102" s="432">
        <v>60</v>
      </c>
      <c r="U1102" s="350">
        <v>49401140</v>
      </c>
      <c r="V1102" s="432" t="s">
        <v>973</v>
      </c>
      <c r="W1102" s="432">
        <v>400</v>
      </c>
      <c r="X1102" s="436">
        <v>768</v>
      </c>
      <c r="Y1102" s="408">
        <f t="shared" si="133"/>
        <v>307200</v>
      </c>
      <c r="Z1102" s="409">
        <f t="shared" si="139"/>
        <v>0.52500000000000002</v>
      </c>
      <c r="AA1102" s="423">
        <f t="shared" si="134"/>
        <v>161280</v>
      </c>
      <c r="AB1102" s="411"/>
      <c r="AC1102" s="412">
        <f t="shared" si="135"/>
        <v>0</v>
      </c>
      <c r="AD1102" s="421"/>
      <c r="AE1102" s="413"/>
      <c r="AF1102" s="424">
        <f t="shared" si="136"/>
        <v>161280</v>
      </c>
      <c r="AG1102" s="405" t="s">
        <v>1069</v>
      </c>
      <c r="AH1102" s="405"/>
      <c r="AI1102" s="414" t="s">
        <v>1962</v>
      </c>
      <c r="AJ1102" s="405" t="s">
        <v>1616</v>
      </c>
      <c r="AK1102" s="425" t="s">
        <v>50</v>
      </c>
      <c r="AL1102" s="405">
        <v>93722</v>
      </c>
      <c r="AM1102" s="405" t="s">
        <v>52</v>
      </c>
      <c r="AN1102" s="405"/>
      <c r="AO1102" s="405"/>
      <c r="AP1102" s="417"/>
      <c r="AQ1102" s="417" t="s">
        <v>37</v>
      </c>
      <c r="AR1102" s="417"/>
      <c r="AS1102" s="426"/>
      <c r="AT1102" s="426"/>
      <c r="AU1102" s="357"/>
      <c r="AV1102" s="409"/>
    </row>
    <row r="1103" spans="1:48" s="402" customFormat="1" ht="15" customHeight="1">
      <c r="A1103" s="403"/>
      <c r="B1103" s="445">
        <v>44557</v>
      </c>
      <c r="C1103" s="403"/>
      <c r="D1103" s="443" t="s">
        <v>1914</v>
      </c>
      <c r="E1103" s="432" t="s">
        <v>2155</v>
      </c>
      <c r="F1103" s="432"/>
      <c r="G1103" s="432">
        <v>2022</v>
      </c>
      <c r="H1103" s="432" t="s">
        <v>1498</v>
      </c>
      <c r="I1103" s="443" t="s">
        <v>1498</v>
      </c>
      <c r="J1103" s="433"/>
      <c r="K1103" s="434" t="s">
        <v>3460</v>
      </c>
      <c r="L1103" s="432" t="s">
        <v>2004</v>
      </c>
      <c r="M1103" s="435">
        <v>44544</v>
      </c>
      <c r="N1103" s="435">
        <v>44781</v>
      </c>
      <c r="O1103" s="435"/>
      <c r="P1103" s="349"/>
      <c r="Q1103" s="433"/>
      <c r="R1103" s="433"/>
      <c r="S1103" s="432" t="s">
        <v>1443</v>
      </c>
      <c r="T1103" s="432">
        <v>60</v>
      </c>
      <c r="U1103" s="350">
        <v>49401140</v>
      </c>
      <c r="V1103" s="432" t="s">
        <v>973</v>
      </c>
      <c r="W1103" s="432">
        <v>400</v>
      </c>
      <c r="X1103" s="436">
        <v>768</v>
      </c>
      <c r="Y1103" s="408">
        <f t="shared" si="133"/>
        <v>307200</v>
      </c>
      <c r="Z1103" s="409">
        <f t="shared" si="139"/>
        <v>0.52500000000000002</v>
      </c>
      <c r="AA1103" s="423">
        <f t="shared" si="134"/>
        <v>161280</v>
      </c>
      <c r="AB1103" s="411"/>
      <c r="AC1103" s="412">
        <f t="shared" si="135"/>
        <v>0</v>
      </c>
      <c r="AD1103" s="421"/>
      <c r="AE1103" s="413"/>
      <c r="AF1103" s="424">
        <f t="shared" si="136"/>
        <v>161280</v>
      </c>
      <c r="AG1103" s="405" t="s">
        <v>1069</v>
      </c>
      <c r="AH1103" s="405"/>
      <c r="AI1103" s="414" t="s">
        <v>1962</v>
      </c>
      <c r="AJ1103" s="405" t="s">
        <v>1616</v>
      </c>
      <c r="AK1103" s="425" t="s">
        <v>50</v>
      </c>
      <c r="AL1103" s="405">
        <v>93722</v>
      </c>
      <c r="AM1103" s="405" t="s">
        <v>52</v>
      </c>
      <c r="AN1103" s="405"/>
      <c r="AO1103" s="405"/>
      <c r="AP1103" s="417"/>
      <c r="AQ1103" s="417" t="s">
        <v>37</v>
      </c>
      <c r="AR1103" s="417"/>
      <c r="AS1103" s="426"/>
      <c r="AT1103" s="426"/>
      <c r="AU1103" s="357"/>
      <c r="AV1103" s="409"/>
    </row>
    <row r="1104" spans="1:48" s="402" customFormat="1" ht="15" customHeight="1">
      <c r="A1104" s="403"/>
      <c r="B1104" s="445">
        <v>44557</v>
      </c>
      <c r="C1104" s="403"/>
      <c r="D1104" s="443" t="s">
        <v>1914</v>
      </c>
      <c r="E1104" s="432" t="s">
        <v>2155</v>
      </c>
      <c r="F1104" s="432"/>
      <c r="G1104" s="432">
        <v>2022</v>
      </c>
      <c r="H1104" s="432" t="s">
        <v>1498</v>
      </c>
      <c r="I1104" s="443" t="s">
        <v>1498</v>
      </c>
      <c r="J1104" s="433"/>
      <c r="K1104" s="434" t="s">
        <v>3461</v>
      </c>
      <c r="L1104" s="432" t="s">
        <v>2004</v>
      </c>
      <c r="M1104" s="435">
        <v>44544</v>
      </c>
      <c r="N1104" s="435">
        <v>44789</v>
      </c>
      <c r="O1104" s="435"/>
      <c r="P1104" s="349"/>
      <c r="Q1104" s="433"/>
      <c r="R1104" s="433"/>
      <c r="S1104" s="432" t="s">
        <v>1443</v>
      </c>
      <c r="T1104" s="432">
        <v>60</v>
      </c>
      <c r="U1104" s="350">
        <v>49401140</v>
      </c>
      <c r="V1104" s="432" t="s">
        <v>973</v>
      </c>
      <c r="W1104" s="432">
        <v>400</v>
      </c>
      <c r="X1104" s="436">
        <v>768</v>
      </c>
      <c r="Y1104" s="408">
        <f t="shared" si="133"/>
        <v>307200</v>
      </c>
      <c r="Z1104" s="409">
        <f t="shared" si="139"/>
        <v>0.52500000000000002</v>
      </c>
      <c r="AA1104" s="423">
        <f t="shared" si="134"/>
        <v>161280</v>
      </c>
      <c r="AB1104" s="411"/>
      <c r="AC1104" s="412">
        <f t="shared" si="135"/>
        <v>0</v>
      </c>
      <c r="AD1104" s="421"/>
      <c r="AE1104" s="413"/>
      <c r="AF1104" s="424">
        <f t="shared" si="136"/>
        <v>161280</v>
      </c>
      <c r="AG1104" s="405" t="s">
        <v>1069</v>
      </c>
      <c r="AH1104" s="405"/>
      <c r="AI1104" s="414" t="s">
        <v>1962</v>
      </c>
      <c r="AJ1104" s="405" t="s">
        <v>1616</v>
      </c>
      <c r="AK1104" s="425" t="s">
        <v>50</v>
      </c>
      <c r="AL1104" s="405">
        <v>93722</v>
      </c>
      <c r="AM1104" s="405" t="s">
        <v>52</v>
      </c>
      <c r="AN1104" s="405"/>
      <c r="AO1104" s="405"/>
      <c r="AP1104" s="417"/>
      <c r="AQ1104" s="417" t="s">
        <v>37</v>
      </c>
      <c r="AR1104" s="417"/>
      <c r="AS1104" s="426"/>
      <c r="AT1104" s="426"/>
      <c r="AU1104" s="357"/>
      <c r="AV1104" s="409"/>
    </row>
    <row r="1105" spans="1:48" s="402" customFormat="1" ht="15" customHeight="1">
      <c r="A1105" s="403"/>
      <c r="B1105" s="445">
        <v>44557</v>
      </c>
      <c r="C1105" s="403"/>
      <c r="D1105" s="443" t="s">
        <v>1914</v>
      </c>
      <c r="E1105" s="432" t="s">
        <v>2155</v>
      </c>
      <c r="F1105" s="432"/>
      <c r="G1105" s="432">
        <v>2022</v>
      </c>
      <c r="H1105" s="432" t="s">
        <v>1498</v>
      </c>
      <c r="I1105" s="443" t="s">
        <v>1498</v>
      </c>
      <c r="J1105" s="433"/>
      <c r="K1105" s="434" t="s">
        <v>3462</v>
      </c>
      <c r="L1105" s="432" t="s">
        <v>2004</v>
      </c>
      <c r="M1105" s="435">
        <v>44545</v>
      </c>
      <c r="N1105" s="435">
        <v>44814</v>
      </c>
      <c r="O1105" s="435"/>
      <c r="P1105" s="349"/>
      <c r="Q1105" s="433"/>
      <c r="R1105" s="433"/>
      <c r="S1105" s="432" t="s">
        <v>1443</v>
      </c>
      <c r="T1105" s="432">
        <v>60</v>
      </c>
      <c r="U1105" s="350">
        <v>49401140</v>
      </c>
      <c r="V1105" s="432" t="s">
        <v>973</v>
      </c>
      <c r="W1105" s="432">
        <v>400</v>
      </c>
      <c r="X1105" s="436">
        <v>768</v>
      </c>
      <c r="Y1105" s="408">
        <f t="shared" ref="Y1105:Y1168" si="140">X1105*W1105</f>
        <v>307200</v>
      </c>
      <c r="Z1105" s="409">
        <f t="shared" si="139"/>
        <v>0.52500000000000002</v>
      </c>
      <c r="AA1105" s="423">
        <f t="shared" ref="AA1105:AA1168" si="141">Z1105*Y1105</f>
        <v>161280</v>
      </c>
      <c r="AB1105" s="411"/>
      <c r="AC1105" s="412">
        <f t="shared" ref="AC1105:AC1137" si="142">AB1105*Y1105</f>
        <v>0</v>
      </c>
      <c r="AD1105" s="421"/>
      <c r="AE1105" s="413"/>
      <c r="AF1105" s="424">
        <f t="shared" ref="AF1105:AF1168" si="143">AA1105+AE1105</f>
        <v>161280</v>
      </c>
      <c r="AG1105" s="405" t="s">
        <v>1069</v>
      </c>
      <c r="AH1105" s="405"/>
      <c r="AI1105" s="414" t="s">
        <v>1962</v>
      </c>
      <c r="AJ1105" s="405" t="s">
        <v>1616</v>
      </c>
      <c r="AK1105" s="425" t="s">
        <v>50</v>
      </c>
      <c r="AL1105" s="405">
        <v>93722</v>
      </c>
      <c r="AM1105" s="405" t="s">
        <v>52</v>
      </c>
      <c r="AN1105" s="405"/>
      <c r="AO1105" s="405"/>
      <c r="AP1105" s="417"/>
      <c r="AQ1105" s="417" t="s">
        <v>37</v>
      </c>
      <c r="AR1105" s="417"/>
      <c r="AS1105" s="426"/>
      <c r="AT1105" s="426"/>
      <c r="AU1105" s="357"/>
      <c r="AV1105" s="409"/>
    </row>
    <row r="1106" spans="1:48" s="402" customFormat="1" ht="15" customHeight="1">
      <c r="A1106" s="403"/>
      <c r="B1106" s="445">
        <v>44557</v>
      </c>
      <c r="C1106" s="403"/>
      <c r="D1106" s="443" t="s">
        <v>1914</v>
      </c>
      <c r="E1106" s="432" t="s">
        <v>2155</v>
      </c>
      <c r="F1106" s="432"/>
      <c r="G1106" s="432">
        <v>2022</v>
      </c>
      <c r="H1106" s="432" t="s">
        <v>1498</v>
      </c>
      <c r="I1106" s="443" t="s">
        <v>1498</v>
      </c>
      <c r="J1106" s="433"/>
      <c r="K1106" s="434" t="s">
        <v>3463</v>
      </c>
      <c r="L1106" s="432" t="s">
        <v>2004</v>
      </c>
      <c r="M1106" s="435">
        <v>44545</v>
      </c>
      <c r="N1106" s="435">
        <v>44839</v>
      </c>
      <c r="O1106" s="435"/>
      <c r="P1106" s="349"/>
      <c r="Q1106" s="433"/>
      <c r="R1106" s="433"/>
      <c r="S1106" s="432" t="s">
        <v>1443</v>
      </c>
      <c r="T1106" s="432">
        <v>60</v>
      </c>
      <c r="U1106" s="350">
        <v>49401140</v>
      </c>
      <c r="V1106" s="432" t="s">
        <v>973</v>
      </c>
      <c r="W1106" s="432">
        <v>400</v>
      </c>
      <c r="X1106" s="436">
        <v>768</v>
      </c>
      <c r="Y1106" s="408">
        <f t="shared" si="140"/>
        <v>307200</v>
      </c>
      <c r="Z1106" s="409">
        <f t="shared" si="139"/>
        <v>0.52500000000000002</v>
      </c>
      <c r="AA1106" s="423">
        <f t="shared" si="141"/>
        <v>161280</v>
      </c>
      <c r="AB1106" s="411"/>
      <c r="AC1106" s="412">
        <f t="shared" si="142"/>
        <v>0</v>
      </c>
      <c r="AD1106" s="421"/>
      <c r="AE1106" s="413"/>
      <c r="AF1106" s="424">
        <f t="shared" si="143"/>
        <v>161280</v>
      </c>
      <c r="AG1106" s="405" t="s">
        <v>1069</v>
      </c>
      <c r="AH1106" s="405"/>
      <c r="AI1106" s="414" t="s">
        <v>1962</v>
      </c>
      <c r="AJ1106" s="405" t="s">
        <v>1616</v>
      </c>
      <c r="AK1106" s="425" t="s">
        <v>50</v>
      </c>
      <c r="AL1106" s="405">
        <v>93722</v>
      </c>
      <c r="AM1106" s="405" t="s">
        <v>52</v>
      </c>
      <c r="AN1106" s="405"/>
      <c r="AO1106" s="405"/>
      <c r="AP1106" s="417"/>
      <c r="AQ1106" s="417" t="s">
        <v>37</v>
      </c>
      <c r="AR1106" s="417"/>
      <c r="AS1106" s="426"/>
      <c r="AT1106" s="426"/>
      <c r="AU1106" s="357"/>
      <c r="AV1106" s="409"/>
    </row>
    <row r="1107" spans="1:48" s="402" customFormat="1" ht="15" customHeight="1">
      <c r="A1107" s="403"/>
      <c r="B1107" s="445">
        <v>44557</v>
      </c>
      <c r="C1107" s="403"/>
      <c r="D1107" s="443" t="s">
        <v>1914</v>
      </c>
      <c r="E1107" s="432" t="s">
        <v>2155</v>
      </c>
      <c r="F1107" s="432"/>
      <c r="G1107" s="432">
        <v>2022</v>
      </c>
      <c r="H1107" s="432" t="s">
        <v>1498</v>
      </c>
      <c r="I1107" s="443" t="s">
        <v>1498</v>
      </c>
      <c r="J1107" s="433"/>
      <c r="K1107" s="434" t="s">
        <v>3464</v>
      </c>
      <c r="L1107" s="432" t="s">
        <v>2004</v>
      </c>
      <c r="M1107" s="435">
        <v>44545</v>
      </c>
      <c r="N1107" s="435">
        <v>44870</v>
      </c>
      <c r="O1107" s="435"/>
      <c r="P1107" s="349"/>
      <c r="Q1107" s="433"/>
      <c r="R1107" s="433"/>
      <c r="S1107" s="432" t="s">
        <v>1443</v>
      </c>
      <c r="T1107" s="432">
        <v>60</v>
      </c>
      <c r="U1107" s="350">
        <v>49401140</v>
      </c>
      <c r="V1107" s="432" t="s">
        <v>973</v>
      </c>
      <c r="W1107" s="432">
        <v>400</v>
      </c>
      <c r="X1107" s="436">
        <v>768</v>
      </c>
      <c r="Y1107" s="408">
        <f t="shared" si="140"/>
        <v>307200</v>
      </c>
      <c r="Z1107" s="409">
        <f t="shared" si="139"/>
        <v>0.52500000000000002</v>
      </c>
      <c r="AA1107" s="423">
        <f t="shared" si="141"/>
        <v>161280</v>
      </c>
      <c r="AB1107" s="411"/>
      <c r="AC1107" s="412">
        <f t="shared" si="142"/>
        <v>0</v>
      </c>
      <c r="AD1107" s="421"/>
      <c r="AE1107" s="413"/>
      <c r="AF1107" s="424">
        <f t="shared" si="143"/>
        <v>161280</v>
      </c>
      <c r="AG1107" s="405" t="s">
        <v>1069</v>
      </c>
      <c r="AH1107" s="405"/>
      <c r="AI1107" s="414" t="s">
        <v>1962</v>
      </c>
      <c r="AJ1107" s="405" t="s">
        <v>1616</v>
      </c>
      <c r="AK1107" s="425" t="s">
        <v>50</v>
      </c>
      <c r="AL1107" s="405">
        <v>93722</v>
      </c>
      <c r="AM1107" s="405" t="s">
        <v>52</v>
      </c>
      <c r="AN1107" s="405"/>
      <c r="AO1107" s="405"/>
      <c r="AP1107" s="417"/>
      <c r="AQ1107" s="417" t="s">
        <v>37</v>
      </c>
      <c r="AR1107" s="417"/>
      <c r="AS1107" s="426"/>
      <c r="AT1107" s="426"/>
      <c r="AU1107" s="357"/>
      <c r="AV1107" s="409"/>
    </row>
    <row r="1108" spans="1:48" s="402" customFormat="1" ht="15" customHeight="1">
      <c r="A1108" s="403"/>
      <c r="B1108" s="445">
        <v>44557</v>
      </c>
      <c r="C1108" s="403"/>
      <c r="D1108" s="443" t="s">
        <v>1914</v>
      </c>
      <c r="E1108" s="432" t="s">
        <v>2155</v>
      </c>
      <c r="F1108" s="432"/>
      <c r="G1108" s="432">
        <v>2022</v>
      </c>
      <c r="H1108" s="432" t="s">
        <v>1498</v>
      </c>
      <c r="I1108" s="443" t="s">
        <v>1498</v>
      </c>
      <c r="J1108" s="433"/>
      <c r="K1108" s="434" t="s">
        <v>3465</v>
      </c>
      <c r="L1108" s="432" t="s">
        <v>2004</v>
      </c>
      <c r="M1108" s="435">
        <v>44545</v>
      </c>
      <c r="N1108" s="435">
        <v>44880</v>
      </c>
      <c r="O1108" s="435"/>
      <c r="P1108" s="349"/>
      <c r="Q1108" s="433"/>
      <c r="R1108" s="433"/>
      <c r="S1108" s="432" t="s">
        <v>1443</v>
      </c>
      <c r="T1108" s="432">
        <v>60</v>
      </c>
      <c r="U1108" s="350">
        <v>49401140</v>
      </c>
      <c r="V1108" s="432" t="s">
        <v>973</v>
      </c>
      <c r="W1108" s="432">
        <v>400</v>
      </c>
      <c r="X1108" s="436">
        <v>768</v>
      </c>
      <c r="Y1108" s="408">
        <f t="shared" si="140"/>
        <v>307200</v>
      </c>
      <c r="Z1108" s="409">
        <f t="shared" si="139"/>
        <v>0.52500000000000002</v>
      </c>
      <c r="AA1108" s="423">
        <f t="shared" si="141"/>
        <v>161280</v>
      </c>
      <c r="AB1108" s="411"/>
      <c r="AC1108" s="412">
        <f t="shared" si="142"/>
        <v>0</v>
      </c>
      <c r="AD1108" s="421"/>
      <c r="AE1108" s="413"/>
      <c r="AF1108" s="424">
        <f t="shared" si="143"/>
        <v>161280</v>
      </c>
      <c r="AG1108" s="405" t="s">
        <v>1069</v>
      </c>
      <c r="AH1108" s="405"/>
      <c r="AI1108" s="414" t="s">
        <v>1962</v>
      </c>
      <c r="AJ1108" s="405" t="s">
        <v>1616</v>
      </c>
      <c r="AK1108" s="425" t="s">
        <v>50</v>
      </c>
      <c r="AL1108" s="405">
        <v>93722</v>
      </c>
      <c r="AM1108" s="405" t="s">
        <v>52</v>
      </c>
      <c r="AN1108" s="405"/>
      <c r="AO1108" s="405"/>
      <c r="AP1108" s="417"/>
      <c r="AQ1108" s="417" t="s">
        <v>37</v>
      </c>
      <c r="AR1108" s="417"/>
      <c r="AS1108" s="426"/>
      <c r="AT1108" s="426"/>
      <c r="AU1108" s="357"/>
      <c r="AV1108" s="409"/>
    </row>
    <row r="1109" spans="1:48" s="402" customFormat="1" ht="15" customHeight="1">
      <c r="A1109" s="403"/>
      <c r="B1109" s="445">
        <v>44557</v>
      </c>
      <c r="C1109" s="403"/>
      <c r="D1109" s="443" t="s">
        <v>1914</v>
      </c>
      <c r="E1109" s="432" t="s">
        <v>2155</v>
      </c>
      <c r="F1109" s="432"/>
      <c r="G1109" s="432">
        <v>2022</v>
      </c>
      <c r="H1109" s="432" t="s">
        <v>1498</v>
      </c>
      <c r="I1109" s="443" t="s">
        <v>1498</v>
      </c>
      <c r="J1109" s="433"/>
      <c r="K1109" s="434" t="s">
        <v>3466</v>
      </c>
      <c r="L1109" s="432" t="s">
        <v>2004</v>
      </c>
      <c r="M1109" s="435">
        <v>44545</v>
      </c>
      <c r="N1109" s="435">
        <v>44900</v>
      </c>
      <c r="O1109" s="435"/>
      <c r="P1109" s="349"/>
      <c r="Q1109" s="433"/>
      <c r="R1109" s="433"/>
      <c r="S1109" s="432" t="s">
        <v>1443</v>
      </c>
      <c r="T1109" s="432">
        <v>60</v>
      </c>
      <c r="U1109" s="350">
        <v>49401140</v>
      </c>
      <c r="V1109" s="432" t="s">
        <v>973</v>
      </c>
      <c r="W1109" s="432">
        <v>400</v>
      </c>
      <c r="X1109" s="436">
        <v>768</v>
      </c>
      <c r="Y1109" s="408">
        <f t="shared" si="140"/>
        <v>307200</v>
      </c>
      <c r="Z1109" s="409">
        <f t="shared" si="139"/>
        <v>0.52500000000000002</v>
      </c>
      <c r="AA1109" s="423">
        <f t="shared" si="141"/>
        <v>161280</v>
      </c>
      <c r="AB1109" s="411"/>
      <c r="AC1109" s="412">
        <f t="shared" si="142"/>
        <v>0</v>
      </c>
      <c r="AD1109" s="421"/>
      <c r="AE1109" s="413"/>
      <c r="AF1109" s="424">
        <f t="shared" si="143"/>
        <v>161280</v>
      </c>
      <c r="AG1109" s="405" t="s">
        <v>1069</v>
      </c>
      <c r="AH1109" s="405"/>
      <c r="AI1109" s="414" t="s">
        <v>1962</v>
      </c>
      <c r="AJ1109" s="405" t="s">
        <v>1616</v>
      </c>
      <c r="AK1109" s="425" t="s">
        <v>50</v>
      </c>
      <c r="AL1109" s="405">
        <v>93722</v>
      </c>
      <c r="AM1109" s="405" t="s">
        <v>52</v>
      </c>
      <c r="AN1109" s="405"/>
      <c r="AO1109" s="405"/>
      <c r="AP1109" s="417"/>
      <c r="AQ1109" s="417" t="s">
        <v>37</v>
      </c>
      <c r="AR1109" s="417"/>
      <c r="AS1109" s="426"/>
      <c r="AT1109" s="426"/>
      <c r="AU1109" s="357"/>
      <c r="AV1109" s="409"/>
    </row>
    <row r="1110" spans="1:48" s="402" customFormat="1" ht="15" customHeight="1">
      <c r="A1110" s="403"/>
      <c r="B1110" s="445">
        <v>44557</v>
      </c>
      <c r="C1110" s="403"/>
      <c r="D1110" s="443" t="s">
        <v>1914</v>
      </c>
      <c r="E1110" s="432" t="s">
        <v>2155</v>
      </c>
      <c r="F1110" s="432"/>
      <c r="G1110" s="432">
        <v>2022</v>
      </c>
      <c r="H1110" s="432" t="s">
        <v>1498</v>
      </c>
      <c r="I1110" s="443" t="s">
        <v>1498</v>
      </c>
      <c r="J1110" s="433"/>
      <c r="K1110" s="434" t="s">
        <v>3467</v>
      </c>
      <c r="L1110" s="432" t="s">
        <v>2004</v>
      </c>
      <c r="M1110" s="435">
        <v>44545</v>
      </c>
      <c r="N1110" s="435">
        <v>44866</v>
      </c>
      <c r="O1110" s="435"/>
      <c r="P1110" s="349"/>
      <c r="Q1110" s="433"/>
      <c r="R1110" s="433"/>
      <c r="S1110" s="432" t="s">
        <v>1443</v>
      </c>
      <c r="T1110" s="432">
        <v>60</v>
      </c>
      <c r="U1110" s="350">
        <v>49401140</v>
      </c>
      <c r="V1110" s="432" t="s">
        <v>973</v>
      </c>
      <c r="W1110" s="432">
        <v>400</v>
      </c>
      <c r="X1110" s="436">
        <v>768</v>
      </c>
      <c r="Y1110" s="408">
        <f t="shared" si="140"/>
        <v>307200</v>
      </c>
      <c r="Z1110" s="409">
        <f t="shared" si="139"/>
        <v>0.52500000000000002</v>
      </c>
      <c r="AA1110" s="423">
        <f t="shared" si="141"/>
        <v>161280</v>
      </c>
      <c r="AB1110" s="411"/>
      <c r="AC1110" s="412">
        <f t="shared" si="142"/>
        <v>0</v>
      </c>
      <c r="AD1110" s="421"/>
      <c r="AE1110" s="413"/>
      <c r="AF1110" s="424">
        <f t="shared" si="143"/>
        <v>161280</v>
      </c>
      <c r="AG1110" s="405" t="s">
        <v>1069</v>
      </c>
      <c r="AH1110" s="405"/>
      <c r="AI1110" s="414" t="s">
        <v>1962</v>
      </c>
      <c r="AJ1110" s="405" t="s">
        <v>1584</v>
      </c>
      <c r="AK1110" s="425" t="s">
        <v>50</v>
      </c>
      <c r="AL1110" s="405">
        <v>95834</v>
      </c>
      <c r="AM1110" s="405" t="s">
        <v>52</v>
      </c>
      <c r="AN1110" s="405"/>
      <c r="AO1110" s="405"/>
      <c r="AP1110" s="417"/>
      <c r="AQ1110" s="417" t="s">
        <v>37</v>
      </c>
      <c r="AR1110" s="417"/>
      <c r="AS1110" s="426"/>
      <c r="AT1110" s="426"/>
      <c r="AU1110" s="357"/>
      <c r="AV1110" s="409"/>
    </row>
    <row r="1111" spans="1:48" s="402" customFormat="1" ht="15" customHeight="1">
      <c r="A1111" s="403"/>
      <c r="B1111" s="445">
        <v>44557</v>
      </c>
      <c r="C1111" s="403"/>
      <c r="D1111" s="443" t="s">
        <v>1914</v>
      </c>
      <c r="E1111" s="432" t="s">
        <v>2155</v>
      </c>
      <c r="F1111" s="432"/>
      <c r="G1111" s="432">
        <v>2022</v>
      </c>
      <c r="H1111" s="432" t="s">
        <v>1498</v>
      </c>
      <c r="I1111" s="443" t="s">
        <v>1498</v>
      </c>
      <c r="J1111" s="433"/>
      <c r="K1111" s="434" t="s">
        <v>3468</v>
      </c>
      <c r="L1111" s="432" t="s">
        <v>2004</v>
      </c>
      <c r="M1111" s="435">
        <v>44544</v>
      </c>
      <c r="N1111" s="435">
        <v>44752</v>
      </c>
      <c r="O1111" s="435"/>
      <c r="P1111" s="349"/>
      <c r="Q1111" s="433"/>
      <c r="R1111" s="433"/>
      <c r="S1111" s="432" t="s">
        <v>1443</v>
      </c>
      <c r="T1111" s="432">
        <v>60</v>
      </c>
      <c r="U1111" s="350">
        <v>49201132</v>
      </c>
      <c r="V1111" s="432" t="s">
        <v>986</v>
      </c>
      <c r="W1111" s="432">
        <v>360</v>
      </c>
      <c r="X1111" s="436">
        <v>832</v>
      </c>
      <c r="Y1111" s="408">
        <f t="shared" si="140"/>
        <v>299520</v>
      </c>
      <c r="Z1111" s="409">
        <f>181.8/360</f>
        <v>0.505</v>
      </c>
      <c r="AA1111" s="423">
        <f t="shared" si="141"/>
        <v>151257.60000000001</v>
      </c>
      <c r="AB1111" s="411"/>
      <c r="AC1111" s="412">
        <f t="shared" si="142"/>
        <v>0</v>
      </c>
      <c r="AD1111" s="421"/>
      <c r="AE1111" s="413"/>
      <c r="AF1111" s="424">
        <f t="shared" si="143"/>
        <v>151257.60000000001</v>
      </c>
      <c r="AG1111" s="405" t="s">
        <v>1069</v>
      </c>
      <c r="AH1111" s="405"/>
      <c r="AI1111" s="414" t="s">
        <v>1962</v>
      </c>
      <c r="AJ1111" s="405" t="s">
        <v>1573</v>
      </c>
      <c r="AK1111" s="425" t="s">
        <v>50</v>
      </c>
      <c r="AL1111" s="405">
        <v>93308</v>
      </c>
      <c r="AM1111" s="405" t="s">
        <v>52</v>
      </c>
      <c r="AN1111" s="405"/>
      <c r="AO1111" s="405"/>
      <c r="AP1111" s="417"/>
      <c r="AQ1111" s="417" t="s">
        <v>37</v>
      </c>
      <c r="AR1111" s="417"/>
      <c r="AS1111" s="426"/>
      <c r="AT1111" s="426"/>
      <c r="AU1111" s="357"/>
      <c r="AV1111" s="409"/>
    </row>
    <row r="1112" spans="1:48" s="402" customFormat="1" ht="15" customHeight="1">
      <c r="A1112" s="403"/>
      <c r="B1112" s="445">
        <v>44557</v>
      </c>
      <c r="C1112" s="403"/>
      <c r="D1112" s="443" t="s">
        <v>1914</v>
      </c>
      <c r="E1112" s="432" t="s">
        <v>2155</v>
      </c>
      <c r="F1112" s="432"/>
      <c r="G1112" s="432">
        <v>2022</v>
      </c>
      <c r="H1112" s="432" t="s">
        <v>1498</v>
      </c>
      <c r="I1112" s="443" t="s">
        <v>1498</v>
      </c>
      <c r="J1112" s="433"/>
      <c r="K1112" s="434" t="s">
        <v>3469</v>
      </c>
      <c r="L1112" s="432" t="s">
        <v>2004</v>
      </c>
      <c r="M1112" s="435">
        <v>44544</v>
      </c>
      <c r="N1112" s="435">
        <v>44754</v>
      </c>
      <c r="O1112" s="435"/>
      <c r="P1112" s="349"/>
      <c r="Q1112" s="433"/>
      <c r="R1112" s="433"/>
      <c r="S1112" s="432" t="s">
        <v>1443</v>
      </c>
      <c r="T1112" s="432">
        <v>60</v>
      </c>
      <c r="U1112" s="350">
        <v>49401140</v>
      </c>
      <c r="V1112" s="432" t="s">
        <v>973</v>
      </c>
      <c r="W1112" s="432">
        <v>400</v>
      </c>
      <c r="X1112" s="436">
        <v>768</v>
      </c>
      <c r="Y1112" s="408">
        <f t="shared" si="140"/>
        <v>307200</v>
      </c>
      <c r="Z1112" s="409">
        <f>210/400</f>
        <v>0.52500000000000002</v>
      </c>
      <c r="AA1112" s="423">
        <f t="shared" si="141"/>
        <v>161280</v>
      </c>
      <c r="AB1112" s="411"/>
      <c r="AC1112" s="412">
        <f t="shared" si="142"/>
        <v>0</v>
      </c>
      <c r="AD1112" s="421"/>
      <c r="AE1112" s="413"/>
      <c r="AF1112" s="424">
        <f t="shared" si="143"/>
        <v>161280</v>
      </c>
      <c r="AG1112" s="405" t="s">
        <v>1069</v>
      </c>
      <c r="AH1112" s="405"/>
      <c r="AI1112" s="414" t="s">
        <v>1962</v>
      </c>
      <c r="AJ1112" s="405" t="s">
        <v>1573</v>
      </c>
      <c r="AK1112" s="425" t="s">
        <v>50</v>
      </c>
      <c r="AL1112" s="405">
        <v>93308</v>
      </c>
      <c r="AM1112" s="405" t="s">
        <v>52</v>
      </c>
      <c r="AN1112" s="405"/>
      <c r="AO1112" s="405"/>
      <c r="AP1112" s="417"/>
      <c r="AQ1112" s="417" t="s">
        <v>37</v>
      </c>
      <c r="AR1112" s="417"/>
      <c r="AS1112" s="426"/>
      <c r="AT1112" s="426"/>
      <c r="AU1112" s="357"/>
      <c r="AV1112" s="409"/>
    </row>
    <row r="1113" spans="1:48" s="402" customFormat="1" ht="15" customHeight="1">
      <c r="A1113" s="403"/>
      <c r="B1113" s="445">
        <v>44557</v>
      </c>
      <c r="C1113" s="403"/>
      <c r="D1113" s="443" t="s">
        <v>1914</v>
      </c>
      <c r="E1113" s="432" t="s">
        <v>2155</v>
      </c>
      <c r="F1113" s="432"/>
      <c r="G1113" s="432">
        <v>2022</v>
      </c>
      <c r="H1113" s="432" t="s">
        <v>1498</v>
      </c>
      <c r="I1113" s="443" t="s">
        <v>1498</v>
      </c>
      <c r="J1113" s="433"/>
      <c r="K1113" s="434" t="s">
        <v>3470</v>
      </c>
      <c r="L1113" s="432" t="s">
        <v>2004</v>
      </c>
      <c r="M1113" s="435">
        <v>44544</v>
      </c>
      <c r="N1113" s="435">
        <v>44757</v>
      </c>
      <c r="O1113" s="435"/>
      <c r="P1113" s="349"/>
      <c r="Q1113" s="433"/>
      <c r="R1113" s="433"/>
      <c r="S1113" s="432" t="s">
        <v>1443</v>
      </c>
      <c r="T1113" s="432">
        <v>60</v>
      </c>
      <c r="U1113" s="350">
        <v>49401140</v>
      </c>
      <c r="V1113" s="432" t="s">
        <v>973</v>
      </c>
      <c r="W1113" s="432">
        <v>400</v>
      </c>
      <c r="X1113" s="436">
        <v>768</v>
      </c>
      <c r="Y1113" s="408">
        <f t="shared" si="140"/>
        <v>307200</v>
      </c>
      <c r="Z1113" s="409">
        <f>210/400</f>
        <v>0.52500000000000002</v>
      </c>
      <c r="AA1113" s="423">
        <f t="shared" si="141"/>
        <v>161280</v>
      </c>
      <c r="AB1113" s="411"/>
      <c r="AC1113" s="412">
        <f t="shared" si="142"/>
        <v>0</v>
      </c>
      <c r="AD1113" s="421"/>
      <c r="AE1113" s="413"/>
      <c r="AF1113" s="424">
        <f t="shared" si="143"/>
        <v>161280</v>
      </c>
      <c r="AG1113" s="405" t="s">
        <v>1069</v>
      </c>
      <c r="AH1113" s="405"/>
      <c r="AI1113" s="414" t="s">
        <v>1962</v>
      </c>
      <c r="AJ1113" s="405" t="s">
        <v>1573</v>
      </c>
      <c r="AK1113" s="425" t="s">
        <v>50</v>
      </c>
      <c r="AL1113" s="405">
        <v>93308</v>
      </c>
      <c r="AM1113" s="405" t="s">
        <v>52</v>
      </c>
      <c r="AN1113" s="405"/>
      <c r="AO1113" s="405"/>
      <c r="AP1113" s="417"/>
      <c r="AQ1113" s="417" t="s">
        <v>37</v>
      </c>
      <c r="AR1113" s="417"/>
      <c r="AS1113" s="426"/>
      <c r="AT1113" s="426"/>
      <c r="AU1113" s="357"/>
      <c r="AV1113" s="409"/>
    </row>
    <row r="1114" spans="1:48" s="402" customFormat="1" ht="15" customHeight="1">
      <c r="A1114" s="403"/>
      <c r="B1114" s="445">
        <v>44557</v>
      </c>
      <c r="C1114" s="403"/>
      <c r="D1114" s="443" t="s">
        <v>1914</v>
      </c>
      <c r="E1114" s="432" t="s">
        <v>2155</v>
      </c>
      <c r="F1114" s="432"/>
      <c r="G1114" s="432">
        <v>2022</v>
      </c>
      <c r="H1114" s="432" t="s">
        <v>1498</v>
      </c>
      <c r="I1114" s="443" t="s">
        <v>1498</v>
      </c>
      <c r="J1114" s="433"/>
      <c r="K1114" s="434" t="s">
        <v>3471</v>
      </c>
      <c r="L1114" s="432" t="s">
        <v>2004</v>
      </c>
      <c r="M1114" s="435">
        <v>44545</v>
      </c>
      <c r="N1114" s="435">
        <v>44866</v>
      </c>
      <c r="O1114" s="435"/>
      <c r="P1114" s="349"/>
      <c r="Q1114" s="433"/>
      <c r="R1114" s="433"/>
      <c r="S1114" s="432" t="s">
        <v>1443</v>
      </c>
      <c r="T1114" s="432">
        <v>60</v>
      </c>
      <c r="U1114" s="350">
        <v>49401140</v>
      </c>
      <c r="V1114" s="432" t="s">
        <v>973</v>
      </c>
      <c r="W1114" s="432">
        <v>400</v>
      </c>
      <c r="X1114" s="436">
        <v>768</v>
      </c>
      <c r="Y1114" s="408">
        <f t="shared" si="140"/>
        <v>307200</v>
      </c>
      <c r="Z1114" s="409">
        <f>210/400</f>
        <v>0.52500000000000002</v>
      </c>
      <c r="AA1114" s="423">
        <f t="shared" si="141"/>
        <v>161280</v>
      </c>
      <c r="AB1114" s="411"/>
      <c r="AC1114" s="412">
        <f t="shared" si="142"/>
        <v>0</v>
      </c>
      <c r="AD1114" s="421"/>
      <c r="AE1114" s="413"/>
      <c r="AF1114" s="424">
        <f t="shared" si="143"/>
        <v>161280</v>
      </c>
      <c r="AG1114" s="405" t="s">
        <v>1069</v>
      </c>
      <c r="AH1114" s="405"/>
      <c r="AI1114" s="414" t="s">
        <v>1962</v>
      </c>
      <c r="AJ1114" s="405" t="s">
        <v>1573</v>
      </c>
      <c r="AK1114" s="425" t="s">
        <v>50</v>
      </c>
      <c r="AL1114" s="405">
        <v>93308</v>
      </c>
      <c r="AM1114" s="405" t="s">
        <v>52</v>
      </c>
      <c r="AN1114" s="405"/>
      <c r="AO1114" s="405"/>
      <c r="AP1114" s="417"/>
      <c r="AQ1114" s="417" t="s">
        <v>37</v>
      </c>
      <c r="AR1114" s="417"/>
      <c r="AS1114" s="426"/>
      <c r="AT1114" s="426"/>
      <c r="AU1114" s="357"/>
      <c r="AV1114" s="409"/>
    </row>
    <row r="1115" spans="1:48" s="402" customFormat="1" ht="15" customHeight="1">
      <c r="A1115" s="403"/>
      <c r="B1115" s="445">
        <v>44557</v>
      </c>
      <c r="C1115" s="403"/>
      <c r="D1115" s="443" t="s">
        <v>1914</v>
      </c>
      <c r="E1115" s="432" t="s">
        <v>2155</v>
      </c>
      <c r="F1115" s="432"/>
      <c r="G1115" s="432">
        <v>2022</v>
      </c>
      <c r="H1115" s="432" t="s">
        <v>1498</v>
      </c>
      <c r="I1115" s="443" t="s">
        <v>1498</v>
      </c>
      <c r="J1115" s="433"/>
      <c r="K1115" s="434" t="s">
        <v>3472</v>
      </c>
      <c r="L1115" s="432" t="s">
        <v>2004</v>
      </c>
      <c r="M1115" s="435">
        <v>44545</v>
      </c>
      <c r="N1115" s="435">
        <v>44868</v>
      </c>
      <c r="O1115" s="435"/>
      <c r="P1115" s="349"/>
      <c r="Q1115" s="433"/>
      <c r="R1115" s="433"/>
      <c r="S1115" s="432" t="s">
        <v>1443</v>
      </c>
      <c r="T1115" s="432">
        <v>60</v>
      </c>
      <c r="U1115" s="350">
        <v>49401140</v>
      </c>
      <c r="V1115" s="432" t="s">
        <v>973</v>
      </c>
      <c r="W1115" s="432">
        <v>400</v>
      </c>
      <c r="X1115" s="436">
        <v>768</v>
      </c>
      <c r="Y1115" s="408">
        <f t="shared" si="140"/>
        <v>307200</v>
      </c>
      <c r="Z1115" s="409">
        <f>210/400</f>
        <v>0.52500000000000002</v>
      </c>
      <c r="AA1115" s="423">
        <f t="shared" si="141"/>
        <v>161280</v>
      </c>
      <c r="AB1115" s="411"/>
      <c r="AC1115" s="412">
        <f t="shared" si="142"/>
        <v>0</v>
      </c>
      <c r="AD1115" s="421"/>
      <c r="AE1115" s="413"/>
      <c r="AF1115" s="424">
        <f t="shared" si="143"/>
        <v>161280</v>
      </c>
      <c r="AG1115" s="405" t="s">
        <v>1069</v>
      </c>
      <c r="AH1115" s="405"/>
      <c r="AI1115" s="414" t="s">
        <v>1962</v>
      </c>
      <c r="AJ1115" s="405" t="s">
        <v>1573</v>
      </c>
      <c r="AK1115" s="425" t="s">
        <v>50</v>
      </c>
      <c r="AL1115" s="405">
        <v>93308</v>
      </c>
      <c r="AM1115" s="405" t="s">
        <v>52</v>
      </c>
      <c r="AN1115" s="405"/>
      <c r="AO1115" s="405"/>
      <c r="AP1115" s="417"/>
      <c r="AQ1115" s="417" t="s">
        <v>37</v>
      </c>
      <c r="AR1115" s="417"/>
      <c r="AS1115" s="426"/>
      <c r="AT1115" s="426"/>
      <c r="AU1115" s="357"/>
      <c r="AV1115" s="409"/>
    </row>
    <row r="1116" spans="1:48" s="402" customFormat="1" ht="15" customHeight="1">
      <c r="A1116" s="403"/>
      <c r="B1116" s="445">
        <v>44557</v>
      </c>
      <c r="C1116" s="403"/>
      <c r="D1116" s="443" t="s">
        <v>1914</v>
      </c>
      <c r="E1116" s="432" t="s">
        <v>2155</v>
      </c>
      <c r="F1116" s="432"/>
      <c r="G1116" s="432">
        <v>2022</v>
      </c>
      <c r="H1116" s="432" t="s">
        <v>1498</v>
      </c>
      <c r="I1116" s="443" t="s">
        <v>1498</v>
      </c>
      <c r="J1116" s="433"/>
      <c r="K1116" s="434" t="s">
        <v>3473</v>
      </c>
      <c r="L1116" s="432" t="s">
        <v>2004</v>
      </c>
      <c r="M1116" s="435">
        <v>44545</v>
      </c>
      <c r="N1116" s="435">
        <v>44871</v>
      </c>
      <c r="O1116" s="435"/>
      <c r="P1116" s="349"/>
      <c r="Q1116" s="433"/>
      <c r="R1116" s="433"/>
      <c r="S1116" s="432" t="s">
        <v>1443</v>
      </c>
      <c r="T1116" s="432">
        <v>60</v>
      </c>
      <c r="U1116" s="350">
        <v>49401140</v>
      </c>
      <c r="V1116" s="432" t="s">
        <v>973</v>
      </c>
      <c r="W1116" s="432">
        <v>400</v>
      </c>
      <c r="X1116" s="436">
        <v>768</v>
      </c>
      <c r="Y1116" s="408">
        <f t="shared" si="140"/>
        <v>307200</v>
      </c>
      <c r="Z1116" s="409">
        <f>210/400</f>
        <v>0.52500000000000002</v>
      </c>
      <c r="AA1116" s="423">
        <f t="shared" si="141"/>
        <v>161280</v>
      </c>
      <c r="AB1116" s="411"/>
      <c r="AC1116" s="412">
        <f t="shared" si="142"/>
        <v>0</v>
      </c>
      <c r="AD1116" s="421"/>
      <c r="AE1116" s="413"/>
      <c r="AF1116" s="424">
        <f t="shared" si="143"/>
        <v>161280</v>
      </c>
      <c r="AG1116" s="405" t="s">
        <v>1069</v>
      </c>
      <c r="AH1116" s="405"/>
      <c r="AI1116" s="414" t="s">
        <v>1962</v>
      </c>
      <c r="AJ1116" s="405" t="s">
        <v>1573</v>
      </c>
      <c r="AK1116" s="425" t="s">
        <v>50</v>
      </c>
      <c r="AL1116" s="405">
        <v>93308</v>
      </c>
      <c r="AM1116" s="405" t="s">
        <v>52</v>
      </c>
      <c r="AN1116" s="405"/>
      <c r="AO1116" s="405"/>
      <c r="AP1116" s="417"/>
      <c r="AQ1116" s="417" t="s">
        <v>37</v>
      </c>
      <c r="AR1116" s="417"/>
      <c r="AS1116" s="426"/>
      <c r="AT1116" s="426"/>
      <c r="AU1116" s="357"/>
      <c r="AV1116" s="409"/>
    </row>
    <row r="1117" spans="1:48" s="402" customFormat="1" ht="15" customHeight="1">
      <c r="A1117" s="403"/>
      <c r="B1117" s="445">
        <v>44557</v>
      </c>
      <c r="C1117" s="403"/>
      <c r="D1117" s="443" t="s">
        <v>1914</v>
      </c>
      <c r="E1117" s="432" t="s">
        <v>2155</v>
      </c>
      <c r="F1117" s="432"/>
      <c r="G1117" s="432">
        <v>2022</v>
      </c>
      <c r="H1117" s="432" t="s">
        <v>1498</v>
      </c>
      <c r="I1117" s="443" t="s">
        <v>1498</v>
      </c>
      <c r="J1117" s="433"/>
      <c r="K1117" s="434" t="s">
        <v>3474</v>
      </c>
      <c r="L1117" s="432" t="s">
        <v>2004</v>
      </c>
      <c r="M1117" s="435">
        <v>44545</v>
      </c>
      <c r="N1117" s="435">
        <v>44875</v>
      </c>
      <c r="O1117" s="435"/>
      <c r="P1117" s="433"/>
      <c r="Q1117" s="433"/>
      <c r="R1117" s="433"/>
      <c r="S1117" s="432" t="s">
        <v>1443</v>
      </c>
      <c r="T1117" s="432">
        <v>60</v>
      </c>
      <c r="U1117" s="432">
        <v>49201132</v>
      </c>
      <c r="V1117" s="432" t="s">
        <v>986</v>
      </c>
      <c r="W1117" s="432">
        <v>360</v>
      </c>
      <c r="X1117" s="436">
        <v>832</v>
      </c>
      <c r="Y1117" s="408">
        <f t="shared" si="140"/>
        <v>299520</v>
      </c>
      <c r="Z1117" s="409">
        <f>181.8/360</f>
        <v>0.505</v>
      </c>
      <c r="AA1117" s="423">
        <f t="shared" si="141"/>
        <v>151257.60000000001</v>
      </c>
      <c r="AB1117" s="411"/>
      <c r="AC1117" s="412">
        <f t="shared" si="142"/>
        <v>0</v>
      </c>
      <c r="AD1117" s="421"/>
      <c r="AE1117" s="413"/>
      <c r="AF1117" s="424">
        <f t="shared" si="143"/>
        <v>151257.60000000001</v>
      </c>
      <c r="AG1117" s="405" t="s">
        <v>1069</v>
      </c>
      <c r="AH1117" s="405"/>
      <c r="AI1117" s="414" t="s">
        <v>1962</v>
      </c>
      <c r="AJ1117" s="405" t="s">
        <v>1573</v>
      </c>
      <c r="AK1117" s="425" t="s">
        <v>50</v>
      </c>
      <c r="AL1117" s="405">
        <v>93308</v>
      </c>
      <c r="AM1117" s="405" t="s">
        <v>52</v>
      </c>
      <c r="AN1117" s="405"/>
      <c r="AO1117" s="405"/>
      <c r="AP1117" s="417"/>
      <c r="AQ1117" s="417" t="s">
        <v>37</v>
      </c>
      <c r="AR1117" s="417"/>
      <c r="AS1117" s="426"/>
      <c r="AT1117" s="426"/>
      <c r="AU1117" s="357"/>
      <c r="AV1117" s="409"/>
    </row>
    <row r="1118" spans="1:48" s="402" customFormat="1" ht="15" customHeight="1">
      <c r="A1118" s="403"/>
      <c r="B1118" s="445">
        <v>44557</v>
      </c>
      <c r="C1118" s="403"/>
      <c r="D1118" s="443" t="s">
        <v>1914</v>
      </c>
      <c r="E1118" s="432" t="s">
        <v>2155</v>
      </c>
      <c r="F1118" s="432"/>
      <c r="G1118" s="432">
        <v>2022</v>
      </c>
      <c r="H1118" s="432" t="s">
        <v>1498</v>
      </c>
      <c r="I1118" s="443" t="s">
        <v>1498</v>
      </c>
      <c r="J1118" s="433"/>
      <c r="K1118" s="434" t="s">
        <v>3475</v>
      </c>
      <c r="L1118" s="432" t="s">
        <v>2004</v>
      </c>
      <c r="M1118" s="435">
        <v>44545</v>
      </c>
      <c r="N1118" s="435">
        <v>44878</v>
      </c>
      <c r="O1118" s="435"/>
      <c r="P1118" s="433"/>
      <c r="Q1118" s="433"/>
      <c r="R1118" s="433"/>
      <c r="S1118" s="432" t="s">
        <v>1443</v>
      </c>
      <c r="T1118" s="432">
        <v>60</v>
      </c>
      <c r="U1118" s="432">
        <v>49401140</v>
      </c>
      <c r="V1118" s="432" t="s">
        <v>973</v>
      </c>
      <c r="W1118" s="432">
        <v>400</v>
      </c>
      <c r="X1118" s="436">
        <v>768</v>
      </c>
      <c r="Y1118" s="408">
        <f t="shared" si="140"/>
        <v>307200</v>
      </c>
      <c r="Z1118" s="409">
        <f t="shared" ref="Z1118:Z1124" si="144">210/400</f>
        <v>0.52500000000000002</v>
      </c>
      <c r="AA1118" s="423">
        <f t="shared" si="141"/>
        <v>161280</v>
      </c>
      <c r="AB1118" s="411"/>
      <c r="AC1118" s="412">
        <f t="shared" si="142"/>
        <v>0</v>
      </c>
      <c r="AD1118" s="421"/>
      <c r="AE1118" s="413"/>
      <c r="AF1118" s="424">
        <f t="shared" si="143"/>
        <v>161280</v>
      </c>
      <c r="AG1118" s="405" t="s">
        <v>1069</v>
      </c>
      <c r="AH1118" s="405"/>
      <c r="AI1118" s="414" t="s">
        <v>1962</v>
      </c>
      <c r="AJ1118" s="405" t="s">
        <v>1573</v>
      </c>
      <c r="AK1118" s="425" t="s">
        <v>50</v>
      </c>
      <c r="AL1118" s="405">
        <v>93308</v>
      </c>
      <c r="AM1118" s="405" t="s">
        <v>52</v>
      </c>
      <c r="AN1118" s="405"/>
      <c r="AO1118" s="405"/>
      <c r="AP1118" s="417"/>
      <c r="AQ1118" s="417" t="s">
        <v>37</v>
      </c>
      <c r="AR1118" s="417"/>
      <c r="AS1118" s="426"/>
      <c r="AT1118" s="426"/>
      <c r="AU1118" s="357"/>
      <c r="AV1118" s="409"/>
    </row>
    <row r="1119" spans="1:48" s="402" customFormat="1" ht="15" customHeight="1">
      <c r="A1119" s="343"/>
      <c r="B1119" s="447">
        <v>44557</v>
      </c>
      <c r="C1119" s="343"/>
      <c r="D1119" s="345" t="s">
        <v>1914</v>
      </c>
      <c r="E1119" s="432" t="s">
        <v>2155</v>
      </c>
      <c r="F1119" s="344"/>
      <c r="G1119" s="344">
        <v>2022</v>
      </c>
      <c r="H1119" s="344" t="s">
        <v>1498</v>
      </c>
      <c r="I1119" s="345" t="s">
        <v>1498</v>
      </c>
      <c r="J1119" s="352"/>
      <c r="K1119" s="353" t="s">
        <v>3476</v>
      </c>
      <c r="L1119" s="344" t="s">
        <v>2004</v>
      </c>
      <c r="M1119" s="354">
        <v>44545</v>
      </c>
      <c r="N1119" s="354">
        <v>44881</v>
      </c>
      <c r="O1119" s="435"/>
      <c r="P1119" s="352"/>
      <c r="Q1119" s="352"/>
      <c r="R1119" s="352"/>
      <c r="S1119" s="344" t="s">
        <v>1443</v>
      </c>
      <c r="T1119" s="344">
        <v>60</v>
      </c>
      <c r="U1119" s="432">
        <v>49401140</v>
      </c>
      <c r="V1119" s="344" t="s">
        <v>973</v>
      </c>
      <c r="W1119" s="344">
        <v>400</v>
      </c>
      <c r="X1119" s="355">
        <v>768</v>
      </c>
      <c r="Y1119" s="461">
        <f t="shared" si="140"/>
        <v>307200</v>
      </c>
      <c r="Z1119" s="339">
        <f t="shared" si="144"/>
        <v>0.52500000000000002</v>
      </c>
      <c r="AA1119" s="122">
        <f t="shared" si="141"/>
        <v>161280</v>
      </c>
      <c r="AB1119" s="346"/>
      <c r="AC1119" s="347">
        <f t="shared" si="142"/>
        <v>0</v>
      </c>
      <c r="AD1119" s="340"/>
      <c r="AE1119" s="337"/>
      <c r="AF1119" s="57">
        <f t="shared" si="143"/>
        <v>161280</v>
      </c>
      <c r="AG1119" s="336" t="s">
        <v>1069</v>
      </c>
      <c r="AH1119" s="336"/>
      <c r="AI1119" s="338" t="s">
        <v>1962</v>
      </c>
      <c r="AJ1119" s="336" t="s">
        <v>1573</v>
      </c>
      <c r="AK1119" s="341" t="s">
        <v>50</v>
      </c>
      <c r="AL1119" s="336">
        <v>93308</v>
      </c>
      <c r="AM1119" s="336" t="s">
        <v>52</v>
      </c>
      <c r="AN1119" s="336"/>
      <c r="AO1119" s="336"/>
      <c r="AP1119" s="348"/>
      <c r="AQ1119" s="348" t="s">
        <v>37</v>
      </c>
      <c r="AR1119" s="348"/>
      <c r="AS1119" s="342"/>
      <c r="AT1119" s="342"/>
      <c r="AU1119" s="342"/>
      <c r="AV1119" s="339"/>
    </row>
    <row r="1120" spans="1:48" s="402" customFormat="1" ht="15" customHeight="1">
      <c r="A1120" s="403"/>
      <c r="B1120" s="445">
        <v>44557</v>
      </c>
      <c r="C1120" s="403"/>
      <c r="D1120" s="443" t="s">
        <v>1914</v>
      </c>
      <c r="E1120" s="432" t="s">
        <v>2155</v>
      </c>
      <c r="F1120" s="432"/>
      <c r="G1120" s="432">
        <v>2022</v>
      </c>
      <c r="H1120" s="432" t="s">
        <v>1498</v>
      </c>
      <c r="I1120" s="443" t="s">
        <v>1498</v>
      </c>
      <c r="J1120" s="433"/>
      <c r="K1120" s="434" t="s">
        <v>3477</v>
      </c>
      <c r="L1120" s="432" t="s">
        <v>2004</v>
      </c>
      <c r="M1120" s="435">
        <v>44545</v>
      </c>
      <c r="N1120" s="435">
        <v>44885</v>
      </c>
      <c r="O1120" s="435"/>
      <c r="P1120" s="433"/>
      <c r="Q1120" s="433"/>
      <c r="R1120" s="433"/>
      <c r="S1120" s="432" t="s">
        <v>1443</v>
      </c>
      <c r="T1120" s="432">
        <v>60</v>
      </c>
      <c r="U1120" s="432">
        <v>49401140</v>
      </c>
      <c r="V1120" s="432" t="s">
        <v>973</v>
      </c>
      <c r="W1120" s="432">
        <v>400</v>
      </c>
      <c r="X1120" s="436">
        <v>768</v>
      </c>
      <c r="Y1120" s="408">
        <f t="shared" si="140"/>
        <v>307200</v>
      </c>
      <c r="Z1120" s="409">
        <f t="shared" si="144"/>
        <v>0.52500000000000002</v>
      </c>
      <c r="AA1120" s="423">
        <f t="shared" si="141"/>
        <v>161280</v>
      </c>
      <c r="AB1120" s="411"/>
      <c r="AC1120" s="412">
        <f t="shared" si="142"/>
        <v>0</v>
      </c>
      <c r="AD1120" s="421"/>
      <c r="AE1120" s="413"/>
      <c r="AF1120" s="424">
        <f t="shared" si="143"/>
        <v>161280</v>
      </c>
      <c r="AG1120" s="405" t="s">
        <v>1069</v>
      </c>
      <c r="AH1120" s="405"/>
      <c r="AI1120" s="414" t="s">
        <v>1962</v>
      </c>
      <c r="AJ1120" s="405" t="s">
        <v>1573</v>
      </c>
      <c r="AK1120" s="425" t="s">
        <v>50</v>
      </c>
      <c r="AL1120" s="405">
        <v>93308</v>
      </c>
      <c r="AM1120" s="405" t="s">
        <v>52</v>
      </c>
      <c r="AN1120" s="405"/>
      <c r="AO1120" s="405"/>
      <c r="AP1120" s="417"/>
      <c r="AQ1120" s="417" t="s">
        <v>37</v>
      </c>
      <c r="AR1120" s="417"/>
      <c r="AS1120" s="426"/>
      <c r="AT1120" s="426"/>
      <c r="AU1120" s="426"/>
      <c r="AV1120" s="409"/>
    </row>
    <row r="1121" spans="1:48" s="402" customFormat="1" ht="15" customHeight="1">
      <c r="A1121" s="403"/>
      <c r="B1121" s="445">
        <v>44557</v>
      </c>
      <c r="C1121" s="403"/>
      <c r="D1121" s="443" t="s">
        <v>1914</v>
      </c>
      <c r="E1121" s="432" t="s">
        <v>2155</v>
      </c>
      <c r="F1121" s="432"/>
      <c r="G1121" s="432">
        <v>2022</v>
      </c>
      <c r="H1121" s="432" t="s">
        <v>1498</v>
      </c>
      <c r="I1121" s="443" t="s">
        <v>1498</v>
      </c>
      <c r="J1121" s="433"/>
      <c r="K1121" s="434" t="s">
        <v>3478</v>
      </c>
      <c r="L1121" s="432" t="s">
        <v>2004</v>
      </c>
      <c r="M1121" s="435">
        <v>44545</v>
      </c>
      <c r="N1121" s="435">
        <v>44907</v>
      </c>
      <c r="O1121" s="435"/>
      <c r="P1121" s="433"/>
      <c r="Q1121" s="433"/>
      <c r="R1121" s="433"/>
      <c r="S1121" s="432" t="s">
        <v>1443</v>
      </c>
      <c r="T1121" s="432">
        <v>60</v>
      </c>
      <c r="U1121" s="432">
        <v>49401140</v>
      </c>
      <c r="V1121" s="432" t="s">
        <v>973</v>
      </c>
      <c r="W1121" s="432">
        <v>400</v>
      </c>
      <c r="X1121" s="436">
        <v>768</v>
      </c>
      <c r="Y1121" s="408">
        <f t="shared" si="140"/>
        <v>307200</v>
      </c>
      <c r="Z1121" s="409">
        <f t="shared" si="144"/>
        <v>0.52500000000000002</v>
      </c>
      <c r="AA1121" s="423">
        <f t="shared" si="141"/>
        <v>161280</v>
      </c>
      <c r="AB1121" s="411"/>
      <c r="AC1121" s="412">
        <f t="shared" si="142"/>
        <v>0</v>
      </c>
      <c r="AD1121" s="421"/>
      <c r="AE1121" s="413"/>
      <c r="AF1121" s="424">
        <f t="shared" si="143"/>
        <v>161280</v>
      </c>
      <c r="AG1121" s="405" t="s">
        <v>1069</v>
      </c>
      <c r="AH1121" s="405"/>
      <c r="AI1121" s="414" t="s">
        <v>1962</v>
      </c>
      <c r="AJ1121" s="405" t="s">
        <v>1573</v>
      </c>
      <c r="AK1121" s="425" t="s">
        <v>50</v>
      </c>
      <c r="AL1121" s="405">
        <v>93308</v>
      </c>
      <c r="AM1121" s="405" t="s">
        <v>52</v>
      </c>
      <c r="AN1121" s="405"/>
      <c r="AO1121" s="405"/>
      <c r="AP1121" s="417"/>
      <c r="AQ1121" s="417" t="s">
        <v>37</v>
      </c>
      <c r="AR1121" s="417"/>
      <c r="AS1121" s="426"/>
      <c r="AT1121" s="426"/>
      <c r="AU1121" s="426"/>
      <c r="AV1121" s="409"/>
    </row>
    <row r="1122" spans="1:48" s="402" customFormat="1" ht="15" customHeight="1">
      <c r="A1122" s="403"/>
      <c r="B1122" s="445">
        <v>44557</v>
      </c>
      <c r="C1122" s="403"/>
      <c r="D1122" s="443" t="s">
        <v>1914</v>
      </c>
      <c r="E1122" s="432" t="s">
        <v>2155</v>
      </c>
      <c r="F1122" s="432"/>
      <c r="G1122" s="432">
        <v>2022</v>
      </c>
      <c r="H1122" s="432" t="s">
        <v>1498</v>
      </c>
      <c r="I1122" s="443" t="s">
        <v>1498</v>
      </c>
      <c r="J1122" s="433"/>
      <c r="K1122" s="434" t="s">
        <v>3479</v>
      </c>
      <c r="L1122" s="432" t="s">
        <v>2004</v>
      </c>
      <c r="M1122" s="435">
        <v>44545</v>
      </c>
      <c r="N1122" s="435">
        <v>44857</v>
      </c>
      <c r="O1122" s="435"/>
      <c r="P1122" s="433"/>
      <c r="Q1122" s="433"/>
      <c r="R1122" s="433"/>
      <c r="S1122" s="432" t="s">
        <v>1443</v>
      </c>
      <c r="T1122" s="432">
        <v>60</v>
      </c>
      <c r="U1122" s="432">
        <v>49401140</v>
      </c>
      <c r="V1122" s="432" t="s">
        <v>973</v>
      </c>
      <c r="W1122" s="432">
        <v>400</v>
      </c>
      <c r="X1122" s="436">
        <v>768</v>
      </c>
      <c r="Y1122" s="408">
        <f t="shared" si="140"/>
        <v>307200</v>
      </c>
      <c r="Z1122" s="409">
        <f t="shared" si="144"/>
        <v>0.52500000000000002</v>
      </c>
      <c r="AA1122" s="423">
        <f t="shared" si="141"/>
        <v>161280</v>
      </c>
      <c r="AB1122" s="411"/>
      <c r="AC1122" s="412">
        <f t="shared" si="142"/>
        <v>0</v>
      </c>
      <c r="AD1122" s="421"/>
      <c r="AE1122" s="413"/>
      <c r="AF1122" s="424">
        <f t="shared" si="143"/>
        <v>161280</v>
      </c>
      <c r="AG1122" s="405" t="s">
        <v>1069</v>
      </c>
      <c r="AH1122" s="405"/>
      <c r="AI1122" s="414" t="s">
        <v>1962</v>
      </c>
      <c r="AJ1122" s="405" t="s">
        <v>1969</v>
      </c>
      <c r="AK1122" s="425" t="s">
        <v>1125</v>
      </c>
      <c r="AL1122" s="405">
        <v>85008</v>
      </c>
      <c r="AM1122" s="405" t="s">
        <v>52</v>
      </c>
      <c r="AN1122" s="405"/>
      <c r="AO1122" s="405"/>
      <c r="AP1122" s="417"/>
      <c r="AQ1122" s="417" t="s">
        <v>37</v>
      </c>
      <c r="AR1122" s="417"/>
      <c r="AS1122" s="426"/>
      <c r="AT1122" s="426"/>
      <c r="AU1122" s="426"/>
      <c r="AV1122" s="409"/>
    </row>
    <row r="1123" spans="1:48" s="402" customFormat="1" ht="15" customHeight="1">
      <c r="A1123" s="403"/>
      <c r="B1123" s="445">
        <v>44557</v>
      </c>
      <c r="C1123" s="403"/>
      <c r="D1123" s="443" t="s">
        <v>1914</v>
      </c>
      <c r="E1123" s="432" t="s">
        <v>2155</v>
      </c>
      <c r="F1123" s="432"/>
      <c r="G1123" s="432">
        <v>2022</v>
      </c>
      <c r="H1123" s="432" t="s">
        <v>1498</v>
      </c>
      <c r="I1123" s="443" t="s">
        <v>1498</v>
      </c>
      <c r="J1123" s="433"/>
      <c r="K1123" s="434" t="s">
        <v>3480</v>
      </c>
      <c r="L1123" s="432" t="s">
        <v>2004</v>
      </c>
      <c r="M1123" s="435">
        <v>44545</v>
      </c>
      <c r="N1123" s="435">
        <v>44870</v>
      </c>
      <c r="O1123" s="435"/>
      <c r="P1123" s="433"/>
      <c r="Q1123" s="433"/>
      <c r="R1123" s="433"/>
      <c r="S1123" s="432" t="s">
        <v>1443</v>
      </c>
      <c r="T1123" s="432">
        <v>60</v>
      </c>
      <c r="U1123" s="432">
        <v>49401140</v>
      </c>
      <c r="V1123" s="432" t="s">
        <v>973</v>
      </c>
      <c r="W1123" s="432">
        <v>400</v>
      </c>
      <c r="X1123" s="436">
        <v>768</v>
      </c>
      <c r="Y1123" s="408">
        <f t="shared" si="140"/>
        <v>307200</v>
      </c>
      <c r="Z1123" s="409">
        <f t="shared" si="144"/>
        <v>0.52500000000000002</v>
      </c>
      <c r="AA1123" s="423">
        <f t="shared" si="141"/>
        <v>161280</v>
      </c>
      <c r="AB1123" s="411"/>
      <c r="AC1123" s="412">
        <f t="shared" si="142"/>
        <v>0</v>
      </c>
      <c r="AD1123" s="421"/>
      <c r="AE1123" s="413"/>
      <c r="AF1123" s="424">
        <f t="shared" si="143"/>
        <v>161280</v>
      </c>
      <c r="AG1123" s="405" t="s">
        <v>1069</v>
      </c>
      <c r="AH1123" s="405"/>
      <c r="AI1123" s="414" t="s">
        <v>1962</v>
      </c>
      <c r="AJ1123" s="405" t="s">
        <v>1969</v>
      </c>
      <c r="AK1123" s="425" t="s">
        <v>1125</v>
      </c>
      <c r="AL1123" s="405">
        <v>85008</v>
      </c>
      <c r="AM1123" s="405" t="s">
        <v>52</v>
      </c>
      <c r="AN1123" s="405"/>
      <c r="AO1123" s="405"/>
      <c r="AP1123" s="417"/>
      <c r="AQ1123" s="417" t="s">
        <v>37</v>
      </c>
      <c r="AR1123" s="417"/>
      <c r="AS1123" s="426"/>
      <c r="AT1123" s="426"/>
      <c r="AU1123" s="426"/>
      <c r="AV1123" s="409"/>
    </row>
    <row r="1124" spans="1:48" s="402" customFormat="1" ht="15" customHeight="1">
      <c r="A1124" s="403"/>
      <c r="B1124" s="445">
        <v>44557</v>
      </c>
      <c r="C1124" s="403"/>
      <c r="D1124" s="443" t="s">
        <v>1914</v>
      </c>
      <c r="E1124" s="432" t="s">
        <v>2155</v>
      </c>
      <c r="F1124" s="432"/>
      <c r="G1124" s="432">
        <v>2022</v>
      </c>
      <c r="H1124" s="432" t="s">
        <v>1498</v>
      </c>
      <c r="I1124" s="443" t="s">
        <v>1498</v>
      </c>
      <c r="J1124" s="433"/>
      <c r="K1124" s="434" t="s">
        <v>3481</v>
      </c>
      <c r="L1124" s="432" t="s">
        <v>2004</v>
      </c>
      <c r="M1124" s="435">
        <v>44545</v>
      </c>
      <c r="N1124" s="435">
        <v>44879</v>
      </c>
      <c r="O1124" s="435"/>
      <c r="P1124" s="433"/>
      <c r="Q1124" s="433"/>
      <c r="R1124" s="433"/>
      <c r="S1124" s="432" t="s">
        <v>1443</v>
      </c>
      <c r="T1124" s="432">
        <v>60</v>
      </c>
      <c r="U1124" s="432">
        <v>49401140</v>
      </c>
      <c r="V1124" s="432" t="s">
        <v>973</v>
      </c>
      <c r="W1124" s="432">
        <v>400</v>
      </c>
      <c r="X1124" s="436">
        <v>768</v>
      </c>
      <c r="Y1124" s="408">
        <f t="shared" si="140"/>
        <v>307200</v>
      </c>
      <c r="Z1124" s="409">
        <f t="shared" si="144"/>
        <v>0.52500000000000002</v>
      </c>
      <c r="AA1124" s="423">
        <f t="shared" si="141"/>
        <v>161280</v>
      </c>
      <c r="AB1124" s="411"/>
      <c r="AC1124" s="412">
        <f t="shared" si="142"/>
        <v>0</v>
      </c>
      <c r="AD1124" s="421"/>
      <c r="AE1124" s="413"/>
      <c r="AF1124" s="424">
        <f t="shared" si="143"/>
        <v>161280</v>
      </c>
      <c r="AG1124" s="405" t="s">
        <v>1069</v>
      </c>
      <c r="AH1124" s="405"/>
      <c r="AI1124" s="414" t="s">
        <v>1962</v>
      </c>
      <c r="AJ1124" s="405" t="s">
        <v>1969</v>
      </c>
      <c r="AK1124" s="425" t="s">
        <v>1125</v>
      </c>
      <c r="AL1124" s="405">
        <v>85008</v>
      </c>
      <c r="AM1124" s="405" t="s">
        <v>52</v>
      </c>
      <c r="AN1124" s="405"/>
      <c r="AO1124" s="405"/>
      <c r="AP1124" s="417"/>
      <c r="AQ1124" s="417" t="s">
        <v>37</v>
      </c>
      <c r="AR1124" s="417"/>
      <c r="AS1124" s="426"/>
      <c r="AT1124" s="426"/>
      <c r="AU1124" s="426"/>
      <c r="AV1124" s="409"/>
    </row>
    <row r="1125" spans="1:48" s="402" customFormat="1" ht="15" customHeight="1">
      <c r="A1125" s="403"/>
      <c r="B1125" s="445">
        <v>44557</v>
      </c>
      <c r="C1125" s="403"/>
      <c r="D1125" s="443" t="s">
        <v>1914</v>
      </c>
      <c r="E1125" s="432" t="s">
        <v>2155</v>
      </c>
      <c r="F1125" s="432"/>
      <c r="G1125" s="432">
        <v>2022</v>
      </c>
      <c r="H1125" s="432" t="s">
        <v>1498</v>
      </c>
      <c r="I1125" s="443" t="s">
        <v>1498</v>
      </c>
      <c r="J1125" s="433"/>
      <c r="K1125" s="434" t="s">
        <v>3482</v>
      </c>
      <c r="L1125" s="432" t="s">
        <v>2004</v>
      </c>
      <c r="M1125" s="435">
        <v>44545</v>
      </c>
      <c r="N1125" s="435">
        <v>44880</v>
      </c>
      <c r="O1125" s="435"/>
      <c r="P1125" s="433"/>
      <c r="Q1125" s="433"/>
      <c r="R1125" s="433"/>
      <c r="S1125" s="432" t="s">
        <v>1443</v>
      </c>
      <c r="T1125" s="432">
        <v>60</v>
      </c>
      <c r="U1125" s="432">
        <v>49201132</v>
      </c>
      <c r="V1125" s="432" t="s">
        <v>986</v>
      </c>
      <c r="W1125" s="432">
        <v>360</v>
      </c>
      <c r="X1125" s="436">
        <v>832</v>
      </c>
      <c r="Y1125" s="408">
        <f t="shared" si="140"/>
        <v>299520</v>
      </c>
      <c r="Z1125" s="409">
        <f>181.8/360</f>
        <v>0.505</v>
      </c>
      <c r="AA1125" s="423">
        <f t="shared" si="141"/>
        <v>151257.60000000001</v>
      </c>
      <c r="AB1125" s="411"/>
      <c r="AC1125" s="412">
        <f t="shared" si="142"/>
        <v>0</v>
      </c>
      <c r="AD1125" s="421"/>
      <c r="AE1125" s="413"/>
      <c r="AF1125" s="424">
        <f t="shared" si="143"/>
        <v>151257.60000000001</v>
      </c>
      <c r="AG1125" s="405" t="s">
        <v>1069</v>
      </c>
      <c r="AH1125" s="405"/>
      <c r="AI1125" s="414" t="s">
        <v>1962</v>
      </c>
      <c r="AJ1125" s="405" t="s">
        <v>1969</v>
      </c>
      <c r="AK1125" s="425" t="s">
        <v>1125</v>
      </c>
      <c r="AL1125" s="405">
        <v>85008</v>
      </c>
      <c r="AM1125" s="405" t="s">
        <v>52</v>
      </c>
      <c r="AN1125" s="405"/>
      <c r="AO1125" s="405"/>
      <c r="AP1125" s="417"/>
      <c r="AQ1125" s="417" t="s">
        <v>37</v>
      </c>
      <c r="AR1125" s="417"/>
      <c r="AS1125" s="426"/>
      <c r="AT1125" s="426"/>
      <c r="AU1125" s="426"/>
      <c r="AV1125" s="409"/>
    </row>
    <row r="1126" spans="1:48" s="402" customFormat="1" ht="15" customHeight="1">
      <c r="A1126" s="403"/>
      <c r="B1126" s="445">
        <v>44557</v>
      </c>
      <c r="C1126" s="403"/>
      <c r="D1126" s="443" t="s">
        <v>1914</v>
      </c>
      <c r="E1126" s="432" t="s">
        <v>2155</v>
      </c>
      <c r="F1126" s="432"/>
      <c r="G1126" s="432">
        <v>2022</v>
      </c>
      <c r="H1126" s="432" t="s">
        <v>1498</v>
      </c>
      <c r="I1126" s="443" t="s">
        <v>1498</v>
      </c>
      <c r="J1126" s="433"/>
      <c r="K1126" s="434" t="s">
        <v>3483</v>
      </c>
      <c r="L1126" s="432" t="s">
        <v>2004</v>
      </c>
      <c r="M1126" s="435">
        <v>44545</v>
      </c>
      <c r="N1126" s="435">
        <v>44896</v>
      </c>
      <c r="O1126" s="435"/>
      <c r="P1126" s="433"/>
      <c r="Q1126" s="433"/>
      <c r="R1126" s="433"/>
      <c r="S1126" s="432" t="s">
        <v>1443</v>
      </c>
      <c r="T1126" s="432">
        <v>60</v>
      </c>
      <c r="U1126" s="432">
        <v>49401140</v>
      </c>
      <c r="V1126" s="432" t="s">
        <v>973</v>
      </c>
      <c r="W1126" s="432">
        <v>400</v>
      </c>
      <c r="X1126" s="436">
        <v>768</v>
      </c>
      <c r="Y1126" s="408">
        <f t="shared" si="140"/>
        <v>307200</v>
      </c>
      <c r="Z1126" s="409">
        <f>210/400</f>
        <v>0.52500000000000002</v>
      </c>
      <c r="AA1126" s="423">
        <f t="shared" si="141"/>
        <v>161280</v>
      </c>
      <c r="AB1126" s="411"/>
      <c r="AC1126" s="412">
        <f t="shared" si="142"/>
        <v>0</v>
      </c>
      <c r="AD1126" s="421"/>
      <c r="AE1126" s="413"/>
      <c r="AF1126" s="424">
        <f t="shared" si="143"/>
        <v>161280</v>
      </c>
      <c r="AG1126" s="405" t="s">
        <v>1069</v>
      </c>
      <c r="AH1126" s="405"/>
      <c r="AI1126" s="414" t="s">
        <v>1962</v>
      </c>
      <c r="AJ1126" s="405" t="s">
        <v>1969</v>
      </c>
      <c r="AK1126" s="425" t="s">
        <v>1125</v>
      </c>
      <c r="AL1126" s="405">
        <v>85008</v>
      </c>
      <c r="AM1126" s="405" t="s">
        <v>52</v>
      </c>
      <c r="AN1126" s="405"/>
      <c r="AO1126" s="405"/>
      <c r="AP1126" s="417"/>
      <c r="AQ1126" s="417" t="s">
        <v>37</v>
      </c>
      <c r="AR1126" s="417"/>
      <c r="AS1126" s="426"/>
      <c r="AT1126" s="426"/>
      <c r="AU1126" s="426"/>
      <c r="AV1126" s="409"/>
    </row>
    <row r="1127" spans="1:48" s="402" customFormat="1" ht="15" customHeight="1">
      <c r="A1127" s="403"/>
      <c r="B1127" s="445">
        <v>44557</v>
      </c>
      <c r="C1127" s="403"/>
      <c r="D1127" s="443" t="s">
        <v>1914</v>
      </c>
      <c r="E1127" s="432" t="s">
        <v>2155</v>
      </c>
      <c r="F1127" s="432"/>
      <c r="G1127" s="432">
        <v>2022</v>
      </c>
      <c r="H1127" s="432" t="s">
        <v>1498</v>
      </c>
      <c r="I1127" s="443" t="s">
        <v>1498</v>
      </c>
      <c r="J1127" s="433"/>
      <c r="K1127" s="434" t="s">
        <v>3484</v>
      </c>
      <c r="L1127" s="432" t="s">
        <v>2004</v>
      </c>
      <c r="M1127" s="435">
        <v>44545</v>
      </c>
      <c r="N1127" s="435">
        <v>44903</v>
      </c>
      <c r="O1127" s="435"/>
      <c r="P1127" s="433"/>
      <c r="Q1127" s="433"/>
      <c r="R1127" s="433"/>
      <c r="S1127" s="432" t="s">
        <v>1443</v>
      </c>
      <c r="T1127" s="432">
        <v>60</v>
      </c>
      <c r="U1127" s="432">
        <v>49401140</v>
      </c>
      <c r="V1127" s="432" t="s">
        <v>973</v>
      </c>
      <c r="W1127" s="432">
        <v>400</v>
      </c>
      <c r="X1127" s="436">
        <v>768</v>
      </c>
      <c r="Y1127" s="408">
        <f t="shared" si="140"/>
        <v>307200</v>
      </c>
      <c r="Z1127" s="409">
        <f>210/400</f>
        <v>0.52500000000000002</v>
      </c>
      <c r="AA1127" s="423">
        <f t="shared" si="141"/>
        <v>161280</v>
      </c>
      <c r="AB1127" s="411"/>
      <c r="AC1127" s="412">
        <f t="shared" si="142"/>
        <v>0</v>
      </c>
      <c r="AD1127" s="421"/>
      <c r="AE1127" s="413"/>
      <c r="AF1127" s="424">
        <f t="shared" si="143"/>
        <v>161280</v>
      </c>
      <c r="AG1127" s="405" t="s">
        <v>1069</v>
      </c>
      <c r="AH1127" s="405"/>
      <c r="AI1127" s="414" t="s">
        <v>1962</v>
      </c>
      <c r="AJ1127" s="405" t="s">
        <v>1969</v>
      </c>
      <c r="AK1127" s="425" t="s">
        <v>1125</v>
      </c>
      <c r="AL1127" s="405">
        <v>85008</v>
      </c>
      <c r="AM1127" s="405" t="s">
        <v>52</v>
      </c>
      <c r="AN1127" s="405"/>
      <c r="AO1127" s="405"/>
      <c r="AP1127" s="417"/>
      <c r="AQ1127" s="417" t="s">
        <v>37</v>
      </c>
      <c r="AR1127" s="417"/>
      <c r="AS1127" s="426"/>
      <c r="AT1127" s="426"/>
      <c r="AU1127" s="426"/>
      <c r="AV1127" s="409"/>
    </row>
    <row r="1128" spans="1:48" s="402" customFormat="1" ht="15" customHeight="1">
      <c r="A1128" s="403"/>
      <c r="B1128" s="445">
        <v>44557</v>
      </c>
      <c r="C1128" s="403"/>
      <c r="D1128" s="443" t="s">
        <v>1914</v>
      </c>
      <c r="E1128" s="432" t="s">
        <v>2155</v>
      </c>
      <c r="F1128" s="432"/>
      <c r="G1128" s="432">
        <v>2022</v>
      </c>
      <c r="H1128" s="432" t="s">
        <v>1498</v>
      </c>
      <c r="I1128" s="443" t="s">
        <v>1498</v>
      </c>
      <c r="J1128" s="433"/>
      <c r="K1128" s="434" t="s">
        <v>3485</v>
      </c>
      <c r="L1128" s="432" t="s">
        <v>2004</v>
      </c>
      <c r="M1128" s="435">
        <v>44545</v>
      </c>
      <c r="N1128" s="435">
        <v>44908</v>
      </c>
      <c r="O1128" s="435"/>
      <c r="P1128" s="433"/>
      <c r="Q1128" s="433"/>
      <c r="R1128" s="433"/>
      <c r="S1128" s="432" t="s">
        <v>1443</v>
      </c>
      <c r="T1128" s="432">
        <v>60</v>
      </c>
      <c r="U1128" s="432">
        <v>49201132</v>
      </c>
      <c r="V1128" s="432" t="s">
        <v>986</v>
      </c>
      <c r="W1128" s="432">
        <v>360</v>
      </c>
      <c r="X1128" s="436">
        <v>832</v>
      </c>
      <c r="Y1128" s="408">
        <f t="shared" si="140"/>
        <v>299520</v>
      </c>
      <c r="Z1128" s="409">
        <f>181.8/360</f>
        <v>0.505</v>
      </c>
      <c r="AA1128" s="423">
        <f t="shared" si="141"/>
        <v>151257.60000000001</v>
      </c>
      <c r="AB1128" s="411"/>
      <c r="AC1128" s="412">
        <f t="shared" si="142"/>
        <v>0</v>
      </c>
      <c r="AD1128" s="421"/>
      <c r="AE1128" s="413"/>
      <c r="AF1128" s="424">
        <f t="shared" si="143"/>
        <v>151257.60000000001</v>
      </c>
      <c r="AG1128" s="405" t="s">
        <v>1069</v>
      </c>
      <c r="AH1128" s="405"/>
      <c r="AI1128" s="414" t="s">
        <v>1962</v>
      </c>
      <c r="AJ1128" s="405" t="s">
        <v>1969</v>
      </c>
      <c r="AK1128" s="425" t="s">
        <v>1125</v>
      </c>
      <c r="AL1128" s="405">
        <v>85008</v>
      </c>
      <c r="AM1128" s="405" t="s">
        <v>52</v>
      </c>
      <c r="AN1128" s="405"/>
      <c r="AO1128" s="405"/>
      <c r="AP1128" s="417"/>
      <c r="AQ1128" s="417" t="s">
        <v>37</v>
      </c>
      <c r="AR1128" s="417"/>
      <c r="AS1128" s="426"/>
      <c r="AT1128" s="426"/>
      <c r="AU1128" s="426"/>
      <c r="AV1128" s="409"/>
    </row>
    <row r="1129" spans="1:48" s="402" customFormat="1" ht="15" customHeight="1">
      <c r="A1129" s="403"/>
      <c r="B1129" s="445">
        <v>44557</v>
      </c>
      <c r="C1129" s="403"/>
      <c r="D1129" s="443" t="s">
        <v>1914</v>
      </c>
      <c r="E1129" s="432" t="s">
        <v>2155</v>
      </c>
      <c r="F1129" s="432"/>
      <c r="G1129" s="432">
        <v>2022</v>
      </c>
      <c r="H1129" s="432" t="s">
        <v>1498</v>
      </c>
      <c r="I1129" s="443" t="s">
        <v>1498</v>
      </c>
      <c r="J1129" s="433"/>
      <c r="K1129" s="434" t="s">
        <v>3486</v>
      </c>
      <c r="L1129" s="432" t="s">
        <v>2004</v>
      </c>
      <c r="M1129" s="435">
        <v>44545</v>
      </c>
      <c r="N1129" s="435">
        <v>44909</v>
      </c>
      <c r="O1129" s="435"/>
      <c r="P1129" s="433"/>
      <c r="Q1129" s="433"/>
      <c r="R1129" s="433"/>
      <c r="S1129" s="432" t="s">
        <v>1443</v>
      </c>
      <c r="T1129" s="432">
        <v>60</v>
      </c>
      <c r="U1129" s="432">
        <v>49401140</v>
      </c>
      <c r="V1129" s="432" t="s">
        <v>973</v>
      </c>
      <c r="W1129" s="432">
        <v>400</v>
      </c>
      <c r="X1129" s="436">
        <v>768</v>
      </c>
      <c r="Y1129" s="408">
        <f t="shared" si="140"/>
        <v>307200</v>
      </c>
      <c r="Z1129" s="409">
        <f>210/400</f>
        <v>0.52500000000000002</v>
      </c>
      <c r="AA1129" s="423">
        <f t="shared" si="141"/>
        <v>161280</v>
      </c>
      <c r="AB1129" s="411"/>
      <c r="AC1129" s="412">
        <f t="shared" si="142"/>
        <v>0</v>
      </c>
      <c r="AD1129" s="421"/>
      <c r="AE1129" s="413"/>
      <c r="AF1129" s="424">
        <f t="shared" si="143"/>
        <v>161280</v>
      </c>
      <c r="AG1129" s="405" t="s">
        <v>1069</v>
      </c>
      <c r="AH1129" s="405"/>
      <c r="AI1129" s="414" t="s">
        <v>1962</v>
      </c>
      <c r="AJ1129" s="405" t="s">
        <v>1969</v>
      </c>
      <c r="AK1129" s="425" t="s">
        <v>1125</v>
      </c>
      <c r="AL1129" s="405">
        <v>85508</v>
      </c>
      <c r="AM1129" s="405" t="s">
        <v>52</v>
      </c>
      <c r="AN1129" s="405"/>
      <c r="AO1129" s="405"/>
      <c r="AP1129" s="417"/>
      <c r="AQ1129" s="417" t="s">
        <v>37</v>
      </c>
      <c r="AR1129" s="417"/>
      <c r="AS1129" s="426"/>
      <c r="AT1129" s="426"/>
      <c r="AU1129" s="426"/>
      <c r="AV1129" s="409"/>
    </row>
    <row r="1130" spans="1:48" s="402" customFormat="1" ht="15" customHeight="1">
      <c r="A1130" s="403"/>
      <c r="B1130" s="445">
        <v>44557</v>
      </c>
      <c r="C1130" s="403"/>
      <c r="D1130" s="443" t="s">
        <v>1914</v>
      </c>
      <c r="E1130" s="432" t="s">
        <v>2155</v>
      </c>
      <c r="F1130" s="432"/>
      <c r="G1130" s="432">
        <v>2022</v>
      </c>
      <c r="H1130" s="432" t="s">
        <v>1498</v>
      </c>
      <c r="I1130" s="443" t="s">
        <v>1498</v>
      </c>
      <c r="J1130" s="433"/>
      <c r="K1130" s="434" t="s">
        <v>3487</v>
      </c>
      <c r="L1130" s="432" t="s">
        <v>2004</v>
      </c>
      <c r="M1130" s="435">
        <v>44545</v>
      </c>
      <c r="N1130" s="435">
        <v>44918</v>
      </c>
      <c r="O1130" s="435"/>
      <c r="P1130" s="433"/>
      <c r="Q1130" s="433"/>
      <c r="R1130" s="433"/>
      <c r="S1130" s="432" t="s">
        <v>1443</v>
      </c>
      <c r="T1130" s="432">
        <v>60</v>
      </c>
      <c r="U1130" s="432">
        <v>49401140</v>
      </c>
      <c r="V1130" s="432" t="s">
        <v>973</v>
      </c>
      <c r="W1130" s="432">
        <v>400</v>
      </c>
      <c r="X1130" s="436">
        <v>768</v>
      </c>
      <c r="Y1130" s="408">
        <f t="shared" si="140"/>
        <v>307200</v>
      </c>
      <c r="Z1130" s="409">
        <f>210/400</f>
        <v>0.52500000000000002</v>
      </c>
      <c r="AA1130" s="423">
        <f t="shared" si="141"/>
        <v>161280</v>
      </c>
      <c r="AB1130" s="411"/>
      <c r="AC1130" s="412">
        <f t="shared" si="142"/>
        <v>0</v>
      </c>
      <c r="AD1130" s="421"/>
      <c r="AE1130" s="413"/>
      <c r="AF1130" s="424">
        <f t="shared" si="143"/>
        <v>161280</v>
      </c>
      <c r="AG1130" s="405" t="s">
        <v>1069</v>
      </c>
      <c r="AH1130" s="405"/>
      <c r="AI1130" s="414" t="s">
        <v>1962</v>
      </c>
      <c r="AJ1130" s="405" t="s">
        <v>1969</v>
      </c>
      <c r="AK1130" s="425" t="s">
        <v>1125</v>
      </c>
      <c r="AL1130" s="405">
        <v>85508</v>
      </c>
      <c r="AM1130" s="405" t="s">
        <v>52</v>
      </c>
      <c r="AN1130" s="405"/>
      <c r="AO1130" s="405"/>
      <c r="AP1130" s="417"/>
      <c r="AQ1130" s="417" t="s">
        <v>37</v>
      </c>
      <c r="AR1130" s="417"/>
      <c r="AS1130" s="426"/>
      <c r="AT1130" s="426"/>
      <c r="AU1130" s="426"/>
      <c r="AV1130" s="409"/>
    </row>
    <row r="1131" spans="1:48" s="402" customFormat="1" ht="15" customHeight="1">
      <c r="A1131" s="403"/>
      <c r="B1131" s="445">
        <v>44557</v>
      </c>
      <c r="C1131" s="403"/>
      <c r="D1131" s="443" t="s">
        <v>1914</v>
      </c>
      <c r="E1131" s="432" t="s">
        <v>2155</v>
      </c>
      <c r="F1131" s="432"/>
      <c r="G1131" s="432">
        <v>2022</v>
      </c>
      <c r="H1131" s="432" t="s">
        <v>1498</v>
      </c>
      <c r="I1131" s="443" t="s">
        <v>1498</v>
      </c>
      <c r="J1131" s="433"/>
      <c r="K1131" s="434" t="s">
        <v>3488</v>
      </c>
      <c r="L1131" s="432" t="s">
        <v>2004</v>
      </c>
      <c r="M1131" s="435">
        <v>44544</v>
      </c>
      <c r="N1131" s="435">
        <v>44656</v>
      </c>
      <c r="O1131" s="435"/>
      <c r="P1131" s="433"/>
      <c r="Q1131" s="433"/>
      <c r="R1131" s="433"/>
      <c r="S1131" s="432" t="s">
        <v>1443</v>
      </c>
      <c r="T1131" s="432">
        <v>60</v>
      </c>
      <c r="U1131" s="432">
        <v>49401140</v>
      </c>
      <c r="V1131" s="432" t="s">
        <v>973</v>
      </c>
      <c r="W1131" s="432">
        <v>400</v>
      </c>
      <c r="X1131" s="436">
        <v>768</v>
      </c>
      <c r="Y1131" s="408">
        <f t="shared" si="140"/>
        <v>307200</v>
      </c>
      <c r="Z1131" s="409">
        <f>210/400</f>
        <v>0.52500000000000002</v>
      </c>
      <c r="AA1131" s="423">
        <f t="shared" si="141"/>
        <v>161280</v>
      </c>
      <c r="AB1131" s="411"/>
      <c r="AC1131" s="412">
        <f t="shared" si="142"/>
        <v>0</v>
      </c>
      <c r="AD1131" s="421"/>
      <c r="AE1131" s="413"/>
      <c r="AF1131" s="424">
        <f t="shared" si="143"/>
        <v>161280</v>
      </c>
      <c r="AG1131" s="405" t="s">
        <v>1069</v>
      </c>
      <c r="AH1131" s="405"/>
      <c r="AI1131" s="414" t="s">
        <v>1962</v>
      </c>
      <c r="AJ1131" s="405" t="s">
        <v>1933</v>
      </c>
      <c r="AK1131" s="425" t="s">
        <v>1328</v>
      </c>
      <c r="AL1131" s="405">
        <v>89120</v>
      </c>
      <c r="AM1131" s="405" t="s">
        <v>52</v>
      </c>
      <c r="AN1131" s="405"/>
      <c r="AO1131" s="405"/>
      <c r="AP1131" s="417"/>
      <c r="AQ1131" s="417" t="s">
        <v>37</v>
      </c>
      <c r="AR1131" s="417"/>
      <c r="AS1131" s="426"/>
      <c r="AT1131" s="426"/>
      <c r="AU1131" s="426"/>
      <c r="AV1131" s="409"/>
    </row>
    <row r="1132" spans="1:48" s="402" customFormat="1" ht="15" customHeight="1">
      <c r="A1132" s="403"/>
      <c r="B1132" s="445">
        <v>44557</v>
      </c>
      <c r="C1132" s="403"/>
      <c r="D1132" s="443" t="s">
        <v>1914</v>
      </c>
      <c r="E1132" s="432" t="s">
        <v>2155</v>
      </c>
      <c r="F1132" s="432"/>
      <c r="G1132" s="432">
        <v>2022</v>
      </c>
      <c r="H1132" s="432" t="s">
        <v>1498</v>
      </c>
      <c r="I1132" s="443" t="s">
        <v>1498</v>
      </c>
      <c r="J1132" s="433"/>
      <c r="K1132" s="434" t="s">
        <v>3489</v>
      </c>
      <c r="L1132" s="432" t="s">
        <v>2004</v>
      </c>
      <c r="M1132" s="435">
        <v>44544</v>
      </c>
      <c r="N1132" s="435">
        <v>44747</v>
      </c>
      <c r="O1132" s="435"/>
      <c r="P1132" s="433"/>
      <c r="Q1132" s="433"/>
      <c r="R1132" s="433"/>
      <c r="S1132" s="432" t="s">
        <v>1443</v>
      </c>
      <c r="T1132" s="432">
        <v>60</v>
      </c>
      <c r="U1132" s="432">
        <v>49401140</v>
      </c>
      <c r="V1132" s="432" t="s">
        <v>973</v>
      </c>
      <c r="W1132" s="432">
        <v>400</v>
      </c>
      <c r="X1132" s="436">
        <v>768</v>
      </c>
      <c r="Y1132" s="408">
        <f t="shared" si="140"/>
        <v>307200</v>
      </c>
      <c r="Z1132" s="409">
        <f>210/400</f>
        <v>0.52500000000000002</v>
      </c>
      <c r="AA1132" s="423">
        <f t="shared" si="141"/>
        <v>161280</v>
      </c>
      <c r="AB1132" s="411"/>
      <c r="AC1132" s="412">
        <f t="shared" si="142"/>
        <v>0</v>
      </c>
      <c r="AD1132" s="421"/>
      <c r="AE1132" s="413"/>
      <c r="AF1132" s="424">
        <f t="shared" si="143"/>
        <v>161280</v>
      </c>
      <c r="AG1132" s="405" t="s">
        <v>1069</v>
      </c>
      <c r="AH1132" s="405"/>
      <c r="AI1132" s="414" t="s">
        <v>1962</v>
      </c>
      <c r="AJ1132" s="405" t="s">
        <v>1933</v>
      </c>
      <c r="AK1132" s="425" t="s">
        <v>1328</v>
      </c>
      <c r="AL1132" s="405">
        <v>89120</v>
      </c>
      <c r="AM1132" s="405" t="s">
        <v>52</v>
      </c>
      <c r="AN1132" s="405"/>
      <c r="AO1132" s="405"/>
      <c r="AP1132" s="417"/>
      <c r="AQ1132" s="417" t="s">
        <v>37</v>
      </c>
      <c r="AR1132" s="417"/>
      <c r="AS1132" s="426"/>
      <c r="AT1132" s="426"/>
      <c r="AU1132" s="426"/>
      <c r="AV1132" s="409"/>
    </row>
    <row r="1133" spans="1:48" s="402" customFormat="1" ht="15" customHeight="1">
      <c r="A1133" s="403"/>
      <c r="B1133" s="445">
        <v>44557</v>
      </c>
      <c r="C1133" s="403"/>
      <c r="D1133" s="443" t="s">
        <v>1914</v>
      </c>
      <c r="E1133" s="432" t="s">
        <v>2155</v>
      </c>
      <c r="F1133" s="432"/>
      <c r="G1133" s="432">
        <v>2022</v>
      </c>
      <c r="H1133" s="432" t="s">
        <v>1498</v>
      </c>
      <c r="I1133" s="443" t="s">
        <v>1498</v>
      </c>
      <c r="J1133" s="433"/>
      <c r="K1133" s="434" t="s">
        <v>3490</v>
      </c>
      <c r="L1133" s="432" t="s">
        <v>2004</v>
      </c>
      <c r="M1133" s="435">
        <v>44545</v>
      </c>
      <c r="N1133" s="435">
        <v>44872</v>
      </c>
      <c r="O1133" s="435"/>
      <c r="P1133" s="433"/>
      <c r="Q1133" s="433"/>
      <c r="R1133" s="433"/>
      <c r="S1133" s="432" t="s">
        <v>1443</v>
      </c>
      <c r="T1133" s="432">
        <v>60</v>
      </c>
      <c r="U1133" s="432">
        <v>49401140</v>
      </c>
      <c r="V1133" s="432" t="s">
        <v>973</v>
      </c>
      <c r="W1133" s="432">
        <v>400</v>
      </c>
      <c r="X1133" s="436">
        <v>768</v>
      </c>
      <c r="Y1133" s="408">
        <f t="shared" si="140"/>
        <v>307200</v>
      </c>
      <c r="Z1133" s="409">
        <f>210/400</f>
        <v>0.52500000000000002</v>
      </c>
      <c r="AA1133" s="423">
        <f t="shared" si="141"/>
        <v>161280</v>
      </c>
      <c r="AB1133" s="411"/>
      <c r="AC1133" s="412">
        <f t="shared" si="142"/>
        <v>0</v>
      </c>
      <c r="AD1133" s="421"/>
      <c r="AE1133" s="413"/>
      <c r="AF1133" s="424">
        <f t="shared" si="143"/>
        <v>161280</v>
      </c>
      <c r="AG1133" s="405" t="s">
        <v>1069</v>
      </c>
      <c r="AH1133" s="405"/>
      <c r="AI1133" s="414" t="s">
        <v>1962</v>
      </c>
      <c r="AJ1133" s="405" t="s">
        <v>1933</v>
      </c>
      <c r="AK1133" s="425" t="s">
        <v>1328</v>
      </c>
      <c r="AL1133" s="405">
        <v>89120</v>
      </c>
      <c r="AM1133" s="405" t="s">
        <v>52</v>
      </c>
      <c r="AN1133" s="405"/>
      <c r="AO1133" s="405"/>
      <c r="AP1133" s="417"/>
      <c r="AQ1133" s="417" t="s">
        <v>37</v>
      </c>
      <c r="AR1133" s="417"/>
      <c r="AS1133" s="426"/>
      <c r="AT1133" s="426"/>
      <c r="AU1133" s="426"/>
      <c r="AV1133" s="409"/>
    </row>
    <row r="1134" spans="1:48" s="402" customFormat="1" ht="15" customHeight="1">
      <c r="A1134" s="403"/>
      <c r="B1134" s="445">
        <v>44557</v>
      </c>
      <c r="C1134" s="403"/>
      <c r="D1134" s="443" t="s">
        <v>1914</v>
      </c>
      <c r="E1134" s="432" t="s">
        <v>2218</v>
      </c>
      <c r="F1134" s="432"/>
      <c r="G1134" s="432">
        <v>2022</v>
      </c>
      <c r="H1134" s="432" t="s">
        <v>1498</v>
      </c>
      <c r="I1134" s="443" t="s">
        <v>1498</v>
      </c>
      <c r="J1134" s="433"/>
      <c r="K1134" s="434" t="s">
        <v>3491</v>
      </c>
      <c r="L1134" s="432" t="s">
        <v>1967</v>
      </c>
      <c r="M1134" s="435">
        <v>44545</v>
      </c>
      <c r="N1134" s="435">
        <v>44854</v>
      </c>
      <c r="O1134" s="435"/>
      <c r="P1134" s="349"/>
      <c r="Q1134" s="433"/>
      <c r="R1134" s="433"/>
      <c r="S1134" s="432" t="s">
        <v>1443</v>
      </c>
      <c r="T1134" s="432">
        <v>60</v>
      </c>
      <c r="U1134" s="350">
        <v>49401140</v>
      </c>
      <c r="V1134" s="432" t="s">
        <v>2284</v>
      </c>
      <c r="W1134" s="432">
        <v>400</v>
      </c>
      <c r="X1134" s="436">
        <v>768</v>
      </c>
      <c r="Y1134" s="408">
        <f t="shared" si="140"/>
        <v>307200</v>
      </c>
      <c r="Z1134" s="409">
        <v>0.52500000000000002</v>
      </c>
      <c r="AA1134" s="423">
        <f t="shared" si="141"/>
        <v>161280</v>
      </c>
      <c r="AB1134" s="411"/>
      <c r="AC1134" s="412">
        <f t="shared" si="142"/>
        <v>0</v>
      </c>
      <c r="AD1134" s="421"/>
      <c r="AE1134" s="413"/>
      <c r="AF1134" s="424">
        <f t="shared" si="143"/>
        <v>161280</v>
      </c>
      <c r="AG1134" s="405" t="s">
        <v>1069</v>
      </c>
      <c r="AH1134" s="405"/>
      <c r="AI1134" s="414">
        <v>60</v>
      </c>
      <c r="AJ1134" s="405" t="s">
        <v>2053</v>
      </c>
      <c r="AK1134" s="425" t="s">
        <v>1136</v>
      </c>
      <c r="AL1134" s="405">
        <v>78216</v>
      </c>
      <c r="AM1134" s="405" t="s">
        <v>52</v>
      </c>
      <c r="AN1134" s="405" t="s">
        <v>1071</v>
      </c>
      <c r="AO1134" s="405"/>
      <c r="AP1134" s="417"/>
      <c r="AQ1134" s="417" t="s">
        <v>37</v>
      </c>
      <c r="AR1134" s="417"/>
      <c r="AS1134" s="426"/>
      <c r="AT1134" s="426"/>
      <c r="AU1134" s="357"/>
      <c r="AV1134" s="409"/>
    </row>
    <row r="1135" spans="1:48" s="402" customFormat="1" ht="15" customHeight="1">
      <c r="A1135" s="403"/>
      <c r="B1135" s="445">
        <v>44557</v>
      </c>
      <c r="C1135" s="403"/>
      <c r="D1135" s="443" t="s">
        <v>1914</v>
      </c>
      <c r="E1135" s="432" t="s">
        <v>2218</v>
      </c>
      <c r="F1135" s="432"/>
      <c r="G1135" s="432">
        <v>2022</v>
      </c>
      <c r="H1135" s="432" t="s">
        <v>1498</v>
      </c>
      <c r="I1135" s="443" t="s">
        <v>1498</v>
      </c>
      <c r="J1135" s="433"/>
      <c r="K1135" s="434" t="s">
        <v>3492</v>
      </c>
      <c r="L1135" s="432" t="s">
        <v>1967</v>
      </c>
      <c r="M1135" s="435">
        <v>44545</v>
      </c>
      <c r="N1135" s="435">
        <v>44856</v>
      </c>
      <c r="O1135" s="435"/>
      <c r="P1135" s="349"/>
      <c r="Q1135" s="433"/>
      <c r="R1135" s="433"/>
      <c r="S1135" s="432" t="s">
        <v>1443</v>
      </c>
      <c r="T1135" s="432">
        <v>60</v>
      </c>
      <c r="U1135" s="350">
        <v>49401140</v>
      </c>
      <c r="V1135" s="432" t="s">
        <v>2284</v>
      </c>
      <c r="W1135" s="432">
        <v>400</v>
      </c>
      <c r="X1135" s="436">
        <v>768</v>
      </c>
      <c r="Y1135" s="408">
        <f t="shared" si="140"/>
        <v>307200</v>
      </c>
      <c r="Z1135" s="409">
        <v>0.52500000000000002</v>
      </c>
      <c r="AA1135" s="423">
        <f t="shared" si="141"/>
        <v>161280</v>
      </c>
      <c r="AB1135" s="411"/>
      <c r="AC1135" s="412">
        <f t="shared" si="142"/>
        <v>0</v>
      </c>
      <c r="AD1135" s="421"/>
      <c r="AE1135" s="413"/>
      <c r="AF1135" s="424">
        <f t="shared" si="143"/>
        <v>161280</v>
      </c>
      <c r="AG1135" s="405" t="s">
        <v>1069</v>
      </c>
      <c r="AH1135" s="405"/>
      <c r="AI1135" s="414">
        <v>60</v>
      </c>
      <c r="AJ1135" s="405" t="s">
        <v>2053</v>
      </c>
      <c r="AK1135" s="425" t="s">
        <v>1136</v>
      </c>
      <c r="AL1135" s="405">
        <v>78216</v>
      </c>
      <c r="AM1135" s="405" t="s">
        <v>52</v>
      </c>
      <c r="AN1135" s="405" t="s">
        <v>1071</v>
      </c>
      <c r="AO1135" s="405"/>
      <c r="AP1135" s="417"/>
      <c r="AQ1135" s="417" t="s">
        <v>37</v>
      </c>
      <c r="AR1135" s="417"/>
      <c r="AS1135" s="426"/>
      <c r="AT1135" s="426"/>
      <c r="AU1135" s="357"/>
      <c r="AV1135" s="409"/>
    </row>
    <row r="1136" spans="1:48" s="402" customFormat="1" ht="15" customHeight="1">
      <c r="A1136" s="403"/>
      <c r="B1136" s="445">
        <v>44557</v>
      </c>
      <c r="C1136" s="403"/>
      <c r="D1136" s="443" t="s">
        <v>1914</v>
      </c>
      <c r="E1136" s="432" t="s">
        <v>2218</v>
      </c>
      <c r="F1136" s="432"/>
      <c r="G1136" s="432">
        <v>2022</v>
      </c>
      <c r="H1136" s="432" t="s">
        <v>1498</v>
      </c>
      <c r="I1136" s="443" t="s">
        <v>1498</v>
      </c>
      <c r="J1136" s="433"/>
      <c r="K1136" s="434" t="s">
        <v>3493</v>
      </c>
      <c r="L1136" s="432" t="s">
        <v>1967</v>
      </c>
      <c r="M1136" s="435">
        <v>44545</v>
      </c>
      <c r="N1136" s="435">
        <v>44866</v>
      </c>
      <c r="O1136" s="435"/>
      <c r="P1136" s="349"/>
      <c r="Q1136" s="433"/>
      <c r="R1136" s="433"/>
      <c r="S1136" s="432" t="s">
        <v>1443</v>
      </c>
      <c r="T1136" s="432">
        <v>60</v>
      </c>
      <c r="U1136" s="350">
        <v>49401140</v>
      </c>
      <c r="V1136" s="432" t="s">
        <v>2284</v>
      </c>
      <c r="W1136" s="432">
        <v>400</v>
      </c>
      <c r="X1136" s="436">
        <v>768</v>
      </c>
      <c r="Y1136" s="408">
        <f t="shared" si="140"/>
        <v>307200</v>
      </c>
      <c r="Z1136" s="409">
        <v>0.52500000000000002</v>
      </c>
      <c r="AA1136" s="423">
        <f t="shared" si="141"/>
        <v>161280</v>
      </c>
      <c r="AB1136" s="411"/>
      <c r="AC1136" s="412">
        <f t="shared" si="142"/>
        <v>0</v>
      </c>
      <c r="AD1136" s="421"/>
      <c r="AE1136" s="413"/>
      <c r="AF1136" s="424">
        <f t="shared" si="143"/>
        <v>161280</v>
      </c>
      <c r="AG1136" s="405" t="s">
        <v>1069</v>
      </c>
      <c r="AH1136" s="405"/>
      <c r="AI1136" s="414">
        <v>60</v>
      </c>
      <c r="AJ1136" s="405" t="s">
        <v>2053</v>
      </c>
      <c r="AK1136" s="425" t="s">
        <v>1136</v>
      </c>
      <c r="AL1136" s="405">
        <v>78216</v>
      </c>
      <c r="AM1136" s="405" t="s">
        <v>52</v>
      </c>
      <c r="AN1136" s="405" t="s">
        <v>1071</v>
      </c>
      <c r="AO1136" s="405"/>
      <c r="AP1136" s="417"/>
      <c r="AQ1136" s="417" t="s">
        <v>37</v>
      </c>
      <c r="AR1136" s="417"/>
      <c r="AS1136" s="426"/>
      <c r="AT1136" s="426"/>
      <c r="AU1136" s="357"/>
      <c r="AV1136" s="409"/>
    </row>
    <row r="1137" spans="1:48" s="402" customFormat="1" ht="15" customHeight="1">
      <c r="A1137" s="403"/>
      <c r="B1137" s="445">
        <v>44557</v>
      </c>
      <c r="C1137" s="403"/>
      <c r="D1137" s="443" t="s">
        <v>1914</v>
      </c>
      <c r="E1137" s="432" t="s">
        <v>2218</v>
      </c>
      <c r="F1137" s="432"/>
      <c r="G1137" s="432">
        <v>2022</v>
      </c>
      <c r="H1137" s="432" t="s">
        <v>1498</v>
      </c>
      <c r="I1137" s="443" t="s">
        <v>1498</v>
      </c>
      <c r="J1137" s="433"/>
      <c r="K1137" s="434" t="s">
        <v>4344</v>
      </c>
      <c r="L1137" s="432" t="s">
        <v>1967</v>
      </c>
      <c r="M1137" s="435">
        <v>44673</v>
      </c>
      <c r="N1137" s="435">
        <v>44673</v>
      </c>
      <c r="O1137" s="435"/>
      <c r="P1137" s="349"/>
      <c r="Q1137" s="433"/>
      <c r="R1137" s="433"/>
      <c r="S1137" s="432" t="s">
        <v>1443</v>
      </c>
      <c r="T1137" s="432">
        <v>60</v>
      </c>
      <c r="U1137" s="350">
        <v>49401140</v>
      </c>
      <c r="V1137" s="432" t="s">
        <v>2284</v>
      </c>
      <c r="W1137" s="432">
        <v>400</v>
      </c>
      <c r="X1137" s="436">
        <v>768</v>
      </c>
      <c r="Y1137" s="408">
        <f t="shared" si="140"/>
        <v>307200</v>
      </c>
      <c r="Z1137" s="409">
        <f>197.86/400</f>
        <v>0.49465000000000003</v>
      </c>
      <c r="AA1137" s="423">
        <f t="shared" si="141"/>
        <v>151956.48000000001</v>
      </c>
      <c r="AB1137" s="411"/>
      <c r="AC1137" s="412">
        <f t="shared" si="142"/>
        <v>0</v>
      </c>
      <c r="AD1137" s="421"/>
      <c r="AE1137" s="413"/>
      <c r="AF1137" s="424">
        <f t="shared" si="143"/>
        <v>151956.48000000001</v>
      </c>
      <c r="AG1137" s="405" t="s">
        <v>1069</v>
      </c>
      <c r="AH1137" s="405"/>
      <c r="AI1137" s="414">
        <v>60</v>
      </c>
      <c r="AJ1137" s="405" t="s">
        <v>4345</v>
      </c>
      <c r="AK1137" s="425" t="s">
        <v>1125</v>
      </c>
      <c r="AL1137" s="405">
        <v>852262</v>
      </c>
      <c r="AM1137" s="405" t="s">
        <v>52</v>
      </c>
      <c r="AN1137" s="405" t="s">
        <v>1071</v>
      </c>
      <c r="AO1137" s="405"/>
      <c r="AP1137" s="417"/>
      <c r="AQ1137" s="417" t="s">
        <v>37</v>
      </c>
      <c r="AR1137" s="417"/>
      <c r="AS1137" s="426"/>
      <c r="AT1137" s="426"/>
      <c r="AU1137" s="357"/>
      <c r="AV1137" s="409"/>
    </row>
    <row r="1138" spans="1:48" s="402" customFormat="1">
      <c r="A1138" s="445"/>
      <c r="B1138" s="445"/>
      <c r="C1138" s="445"/>
      <c r="D1138" s="443" t="s">
        <v>1914</v>
      </c>
      <c r="E1138" s="432"/>
      <c r="F1138" s="432"/>
      <c r="G1138" s="432"/>
      <c r="H1138" s="360"/>
      <c r="I1138" s="443" t="s">
        <v>1498</v>
      </c>
      <c r="J1138" s="433"/>
      <c r="K1138" s="434" t="s">
        <v>3494</v>
      </c>
      <c r="L1138" s="432" t="s">
        <v>1915</v>
      </c>
      <c r="M1138" s="435">
        <v>44657</v>
      </c>
      <c r="N1138" s="435">
        <v>44764</v>
      </c>
      <c r="O1138" s="435"/>
      <c r="P1138" s="433"/>
      <c r="Q1138" s="433"/>
      <c r="R1138" s="433"/>
      <c r="S1138" s="432" t="s">
        <v>1443</v>
      </c>
      <c r="T1138" s="432">
        <v>60</v>
      </c>
      <c r="U1138" s="432" t="s">
        <v>1102</v>
      </c>
      <c r="V1138" s="432" t="s">
        <v>2284</v>
      </c>
      <c r="W1138" s="432">
        <v>400</v>
      </c>
      <c r="X1138" s="436">
        <v>4160</v>
      </c>
      <c r="Y1138" s="408">
        <f t="shared" si="140"/>
        <v>1664000</v>
      </c>
      <c r="Z1138" s="409">
        <v>0.56000000000000005</v>
      </c>
      <c r="AA1138" s="410">
        <f t="shared" si="141"/>
        <v>931840.00000000012</v>
      </c>
      <c r="AB1138" s="410"/>
      <c r="AC1138" s="412">
        <v>0</v>
      </c>
      <c r="AD1138" s="421"/>
      <c r="AE1138" s="413"/>
      <c r="AF1138" s="424">
        <f t="shared" si="143"/>
        <v>931840.00000000012</v>
      </c>
      <c r="AG1138" s="432" t="s">
        <v>47</v>
      </c>
      <c r="AH1138" s="432"/>
      <c r="AI1138" s="434" t="s">
        <v>1916</v>
      </c>
      <c r="AJ1138" s="432" t="s">
        <v>3495</v>
      </c>
      <c r="AK1138" s="440" t="s">
        <v>1292</v>
      </c>
      <c r="AL1138" s="432">
        <v>17026</v>
      </c>
      <c r="AM1138" s="432" t="s">
        <v>52</v>
      </c>
      <c r="AN1138" s="432" t="s">
        <v>50</v>
      </c>
      <c r="AO1138" s="405"/>
      <c r="AP1138" s="417" t="s">
        <v>92</v>
      </c>
      <c r="AQ1138" s="417" t="s">
        <v>37</v>
      </c>
      <c r="AR1138" s="417"/>
      <c r="AS1138" s="426" t="s">
        <v>1072</v>
      </c>
      <c r="AT1138" s="426" t="s">
        <v>1072</v>
      </c>
      <c r="AU1138" s="426" t="s">
        <v>1072</v>
      </c>
      <c r="AV1138" s="409"/>
    </row>
    <row r="1139" spans="1:48" s="402" customFormat="1">
      <c r="A1139" s="445"/>
      <c r="B1139" s="445"/>
      <c r="C1139" s="445"/>
      <c r="D1139" s="443" t="s">
        <v>1914</v>
      </c>
      <c r="E1139" s="432"/>
      <c r="F1139" s="432"/>
      <c r="G1139" s="432"/>
      <c r="H1139" s="360"/>
      <c r="I1139" s="443" t="s">
        <v>1498</v>
      </c>
      <c r="J1139" s="433"/>
      <c r="K1139" s="434" t="s">
        <v>3496</v>
      </c>
      <c r="L1139" s="432" t="s">
        <v>1915</v>
      </c>
      <c r="M1139" s="435">
        <v>44657</v>
      </c>
      <c r="N1139" s="435">
        <v>44795</v>
      </c>
      <c r="O1139" s="435"/>
      <c r="P1139" s="433"/>
      <c r="Q1139" s="433"/>
      <c r="R1139" s="433"/>
      <c r="S1139" s="432" t="s">
        <v>1443</v>
      </c>
      <c r="T1139" s="432">
        <v>60</v>
      </c>
      <c r="U1139" s="432" t="s">
        <v>1102</v>
      </c>
      <c r="V1139" s="432" t="s">
        <v>2284</v>
      </c>
      <c r="W1139" s="432">
        <v>400</v>
      </c>
      <c r="X1139" s="436">
        <v>4160</v>
      </c>
      <c r="Y1139" s="408">
        <f t="shared" si="140"/>
        <v>1664000</v>
      </c>
      <c r="Z1139" s="409">
        <v>0.56000000000000005</v>
      </c>
      <c r="AA1139" s="410">
        <f t="shared" si="141"/>
        <v>931840.00000000012</v>
      </c>
      <c r="AB1139" s="410"/>
      <c r="AC1139" s="412">
        <v>0</v>
      </c>
      <c r="AD1139" s="421"/>
      <c r="AE1139" s="413"/>
      <c r="AF1139" s="424">
        <f t="shared" si="143"/>
        <v>931840.00000000012</v>
      </c>
      <c r="AG1139" s="432" t="s">
        <v>47</v>
      </c>
      <c r="AH1139" s="432"/>
      <c r="AI1139" s="434" t="s">
        <v>1916</v>
      </c>
      <c r="AJ1139" s="432" t="s">
        <v>3495</v>
      </c>
      <c r="AK1139" s="440" t="s">
        <v>1292</v>
      </c>
      <c r="AL1139" s="432">
        <v>17026</v>
      </c>
      <c r="AM1139" s="432" t="s">
        <v>52</v>
      </c>
      <c r="AN1139" s="432" t="s">
        <v>50</v>
      </c>
      <c r="AO1139" s="405"/>
      <c r="AP1139" s="417" t="s">
        <v>92</v>
      </c>
      <c r="AQ1139" s="417" t="s">
        <v>37</v>
      </c>
      <c r="AR1139" s="417"/>
      <c r="AS1139" s="426" t="s">
        <v>1072</v>
      </c>
      <c r="AT1139" s="426" t="s">
        <v>1072</v>
      </c>
      <c r="AU1139" s="426" t="s">
        <v>1072</v>
      </c>
      <c r="AV1139" s="409"/>
    </row>
    <row r="1140" spans="1:48" s="402" customFormat="1">
      <c r="A1140" s="445"/>
      <c r="B1140" s="445"/>
      <c r="C1140" s="445"/>
      <c r="D1140" s="443" t="s">
        <v>1914</v>
      </c>
      <c r="E1140" s="432"/>
      <c r="F1140" s="432"/>
      <c r="G1140" s="432"/>
      <c r="H1140" s="360"/>
      <c r="I1140" s="443" t="s">
        <v>1498</v>
      </c>
      <c r="J1140" s="433"/>
      <c r="K1140" s="434" t="s">
        <v>3497</v>
      </c>
      <c r="L1140" s="432" t="s">
        <v>1915</v>
      </c>
      <c r="M1140" s="435">
        <v>44657</v>
      </c>
      <c r="N1140" s="435">
        <v>44826</v>
      </c>
      <c r="O1140" s="435"/>
      <c r="P1140" s="433"/>
      <c r="Q1140" s="433"/>
      <c r="R1140" s="433"/>
      <c r="S1140" s="432" t="s">
        <v>1443</v>
      </c>
      <c r="T1140" s="432">
        <v>60</v>
      </c>
      <c r="U1140" s="432" t="s">
        <v>1102</v>
      </c>
      <c r="V1140" s="432" t="s">
        <v>2284</v>
      </c>
      <c r="W1140" s="432">
        <v>400</v>
      </c>
      <c r="X1140" s="436">
        <v>4160</v>
      </c>
      <c r="Y1140" s="408">
        <f t="shared" si="140"/>
        <v>1664000</v>
      </c>
      <c r="Z1140" s="409">
        <v>0.56000000000000005</v>
      </c>
      <c r="AA1140" s="410">
        <f t="shared" si="141"/>
        <v>931840.00000000012</v>
      </c>
      <c r="AB1140" s="410"/>
      <c r="AC1140" s="412">
        <v>0</v>
      </c>
      <c r="AD1140" s="421"/>
      <c r="AE1140" s="413"/>
      <c r="AF1140" s="424">
        <f t="shared" si="143"/>
        <v>931840.00000000012</v>
      </c>
      <c r="AG1140" s="432" t="s">
        <v>47</v>
      </c>
      <c r="AH1140" s="432"/>
      <c r="AI1140" s="434" t="s">
        <v>1916</v>
      </c>
      <c r="AJ1140" s="432" t="s">
        <v>3495</v>
      </c>
      <c r="AK1140" s="440" t="s">
        <v>1292</v>
      </c>
      <c r="AL1140" s="432">
        <v>17026</v>
      </c>
      <c r="AM1140" s="432" t="s">
        <v>52</v>
      </c>
      <c r="AN1140" s="432" t="s">
        <v>50</v>
      </c>
      <c r="AO1140" s="405"/>
      <c r="AP1140" s="417" t="s">
        <v>92</v>
      </c>
      <c r="AQ1140" s="417" t="s">
        <v>37</v>
      </c>
      <c r="AR1140" s="417"/>
      <c r="AS1140" s="426" t="s">
        <v>1072</v>
      </c>
      <c r="AT1140" s="426" t="s">
        <v>1072</v>
      </c>
      <c r="AU1140" s="426" t="s">
        <v>1072</v>
      </c>
      <c r="AV1140" s="409"/>
    </row>
    <row r="1141" spans="1:48" s="402" customFormat="1">
      <c r="A1141" s="445"/>
      <c r="B1141" s="445"/>
      <c r="C1141" s="445"/>
      <c r="D1141" s="443" t="s">
        <v>1914</v>
      </c>
      <c r="E1141" s="432"/>
      <c r="F1141" s="432"/>
      <c r="G1141" s="432"/>
      <c r="H1141" s="360"/>
      <c r="I1141" s="443" t="s">
        <v>1498</v>
      </c>
      <c r="J1141" s="433"/>
      <c r="K1141" s="434" t="s">
        <v>3498</v>
      </c>
      <c r="L1141" s="432" t="s">
        <v>1915</v>
      </c>
      <c r="M1141" s="435">
        <v>44657</v>
      </c>
      <c r="N1141" s="435">
        <v>44856</v>
      </c>
      <c r="O1141" s="435"/>
      <c r="P1141" s="433"/>
      <c r="Q1141" s="433"/>
      <c r="R1141" s="433"/>
      <c r="S1141" s="432" t="s">
        <v>1443</v>
      </c>
      <c r="T1141" s="432">
        <v>60</v>
      </c>
      <c r="U1141" s="432" t="s">
        <v>1102</v>
      </c>
      <c r="V1141" s="432" t="s">
        <v>2284</v>
      </c>
      <c r="W1141" s="432">
        <v>400</v>
      </c>
      <c r="X1141" s="436">
        <v>4160</v>
      </c>
      <c r="Y1141" s="408">
        <f t="shared" si="140"/>
        <v>1664000</v>
      </c>
      <c r="Z1141" s="409">
        <v>0.56000000000000005</v>
      </c>
      <c r="AA1141" s="410">
        <f t="shared" si="141"/>
        <v>931840.00000000012</v>
      </c>
      <c r="AB1141" s="410"/>
      <c r="AC1141" s="412">
        <v>0</v>
      </c>
      <c r="AD1141" s="421"/>
      <c r="AE1141" s="413"/>
      <c r="AF1141" s="424">
        <f t="shared" si="143"/>
        <v>931840.00000000012</v>
      </c>
      <c r="AG1141" s="432" t="s">
        <v>47</v>
      </c>
      <c r="AH1141" s="432"/>
      <c r="AI1141" s="434" t="s">
        <v>1916</v>
      </c>
      <c r="AJ1141" s="432" t="s">
        <v>3495</v>
      </c>
      <c r="AK1141" s="440" t="s">
        <v>1292</v>
      </c>
      <c r="AL1141" s="432">
        <v>17026</v>
      </c>
      <c r="AM1141" s="432" t="s">
        <v>52</v>
      </c>
      <c r="AN1141" s="432" t="s">
        <v>50</v>
      </c>
      <c r="AO1141" s="405"/>
      <c r="AP1141" s="417" t="s">
        <v>92</v>
      </c>
      <c r="AQ1141" s="417" t="s">
        <v>37</v>
      </c>
      <c r="AR1141" s="417"/>
      <c r="AS1141" s="426" t="s">
        <v>1072</v>
      </c>
      <c r="AT1141" s="426" t="s">
        <v>1072</v>
      </c>
      <c r="AU1141" s="426" t="s">
        <v>1072</v>
      </c>
      <c r="AV1141" s="409"/>
    </row>
    <row r="1142" spans="1:48" s="402" customFormat="1">
      <c r="A1142" s="445"/>
      <c r="B1142" s="445"/>
      <c r="C1142" s="445"/>
      <c r="D1142" s="443" t="s">
        <v>1914</v>
      </c>
      <c r="E1142" s="432"/>
      <c r="F1142" s="432"/>
      <c r="G1142" s="432"/>
      <c r="H1142" s="360"/>
      <c r="I1142" s="443" t="s">
        <v>1498</v>
      </c>
      <c r="J1142" s="433"/>
      <c r="K1142" s="434" t="s">
        <v>3499</v>
      </c>
      <c r="L1142" s="432" t="s">
        <v>1915</v>
      </c>
      <c r="M1142" s="435">
        <v>44657</v>
      </c>
      <c r="N1142" s="435">
        <v>44887</v>
      </c>
      <c r="O1142" s="435"/>
      <c r="P1142" s="433"/>
      <c r="Q1142" s="433"/>
      <c r="R1142" s="433"/>
      <c r="S1142" s="432" t="s">
        <v>1443</v>
      </c>
      <c r="T1142" s="432">
        <v>60</v>
      </c>
      <c r="U1142" s="432" t="s">
        <v>1102</v>
      </c>
      <c r="V1142" s="432" t="s">
        <v>2284</v>
      </c>
      <c r="W1142" s="432">
        <v>400</v>
      </c>
      <c r="X1142" s="436">
        <v>4992</v>
      </c>
      <c r="Y1142" s="408">
        <f t="shared" si="140"/>
        <v>1996800</v>
      </c>
      <c r="Z1142" s="409">
        <v>0.56000000000000005</v>
      </c>
      <c r="AA1142" s="410">
        <f t="shared" si="141"/>
        <v>1118208</v>
      </c>
      <c r="AB1142" s="410"/>
      <c r="AC1142" s="412">
        <v>0</v>
      </c>
      <c r="AD1142" s="421"/>
      <c r="AE1142" s="413"/>
      <c r="AF1142" s="424">
        <f t="shared" si="143"/>
        <v>1118208</v>
      </c>
      <c r="AG1142" s="432" t="s">
        <v>47</v>
      </c>
      <c r="AH1142" s="432"/>
      <c r="AI1142" s="434" t="s">
        <v>1916</v>
      </c>
      <c r="AJ1142" s="432" t="s">
        <v>3495</v>
      </c>
      <c r="AK1142" s="440" t="s">
        <v>1292</v>
      </c>
      <c r="AL1142" s="432">
        <v>17026</v>
      </c>
      <c r="AM1142" s="432" t="s">
        <v>52</v>
      </c>
      <c r="AN1142" s="432" t="s">
        <v>50</v>
      </c>
      <c r="AO1142" s="405"/>
      <c r="AP1142" s="417" t="s">
        <v>92</v>
      </c>
      <c r="AQ1142" s="417" t="s">
        <v>37</v>
      </c>
      <c r="AR1142" s="417"/>
      <c r="AS1142" s="426" t="s">
        <v>1072</v>
      </c>
      <c r="AT1142" s="426" t="s">
        <v>1072</v>
      </c>
      <c r="AU1142" s="426" t="s">
        <v>1072</v>
      </c>
      <c r="AV1142" s="409"/>
    </row>
    <row r="1143" spans="1:48" s="402" customFormat="1">
      <c r="A1143" s="445"/>
      <c r="B1143" s="445"/>
      <c r="C1143" s="445"/>
      <c r="D1143" s="443" t="s">
        <v>1914</v>
      </c>
      <c r="E1143" s="432"/>
      <c r="F1143" s="432"/>
      <c r="G1143" s="432"/>
      <c r="H1143" s="360"/>
      <c r="I1143" s="443" t="s">
        <v>1498</v>
      </c>
      <c r="J1143" s="433"/>
      <c r="K1143" s="434" t="s">
        <v>3500</v>
      </c>
      <c r="L1143" s="432" t="s">
        <v>1915</v>
      </c>
      <c r="M1143" s="435">
        <v>44657</v>
      </c>
      <c r="N1143" s="435">
        <v>44917</v>
      </c>
      <c r="O1143" s="435"/>
      <c r="P1143" s="433"/>
      <c r="Q1143" s="433"/>
      <c r="R1143" s="433"/>
      <c r="S1143" s="432" t="s">
        <v>1443</v>
      </c>
      <c r="T1143" s="432">
        <v>60</v>
      </c>
      <c r="U1143" s="432" t="s">
        <v>1102</v>
      </c>
      <c r="V1143" s="432" t="s">
        <v>2284</v>
      </c>
      <c r="W1143" s="432">
        <v>400</v>
      </c>
      <c r="X1143" s="436">
        <v>4992</v>
      </c>
      <c r="Y1143" s="408">
        <f t="shared" si="140"/>
        <v>1996800</v>
      </c>
      <c r="Z1143" s="409">
        <v>0.56000000000000005</v>
      </c>
      <c r="AA1143" s="410">
        <f t="shared" si="141"/>
        <v>1118208</v>
      </c>
      <c r="AB1143" s="410"/>
      <c r="AC1143" s="412">
        <v>0</v>
      </c>
      <c r="AD1143" s="421"/>
      <c r="AE1143" s="413"/>
      <c r="AF1143" s="424">
        <f t="shared" si="143"/>
        <v>1118208</v>
      </c>
      <c r="AG1143" s="432" t="s">
        <v>47</v>
      </c>
      <c r="AH1143" s="432"/>
      <c r="AI1143" s="434" t="s">
        <v>1916</v>
      </c>
      <c r="AJ1143" s="432" t="s">
        <v>3495</v>
      </c>
      <c r="AK1143" s="440" t="s">
        <v>1292</v>
      </c>
      <c r="AL1143" s="432">
        <v>17026</v>
      </c>
      <c r="AM1143" s="432" t="s">
        <v>52</v>
      </c>
      <c r="AN1143" s="432" t="s">
        <v>50</v>
      </c>
      <c r="AO1143" s="405"/>
      <c r="AP1143" s="417" t="s">
        <v>92</v>
      </c>
      <c r="AQ1143" s="417" t="s">
        <v>37</v>
      </c>
      <c r="AR1143" s="417"/>
      <c r="AS1143" s="426" t="s">
        <v>1072</v>
      </c>
      <c r="AT1143" s="426" t="s">
        <v>1072</v>
      </c>
      <c r="AU1143" s="426" t="s">
        <v>1072</v>
      </c>
      <c r="AV1143" s="409"/>
    </row>
    <row r="1144" spans="1:48" s="402" customFormat="1">
      <c r="A1144" s="445"/>
      <c r="B1144" s="445"/>
      <c r="C1144" s="445"/>
      <c r="D1144" s="443" t="s">
        <v>1914</v>
      </c>
      <c r="E1144" s="432"/>
      <c r="F1144" s="432"/>
      <c r="G1144" s="432"/>
      <c r="H1144" s="360"/>
      <c r="I1144" s="443" t="s">
        <v>1498</v>
      </c>
      <c r="J1144" s="433"/>
      <c r="K1144" s="434" t="s">
        <v>3501</v>
      </c>
      <c r="L1144" s="432" t="s">
        <v>1915</v>
      </c>
      <c r="M1144" s="435">
        <v>44657</v>
      </c>
      <c r="N1144" s="435">
        <v>44866</v>
      </c>
      <c r="O1144" s="435"/>
      <c r="P1144" s="433"/>
      <c r="Q1144" s="433"/>
      <c r="R1144" s="433"/>
      <c r="S1144" s="432" t="s">
        <v>1443</v>
      </c>
      <c r="T1144" s="432">
        <v>72</v>
      </c>
      <c r="U1144" s="432" t="s">
        <v>1102</v>
      </c>
      <c r="V1144" s="432" t="s">
        <v>1002</v>
      </c>
      <c r="W1144" s="432">
        <v>480</v>
      </c>
      <c r="X1144" s="436">
        <v>2496</v>
      </c>
      <c r="Y1144" s="408">
        <f t="shared" si="140"/>
        <v>1198080</v>
      </c>
      <c r="Z1144" s="409">
        <v>0.495</v>
      </c>
      <c r="AA1144" s="410">
        <f t="shared" si="141"/>
        <v>593049.59999999998</v>
      </c>
      <c r="AB1144" s="410"/>
      <c r="AC1144" s="412">
        <v>0</v>
      </c>
      <c r="AD1144" s="421"/>
      <c r="AE1144" s="413"/>
      <c r="AF1144" s="424">
        <f t="shared" si="143"/>
        <v>593049.59999999998</v>
      </c>
      <c r="AG1144" s="432" t="s">
        <v>47</v>
      </c>
      <c r="AH1144" s="432"/>
      <c r="AI1144" s="434" t="s">
        <v>1916</v>
      </c>
      <c r="AJ1144" s="432" t="s">
        <v>1917</v>
      </c>
      <c r="AK1144" s="440" t="s">
        <v>50</v>
      </c>
      <c r="AL1144" s="432">
        <v>91730</v>
      </c>
      <c r="AM1144" s="432" t="s">
        <v>52</v>
      </c>
      <c r="AN1144" s="432" t="s">
        <v>50</v>
      </c>
      <c r="AO1144" s="405"/>
      <c r="AP1144" s="417" t="s">
        <v>92</v>
      </c>
      <c r="AQ1144" s="417" t="s">
        <v>37</v>
      </c>
      <c r="AR1144" s="417"/>
      <c r="AS1144" s="426" t="s">
        <v>1072</v>
      </c>
      <c r="AT1144" s="426" t="s">
        <v>1072</v>
      </c>
      <c r="AU1144" s="426" t="s">
        <v>1072</v>
      </c>
      <c r="AV1144" s="409"/>
    </row>
    <row r="1145" spans="1:48" s="402" customFormat="1">
      <c r="A1145" s="445"/>
      <c r="B1145" s="445"/>
      <c r="C1145" s="445"/>
      <c r="D1145" s="443" t="s">
        <v>1914</v>
      </c>
      <c r="E1145" s="432"/>
      <c r="F1145" s="432"/>
      <c r="G1145" s="432"/>
      <c r="H1145" s="360"/>
      <c r="I1145" s="443" t="s">
        <v>1498</v>
      </c>
      <c r="J1145" s="433"/>
      <c r="K1145" s="434" t="s">
        <v>3502</v>
      </c>
      <c r="L1145" s="432" t="s">
        <v>1915</v>
      </c>
      <c r="M1145" s="435">
        <v>44657</v>
      </c>
      <c r="N1145" s="435">
        <v>44764</v>
      </c>
      <c r="O1145" s="435"/>
      <c r="P1145" s="433"/>
      <c r="Q1145" s="433"/>
      <c r="R1145" s="433"/>
      <c r="S1145" s="432" t="s">
        <v>1443</v>
      </c>
      <c r="T1145" s="432">
        <v>60</v>
      </c>
      <c r="U1145" s="432" t="s">
        <v>1102</v>
      </c>
      <c r="V1145" s="432" t="s">
        <v>2284</v>
      </c>
      <c r="W1145" s="432">
        <v>400</v>
      </c>
      <c r="X1145" s="436">
        <v>10816</v>
      </c>
      <c r="Y1145" s="408">
        <f t="shared" si="140"/>
        <v>4326400</v>
      </c>
      <c r="Z1145" s="409">
        <v>0.51</v>
      </c>
      <c r="AA1145" s="410">
        <f t="shared" si="141"/>
        <v>2206464</v>
      </c>
      <c r="AB1145" s="410"/>
      <c r="AC1145" s="412">
        <v>0</v>
      </c>
      <c r="AD1145" s="421"/>
      <c r="AE1145" s="413"/>
      <c r="AF1145" s="424">
        <f t="shared" si="143"/>
        <v>2206464</v>
      </c>
      <c r="AG1145" s="432" t="s">
        <v>47</v>
      </c>
      <c r="AH1145" s="432"/>
      <c r="AI1145" s="434" t="s">
        <v>1916</v>
      </c>
      <c r="AJ1145" s="432" t="s">
        <v>1917</v>
      </c>
      <c r="AK1145" s="440" t="s">
        <v>50</v>
      </c>
      <c r="AL1145" s="432">
        <v>91730</v>
      </c>
      <c r="AM1145" s="432" t="s">
        <v>52</v>
      </c>
      <c r="AN1145" s="432" t="s">
        <v>50</v>
      </c>
      <c r="AO1145" s="405"/>
      <c r="AP1145" s="417" t="s">
        <v>92</v>
      </c>
      <c r="AQ1145" s="417" t="s">
        <v>37</v>
      </c>
      <c r="AR1145" s="417"/>
      <c r="AS1145" s="426" t="s">
        <v>1072</v>
      </c>
      <c r="AT1145" s="426" t="s">
        <v>1072</v>
      </c>
      <c r="AU1145" s="426" t="s">
        <v>1072</v>
      </c>
      <c r="AV1145" s="409"/>
    </row>
    <row r="1146" spans="1:48" s="402" customFormat="1">
      <c r="A1146" s="445"/>
      <c r="B1146" s="445"/>
      <c r="C1146" s="445"/>
      <c r="D1146" s="443" t="s">
        <v>1914</v>
      </c>
      <c r="E1146" s="432"/>
      <c r="F1146" s="432"/>
      <c r="G1146" s="432"/>
      <c r="H1146" s="360"/>
      <c r="I1146" s="443" t="s">
        <v>1498</v>
      </c>
      <c r="J1146" s="433"/>
      <c r="K1146" s="434" t="s">
        <v>3503</v>
      </c>
      <c r="L1146" s="432" t="s">
        <v>1915</v>
      </c>
      <c r="M1146" s="435">
        <v>44657</v>
      </c>
      <c r="N1146" s="435">
        <v>44795</v>
      </c>
      <c r="O1146" s="435"/>
      <c r="P1146" s="433"/>
      <c r="Q1146" s="433"/>
      <c r="R1146" s="433"/>
      <c r="S1146" s="432" t="s">
        <v>1443</v>
      </c>
      <c r="T1146" s="432">
        <v>60</v>
      </c>
      <c r="U1146" s="432" t="s">
        <v>1102</v>
      </c>
      <c r="V1146" s="432" t="s">
        <v>2284</v>
      </c>
      <c r="W1146" s="432">
        <v>400</v>
      </c>
      <c r="X1146" s="436">
        <v>10816</v>
      </c>
      <c r="Y1146" s="408">
        <f t="shared" si="140"/>
        <v>4326400</v>
      </c>
      <c r="Z1146" s="409">
        <v>0.51</v>
      </c>
      <c r="AA1146" s="410">
        <f t="shared" si="141"/>
        <v>2206464</v>
      </c>
      <c r="AB1146" s="410"/>
      <c r="AC1146" s="412">
        <v>0</v>
      </c>
      <c r="AD1146" s="421"/>
      <c r="AE1146" s="413"/>
      <c r="AF1146" s="424">
        <f t="shared" si="143"/>
        <v>2206464</v>
      </c>
      <c r="AG1146" s="432" t="s">
        <v>47</v>
      </c>
      <c r="AH1146" s="432"/>
      <c r="AI1146" s="434" t="s">
        <v>1916</v>
      </c>
      <c r="AJ1146" s="432" t="s">
        <v>1917</v>
      </c>
      <c r="AK1146" s="440" t="s">
        <v>50</v>
      </c>
      <c r="AL1146" s="432">
        <v>91730</v>
      </c>
      <c r="AM1146" s="432" t="s">
        <v>52</v>
      </c>
      <c r="AN1146" s="432" t="s">
        <v>50</v>
      </c>
      <c r="AO1146" s="405"/>
      <c r="AP1146" s="417" t="s">
        <v>92</v>
      </c>
      <c r="AQ1146" s="417" t="s">
        <v>37</v>
      </c>
      <c r="AR1146" s="417"/>
      <c r="AS1146" s="426" t="s">
        <v>1072</v>
      </c>
      <c r="AT1146" s="426" t="s">
        <v>1072</v>
      </c>
      <c r="AU1146" s="426" t="s">
        <v>1072</v>
      </c>
      <c r="AV1146" s="409"/>
    </row>
    <row r="1147" spans="1:48" s="402" customFormat="1">
      <c r="A1147" s="445"/>
      <c r="B1147" s="445"/>
      <c r="C1147" s="445"/>
      <c r="D1147" s="443" t="s">
        <v>1914</v>
      </c>
      <c r="E1147" s="432"/>
      <c r="F1147" s="432"/>
      <c r="G1147" s="432"/>
      <c r="H1147" s="360"/>
      <c r="I1147" s="443" t="s">
        <v>1498</v>
      </c>
      <c r="J1147" s="433"/>
      <c r="K1147" s="434" t="s">
        <v>3504</v>
      </c>
      <c r="L1147" s="432" t="s">
        <v>1915</v>
      </c>
      <c r="M1147" s="435">
        <v>44657</v>
      </c>
      <c r="N1147" s="435">
        <v>44826</v>
      </c>
      <c r="O1147" s="435"/>
      <c r="P1147" s="433"/>
      <c r="Q1147" s="433"/>
      <c r="R1147" s="433"/>
      <c r="S1147" s="432" t="s">
        <v>1443</v>
      </c>
      <c r="T1147" s="432">
        <v>60</v>
      </c>
      <c r="U1147" s="432" t="s">
        <v>1102</v>
      </c>
      <c r="V1147" s="432" t="s">
        <v>2284</v>
      </c>
      <c r="W1147" s="432">
        <v>400</v>
      </c>
      <c r="X1147" s="436">
        <v>10816</v>
      </c>
      <c r="Y1147" s="408">
        <f t="shared" si="140"/>
        <v>4326400</v>
      </c>
      <c r="Z1147" s="409">
        <v>0.51</v>
      </c>
      <c r="AA1147" s="410">
        <f t="shared" si="141"/>
        <v>2206464</v>
      </c>
      <c r="AB1147" s="410"/>
      <c r="AC1147" s="412">
        <v>0</v>
      </c>
      <c r="AD1147" s="421"/>
      <c r="AE1147" s="413"/>
      <c r="AF1147" s="424">
        <f t="shared" si="143"/>
        <v>2206464</v>
      </c>
      <c r="AG1147" s="432" t="s">
        <v>47</v>
      </c>
      <c r="AH1147" s="432"/>
      <c r="AI1147" s="434" t="s">
        <v>1916</v>
      </c>
      <c r="AJ1147" s="432" t="s">
        <v>1917</v>
      </c>
      <c r="AK1147" s="440" t="s">
        <v>50</v>
      </c>
      <c r="AL1147" s="432">
        <v>91730</v>
      </c>
      <c r="AM1147" s="432" t="s">
        <v>52</v>
      </c>
      <c r="AN1147" s="432" t="s">
        <v>50</v>
      </c>
      <c r="AO1147" s="405"/>
      <c r="AP1147" s="417" t="s">
        <v>92</v>
      </c>
      <c r="AQ1147" s="417" t="s">
        <v>37</v>
      </c>
      <c r="AR1147" s="417"/>
      <c r="AS1147" s="426" t="s">
        <v>1072</v>
      </c>
      <c r="AT1147" s="426" t="s">
        <v>1072</v>
      </c>
      <c r="AU1147" s="426" t="s">
        <v>1072</v>
      </c>
      <c r="AV1147" s="409"/>
    </row>
    <row r="1148" spans="1:48" s="402" customFormat="1">
      <c r="A1148" s="445"/>
      <c r="B1148" s="445"/>
      <c r="C1148" s="445"/>
      <c r="D1148" s="443" t="s">
        <v>1914</v>
      </c>
      <c r="E1148" s="432"/>
      <c r="F1148" s="432"/>
      <c r="G1148" s="432"/>
      <c r="H1148" s="360"/>
      <c r="I1148" s="443" t="s">
        <v>1498</v>
      </c>
      <c r="J1148" s="433"/>
      <c r="K1148" s="434" t="s">
        <v>3505</v>
      </c>
      <c r="L1148" s="432" t="s">
        <v>1915</v>
      </c>
      <c r="M1148" s="435">
        <v>44657</v>
      </c>
      <c r="N1148" s="435">
        <v>44856</v>
      </c>
      <c r="O1148" s="435"/>
      <c r="P1148" s="433"/>
      <c r="Q1148" s="433"/>
      <c r="R1148" s="433"/>
      <c r="S1148" s="432" t="s">
        <v>1443</v>
      </c>
      <c r="T1148" s="432">
        <v>60</v>
      </c>
      <c r="U1148" s="432" t="s">
        <v>1102</v>
      </c>
      <c r="V1148" s="432" t="s">
        <v>2284</v>
      </c>
      <c r="W1148" s="432">
        <v>400</v>
      </c>
      <c r="X1148" s="436">
        <v>10816</v>
      </c>
      <c r="Y1148" s="408">
        <f t="shared" si="140"/>
        <v>4326400</v>
      </c>
      <c r="Z1148" s="409">
        <v>0.51</v>
      </c>
      <c r="AA1148" s="410">
        <f t="shared" si="141"/>
        <v>2206464</v>
      </c>
      <c r="AB1148" s="410"/>
      <c r="AC1148" s="412">
        <v>0</v>
      </c>
      <c r="AD1148" s="421"/>
      <c r="AE1148" s="413"/>
      <c r="AF1148" s="424">
        <f t="shared" si="143"/>
        <v>2206464</v>
      </c>
      <c r="AG1148" s="432" t="s">
        <v>47</v>
      </c>
      <c r="AH1148" s="432"/>
      <c r="AI1148" s="434" t="s">
        <v>1916</v>
      </c>
      <c r="AJ1148" s="432" t="s">
        <v>1917</v>
      </c>
      <c r="AK1148" s="440" t="s">
        <v>50</v>
      </c>
      <c r="AL1148" s="432">
        <v>91730</v>
      </c>
      <c r="AM1148" s="432" t="s">
        <v>52</v>
      </c>
      <c r="AN1148" s="432" t="s">
        <v>50</v>
      </c>
      <c r="AO1148" s="405"/>
      <c r="AP1148" s="417" t="s">
        <v>92</v>
      </c>
      <c r="AQ1148" s="417" t="s">
        <v>37</v>
      </c>
      <c r="AR1148" s="417"/>
      <c r="AS1148" s="426" t="s">
        <v>1072</v>
      </c>
      <c r="AT1148" s="426" t="s">
        <v>1072</v>
      </c>
      <c r="AU1148" s="426" t="s">
        <v>1072</v>
      </c>
      <c r="AV1148" s="409"/>
    </row>
    <row r="1149" spans="1:48" s="402" customFormat="1">
      <c r="A1149" s="445"/>
      <c r="B1149" s="445"/>
      <c r="C1149" s="445"/>
      <c r="D1149" s="443" t="s">
        <v>1914</v>
      </c>
      <c r="E1149" s="432"/>
      <c r="F1149" s="432"/>
      <c r="G1149" s="432"/>
      <c r="H1149" s="360"/>
      <c r="I1149" s="443" t="s">
        <v>1498</v>
      </c>
      <c r="J1149" s="433"/>
      <c r="K1149" s="434" t="s">
        <v>3506</v>
      </c>
      <c r="L1149" s="432" t="s">
        <v>1915</v>
      </c>
      <c r="M1149" s="435">
        <v>44657</v>
      </c>
      <c r="N1149" s="435">
        <v>44887</v>
      </c>
      <c r="O1149" s="435"/>
      <c r="P1149" s="433"/>
      <c r="Q1149" s="433"/>
      <c r="R1149" s="433"/>
      <c r="S1149" s="432" t="s">
        <v>1443</v>
      </c>
      <c r="T1149" s="432">
        <v>60</v>
      </c>
      <c r="U1149" s="432" t="s">
        <v>1102</v>
      </c>
      <c r="V1149" s="432" t="s">
        <v>2284</v>
      </c>
      <c r="W1149" s="432">
        <v>400</v>
      </c>
      <c r="X1149" s="436">
        <v>9984</v>
      </c>
      <c r="Y1149" s="408">
        <f t="shared" si="140"/>
        <v>3993600</v>
      </c>
      <c r="Z1149" s="409">
        <v>0.51</v>
      </c>
      <c r="AA1149" s="410">
        <f t="shared" si="141"/>
        <v>2036736</v>
      </c>
      <c r="AB1149" s="410"/>
      <c r="AC1149" s="412">
        <v>0</v>
      </c>
      <c r="AD1149" s="421"/>
      <c r="AE1149" s="413"/>
      <c r="AF1149" s="424">
        <f t="shared" si="143"/>
        <v>2036736</v>
      </c>
      <c r="AG1149" s="432" t="s">
        <v>47</v>
      </c>
      <c r="AH1149" s="432"/>
      <c r="AI1149" s="434" t="s">
        <v>1916</v>
      </c>
      <c r="AJ1149" s="432" t="s">
        <v>1917</v>
      </c>
      <c r="AK1149" s="440" t="s">
        <v>50</v>
      </c>
      <c r="AL1149" s="432">
        <v>91730</v>
      </c>
      <c r="AM1149" s="432" t="s">
        <v>52</v>
      </c>
      <c r="AN1149" s="432" t="s">
        <v>50</v>
      </c>
      <c r="AO1149" s="405"/>
      <c r="AP1149" s="417" t="s">
        <v>92</v>
      </c>
      <c r="AQ1149" s="417" t="s">
        <v>37</v>
      </c>
      <c r="AR1149" s="417"/>
      <c r="AS1149" s="426" t="s">
        <v>1072</v>
      </c>
      <c r="AT1149" s="426" t="s">
        <v>1072</v>
      </c>
      <c r="AU1149" s="426" t="s">
        <v>1072</v>
      </c>
      <c r="AV1149" s="409"/>
    </row>
    <row r="1150" spans="1:48" s="402" customFormat="1">
      <c r="A1150" s="445"/>
      <c r="B1150" s="445"/>
      <c r="C1150" s="445"/>
      <c r="D1150" s="443" t="s">
        <v>1914</v>
      </c>
      <c r="E1150" s="432"/>
      <c r="F1150" s="432"/>
      <c r="G1150" s="432"/>
      <c r="H1150" s="360"/>
      <c r="I1150" s="443" t="s">
        <v>1498</v>
      </c>
      <c r="J1150" s="433"/>
      <c r="K1150" s="434" t="s">
        <v>3507</v>
      </c>
      <c r="L1150" s="432" t="s">
        <v>1915</v>
      </c>
      <c r="M1150" s="435">
        <v>44657</v>
      </c>
      <c r="N1150" s="435">
        <v>44887</v>
      </c>
      <c r="O1150" s="435"/>
      <c r="P1150" s="433"/>
      <c r="Q1150" s="433"/>
      <c r="R1150" s="433"/>
      <c r="S1150" s="432" t="s">
        <v>1443</v>
      </c>
      <c r="T1150" s="432">
        <v>60</v>
      </c>
      <c r="U1150" s="432" t="s">
        <v>1102</v>
      </c>
      <c r="V1150" s="432" t="s">
        <v>2284</v>
      </c>
      <c r="W1150" s="432">
        <v>400</v>
      </c>
      <c r="X1150" s="436">
        <v>9984</v>
      </c>
      <c r="Y1150" s="408">
        <f t="shared" si="140"/>
        <v>3993600</v>
      </c>
      <c r="Z1150" s="409">
        <v>0.51</v>
      </c>
      <c r="AA1150" s="410">
        <f t="shared" si="141"/>
        <v>2036736</v>
      </c>
      <c r="AB1150" s="410"/>
      <c r="AC1150" s="412">
        <v>0</v>
      </c>
      <c r="AD1150" s="421"/>
      <c r="AE1150" s="413"/>
      <c r="AF1150" s="424">
        <f t="shared" si="143"/>
        <v>2036736</v>
      </c>
      <c r="AG1150" s="432" t="s">
        <v>47</v>
      </c>
      <c r="AH1150" s="432"/>
      <c r="AI1150" s="434" t="s">
        <v>1916</v>
      </c>
      <c r="AJ1150" s="432" t="s">
        <v>1917</v>
      </c>
      <c r="AK1150" s="440" t="s">
        <v>50</v>
      </c>
      <c r="AL1150" s="432">
        <v>91730</v>
      </c>
      <c r="AM1150" s="432" t="s">
        <v>52</v>
      </c>
      <c r="AN1150" s="432" t="s">
        <v>50</v>
      </c>
      <c r="AO1150" s="405"/>
      <c r="AP1150" s="417" t="s">
        <v>92</v>
      </c>
      <c r="AQ1150" s="417" t="s">
        <v>37</v>
      </c>
      <c r="AR1150" s="417"/>
      <c r="AS1150" s="426" t="s">
        <v>1072</v>
      </c>
      <c r="AT1150" s="426" t="s">
        <v>1072</v>
      </c>
      <c r="AU1150" s="426" t="s">
        <v>1072</v>
      </c>
      <c r="AV1150" s="409"/>
    </row>
    <row r="1151" spans="1:48" s="402" customFormat="1">
      <c r="A1151" s="445"/>
      <c r="B1151" s="445"/>
      <c r="C1151" s="445"/>
      <c r="D1151" s="443" t="s">
        <v>1914</v>
      </c>
      <c r="E1151" s="432"/>
      <c r="F1151" s="432"/>
      <c r="G1151" s="432"/>
      <c r="H1151" s="360"/>
      <c r="I1151" s="443" t="s">
        <v>1498</v>
      </c>
      <c r="J1151" s="433"/>
      <c r="K1151" s="434" t="s">
        <v>3508</v>
      </c>
      <c r="L1151" s="432" t="s">
        <v>1915</v>
      </c>
      <c r="M1151" s="435">
        <v>44657</v>
      </c>
      <c r="N1151" s="435">
        <v>44743</v>
      </c>
      <c r="O1151" s="435"/>
      <c r="P1151" s="433"/>
      <c r="Q1151" s="433"/>
      <c r="R1151" s="433"/>
      <c r="S1151" s="432" t="s">
        <v>1443</v>
      </c>
      <c r="T1151" s="432">
        <v>60</v>
      </c>
      <c r="U1151" s="432" t="s">
        <v>1102</v>
      </c>
      <c r="V1151" s="432" t="s">
        <v>2284</v>
      </c>
      <c r="W1151" s="432">
        <v>400</v>
      </c>
      <c r="X1151" s="436">
        <v>10816</v>
      </c>
      <c r="Y1151" s="408">
        <f t="shared" si="140"/>
        <v>4326400</v>
      </c>
      <c r="Z1151" s="409">
        <v>0.51</v>
      </c>
      <c r="AA1151" s="410">
        <f t="shared" si="141"/>
        <v>2206464</v>
      </c>
      <c r="AB1151" s="410"/>
      <c r="AC1151" s="412">
        <v>0</v>
      </c>
      <c r="AD1151" s="421"/>
      <c r="AE1151" s="413"/>
      <c r="AF1151" s="424">
        <f t="shared" si="143"/>
        <v>2206464</v>
      </c>
      <c r="AG1151" s="432" t="s">
        <v>47</v>
      </c>
      <c r="AH1151" s="432"/>
      <c r="AI1151" s="434" t="s">
        <v>1916</v>
      </c>
      <c r="AJ1151" s="432" t="s">
        <v>1917</v>
      </c>
      <c r="AK1151" s="440" t="s">
        <v>50</v>
      </c>
      <c r="AL1151" s="432">
        <v>91730</v>
      </c>
      <c r="AM1151" s="432" t="s">
        <v>52</v>
      </c>
      <c r="AN1151" s="432" t="s">
        <v>50</v>
      </c>
      <c r="AO1151" s="405"/>
      <c r="AP1151" s="417" t="s">
        <v>92</v>
      </c>
      <c r="AQ1151" s="417" t="s">
        <v>37</v>
      </c>
      <c r="AR1151" s="417"/>
      <c r="AS1151" s="426" t="s">
        <v>1072</v>
      </c>
      <c r="AT1151" s="426" t="s">
        <v>1072</v>
      </c>
      <c r="AU1151" s="426" t="s">
        <v>1072</v>
      </c>
      <c r="AV1151" s="409"/>
    </row>
    <row r="1152" spans="1:48" s="402" customFormat="1">
      <c r="A1152" s="445"/>
      <c r="B1152" s="445"/>
      <c r="C1152" s="445"/>
      <c r="D1152" s="443" t="s">
        <v>1914</v>
      </c>
      <c r="E1152" s="432"/>
      <c r="F1152" s="432"/>
      <c r="G1152" s="432"/>
      <c r="H1152" s="360"/>
      <c r="I1152" s="443" t="s">
        <v>1498</v>
      </c>
      <c r="J1152" s="433"/>
      <c r="K1152" s="434" t="s">
        <v>3509</v>
      </c>
      <c r="L1152" s="432" t="s">
        <v>1915</v>
      </c>
      <c r="M1152" s="435">
        <v>44657</v>
      </c>
      <c r="N1152" s="435">
        <v>44774</v>
      </c>
      <c r="O1152" s="435"/>
      <c r="P1152" s="433"/>
      <c r="Q1152" s="433"/>
      <c r="R1152" s="433"/>
      <c r="S1152" s="432" t="s">
        <v>1443</v>
      </c>
      <c r="T1152" s="432">
        <v>60</v>
      </c>
      <c r="U1152" s="432" t="s">
        <v>1102</v>
      </c>
      <c r="V1152" s="432" t="s">
        <v>2284</v>
      </c>
      <c r="W1152" s="432">
        <v>400</v>
      </c>
      <c r="X1152" s="436">
        <v>10816</v>
      </c>
      <c r="Y1152" s="408">
        <f t="shared" si="140"/>
        <v>4326400</v>
      </c>
      <c r="Z1152" s="409">
        <v>0.51</v>
      </c>
      <c r="AA1152" s="410">
        <f t="shared" si="141"/>
        <v>2206464</v>
      </c>
      <c r="AB1152" s="410"/>
      <c r="AC1152" s="412">
        <v>0</v>
      </c>
      <c r="AD1152" s="421"/>
      <c r="AE1152" s="413"/>
      <c r="AF1152" s="424">
        <f t="shared" si="143"/>
        <v>2206464</v>
      </c>
      <c r="AG1152" s="432" t="s">
        <v>47</v>
      </c>
      <c r="AH1152" s="432"/>
      <c r="AI1152" s="434" t="s">
        <v>1916</v>
      </c>
      <c r="AJ1152" s="432" t="s">
        <v>1919</v>
      </c>
      <c r="AK1152" s="440" t="s">
        <v>1292</v>
      </c>
      <c r="AL1152" s="432">
        <v>17402</v>
      </c>
      <c r="AM1152" s="432" t="s">
        <v>52</v>
      </c>
      <c r="AN1152" s="432" t="s">
        <v>50</v>
      </c>
      <c r="AO1152" s="405"/>
      <c r="AP1152" s="417" t="s">
        <v>92</v>
      </c>
      <c r="AQ1152" s="417" t="s">
        <v>37</v>
      </c>
      <c r="AR1152" s="417"/>
      <c r="AS1152" s="426" t="s">
        <v>1072</v>
      </c>
      <c r="AT1152" s="426" t="s">
        <v>1072</v>
      </c>
      <c r="AU1152" s="426" t="s">
        <v>1072</v>
      </c>
      <c r="AV1152" s="409"/>
    </row>
    <row r="1153" spans="1:48" s="402" customFormat="1">
      <c r="A1153" s="445"/>
      <c r="B1153" s="445"/>
      <c r="C1153" s="445"/>
      <c r="D1153" s="443" t="s">
        <v>1914</v>
      </c>
      <c r="E1153" s="432"/>
      <c r="F1153" s="432"/>
      <c r="G1153" s="432"/>
      <c r="H1153" s="360"/>
      <c r="I1153" s="443" t="s">
        <v>1498</v>
      </c>
      <c r="J1153" s="433"/>
      <c r="K1153" s="434" t="s">
        <v>3510</v>
      </c>
      <c r="L1153" s="432" t="s">
        <v>1915</v>
      </c>
      <c r="M1153" s="435">
        <v>44657</v>
      </c>
      <c r="N1153" s="435">
        <v>44805</v>
      </c>
      <c r="O1153" s="435"/>
      <c r="P1153" s="433"/>
      <c r="Q1153" s="433"/>
      <c r="R1153" s="433"/>
      <c r="S1153" s="432" t="s">
        <v>1443</v>
      </c>
      <c r="T1153" s="432">
        <v>60</v>
      </c>
      <c r="U1153" s="432" t="s">
        <v>1102</v>
      </c>
      <c r="V1153" s="432" t="s">
        <v>2284</v>
      </c>
      <c r="W1153" s="432">
        <v>400</v>
      </c>
      <c r="X1153" s="436">
        <v>10816</v>
      </c>
      <c r="Y1153" s="408">
        <f t="shared" si="140"/>
        <v>4326400</v>
      </c>
      <c r="Z1153" s="409">
        <v>0.51</v>
      </c>
      <c r="AA1153" s="410">
        <f t="shared" si="141"/>
        <v>2206464</v>
      </c>
      <c r="AB1153" s="410"/>
      <c r="AC1153" s="412">
        <v>0</v>
      </c>
      <c r="AD1153" s="421"/>
      <c r="AE1153" s="413"/>
      <c r="AF1153" s="424">
        <f t="shared" si="143"/>
        <v>2206464</v>
      </c>
      <c r="AG1153" s="432" t="s">
        <v>47</v>
      </c>
      <c r="AH1153" s="432"/>
      <c r="AI1153" s="434" t="s">
        <v>1916</v>
      </c>
      <c r="AJ1153" s="432" t="s">
        <v>1919</v>
      </c>
      <c r="AK1153" s="440" t="s">
        <v>1292</v>
      </c>
      <c r="AL1153" s="432">
        <v>17402</v>
      </c>
      <c r="AM1153" s="432" t="s">
        <v>52</v>
      </c>
      <c r="AN1153" s="432" t="s">
        <v>50</v>
      </c>
      <c r="AO1153" s="405"/>
      <c r="AP1153" s="417" t="s">
        <v>92</v>
      </c>
      <c r="AQ1153" s="417" t="s">
        <v>37</v>
      </c>
      <c r="AR1153" s="417"/>
      <c r="AS1153" s="426" t="s">
        <v>1072</v>
      </c>
      <c r="AT1153" s="426" t="s">
        <v>1072</v>
      </c>
      <c r="AU1153" s="426" t="s">
        <v>1072</v>
      </c>
      <c r="AV1153" s="409"/>
    </row>
    <row r="1154" spans="1:48" s="402" customFormat="1">
      <c r="A1154" s="445"/>
      <c r="B1154" s="445"/>
      <c r="C1154" s="445"/>
      <c r="D1154" s="443" t="s">
        <v>1914</v>
      </c>
      <c r="E1154" s="432"/>
      <c r="F1154" s="432"/>
      <c r="G1154" s="432"/>
      <c r="H1154" s="360"/>
      <c r="I1154" s="443" t="s">
        <v>1498</v>
      </c>
      <c r="J1154" s="433"/>
      <c r="K1154" s="434" t="s">
        <v>3511</v>
      </c>
      <c r="L1154" s="432" t="s">
        <v>1915</v>
      </c>
      <c r="M1154" s="435">
        <v>44657</v>
      </c>
      <c r="N1154" s="435">
        <v>44835</v>
      </c>
      <c r="O1154" s="435"/>
      <c r="P1154" s="433"/>
      <c r="Q1154" s="433"/>
      <c r="R1154" s="433"/>
      <c r="S1154" s="432" t="s">
        <v>1443</v>
      </c>
      <c r="T1154" s="432">
        <v>60</v>
      </c>
      <c r="U1154" s="432" t="s">
        <v>1102</v>
      </c>
      <c r="V1154" s="432" t="s">
        <v>2284</v>
      </c>
      <c r="W1154" s="432">
        <v>400</v>
      </c>
      <c r="X1154" s="436">
        <v>10816</v>
      </c>
      <c r="Y1154" s="408">
        <f t="shared" si="140"/>
        <v>4326400</v>
      </c>
      <c r="Z1154" s="409">
        <v>0.51</v>
      </c>
      <c r="AA1154" s="410">
        <f t="shared" si="141"/>
        <v>2206464</v>
      </c>
      <c r="AB1154" s="410"/>
      <c r="AC1154" s="412">
        <v>0</v>
      </c>
      <c r="AD1154" s="421"/>
      <c r="AE1154" s="413"/>
      <c r="AF1154" s="424">
        <f t="shared" si="143"/>
        <v>2206464</v>
      </c>
      <c r="AG1154" s="432" t="s">
        <v>47</v>
      </c>
      <c r="AH1154" s="432"/>
      <c r="AI1154" s="434" t="s">
        <v>1916</v>
      </c>
      <c r="AJ1154" s="432" t="s">
        <v>1919</v>
      </c>
      <c r="AK1154" s="440" t="s">
        <v>1292</v>
      </c>
      <c r="AL1154" s="432">
        <v>17402</v>
      </c>
      <c r="AM1154" s="432" t="s">
        <v>52</v>
      </c>
      <c r="AN1154" s="432" t="s">
        <v>50</v>
      </c>
      <c r="AO1154" s="405"/>
      <c r="AP1154" s="417" t="s">
        <v>92</v>
      </c>
      <c r="AQ1154" s="417" t="s">
        <v>37</v>
      </c>
      <c r="AR1154" s="417"/>
      <c r="AS1154" s="426" t="s">
        <v>1072</v>
      </c>
      <c r="AT1154" s="426" t="s">
        <v>1072</v>
      </c>
      <c r="AU1154" s="426" t="s">
        <v>1072</v>
      </c>
      <c r="AV1154" s="409"/>
    </row>
    <row r="1155" spans="1:48" s="402" customFormat="1">
      <c r="A1155" s="445"/>
      <c r="B1155" s="445"/>
      <c r="C1155" s="445"/>
      <c r="D1155" s="443" t="s">
        <v>1914</v>
      </c>
      <c r="E1155" s="432"/>
      <c r="F1155" s="432"/>
      <c r="G1155" s="432"/>
      <c r="H1155" s="360"/>
      <c r="I1155" s="443" t="s">
        <v>1498</v>
      </c>
      <c r="J1155" s="433"/>
      <c r="K1155" s="434" t="s">
        <v>3512</v>
      </c>
      <c r="L1155" s="432" t="s">
        <v>1915</v>
      </c>
      <c r="M1155" s="435">
        <v>44657</v>
      </c>
      <c r="N1155" s="435">
        <v>44866</v>
      </c>
      <c r="O1155" s="435"/>
      <c r="P1155" s="433"/>
      <c r="Q1155" s="433"/>
      <c r="R1155" s="433"/>
      <c r="S1155" s="432" t="s">
        <v>1443</v>
      </c>
      <c r="T1155" s="432">
        <v>60</v>
      </c>
      <c r="U1155" s="432" t="s">
        <v>1102</v>
      </c>
      <c r="V1155" s="432" t="s">
        <v>2284</v>
      </c>
      <c r="W1155" s="432">
        <v>400</v>
      </c>
      <c r="X1155" s="436">
        <v>10816</v>
      </c>
      <c r="Y1155" s="408">
        <f t="shared" si="140"/>
        <v>4326400</v>
      </c>
      <c r="Z1155" s="409">
        <v>0.51</v>
      </c>
      <c r="AA1155" s="410">
        <f t="shared" si="141"/>
        <v>2206464</v>
      </c>
      <c r="AB1155" s="410"/>
      <c r="AC1155" s="412">
        <v>0</v>
      </c>
      <c r="AD1155" s="421"/>
      <c r="AE1155" s="413"/>
      <c r="AF1155" s="424">
        <f t="shared" si="143"/>
        <v>2206464</v>
      </c>
      <c r="AG1155" s="432" t="s">
        <v>47</v>
      </c>
      <c r="AH1155" s="432"/>
      <c r="AI1155" s="434" t="s">
        <v>1916</v>
      </c>
      <c r="AJ1155" s="432" t="s">
        <v>1919</v>
      </c>
      <c r="AK1155" s="440" t="s">
        <v>1292</v>
      </c>
      <c r="AL1155" s="432">
        <v>17402</v>
      </c>
      <c r="AM1155" s="432" t="s">
        <v>52</v>
      </c>
      <c r="AN1155" s="432" t="s">
        <v>50</v>
      </c>
      <c r="AO1155" s="405"/>
      <c r="AP1155" s="417" t="s">
        <v>92</v>
      </c>
      <c r="AQ1155" s="417" t="s">
        <v>37</v>
      </c>
      <c r="AR1155" s="417"/>
      <c r="AS1155" s="426" t="s">
        <v>1072</v>
      </c>
      <c r="AT1155" s="426" t="s">
        <v>1072</v>
      </c>
      <c r="AU1155" s="426" t="s">
        <v>1072</v>
      </c>
      <c r="AV1155" s="409"/>
    </row>
    <row r="1156" spans="1:48" s="402" customFormat="1">
      <c r="A1156" s="445"/>
      <c r="B1156" s="445"/>
      <c r="C1156" s="445"/>
      <c r="D1156" s="443" t="s">
        <v>1914</v>
      </c>
      <c r="E1156" s="432"/>
      <c r="F1156" s="432"/>
      <c r="G1156" s="432"/>
      <c r="H1156" s="360"/>
      <c r="I1156" s="443" t="s">
        <v>1498</v>
      </c>
      <c r="J1156" s="433"/>
      <c r="K1156" s="434" t="s">
        <v>3513</v>
      </c>
      <c r="L1156" s="432" t="s">
        <v>1915</v>
      </c>
      <c r="M1156" s="435">
        <v>44657</v>
      </c>
      <c r="N1156" s="435">
        <v>44896</v>
      </c>
      <c r="O1156" s="435"/>
      <c r="P1156" s="433"/>
      <c r="Q1156" s="433"/>
      <c r="R1156" s="433"/>
      <c r="S1156" s="432" t="s">
        <v>1443</v>
      </c>
      <c r="T1156" s="432">
        <v>60</v>
      </c>
      <c r="U1156" s="432" t="s">
        <v>1102</v>
      </c>
      <c r="V1156" s="432" t="s">
        <v>2284</v>
      </c>
      <c r="W1156" s="432">
        <v>400</v>
      </c>
      <c r="X1156" s="436">
        <v>10816</v>
      </c>
      <c r="Y1156" s="408">
        <f t="shared" si="140"/>
        <v>4326400</v>
      </c>
      <c r="Z1156" s="409">
        <v>0.51</v>
      </c>
      <c r="AA1156" s="410">
        <f t="shared" si="141"/>
        <v>2206464</v>
      </c>
      <c r="AB1156" s="410"/>
      <c r="AC1156" s="412">
        <v>0</v>
      </c>
      <c r="AD1156" s="421"/>
      <c r="AE1156" s="413"/>
      <c r="AF1156" s="424">
        <f t="shared" si="143"/>
        <v>2206464</v>
      </c>
      <c r="AG1156" s="432" t="s">
        <v>47</v>
      </c>
      <c r="AH1156" s="432"/>
      <c r="AI1156" s="434" t="s">
        <v>1916</v>
      </c>
      <c r="AJ1156" s="432" t="s">
        <v>1919</v>
      </c>
      <c r="AK1156" s="440" t="s">
        <v>1292</v>
      </c>
      <c r="AL1156" s="432">
        <v>17402</v>
      </c>
      <c r="AM1156" s="432" t="s">
        <v>52</v>
      </c>
      <c r="AN1156" s="432" t="s">
        <v>50</v>
      </c>
      <c r="AO1156" s="405"/>
      <c r="AP1156" s="417" t="s">
        <v>92</v>
      </c>
      <c r="AQ1156" s="417" t="s">
        <v>37</v>
      </c>
      <c r="AR1156" s="417"/>
      <c r="AS1156" s="426" t="s">
        <v>1072</v>
      </c>
      <c r="AT1156" s="426" t="s">
        <v>1072</v>
      </c>
      <c r="AU1156" s="426" t="s">
        <v>1072</v>
      </c>
      <c r="AV1156" s="409"/>
    </row>
    <row r="1157" spans="1:48" s="402" customFormat="1">
      <c r="A1157" s="445"/>
      <c r="B1157" s="445"/>
      <c r="C1157" s="445"/>
      <c r="D1157" s="443" t="s">
        <v>1914</v>
      </c>
      <c r="E1157" s="432"/>
      <c r="F1157" s="432"/>
      <c r="G1157" s="432"/>
      <c r="H1157" s="360"/>
      <c r="I1157" s="443" t="s">
        <v>1498</v>
      </c>
      <c r="J1157" s="433"/>
      <c r="K1157" s="434" t="s">
        <v>3514</v>
      </c>
      <c r="L1157" s="432" t="s">
        <v>1915</v>
      </c>
      <c r="M1157" s="435">
        <v>44657</v>
      </c>
      <c r="N1157" s="435">
        <v>44743</v>
      </c>
      <c r="O1157" s="435"/>
      <c r="P1157" s="433"/>
      <c r="Q1157" s="433"/>
      <c r="R1157" s="433"/>
      <c r="S1157" s="432" t="s">
        <v>1443</v>
      </c>
      <c r="T1157" s="432">
        <v>60</v>
      </c>
      <c r="U1157" s="432" t="s">
        <v>1102</v>
      </c>
      <c r="V1157" s="432" t="s">
        <v>2284</v>
      </c>
      <c r="W1157" s="432">
        <v>400</v>
      </c>
      <c r="X1157" s="436">
        <v>6656</v>
      </c>
      <c r="Y1157" s="408">
        <f t="shared" si="140"/>
        <v>2662400</v>
      </c>
      <c r="Z1157" s="409">
        <v>0.56000000000000005</v>
      </c>
      <c r="AA1157" s="410">
        <f t="shared" si="141"/>
        <v>1490944.0000000002</v>
      </c>
      <c r="AB1157" s="410"/>
      <c r="AC1157" s="412">
        <v>0</v>
      </c>
      <c r="AD1157" s="421"/>
      <c r="AE1157" s="413"/>
      <c r="AF1157" s="424">
        <f t="shared" si="143"/>
        <v>1490944.0000000002</v>
      </c>
      <c r="AG1157" s="432" t="s">
        <v>47</v>
      </c>
      <c r="AH1157" s="432"/>
      <c r="AI1157" s="434" t="s">
        <v>1916</v>
      </c>
      <c r="AJ1157" s="432" t="s">
        <v>3515</v>
      </c>
      <c r="AK1157" s="440" t="s">
        <v>50</v>
      </c>
      <c r="AL1157" s="432">
        <v>93291</v>
      </c>
      <c r="AM1157" s="432" t="s">
        <v>52</v>
      </c>
      <c r="AN1157" s="432" t="s">
        <v>50</v>
      </c>
      <c r="AO1157" s="405"/>
      <c r="AP1157" s="417" t="s">
        <v>92</v>
      </c>
      <c r="AQ1157" s="417" t="s">
        <v>37</v>
      </c>
      <c r="AR1157" s="417"/>
      <c r="AS1157" s="426" t="s">
        <v>1072</v>
      </c>
      <c r="AT1157" s="426" t="s">
        <v>1072</v>
      </c>
      <c r="AU1157" s="426" t="s">
        <v>1072</v>
      </c>
      <c r="AV1157" s="409"/>
    </row>
    <row r="1158" spans="1:48" s="402" customFormat="1">
      <c r="A1158" s="445"/>
      <c r="B1158" s="445"/>
      <c r="C1158" s="445"/>
      <c r="D1158" s="443" t="s">
        <v>1914</v>
      </c>
      <c r="E1158" s="432"/>
      <c r="F1158" s="432"/>
      <c r="G1158" s="432"/>
      <c r="H1158" s="360"/>
      <c r="I1158" s="443" t="s">
        <v>1498</v>
      </c>
      <c r="J1158" s="433"/>
      <c r="K1158" s="434" t="s">
        <v>3516</v>
      </c>
      <c r="L1158" s="432" t="s">
        <v>1915</v>
      </c>
      <c r="M1158" s="435">
        <v>44657</v>
      </c>
      <c r="N1158" s="435">
        <v>44774</v>
      </c>
      <c r="O1158" s="435"/>
      <c r="P1158" s="433"/>
      <c r="Q1158" s="433"/>
      <c r="R1158" s="433"/>
      <c r="S1158" s="432" t="s">
        <v>1443</v>
      </c>
      <c r="T1158" s="432">
        <v>60</v>
      </c>
      <c r="U1158" s="432" t="s">
        <v>1102</v>
      </c>
      <c r="V1158" s="432" t="s">
        <v>2284</v>
      </c>
      <c r="W1158" s="432">
        <v>400</v>
      </c>
      <c r="X1158" s="436">
        <v>8320</v>
      </c>
      <c r="Y1158" s="408">
        <f t="shared" si="140"/>
        <v>3328000</v>
      </c>
      <c r="Z1158" s="409">
        <v>0.56000000000000005</v>
      </c>
      <c r="AA1158" s="410">
        <f t="shared" si="141"/>
        <v>1863680.0000000002</v>
      </c>
      <c r="AB1158" s="410"/>
      <c r="AC1158" s="412">
        <v>0</v>
      </c>
      <c r="AD1158" s="421"/>
      <c r="AE1158" s="413"/>
      <c r="AF1158" s="424">
        <f t="shared" si="143"/>
        <v>1863680.0000000002</v>
      </c>
      <c r="AG1158" s="432" t="s">
        <v>47</v>
      </c>
      <c r="AH1158" s="432"/>
      <c r="AI1158" s="434" t="s">
        <v>1916</v>
      </c>
      <c r="AJ1158" s="432" t="s">
        <v>1609</v>
      </c>
      <c r="AK1158" s="440" t="s">
        <v>50</v>
      </c>
      <c r="AL1158" s="432">
        <v>93291</v>
      </c>
      <c r="AM1158" s="432" t="s">
        <v>52</v>
      </c>
      <c r="AN1158" s="432" t="s">
        <v>50</v>
      </c>
      <c r="AO1158" s="405"/>
      <c r="AP1158" s="417" t="s">
        <v>92</v>
      </c>
      <c r="AQ1158" s="417" t="s">
        <v>37</v>
      </c>
      <c r="AR1158" s="417"/>
      <c r="AS1158" s="426" t="s">
        <v>1072</v>
      </c>
      <c r="AT1158" s="426" t="s">
        <v>1072</v>
      </c>
      <c r="AU1158" s="426" t="s">
        <v>1072</v>
      </c>
      <c r="AV1158" s="409"/>
    </row>
    <row r="1159" spans="1:48" s="402" customFormat="1">
      <c r="A1159" s="445"/>
      <c r="B1159" s="445"/>
      <c r="C1159" s="445"/>
      <c r="D1159" s="443" t="s">
        <v>1914</v>
      </c>
      <c r="E1159" s="432"/>
      <c r="F1159" s="432"/>
      <c r="G1159" s="432"/>
      <c r="H1159" s="360"/>
      <c r="I1159" s="443" t="s">
        <v>1498</v>
      </c>
      <c r="J1159" s="433"/>
      <c r="K1159" s="434" t="s">
        <v>3517</v>
      </c>
      <c r="L1159" s="432" t="s">
        <v>1915</v>
      </c>
      <c r="M1159" s="435">
        <v>44657</v>
      </c>
      <c r="N1159" s="435">
        <v>44805</v>
      </c>
      <c r="O1159" s="435"/>
      <c r="P1159" s="433"/>
      <c r="Q1159" s="433"/>
      <c r="R1159" s="433"/>
      <c r="S1159" s="432" t="s">
        <v>1443</v>
      </c>
      <c r="T1159" s="432">
        <v>60</v>
      </c>
      <c r="U1159" s="432" t="s">
        <v>1102</v>
      </c>
      <c r="V1159" s="432" t="s">
        <v>2284</v>
      </c>
      <c r="W1159" s="432">
        <v>400</v>
      </c>
      <c r="X1159" s="436">
        <v>8320</v>
      </c>
      <c r="Y1159" s="408">
        <f t="shared" si="140"/>
        <v>3328000</v>
      </c>
      <c r="Z1159" s="409">
        <v>0.56000000000000005</v>
      </c>
      <c r="AA1159" s="410">
        <f t="shared" si="141"/>
        <v>1863680.0000000002</v>
      </c>
      <c r="AB1159" s="410"/>
      <c r="AC1159" s="412">
        <v>0</v>
      </c>
      <c r="AD1159" s="421"/>
      <c r="AE1159" s="413"/>
      <c r="AF1159" s="424">
        <f t="shared" si="143"/>
        <v>1863680.0000000002</v>
      </c>
      <c r="AG1159" s="432" t="s">
        <v>47</v>
      </c>
      <c r="AH1159" s="432"/>
      <c r="AI1159" s="434" t="s">
        <v>1916</v>
      </c>
      <c r="AJ1159" s="432" t="s">
        <v>3515</v>
      </c>
      <c r="AK1159" s="440" t="s">
        <v>50</v>
      </c>
      <c r="AL1159" s="432">
        <v>93291</v>
      </c>
      <c r="AM1159" s="432" t="s">
        <v>52</v>
      </c>
      <c r="AN1159" s="432" t="s">
        <v>50</v>
      </c>
      <c r="AO1159" s="405"/>
      <c r="AP1159" s="417" t="s">
        <v>92</v>
      </c>
      <c r="AQ1159" s="417" t="s">
        <v>37</v>
      </c>
      <c r="AR1159" s="417"/>
      <c r="AS1159" s="426" t="s">
        <v>1072</v>
      </c>
      <c r="AT1159" s="426" t="s">
        <v>1072</v>
      </c>
      <c r="AU1159" s="426" t="s">
        <v>1072</v>
      </c>
      <c r="AV1159" s="409"/>
    </row>
    <row r="1160" spans="1:48" s="402" customFormat="1">
      <c r="A1160" s="445"/>
      <c r="B1160" s="445"/>
      <c r="C1160" s="445"/>
      <c r="D1160" s="443" t="s">
        <v>1914</v>
      </c>
      <c r="E1160" s="432"/>
      <c r="F1160" s="432"/>
      <c r="G1160" s="432"/>
      <c r="H1160" s="360"/>
      <c r="I1160" s="443" t="s">
        <v>1498</v>
      </c>
      <c r="J1160" s="433"/>
      <c r="K1160" s="434" t="s">
        <v>3518</v>
      </c>
      <c r="L1160" s="432" t="s">
        <v>1915</v>
      </c>
      <c r="M1160" s="435">
        <v>44657</v>
      </c>
      <c r="N1160" s="435">
        <v>44835</v>
      </c>
      <c r="O1160" s="435"/>
      <c r="P1160" s="433"/>
      <c r="Q1160" s="433"/>
      <c r="R1160" s="433"/>
      <c r="S1160" s="432" t="s">
        <v>1443</v>
      </c>
      <c r="T1160" s="432">
        <v>60</v>
      </c>
      <c r="U1160" s="432" t="s">
        <v>1102</v>
      </c>
      <c r="V1160" s="432" t="s">
        <v>2284</v>
      </c>
      <c r="W1160" s="432">
        <v>400</v>
      </c>
      <c r="X1160" s="436">
        <v>8320</v>
      </c>
      <c r="Y1160" s="408">
        <f t="shared" si="140"/>
        <v>3328000</v>
      </c>
      <c r="Z1160" s="409">
        <v>0.56000000000000005</v>
      </c>
      <c r="AA1160" s="410">
        <f t="shared" si="141"/>
        <v>1863680.0000000002</v>
      </c>
      <c r="AB1160" s="410"/>
      <c r="AC1160" s="412">
        <v>0</v>
      </c>
      <c r="AD1160" s="421"/>
      <c r="AE1160" s="413"/>
      <c r="AF1160" s="424">
        <f t="shared" si="143"/>
        <v>1863680.0000000002</v>
      </c>
      <c r="AG1160" s="432" t="s">
        <v>47</v>
      </c>
      <c r="AH1160" s="432"/>
      <c r="AI1160" s="434" t="s">
        <v>1916</v>
      </c>
      <c r="AJ1160" s="432" t="s">
        <v>1609</v>
      </c>
      <c r="AK1160" s="440" t="s">
        <v>50</v>
      </c>
      <c r="AL1160" s="432">
        <v>93291</v>
      </c>
      <c r="AM1160" s="432" t="s">
        <v>52</v>
      </c>
      <c r="AN1160" s="432" t="s">
        <v>50</v>
      </c>
      <c r="AO1160" s="405"/>
      <c r="AP1160" s="417" t="s">
        <v>92</v>
      </c>
      <c r="AQ1160" s="417" t="s">
        <v>37</v>
      </c>
      <c r="AR1160" s="417"/>
      <c r="AS1160" s="426" t="s">
        <v>1072</v>
      </c>
      <c r="AT1160" s="426" t="s">
        <v>1072</v>
      </c>
      <c r="AU1160" s="426" t="s">
        <v>1072</v>
      </c>
      <c r="AV1160" s="409"/>
    </row>
    <row r="1161" spans="1:48" s="402" customFormat="1">
      <c r="A1161" s="445"/>
      <c r="B1161" s="445"/>
      <c r="C1161" s="445"/>
      <c r="D1161" s="443" t="s">
        <v>1914</v>
      </c>
      <c r="E1161" s="432"/>
      <c r="F1161" s="432"/>
      <c r="G1161" s="432"/>
      <c r="H1161" s="360"/>
      <c r="I1161" s="443" t="s">
        <v>1498</v>
      </c>
      <c r="J1161" s="433"/>
      <c r="K1161" s="434" t="s">
        <v>3519</v>
      </c>
      <c r="L1161" s="432" t="s">
        <v>1915</v>
      </c>
      <c r="M1161" s="435">
        <v>44657</v>
      </c>
      <c r="N1161" s="435">
        <v>44866</v>
      </c>
      <c r="O1161" s="435"/>
      <c r="P1161" s="433"/>
      <c r="Q1161" s="433"/>
      <c r="R1161" s="433"/>
      <c r="S1161" s="432" t="s">
        <v>1443</v>
      </c>
      <c r="T1161" s="432">
        <v>60</v>
      </c>
      <c r="U1161" s="432" t="s">
        <v>1102</v>
      </c>
      <c r="V1161" s="432" t="s">
        <v>2284</v>
      </c>
      <c r="W1161" s="432">
        <v>400</v>
      </c>
      <c r="X1161" s="436">
        <v>8320</v>
      </c>
      <c r="Y1161" s="408">
        <f t="shared" si="140"/>
        <v>3328000</v>
      </c>
      <c r="Z1161" s="409">
        <v>0.56000000000000005</v>
      </c>
      <c r="AA1161" s="410">
        <f t="shared" si="141"/>
        <v>1863680.0000000002</v>
      </c>
      <c r="AB1161" s="410"/>
      <c r="AC1161" s="412">
        <v>0</v>
      </c>
      <c r="AD1161" s="421"/>
      <c r="AE1161" s="413"/>
      <c r="AF1161" s="424">
        <f t="shared" si="143"/>
        <v>1863680.0000000002</v>
      </c>
      <c r="AG1161" s="432" t="s">
        <v>47</v>
      </c>
      <c r="AH1161" s="432"/>
      <c r="AI1161" s="434" t="s">
        <v>1916</v>
      </c>
      <c r="AJ1161" s="432" t="s">
        <v>1609</v>
      </c>
      <c r="AK1161" s="440" t="s">
        <v>50</v>
      </c>
      <c r="AL1161" s="432">
        <v>93291</v>
      </c>
      <c r="AM1161" s="432" t="s">
        <v>52</v>
      </c>
      <c r="AN1161" s="432" t="s">
        <v>50</v>
      </c>
      <c r="AO1161" s="405"/>
      <c r="AP1161" s="417" t="s">
        <v>92</v>
      </c>
      <c r="AQ1161" s="417" t="s">
        <v>37</v>
      </c>
      <c r="AR1161" s="417"/>
      <c r="AS1161" s="426" t="s">
        <v>1072</v>
      </c>
      <c r="AT1161" s="426" t="s">
        <v>1072</v>
      </c>
      <c r="AU1161" s="426" t="s">
        <v>1072</v>
      </c>
      <c r="AV1161" s="409"/>
    </row>
    <row r="1162" spans="1:48" s="402" customFormat="1">
      <c r="A1162" s="445"/>
      <c r="B1162" s="445"/>
      <c r="C1162" s="445"/>
      <c r="D1162" s="443" t="s">
        <v>1914</v>
      </c>
      <c r="E1162" s="432"/>
      <c r="F1162" s="432"/>
      <c r="G1162" s="432"/>
      <c r="H1162" s="360"/>
      <c r="I1162" s="443" t="s">
        <v>1498</v>
      </c>
      <c r="J1162" s="433"/>
      <c r="K1162" s="434" t="s">
        <v>3520</v>
      </c>
      <c r="L1162" s="432" t="s">
        <v>1915</v>
      </c>
      <c r="M1162" s="435">
        <v>44657</v>
      </c>
      <c r="N1162" s="435">
        <v>44896</v>
      </c>
      <c r="O1162" s="435"/>
      <c r="P1162" s="433"/>
      <c r="Q1162" s="433"/>
      <c r="R1162" s="433"/>
      <c r="S1162" s="432" t="s">
        <v>1443</v>
      </c>
      <c r="T1162" s="432">
        <v>60</v>
      </c>
      <c r="U1162" s="432" t="s">
        <v>1102</v>
      </c>
      <c r="V1162" s="432" t="s">
        <v>2284</v>
      </c>
      <c r="W1162" s="432">
        <v>400</v>
      </c>
      <c r="X1162" s="436">
        <v>8320</v>
      </c>
      <c r="Y1162" s="408">
        <f t="shared" si="140"/>
        <v>3328000</v>
      </c>
      <c r="Z1162" s="409">
        <v>0.56000000000000005</v>
      </c>
      <c r="AA1162" s="410">
        <f t="shared" si="141"/>
        <v>1863680.0000000002</v>
      </c>
      <c r="AB1162" s="410"/>
      <c r="AC1162" s="412">
        <v>0</v>
      </c>
      <c r="AD1162" s="421"/>
      <c r="AE1162" s="413"/>
      <c r="AF1162" s="424">
        <f t="shared" si="143"/>
        <v>1863680.0000000002</v>
      </c>
      <c r="AG1162" s="432" t="s">
        <v>47</v>
      </c>
      <c r="AH1162" s="432"/>
      <c r="AI1162" s="434" t="s">
        <v>1916</v>
      </c>
      <c r="AJ1162" s="432" t="s">
        <v>1609</v>
      </c>
      <c r="AK1162" s="440" t="s">
        <v>50</v>
      </c>
      <c r="AL1162" s="432">
        <v>93291</v>
      </c>
      <c r="AM1162" s="432" t="s">
        <v>52</v>
      </c>
      <c r="AN1162" s="432" t="s">
        <v>50</v>
      </c>
      <c r="AO1162" s="405"/>
      <c r="AP1162" s="417" t="s">
        <v>92</v>
      </c>
      <c r="AQ1162" s="417" t="s">
        <v>37</v>
      </c>
      <c r="AR1162" s="417"/>
      <c r="AS1162" s="426" t="s">
        <v>1072</v>
      </c>
      <c r="AT1162" s="426" t="s">
        <v>1072</v>
      </c>
      <c r="AU1162" s="426" t="s">
        <v>1072</v>
      </c>
      <c r="AV1162" s="409"/>
    </row>
    <row r="1163" spans="1:48" s="402" customFormat="1">
      <c r="A1163" s="445"/>
      <c r="B1163" s="445"/>
      <c r="C1163" s="445"/>
      <c r="D1163" s="443" t="s">
        <v>1914</v>
      </c>
      <c r="E1163" s="432"/>
      <c r="F1163" s="432"/>
      <c r="G1163" s="432"/>
      <c r="H1163" s="360"/>
      <c r="I1163" s="443" t="s">
        <v>1498</v>
      </c>
      <c r="J1163" s="433"/>
      <c r="K1163" s="434" t="s">
        <v>3521</v>
      </c>
      <c r="L1163" s="432" t="s">
        <v>1915</v>
      </c>
      <c r="M1163" s="435">
        <v>44657</v>
      </c>
      <c r="N1163" s="435">
        <v>44743</v>
      </c>
      <c r="O1163" s="435"/>
      <c r="P1163" s="433"/>
      <c r="Q1163" s="433"/>
      <c r="R1163" s="433"/>
      <c r="S1163" s="432" t="s">
        <v>1443</v>
      </c>
      <c r="T1163" s="432">
        <v>60</v>
      </c>
      <c r="U1163" s="432" t="s">
        <v>1102</v>
      </c>
      <c r="V1163" s="432" t="s">
        <v>3522</v>
      </c>
      <c r="W1163" s="432">
        <v>410</v>
      </c>
      <c r="X1163" s="436">
        <v>12480</v>
      </c>
      <c r="Y1163" s="408">
        <f t="shared" si="140"/>
        <v>5116800</v>
      </c>
      <c r="Z1163" s="409">
        <v>0.51</v>
      </c>
      <c r="AA1163" s="410">
        <f t="shared" si="141"/>
        <v>2609568</v>
      </c>
      <c r="AB1163" s="410"/>
      <c r="AC1163" s="412">
        <v>0</v>
      </c>
      <c r="AD1163" s="421"/>
      <c r="AE1163" s="413"/>
      <c r="AF1163" s="424">
        <f t="shared" si="143"/>
        <v>2609568</v>
      </c>
      <c r="AG1163" s="432" t="s">
        <v>47</v>
      </c>
      <c r="AH1163" s="432"/>
      <c r="AI1163" s="434" t="s">
        <v>1916</v>
      </c>
      <c r="AJ1163" s="432" t="s">
        <v>1917</v>
      </c>
      <c r="AK1163" s="440" t="s">
        <v>50</v>
      </c>
      <c r="AL1163" s="432">
        <v>91730</v>
      </c>
      <c r="AM1163" s="432" t="s">
        <v>52</v>
      </c>
      <c r="AN1163" s="432" t="s">
        <v>50</v>
      </c>
      <c r="AO1163" s="405"/>
      <c r="AP1163" s="417" t="s">
        <v>92</v>
      </c>
      <c r="AQ1163" s="417" t="s">
        <v>37</v>
      </c>
      <c r="AR1163" s="417"/>
      <c r="AS1163" s="426" t="s">
        <v>1072</v>
      </c>
      <c r="AT1163" s="426" t="s">
        <v>1072</v>
      </c>
      <c r="AU1163" s="426" t="s">
        <v>1072</v>
      </c>
      <c r="AV1163" s="409"/>
    </row>
    <row r="1164" spans="1:48" s="402" customFormat="1">
      <c r="A1164" s="445"/>
      <c r="B1164" s="445"/>
      <c r="C1164" s="445"/>
      <c r="D1164" s="443" t="s">
        <v>1914</v>
      </c>
      <c r="E1164" s="432"/>
      <c r="F1164" s="432"/>
      <c r="G1164" s="432"/>
      <c r="H1164" s="360"/>
      <c r="I1164" s="443" t="s">
        <v>1498</v>
      </c>
      <c r="J1164" s="433"/>
      <c r="K1164" s="434" t="s">
        <v>3523</v>
      </c>
      <c r="L1164" s="432" t="s">
        <v>1915</v>
      </c>
      <c r="M1164" s="435">
        <v>44657</v>
      </c>
      <c r="N1164" s="435">
        <v>44743</v>
      </c>
      <c r="O1164" s="435"/>
      <c r="P1164" s="433"/>
      <c r="Q1164" s="433"/>
      <c r="R1164" s="433"/>
      <c r="S1164" s="432" t="s">
        <v>1443</v>
      </c>
      <c r="T1164" s="432">
        <v>60</v>
      </c>
      <c r="U1164" s="432" t="s">
        <v>1102</v>
      </c>
      <c r="V1164" s="432" t="s">
        <v>3522</v>
      </c>
      <c r="W1164" s="432">
        <v>410</v>
      </c>
      <c r="X1164" s="436">
        <v>10816</v>
      </c>
      <c r="Y1164" s="408">
        <f t="shared" si="140"/>
        <v>4434560</v>
      </c>
      <c r="Z1164" s="409">
        <v>0.51</v>
      </c>
      <c r="AA1164" s="410">
        <f t="shared" si="141"/>
        <v>2261625.6</v>
      </c>
      <c r="AB1164" s="410"/>
      <c r="AC1164" s="412">
        <v>0</v>
      </c>
      <c r="AD1164" s="421"/>
      <c r="AE1164" s="413"/>
      <c r="AF1164" s="424">
        <f t="shared" si="143"/>
        <v>2261625.6</v>
      </c>
      <c r="AG1164" s="432" t="s">
        <v>47</v>
      </c>
      <c r="AH1164" s="432"/>
      <c r="AI1164" s="434" t="s">
        <v>1916</v>
      </c>
      <c r="AJ1164" s="432" t="s">
        <v>1917</v>
      </c>
      <c r="AK1164" s="440" t="s">
        <v>50</v>
      </c>
      <c r="AL1164" s="432">
        <v>91730</v>
      </c>
      <c r="AM1164" s="432" t="s">
        <v>52</v>
      </c>
      <c r="AN1164" s="432" t="s">
        <v>50</v>
      </c>
      <c r="AO1164" s="405"/>
      <c r="AP1164" s="417" t="s">
        <v>92</v>
      </c>
      <c r="AQ1164" s="417" t="s">
        <v>37</v>
      </c>
      <c r="AR1164" s="417"/>
      <c r="AS1164" s="426" t="s">
        <v>1072</v>
      </c>
      <c r="AT1164" s="426" t="s">
        <v>1072</v>
      </c>
      <c r="AU1164" s="426" t="s">
        <v>1072</v>
      </c>
      <c r="AV1164" s="409"/>
    </row>
    <row r="1165" spans="1:48" s="402" customFormat="1">
      <c r="A1165" s="445"/>
      <c r="B1165" s="445"/>
      <c r="C1165" s="445"/>
      <c r="D1165" s="443" t="s">
        <v>1914</v>
      </c>
      <c r="E1165" s="432"/>
      <c r="F1165" s="432"/>
      <c r="G1165" s="432"/>
      <c r="H1165" s="360"/>
      <c r="I1165" s="443" t="s">
        <v>1498</v>
      </c>
      <c r="J1165" s="433"/>
      <c r="K1165" s="434" t="s">
        <v>3524</v>
      </c>
      <c r="L1165" s="432" t="s">
        <v>1915</v>
      </c>
      <c r="M1165" s="435">
        <v>44657</v>
      </c>
      <c r="N1165" s="435">
        <v>44774</v>
      </c>
      <c r="O1165" s="435"/>
      <c r="P1165" s="433"/>
      <c r="Q1165" s="433"/>
      <c r="R1165" s="433"/>
      <c r="S1165" s="432" t="s">
        <v>1443</v>
      </c>
      <c r="T1165" s="432">
        <v>60</v>
      </c>
      <c r="U1165" s="432" t="s">
        <v>1102</v>
      </c>
      <c r="V1165" s="432" t="s">
        <v>3522</v>
      </c>
      <c r="W1165" s="432">
        <v>410</v>
      </c>
      <c r="X1165" s="436">
        <v>12480</v>
      </c>
      <c r="Y1165" s="408">
        <f t="shared" si="140"/>
        <v>5116800</v>
      </c>
      <c r="Z1165" s="409">
        <v>0.51</v>
      </c>
      <c r="AA1165" s="410">
        <f t="shared" si="141"/>
        <v>2609568</v>
      </c>
      <c r="AB1165" s="410"/>
      <c r="AC1165" s="412">
        <v>0</v>
      </c>
      <c r="AD1165" s="421"/>
      <c r="AE1165" s="413"/>
      <c r="AF1165" s="424">
        <f t="shared" si="143"/>
        <v>2609568</v>
      </c>
      <c r="AG1165" s="432" t="s">
        <v>47</v>
      </c>
      <c r="AH1165" s="432"/>
      <c r="AI1165" s="434" t="s">
        <v>1916</v>
      </c>
      <c r="AJ1165" s="432" t="s">
        <v>1917</v>
      </c>
      <c r="AK1165" s="440" t="s">
        <v>50</v>
      </c>
      <c r="AL1165" s="432">
        <v>91730</v>
      </c>
      <c r="AM1165" s="432" t="s">
        <v>52</v>
      </c>
      <c r="AN1165" s="432" t="s">
        <v>50</v>
      </c>
      <c r="AO1165" s="405"/>
      <c r="AP1165" s="417" t="s">
        <v>92</v>
      </c>
      <c r="AQ1165" s="417" t="s">
        <v>37</v>
      </c>
      <c r="AR1165" s="417"/>
      <c r="AS1165" s="426" t="s">
        <v>1072</v>
      </c>
      <c r="AT1165" s="426" t="s">
        <v>1072</v>
      </c>
      <c r="AU1165" s="426" t="s">
        <v>1072</v>
      </c>
      <c r="AV1165" s="409"/>
    </row>
    <row r="1166" spans="1:48" s="402" customFormat="1">
      <c r="A1166" s="445"/>
      <c r="B1166" s="445"/>
      <c r="C1166" s="445"/>
      <c r="D1166" s="443" t="s">
        <v>1914</v>
      </c>
      <c r="E1166" s="432"/>
      <c r="F1166" s="432"/>
      <c r="G1166" s="432"/>
      <c r="H1166" s="360"/>
      <c r="I1166" s="443" t="s">
        <v>1498</v>
      </c>
      <c r="J1166" s="433"/>
      <c r="K1166" s="434" t="s">
        <v>3525</v>
      </c>
      <c r="L1166" s="432" t="s">
        <v>1915</v>
      </c>
      <c r="M1166" s="435">
        <v>44657</v>
      </c>
      <c r="N1166" s="435">
        <v>44774</v>
      </c>
      <c r="O1166" s="435"/>
      <c r="P1166" s="433"/>
      <c r="Q1166" s="433"/>
      <c r="R1166" s="433"/>
      <c r="S1166" s="432" t="s">
        <v>1443</v>
      </c>
      <c r="T1166" s="432">
        <v>60</v>
      </c>
      <c r="U1166" s="432" t="s">
        <v>1102</v>
      </c>
      <c r="V1166" s="432" t="s">
        <v>3522</v>
      </c>
      <c r="W1166" s="432">
        <v>410</v>
      </c>
      <c r="X1166" s="436">
        <v>10816</v>
      </c>
      <c r="Y1166" s="408">
        <f t="shared" si="140"/>
        <v>4434560</v>
      </c>
      <c r="Z1166" s="409">
        <v>0.51</v>
      </c>
      <c r="AA1166" s="410">
        <f t="shared" si="141"/>
        <v>2261625.6</v>
      </c>
      <c r="AB1166" s="410"/>
      <c r="AC1166" s="412">
        <v>0</v>
      </c>
      <c r="AD1166" s="421"/>
      <c r="AE1166" s="413"/>
      <c r="AF1166" s="424">
        <f t="shared" si="143"/>
        <v>2261625.6</v>
      </c>
      <c r="AG1166" s="432" t="s">
        <v>47</v>
      </c>
      <c r="AH1166" s="432"/>
      <c r="AI1166" s="434" t="s">
        <v>1916</v>
      </c>
      <c r="AJ1166" s="432" t="s">
        <v>1917</v>
      </c>
      <c r="AK1166" s="440" t="s">
        <v>50</v>
      </c>
      <c r="AL1166" s="432">
        <v>91730</v>
      </c>
      <c r="AM1166" s="432" t="s">
        <v>52</v>
      </c>
      <c r="AN1166" s="432" t="s">
        <v>50</v>
      </c>
      <c r="AO1166" s="405"/>
      <c r="AP1166" s="417" t="s">
        <v>92</v>
      </c>
      <c r="AQ1166" s="417" t="s">
        <v>37</v>
      </c>
      <c r="AR1166" s="417"/>
      <c r="AS1166" s="426" t="s">
        <v>1072</v>
      </c>
      <c r="AT1166" s="426" t="s">
        <v>1072</v>
      </c>
      <c r="AU1166" s="426" t="s">
        <v>1072</v>
      </c>
      <c r="AV1166" s="409"/>
    </row>
    <row r="1167" spans="1:48" s="402" customFormat="1">
      <c r="A1167" s="445"/>
      <c r="B1167" s="445"/>
      <c r="C1167" s="445"/>
      <c r="D1167" s="443" t="s">
        <v>1914</v>
      </c>
      <c r="E1167" s="432"/>
      <c r="F1167" s="432"/>
      <c r="G1167" s="432"/>
      <c r="H1167" s="360"/>
      <c r="I1167" s="443" t="s">
        <v>1498</v>
      </c>
      <c r="J1167" s="433"/>
      <c r="K1167" s="434" t="s">
        <v>3526</v>
      </c>
      <c r="L1167" s="432" t="s">
        <v>1915</v>
      </c>
      <c r="M1167" s="435">
        <v>44657</v>
      </c>
      <c r="N1167" s="435">
        <v>44805</v>
      </c>
      <c r="O1167" s="435"/>
      <c r="P1167" s="433"/>
      <c r="Q1167" s="433"/>
      <c r="R1167" s="433"/>
      <c r="S1167" s="432" t="s">
        <v>1443</v>
      </c>
      <c r="T1167" s="432">
        <v>60</v>
      </c>
      <c r="U1167" s="432" t="s">
        <v>1102</v>
      </c>
      <c r="V1167" s="432" t="s">
        <v>3522</v>
      </c>
      <c r="W1167" s="432">
        <v>410</v>
      </c>
      <c r="X1167" s="436">
        <v>12480</v>
      </c>
      <c r="Y1167" s="408">
        <f t="shared" si="140"/>
        <v>5116800</v>
      </c>
      <c r="Z1167" s="409">
        <v>0.51</v>
      </c>
      <c r="AA1167" s="410">
        <f t="shared" si="141"/>
        <v>2609568</v>
      </c>
      <c r="AB1167" s="410"/>
      <c r="AC1167" s="412">
        <v>0</v>
      </c>
      <c r="AD1167" s="421"/>
      <c r="AE1167" s="413"/>
      <c r="AF1167" s="424">
        <f t="shared" si="143"/>
        <v>2609568</v>
      </c>
      <c r="AG1167" s="432" t="s">
        <v>47</v>
      </c>
      <c r="AH1167" s="432"/>
      <c r="AI1167" s="434" t="s">
        <v>1916</v>
      </c>
      <c r="AJ1167" s="432" t="s">
        <v>1917</v>
      </c>
      <c r="AK1167" s="440" t="s">
        <v>50</v>
      </c>
      <c r="AL1167" s="432">
        <v>91730</v>
      </c>
      <c r="AM1167" s="432" t="s">
        <v>52</v>
      </c>
      <c r="AN1167" s="432" t="s">
        <v>50</v>
      </c>
      <c r="AO1167" s="405"/>
      <c r="AP1167" s="417" t="s">
        <v>92</v>
      </c>
      <c r="AQ1167" s="417" t="s">
        <v>37</v>
      </c>
      <c r="AR1167" s="417"/>
      <c r="AS1167" s="426" t="s">
        <v>1072</v>
      </c>
      <c r="AT1167" s="426" t="s">
        <v>1072</v>
      </c>
      <c r="AU1167" s="426" t="s">
        <v>1072</v>
      </c>
      <c r="AV1167" s="409"/>
    </row>
    <row r="1168" spans="1:48" s="402" customFormat="1">
      <c r="A1168" s="445"/>
      <c r="B1168" s="445"/>
      <c r="C1168" s="445"/>
      <c r="D1168" s="443" t="s">
        <v>1914</v>
      </c>
      <c r="E1168" s="432"/>
      <c r="F1168" s="432"/>
      <c r="G1168" s="432"/>
      <c r="H1168" s="360"/>
      <c r="I1168" s="443" t="s">
        <v>1498</v>
      </c>
      <c r="J1168" s="433"/>
      <c r="K1168" s="434" t="s">
        <v>3527</v>
      </c>
      <c r="L1168" s="432" t="s">
        <v>1915</v>
      </c>
      <c r="M1168" s="435">
        <v>44657</v>
      </c>
      <c r="N1168" s="435">
        <v>44805</v>
      </c>
      <c r="O1168" s="435"/>
      <c r="P1168" s="433"/>
      <c r="Q1168" s="433"/>
      <c r="R1168" s="433"/>
      <c r="S1168" s="432" t="s">
        <v>1443</v>
      </c>
      <c r="T1168" s="432">
        <v>60</v>
      </c>
      <c r="U1168" s="432" t="s">
        <v>1102</v>
      </c>
      <c r="V1168" s="432" t="s">
        <v>3522</v>
      </c>
      <c r="W1168" s="432">
        <v>410</v>
      </c>
      <c r="X1168" s="436">
        <v>10816</v>
      </c>
      <c r="Y1168" s="408">
        <f t="shared" si="140"/>
        <v>4434560</v>
      </c>
      <c r="Z1168" s="409">
        <v>0.51</v>
      </c>
      <c r="AA1168" s="410">
        <f t="shared" si="141"/>
        <v>2261625.6</v>
      </c>
      <c r="AB1168" s="410"/>
      <c r="AC1168" s="412">
        <v>0</v>
      </c>
      <c r="AD1168" s="421"/>
      <c r="AE1168" s="413"/>
      <c r="AF1168" s="424">
        <f t="shared" si="143"/>
        <v>2261625.6</v>
      </c>
      <c r="AG1168" s="432" t="s">
        <v>47</v>
      </c>
      <c r="AH1168" s="432"/>
      <c r="AI1168" s="434" t="s">
        <v>1916</v>
      </c>
      <c r="AJ1168" s="432" t="s">
        <v>1917</v>
      </c>
      <c r="AK1168" s="440" t="s">
        <v>50</v>
      </c>
      <c r="AL1168" s="432">
        <v>91730</v>
      </c>
      <c r="AM1168" s="432" t="s">
        <v>52</v>
      </c>
      <c r="AN1168" s="432" t="s">
        <v>50</v>
      </c>
      <c r="AO1168" s="405"/>
      <c r="AP1168" s="417" t="s">
        <v>92</v>
      </c>
      <c r="AQ1168" s="417" t="s">
        <v>37</v>
      </c>
      <c r="AR1168" s="417"/>
      <c r="AS1168" s="426" t="s">
        <v>1072</v>
      </c>
      <c r="AT1168" s="426" t="s">
        <v>1072</v>
      </c>
      <c r="AU1168" s="426" t="s">
        <v>1072</v>
      </c>
      <c r="AV1168" s="409"/>
    </row>
    <row r="1169" spans="1:48" s="402" customFormat="1">
      <c r="A1169" s="445"/>
      <c r="B1169" s="445"/>
      <c r="C1169" s="445"/>
      <c r="D1169" s="443" t="s">
        <v>1914</v>
      </c>
      <c r="E1169" s="432"/>
      <c r="F1169" s="432"/>
      <c r="G1169" s="432"/>
      <c r="H1169" s="360"/>
      <c r="I1169" s="443" t="s">
        <v>1498</v>
      </c>
      <c r="J1169" s="433"/>
      <c r="K1169" s="434" t="s">
        <v>3528</v>
      </c>
      <c r="L1169" s="432" t="s">
        <v>1915</v>
      </c>
      <c r="M1169" s="435">
        <v>44657</v>
      </c>
      <c r="N1169" s="435">
        <v>44835</v>
      </c>
      <c r="O1169" s="435"/>
      <c r="P1169" s="433"/>
      <c r="Q1169" s="433"/>
      <c r="R1169" s="433"/>
      <c r="S1169" s="432" t="s">
        <v>1443</v>
      </c>
      <c r="T1169" s="432">
        <v>60</v>
      </c>
      <c r="U1169" s="432" t="s">
        <v>1102</v>
      </c>
      <c r="V1169" s="432" t="s">
        <v>3522</v>
      </c>
      <c r="W1169" s="432">
        <v>410</v>
      </c>
      <c r="X1169" s="436">
        <v>12480</v>
      </c>
      <c r="Y1169" s="408">
        <f t="shared" ref="Y1169:Y1232" si="145">X1169*W1169</f>
        <v>5116800</v>
      </c>
      <c r="Z1169" s="409">
        <v>0.51</v>
      </c>
      <c r="AA1169" s="410">
        <f t="shared" ref="AA1169:AA1232" si="146">Z1169*Y1169</f>
        <v>2609568</v>
      </c>
      <c r="AB1169" s="410"/>
      <c r="AC1169" s="412">
        <v>0</v>
      </c>
      <c r="AD1169" s="421"/>
      <c r="AE1169" s="413"/>
      <c r="AF1169" s="424">
        <f t="shared" ref="AF1169:AF1207" si="147">AA1169+AE1169</f>
        <v>2609568</v>
      </c>
      <c r="AG1169" s="432" t="s">
        <v>47</v>
      </c>
      <c r="AH1169" s="432"/>
      <c r="AI1169" s="434" t="s">
        <v>1916</v>
      </c>
      <c r="AJ1169" s="432" t="s">
        <v>1917</v>
      </c>
      <c r="AK1169" s="440" t="s">
        <v>50</v>
      </c>
      <c r="AL1169" s="432">
        <v>91730</v>
      </c>
      <c r="AM1169" s="432" t="s">
        <v>52</v>
      </c>
      <c r="AN1169" s="432" t="s">
        <v>50</v>
      </c>
      <c r="AO1169" s="405"/>
      <c r="AP1169" s="417" t="s">
        <v>92</v>
      </c>
      <c r="AQ1169" s="417" t="s">
        <v>37</v>
      </c>
      <c r="AR1169" s="417"/>
      <c r="AS1169" s="426" t="s">
        <v>1072</v>
      </c>
      <c r="AT1169" s="426" t="s">
        <v>1072</v>
      </c>
      <c r="AU1169" s="426" t="s">
        <v>1072</v>
      </c>
      <c r="AV1169" s="409"/>
    </row>
    <row r="1170" spans="1:48" s="402" customFormat="1">
      <c r="A1170" s="445"/>
      <c r="B1170" s="445"/>
      <c r="C1170" s="445"/>
      <c r="D1170" s="443" t="s">
        <v>1914</v>
      </c>
      <c r="E1170" s="432"/>
      <c r="F1170" s="432"/>
      <c r="G1170" s="432"/>
      <c r="H1170" s="360"/>
      <c r="I1170" s="443" t="s">
        <v>1498</v>
      </c>
      <c r="J1170" s="433"/>
      <c r="K1170" s="434" t="s">
        <v>3529</v>
      </c>
      <c r="L1170" s="432" t="s">
        <v>1915</v>
      </c>
      <c r="M1170" s="435">
        <v>44657</v>
      </c>
      <c r="N1170" s="435">
        <v>44835</v>
      </c>
      <c r="O1170" s="435"/>
      <c r="P1170" s="433"/>
      <c r="Q1170" s="433"/>
      <c r="R1170" s="433"/>
      <c r="S1170" s="432" t="s">
        <v>1443</v>
      </c>
      <c r="T1170" s="432">
        <v>60</v>
      </c>
      <c r="U1170" s="432" t="s">
        <v>1102</v>
      </c>
      <c r="V1170" s="432" t="s">
        <v>3522</v>
      </c>
      <c r="W1170" s="432">
        <v>410</v>
      </c>
      <c r="X1170" s="436">
        <v>10816</v>
      </c>
      <c r="Y1170" s="408">
        <f t="shared" si="145"/>
        <v>4434560</v>
      </c>
      <c r="Z1170" s="409">
        <v>0.51</v>
      </c>
      <c r="AA1170" s="410">
        <f t="shared" si="146"/>
        <v>2261625.6</v>
      </c>
      <c r="AB1170" s="410"/>
      <c r="AC1170" s="412">
        <v>0</v>
      </c>
      <c r="AD1170" s="421"/>
      <c r="AE1170" s="413"/>
      <c r="AF1170" s="424">
        <f t="shared" si="147"/>
        <v>2261625.6</v>
      </c>
      <c r="AG1170" s="432" t="s">
        <v>47</v>
      </c>
      <c r="AH1170" s="432"/>
      <c r="AI1170" s="434" t="s">
        <v>1916</v>
      </c>
      <c r="AJ1170" s="432" t="s">
        <v>1917</v>
      </c>
      <c r="AK1170" s="440" t="s">
        <v>50</v>
      </c>
      <c r="AL1170" s="432">
        <v>91730</v>
      </c>
      <c r="AM1170" s="432" t="s">
        <v>52</v>
      </c>
      <c r="AN1170" s="432" t="s">
        <v>50</v>
      </c>
      <c r="AO1170" s="405"/>
      <c r="AP1170" s="417" t="s">
        <v>92</v>
      </c>
      <c r="AQ1170" s="417" t="s">
        <v>37</v>
      </c>
      <c r="AR1170" s="417"/>
      <c r="AS1170" s="426" t="s">
        <v>1072</v>
      </c>
      <c r="AT1170" s="426" t="s">
        <v>1072</v>
      </c>
      <c r="AU1170" s="426" t="s">
        <v>1072</v>
      </c>
      <c r="AV1170" s="409"/>
    </row>
    <row r="1171" spans="1:48" s="402" customFormat="1">
      <c r="A1171" s="445"/>
      <c r="B1171" s="445"/>
      <c r="C1171" s="445"/>
      <c r="D1171" s="443" t="s">
        <v>1914</v>
      </c>
      <c r="E1171" s="432"/>
      <c r="F1171" s="432"/>
      <c r="G1171" s="432"/>
      <c r="H1171" s="360"/>
      <c r="I1171" s="443" t="s">
        <v>1498</v>
      </c>
      <c r="J1171" s="433"/>
      <c r="K1171" s="434" t="s">
        <v>3530</v>
      </c>
      <c r="L1171" s="432" t="s">
        <v>1915</v>
      </c>
      <c r="M1171" s="435">
        <v>44657</v>
      </c>
      <c r="N1171" s="435">
        <v>44835</v>
      </c>
      <c r="O1171" s="435"/>
      <c r="P1171" s="433"/>
      <c r="Q1171" s="433"/>
      <c r="R1171" s="433"/>
      <c r="S1171" s="432" t="s">
        <v>1443</v>
      </c>
      <c r="T1171" s="432">
        <v>60</v>
      </c>
      <c r="U1171" s="432" t="s">
        <v>1102</v>
      </c>
      <c r="V1171" s="432" t="s">
        <v>3522</v>
      </c>
      <c r="W1171" s="432">
        <v>410</v>
      </c>
      <c r="X1171" s="436">
        <v>12480</v>
      </c>
      <c r="Y1171" s="408">
        <f t="shared" si="145"/>
        <v>5116800</v>
      </c>
      <c r="Z1171" s="409">
        <v>0.51</v>
      </c>
      <c r="AA1171" s="410">
        <f t="shared" si="146"/>
        <v>2609568</v>
      </c>
      <c r="AB1171" s="410"/>
      <c r="AC1171" s="412">
        <v>0</v>
      </c>
      <c r="AD1171" s="421"/>
      <c r="AE1171" s="413"/>
      <c r="AF1171" s="424">
        <f t="shared" si="147"/>
        <v>2609568</v>
      </c>
      <c r="AG1171" s="432" t="s">
        <v>47</v>
      </c>
      <c r="AH1171" s="432"/>
      <c r="AI1171" s="434" t="s">
        <v>1916</v>
      </c>
      <c r="AJ1171" s="432" t="s">
        <v>1917</v>
      </c>
      <c r="AK1171" s="440" t="s">
        <v>50</v>
      </c>
      <c r="AL1171" s="432">
        <v>91730</v>
      </c>
      <c r="AM1171" s="432" t="s">
        <v>52</v>
      </c>
      <c r="AN1171" s="432" t="s">
        <v>50</v>
      </c>
      <c r="AO1171" s="405"/>
      <c r="AP1171" s="417" t="s">
        <v>92</v>
      </c>
      <c r="AQ1171" s="417" t="s">
        <v>37</v>
      </c>
      <c r="AR1171" s="417"/>
      <c r="AS1171" s="426" t="s">
        <v>1072</v>
      </c>
      <c r="AT1171" s="426" t="s">
        <v>1072</v>
      </c>
      <c r="AU1171" s="426" t="s">
        <v>1072</v>
      </c>
      <c r="AV1171" s="409"/>
    </row>
    <row r="1172" spans="1:48" s="402" customFormat="1">
      <c r="A1172" s="445"/>
      <c r="B1172" s="445"/>
      <c r="C1172" s="445"/>
      <c r="D1172" s="443" t="s">
        <v>1914</v>
      </c>
      <c r="E1172" s="432"/>
      <c r="F1172" s="432"/>
      <c r="G1172" s="432"/>
      <c r="H1172" s="360"/>
      <c r="I1172" s="443" t="s">
        <v>1498</v>
      </c>
      <c r="J1172" s="433"/>
      <c r="K1172" s="434" t="s">
        <v>3531</v>
      </c>
      <c r="L1172" s="432" t="s">
        <v>1915</v>
      </c>
      <c r="M1172" s="435">
        <v>44657</v>
      </c>
      <c r="N1172" s="435">
        <v>44866</v>
      </c>
      <c r="O1172" s="435"/>
      <c r="P1172" s="433"/>
      <c r="Q1172" s="433"/>
      <c r="R1172" s="433"/>
      <c r="S1172" s="432" t="s">
        <v>1443</v>
      </c>
      <c r="T1172" s="432">
        <v>60</v>
      </c>
      <c r="U1172" s="432" t="s">
        <v>1102</v>
      </c>
      <c r="V1172" s="432" t="s">
        <v>3522</v>
      </c>
      <c r="W1172" s="432">
        <v>410</v>
      </c>
      <c r="X1172" s="436">
        <v>8320</v>
      </c>
      <c r="Y1172" s="408">
        <f t="shared" si="145"/>
        <v>3411200</v>
      </c>
      <c r="Z1172" s="409">
        <v>0.51</v>
      </c>
      <c r="AA1172" s="410">
        <f t="shared" si="146"/>
        <v>1739712</v>
      </c>
      <c r="AB1172" s="410"/>
      <c r="AC1172" s="412">
        <v>0</v>
      </c>
      <c r="AD1172" s="421"/>
      <c r="AE1172" s="413"/>
      <c r="AF1172" s="424">
        <f t="shared" si="147"/>
        <v>1739712</v>
      </c>
      <c r="AG1172" s="432" t="s">
        <v>47</v>
      </c>
      <c r="AH1172" s="432"/>
      <c r="AI1172" s="434" t="s">
        <v>1916</v>
      </c>
      <c r="AJ1172" s="432" t="s">
        <v>1917</v>
      </c>
      <c r="AK1172" s="440" t="s">
        <v>50</v>
      </c>
      <c r="AL1172" s="432">
        <v>91730</v>
      </c>
      <c r="AM1172" s="432" t="s">
        <v>52</v>
      </c>
      <c r="AN1172" s="432" t="s">
        <v>50</v>
      </c>
      <c r="AO1172" s="405"/>
      <c r="AP1172" s="417" t="s">
        <v>92</v>
      </c>
      <c r="AQ1172" s="417" t="s">
        <v>37</v>
      </c>
      <c r="AR1172" s="417"/>
      <c r="AS1172" s="426" t="s">
        <v>1072</v>
      </c>
      <c r="AT1172" s="426" t="s">
        <v>1072</v>
      </c>
      <c r="AU1172" s="426" t="s">
        <v>1072</v>
      </c>
      <c r="AV1172" s="409"/>
    </row>
    <row r="1173" spans="1:48" s="402" customFormat="1">
      <c r="A1173" s="445"/>
      <c r="B1173" s="445"/>
      <c r="C1173" s="445"/>
      <c r="D1173" s="443" t="s">
        <v>1914</v>
      </c>
      <c r="E1173" s="432"/>
      <c r="F1173" s="432"/>
      <c r="G1173" s="432"/>
      <c r="H1173" s="360"/>
      <c r="I1173" s="443" t="s">
        <v>1498</v>
      </c>
      <c r="J1173" s="433"/>
      <c r="K1173" s="434" t="s">
        <v>3532</v>
      </c>
      <c r="L1173" s="432" t="s">
        <v>1915</v>
      </c>
      <c r="M1173" s="435">
        <v>44657</v>
      </c>
      <c r="N1173" s="435">
        <v>44896</v>
      </c>
      <c r="O1173" s="435"/>
      <c r="P1173" s="433"/>
      <c r="Q1173" s="433"/>
      <c r="R1173" s="433"/>
      <c r="S1173" s="432" t="s">
        <v>1443</v>
      </c>
      <c r="T1173" s="432">
        <v>60</v>
      </c>
      <c r="U1173" s="432" t="s">
        <v>1102</v>
      </c>
      <c r="V1173" s="432" t="s">
        <v>3522</v>
      </c>
      <c r="W1173" s="432">
        <v>410</v>
      </c>
      <c r="X1173" s="436">
        <v>12480</v>
      </c>
      <c r="Y1173" s="408">
        <f t="shared" si="145"/>
        <v>5116800</v>
      </c>
      <c r="Z1173" s="409">
        <v>0.51</v>
      </c>
      <c r="AA1173" s="410">
        <f t="shared" si="146"/>
        <v>2609568</v>
      </c>
      <c r="AB1173" s="410"/>
      <c r="AC1173" s="412">
        <v>0</v>
      </c>
      <c r="AD1173" s="421"/>
      <c r="AE1173" s="413"/>
      <c r="AF1173" s="424">
        <f t="shared" si="147"/>
        <v>2609568</v>
      </c>
      <c r="AG1173" s="432" t="s">
        <v>47</v>
      </c>
      <c r="AH1173" s="432"/>
      <c r="AI1173" s="434" t="s">
        <v>1916</v>
      </c>
      <c r="AJ1173" s="432" t="s">
        <v>1917</v>
      </c>
      <c r="AK1173" s="440" t="s">
        <v>50</v>
      </c>
      <c r="AL1173" s="432">
        <v>91730</v>
      </c>
      <c r="AM1173" s="432" t="s">
        <v>52</v>
      </c>
      <c r="AN1173" s="432" t="s">
        <v>50</v>
      </c>
      <c r="AO1173" s="405"/>
      <c r="AP1173" s="417" t="s">
        <v>92</v>
      </c>
      <c r="AQ1173" s="417" t="s">
        <v>37</v>
      </c>
      <c r="AR1173" s="417"/>
      <c r="AS1173" s="426" t="s">
        <v>1072</v>
      </c>
      <c r="AT1173" s="426" t="s">
        <v>1072</v>
      </c>
      <c r="AU1173" s="426" t="s">
        <v>1072</v>
      </c>
      <c r="AV1173" s="409"/>
    </row>
    <row r="1174" spans="1:48" s="402" customFormat="1">
      <c r="A1174" s="445"/>
      <c r="B1174" s="445"/>
      <c r="C1174" s="445"/>
      <c r="D1174" s="443" t="s">
        <v>1914</v>
      </c>
      <c r="E1174" s="432"/>
      <c r="F1174" s="432"/>
      <c r="G1174" s="432"/>
      <c r="H1174" s="360"/>
      <c r="I1174" s="443" t="s">
        <v>1498</v>
      </c>
      <c r="J1174" s="433"/>
      <c r="K1174" s="434" t="s">
        <v>3533</v>
      </c>
      <c r="L1174" s="432" t="s">
        <v>1915</v>
      </c>
      <c r="M1174" s="435">
        <v>44657</v>
      </c>
      <c r="N1174" s="435">
        <v>44896</v>
      </c>
      <c r="O1174" s="435"/>
      <c r="P1174" s="433"/>
      <c r="Q1174" s="433"/>
      <c r="R1174" s="433"/>
      <c r="S1174" s="432" t="s">
        <v>1443</v>
      </c>
      <c r="T1174" s="432">
        <v>60</v>
      </c>
      <c r="U1174" s="432" t="s">
        <v>1102</v>
      </c>
      <c r="V1174" s="432" t="s">
        <v>3522</v>
      </c>
      <c r="W1174" s="432">
        <v>410</v>
      </c>
      <c r="X1174" s="436">
        <v>8320</v>
      </c>
      <c r="Y1174" s="408">
        <f t="shared" si="145"/>
        <v>3411200</v>
      </c>
      <c r="Z1174" s="409">
        <v>0.51</v>
      </c>
      <c r="AA1174" s="410">
        <f t="shared" si="146"/>
        <v>1739712</v>
      </c>
      <c r="AB1174" s="410"/>
      <c r="AC1174" s="412">
        <v>0</v>
      </c>
      <c r="AD1174" s="421"/>
      <c r="AE1174" s="413"/>
      <c r="AF1174" s="424">
        <f t="shared" si="147"/>
        <v>1739712</v>
      </c>
      <c r="AG1174" s="432" t="s">
        <v>47</v>
      </c>
      <c r="AH1174" s="432"/>
      <c r="AI1174" s="434" t="s">
        <v>1916</v>
      </c>
      <c r="AJ1174" s="432" t="s">
        <v>1917</v>
      </c>
      <c r="AK1174" s="440" t="s">
        <v>50</v>
      </c>
      <c r="AL1174" s="432">
        <v>91730</v>
      </c>
      <c r="AM1174" s="432" t="s">
        <v>52</v>
      </c>
      <c r="AN1174" s="432" t="s">
        <v>50</v>
      </c>
      <c r="AO1174" s="405"/>
      <c r="AP1174" s="417" t="s">
        <v>92</v>
      </c>
      <c r="AQ1174" s="417" t="s">
        <v>37</v>
      </c>
      <c r="AR1174" s="417"/>
      <c r="AS1174" s="426" t="s">
        <v>1072</v>
      </c>
      <c r="AT1174" s="426" t="s">
        <v>1072</v>
      </c>
      <c r="AU1174" s="426" t="s">
        <v>1072</v>
      </c>
      <c r="AV1174" s="409"/>
    </row>
    <row r="1175" spans="1:48" s="402" customFormat="1">
      <c r="A1175" s="445"/>
      <c r="B1175" s="445"/>
      <c r="C1175" s="445"/>
      <c r="D1175" s="443" t="s">
        <v>1914</v>
      </c>
      <c r="E1175" s="432"/>
      <c r="F1175" s="432"/>
      <c r="G1175" s="432"/>
      <c r="H1175" s="360"/>
      <c r="I1175" s="443" t="s">
        <v>1498</v>
      </c>
      <c r="J1175" s="433"/>
      <c r="K1175" s="434" t="s">
        <v>3534</v>
      </c>
      <c r="L1175" s="432" t="s">
        <v>1915</v>
      </c>
      <c r="M1175" s="435">
        <v>44657</v>
      </c>
      <c r="N1175" s="435">
        <v>44743</v>
      </c>
      <c r="O1175" s="435"/>
      <c r="P1175" s="433"/>
      <c r="Q1175" s="433"/>
      <c r="R1175" s="433"/>
      <c r="S1175" s="432" t="s">
        <v>1443</v>
      </c>
      <c r="T1175" s="432">
        <v>60</v>
      </c>
      <c r="U1175" s="432" t="s">
        <v>1102</v>
      </c>
      <c r="V1175" s="432" t="s">
        <v>3522</v>
      </c>
      <c r="W1175" s="432">
        <v>410</v>
      </c>
      <c r="X1175" s="436">
        <v>9984</v>
      </c>
      <c r="Y1175" s="408">
        <f t="shared" si="145"/>
        <v>4093440</v>
      </c>
      <c r="Z1175" s="409">
        <v>0.51</v>
      </c>
      <c r="AA1175" s="410">
        <f t="shared" si="146"/>
        <v>2087654.4000000001</v>
      </c>
      <c r="AB1175" s="410"/>
      <c r="AC1175" s="412">
        <v>0</v>
      </c>
      <c r="AD1175" s="421"/>
      <c r="AE1175" s="413"/>
      <c r="AF1175" s="424">
        <f t="shared" si="147"/>
        <v>2087654.4000000001</v>
      </c>
      <c r="AG1175" s="432" t="s">
        <v>47</v>
      </c>
      <c r="AH1175" s="432"/>
      <c r="AI1175" s="434" t="s">
        <v>1916</v>
      </c>
      <c r="AJ1175" s="432" t="s">
        <v>1919</v>
      </c>
      <c r="AK1175" s="440" t="s">
        <v>1292</v>
      </c>
      <c r="AL1175" s="432">
        <v>17402</v>
      </c>
      <c r="AM1175" s="432" t="s">
        <v>52</v>
      </c>
      <c r="AN1175" s="432" t="s">
        <v>50</v>
      </c>
      <c r="AO1175" s="405"/>
      <c r="AP1175" s="417" t="s">
        <v>92</v>
      </c>
      <c r="AQ1175" s="417" t="s">
        <v>37</v>
      </c>
      <c r="AR1175" s="417"/>
      <c r="AS1175" s="426" t="s">
        <v>1072</v>
      </c>
      <c r="AT1175" s="426" t="s">
        <v>1072</v>
      </c>
      <c r="AU1175" s="426" t="s">
        <v>1072</v>
      </c>
      <c r="AV1175" s="409"/>
    </row>
    <row r="1176" spans="1:48" s="402" customFormat="1">
      <c r="A1176" s="445"/>
      <c r="B1176" s="445"/>
      <c r="C1176" s="445"/>
      <c r="D1176" s="443" t="s">
        <v>1914</v>
      </c>
      <c r="E1176" s="432"/>
      <c r="F1176" s="432"/>
      <c r="G1176" s="432"/>
      <c r="H1176" s="360"/>
      <c r="I1176" s="443" t="s">
        <v>1498</v>
      </c>
      <c r="J1176" s="433"/>
      <c r="K1176" s="434" t="s">
        <v>3535</v>
      </c>
      <c r="L1176" s="432" t="s">
        <v>1915</v>
      </c>
      <c r="M1176" s="435">
        <v>44657</v>
      </c>
      <c r="N1176" s="435">
        <v>44774</v>
      </c>
      <c r="O1176" s="435"/>
      <c r="P1176" s="433"/>
      <c r="Q1176" s="433"/>
      <c r="R1176" s="433"/>
      <c r="S1176" s="432" t="s">
        <v>1443</v>
      </c>
      <c r="T1176" s="432">
        <v>60</v>
      </c>
      <c r="U1176" s="432" t="s">
        <v>1102</v>
      </c>
      <c r="V1176" s="432" t="s">
        <v>3522</v>
      </c>
      <c r="W1176" s="432">
        <v>410</v>
      </c>
      <c r="X1176" s="436">
        <v>9984</v>
      </c>
      <c r="Y1176" s="408">
        <f t="shared" si="145"/>
        <v>4093440</v>
      </c>
      <c r="Z1176" s="409">
        <v>0.51</v>
      </c>
      <c r="AA1176" s="410">
        <f t="shared" si="146"/>
        <v>2087654.4000000001</v>
      </c>
      <c r="AB1176" s="410"/>
      <c r="AC1176" s="412">
        <v>0</v>
      </c>
      <c r="AD1176" s="421"/>
      <c r="AE1176" s="413"/>
      <c r="AF1176" s="424">
        <f t="shared" si="147"/>
        <v>2087654.4000000001</v>
      </c>
      <c r="AG1176" s="432" t="s">
        <v>47</v>
      </c>
      <c r="AH1176" s="432"/>
      <c r="AI1176" s="434" t="s">
        <v>1916</v>
      </c>
      <c r="AJ1176" s="432" t="s">
        <v>1919</v>
      </c>
      <c r="AK1176" s="440" t="s">
        <v>1292</v>
      </c>
      <c r="AL1176" s="432">
        <v>17402</v>
      </c>
      <c r="AM1176" s="432" t="s">
        <v>52</v>
      </c>
      <c r="AN1176" s="432" t="s">
        <v>50</v>
      </c>
      <c r="AO1176" s="405"/>
      <c r="AP1176" s="417" t="s">
        <v>92</v>
      </c>
      <c r="AQ1176" s="417" t="s">
        <v>37</v>
      </c>
      <c r="AR1176" s="417"/>
      <c r="AS1176" s="426" t="s">
        <v>1072</v>
      </c>
      <c r="AT1176" s="426" t="s">
        <v>1072</v>
      </c>
      <c r="AU1176" s="426" t="s">
        <v>1072</v>
      </c>
      <c r="AV1176" s="409"/>
    </row>
    <row r="1177" spans="1:48" s="402" customFormat="1">
      <c r="A1177" s="445"/>
      <c r="B1177" s="445"/>
      <c r="C1177" s="445"/>
      <c r="D1177" s="443" t="s">
        <v>1914</v>
      </c>
      <c r="E1177" s="432"/>
      <c r="F1177" s="432"/>
      <c r="G1177" s="432"/>
      <c r="H1177" s="360"/>
      <c r="I1177" s="443" t="s">
        <v>1498</v>
      </c>
      <c r="J1177" s="433"/>
      <c r="K1177" s="434" t="s">
        <v>3536</v>
      </c>
      <c r="L1177" s="432" t="s">
        <v>1915</v>
      </c>
      <c r="M1177" s="435">
        <v>44657</v>
      </c>
      <c r="N1177" s="435">
        <v>44805</v>
      </c>
      <c r="O1177" s="435"/>
      <c r="P1177" s="433"/>
      <c r="Q1177" s="433"/>
      <c r="R1177" s="433"/>
      <c r="S1177" s="432" t="s">
        <v>1443</v>
      </c>
      <c r="T1177" s="432">
        <v>60</v>
      </c>
      <c r="U1177" s="432" t="s">
        <v>1102</v>
      </c>
      <c r="V1177" s="432" t="s">
        <v>3522</v>
      </c>
      <c r="W1177" s="432">
        <v>410</v>
      </c>
      <c r="X1177" s="436">
        <v>9984</v>
      </c>
      <c r="Y1177" s="408">
        <f t="shared" si="145"/>
        <v>4093440</v>
      </c>
      <c r="Z1177" s="409">
        <v>0.51</v>
      </c>
      <c r="AA1177" s="410">
        <f t="shared" si="146"/>
        <v>2087654.4000000001</v>
      </c>
      <c r="AB1177" s="410"/>
      <c r="AC1177" s="412">
        <v>0</v>
      </c>
      <c r="AD1177" s="421"/>
      <c r="AE1177" s="413"/>
      <c r="AF1177" s="424">
        <f t="shared" si="147"/>
        <v>2087654.4000000001</v>
      </c>
      <c r="AG1177" s="432" t="s">
        <v>47</v>
      </c>
      <c r="AH1177" s="432"/>
      <c r="AI1177" s="434" t="s">
        <v>1916</v>
      </c>
      <c r="AJ1177" s="432" t="s">
        <v>1919</v>
      </c>
      <c r="AK1177" s="440" t="s">
        <v>1292</v>
      </c>
      <c r="AL1177" s="432">
        <v>17402</v>
      </c>
      <c r="AM1177" s="432" t="s">
        <v>52</v>
      </c>
      <c r="AN1177" s="432" t="s">
        <v>50</v>
      </c>
      <c r="AO1177" s="405"/>
      <c r="AP1177" s="417" t="s">
        <v>92</v>
      </c>
      <c r="AQ1177" s="417" t="s">
        <v>37</v>
      </c>
      <c r="AR1177" s="417"/>
      <c r="AS1177" s="426" t="s">
        <v>1072</v>
      </c>
      <c r="AT1177" s="426" t="s">
        <v>1072</v>
      </c>
      <c r="AU1177" s="426" t="s">
        <v>1072</v>
      </c>
      <c r="AV1177" s="409"/>
    </row>
    <row r="1178" spans="1:48" s="402" customFormat="1">
      <c r="A1178" s="445"/>
      <c r="B1178" s="445"/>
      <c r="C1178" s="445"/>
      <c r="D1178" s="443" t="s">
        <v>1914</v>
      </c>
      <c r="E1178" s="432"/>
      <c r="F1178" s="432"/>
      <c r="G1178" s="432"/>
      <c r="H1178" s="360"/>
      <c r="I1178" s="443" t="s">
        <v>1498</v>
      </c>
      <c r="J1178" s="433"/>
      <c r="K1178" s="434" t="s">
        <v>3537</v>
      </c>
      <c r="L1178" s="432" t="s">
        <v>1915</v>
      </c>
      <c r="M1178" s="435">
        <v>44657</v>
      </c>
      <c r="N1178" s="435">
        <v>44835</v>
      </c>
      <c r="O1178" s="435"/>
      <c r="P1178" s="433"/>
      <c r="Q1178" s="433"/>
      <c r="R1178" s="433"/>
      <c r="S1178" s="432" t="s">
        <v>1443</v>
      </c>
      <c r="T1178" s="432">
        <v>60</v>
      </c>
      <c r="U1178" s="432" t="s">
        <v>1102</v>
      </c>
      <c r="V1178" s="432" t="s">
        <v>3522</v>
      </c>
      <c r="W1178" s="432">
        <v>410</v>
      </c>
      <c r="X1178" s="436">
        <v>9984</v>
      </c>
      <c r="Y1178" s="408">
        <f t="shared" si="145"/>
        <v>4093440</v>
      </c>
      <c r="Z1178" s="409">
        <v>0.51</v>
      </c>
      <c r="AA1178" s="410">
        <f t="shared" si="146"/>
        <v>2087654.4000000001</v>
      </c>
      <c r="AB1178" s="410"/>
      <c r="AC1178" s="412">
        <v>0</v>
      </c>
      <c r="AD1178" s="421"/>
      <c r="AE1178" s="413"/>
      <c r="AF1178" s="424">
        <f t="shared" si="147"/>
        <v>2087654.4000000001</v>
      </c>
      <c r="AG1178" s="432" t="s">
        <v>47</v>
      </c>
      <c r="AH1178" s="432"/>
      <c r="AI1178" s="434" t="s">
        <v>1916</v>
      </c>
      <c r="AJ1178" s="432" t="s">
        <v>1919</v>
      </c>
      <c r="AK1178" s="440" t="s">
        <v>1292</v>
      </c>
      <c r="AL1178" s="432">
        <v>17402</v>
      </c>
      <c r="AM1178" s="432" t="s">
        <v>52</v>
      </c>
      <c r="AN1178" s="432" t="s">
        <v>50</v>
      </c>
      <c r="AO1178" s="405"/>
      <c r="AP1178" s="417" t="s">
        <v>92</v>
      </c>
      <c r="AQ1178" s="417" t="s">
        <v>37</v>
      </c>
      <c r="AR1178" s="417"/>
      <c r="AS1178" s="426" t="s">
        <v>1072</v>
      </c>
      <c r="AT1178" s="426" t="s">
        <v>1072</v>
      </c>
      <c r="AU1178" s="426" t="s">
        <v>1072</v>
      </c>
      <c r="AV1178" s="409"/>
    </row>
    <row r="1179" spans="1:48" s="402" customFormat="1">
      <c r="A1179" s="445"/>
      <c r="B1179" s="445"/>
      <c r="C1179" s="445"/>
      <c r="D1179" s="443" t="s">
        <v>1914</v>
      </c>
      <c r="E1179" s="432"/>
      <c r="F1179" s="432"/>
      <c r="G1179" s="432"/>
      <c r="H1179" s="360"/>
      <c r="I1179" s="443" t="s">
        <v>1498</v>
      </c>
      <c r="J1179" s="433"/>
      <c r="K1179" s="434" t="s">
        <v>3538</v>
      </c>
      <c r="L1179" s="432" t="s">
        <v>1915</v>
      </c>
      <c r="M1179" s="435">
        <v>44657</v>
      </c>
      <c r="N1179" s="435">
        <v>44866</v>
      </c>
      <c r="O1179" s="435"/>
      <c r="P1179" s="433"/>
      <c r="Q1179" s="433"/>
      <c r="R1179" s="433"/>
      <c r="S1179" s="432" t="s">
        <v>1443</v>
      </c>
      <c r="T1179" s="432">
        <v>60</v>
      </c>
      <c r="U1179" s="432" t="s">
        <v>1102</v>
      </c>
      <c r="V1179" s="432" t="s">
        <v>3522</v>
      </c>
      <c r="W1179" s="432">
        <v>410</v>
      </c>
      <c r="X1179" s="436">
        <v>9984</v>
      </c>
      <c r="Y1179" s="408">
        <f t="shared" si="145"/>
        <v>4093440</v>
      </c>
      <c r="Z1179" s="409">
        <v>0.51</v>
      </c>
      <c r="AA1179" s="410">
        <f t="shared" si="146"/>
        <v>2087654.4000000001</v>
      </c>
      <c r="AB1179" s="410"/>
      <c r="AC1179" s="412">
        <v>0</v>
      </c>
      <c r="AD1179" s="421"/>
      <c r="AE1179" s="413"/>
      <c r="AF1179" s="424">
        <f t="shared" si="147"/>
        <v>2087654.4000000001</v>
      </c>
      <c r="AG1179" s="432" t="s">
        <v>47</v>
      </c>
      <c r="AH1179" s="432"/>
      <c r="AI1179" s="434" t="s">
        <v>1916</v>
      </c>
      <c r="AJ1179" s="432" t="s">
        <v>1919</v>
      </c>
      <c r="AK1179" s="440" t="s">
        <v>1292</v>
      </c>
      <c r="AL1179" s="432">
        <v>17402</v>
      </c>
      <c r="AM1179" s="432" t="s">
        <v>52</v>
      </c>
      <c r="AN1179" s="432" t="s">
        <v>50</v>
      </c>
      <c r="AO1179" s="405"/>
      <c r="AP1179" s="417" t="s">
        <v>92</v>
      </c>
      <c r="AQ1179" s="417" t="s">
        <v>37</v>
      </c>
      <c r="AR1179" s="417"/>
      <c r="AS1179" s="426" t="s">
        <v>1072</v>
      </c>
      <c r="AT1179" s="426" t="s">
        <v>1072</v>
      </c>
      <c r="AU1179" s="426" t="s">
        <v>1072</v>
      </c>
      <c r="AV1179" s="409"/>
    </row>
    <row r="1180" spans="1:48" s="402" customFormat="1">
      <c r="A1180" s="445"/>
      <c r="B1180" s="445"/>
      <c r="C1180" s="445"/>
      <c r="D1180" s="443" t="s">
        <v>1914</v>
      </c>
      <c r="E1180" s="432"/>
      <c r="F1180" s="432"/>
      <c r="G1180" s="432"/>
      <c r="H1180" s="360"/>
      <c r="I1180" s="443" t="s">
        <v>1498</v>
      </c>
      <c r="J1180" s="433"/>
      <c r="K1180" s="434" t="s">
        <v>3539</v>
      </c>
      <c r="L1180" s="432" t="s">
        <v>1915</v>
      </c>
      <c r="M1180" s="435">
        <v>44657</v>
      </c>
      <c r="N1180" s="435">
        <v>44896</v>
      </c>
      <c r="O1180" s="435"/>
      <c r="P1180" s="433"/>
      <c r="Q1180" s="433"/>
      <c r="R1180" s="433"/>
      <c r="S1180" s="432" t="s">
        <v>1443</v>
      </c>
      <c r="T1180" s="432">
        <v>60</v>
      </c>
      <c r="U1180" s="432" t="s">
        <v>1102</v>
      </c>
      <c r="V1180" s="432" t="s">
        <v>3522</v>
      </c>
      <c r="W1180" s="432">
        <v>410</v>
      </c>
      <c r="X1180" s="436">
        <v>9984</v>
      </c>
      <c r="Y1180" s="408">
        <f t="shared" si="145"/>
        <v>4093440</v>
      </c>
      <c r="Z1180" s="409">
        <v>0.51</v>
      </c>
      <c r="AA1180" s="410">
        <f t="shared" si="146"/>
        <v>2087654.4000000001</v>
      </c>
      <c r="AB1180" s="410"/>
      <c r="AC1180" s="412">
        <v>0</v>
      </c>
      <c r="AD1180" s="421"/>
      <c r="AE1180" s="413"/>
      <c r="AF1180" s="424">
        <f t="shared" si="147"/>
        <v>2087654.4000000001</v>
      </c>
      <c r="AG1180" s="432" t="s">
        <v>47</v>
      </c>
      <c r="AH1180" s="432"/>
      <c r="AI1180" s="434" t="s">
        <v>1916</v>
      </c>
      <c r="AJ1180" s="432" t="s">
        <v>1919</v>
      </c>
      <c r="AK1180" s="440" t="s">
        <v>1292</v>
      </c>
      <c r="AL1180" s="432">
        <v>17402</v>
      </c>
      <c r="AM1180" s="432" t="s">
        <v>52</v>
      </c>
      <c r="AN1180" s="432" t="s">
        <v>50</v>
      </c>
      <c r="AO1180" s="405"/>
      <c r="AP1180" s="417" t="s">
        <v>92</v>
      </c>
      <c r="AQ1180" s="417" t="s">
        <v>37</v>
      </c>
      <c r="AR1180" s="417"/>
      <c r="AS1180" s="426" t="s">
        <v>1072</v>
      </c>
      <c r="AT1180" s="426" t="s">
        <v>1072</v>
      </c>
      <c r="AU1180" s="426" t="s">
        <v>1072</v>
      </c>
      <c r="AV1180" s="409"/>
    </row>
    <row r="1181" spans="1:48" s="402" customFormat="1">
      <c r="A1181" s="445"/>
      <c r="B1181" s="445"/>
      <c r="C1181" s="445"/>
      <c r="D1181" s="443" t="s">
        <v>1914</v>
      </c>
      <c r="E1181" s="432" t="s">
        <v>3540</v>
      </c>
      <c r="F1181" s="432"/>
      <c r="G1181" s="432"/>
      <c r="H1181" s="360"/>
      <c r="I1181" s="443" t="s">
        <v>1498</v>
      </c>
      <c r="J1181" s="433"/>
      <c r="K1181" s="434" t="s">
        <v>3541</v>
      </c>
      <c r="L1181" s="432" t="s">
        <v>1915</v>
      </c>
      <c r="M1181" s="435">
        <v>44657</v>
      </c>
      <c r="N1181" s="435">
        <v>44835</v>
      </c>
      <c r="O1181" s="435"/>
      <c r="P1181" s="433"/>
      <c r="Q1181" s="433"/>
      <c r="R1181" s="433"/>
      <c r="S1181" s="432" t="s">
        <v>1443</v>
      </c>
      <c r="T1181" s="432">
        <v>72</v>
      </c>
      <c r="U1181" s="432" t="s">
        <v>1102</v>
      </c>
      <c r="V1181" s="432" t="s">
        <v>1002</v>
      </c>
      <c r="W1181" s="432">
        <v>480</v>
      </c>
      <c r="X1181" s="436">
        <v>4992</v>
      </c>
      <c r="Y1181" s="408">
        <f t="shared" si="145"/>
        <v>2396160</v>
      </c>
      <c r="Z1181" s="409">
        <v>0.495</v>
      </c>
      <c r="AA1181" s="410">
        <f t="shared" si="146"/>
        <v>1186099.2</v>
      </c>
      <c r="AB1181" s="410"/>
      <c r="AC1181" s="412">
        <v>0</v>
      </c>
      <c r="AD1181" s="421"/>
      <c r="AE1181" s="413"/>
      <c r="AF1181" s="424">
        <f t="shared" si="147"/>
        <v>1186099.2</v>
      </c>
      <c r="AG1181" s="432" t="s">
        <v>47</v>
      </c>
      <c r="AH1181" s="432"/>
      <c r="AI1181" s="434" t="s">
        <v>1916</v>
      </c>
      <c r="AJ1181" s="432" t="s">
        <v>1609</v>
      </c>
      <c r="AK1181" s="440" t="s">
        <v>50</v>
      </c>
      <c r="AL1181" s="432">
        <v>93291</v>
      </c>
      <c r="AM1181" s="432" t="s">
        <v>52</v>
      </c>
      <c r="AN1181" s="432" t="s">
        <v>50</v>
      </c>
      <c r="AO1181" s="405"/>
      <c r="AP1181" s="417" t="s">
        <v>92</v>
      </c>
      <c r="AQ1181" s="417" t="s">
        <v>37</v>
      </c>
      <c r="AR1181" s="417"/>
      <c r="AS1181" s="426" t="s">
        <v>1072</v>
      </c>
      <c r="AT1181" s="426" t="s">
        <v>1072</v>
      </c>
      <c r="AU1181" s="426" t="s">
        <v>1072</v>
      </c>
      <c r="AV1181" s="409"/>
    </row>
    <row r="1182" spans="1:48" s="402" customFormat="1" ht="15" customHeight="1">
      <c r="A1182" s="403"/>
      <c r="B1182" s="445"/>
      <c r="C1182" s="403"/>
      <c r="D1182" s="443" t="s">
        <v>1914</v>
      </c>
      <c r="E1182" s="432" t="s">
        <v>3542</v>
      </c>
      <c r="F1182" s="432"/>
      <c r="G1182" s="432"/>
      <c r="H1182" s="432"/>
      <c r="I1182" s="443" t="s">
        <v>1498</v>
      </c>
      <c r="J1182" s="433"/>
      <c r="K1182" s="351" t="s">
        <v>3543</v>
      </c>
      <c r="L1182" s="434" t="s">
        <v>1514</v>
      </c>
      <c r="M1182" s="435">
        <v>44658</v>
      </c>
      <c r="N1182" s="435">
        <v>44743</v>
      </c>
      <c r="O1182" s="435"/>
      <c r="P1182" s="349"/>
      <c r="Q1182" s="433"/>
      <c r="R1182" s="433"/>
      <c r="S1182" s="432" t="s">
        <v>1443</v>
      </c>
      <c r="T1182" s="432">
        <v>60</v>
      </c>
      <c r="U1182" s="350">
        <v>49403140</v>
      </c>
      <c r="V1182" s="432" t="s">
        <v>3522</v>
      </c>
      <c r="W1182" s="432">
        <v>400</v>
      </c>
      <c r="X1182" s="436">
        <v>2240</v>
      </c>
      <c r="Y1182" s="408">
        <f t="shared" si="145"/>
        <v>896000</v>
      </c>
      <c r="Z1182" s="409">
        <f t="shared" ref="Z1182:Z1186" si="148">220/400</f>
        <v>0.55000000000000004</v>
      </c>
      <c r="AA1182" s="423">
        <f t="shared" si="146"/>
        <v>492800.00000000006</v>
      </c>
      <c r="AB1182" s="411"/>
      <c r="AC1182" s="412">
        <f t="shared" ref="AC1182:AC1186" si="149">AB1182*Y1182</f>
        <v>0</v>
      </c>
      <c r="AD1182" s="421"/>
      <c r="AE1182" s="413"/>
      <c r="AF1182" s="424">
        <f t="shared" si="147"/>
        <v>492800.00000000006</v>
      </c>
      <c r="AG1182" s="405" t="s">
        <v>1069</v>
      </c>
      <c r="AH1182" s="405"/>
      <c r="AI1182" s="414">
        <v>60</v>
      </c>
      <c r="AJ1182" s="405" t="s">
        <v>1515</v>
      </c>
      <c r="AK1182" s="425" t="s">
        <v>1913</v>
      </c>
      <c r="AL1182" s="405">
        <v>92806</v>
      </c>
      <c r="AM1182" s="405" t="s">
        <v>52</v>
      </c>
      <c r="AN1182" s="405" t="s">
        <v>1071</v>
      </c>
      <c r="AO1182" s="405"/>
      <c r="AP1182" s="417"/>
      <c r="AQ1182" s="417"/>
      <c r="AR1182" s="409" t="s">
        <v>1934</v>
      </c>
      <c r="AS1182" s="426"/>
      <c r="AT1182" s="426"/>
      <c r="AU1182" s="357"/>
      <c r="AV1182" s="409"/>
    </row>
    <row r="1183" spans="1:48" s="402" customFormat="1" ht="15" customHeight="1">
      <c r="A1183" s="403"/>
      <c r="B1183" s="445"/>
      <c r="C1183" s="403"/>
      <c r="D1183" s="443" t="s">
        <v>1914</v>
      </c>
      <c r="E1183" s="432" t="s">
        <v>3542</v>
      </c>
      <c r="F1183" s="432"/>
      <c r="G1183" s="432"/>
      <c r="H1183" s="432"/>
      <c r="I1183" s="443" t="s">
        <v>1498</v>
      </c>
      <c r="J1183" s="433"/>
      <c r="K1183" s="351" t="s">
        <v>3544</v>
      </c>
      <c r="L1183" s="434" t="s">
        <v>1514</v>
      </c>
      <c r="M1183" s="435">
        <v>44658</v>
      </c>
      <c r="N1183" s="435">
        <v>44713</v>
      </c>
      <c r="O1183" s="435"/>
      <c r="P1183" s="349"/>
      <c r="Q1183" s="433"/>
      <c r="R1183" s="433"/>
      <c r="S1183" s="432" t="s">
        <v>1443</v>
      </c>
      <c r="T1183" s="432">
        <v>60</v>
      </c>
      <c r="U1183" s="350">
        <v>49403140</v>
      </c>
      <c r="V1183" s="432" t="s">
        <v>3522</v>
      </c>
      <c r="W1183" s="432">
        <v>400</v>
      </c>
      <c r="X1183" s="436">
        <v>992</v>
      </c>
      <c r="Y1183" s="408">
        <f t="shared" si="145"/>
        <v>396800</v>
      </c>
      <c r="Z1183" s="409">
        <f t="shared" si="148"/>
        <v>0.55000000000000004</v>
      </c>
      <c r="AA1183" s="423">
        <f t="shared" si="146"/>
        <v>218240.00000000003</v>
      </c>
      <c r="AB1183" s="411"/>
      <c r="AC1183" s="412">
        <f t="shared" si="149"/>
        <v>0</v>
      </c>
      <c r="AD1183" s="421"/>
      <c r="AE1183" s="413"/>
      <c r="AF1183" s="424">
        <f t="shared" si="147"/>
        <v>218240.00000000003</v>
      </c>
      <c r="AG1183" s="405" t="s">
        <v>1069</v>
      </c>
      <c r="AH1183" s="405"/>
      <c r="AI1183" s="414">
        <v>60</v>
      </c>
      <c r="AJ1183" s="405" t="s">
        <v>1515</v>
      </c>
      <c r="AK1183" s="425" t="s">
        <v>1913</v>
      </c>
      <c r="AL1183" s="405">
        <v>92806</v>
      </c>
      <c r="AM1183" s="405" t="s">
        <v>52</v>
      </c>
      <c r="AN1183" s="405" t="s">
        <v>1071</v>
      </c>
      <c r="AO1183" s="405"/>
      <c r="AP1183" s="417"/>
      <c r="AQ1183" s="417"/>
      <c r="AR1183" s="409" t="s">
        <v>1934</v>
      </c>
      <c r="AS1183" s="426"/>
      <c r="AT1183" s="426"/>
      <c r="AU1183" s="357"/>
      <c r="AV1183" s="409"/>
    </row>
    <row r="1184" spans="1:48" s="402" customFormat="1" ht="15" customHeight="1">
      <c r="A1184" s="403"/>
      <c r="B1184" s="445"/>
      <c r="C1184" s="403"/>
      <c r="D1184" s="443" t="s">
        <v>1914</v>
      </c>
      <c r="E1184" s="432" t="s">
        <v>3542</v>
      </c>
      <c r="F1184" s="432"/>
      <c r="G1184" s="432"/>
      <c r="H1184" s="432"/>
      <c r="I1184" s="443" t="s">
        <v>1498</v>
      </c>
      <c r="J1184" s="433"/>
      <c r="K1184" s="351" t="s">
        <v>3545</v>
      </c>
      <c r="L1184" s="434" t="s">
        <v>1514</v>
      </c>
      <c r="M1184" s="435">
        <v>44658</v>
      </c>
      <c r="N1184" s="435">
        <v>44837</v>
      </c>
      <c r="O1184" s="435"/>
      <c r="P1184" s="349"/>
      <c r="Q1184" s="433"/>
      <c r="R1184" s="433"/>
      <c r="S1184" s="432" t="s">
        <v>1443</v>
      </c>
      <c r="T1184" s="432">
        <v>60</v>
      </c>
      <c r="U1184" s="350">
        <v>49403140</v>
      </c>
      <c r="V1184" s="432" t="s">
        <v>3522</v>
      </c>
      <c r="W1184" s="432">
        <v>400</v>
      </c>
      <c r="X1184" s="436">
        <v>1536</v>
      </c>
      <c r="Y1184" s="408">
        <f t="shared" si="145"/>
        <v>614400</v>
      </c>
      <c r="Z1184" s="409">
        <f t="shared" si="148"/>
        <v>0.55000000000000004</v>
      </c>
      <c r="AA1184" s="423">
        <f t="shared" si="146"/>
        <v>337920</v>
      </c>
      <c r="AB1184" s="411"/>
      <c r="AC1184" s="412">
        <f t="shared" si="149"/>
        <v>0</v>
      </c>
      <c r="AD1184" s="421"/>
      <c r="AE1184" s="413"/>
      <c r="AF1184" s="424">
        <f t="shared" si="147"/>
        <v>337920</v>
      </c>
      <c r="AG1184" s="405" t="s">
        <v>1069</v>
      </c>
      <c r="AH1184" s="405"/>
      <c r="AI1184" s="414">
        <v>60</v>
      </c>
      <c r="AJ1184" s="405" t="s">
        <v>1515</v>
      </c>
      <c r="AK1184" s="425" t="s">
        <v>1913</v>
      </c>
      <c r="AL1184" s="405">
        <v>92806</v>
      </c>
      <c r="AM1184" s="405" t="s">
        <v>52</v>
      </c>
      <c r="AN1184" s="405" t="s">
        <v>1071</v>
      </c>
      <c r="AO1184" s="405"/>
      <c r="AP1184" s="417"/>
      <c r="AQ1184" s="417"/>
      <c r="AR1184" s="409" t="s">
        <v>1934</v>
      </c>
      <c r="AS1184" s="426"/>
      <c r="AT1184" s="426"/>
      <c r="AU1184" s="357"/>
      <c r="AV1184" s="409"/>
    </row>
    <row r="1185" spans="1:48" s="402" customFormat="1" ht="15" customHeight="1">
      <c r="A1185" s="403"/>
      <c r="B1185" s="445"/>
      <c r="C1185" s="403"/>
      <c r="D1185" s="443" t="s">
        <v>1914</v>
      </c>
      <c r="E1185" s="432" t="s">
        <v>3542</v>
      </c>
      <c r="F1185" s="432"/>
      <c r="G1185" s="432"/>
      <c r="H1185" s="432"/>
      <c r="I1185" s="443" t="s">
        <v>1498</v>
      </c>
      <c r="J1185" s="433"/>
      <c r="K1185" s="351" t="s">
        <v>3546</v>
      </c>
      <c r="L1185" s="434" t="s">
        <v>1514</v>
      </c>
      <c r="M1185" s="435">
        <v>44658</v>
      </c>
      <c r="N1185" s="435">
        <v>44837</v>
      </c>
      <c r="O1185" s="435"/>
      <c r="P1185" s="349"/>
      <c r="Q1185" s="433"/>
      <c r="R1185" s="433"/>
      <c r="S1185" s="432" t="s">
        <v>1443</v>
      </c>
      <c r="T1185" s="432">
        <v>60</v>
      </c>
      <c r="U1185" s="350">
        <v>49403140</v>
      </c>
      <c r="V1185" s="432" t="s">
        <v>3522</v>
      </c>
      <c r="W1185" s="432">
        <v>400</v>
      </c>
      <c r="X1185" s="436">
        <v>1312</v>
      </c>
      <c r="Y1185" s="408">
        <f t="shared" si="145"/>
        <v>524800</v>
      </c>
      <c r="Z1185" s="409">
        <f t="shared" si="148"/>
        <v>0.55000000000000004</v>
      </c>
      <c r="AA1185" s="423">
        <f t="shared" si="146"/>
        <v>288640</v>
      </c>
      <c r="AB1185" s="411"/>
      <c r="AC1185" s="412">
        <f t="shared" si="149"/>
        <v>0</v>
      </c>
      <c r="AD1185" s="421"/>
      <c r="AE1185" s="413"/>
      <c r="AF1185" s="424">
        <f t="shared" si="147"/>
        <v>288640</v>
      </c>
      <c r="AG1185" s="405" t="s">
        <v>1069</v>
      </c>
      <c r="AH1185" s="405"/>
      <c r="AI1185" s="414">
        <v>60</v>
      </c>
      <c r="AJ1185" s="405" t="s">
        <v>1515</v>
      </c>
      <c r="AK1185" s="425" t="s">
        <v>1913</v>
      </c>
      <c r="AL1185" s="405">
        <v>92806</v>
      </c>
      <c r="AM1185" s="405" t="s">
        <v>52</v>
      </c>
      <c r="AN1185" s="405" t="s">
        <v>1071</v>
      </c>
      <c r="AO1185" s="405"/>
      <c r="AP1185" s="417"/>
      <c r="AQ1185" s="417"/>
      <c r="AR1185" s="409" t="s">
        <v>1934</v>
      </c>
      <c r="AS1185" s="426"/>
      <c r="AT1185" s="426"/>
      <c r="AU1185" s="357"/>
      <c r="AV1185" s="409"/>
    </row>
    <row r="1186" spans="1:48" s="402" customFormat="1" ht="15" customHeight="1">
      <c r="A1186" s="403"/>
      <c r="B1186" s="445"/>
      <c r="C1186" s="403"/>
      <c r="D1186" s="443" t="s">
        <v>1914</v>
      </c>
      <c r="E1186" s="432" t="s">
        <v>3542</v>
      </c>
      <c r="F1186" s="432"/>
      <c r="G1186" s="432"/>
      <c r="H1186" s="432"/>
      <c r="I1186" s="443" t="s">
        <v>1498</v>
      </c>
      <c r="J1186" s="433"/>
      <c r="K1186" s="351" t="s">
        <v>3547</v>
      </c>
      <c r="L1186" s="434" t="s">
        <v>1514</v>
      </c>
      <c r="M1186" s="435">
        <v>44658</v>
      </c>
      <c r="N1186" s="435">
        <v>44837</v>
      </c>
      <c r="O1186" s="435"/>
      <c r="P1186" s="349"/>
      <c r="Q1186" s="433"/>
      <c r="R1186" s="433"/>
      <c r="S1186" s="432" t="s">
        <v>1443</v>
      </c>
      <c r="T1186" s="432">
        <v>60</v>
      </c>
      <c r="U1186" s="350">
        <v>49403140</v>
      </c>
      <c r="V1186" s="432" t="s">
        <v>3522</v>
      </c>
      <c r="W1186" s="432">
        <v>400</v>
      </c>
      <c r="X1186" s="436">
        <v>1728</v>
      </c>
      <c r="Y1186" s="408">
        <f t="shared" si="145"/>
        <v>691200</v>
      </c>
      <c r="Z1186" s="409">
        <f t="shared" si="148"/>
        <v>0.55000000000000004</v>
      </c>
      <c r="AA1186" s="423">
        <f t="shared" si="146"/>
        <v>380160.00000000006</v>
      </c>
      <c r="AB1186" s="411"/>
      <c r="AC1186" s="412">
        <f t="shared" si="149"/>
        <v>0</v>
      </c>
      <c r="AD1186" s="421"/>
      <c r="AE1186" s="413"/>
      <c r="AF1186" s="424">
        <f t="shared" si="147"/>
        <v>380160.00000000006</v>
      </c>
      <c r="AG1186" s="405" t="s">
        <v>1069</v>
      </c>
      <c r="AH1186" s="405"/>
      <c r="AI1186" s="414">
        <v>60</v>
      </c>
      <c r="AJ1186" s="405" t="s">
        <v>1515</v>
      </c>
      <c r="AK1186" s="425" t="s">
        <v>1913</v>
      </c>
      <c r="AL1186" s="405">
        <v>92806</v>
      </c>
      <c r="AM1186" s="405" t="s">
        <v>52</v>
      </c>
      <c r="AN1186" s="405" t="s">
        <v>1071</v>
      </c>
      <c r="AO1186" s="405"/>
      <c r="AP1186" s="417"/>
      <c r="AQ1186" s="417"/>
      <c r="AR1186" s="409" t="s">
        <v>1934</v>
      </c>
      <c r="AS1186" s="426"/>
      <c r="AT1186" s="426"/>
      <c r="AU1186" s="357"/>
      <c r="AV1186" s="409"/>
    </row>
    <row r="1187" spans="1:48" s="402" customFormat="1">
      <c r="A1187" s="403"/>
      <c r="B1187" s="445"/>
      <c r="C1187" s="445"/>
      <c r="D1187" s="443" t="s">
        <v>1914</v>
      </c>
      <c r="E1187" s="432"/>
      <c r="F1187" s="432"/>
      <c r="G1187" s="432"/>
      <c r="H1187" s="432"/>
      <c r="I1187" s="443" t="s">
        <v>1498</v>
      </c>
      <c r="J1187" s="433"/>
      <c r="K1187" s="434" t="s">
        <v>4743</v>
      </c>
      <c r="L1187" s="432" t="s">
        <v>1960</v>
      </c>
      <c r="M1187" s="435">
        <v>44685</v>
      </c>
      <c r="N1187" s="435">
        <v>44844</v>
      </c>
      <c r="O1187" s="435"/>
      <c r="P1187" s="433"/>
      <c r="Q1187" s="433"/>
      <c r="R1187" s="433"/>
      <c r="S1187" s="432" t="s">
        <v>1443</v>
      </c>
      <c r="T1187" s="432">
        <v>60</v>
      </c>
      <c r="U1187" s="432">
        <v>49403139</v>
      </c>
      <c r="V1187" s="432" t="s">
        <v>4744</v>
      </c>
      <c r="W1187" s="432">
        <v>395</v>
      </c>
      <c r="X1187" s="436">
        <v>768</v>
      </c>
      <c r="Y1187" s="408">
        <f t="shared" si="145"/>
        <v>303360</v>
      </c>
      <c r="Z1187" s="409">
        <v>0.56000000000000005</v>
      </c>
      <c r="AA1187" s="410">
        <f t="shared" si="146"/>
        <v>169881.60000000001</v>
      </c>
      <c r="AB1187" s="411"/>
      <c r="AC1187" s="412">
        <v>0</v>
      </c>
      <c r="AD1187" s="421"/>
      <c r="AE1187" s="413"/>
      <c r="AF1187" s="424">
        <f t="shared" si="147"/>
        <v>169881.60000000001</v>
      </c>
      <c r="AG1187" s="405" t="s">
        <v>47</v>
      </c>
      <c r="AH1187" s="405" t="s">
        <v>1963</v>
      </c>
      <c r="AI1187" s="414">
        <v>60</v>
      </c>
      <c r="AJ1187" s="405" t="s">
        <v>1500</v>
      </c>
      <c r="AK1187" s="425" t="s">
        <v>1082</v>
      </c>
      <c r="AL1187" s="414" t="s">
        <v>1989</v>
      </c>
      <c r="AM1187" s="405" t="s">
        <v>52</v>
      </c>
      <c r="AN1187" s="405"/>
      <c r="AO1187" s="405"/>
      <c r="AP1187" s="417"/>
      <c r="AQ1187" s="417"/>
      <c r="AR1187" s="417"/>
      <c r="AS1187" s="426"/>
      <c r="AT1187" s="426"/>
      <c r="AU1187" s="409"/>
    </row>
    <row r="1188" spans="1:48" s="402" customFormat="1">
      <c r="A1188" s="403"/>
      <c r="B1188" s="445"/>
      <c r="C1188" s="445"/>
      <c r="D1188" s="443" t="s">
        <v>1914</v>
      </c>
      <c r="E1188" s="432"/>
      <c r="F1188" s="432"/>
      <c r="G1188" s="432"/>
      <c r="H1188" s="432"/>
      <c r="I1188" s="443" t="s">
        <v>1498</v>
      </c>
      <c r="J1188" s="433"/>
      <c r="K1188" s="434" t="s">
        <v>4745</v>
      </c>
      <c r="L1188" s="432" t="s">
        <v>1960</v>
      </c>
      <c r="M1188" s="435">
        <v>44685</v>
      </c>
      <c r="N1188" s="435">
        <v>44844</v>
      </c>
      <c r="O1188" s="435"/>
      <c r="P1188" s="433"/>
      <c r="Q1188" s="433"/>
      <c r="R1188" s="433"/>
      <c r="S1188" s="432" t="s">
        <v>1443</v>
      </c>
      <c r="T1188" s="432">
        <v>60</v>
      </c>
      <c r="U1188" s="432">
        <v>49403139</v>
      </c>
      <c r="V1188" s="432" t="s">
        <v>4744</v>
      </c>
      <c r="W1188" s="432">
        <v>395</v>
      </c>
      <c r="X1188" s="436">
        <v>768</v>
      </c>
      <c r="Y1188" s="408">
        <f t="shared" si="145"/>
        <v>303360</v>
      </c>
      <c r="Z1188" s="409">
        <v>0.56000000000000005</v>
      </c>
      <c r="AA1188" s="410">
        <f t="shared" si="146"/>
        <v>169881.60000000001</v>
      </c>
      <c r="AB1188" s="411"/>
      <c r="AC1188" s="412">
        <v>0</v>
      </c>
      <c r="AD1188" s="421"/>
      <c r="AE1188" s="413"/>
      <c r="AF1188" s="424">
        <f t="shared" si="147"/>
        <v>169881.60000000001</v>
      </c>
      <c r="AG1188" s="405" t="s">
        <v>47</v>
      </c>
      <c r="AH1188" s="405" t="s">
        <v>1963</v>
      </c>
      <c r="AI1188" s="414">
        <v>60</v>
      </c>
      <c r="AJ1188" s="405" t="s">
        <v>1584</v>
      </c>
      <c r="AK1188" s="425" t="s">
        <v>1082</v>
      </c>
      <c r="AL1188" s="414" t="s">
        <v>1966</v>
      </c>
      <c r="AM1188" s="405" t="s">
        <v>52</v>
      </c>
      <c r="AN1188" s="405"/>
      <c r="AO1188" s="405"/>
      <c r="AP1188" s="417"/>
      <c r="AQ1188" s="417"/>
      <c r="AR1188" s="417"/>
      <c r="AS1188" s="426"/>
      <c r="AT1188" s="426"/>
      <c r="AU1188" s="409"/>
    </row>
    <row r="1189" spans="1:48" s="402" customFormat="1">
      <c r="A1189" s="403"/>
      <c r="B1189" s="445"/>
      <c r="C1189" s="445"/>
      <c r="D1189" s="443" t="s">
        <v>1914</v>
      </c>
      <c r="E1189" s="432"/>
      <c r="F1189" s="432"/>
      <c r="G1189" s="432"/>
      <c r="H1189" s="432"/>
      <c r="I1189" s="443" t="s">
        <v>1498</v>
      </c>
      <c r="J1189" s="433"/>
      <c r="K1189" s="434" t="s">
        <v>4746</v>
      </c>
      <c r="L1189" s="432" t="s">
        <v>1960</v>
      </c>
      <c r="M1189" s="435">
        <v>44685</v>
      </c>
      <c r="N1189" s="435">
        <v>44844</v>
      </c>
      <c r="O1189" s="435"/>
      <c r="P1189" s="433"/>
      <c r="Q1189" s="433"/>
      <c r="R1189" s="433"/>
      <c r="S1189" s="432" t="s">
        <v>1443</v>
      </c>
      <c r="T1189" s="432">
        <v>60</v>
      </c>
      <c r="U1189" s="432">
        <v>49403139</v>
      </c>
      <c r="V1189" s="432" t="s">
        <v>4744</v>
      </c>
      <c r="W1189" s="432">
        <v>395</v>
      </c>
      <c r="X1189" s="436">
        <v>768</v>
      </c>
      <c r="Y1189" s="408">
        <f t="shared" si="145"/>
        <v>303360</v>
      </c>
      <c r="Z1189" s="409">
        <v>0.56000000000000005</v>
      </c>
      <c r="AA1189" s="410">
        <f t="shared" si="146"/>
        <v>169881.60000000001</v>
      </c>
      <c r="AB1189" s="411"/>
      <c r="AC1189" s="412">
        <v>0</v>
      </c>
      <c r="AD1189" s="421"/>
      <c r="AE1189" s="413"/>
      <c r="AF1189" s="424">
        <f t="shared" si="147"/>
        <v>169881.60000000001</v>
      </c>
      <c r="AG1189" s="405" t="s">
        <v>47</v>
      </c>
      <c r="AH1189" s="405" t="s">
        <v>1963</v>
      </c>
      <c r="AI1189" s="414">
        <v>60</v>
      </c>
      <c r="AJ1189" s="405" t="s">
        <v>1881</v>
      </c>
      <c r="AK1189" s="425" t="s">
        <v>1081</v>
      </c>
      <c r="AL1189" s="414" t="s">
        <v>1964</v>
      </c>
      <c r="AM1189" s="405" t="s">
        <v>52</v>
      </c>
      <c r="AN1189" s="405"/>
      <c r="AO1189" s="405"/>
      <c r="AP1189" s="417"/>
      <c r="AQ1189" s="417"/>
      <c r="AR1189" s="417"/>
      <c r="AS1189" s="426"/>
      <c r="AT1189" s="426"/>
      <c r="AU1189" s="409"/>
    </row>
    <row r="1190" spans="1:48" s="402" customFormat="1">
      <c r="A1190" s="403"/>
      <c r="B1190" s="445"/>
      <c r="C1190" s="445"/>
      <c r="D1190" s="443" t="s">
        <v>1914</v>
      </c>
      <c r="E1190" s="432"/>
      <c r="F1190" s="432"/>
      <c r="G1190" s="432"/>
      <c r="H1190" s="432"/>
      <c r="I1190" s="443" t="s">
        <v>1498</v>
      </c>
      <c r="J1190" s="433"/>
      <c r="K1190" s="434" t="s">
        <v>4747</v>
      </c>
      <c r="L1190" s="432" t="s">
        <v>1960</v>
      </c>
      <c r="M1190" s="435">
        <v>44685</v>
      </c>
      <c r="N1190" s="435">
        <v>44844</v>
      </c>
      <c r="O1190" s="435"/>
      <c r="P1190" s="433"/>
      <c r="Q1190" s="433"/>
      <c r="R1190" s="433"/>
      <c r="S1190" s="432" t="s">
        <v>1443</v>
      </c>
      <c r="T1190" s="432">
        <v>60</v>
      </c>
      <c r="U1190" s="432">
        <v>49403139</v>
      </c>
      <c r="V1190" s="432" t="s">
        <v>4744</v>
      </c>
      <c r="W1190" s="432">
        <v>395</v>
      </c>
      <c r="X1190" s="436">
        <v>768</v>
      </c>
      <c r="Y1190" s="408">
        <f t="shared" si="145"/>
        <v>303360</v>
      </c>
      <c r="Z1190" s="409">
        <v>0.56000000000000005</v>
      </c>
      <c r="AA1190" s="410">
        <f t="shared" si="146"/>
        <v>169881.60000000001</v>
      </c>
      <c r="AB1190" s="411"/>
      <c r="AC1190" s="412">
        <v>0</v>
      </c>
      <c r="AD1190" s="421"/>
      <c r="AE1190" s="413"/>
      <c r="AF1190" s="424">
        <f t="shared" si="147"/>
        <v>169881.60000000001</v>
      </c>
      <c r="AG1190" s="405" t="s">
        <v>47</v>
      </c>
      <c r="AH1190" s="405" t="s">
        <v>1963</v>
      </c>
      <c r="AI1190" s="414">
        <v>60</v>
      </c>
      <c r="AJ1190" s="405" t="s">
        <v>1958</v>
      </c>
      <c r="AK1190" s="425" t="s">
        <v>1136</v>
      </c>
      <c r="AL1190" s="414" t="s">
        <v>1999</v>
      </c>
      <c r="AM1190" s="405" t="s">
        <v>52</v>
      </c>
      <c r="AN1190" s="405"/>
      <c r="AO1190" s="405"/>
      <c r="AP1190" s="417"/>
      <c r="AQ1190" s="417"/>
      <c r="AR1190" s="417"/>
      <c r="AS1190" s="426"/>
      <c r="AT1190" s="426"/>
      <c r="AU1190" s="409"/>
    </row>
    <row r="1191" spans="1:48" s="402" customFormat="1">
      <c r="A1191" s="403"/>
      <c r="B1191" s="445"/>
      <c r="C1191" s="445"/>
      <c r="D1191" s="443" t="s">
        <v>1914</v>
      </c>
      <c r="E1191" s="432"/>
      <c r="F1191" s="432"/>
      <c r="G1191" s="432"/>
      <c r="H1191" s="432"/>
      <c r="I1191" s="443" t="s">
        <v>1498</v>
      </c>
      <c r="J1191" s="433"/>
      <c r="K1191" s="434" t="s">
        <v>4748</v>
      </c>
      <c r="L1191" s="432" t="s">
        <v>1960</v>
      </c>
      <c r="M1191" s="435">
        <v>44685</v>
      </c>
      <c r="N1191" s="435">
        <v>44899</v>
      </c>
      <c r="O1191" s="435"/>
      <c r="P1191" s="433"/>
      <c r="Q1191" s="433"/>
      <c r="R1191" s="433"/>
      <c r="S1191" s="432" t="s">
        <v>1443</v>
      </c>
      <c r="T1191" s="432">
        <v>60</v>
      </c>
      <c r="U1191" s="432">
        <v>49403139</v>
      </c>
      <c r="V1191" s="432" t="s">
        <v>4744</v>
      </c>
      <c r="W1191" s="432">
        <v>395</v>
      </c>
      <c r="X1191" s="436">
        <v>768</v>
      </c>
      <c r="Y1191" s="408">
        <f t="shared" si="145"/>
        <v>303360</v>
      </c>
      <c r="Z1191" s="409">
        <v>0.56000000000000005</v>
      </c>
      <c r="AA1191" s="410">
        <f t="shared" si="146"/>
        <v>169881.60000000001</v>
      </c>
      <c r="AB1191" s="411"/>
      <c r="AC1191" s="412">
        <v>0</v>
      </c>
      <c r="AD1191" s="421"/>
      <c r="AE1191" s="413"/>
      <c r="AF1191" s="424">
        <f t="shared" si="147"/>
        <v>169881.60000000001</v>
      </c>
      <c r="AG1191" s="405" t="s">
        <v>47</v>
      </c>
      <c r="AH1191" s="405" t="s">
        <v>1963</v>
      </c>
      <c r="AI1191" s="414">
        <v>60</v>
      </c>
      <c r="AJ1191" s="405" t="s">
        <v>1500</v>
      </c>
      <c r="AK1191" s="425" t="s">
        <v>1082</v>
      </c>
      <c r="AL1191" s="414" t="s">
        <v>1989</v>
      </c>
      <c r="AM1191" s="405" t="s">
        <v>52</v>
      </c>
      <c r="AN1191" s="405"/>
      <c r="AO1191" s="405"/>
      <c r="AP1191" s="417"/>
      <c r="AQ1191" s="417"/>
      <c r="AR1191" s="417"/>
      <c r="AS1191" s="426"/>
      <c r="AT1191" s="426"/>
      <c r="AU1191" s="409"/>
    </row>
    <row r="1192" spans="1:48" s="402" customFormat="1">
      <c r="A1192" s="403"/>
      <c r="B1192" s="445"/>
      <c r="C1192" s="445"/>
      <c r="D1192" s="443" t="s">
        <v>1914</v>
      </c>
      <c r="E1192" s="432"/>
      <c r="F1192" s="432"/>
      <c r="G1192" s="432"/>
      <c r="H1192" s="432"/>
      <c r="I1192" s="443" t="s">
        <v>1498</v>
      </c>
      <c r="J1192" s="433"/>
      <c r="K1192" s="434" t="s">
        <v>4749</v>
      </c>
      <c r="L1192" s="432" t="s">
        <v>1960</v>
      </c>
      <c r="M1192" s="435">
        <v>44685</v>
      </c>
      <c r="N1192" s="435">
        <v>44899</v>
      </c>
      <c r="O1192" s="435"/>
      <c r="P1192" s="433"/>
      <c r="Q1192" s="433"/>
      <c r="R1192" s="433"/>
      <c r="S1192" s="432" t="s">
        <v>1443</v>
      </c>
      <c r="T1192" s="432">
        <v>60</v>
      </c>
      <c r="U1192" s="432">
        <v>49403139</v>
      </c>
      <c r="V1192" s="432" t="s">
        <v>4744</v>
      </c>
      <c r="W1192" s="432">
        <v>395</v>
      </c>
      <c r="X1192" s="436">
        <v>768</v>
      </c>
      <c r="Y1192" s="408">
        <f t="shared" si="145"/>
        <v>303360</v>
      </c>
      <c r="Z1192" s="409">
        <v>0.56000000000000005</v>
      </c>
      <c r="AA1192" s="410">
        <f t="shared" si="146"/>
        <v>169881.60000000001</v>
      </c>
      <c r="AB1192" s="411"/>
      <c r="AC1192" s="412">
        <v>0</v>
      </c>
      <c r="AD1192" s="421"/>
      <c r="AE1192" s="413"/>
      <c r="AF1192" s="424">
        <f t="shared" si="147"/>
        <v>169881.60000000001</v>
      </c>
      <c r="AG1192" s="405" t="s">
        <v>47</v>
      </c>
      <c r="AH1192" s="405" t="s">
        <v>1963</v>
      </c>
      <c r="AI1192" s="414">
        <v>60</v>
      </c>
      <c r="AJ1192" s="405" t="s">
        <v>1958</v>
      </c>
      <c r="AK1192" s="425" t="s">
        <v>1136</v>
      </c>
      <c r="AL1192" s="414" t="s">
        <v>1999</v>
      </c>
      <c r="AM1192" s="405" t="s">
        <v>52</v>
      </c>
      <c r="AN1192" s="405"/>
      <c r="AO1192" s="405"/>
      <c r="AP1192" s="417"/>
      <c r="AQ1192" s="417"/>
      <c r="AR1192" s="417"/>
      <c r="AS1192" s="426"/>
      <c r="AT1192" s="426"/>
      <c r="AU1192" s="409"/>
    </row>
    <row r="1193" spans="1:48" s="402" customFormat="1">
      <c r="A1193" s="403"/>
      <c r="B1193" s="445"/>
      <c r="C1193" s="445"/>
      <c r="D1193" s="443" t="s">
        <v>1914</v>
      </c>
      <c r="E1193" s="432"/>
      <c r="F1193" s="432"/>
      <c r="G1193" s="432"/>
      <c r="H1193" s="432"/>
      <c r="I1193" s="443" t="s">
        <v>1498</v>
      </c>
      <c r="J1193" s="433"/>
      <c r="K1193" s="434" t="s">
        <v>4750</v>
      </c>
      <c r="L1193" s="432" t="s">
        <v>1960</v>
      </c>
      <c r="M1193" s="435">
        <v>44685</v>
      </c>
      <c r="N1193" s="435">
        <v>44875</v>
      </c>
      <c r="O1193" s="435"/>
      <c r="P1193" s="433"/>
      <c r="Q1193" s="433"/>
      <c r="R1193" s="433"/>
      <c r="S1193" s="432" t="s">
        <v>1443</v>
      </c>
      <c r="T1193" s="432">
        <v>60</v>
      </c>
      <c r="U1193" s="432">
        <v>49403139</v>
      </c>
      <c r="V1193" s="432" t="s">
        <v>4744</v>
      </c>
      <c r="W1193" s="432">
        <v>395</v>
      </c>
      <c r="X1193" s="436">
        <v>768</v>
      </c>
      <c r="Y1193" s="408">
        <f t="shared" si="145"/>
        <v>303360</v>
      </c>
      <c r="Z1193" s="409">
        <v>0.56000000000000005</v>
      </c>
      <c r="AA1193" s="410">
        <f t="shared" si="146"/>
        <v>169881.60000000001</v>
      </c>
      <c r="AB1193" s="411"/>
      <c r="AC1193" s="412">
        <v>0</v>
      </c>
      <c r="AD1193" s="421"/>
      <c r="AE1193" s="413"/>
      <c r="AF1193" s="424">
        <f t="shared" si="147"/>
        <v>169881.60000000001</v>
      </c>
      <c r="AG1193" s="405" t="s">
        <v>47</v>
      </c>
      <c r="AH1193" s="405" t="s">
        <v>1963</v>
      </c>
      <c r="AI1193" s="414">
        <v>60</v>
      </c>
      <c r="AJ1193" s="405" t="s">
        <v>1881</v>
      </c>
      <c r="AK1193" s="425" t="s">
        <v>1081</v>
      </c>
      <c r="AL1193" s="414" t="s">
        <v>1964</v>
      </c>
      <c r="AM1193" s="405" t="s">
        <v>52</v>
      </c>
      <c r="AN1193" s="405"/>
      <c r="AO1193" s="405"/>
      <c r="AP1193" s="417"/>
      <c r="AQ1193" s="417"/>
      <c r="AR1193" s="417"/>
      <c r="AS1193" s="426"/>
      <c r="AT1193" s="426"/>
      <c r="AU1193" s="409"/>
    </row>
    <row r="1194" spans="1:48" s="402" customFormat="1">
      <c r="A1194" s="403"/>
      <c r="B1194" s="445"/>
      <c r="C1194" s="445"/>
      <c r="D1194" s="443" t="s">
        <v>1914</v>
      </c>
      <c r="E1194" s="432"/>
      <c r="F1194" s="432"/>
      <c r="G1194" s="432"/>
      <c r="H1194" s="432"/>
      <c r="I1194" s="443" t="s">
        <v>1498</v>
      </c>
      <c r="J1194" s="433"/>
      <c r="K1194" s="434" t="s">
        <v>4751</v>
      </c>
      <c r="L1194" s="432" t="s">
        <v>1960</v>
      </c>
      <c r="M1194" s="435">
        <v>44685</v>
      </c>
      <c r="N1194" s="435">
        <v>44875</v>
      </c>
      <c r="O1194" s="435"/>
      <c r="P1194" s="433"/>
      <c r="Q1194" s="433"/>
      <c r="R1194" s="433"/>
      <c r="S1194" s="432" t="s">
        <v>1443</v>
      </c>
      <c r="T1194" s="432">
        <v>60</v>
      </c>
      <c r="U1194" s="432">
        <v>49403139</v>
      </c>
      <c r="V1194" s="432" t="s">
        <v>4744</v>
      </c>
      <c r="W1194" s="432">
        <v>395</v>
      </c>
      <c r="X1194" s="436">
        <v>768</v>
      </c>
      <c r="Y1194" s="408">
        <f t="shared" si="145"/>
        <v>303360</v>
      </c>
      <c r="Z1194" s="409">
        <v>0.56000000000000005</v>
      </c>
      <c r="AA1194" s="410">
        <f t="shared" si="146"/>
        <v>169881.60000000001</v>
      </c>
      <c r="AB1194" s="411"/>
      <c r="AC1194" s="412">
        <v>0</v>
      </c>
      <c r="AD1194" s="421"/>
      <c r="AE1194" s="413"/>
      <c r="AF1194" s="424">
        <f t="shared" si="147"/>
        <v>169881.60000000001</v>
      </c>
      <c r="AG1194" s="405" t="s">
        <v>47</v>
      </c>
      <c r="AH1194" s="405" t="s">
        <v>1963</v>
      </c>
      <c r="AI1194" s="414">
        <v>60</v>
      </c>
      <c r="AJ1194" s="405" t="s">
        <v>1584</v>
      </c>
      <c r="AK1194" s="425" t="s">
        <v>50</v>
      </c>
      <c r="AL1194" s="414" t="s">
        <v>1966</v>
      </c>
      <c r="AM1194" s="405" t="s">
        <v>52</v>
      </c>
      <c r="AN1194" s="405"/>
      <c r="AO1194" s="405"/>
      <c r="AP1194" s="417"/>
      <c r="AQ1194" s="417"/>
      <c r="AR1194" s="417"/>
      <c r="AS1194" s="426"/>
      <c r="AT1194" s="426"/>
      <c r="AU1194" s="409"/>
    </row>
    <row r="1195" spans="1:48" s="402" customFormat="1">
      <c r="A1195" s="403"/>
      <c r="B1195" s="445"/>
      <c r="C1195" s="445"/>
      <c r="D1195" s="443" t="s">
        <v>1914</v>
      </c>
      <c r="E1195" s="432"/>
      <c r="F1195" s="432"/>
      <c r="G1195" s="432"/>
      <c r="H1195" s="432"/>
      <c r="I1195" s="443" t="s">
        <v>1498</v>
      </c>
      <c r="J1195" s="433"/>
      <c r="K1195" s="434" t="s">
        <v>4752</v>
      </c>
      <c r="L1195" s="432" t="s">
        <v>1960</v>
      </c>
      <c r="M1195" s="435">
        <v>44685</v>
      </c>
      <c r="N1195" s="435">
        <v>44875</v>
      </c>
      <c r="O1195" s="435"/>
      <c r="P1195" s="433"/>
      <c r="Q1195" s="433"/>
      <c r="R1195" s="433"/>
      <c r="S1195" s="432" t="s">
        <v>1443</v>
      </c>
      <c r="T1195" s="432">
        <v>60</v>
      </c>
      <c r="U1195" s="432">
        <v>49403139</v>
      </c>
      <c r="V1195" s="432" t="s">
        <v>4744</v>
      </c>
      <c r="W1195" s="432">
        <v>395</v>
      </c>
      <c r="X1195" s="436">
        <v>768</v>
      </c>
      <c r="Y1195" s="408">
        <f t="shared" si="145"/>
        <v>303360</v>
      </c>
      <c r="Z1195" s="409">
        <v>0.56000000000000005</v>
      </c>
      <c r="AA1195" s="410">
        <f t="shared" si="146"/>
        <v>169881.60000000001</v>
      </c>
      <c r="AB1195" s="411"/>
      <c r="AC1195" s="412">
        <v>0</v>
      </c>
      <c r="AD1195" s="421"/>
      <c r="AE1195" s="413"/>
      <c r="AF1195" s="424">
        <f t="shared" si="147"/>
        <v>169881.60000000001</v>
      </c>
      <c r="AG1195" s="405" t="s">
        <v>47</v>
      </c>
      <c r="AH1195" s="405" t="s">
        <v>1963</v>
      </c>
      <c r="AI1195" s="414">
        <v>60</v>
      </c>
      <c r="AJ1195" s="405" t="s">
        <v>1500</v>
      </c>
      <c r="AK1195" s="425" t="s">
        <v>1082</v>
      </c>
      <c r="AL1195" s="414" t="s">
        <v>1989</v>
      </c>
      <c r="AM1195" s="405" t="s">
        <v>52</v>
      </c>
      <c r="AN1195" s="405"/>
      <c r="AO1195" s="405"/>
      <c r="AP1195" s="417"/>
      <c r="AQ1195" s="417"/>
      <c r="AR1195" s="417"/>
      <c r="AS1195" s="426"/>
      <c r="AT1195" s="426"/>
      <c r="AU1195" s="409"/>
    </row>
    <row r="1196" spans="1:48" s="402" customFormat="1">
      <c r="A1196" s="403"/>
      <c r="B1196" s="445"/>
      <c r="C1196" s="445"/>
      <c r="D1196" s="443" t="s">
        <v>1914</v>
      </c>
      <c r="E1196" s="432"/>
      <c r="F1196" s="432"/>
      <c r="G1196" s="432"/>
      <c r="H1196" s="432"/>
      <c r="I1196" s="443" t="s">
        <v>1498</v>
      </c>
      <c r="J1196" s="433"/>
      <c r="K1196" s="434" t="s">
        <v>4753</v>
      </c>
      <c r="L1196" s="432" t="s">
        <v>1960</v>
      </c>
      <c r="M1196" s="435">
        <v>44685</v>
      </c>
      <c r="N1196" s="435">
        <v>44905</v>
      </c>
      <c r="O1196" s="435"/>
      <c r="P1196" s="433"/>
      <c r="Q1196" s="433"/>
      <c r="R1196" s="433"/>
      <c r="S1196" s="432" t="s">
        <v>1443</v>
      </c>
      <c r="T1196" s="432">
        <v>60</v>
      </c>
      <c r="U1196" s="432">
        <v>49403139</v>
      </c>
      <c r="V1196" s="432" t="s">
        <v>4744</v>
      </c>
      <c r="W1196" s="432">
        <v>395</v>
      </c>
      <c r="X1196" s="436">
        <v>768</v>
      </c>
      <c r="Y1196" s="408">
        <f t="shared" si="145"/>
        <v>303360</v>
      </c>
      <c r="Z1196" s="409">
        <v>0.56000000000000005</v>
      </c>
      <c r="AA1196" s="410">
        <f t="shared" si="146"/>
        <v>169881.60000000001</v>
      </c>
      <c r="AB1196" s="411"/>
      <c r="AC1196" s="412">
        <v>0</v>
      </c>
      <c r="AD1196" s="421"/>
      <c r="AE1196" s="413"/>
      <c r="AF1196" s="424">
        <f t="shared" si="147"/>
        <v>169881.60000000001</v>
      </c>
      <c r="AG1196" s="405" t="s">
        <v>47</v>
      </c>
      <c r="AH1196" s="405" t="s">
        <v>1963</v>
      </c>
      <c r="AI1196" s="414">
        <v>60</v>
      </c>
      <c r="AJ1196" s="405" t="s">
        <v>1500</v>
      </c>
      <c r="AK1196" s="425" t="s">
        <v>1082</v>
      </c>
      <c r="AL1196" s="414" t="s">
        <v>1989</v>
      </c>
      <c r="AM1196" s="405" t="s">
        <v>52</v>
      </c>
      <c r="AN1196" s="405"/>
      <c r="AO1196" s="405"/>
      <c r="AP1196" s="417"/>
      <c r="AQ1196" s="417"/>
      <c r="AR1196" s="417"/>
      <c r="AS1196" s="426"/>
      <c r="AT1196" s="426"/>
      <c r="AU1196" s="409"/>
    </row>
    <row r="1197" spans="1:48" s="402" customFormat="1">
      <c r="A1197" s="403"/>
      <c r="B1197" s="445"/>
      <c r="C1197" s="445"/>
      <c r="D1197" s="443" t="s">
        <v>1914</v>
      </c>
      <c r="E1197" s="432"/>
      <c r="F1197" s="432"/>
      <c r="G1197" s="432"/>
      <c r="H1197" s="432"/>
      <c r="I1197" s="443" t="s">
        <v>1498</v>
      </c>
      <c r="J1197" s="433"/>
      <c r="K1197" s="434" t="s">
        <v>4754</v>
      </c>
      <c r="L1197" s="432" t="s">
        <v>1960</v>
      </c>
      <c r="M1197" s="435">
        <v>44685</v>
      </c>
      <c r="N1197" s="435">
        <v>44899</v>
      </c>
      <c r="O1197" s="435"/>
      <c r="P1197" s="433"/>
      <c r="Q1197" s="433"/>
      <c r="R1197" s="433"/>
      <c r="S1197" s="432" t="s">
        <v>1443</v>
      </c>
      <c r="T1197" s="432">
        <v>60</v>
      </c>
      <c r="U1197" s="432">
        <v>49403139</v>
      </c>
      <c r="V1197" s="432" t="s">
        <v>4744</v>
      </c>
      <c r="W1197" s="432">
        <v>395</v>
      </c>
      <c r="X1197" s="436">
        <v>768</v>
      </c>
      <c r="Y1197" s="408">
        <f t="shared" si="145"/>
        <v>303360</v>
      </c>
      <c r="Z1197" s="409">
        <v>0.56000000000000005</v>
      </c>
      <c r="AA1197" s="410">
        <f t="shared" si="146"/>
        <v>169881.60000000001</v>
      </c>
      <c r="AB1197" s="411"/>
      <c r="AC1197" s="412">
        <v>0</v>
      </c>
      <c r="AD1197" s="421"/>
      <c r="AE1197" s="413"/>
      <c r="AF1197" s="424">
        <f t="shared" si="147"/>
        <v>169881.60000000001</v>
      </c>
      <c r="AG1197" s="405" t="s">
        <v>47</v>
      </c>
      <c r="AH1197" s="405" t="s">
        <v>1963</v>
      </c>
      <c r="AI1197" s="414">
        <v>60</v>
      </c>
      <c r="AJ1197" s="405" t="s">
        <v>1584</v>
      </c>
      <c r="AK1197" s="425" t="s">
        <v>50</v>
      </c>
      <c r="AL1197" s="414" t="s">
        <v>1966</v>
      </c>
      <c r="AM1197" s="405" t="s">
        <v>52</v>
      </c>
      <c r="AN1197" s="405"/>
      <c r="AO1197" s="405"/>
      <c r="AP1197" s="417"/>
      <c r="AQ1197" s="417"/>
      <c r="AR1197" s="417"/>
      <c r="AS1197" s="426"/>
      <c r="AT1197" s="426"/>
      <c r="AU1197" s="409"/>
    </row>
    <row r="1198" spans="1:48" s="402" customFormat="1">
      <c r="A1198" s="403"/>
      <c r="B1198" s="445"/>
      <c r="C1198" s="445"/>
      <c r="D1198" s="443" t="s">
        <v>1914</v>
      </c>
      <c r="E1198" s="432"/>
      <c r="F1198" s="432"/>
      <c r="G1198" s="432"/>
      <c r="H1198" s="432"/>
      <c r="I1198" s="443" t="s">
        <v>1498</v>
      </c>
      <c r="J1198" s="433"/>
      <c r="K1198" s="434" t="s">
        <v>4755</v>
      </c>
      <c r="L1198" s="432" t="s">
        <v>1960</v>
      </c>
      <c r="M1198" s="435">
        <v>44685</v>
      </c>
      <c r="N1198" s="435">
        <v>44899</v>
      </c>
      <c r="O1198" s="435"/>
      <c r="P1198" s="433"/>
      <c r="Q1198" s="433"/>
      <c r="R1198" s="433"/>
      <c r="S1198" s="432" t="s">
        <v>1443</v>
      </c>
      <c r="T1198" s="432">
        <v>60</v>
      </c>
      <c r="U1198" s="432">
        <v>49403139</v>
      </c>
      <c r="V1198" s="432" t="s">
        <v>4744</v>
      </c>
      <c r="W1198" s="432">
        <v>395</v>
      </c>
      <c r="X1198" s="436">
        <v>768</v>
      </c>
      <c r="Y1198" s="408">
        <f t="shared" si="145"/>
        <v>303360</v>
      </c>
      <c r="Z1198" s="409">
        <v>0.56000000000000005</v>
      </c>
      <c r="AA1198" s="410">
        <f t="shared" si="146"/>
        <v>169881.60000000001</v>
      </c>
      <c r="AB1198" s="411"/>
      <c r="AC1198" s="412">
        <v>0</v>
      </c>
      <c r="AD1198" s="421"/>
      <c r="AE1198" s="413"/>
      <c r="AF1198" s="424">
        <f t="shared" si="147"/>
        <v>169881.60000000001</v>
      </c>
      <c r="AG1198" s="405" t="s">
        <v>47</v>
      </c>
      <c r="AH1198" s="405" t="s">
        <v>1963</v>
      </c>
      <c r="AI1198" s="414">
        <v>60</v>
      </c>
      <c r="AJ1198" s="405" t="s">
        <v>1965</v>
      </c>
      <c r="AK1198" s="425" t="s">
        <v>50</v>
      </c>
      <c r="AL1198" s="414" t="s">
        <v>1997</v>
      </c>
      <c r="AM1198" s="405" t="s">
        <v>52</v>
      </c>
      <c r="AN1198" s="405"/>
      <c r="AO1198" s="405"/>
      <c r="AP1198" s="417"/>
      <c r="AQ1198" s="417"/>
      <c r="AR1198" s="417"/>
      <c r="AS1198" s="426"/>
      <c r="AT1198" s="426"/>
      <c r="AU1198" s="409"/>
    </row>
    <row r="1199" spans="1:48" s="402" customFormat="1">
      <c r="A1199" s="403"/>
      <c r="B1199" s="445"/>
      <c r="C1199" s="445"/>
      <c r="D1199" s="443" t="s">
        <v>1914</v>
      </c>
      <c r="E1199" s="432"/>
      <c r="F1199" s="432"/>
      <c r="G1199" s="432"/>
      <c r="H1199" s="432"/>
      <c r="I1199" s="443" t="s">
        <v>1498</v>
      </c>
      <c r="J1199" s="433"/>
      <c r="K1199" s="434" t="s">
        <v>4756</v>
      </c>
      <c r="L1199" s="432" t="s">
        <v>1960</v>
      </c>
      <c r="M1199" s="435">
        <v>44685</v>
      </c>
      <c r="N1199" s="435">
        <v>44907</v>
      </c>
      <c r="O1199" s="435"/>
      <c r="P1199" s="433"/>
      <c r="Q1199" s="433"/>
      <c r="R1199" s="433"/>
      <c r="S1199" s="432" t="s">
        <v>1443</v>
      </c>
      <c r="T1199" s="432">
        <v>60</v>
      </c>
      <c r="U1199" s="432">
        <v>49403139</v>
      </c>
      <c r="V1199" s="432" t="s">
        <v>4744</v>
      </c>
      <c r="W1199" s="432">
        <v>395</v>
      </c>
      <c r="X1199" s="436">
        <v>768</v>
      </c>
      <c r="Y1199" s="408">
        <f t="shared" si="145"/>
        <v>303360</v>
      </c>
      <c r="Z1199" s="409">
        <v>0.56000000000000005</v>
      </c>
      <c r="AA1199" s="410">
        <f t="shared" si="146"/>
        <v>169881.60000000001</v>
      </c>
      <c r="AB1199" s="411"/>
      <c r="AC1199" s="412">
        <v>0</v>
      </c>
      <c r="AD1199" s="421"/>
      <c r="AE1199" s="413"/>
      <c r="AF1199" s="424">
        <f t="shared" si="147"/>
        <v>169881.60000000001</v>
      </c>
      <c r="AG1199" s="405" t="s">
        <v>47</v>
      </c>
      <c r="AH1199" s="405" t="s">
        <v>1963</v>
      </c>
      <c r="AI1199" s="414">
        <v>60</v>
      </c>
      <c r="AJ1199" s="405" t="s">
        <v>1584</v>
      </c>
      <c r="AK1199" s="425" t="s">
        <v>50</v>
      </c>
      <c r="AL1199" s="414" t="s">
        <v>1966</v>
      </c>
      <c r="AM1199" s="405" t="s">
        <v>52</v>
      </c>
      <c r="AN1199" s="405"/>
      <c r="AO1199" s="405"/>
      <c r="AP1199" s="417"/>
      <c r="AQ1199" s="417"/>
      <c r="AR1199" s="417"/>
      <c r="AS1199" s="426"/>
      <c r="AT1199" s="426"/>
      <c r="AU1199" s="409"/>
    </row>
    <row r="1200" spans="1:48" s="402" customFormat="1">
      <c r="A1200" s="403"/>
      <c r="B1200" s="445"/>
      <c r="C1200" s="445"/>
      <c r="D1200" s="443" t="s">
        <v>1914</v>
      </c>
      <c r="E1200" s="432"/>
      <c r="F1200" s="432"/>
      <c r="G1200" s="432"/>
      <c r="H1200" s="432"/>
      <c r="I1200" s="443" t="s">
        <v>1498</v>
      </c>
      <c r="J1200" s="433"/>
      <c r="K1200" s="434" t="s">
        <v>4757</v>
      </c>
      <c r="L1200" s="432" t="s">
        <v>1960</v>
      </c>
      <c r="M1200" s="435">
        <v>44685</v>
      </c>
      <c r="N1200" s="435">
        <v>44905</v>
      </c>
      <c r="O1200" s="435"/>
      <c r="P1200" s="433"/>
      <c r="Q1200" s="433"/>
      <c r="R1200" s="433"/>
      <c r="S1200" s="432" t="s">
        <v>1443</v>
      </c>
      <c r="T1200" s="432">
        <v>60</v>
      </c>
      <c r="U1200" s="432">
        <v>49403139</v>
      </c>
      <c r="V1200" s="432" t="s">
        <v>4744</v>
      </c>
      <c r="W1200" s="432">
        <v>395</v>
      </c>
      <c r="X1200" s="436">
        <v>768</v>
      </c>
      <c r="Y1200" s="408">
        <f t="shared" si="145"/>
        <v>303360</v>
      </c>
      <c r="Z1200" s="409">
        <v>0.56000000000000005</v>
      </c>
      <c r="AA1200" s="410">
        <f t="shared" si="146"/>
        <v>169881.60000000001</v>
      </c>
      <c r="AB1200" s="411"/>
      <c r="AC1200" s="412">
        <v>0</v>
      </c>
      <c r="AD1200" s="421"/>
      <c r="AE1200" s="413"/>
      <c r="AF1200" s="424">
        <f t="shared" si="147"/>
        <v>169881.60000000001</v>
      </c>
      <c r="AG1200" s="405" t="s">
        <v>47</v>
      </c>
      <c r="AH1200" s="405" t="s">
        <v>1963</v>
      </c>
      <c r="AI1200" s="414">
        <v>60</v>
      </c>
      <c r="AJ1200" s="405" t="s">
        <v>1584</v>
      </c>
      <c r="AK1200" s="425" t="s">
        <v>50</v>
      </c>
      <c r="AL1200" s="414" t="s">
        <v>1966</v>
      </c>
      <c r="AM1200" s="405" t="s">
        <v>52</v>
      </c>
      <c r="AN1200" s="405"/>
      <c r="AO1200" s="405"/>
      <c r="AP1200" s="417"/>
      <c r="AQ1200" s="417"/>
      <c r="AR1200" s="417"/>
      <c r="AS1200" s="426"/>
      <c r="AT1200" s="426"/>
      <c r="AU1200" s="409"/>
    </row>
    <row r="1201" spans="1:48" s="402" customFormat="1">
      <c r="A1201" s="403"/>
      <c r="B1201" s="445"/>
      <c r="C1201" s="445"/>
      <c r="D1201" s="443" t="s">
        <v>1914</v>
      </c>
      <c r="E1201" s="432"/>
      <c r="F1201" s="432"/>
      <c r="G1201" s="432"/>
      <c r="H1201" s="432"/>
      <c r="I1201" s="443" t="s">
        <v>1498</v>
      </c>
      <c r="J1201" s="433"/>
      <c r="K1201" s="434" t="s">
        <v>4758</v>
      </c>
      <c r="L1201" s="432" t="s">
        <v>1960</v>
      </c>
      <c r="M1201" s="435">
        <v>44685</v>
      </c>
      <c r="N1201" s="435">
        <v>44907</v>
      </c>
      <c r="O1201" s="435"/>
      <c r="P1201" s="433"/>
      <c r="Q1201" s="433"/>
      <c r="R1201" s="433"/>
      <c r="S1201" s="432" t="s">
        <v>1443</v>
      </c>
      <c r="T1201" s="432">
        <v>60</v>
      </c>
      <c r="U1201" s="432">
        <v>49403139</v>
      </c>
      <c r="V1201" s="432" t="s">
        <v>4744</v>
      </c>
      <c r="W1201" s="432">
        <v>395</v>
      </c>
      <c r="X1201" s="436">
        <v>768</v>
      </c>
      <c r="Y1201" s="408">
        <f t="shared" si="145"/>
        <v>303360</v>
      </c>
      <c r="Z1201" s="409">
        <v>0.56000000000000005</v>
      </c>
      <c r="AA1201" s="410">
        <f t="shared" si="146"/>
        <v>169881.60000000001</v>
      </c>
      <c r="AB1201" s="411"/>
      <c r="AC1201" s="412">
        <v>0</v>
      </c>
      <c r="AD1201" s="421"/>
      <c r="AE1201" s="413"/>
      <c r="AF1201" s="424">
        <f t="shared" si="147"/>
        <v>169881.60000000001</v>
      </c>
      <c r="AG1201" s="405" t="s">
        <v>47</v>
      </c>
      <c r="AH1201" s="405" t="s">
        <v>1963</v>
      </c>
      <c r="AI1201" s="414">
        <v>60</v>
      </c>
      <c r="AJ1201" s="405" t="s">
        <v>1958</v>
      </c>
      <c r="AK1201" s="425" t="s">
        <v>1136</v>
      </c>
      <c r="AL1201" s="414" t="s">
        <v>1999</v>
      </c>
      <c r="AM1201" s="405" t="s">
        <v>52</v>
      </c>
      <c r="AN1201" s="405"/>
      <c r="AO1201" s="405"/>
      <c r="AP1201" s="417"/>
      <c r="AQ1201" s="417"/>
      <c r="AR1201" s="417"/>
      <c r="AS1201" s="426"/>
      <c r="AT1201" s="426"/>
      <c r="AU1201" s="409"/>
    </row>
    <row r="1202" spans="1:48" s="402" customFormat="1">
      <c r="A1202" s="403"/>
      <c r="B1202" s="445"/>
      <c r="C1202" s="445"/>
      <c r="D1202" s="443" t="s">
        <v>1914</v>
      </c>
      <c r="E1202" s="432"/>
      <c r="F1202" s="432"/>
      <c r="G1202" s="432"/>
      <c r="H1202" s="432"/>
      <c r="I1202" s="443" t="s">
        <v>1498</v>
      </c>
      <c r="J1202" s="433"/>
      <c r="K1202" s="434" t="s">
        <v>4759</v>
      </c>
      <c r="L1202" s="432" t="s">
        <v>1960</v>
      </c>
      <c r="M1202" s="435">
        <v>44685</v>
      </c>
      <c r="N1202" s="435">
        <v>44909</v>
      </c>
      <c r="O1202" s="435"/>
      <c r="P1202" s="433"/>
      <c r="Q1202" s="433"/>
      <c r="R1202" s="433"/>
      <c r="S1202" s="432" t="s">
        <v>1443</v>
      </c>
      <c r="T1202" s="432">
        <v>60</v>
      </c>
      <c r="U1202" s="432">
        <v>49403139</v>
      </c>
      <c r="V1202" s="432" t="s">
        <v>4744</v>
      </c>
      <c r="W1202" s="432">
        <v>395</v>
      </c>
      <c r="X1202" s="436">
        <v>768</v>
      </c>
      <c r="Y1202" s="408">
        <f t="shared" si="145"/>
        <v>303360</v>
      </c>
      <c r="Z1202" s="409">
        <v>0.56000000000000005</v>
      </c>
      <c r="AA1202" s="410">
        <f t="shared" si="146"/>
        <v>169881.60000000001</v>
      </c>
      <c r="AB1202" s="411"/>
      <c r="AC1202" s="412">
        <v>0</v>
      </c>
      <c r="AD1202" s="421"/>
      <c r="AE1202" s="413"/>
      <c r="AF1202" s="424">
        <f t="shared" si="147"/>
        <v>169881.60000000001</v>
      </c>
      <c r="AG1202" s="405" t="s">
        <v>47</v>
      </c>
      <c r="AH1202" s="405" t="s">
        <v>1963</v>
      </c>
      <c r="AI1202" s="414">
        <v>60</v>
      </c>
      <c r="AJ1202" s="405" t="s">
        <v>1958</v>
      </c>
      <c r="AK1202" s="425" t="s">
        <v>1136</v>
      </c>
      <c r="AL1202" s="414" t="s">
        <v>1999</v>
      </c>
      <c r="AM1202" s="405" t="s">
        <v>52</v>
      </c>
      <c r="AN1202" s="405"/>
      <c r="AO1202" s="405"/>
      <c r="AP1202" s="417"/>
      <c r="AQ1202" s="417"/>
      <c r="AR1202" s="417"/>
      <c r="AS1202" s="426"/>
      <c r="AT1202" s="426"/>
      <c r="AU1202" s="409"/>
    </row>
    <row r="1203" spans="1:48" s="402" customFormat="1">
      <c r="A1203" s="403"/>
      <c r="B1203" s="445"/>
      <c r="C1203" s="445"/>
      <c r="D1203" s="443" t="s">
        <v>1914</v>
      </c>
      <c r="E1203" s="432"/>
      <c r="F1203" s="432"/>
      <c r="G1203" s="432"/>
      <c r="H1203" s="432"/>
      <c r="I1203" s="443" t="s">
        <v>1498</v>
      </c>
      <c r="J1203" s="433"/>
      <c r="K1203" s="434" t="s">
        <v>4760</v>
      </c>
      <c r="L1203" s="432" t="s">
        <v>1960</v>
      </c>
      <c r="M1203" s="435">
        <v>44685</v>
      </c>
      <c r="N1203" s="435">
        <v>44909</v>
      </c>
      <c r="O1203" s="435"/>
      <c r="P1203" s="433"/>
      <c r="Q1203" s="433"/>
      <c r="R1203" s="433"/>
      <c r="S1203" s="432" t="s">
        <v>1443</v>
      </c>
      <c r="T1203" s="432">
        <v>60</v>
      </c>
      <c r="U1203" s="432">
        <v>49403139</v>
      </c>
      <c r="V1203" s="432" t="s">
        <v>4744</v>
      </c>
      <c r="W1203" s="432">
        <v>395</v>
      </c>
      <c r="X1203" s="436">
        <v>768</v>
      </c>
      <c r="Y1203" s="408">
        <f t="shared" si="145"/>
        <v>303360</v>
      </c>
      <c r="Z1203" s="409">
        <v>0.56000000000000005</v>
      </c>
      <c r="AA1203" s="410">
        <f t="shared" si="146"/>
        <v>169881.60000000001</v>
      </c>
      <c r="AB1203" s="411"/>
      <c r="AC1203" s="412">
        <v>0</v>
      </c>
      <c r="AD1203" s="421"/>
      <c r="AE1203" s="413"/>
      <c r="AF1203" s="424">
        <f t="shared" si="147"/>
        <v>169881.60000000001</v>
      </c>
      <c r="AG1203" s="405" t="s">
        <v>47</v>
      </c>
      <c r="AH1203" s="405" t="s">
        <v>1963</v>
      </c>
      <c r="AI1203" s="414">
        <v>60</v>
      </c>
      <c r="AJ1203" s="405" t="s">
        <v>1881</v>
      </c>
      <c r="AK1203" s="425" t="s">
        <v>1081</v>
      </c>
      <c r="AL1203" s="414" t="s">
        <v>1964</v>
      </c>
      <c r="AM1203" s="405" t="s">
        <v>52</v>
      </c>
      <c r="AN1203" s="405"/>
      <c r="AO1203" s="405"/>
      <c r="AP1203" s="417"/>
      <c r="AQ1203" s="417"/>
      <c r="AR1203" s="417"/>
      <c r="AS1203" s="426"/>
      <c r="AT1203" s="426"/>
      <c r="AU1203" s="409"/>
    </row>
    <row r="1204" spans="1:48" s="402" customFormat="1">
      <c r="A1204" s="403"/>
      <c r="B1204" s="445"/>
      <c r="C1204" s="445"/>
      <c r="D1204" s="443" t="s">
        <v>1914</v>
      </c>
      <c r="E1204" s="432"/>
      <c r="F1204" s="432"/>
      <c r="G1204" s="432"/>
      <c r="H1204" s="432"/>
      <c r="I1204" s="443" t="s">
        <v>1498</v>
      </c>
      <c r="J1204" s="433"/>
      <c r="K1204" s="434" t="s">
        <v>4761</v>
      </c>
      <c r="L1204" s="432" t="s">
        <v>1960</v>
      </c>
      <c r="M1204" s="435">
        <v>44685</v>
      </c>
      <c r="N1204" s="435">
        <v>44905</v>
      </c>
      <c r="O1204" s="435"/>
      <c r="P1204" s="433"/>
      <c r="Q1204" s="433"/>
      <c r="R1204" s="433"/>
      <c r="S1204" s="432" t="s">
        <v>1443</v>
      </c>
      <c r="T1204" s="432">
        <v>60</v>
      </c>
      <c r="U1204" s="432">
        <v>49403139</v>
      </c>
      <c r="V1204" s="432" t="s">
        <v>4744</v>
      </c>
      <c r="W1204" s="432">
        <v>395</v>
      </c>
      <c r="X1204" s="436">
        <v>768</v>
      </c>
      <c r="Y1204" s="408">
        <f t="shared" si="145"/>
        <v>303360</v>
      </c>
      <c r="Z1204" s="409">
        <v>0.56000000000000005</v>
      </c>
      <c r="AA1204" s="410">
        <f t="shared" si="146"/>
        <v>169881.60000000001</v>
      </c>
      <c r="AB1204" s="411"/>
      <c r="AC1204" s="412">
        <v>0</v>
      </c>
      <c r="AD1204" s="421"/>
      <c r="AE1204" s="413"/>
      <c r="AF1204" s="424">
        <f t="shared" si="147"/>
        <v>169881.60000000001</v>
      </c>
      <c r="AG1204" s="405" t="s">
        <v>47</v>
      </c>
      <c r="AH1204" s="405" t="s">
        <v>1963</v>
      </c>
      <c r="AI1204" s="414">
        <v>60</v>
      </c>
      <c r="AJ1204" s="405" t="s">
        <v>1881</v>
      </c>
      <c r="AK1204" s="425" t="s">
        <v>1081</v>
      </c>
      <c r="AL1204" s="414" t="s">
        <v>1964</v>
      </c>
      <c r="AM1204" s="405" t="s">
        <v>52</v>
      </c>
      <c r="AN1204" s="405"/>
      <c r="AO1204" s="405"/>
      <c r="AP1204" s="417"/>
      <c r="AQ1204" s="417"/>
      <c r="AR1204" s="417"/>
      <c r="AS1204" s="426"/>
      <c r="AT1204" s="426"/>
      <c r="AU1204" s="409"/>
    </row>
    <row r="1205" spans="1:48" s="402" customFormat="1">
      <c r="A1205" s="403"/>
      <c r="B1205" s="445"/>
      <c r="C1205" s="445"/>
      <c r="D1205" s="443" t="s">
        <v>1914</v>
      </c>
      <c r="E1205" s="432"/>
      <c r="F1205" s="432"/>
      <c r="G1205" s="432"/>
      <c r="H1205" s="432"/>
      <c r="I1205" s="443" t="s">
        <v>1498</v>
      </c>
      <c r="J1205" s="433"/>
      <c r="K1205" s="434" t="s">
        <v>4762</v>
      </c>
      <c r="L1205" s="432" t="s">
        <v>1960</v>
      </c>
      <c r="M1205" s="435">
        <v>44685</v>
      </c>
      <c r="N1205" s="435">
        <v>44899</v>
      </c>
      <c r="O1205" s="435"/>
      <c r="P1205" s="433"/>
      <c r="Q1205" s="433"/>
      <c r="R1205" s="433"/>
      <c r="S1205" s="432" t="s">
        <v>1443</v>
      </c>
      <c r="T1205" s="432">
        <v>60</v>
      </c>
      <c r="U1205" s="432">
        <v>49403139</v>
      </c>
      <c r="V1205" s="432" t="s">
        <v>4744</v>
      </c>
      <c r="W1205" s="432">
        <v>395</v>
      </c>
      <c r="X1205" s="436">
        <v>768</v>
      </c>
      <c r="Y1205" s="408">
        <f t="shared" si="145"/>
        <v>303360</v>
      </c>
      <c r="Z1205" s="409">
        <v>0.56000000000000005</v>
      </c>
      <c r="AA1205" s="410">
        <f t="shared" si="146"/>
        <v>169881.60000000001</v>
      </c>
      <c r="AB1205" s="411"/>
      <c r="AC1205" s="412">
        <v>0</v>
      </c>
      <c r="AD1205" s="421"/>
      <c r="AE1205" s="413"/>
      <c r="AF1205" s="424">
        <f t="shared" si="147"/>
        <v>169881.60000000001</v>
      </c>
      <c r="AG1205" s="405" t="s">
        <v>47</v>
      </c>
      <c r="AH1205" s="405" t="s">
        <v>1963</v>
      </c>
      <c r="AI1205" s="414">
        <v>60</v>
      </c>
      <c r="AJ1205" s="405" t="s">
        <v>1881</v>
      </c>
      <c r="AK1205" s="425" t="s">
        <v>1081</v>
      </c>
      <c r="AL1205" s="414" t="s">
        <v>1964</v>
      </c>
      <c r="AM1205" s="405" t="s">
        <v>52</v>
      </c>
      <c r="AN1205" s="405"/>
      <c r="AO1205" s="405"/>
      <c r="AP1205" s="417"/>
      <c r="AQ1205" s="417"/>
      <c r="AR1205" s="417"/>
      <c r="AS1205" s="426"/>
      <c r="AT1205" s="426"/>
      <c r="AU1205" s="409"/>
    </row>
    <row r="1206" spans="1:48" s="402" customFormat="1">
      <c r="A1206" s="403"/>
      <c r="B1206" s="445"/>
      <c r="C1206" s="445"/>
      <c r="D1206" s="443" t="s">
        <v>1914</v>
      </c>
      <c r="E1206" s="432"/>
      <c r="F1206" s="432"/>
      <c r="G1206" s="432"/>
      <c r="H1206" s="432"/>
      <c r="I1206" s="443" t="s">
        <v>1498</v>
      </c>
      <c r="J1206" s="433"/>
      <c r="K1206" s="434" t="s">
        <v>4763</v>
      </c>
      <c r="L1206" s="432" t="s">
        <v>1960</v>
      </c>
      <c r="M1206" s="435">
        <v>44685</v>
      </c>
      <c r="N1206" s="435">
        <v>44905</v>
      </c>
      <c r="O1206" s="435"/>
      <c r="P1206" s="433"/>
      <c r="Q1206" s="433"/>
      <c r="R1206" s="433"/>
      <c r="S1206" s="432" t="s">
        <v>1443</v>
      </c>
      <c r="T1206" s="432">
        <v>60</v>
      </c>
      <c r="U1206" s="432">
        <v>49403139</v>
      </c>
      <c r="V1206" s="432" t="s">
        <v>4744</v>
      </c>
      <c r="W1206" s="432">
        <v>395</v>
      </c>
      <c r="X1206" s="436">
        <v>768</v>
      </c>
      <c r="Y1206" s="408">
        <f t="shared" si="145"/>
        <v>303360</v>
      </c>
      <c r="Z1206" s="409">
        <v>0.56000000000000005</v>
      </c>
      <c r="AA1206" s="410">
        <f t="shared" si="146"/>
        <v>169881.60000000001</v>
      </c>
      <c r="AB1206" s="411"/>
      <c r="AC1206" s="412">
        <v>0</v>
      </c>
      <c r="AD1206" s="421"/>
      <c r="AE1206" s="413"/>
      <c r="AF1206" s="424">
        <f t="shared" si="147"/>
        <v>169881.60000000001</v>
      </c>
      <c r="AG1206" s="405" t="s">
        <v>47</v>
      </c>
      <c r="AH1206" s="405" t="s">
        <v>1963</v>
      </c>
      <c r="AI1206" s="414">
        <v>60</v>
      </c>
      <c r="AJ1206" s="405" t="s">
        <v>1965</v>
      </c>
      <c r="AK1206" s="425" t="s">
        <v>50</v>
      </c>
      <c r="AL1206" s="414" t="s">
        <v>1997</v>
      </c>
      <c r="AM1206" s="405" t="s">
        <v>52</v>
      </c>
      <c r="AN1206" s="405"/>
      <c r="AO1206" s="405"/>
      <c r="AP1206" s="417"/>
      <c r="AQ1206" s="417"/>
      <c r="AR1206" s="417"/>
      <c r="AS1206" s="426"/>
      <c r="AT1206" s="426"/>
      <c r="AU1206" s="409"/>
    </row>
    <row r="1207" spans="1:48" s="402" customFormat="1" ht="15" customHeight="1">
      <c r="A1207" s="403"/>
      <c r="B1207" s="445"/>
      <c r="C1207" s="403"/>
      <c r="D1207" s="443" t="s">
        <v>1914</v>
      </c>
      <c r="E1207" s="432"/>
      <c r="F1207" s="432"/>
      <c r="G1207" s="432"/>
      <c r="H1207" s="432"/>
      <c r="I1207" s="443" t="s">
        <v>1498</v>
      </c>
      <c r="J1207" s="433"/>
      <c r="K1207" s="351" t="s">
        <v>3548</v>
      </c>
      <c r="L1207" s="434" t="s">
        <v>1928</v>
      </c>
      <c r="M1207" s="435">
        <v>44658</v>
      </c>
      <c r="N1207" s="435">
        <v>44683</v>
      </c>
      <c r="O1207" s="435"/>
      <c r="P1207" s="349"/>
      <c r="Q1207" s="433"/>
      <c r="R1207" s="433"/>
      <c r="S1207" s="432" t="s">
        <v>1443</v>
      </c>
      <c r="T1207" s="432">
        <v>60</v>
      </c>
      <c r="U1207" s="350">
        <v>49403140</v>
      </c>
      <c r="V1207" s="432" t="s">
        <v>3522</v>
      </c>
      <c r="W1207" s="432">
        <v>400</v>
      </c>
      <c r="X1207" s="436">
        <v>1952</v>
      </c>
      <c r="Y1207" s="408">
        <f t="shared" si="145"/>
        <v>780800</v>
      </c>
      <c r="Z1207" s="409">
        <f>220/400</f>
        <v>0.55000000000000004</v>
      </c>
      <c r="AA1207" s="410">
        <f t="shared" si="146"/>
        <v>429440.00000000006</v>
      </c>
      <c r="AB1207" s="411"/>
      <c r="AC1207" s="412">
        <f t="shared" ref="AC1207:AC1270" si="150">AB1207*Y1207</f>
        <v>0</v>
      </c>
      <c r="AD1207" s="421"/>
      <c r="AE1207" s="413"/>
      <c r="AF1207" s="424">
        <f t="shared" si="147"/>
        <v>429440.00000000006</v>
      </c>
      <c r="AG1207" s="405" t="s">
        <v>1069</v>
      </c>
      <c r="AH1207" s="405"/>
      <c r="AI1207" s="414">
        <v>60</v>
      </c>
      <c r="AJ1207" s="405" t="s">
        <v>1946</v>
      </c>
      <c r="AK1207" s="425" t="s">
        <v>1930</v>
      </c>
      <c r="AL1207" s="405">
        <v>80223</v>
      </c>
      <c r="AM1207" s="405" t="s">
        <v>52</v>
      </c>
      <c r="AN1207" s="405" t="s">
        <v>1071</v>
      </c>
      <c r="AO1207" s="405"/>
      <c r="AP1207" s="417"/>
      <c r="AQ1207" s="417"/>
      <c r="AR1207" s="409" t="s">
        <v>1934</v>
      </c>
      <c r="AS1207" s="426"/>
      <c r="AT1207" s="426"/>
      <c r="AU1207" s="357"/>
      <c r="AV1207" s="409"/>
    </row>
    <row r="1208" spans="1:48" s="402" customFormat="1" ht="15.75" customHeight="1">
      <c r="A1208" s="403"/>
      <c r="B1208" s="403"/>
      <c r="C1208" s="403"/>
      <c r="D1208" s="443" t="s">
        <v>2480</v>
      </c>
      <c r="E1208" s="405" t="s">
        <v>2484</v>
      </c>
      <c r="F1208" s="432"/>
      <c r="G1208" s="432"/>
      <c r="H1208" s="432"/>
      <c r="I1208" s="427" t="s">
        <v>1498</v>
      </c>
      <c r="J1208" s="433"/>
      <c r="K1208" s="434" t="s">
        <v>3635</v>
      </c>
      <c r="L1208" s="432" t="s">
        <v>1926</v>
      </c>
      <c r="M1208" s="435">
        <v>44532</v>
      </c>
      <c r="N1208" s="435">
        <v>44563</v>
      </c>
      <c r="O1208" s="435"/>
      <c r="P1208" s="433"/>
      <c r="Q1208" s="433"/>
      <c r="R1208" s="433"/>
      <c r="S1208" s="432" t="s">
        <v>3636</v>
      </c>
      <c r="T1208" s="432">
        <v>60</v>
      </c>
      <c r="U1208" s="432"/>
      <c r="V1208" s="432" t="s">
        <v>985</v>
      </c>
      <c r="W1208" s="432">
        <v>400</v>
      </c>
      <c r="X1208" s="436">
        <v>3072</v>
      </c>
      <c r="Y1208" s="422">
        <f t="shared" si="145"/>
        <v>1228800</v>
      </c>
      <c r="Z1208" s="437">
        <v>0.45500000000000002</v>
      </c>
      <c r="AA1208" s="423">
        <f t="shared" si="146"/>
        <v>559104</v>
      </c>
      <c r="AB1208" s="411"/>
      <c r="AC1208" s="412">
        <f t="shared" si="150"/>
        <v>0</v>
      </c>
      <c r="AD1208" s="439"/>
      <c r="AE1208" s="438"/>
      <c r="AF1208" s="424">
        <f t="shared" ref="AF1208:AF1271" si="151">AE1208+AD1208+AA1208</f>
        <v>559104</v>
      </c>
      <c r="AG1208" s="432" t="s">
        <v>1069</v>
      </c>
      <c r="AH1208" s="432"/>
      <c r="AI1208" s="434" t="s">
        <v>1962</v>
      </c>
      <c r="AJ1208" s="432" t="s">
        <v>1454</v>
      </c>
      <c r="AK1208" s="440" t="s">
        <v>1136</v>
      </c>
      <c r="AL1208" s="432">
        <v>78744</v>
      </c>
      <c r="AM1208" s="432" t="s">
        <v>52</v>
      </c>
      <c r="AN1208" s="432"/>
      <c r="AO1208" s="432"/>
      <c r="AP1208" s="441"/>
      <c r="AQ1208" s="441" t="s">
        <v>37</v>
      </c>
      <c r="AR1208" s="441" t="s">
        <v>1499</v>
      </c>
      <c r="AS1208" s="426"/>
      <c r="AT1208" s="426"/>
      <c r="AU1208" s="426"/>
      <c r="AV1208" s="437">
        <v>0.45500000000000002</v>
      </c>
    </row>
    <row r="1209" spans="1:48" s="402" customFormat="1" ht="15.75" customHeight="1">
      <c r="A1209" s="403"/>
      <c r="B1209" s="445">
        <v>44690</v>
      </c>
      <c r="C1209" s="403"/>
      <c r="D1209" s="443" t="s">
        <v>2480</v>
      </c>
      <c r="E1209" s="432" t="s">
        <v>2406</v>
      </c>
      <c r="F1209" s="432"/>
      <c r="G1209" s="432">
        <v>2022</v>
      </c>
      <c r="H1209" s="432"/>
      <c r="I1209" s="427" t="s">
        <v>1498</v>
      </c>
      <c r="J1209" s="433"/>
      <c r="K1209" s="434" t="s">
        <v>4784</v>
      </c>
      <c r="L1209" s="432" t="s">
        <v>1926</v>
      </c>
      <c r="M1209" s="435">
        <v>44671</v>
      </c>
      <c r="N1209" s="435">
        <v>44743</v>
      </c>
      <c r="O1209" s="435"/>
      <c r="P1209" s="433"/>
      <c r="Q1209" s="433"/>
      <c r="R1209" s="433"/>
      <c r="S1209" s="432" t="s">
        <v>1940</v>
      </c>
      <c r="T1209" s="432">
        <v>60</v>
      </c>
      <c r="U1209" s="432"/>
      <c r="V1209" s="432" t="s">
        <v>973</v>
      </c>
      <c r="W1209" s="432">
        <v>400</v>
      </c>
      <c r="X1209" s="436">
        <v>4160</v>
      </c>
      <c r="Y1209" s="422">
        <f t="shared" si="145"/>
        <v>1664000</v>
      </c>
      <c r="Z1209" s="437">
        <v>0.64</v>
      </c>
      <c r="AA1209" s="423">
        <f t="shared" si="146"/>
        <v>1064960</v>
      </c>
      <c r="AB1209" s="411"/>
      <c r="AC1209" s="412">
        <f t="shared" si="150"/>
        <v>0</v>
      </c>
      <c r="AD1209" s="439"/>
      <c r="AE1209" s="438"/>
      <c r="AF1209" s="424">
        <f t="shared" si="151"/>
        <v>1064960</v>
      </c>
      <c r="AG1209" s="432" t="s">
        <v>1069</v>
      </c>
      <c r="AH1209" s="432"/>
      <c r="AI1209" s="434" t="s">
        <v>1962</v>
      </c>
      <c r="AJ1209" s="432" t="s">
        <v>1454</v>
      </c>
      <c r="AK1209" s="440" t="s">
        <v>1136</v>
      </c>
      <c r="AL1209" s="432">
        <v>78744</v>
      </c>
      <c r="AM1209" s="432" t="s">
        <v>52</v>
      </c>
      <c r="AN1209" s="432"/>
      <c r="AO1209" s="432"/>
      <c r="AP1209" s="441"/>
      <c r="AQ1209" s="441" t="s">
        <v>37</v>
      </c>
      <c r="AR1209" s="441" t="s">
        <v>1499</v>
      </c>
      <c r="AS1209" s="426"/>
      <c r="AT1209" s="426"/>
      <c r="AU1209" s="426"/>
      <c r="AV1209" s="437">
        <v>0.45500000000000002</v>
      </c>
    </row>
    <row r="1210" spans="1:48" s="402" customFormat="1" ht="15.75" customHeight="1">
      <c r="A1210" s="403"/>
      <c r="B1210" s="445">
        <v>44690</v>
      </c>
      <c r="C1210" s="403"/>
      <c r="D1210" s="443" t="s">
        <v>2480</v>
      </c>
      <c r="E1210" s="432" t="s">
        <v>2406</v>
      </c>
      <c r="F1210" s="432"/>
      <c r="G1210" s="432">
        <v>2022</v>
      </c>
      <c r="H1210" s="432"/>
      <c r="I1210" s="427" t="s">
        <v>1498</v>
      </c>
      <c r="J1210" s="433"/>
      <c r="K1210" s="434" t="s">
        <v>4785</v>
      </c>
      <c r="L1210" s="432" t="s">
        <v>1926</v>
      </c>
      <c r="M1210" s="435">
        <v>44671</v>
      </c>
      <c r="N1210" s="435">
        <v>44774</v>
      </c>
      <c r="O1210" s="435"/>
      <c r="P1210" s="433"/>
      <c r="Q1210" s="433"/>
      <c r="R1210" s="433"/>
      <c r="S1210" s="432" t="s">
        <v>1940</v>
      </c>
      <c r="T1210" s="432">
        <v>60</v>
      </c>
      <c r="U1210" s="432"/>
      <c r="V1210" s="432" t="s">
        <v>973</v>
      </c>
      <c r="W1210" s="432">
        <v>400</v>
      </c>
      <c r="X1210" s="436">
        <v>4160</v>
      </c>
      <c r="Y1210" s="422">
        <f t="shared" si="145"/>
        <v>1664000</v>
      </c>
      <c r="Z1210" s="437">
        <v>0.64</v>
      </c>
      <c r="AA1210" s="423">
        <f t="shared" si="146"/>
        <v>1064960</v>
      </c>
      <c r="AB1210" s="411"/>
      <c r="AC1210" s="412">
        <f t="shared" si="150"/>
        <v>0</v>
      </c>
      <c r="AD1210" s="439"/>
      <c r="AE1210" s="438"/>
      <c r="AF1210" s="424">
        <f t="shared" si="151"/>
        <v>1064960</v>
      </c>
      <c r="AG1210" s="432" t="s">
        <v>1069</v>
      </c>
      <c r="AH1210" s="432"/>
      <c r="AI1210" s="434" t="s">
        <v>1962</v>
      </c>
      <c r="AJ1210" s="432" t="s">
        <v>1454</v>
      </c>
      <c r="AK1210" s="440" t="s">
        <v>1136</v>
      </c>
      <c r="AL1210" s="432">
        <v>78744</v>
      </c>
      <c r="AM1210" s="432" t="s">
        <v>52</v>
      </c>
      <c r="AN1210" s="432"/>
      <c r="AO1210" s="432"/>
      <c r="AP1210" s="441"/>
      <c r="AQ1210" s="441" t="s">
        <v>37</v>
      </c>
      <c r="AR1210" s="441" t="s">
        <v>1499</v>
      </c>
      <c r="AS1210" s="426"/>
      <c r="AT1210" s="426"/>
      <c r="AU1210" s="426"/>
      <c r="AV1210" s="437">
        <v>0.45500000000000002</v>
      </c>
    </row>
    <row r="1211" spans="1:48" s="402" customFormat="1" ht="15.75" customHeight="1">
      <c r="A1211" s="403"/>
      <c r="B1211" s="445">
        <v>44690</v>
      </c>
      <c r="C1211" s="403"/>
      <c r="D1211" s="443" t="s">
        <v>2480</v>
      </c>
      <c r="E1211" s="432" t="s">
        <v>2406</v>
      </c>
      <c r="F1211" s="432"/>
      <c r="G1211" s="432">
        <v>2022</v>
      </c>
      <c r="H1211" s="432"/>
      <c r="I1211" s="427" t="s">
        <v>1498</v>
      </c>
      <c r="J1211" s="433"/>
      <c r="K1211" s="434" t="s">
        <v>4786</v>
      </c>
      <c r="L1211" s="432" t="s">
        <v>1926</v>
      </c>
      <c r="M1211" s="435">
        <v>44671</v>
      </c>
      <c r="N1211" s="435">
        <v>44805</v>
      </c>
      <c r="O1211" s="435"/>
      <c r="P1211" s="433"/>
      <c r="Q1211" s="433"/>
      <c r="R1211" s="433"/>
      <c r="S1211" s="432" t="s">
        <v>1940</v>
      </c>
      <c r="T1211" s="432">
        <v>60</v>
      </c>
      <c r="U1211" s="432"/>
      <c r="V1211" s="432" t="s">
        <v>973</v>
      </c>
      <c r="W1211" s="432">
        <v>400</v>
      </c>
      <c r="X1211" s="436">
        <v>4160</v>
      </c>
      <c r="Y1211" s="422">
        <f t="shared" si="145"/>
        <v>1664000</v>
      </c>
      <c r="Z1211" s="437">
        <v>0.64</v>
      </c>
      <c r="AA1211" s="423">
        <f t="shared" si="146"/>
        <v>1064960</v>
      </c>
      <c r="AB1211" s="411"/>
      <c r="AC1211" s="412">
        <f t="shared" si="150"/>
        <v>0</v>
      </c>
      <c r="AD1211" s="439"/>
      <c r="AE1211" s="438"/>
      <c r="AF1211" s="424">
        <f t="shared" si="151"/>
        <v>1064960</v>
      </c>
      <c r="AG1211" s="432" t="s">
        <v>1069</v>
      </c>
      <c r="AH1211" s="432"/>
      <c r="AI1211" s="434" t="s">
        <v>1962</v>
      </c>
      <c r="AJ1211" s="432" t="s">
        <v>1454</v>
      </c>
      <c r="AK1211" s="440" t="s">
        <v>1136</v>
      </c>
      <c r="AL1211" s="432">
        <v>78744</v>
      </c>
      <c r="AM1211" s="432" t="s">
        <v>52</v>
      </c>
      <c r="AN1211" s="432"/>
      <c r="AO1211" s="432"/>
      <c r="AP1211" s="441"/>
      <c r="AQ1211" s="441" t="s">
        <v>37</v>
      </c>
      <c r="AR1211" s="441" t="s">
        <v>1499</v>
      </c>
      <c r="AS1211" s="426"/>
      <c r="AT1211" s="426"/>
      <c r="AU1211" s="426"/>
      <c r="AV1211" s="437">
        <v>0.45500000000000002</v>
      </c>
    </row>
    <row r="1212" spans="1:48" s="402" customFormat="1" ht="15.75" customHeight="1">
      <c r="A1212" s="403"/>
      <c r="B1212" s="445">
        <v>44690</v>
      </c>
      <c r="C1212" s="403"/>
      <c r="D1212" s="443" t="s">
        <v>2480</v>
      </c>
      <c r="E1212" s="432" t="s">
        <v>2406</v>
      </c>
      <c r="F1212" s="432"/>
      <c r="G1212" s="432">
        <v>2022</v>
      </c>
      <c r="H1212" s="432"/>
      <c r="I1212" s="427" t="s">
        <v>1498</v>
      </c>
      <c r="J1212" s="433"/>
      <c r="K1212" s="434" t="s">
        <v>4787</v>
      </c>
      <c r="L1212" s="432" t="s">
        <v>1926</v>
      </c>
      <c r="M1212" s="435">
        <v>44671</v>
      </c>
      <c r="N1212" s="435">
        <v>44835</v>
      </c>
      <c r="O1212" s="435"/>
      <c r="P1212" s="433"/>
      <c r="Q1212" s="433"/>
      <c r="R1212" s="433"/>
      <c r="S1212" s="432" t="s">
        <v>1940</v>
      </c>
      <c r="T1212" s="432">
        <v>60</v>
      </c>
      <c r="U1212" s="432"/>
      <c r="V1212" s="432" t="s">
        <v>973</v>
      </c>
      <c r="W1212" s="432">
        <v>400</v>
      </c>
      <c r="X1212" s="436">
        <v>4160</v>
      </c>
      <c r="Y1212" s="422">
        <f t="shared" si="145"/>
        <v>1664000</v>
      </c>
      <c r="Z1212" s="437">
        <v>0.64</v>
      </c>
      <c r="AA1212" s="423">
        <f t="shared" si="146"/>
        <v>1064960</v>
      </c>
      <c r="AB1212" s="411"/>
      <c r="AC1212" s="412">
        <f t="shared" si="150"/>
        <v>0</v>
      </c>
      <c r="AD1212" s="439"/>
      <c r="AE1212" s="438"/>
      <c r="AF1212" s="424">
        <f t="shared" si="151"/>
        <v>1064960</v>
      </c>
      <c r="AG1212" s="432" t="s">
        <v>1069</v>
      </c>
      <c r="AH1212" s="432"/>
      <c r="AI1212" s="434" t="s">
        <v>1962</v>
      </c>
      <c r="AJ1212" s="432" t="s">
        <v>1454</v>
      </c>
      <c r="AK1212" s="440" t="s">
        <v>1136</v>
      </c>
      <c r="AL1212" s="432">
        <v>78744</v>
      </c>
      <c r="AM1212" s="432" t="s">
        <v>52</v>
      </c>
      <c r="AN1212" s="432"/>
      <c r="AO1212" s="432"/>
      <c r="AP1212" s="441"/>
      <c r="AQ1212" s="441" t="s">
        <v>37</v>
      </c>
      <c r="AR1212" s="441" t="s">
        <v>1499</v>
      </c>
      <c r="AS1212" s="426"/>
      <c r="AT1212" s="426"/>
      <c r="AU1212" s="426"/>
      <c r="AV1212" s="437">
        <v>0.45500000000000002</v>
      </c>
    </row>
    <row r="1213" spans="1:48" s="402" customFormat="1" ht="15.75" customHeight="1">
      <c r="A1213" s="403"/>
      <c r="B1213" s="445">
        <v>44690</v>
      </c>
      <c r="C1213" s="403"/>
      <c r="D1213" s="443" t="s">
        <v>2480</v>
      </c>
      <c r="E1213" s="432" t="s">
        <v>2406</v>
      </c>
      <c r="F1213" s="432"/>
      <c r="G1213" s="432">
        <v>2022</v>
      </c>
      <c r="H1213" s="432"/>
      <c r="I1213" s="427" t="s">
        <v>1498</v>
      </c>
      <c r="J1213" s="433"/>
      <c r="K1213" s="434" t="s">
        <v>4788</v>
      </c>
      <c r="L1213" s="432" t="s">
        <v>1926</v>
      </c>
      <c r="M1213" s="435">
        <v>44671</v>
      </c>
      <c r="N1213" s="435">
        <v>44866</v>
      </c>
      <c r="O1213" s="435"/>
      <c r="P1213" s="433"/>
      <c r="Q1213" s="433"/>
      <c r="R1213" s="433"/>
      <c r="S1213" s="432" t="s">
        <v>1940</v>
      </c>
      <c r="T1213" s="432">
        <v>60</v>
      </c>
      <c r="U1213" s="432"/>
      <c r="V1213" s="432" t="s">
        <v>973</v>
      </c>
      <c r="W1213" s="432">
        <v>400</v>
      </c>
      <c r="X1213" s="436">
        <v>4160</v>
      </c>
      <c r="Y1213" s="422">
        <f t="shared" si="145"/>
        <v>1664000</v>
      </c>
      <c r="Z1213" s="437">
        <v>0.64</v>
      </c>
      <c r="AA1213" s="423">
        <f t="shared" si="146"/>
        <v>1064960</v>
      </c>
      <c r="AB1213" s="411"/>
      <c r="AC1213" s="412">
        <f t="shared" si="150"/>
        <v>0</v>
      </c>
      <c r="AD1213" s="439"/>
      <c r="AE1213" s="438"/>
      <c r="AF1213" s="424">
        <f t="shared" si="151"/>
        <v>1064960</v>
      </c>
      <c r="AG1213" s="432" t="s">
        <v>1069</v>
      </c>
      <c r="AH1213" s="432"/>
      <c r="AI1213" s="434" t="s">
        <v>1962</v>
      </c>
      <c r="AJ1213" s="432" t="s">
        <v>1454</v>
      </c>
      <c r="AK1213" s="440" t="s">
        <v>1136</v>
      </c>
      <c r="AL1213" s="432">
        <v>78744</v>
      </c>
      <c r="AM1213" s="432" t="s">
        <v>52</v>
      </c>
      <c r="AN1213" s="432"/>
      <c r="AO1213" s="432"/>
      <c r="AP1213" s="441"/>
      <c r="AQ1213" s="441" t="s">
        <v>37</v>
      </c>
      <c r="AR1213" s="441" t="s">
        <v>1499</v>
      </c>
      <c r="AS1213" s="426"/>
      <c r="AT1213" s="426"/>
      <c r="AU1213" s="426"/>
      <c r="AV1213" s="437">
        <v>0.45500000000000002</v>
      </c>
    </row>
    <row r="1214" spans="1:48" s="402" customFormat="1" ht="15.75" customHeight="1">
      <c r="A1214" s="403"/>
      <c r="B1214" s="445">
        <v>44690</v>
      </c>
      <c r="C1214" s="403"/>
      <c r="D1214" s="443" t="s">
        <v>2480</v>
      </c>
      <c r="E1214" s="432" t="s">
        <v>2406</v>
      </c>
      <c r="F1214" s="432"/>
      <c r="G1214" s="432">
        <v>2022</v>
      </c>
      <c r="H1214" s="432"/>
      <c r="I1214" s="427" t="s">
        <v>1498</v>
      </c>
      <c r="J1214" s="433"/>
      <c r="K1214" s="434" t="s">
        <v>4789</v>
      </c>
      <c r="L1214" s="432" t="s">
        <v>1926</v>
      </c>
      <c r="M1214" s="435">
        <v>44671</v>
      </c>
      <c r="N1214" s="435">
        <v>44896</v>
      </c>
      <c r="O1214" s="435"/>
      <c r="P1214" s="433"/>
      <c r="Q1214" s="433"/>
      <c r="R1214" s="433"/>
      <c r="S1214" s="432" t="s">
        <v>1940</v>
      </c>
      <c r="T1214" s="432">
        <v>60</v>
      </c>
      <c r="U1214" s="432"/>
      <c r="V1214" s="432" t="s">
        <v>973</v>
      </c>
      <c r="W1214" s="432">
        <v>400</v>
      </c>
      <c r="X1214" s="436">
        <v>4160</v>
      </c>
      <c r="Y1214" s="422">
        <f t="shared" si="145"/>
        <v>1664000</v>
      </c>
      <c r="Z1214" s="437">
        <v>0.64</v>
      </c>
      <c r="AA1214" s="423">
        <f t="shared" si="146"/>
        <v>1064960</v>
      </c>
      <c r="AB1214" s="411"/>
      <c r="AC1214" s="412">
        <f t="shared" si="150"/>
        <v>0</v>
      </c>
      <c r="AD1214" s="439"/>
      <c r="AE1214" s="438"/>
      <c r="AF1214" s="424">
        <f t="shared" si="151"/>
        <v>1064960</v>
      </c>
      <c r="AG1214" s="432" t="s">
        <v>1069</v>
      </c>
      <c r="AH1214" s="432"/>
      <c r="AI1214" s="434" t="s">
        <v>1962</v>
      </c>
      <c r="AJ1214" s="432" t="s">
        <v>1454</v>
      </c>
      <c r="AK1214" s="440" t="s">
        <v>1136</v>
      </c>
      <c r="AL1214" s="432">
        <v>78744</v>
      </c>
      <c r="AM1214" s="432" t="s">
        <v>52</v>
      </c>
      <c r="AN1214" s="432"/>
      <c r="AO1214" s="432"/>
      <c r="AP1214" s="441"/>
      <c r="AQ1214" s="441" t="s">
        <v>37</v>
      </c>
      <c r="AR1214" s="441" t="s">
        <v>1499</v>
      </c>
      <c r="AS1214" s="426"/>
      <c r="AT1214" s="426"/>
      <c r="AU1214" s="426"/>
      <c r="AV1214" s="437">
        <v>0.45500000000000002</v>
      </c>
    </row>
    <row r="1215" spans="1:48" s="402" customFormat="1" ht="15" customHeight="1">
      <c r="A1215" s="403"/>
      <c r="B1215" s="445">
        <v>44649</v>
      </c>
      <c r="C1215" s="403"/>
      <c r="D1215" s="443" t="s">
        <v>2480</v>
      </c>
      <c r="E1215" s="432"/>
      <c r="F1215" s="432"/>
      <c r="G1215" s="432">
        <v>2022</v>
      </c>
      <c r="H1215" s="432"/>
      <c r="I1215" s="427" t="s">
        <v>1498</v>
      </c>
      <c r="J1215" s="433"/>
      <c r="K1215" s="434" t="s">
        <v>4469</v>
      </c>
      <c r="L1215" s="432" t="s">
        <v>2765</v>
      </c>
      <c r="M1215" s="435">
        <v>44649</v>
      </c>
      <c r="N1215" s="435">
        <v>44774</v>
      </c>
      <c r="O1215" s="435"/>
      <c r="P1215" s="433"/>
      <c r="Q1215" s="433"/>
      <c r="R1215" s="433"/>
      <c r="S1215" s="432" t="s">
        <v>1940</v>
      </c>
      <c r="T1215" s="432">
        <v>60</v>
      </c>
      <c r="U1215" s="432"/>
      <c r="V1215" s="432" t="s">
        <v>973</v>
      </c>
      <c r="W1215" s="432">
        <v>400</v>
      </c>
      <c r="X1215" s="436">
        <v>768</v>
      </c>
      <c r="Y1215" s="422">
        <f t="shared" si="145"/>
        <v>307200</v>
      </c>
      <c r="Z1215" s="437">
        <v>0.64</v>
      </c>
      <c r="AA1215" s="423">
        <f t="shared" si="146"/>
        <v>196608</v>
      </c>
      <c r="AB1215" s="411"/>
      <c r="AC1215" s="412">
        <f t="shared" si="150"/>
        <v>0</v>
      </c>
      <c r="AD1215" s="439"/>
      <c r="AE1215" s="438"/>
      <c r="AF1215" s="424">
        <f t="shared" si="151"/>
        <v>196608</v>
      </c>
      <c r="AG1215" s="432" t="s">
        <v>1069</v>
      </c>
      <c r="AH1215" s="432"/>
      <c r="AI1215" s="434" t="s">
        <v>1962</v>
      </c>
      <c r="AJ1215" s="432" t="s">
        <v>2494</v>
      </c>
      <c r="AK1215" s="440" t="s">
        <v>1930</v>
      </c>
      <c r="AL1215" s="432">
        <v>80915</v>
      </c>
      <c r="AM1215" s="432" t="s">
        <v>52</v>
      </c>
      <c r="AN1215" s="432"/>
      <c r="AO1215" s="432"/>
      <c r="AP1215" s="441"/>
      <c r="AQ1215" s="441" t="s">
        <v>37</v>
      </c>
      <c r="AR1215" s="441" t="s">
        <v>2800</v>
      </c>
      <c r="AS1215" s="426"/>
      <c r="AT1215" s="426"/>
      <c r="AU1215" s="426"/>
      <c r="AV1215" s="437">
        <v>0.45500000000000002</v>
      </c>
    </row>
    <row r="1216" spans="1:48" s="402" customFormat="1" ht="15" customHeight="1">
      <c r="A1216" s="403"/>
      <c r="B1216" s="445">
        <v>44649</v>
      </c>
      <c r="C1216" s="403"/>
      <c r="D1216" s="443" t="s">
        <v>2480</v>
      </c>
      <c r="E1216" s="432"/>
      <c r="F1216" s="432"/>
      <c r="G1216" s="432">
        <v>2022</v>
      </c>
      <c r="H1216" s="432"/>
      <c r="I1216" s="427" t="s">
        <v>1498</v>
      </c>
      <c r="J1216" s="433"/>
      <c r="K1216" s="434" t="s">
        <v>4470</v>
      </c>
      <c r="L1216" s="432" t="s">
        <v>2765</v>
      </c>
      <c r="M1216" s="435">
        <v>44649</v>
      </c>
      <c r="N1216" s="435">
        <v>44805</v>
      </c>
      <c r="O1216" s="435"/>
      <c r="P1216" s="433"/>
      <c r="Q1216" s="433"/>
      <c r="R1216" s="433"/>
      <c r="S1216" s="432" t="s">
        <v>1940</v>
      </c>
      <c r="T1216" s="432">
        <v>60</v>
      </c>
      <c r="U1216" s="432"/>
      <c r="V1216" s="432" t="s">
        <v>973</v>
      </c>
      <c r="W1216" s="432">
        <v>400</v>
      </c>
      <c r="X1216" s="436">
        <v>768</v>
      </c>
      <c r="Y1216" s="422">
        <f t="shared" si="145"/>
        <v>307200</v>
      </c>
      <c r="Z1216" s="437">
        <v>0.64</v>
      </c>
      <c r="AA1216" s="423">
        <f t="shared" si="146"/>
        <v>196608</v>
      </c>
      <c r="AB1216" s="411"/>
      <c r="AC1216" s="412">
        <f t="shared" si="150"/>
        <v>0</v>
      </c>
      <c r="AD1216" s="439"/>
      <c r="AE1216" s="438"/>
      <c r="AF1216" s="424">
        <f t="shared" si="151"/>
        <v>196608</v>
      </c>
      <c r="AG1216" s="432" t="s">
        <v>1069</v>
      </c>
      <c r="AH1216" s="432"/>
      <c r="AI1216" s="434" t="s">
        <v>1962</v>
      </c>
      <c r="AJ1216" s="432" t="s">
        <v>2494</v>
      </c>
      <c r="AK1216" s="440" t="s">
        <v>1930</v>
      </c>
      <c r="AL1216" s="432">
        <v>80915</v>
      </c>
      <c r="AM1216" s="432" t="s">
        <v>52</v>
      </c>
      <c r="AN1216" s="432"/>
      <c r="AO1216" s="432"/>
      <c r="AP1216" s="441"/>
      <c r="AQ1216" s="441" t="s">
        <v>37</v>
      </c>
      <c r="AR1216" s="441" t="s">
        <v>2800</v>
      </c>
      <c r="AS1216" s="426"/>
      <c r="AT1216" s="426"/>
      <c r="AU1216" s="426"/>
      <c r="AV1216" s="437">
        <v>0.45500000000000002</v>
      </c>
    </row>
    <row r="1217" spans="1:48" s="402" customFormat="1" ht="15" customHeight="1">
      <c r="A1217" s="403"/>
      <c r="B1217" s="445">
        <v>44649</v>
      </c>
      <c r="C1217" s="403"/>
      <c r="D1217" s="443" t="s">
        <v>2480</v>
      </c>
      <c r="E1217" s="432"/>
      <c r="F1217" s="432"/>
      <c r="G1217" s="432">
        <v>2022</v>
      </c>
      <c r="H1217" s="432"/>
      <c r="I1217" s="427" t="s">
        <v>1498</v>
      </c>
      <c r="J1217" s="433"/>
      <c r="K1217" s="434" t="s">
        <v>4471</v>
      </c>
      <c r="L1217" s="432" t="s">
        <v>2765</v>
      </c>
      <c r="M1217" s="435">
        <v>44649</v>
      </c>
      <c r="N1217" s="435">
        <v>44835</v>
      </c>
      <c r="O1217" s="435"/>
      <c r="P1217" s="433"/>
      <c r="Q1217" s="433"/>
      <c r="R1217" s="433"/>
      <c r="S1217" s="432" t="s">
        <v>1940</v>
      </c>
      <c r="T1217" s="432">
        <v>60</v>
      </c>
      <c r="U1217" s="432"/>
      <c r="V1217" s="432" t="s">
        <v>973</v>
      </c>
      <c r="W1217" s="432">
        <v>400</v>
      </c>
      <c r="X1217" s="436">
        <v>768</v>
      </c>
      <c r="Y1217" s="422">
        <f t="shared" si="145"/>
        <v>307200</v>
      </c>
      <c r="Z1217" s="437">
        <v>0.64</v>
      </c>
      <c r="AA1217" s="423">
        <f t="shared" si="146"/>
        <v>196608</v>
      </c>
      <c r="AB1217" s="411"/>
      <c r="AC1217" s="412">
        <f t="shared" si="150"/>
        <v>0</v>
      </c>
      <c r="AD1217" s="439"/>
      <c r="AE1217" s="438"/>
      <c r="AF1217" s="424">
        <f t="shared" si="151"/>
        <v>196608</v>
      </c>
      <c r="AG1217" s="432" t="s">
        <v>1069</v>
      </c>
      <c r="AH1217" s="432"/>
      <c r="AI1217" s="434" t="s">
        <v>1962</v>
      </c>
      <c r="AJ1217" s="432" t="s">
        <v>2494</v>
      </c>
      <c r="AK1217" s="440" t="s">
        <v>1930</v>
      </c>
      <c r="AL1217" s="432">
        <v>80915</v>
      </c>
      <c r="AM1217" s="432" t="s">
        <v>52</v>
      </c>
      <c r="AN1217" s="432"/>
      <c r="AO1217" s="432"/>
      <c r="AP1217" s="441"/>
      <c r="AQ1217" s="441" t="s">
        <v>37</v>
      </c>
      <c r="AR1217" s="441" t="s">
        <v>2800</v>
      </c>
      <c r="AS1217" s="426"/>
      <c r="AT1217" s="426"/>
      <c r="AU1217" s="426"/>
      <c r="AV1217" s="437">
        <v>0.45500000000000002</v>
      </c>
    </row>
    <row r="1218" spans="1:48" s="402" customFormat="1" ht="15" customHeight="1">
      <c r="A1218" s="403"/>
      <c r="B1218" s="445">
        <v>44649</v>
      </c>
      <c r="C1218" s="403"/>
      <c r="D1218" s="443" t="s">
        <v>2480</v>
      </c>
      <c r="E1218" s="432"/>
      <c r="F1218" s="432"/>
      <c r="G1218" s="432">
        <v>2022</v>
      </c>
      <c r="H1218" s="432"/>
      <c r="I1218" s="427" t="s">
        <v>1498</v>
      </c>
      <c r="J1218" s="433"/>
      <c r="K1218" s="434" t="s">
        <v>4472</v>
      </c>
      <c r="L1218" s="432" t="s">
        <v>2765</v>
      </c>
      <c r="M1218" s="435">
        <v>44649</v>
      </c>
      <c r="N1218" s="435">
        <v>44866</v>
      </c>
      <c r="O1218" s="435"/>
      <c r="P1218" s="433"/>
      <c r="Q1218" s="433"/>
      <c r="R1218" s="433"/>
      <c r="S1218" s="432" t="s">
        <v>1940</v>
      </c>
      <c r="T1218" s="432">
        <v>60</v>
      </c>
      <c r="U1218" s="432"/>
      <c r="V1218" s="432" t="s">
        <v>973</v>
      </c>
      <c r="W1218" s="432">
        <v>400</v>
      </c>
      <c r="X1218" s="436">
        <v>768</v>
      </c>
      <c r="Y1218" s="422">
        <f t="shared" si="145"/>
        <v>307200</v>
      </c>
      <c r="Z1218" s="437">
        <v>0.64</v>
      </c>
      <c r="AA1218" s="423">
        <f t="shared" si="146"/>
        <v>196608</v>
      </c>
      <c r="AB1218" s="411"/>
      <c r="AC1218" s="412">
        <f t="shared" si="150"/>
        <v>0</v>
      </c>
      <c r="AD1218" s="439"/>
      <c r="AE1218" s="438"/>
      <c r="AF1218" s="424">
        <f t="shared" si="151"/>
        <v>196608</v>
      </c>
      <c r="AG1218" s="432" t="s">
        <v>1069</v>
      </c>
      <c r="AH1218" s="432"/>
      <c r="AI1218" s="434" t="s">
        <v>1962</v>
      </c>
      <c r="AJ1218" s="432" t="s">
        <v>2494</v>
      </c>
      <c r="AK1218" s="440" t="s">
        <v>1930</v>
      </c>
      <c r="AL1218" s="432">
        <v>80915</v>
      </c>
      <c r="AM1218" s="432" t="s">
        <v>52</v>
      </c>
      <c r="AN1218" s="432"/>
      <c r="AO1218" s="432"/>
      <c r="AP1218" s="441"/>
      <c r="AQ1218" s="441" t="s">
        <v>37</v>
      </c>
      <c r="AR1218" s="441" t="s">
        <v>2800</v>
      </c>
      <c r="AS1218" s="426"/>
      <c r="AT1218" s="426"/>
      <c r="AU1218" s="426"/>
      <c r="AV1218" s="437">
        <v>0.45500000000000002</v>
      </c>
    </row>
    <row r="1219" spans="1:48" s="402" customFormat="1" ht="15" customHeight="1">
      <c r="A1219" s="403"/>
      <c r="B1219" s="445">
        <v>44649</v>
      </c>
      <c r="C1219" s="403"/>
      <c r="D1219" s="443" t="s">
        <v>2480</v>
      </c>
      <c r="E1219" s="432"/>
      <c r="F1219" s="432"/>
      <c r="G1219" s="432">
        <v>2022</v>
      </c>
      <c r="H1219" s="432"/>
      <c r="I1219" s="427" t="s">
        <v>1498</v>
      </c>
      <c r="J1219" s="433"/>
      <c r="K1219" s="434" t="s">
        <v>4473</v>
      </c>
      <c r="L1219" s="432" t="s">
        <v>2765</v>
      </c>
      <c r="M1219" s="435">
        <v>44649</v>
      </c>
      <c r="N1219" s="435">
        <v>44896</v>
      </c>
      <c r="O1219" s="435"/>
      <c r="P1219" s="433"/>
      <c r="Q1219" s="433"/>
      <c r="R1219" s="433"/>
      <c r="S1219" s="432" t="s">
        <v>1940</v>
      </c>
      <c r="T1219" s="432">
        <v>60</v>
      </c>
      <c r="U1219" s="432"/>
      <c r="V1219" s="432" t="s">
        <v>973</v>
      </c>
      <c r="W1219" s="432">
        <v>400</v>
      </c>
      <c r="X1219" s="436">
        <v>768</v>
      </c>
      <c r="Y1219" s="422">
        <f t="shared" si="145"/>
        <v>307200</v>
      </c>
      <c r="Z1219" s="437">
        <v>0.64</v>
      </c>
      <c r="AA1219" s="423">
        <f t="shared" si="146"/>
        <v>196608</v>
      </c>
      <c r="AB1219" s="411"/>
      <c r="AC1219" s="412">
        <f t="shared" si="150"/>
        <v>0</v>
      </c>
      <c r="AD1219" s="439"/>
      <c r="AE1219" s="438"/>
      <c r="AF1219" s="424">
        <f t="shared" si="151"/>
        <v>196608</v>
      </c>
      <c r="AG1219" s="432" t="s">
        <v>1069</v>
      </c>
      <c r="AH1219" s="432"/>
      <c r="AI1219" s="434" t="s">
        <v>1962</v>
      </c>
      <c r="AJ1219" s="432" t="s">
        <v>2494</v>
      </c>
      <c r="AK1219" s="440" t="s">
        <v>1930</v>
      </c>
      <c r="AL1219" s="432">
        <v>80915</v>
      </c>
      <c r="AM1219" s="432" t="s">
        <v>52</v>
      </c>
      <c r="AN1219" s="432"/>
      <c r="AO1219" s="432"/>
      <c r="AP1219" s="441"/>
      <c r="AQ1219" s="441" t="s">
        <v>37</v>
      </c>
      <c r="AR1219" s="441" t="s">
        <v>2800</v>
      </c>
      <c r="AS1219" s="426"/>
      <c r="AT1219" s="426"/>
      <c r="AU1219" s="426"/>
      <c r="AV1219" s="437">
        <v>0.45500000000000002</v>
      </c>
    </row>
    <row r="1220" spans="1:48" s="402" customFormat="1" ht="15" customHeight="1">
      <c r="A1220" s="403"/>
      <c r="B1220" s="445"/>
      <c r="C1220" s="403"/>
      <c r="D1220" s="443" t="s">
        <v>2480</v>
      </c>
      <c r="E1220" s="432"/>
      <c r="F1220" s="432"/>
      <c r="G1220" s="432">
        <v>2022</v>
      </c>
      <c r="H1220" s="432"/>
      <c r="I1220" s="427" t="s">
        <v>1498</v>
      </c>
      <c r="J1220" s="433"/>
      <c r="K1220" s="434" t="s">
        <v>4474</v>
      </c>
      <c r="L1220" s="432" t="s">
        <v>2765</v>
      </c>
      <c r="M1220" s="435">
        <v>44678</v>
      </c>
      <c r="N1220" s="435">
        <v>44713</v>
      </c>
      <c r="O1220" s="435"/>
      <c r="P1220" s="433"/>
      <c r="Q1220" s="433"/>
      <c r="R1220" s="433"/>
      <c r="S1220" s="432" t="s">
        <v>1940</v>
      </c>
      <c r="T1220" s="432">
        <v>60</v>
      </c>
      <c r="U1220" s="432"/>
      <c r="V1220" s="432" t="s">
        <v>973</v>
      </c>
      <c r="W1220" s="432">
        <v>400</v>
      </c>
      <c r="X1220" s="436">
        <v>768</v>
      </c>
      <c r="Y1220" s="422">
        <f t="shared" si="145"/>
        <v>307200</v>
      </c>
      <c r="Z1220" s="437">
        <v>0.64</v>
      </c>
      <c r="AA1220" s="423">
        <f t="shared" si="146"/>
        <v>196608</v>
      </c>
      <c r="AB1220" s="411"/>
      <c r="AC1220" s="412">
        <f t="shared" si="150"/>
        <v>0</v>
      </c>
      <c r="AD1220" s="439"/>
      <c r="AE1220" s="438"/>
      <c r="AF1220" s="424">
        <f t="shared" si="151"/>
        <v>196608</v>
      </c>
      <c r="AG1220" s="432" t="s">
        <v>1069</v>
      </c>
      <c r="AH1220" s="432"/>
      <c r="AI1220" s="434" t="s">
        <v>1962</v>
      </c>
      <c r="AJ1220" s="432" t="s">
        <v>2494</v>
      </c>
      <c r="AK1220" s="440" t="s">
        <v>1930</v>
      </c>
      <c r="AL1220" s="432">
        <v>80915</v>
      </c>
      <c r="AM1220" s="432" t="s">
        <v>52</v>
      </c>
      <c r="AN1220" s="432"/>
      <c r="AO1220" s="432"/>
      <c r="AP1220" s="441"/>
      <c r="AQ1220" s="441" t="s">
        <v>37</v>
      </c>
      <c r="AR1220" s="441" t="s">
        <v>2800</v>
      </c>
      <c r="AS1220" s="426"/>
      <c r="AT1220" s="426"/>
      <c r="AU1220" s="426"/>
      <c r="AV1220" s="437">
        <v>0.45500000000000002</v>
      </c>
    </row>
    <row r="1221" spans="1:48" s="402" customFormat="1" ht="15" customHeight="1">
      <c r="A1221" s="403"/>
      <c r="B1221" s="445"/>
      <c r="C1221" s="403"/>
      <c r="D1221" s="443" t="s">
        <v>2480</v>
      </c>
      <c r="E1221" s="432"/>
      <c r="F1221" s="432"/>
      <c r="G1221" s="432">
        <v>2022</v>
      </c>
      <c r="H1221" s="432"/>
      <c r="I1221" s="427" t="s">
        <v>1498</v>
      </c>
      <c r="J1221" s="433"/>
      <c r="K1221" s="434" t="s">
        <v>4474</v>
      </c>
      <c r="L1221" s="432" t="s">
        <v>2765</v>
      </c>
      <c r="M1221" s="435">
        <v>44678</v>
      </c>
      <c r="N1221" s="435">
        <v>44743</v>
      </c>
      <c r="O1221" s="435"/>
      <c r="P1221" s="433"/>
      <c r="Q1221" s="433"/>
      <c r="R1221" s="433"/>
      <c r="S1221" s="432" t="s">
        <v>1940</v>
      </c>
      <c r="T1221" s="432">
        <v>60</v>
      </c>
      <c r="U1221" s="432"/>
      <c r="V1221" s="432" t="s">
        <v>973</v>
      </c>
      <c r="W1221" s="432">
        <v>400</v>
      </c>
      <c r="X1221" s="436">
        <v>768</v>
      </c>
      <c r="Y1221" s="422">
        <f t="shared" si="145"/>
        <v>307200</v>
      </c>
      <c r="Z1221" s="437">
        <v>0.64</v>
      </c>
      <c r="AA1221" s="423">
        <f t="shared" si="146"/>
        <v>196608</v>
      </c>
      <c r="AB1221" s="411"/>
      <c r="AC1221" s="412">
        <f t="shared" si="150"/>
        <v>0</v>
      </c>
      <c r="AD1221" s="439"/>
      <c r="AE1221" s="438"/>
      <c r="AF1221" s="424">
        <f t="shared" si="151"/>
        <v>196608</v>
      </c>
      <c r="AG1221" s="432" t="s">
        <v>1069</v>
      </c>
      <c r="AH1221" s="432"/>
      <c r="AI1221" s="434" t="s">
        <v>1962</v>
      </c>
      <c r="AJ1221" s="432" t="s">
        <v>2494</v>
      </c>
      <c r="AK1221" s="440" t="s">
        <v>1930</v>
      </c>
      <c r="AL1221" s="432">
        <v>80915</v>
      </c>
      <c r="AM1221" s="432" t="s">
        <v>52</v>
      </c>
      <c r="AN1221" s="432"/>
      <c r="AO1221" s="432"/>
      <c r="AP1221" s="441"/>
      <c r="AQ1221" s="441" t="s">
        <v>37</v>
      </c>
      <c r="AR1221" s="441" t="s">
        <v>2800</v>
      </c>
      <c r="AS1221" s="426"/>
      <c r="AT1221" s="426"/>
      <c r="AU1221" s="426"/>
      <c r="AV1221" s="437">
        <v>0.45500000000000002</v>
      </c>
    </row>
    <row r="1222" spans="1:48" s="402" customFormat="1" ht="15" customHeight="1">
      <c r="A1222" s="403"/>
      <c r="B1222" s="403"/>
      <c r="C1222" s="403"/>
      <c r="D1222" s="443" t="s">
        <v>2480</v>
      </c>
      <c r="E1222" s="432" t="s">
        <v>3637</v>
      </c>
      <c r="F1222" s="432"/>
      <c r="G1222" s="432">
        <v>2022</v>
      </c>
      <c r="H1222" s="432"/>
      <c r="I1222" s="432" t="s">
        <v>1498</v>
      </c>
      <c r="J1222" s="433"/>
      <c r="K1222" s="434" t="s">
        <v>3638</v>
      </c>
      <c r="L1222" s="432" t="s">
        <v>2485</v>
      </c>
      <c r="M1222" s="435">
        <v>44593</v>
      </c>
      <c r="N1222" s="435">
        <v>44593</v>
      </c>
      <c r="O1222" s="435"/>
      <c r="P1222" s="433"/>
      <c r="Q1222" s="433"/>
      <c r="R1222" s="433"/>
      <c r="S1222" s="432" t="s">
        <v>2541</v>
      </c>
      <c r="T1222" s="432">
        <v>60</v>
      </c>
      <c r="U1222" s="432"/>
      <c r="V1222" s="432" t="s">
        <v>973</v>
      </c>
      <c r="W1222" s="432">
        <v>400</v>
      </c>
      <c r="X1222" s="436">
        <v>7680</v>
      </c>
      <c r="Y1222" s="422">
        <f t="shared" si="145"/>
        <v>3072000</v>
      </c>
      <c r="Z1222" s="437">
        <v>0.47499999999999998</v>
      </c>
      <c r="AA1222" s="423">
        <f t="shared" si="146"/>
        <v>1459200</v>
      </c>
      <c r="AB1222" s="411"/>
      <c r="AC1222" s="412">
        <f t="shared" si="150"/>
        <v>0</v>
      </c>
      <c r="AD1222" s="439"/>
      <c r="AE1222" s="438"/>
      <c r="AF1222" s="424">
        <f t="shared" si="151"/>
        <v>1459200</v>
      </c>
      <c r="AG1222" s="432"/>
      <c r="AH1222" s="432"/>
      <c r="AI1222" s="434"/>
      <c r="AJ1222" s="432" t="s">
        <v>2522</v>
      </c>
      <c r="AK1222" s="440" t="s">
        <v>1136</v>
      </c>
      <c r="AL1222" s="432">
        <v>75238</v>
      </c>
      <c r="AM1222" s="432" t="s">
        <v>52</v>
      </c>
      <c r="AN1222" s="432"/>
      <c r="AO1222" s="432"/>
      <c r="AP1222" s="441"/>
      <c r="AQ1222" s="441" t="s">
        <v>37</v>
      </c>
      <c r="AR1222" s="441" t="s">
        <v>1499</v>
      </c>
      <c r="AS1222" s="426"/>
      <c r="AT1222" s="426"/>
      <c r="AU1222" s="426"/>
      <c r="AV1222" s="437">
        <v>0.5</v>
      </c>
    </row>
    <row r="1223" spans="1:48" s="402" customFormat="1" ht="15" customHeight="1">
      <c r="A1223" s="403"/>
      <c r="B1223" s="403"/>
      <c r="C1223" s="403"/>
      <c r="D1223" s="443" t="s">
        <v>2480</v>
      </c>
      <c r="E1223" s="432" t="s">
        <v>3637</v>
      </c>
      <c r="F1223" s="432"/>
      <c r="G1223" s="432">
        <v>2022</v>
      </c>
      <c r="H1223" s="432"/>
      <c r="I1223" s="432" t="s">
        <v>1498</v>
      </c>
      <c r="J1223" s="433"/>
      <c r="K1223" s="434" t="s">
        <v>3639</v>
      </c>
      <c r="L1223" s="432" t="s">
        <v>2485</v>
      </c>
      <c r="M1223" s="435">
        <v>44593</v>
      </c>
      <c r="N1223" s="435">
        <v>44713</v>
      </c>
      <c r="O1223" s="435"/>
      <c r="P1223" s="433"/>
      <c r="Q1223" s="442"/>
      <c r="R1223" s="433"/>
      <c r="S1223" s="432" t="s">
        <v>2541</v>
      </c>
      <c r="T1223" s="432">
        <v>60</v>
      </c>
      <c r="U1223" s="432"/>
      <c r="V1223" s="432" t="s">
        <v>973</v>
      </c>
      <c r="W1223" s="432">
        <v>400</v>
      </c>
      <c r="X1223" s="436">
        <v>8448</v>
      </c>
      <c r="Y1223" s="422">
        <f t="shared" si="145"/>
        <v>3379200</v>
      </c>
      <c r="Z1223" s="437">
        <v>0.47499999999999998</v>
      </c>
      <c r="AA1223" s="423">
        <f t="shared" si="146"/>
        <v>1605120</v>
      </c>
      <c r="AB1223" s="411"/>
      <c r="AC1223" s="412">
        <f t="shared" si="150"/>
        <v>0</v>
      </c>
      <c r="AD1223" s="439"/>
      <c r="AE1223" s="438"/>
      <c r="AF1223" s="424">
        <f t="shared" si="151"/>
        <v>1605120</v>
      </c>
      <c r="AG1223" s="432"/>
      <c r="AH1223" s="432"/>
      <c r="AI1223" s="434"/>
      <c r="AJ1223" s="432" t="s">
        <v>2522</v>
      </c>
      <c r="AK1223" s="440" t="s">
        <v>1136</v>
      </c>
      <c r="AL1223" s="432">
        <v>75238</v>
      </c>
      <c r="AM1223" s="432" t="s">
        <v>52</v>
      </c>
      <c r="AN1223" s="432"/>
      <c r="AO1223" s="432"/>
      <c r="AP1223" s="441"/>
      <c r="AQ1223" s="441" t="s">
        <v>37</v>
      </c>
      <c r="AR1223" s="441" t="s">
        <v>1499</v>
      </c>
      <c r="AS1223" s="426"/>
      <c r="AT1223" s="426"/>
      <c r="AU1223" s="426"/>
      <c r="AV1223" s="437">
        <v>0.5</v>
      </c>
    </row>
    <row r="1224" spans="1:48" s="402" customFormat="1" ht="15" customHeight="1">
      <c r="A1224" s="403"/>
      <c r="B1224" s="403"/>
      <c r="C1224" s="403"/>
      <c r="D1224" s="443" t="s">
        <v>2480</v>
      </c>
      <c r="E1224" s="432" t="s">
        <v>3640</v>
      </c>
      <c r="F1224" s="432"/>
      <c r="G1224" s="432">
        <v>2022</v>
      </c>
      <c r="H1224" s="432"/>
      <c r="I1224" s="432" t="s">
        <v>1498</v>
      </c>
      <c r="J1224" s="433"/>
      <c r="K1224" s="434" t="s">
        <v>3641</v>
      </c>
      <c r="L1224" s="432" t="s">
        <v>2485</v>
      </c>
      <c r="M1224" s="435">
        <v>44593</v>
      </c>
      <c r="N1224" s="435">
        <v>44652</v>
      </c>
      <c r="O1224" s="435"/>
      <c r="P1224" s="433"/>
      <c r="Q1224" s="433"/>
      <c r="R1224" s="433"/>
      <c r="S1224" s="432" t="s">
        <v>1940</v>
      </c>
      <c r="T1224" s="432">
        <v>60</v>
      </c>
      <c r="U1224" s="432"/>
      <c r="V1224" s="432" t="s">
        <v>973</v>
      </c>
      <c r="W1224" s="432">
        <v>400</v>
      </c>
      <c r="X1224" s="436">
        <v>768</v>
      </c>
      <c r="Y1224" s="422">
        <f t="shared" si="145"/>
        <v>307200</v>
      </c>
      <c r="Z1224" s="437">
        <v>0.47499999999999998</v>
      </c>
      <c r="AA1224" s="423">
        <f t="shared" si="146"/>
        <v>145920</v>
      </c>
      <c r="AB1224" s="411"/>
      <c r="AC1224" s="412">
        <f t="shared" si="150"/>
        <v>0</v>
      </c>
      <c r="AD1224" s="439"/>
      <c r="AE1224" s="438"/>
      <c r="AF1224" s="424">
        <f t="shared" si="151"/>
        <v>145920</v>
      </c>
      <c r="AG1224" s="432" t="s">
        <v>1069</v>
      </c>
      <c r="AH1224" s="432">
        <v>60</v>
      </c>
      <c r="AI1224" s="434"/>
      <c r="AJ1224" s="432" t="s">
        <v>2522</v>
      </c>
      <c r="AK1224" s="440" t="s">
        <v>1136</v>
      </c>
      <c r="AL1224" s="432">
        <v>75238</v>
      </c>
      <c r="AM1224" s="432" t="s">
        <v>52</v>
      </c>
      <c r="AN1224" s="432"/>
      <c r="AO1224" s="432"/>
      <c r="AP1224" s="441"/>
      <c r="AQ1224" s="441" t="s">
        <v>37</v>
      </c>
      <c r="AR1224" s="441" t="s">
        <v>2014</v>
      </c>
      <c r="AS1224" s="426"/>
      <c r="AT1224" s="426"/>
      <c r="AU1224" s="426"/>
      <c r="AV1224" s="437">
        <v>0.5</v>
      </c>
    </row>
    <row r="1225" spans="1:48" s="402" customFormat="1" ht="15" customHeight="1">
      <c r="A1225" s="403"/>
      <c r="B1225" s="403"/>
      <c r="C1225" s="403"/>
      <c r="D1225" s="443" t="s">
        <v>2480</v>
      </c>
      <c r="E1225" s="432" t="s">
        <v>3640</v>
      </c>
      <c r="F1225" s="432"/>
      <c r="G1225" s="432">
        <v>2022</v>
      </c>
      <c r="H1225" s="432"/>
      <c r="I1225" s="432" t="s">
        <v>1498</v>
      </c>
      <c r="J1225" s="433"/>
      <c r="K1225" s="434" t="s">
        <v>3642</v>
      </c>
      <c r="L1225" s="432" t="s">
        <v>2485</v>
      </c>
      <c r="M1225" s="435">
        <v>44593</v>
      </c>
      <c r="N1225" s="435">
        <v>44683</v>
      </c>
      <c r="O1225" s="435"/>
      <c r="P1225" s="433"/>
      <c r="Q1225" s="433"/>
      <c r="R1225" s="433"/>
      <c r="S1225" s="432" t="s">
        <v>1940</v>
      </c>
      <c r="T1225" s="432">
        <v>60</v>
      </c>
      <c r="U1225" s="432"/>
      <c r="V1225" s="432" t="s">
        <v>973</v>
      </c>
      <c r="W1225" s="432">
        <v>400</v>
      </c>
      <c r="X1225" s="436">
        <v>1536</v>
      </c>
      <c r="Y1225" s="422">
        <f t="shared" si="145"/>
        <v>614400</v>
      </c>
      <c r="Z1225" s="437">
        <v>0.47499999999999998</v>
      </c>
      <c r="AA1225" s="423">
        <f t="shared" si="146"/>
        <v>291840</v>
      </c>
      <c r="AB1225" s="411"/>
      <c r="AC1225" s="412">
        <f t="shared" si="150"/>
        <v>0</v>
      </c>
      <c r="AD1225" s="439"/>
      <c r="AE1225" s="438"/>
      <c r="AF1225" s="424">
        <f t="shared" si="151"/>
        <v>291840</v>
      </c>
      <c r="AG1225" s="432" t="s">
        <v>1069</v>
      </c>
      <c r="AH1225" s="432">
        <v>60</v>
      </c>
      <c r="AI1225" s="434"/>
      <c r="AJ1225" s="432" t="s">
        <v>2522</v>
      </c>
      <c r="AK1225" s="440" t="s">
        <v>1136</v>
      </c>
      <c r="AL1225" s="432">
        <v>75238</v>
      </c>
      <c r="AM1225" s="432" t="s">
        <v>52</v>
      </c>
      <c r="AN1225" s="432"/>
      <c r="AO1225" s="432"/>
      <c r="AP1225" s="441"/>
      <c r="AQ1225" s="441" t="s">
        <v>37</v>
      </c>
      <c r="AR1225" s="441" t="s">
        <v>2014</v>
      </c>
      <c r="AS1225" s="426"/>
      <c r="AT1225" s="426"/>
      <c r="AU1225" s="426"/>
      <c r="AV1225" s="437">
        <v>0.5</v>
      </c>
    </row>
    <row r="1226" spans="1:48" s="402" customFormat="1" ht="15" customHeight="1">
      <c r="A1226" s="403"/>
      <c r="B1226" s="403"/>
      <c r="C1226" s="403"/>
      <c r="D1226" s="443" t="s">
        <v>2480</v>
      </c>
      <c r="E1226" s="432" t="s">
        <v>3640</v>
      </c>
      <c r="F1226" s="432"/>
      <c r="G1226" s="432">
        <v>2022</v>
      </c>
      <c r="H1226" s="432"/>
      <c r="I1226" s="432" t="s">
        <v>1498</v>
      </c>
      <c r="J1226" s="433"/>
      <c r="K1226" s="434" t="s">
        <v>3643</v>
      </c>
      <c r="L1226" s="432" t="s">
        <v>2485</v>
      </c>
      <c r="M1226" s="435">
        <v>44593</v>
      </c>
      <c r="N1226" s="435">
        <v>44713</v>
      </c>
      <c r="O1226" s="435"/>
      <c r="P1226" s="433"/>
      <c r="Q1226" s="433"/>
      <c r="R1226" s="433"/>
      <c r="S1226" s="432" t="s">
        <v>1940</v>
      </c>
      <c r="T1226" s="432">
        <v>60</v>
      </c>
      <c r="U1226" s="432"/>
      <c r="V1226" s="432" t="s">
        <v>973</v>
      </c>
      <c r="W1226" s="432">
        <v>400</v>
      </c>
      <c r="X1226" s="436">
        <v>1536</v>
      </c>
      <c r="Y1226" s="422">
        <f t="shared" si="145"/>
        <v>614400</v>
      </c>
      <c r="Z1226" s="437">
        <v>0.47499999999999998</v>
      </c>
      <c r="AA1226" s="423">
        <f t="shared" si="146"/>
        <v>291840</v>
      </c>
      <c r="AB1226" s="411"/>
      <c r="AC1226" s="412">
        <f t="shared" si="150"/>
        <v>0</v>
      </c>
      <c r="AD1226" s="439"/>
      <c r="AE1226" s="438"/>
      <c r="AF1226" s="424">
        <f t="shared" si="151"/>
        <v>291840</v>
      </c>
      <c r="AG1226" s="432" t="s">
        <v>1069</v>
      </c>
      <c r="AH1226" s="432">
        <v>60</v>
      </c>
      <c r="AI1226" s="434"/>
      <c r="AJ1226" s="432" t="s">
        <v>2522</v>
      </c>
      <c r="AK1226" s="440" t="s">
        <v>1136</v>
      </c>
      <c r="AL1226" s="432">
        <v>75238</v>
      </c>
      <c r="AM1226" s="432" t="s">
        <v>52</v>
      </c>
      <c r="AN1226" s="432"/>
      <c r="AO1226" s="432"/>
      <c r="AP1226" s="441"/>
      <c r="AQ1226" s="441" t="s">
        <v>37</v>
      </c>
      <c r="AR1226" s="441" t="s">
        <v>2014</v>
      </c>
      <c r="AS1226" s="426"/>
      <c r="AT1226" s="426"/>
      <c r="AU1226" s="426"/>
      <c r="AV1226" s="437">
        <v>0.5</v>
      </c>
    </row>
    <row r="1227" spans="1:48" s="402" customFormat="1" ht="15" customHeight="1">
      <c r="A1227" s="403"/>
      <c r="B1227" s="445">
        <v>44690</v>
      </c>
      <c r="C1227" s="445"/>
      <c r="D1227" s="443" t="s">
        <v>2480</v>
      </c>
      <c r="E1227" s="432" t="s">
        <v>2406</v>
      </c>
      <c r="F1227" s="432"/>
      <c r="G1227" s="432">
        <v>2022</v>
      </c>
      <c r="H1227" s="432"/>
      <c r="I1227" s="432" t="s">
        <v>1498</v>
      </c>
      <c r="J1227" s="433"/>
      <c r="K1227" s="434" t="s">
        <v>4790</v>
      </c>
      <c r="L1227" s="432" t="s">
        <v>2485</v>
      </c>
      <c r="M1227" s="435">
        <v>44679</v>
      </c>
      <c r="N1227" s="435">
        <v>44743</v>
      </c>
      <c r="O1227" s="435"/>
      <c r="P1227" s="433"/>
      <c r="Q1227" s="433"/>
      <c r="R1227" s="433"/>
      <c r="S1227" s="432" t="s">
        <v>1940</v>
      </c>
      <c r="T1227" s="432">
        <v>60</v>
      </c>
      <c r="U1227" s="432"/>
      <c r="V1227" s="432" t="s">
        <v>973</v>
      </c>
      <c r="W1227" s="432">
        <v>400</v>
      </c>
      <c r="X1227" s="436">
        <v>6912</v>
      </c>
      <c r="Y1227" s="422">
        <f t="shared" si="145"/>
        <v>2764800</v>
      </c>
      <c r="Z1227" s="437">
        <v>0.64</v>
      </c>
      <c r="AA1227" s="423">
        <f t="shared" si="146"/>
        <v>1769472</v>
      </c>
      <c r="AB1227" s="411"/>
      <c r="AC1227" s="412">
        <f t="shared" si="150"/>
        <v>0</v>
      </c>
      <c r="AD1227" s="439"/>
      <c r="AE1227" s="438"/>
      <c r="AF1227" s="424">
        <f t="shared" si="151"/>
        <v>1769472</v>
      </c>
      <c r="AG1227" s="432" t="s">
        <v>1069</v>
      </c>
      <c r="AH1227" s="432">
        <v>60</v>
      </c>
      <c r="AI1227" s="434"/>
      <c r="AJ1227" s="432" t="s">
        <v>2486</v>
      </c>
      <c r="AK1227" s="440" t="s">
        <v>1136</v>
      </c>
      <c r="AL1227" s="432">
        <v>76011</v>
      </c>
      <c r="AM1227" s="432" t="s">
        <v>52</v>
      </c>
      <c r="AN1227" s="432"/>
      <c r="AO1227" s="432"/>
      <c r="AP1227" s="441"/>
      <c r="AQ1227" s="441" t="s">
        <v>37</v>
      </c>
      <c r="AR1227" s="441" t="s">
        <v>2800</v>
      </c>
      <c r="AS1227" s="426"/>
      <c r="AT1227" s="426"/>
      <c r="AU1227" s="426"/>
      <c r="AV1227" s="437">
        <v>0.5</v>
      </c>
    </row>
    <row r="1228" spans="1:48" s="402" customFormat="1" ht="15" customHeight="1">
      <c r="A1228" s="403"/>
      <c r="B1228" s="445">
        <v>44690</v>
      </c>
      <c r="C1228" s="445"/>
      <c r="D1228" s="443" t="s">
        <v>2480</v>
      </c>
      <c r="E1228" s="432" t="s">
        <v>2406</v>
      </c>
      <c r="F1228" s="432"/>
      <c r="G1228" s="432">
        <v>2022</v>
      </c>
      <c r="H1228" s="432"/>
      <c r="I1228" s="432" t="s">
        <v>1498</v>
      </c>
      <c r="J1228" s="433"/>
      <c r="K1228" s="434" t="s">
        <v>4791</v>
      </c>
      <c r="L1228" s="432" t="s">
        <v>2485</v>
      </c>
      <c r="M1228" s="435">
        <v>44679</v>
      </c>
      <c r="N1228" s="435">
        <v>44774</v>
      </c>
      <c r="O1228" s="435"/>
      <c r="P1228" s="433"/>
      <c r="Q1228" s="433"/>
      <c r="R1228" s="433"/>
      <c r="S1228" s="432" t="s">
        <v>1940</v>
      </c>
      <c r="T1228" s="432">
        <v>60</v>
      </c>
      <c r="U1228" s="432"/>
      <c r="V1228" s="432" t="s">
        <v>973</v>
      </c>
      <c r="W1228" s="432">
        <v>400</v>
      </c>
      <c r="X1228" s="436">
        <v>6912</v>
      </c>
      <c r="Y1228" s="422">
        <f t="shared" si="145"/>
        <v>2764800</v>
      </c>
      <c r="Z1228" s="437">
        <v>0.64</v>
      </c>
      <c r="AA1228" s="423">
        <f t="shared" si="146"/>
        <v>1769472</v>
      </c>
      <c r="AB1228" s="411"/>
      <c r="AC1228" s="412">
        <f t="shared" si="150"/>
        <v>0</v>
      </c>
      <c r="AD1228" s="439"/>
      <c r="AE1228" s="438"/>
      <c r="AF1228" s="424">
        <f t="shared" si="151"/>
        <v>1769472</v>
      </c>
      <c r="AG1228" s="432" t="s">
        <v>1069</v>
      </c>
      <c r="AH1228" s="432">
        <v>60</v>
      </c>
      <c r="AI1228" s="434"/>
      <c r="AJ1228" s="432" t="s">
        <v>2486</v>
      </c>
      <c r="AK1228" s="440" t="s">
        <v>1136</v>
      </c>
      <c r="AL1228" s="432">
        <v>76011</v>
      </c>
      <c r="AM1228" s="432" t="s">
        <v>52</v>
      </c>
      <c r="AN1228" s="432"/>
      <c r="AO1228" s="432"/>
      <c r="AP1228" s="441"/>
      <c r="AQ1228" s="441" t="s">
        <v>37</v>
      </c>
      <c r="AR1228" s="441" t="s">
        <v>2800</v>
      </c>
      <c r="AS1228" s="426"/>
      <c r="AT1228" s="426"/>
      <c r="AU1228" s="426"/>
      <c r="AV1228" s="437">
        <v>0.5</v>
      </c>
    </row>
    <row r="1229" spans="1:48" s="402" customFormat="1" ht="15" customHeight="1">
      <c r="A1229" s="403"/>
      <c r="B1229" s="445">
        <v>44690</v>
      </c>
      <c r="C1229" s="445"/>
      <c r="D1229" s="443" t="s">
        <v>2480</v>
      </c>
      <c r="E1229" s="432" t="s">
        <v>2406</v>
      </c>
      <c r="F1229" s="432"/>
      <c r="G1229" s="432">
        <v>2022</v>
      </c>
      <c r="H1229" s="432"/>
      <c r="I1229" s="432" t="s">
        <v>1498</v>
      </c>
      <c r="J1229" s="433"/>
      <c r="K1229" s="434" t="s">
        <v>4792</v>
      </c>
      <c r="L1229" s="432" t="s">
        <v>2485</v>
      </c>
      <c r="M1229" s="435">
        <v>44679</v>
      </c>
      <c r="N1229" s="435">
        <v>44805</v>
      </c>
      <c r="O1229" s="435"/>
      <c r="P1229" s="433"/>
      <c r="Q1229" s="433"/>
      <c r="R1229" s="433"/>
      <c r="S1229" s="432" t="s">
        <v>1940</v>
      </c>
      <c r="T1229" s="432">
        <v>60</v>
      </c>
      <c r="U1229" s="432"/>
      <c r="V1229" s="432" t="s">
        <v>973</v>
      </c>
      <c r="W1229" s="432">
        <v>400</v>
      </c>
      <c r="X1229" s="436">
        <v>6912</v>
      </c>
      <c r="Y1229" s="422">
        <f t="shared" si="145"/>
        <v>2764800</v>
      </c>
      <c r="Z1229" s="437">
        <v>0.64</v>
      </c>
      <c r="AA1229" s="423">
        <f t="shared" si="146"/>
        <v>1769472</v>
      </c>
      <c r="AB1229" s="411"/>
      <c r="AC1229" s="412">
        <f t="shared" si="150"/>
        <v>0</v>
      </c>
      <c r="AD1229" s="439"/>
      <c r="AE1229" s="438"/>
      <c r="AF1229" s="424">
        <f t="shared" si="151"/>
        <v>1769472</v>
      </c>
      <c r="AG1229" s="432" t="s">
        <v>1069</v>
      </c>
      <c r="AH1229" s="432">
        <v>60</v>
      </c>
      <c r="AI1229" s="434"/>
      <c r="AJ1229" s="432" t="s">
        <v>2486</v>
      </c>
      <c r="AK1229" s="440" t="s">
        <v>1136</v>
      </c>
      <c r="AL1229" s="432">
        <v>76011</v>
      </c>
      <c r="AM1229" s="432" t="s">
        <v>52</v>
      </c>
      <c r="AN1229" s="432"/>
      <c r="AO1229" s="432"/>
      <c r="AP1229" s="441"/>
      <c r="AQ1229" s="441" t="s">
        <v>37</v>
      </c>
      <c r="AR1229" s="441" t="s">
        <v>2800</v>
      </c>
      <c r="AS1229" s="426"/>
      <c r="AT1229" s="426"/>
      <c r="AU1229" s="426"/>
      <c r="AV1229" s="437">
        <v>0.5</v>
      </c>
    </row>
    <row r="1230" spans="1:48" s="402" customFormat="1" ht="15" customHeight="1">
      <c r="A1230" s="403"/>
      <c r="B1230" s="445">
        <v>44690</v>
      </c>
      <c r="C1230" s="445"/>
      <c r="D1230" s="443" t="s">
        <v>2480</v>
      </c>
      <c r="E1230" s="432" t="s">
        <v>2406</v>
      </c>
      <c r="F1230" s="432"/>
      <c r="G1230" s="432">
        <v>2022</v>
      </c>
      <c r="H1230" s="432"/>
      <c r="I1230" s="432" t="s">
        <v>1498</v>
      </c>
      <c r="J1230" s="433"/>
      <c r="K1230" s="434" t="s">
        <v>4793</v>
      </c>
      <c r="L1230" s="432" t="s">
        <v>2485</v>
      </c>
      <c r="M1230" s="435">
        <v>44679</v>
      </c>
      <c r="N1230" s="435">
        <v>44837</v>
      </c>
      <c r="O1230" s="435"/>
      <c r="P1230" s="433"/>
      <c r="Q1230" s="433"/>
      <c r="R1230" s="433"/>
      <c r="S1230" s="432" t="s">
        <v>1940</v>
      </c>
      <c r="T1230" s="432">
        <v>60</v>
      </c>
      <c r="U1230" s="432"/>
      <c r="V1230" s="432" t="s">
        <v>973</v>
      </c>
      <c r="W1230" s="432">
        <v>400</v>
      </c>
      <c r="X1230" s="436">
        <v>6912</v>
      </c>
      <c r="Y1230" s="422">
        <f t="shared" si="145"/>
        <v>2764800</v>
      </c>
      <c r="Z1230" s="437">
        <v>0.64</v>
      </c>
      <c r="AA1230" s="423">
        <f t="shared" si="146"/>
        <v>1769472</v>
      </c>
      <c r="AB1230" s="411"/>
      <c r="AC1230" s="412">
        <f t="shared" si="150"/>
        <v>0</v>
      </c>
      <c r="AD1230" s="439"/>
      <c r="AE1230" s="438"/>
      <c r="AF1230" s="424">
        <f t="shared" si="151"/>
        <v>1769472</v>
      </c>
      <c r="AG1230" s="432" t="s">
        <v>1069</v>
      </c>
      <c r="AH1230" s="432">
        <v>60</v>
      </c>
      <c r="AI1230" s="434"/>
      <c r="AJ1230" s="432" t="s">
        <v>2486</v>
      </c>
      <c r="AK1230" s="440" t="s">
        <v>1136</v>
      </c>
      <c r="AL1230" s="432">
        <v>76011</v>
      </c>
      <c r="AM1230" s="432" t="s">
        <v>52</v>
      </c>
      <c r="AN1230" s="432"/>
      <c r="AO1230" s="432"/>
      <c r="AP1230" s="441"/>
      <c r="AQ1230" s="441" t="s">
        <v>37</v>
      </c>
      <c r="AR1230" s="441" t="s">
        <v>2800</v>
      </c>
      <c r="AS1230" s="426"/>
      <c r="AT1230" s="426"/>
      <c r="AU1230" s="426"/>
      <c r="AV1230" s="437">
        <v>0.5</v>
      </c>
    </row>
    <row r="1231" spans="1:48" s="402" customFormat="1" ht="15" customHeight="1">
      <c r="A1231" s="403"/>
      <c r="B1231" s="445">
        <v>44690</v>
      </c>
      <c r="C1231" s="445"/>
      <c r="D1231" s="443" t="s">
        <v>2480</v>
      </c>
      <c r="E1231" s="432" t="s">
        <v>2406</v>
      </c>
      <c r="F1231" s="432"/>
      <c r="G1231" s="432">
        <v>2022</v>
      </c>
      <c r="H1231" s="432"/>
      <c r="I1231" s="432" t="s">
        <v>1498</v>
      </c>
      <c r="J1231" s="433"/>
      <c r="K1231" s="434" t="s">
        <v>4794</v>
      </c>
      <c r="L1231" s="432" t="s">
        <v>2485</v>
      </c>
      <c r="M1231" s="435">
        <v>44679</v>
      </c>
      <c r="N1231" s="435">
        <v>44866</v>
      </c>
      <c r="O1231" s="435"/>
      <c r="P1231" s="433"/>
      <c r="Q1231" s="433"/>
      <c r="R1231" s="433"/>
      <c r="S1231" s="432" t="s">
        <v>1940</v>
      </c>
      <c r="T1231" s="432">
        <v>60</v>
      </c>
      <c r="U1231" s="432"/>
      <c r="V1231" s="432" t="s">
        <v>973</v>
      </c>
      <c r="W1231" s="432">
        <v>400</v>
      </c>
      <c r="X1231" s="436">
        <v>6912</v>
      </c>
      <c r="Y1231" s="422">
        <f t="shared" si="145"/>
        <v>2764800</v>
      </c>
      <c r="Z1231" s="437">
        <v>0.64</v>
      </c>
      <c r="AA1231" s="423">
        <f t="shared" si="146"/>
        <v>1769472</v>
      </c>
      <c r="AB1231" s="411"/>
      <c r="AC1231" s="412">
        <f t="shared" si="150"/>
        <v>0</v>
      </c>
      <c r="AD1231" s="439"/>
      <c r="AE1231" s="438"/>
      <c r="AF1231" s="424">
        <f t="shared" si="151"/>
        <v>1769472</v>
      </c>
      <c r="AG1231" s="432" t="s">
        <v>1069</v>
      </c>
      <c r="AH1231" s="432">
        <v>60</v>
      </c>
      <c r="AI1231" s="434"/>
      <c r="AJ1231" s="432" t="s">
        <v>2486</v>
      </c>
      <c r="AK1231" s="440" t="s">
        <v>1136</v>
      </c>
      <c r="AL1231" s="432">
        <v>76011</v>
      </c>
      <c r="AM1231" s="432" t="s">
        <v>52</v>
      </c>
      <c r="AN1231" s="432"/>
      <c r="AO1231" s="432"/>
      <c r="AP1231" s="441"/>
      <c r="AQ1231" s="441" t="s">
        <v>37</v>
      </c>
      <c r="AR1231" s="441" t="s">
        <v>2800</v>
      </c>
      <c r="AS1231" s="426"/>
      <c r="AT1231" s="426"/>
      <c r="AU1231" s="426"/>
      <c r="AV1231" s="437">
        <v>0.5</v>
      </c>
    </row>
    <row r="1232" spans="1:48" s="402" customFormat="1" ht="15" customHeight="1">
      <c r="A1232" s="403"/>
      <c r="B1232" s="445">
        <v>44690</v>
      </c>
      <c r="C1232" s="445"/>
      <c r="D1232" s="443" t="s">
        <v>2480</v>
      </c>
      <c r="E1232" s="432" t="s">
        <v>2406</v>
      </c>
      <c r="F1232" s="432"/>
      <c r="G1232" s="432">
        <v>2022</v>
      </c>
      <c r="H1232" s="432"/>
      <c r="I1232" s="432" t="s">
        <v>1498</v>
      </c>
      <c r="J1232" s="433"/>
      <c r="K1232" s="434" t="s">
        <v>4795</v>
      </c>
      <c r="L1232" s="432" t="s">
        <v>2485</v>
      </c>
      <c r="M1232" s="435">
        <v>44679</v>
      </c>
      <c r="N1232" s="435">
        <v>44896</v>
      </c>
      <c r="O1232" s="435"/>
      <c r="P1232" s="433"/>
      <c r="Q1232" s="433"/>
      <c r="R1232" s="433"/>
      <c r="S1232" s="432" t="s">
        <v>1940</v>
      </c>
      <c r="T1232" s="432">
        <v>60</v>
      </c>
      <c r="U1232" s="432"/>
      <c r="V1232" s="432" t="s">
        <v>973</v>
      </c>
      <c r="W1232" s="432">
        <v>400</v>
      </c>
      <c r="X1232" s="436">
        <v>6912</v>
      </c>
      <c r="Y1232" s="422">
        <f t="shared" si="145"/>
        <v>2764800</v>
      </c>
      <c r="Z1232" s="437">
        <v>0.64</v>
      </c>
      <c r="AA1232" s="423">
        <f t="shared" si="146"/>
        <v>1769472</v>
      </c>
      <c r="AB1232" s="411"/>
      <c r="AC1232" s="412">
        <f t="shared" si="150"/>
        <v>0</v>
      </c>
      <c r="AD1232" s="439"/>
      <c r="AE1232" s="438"/>
      <c r="AF1232" s="424">
        <f t="shared" si="151"/>
        <v>1769472</v>
      </c>
      <c r="AG1232" s="432" t="s">
        <v>1069</v>
      </c>
      <c r="AH1232" s="432">
        <v>60</v>
      </c>
      <c r="AI1232" s="434"/>
      <c r="AJ1232" s="432" t="s">
        <v>2486</v>
      </c>
      <c r="AK1232" s="440" t="s">
        <v>1136</v>
      </c>
      <c r="AL1232" s="432">
        <v>76011</v>
      </c>
      <c r="AM1232" s="432" t="s">
        <v>52</v>
      </c>
      <c r="AN1232" s="432"/>
      <c r="AO1232" s="432"/>
      <c r="AP1232" s="441"/>
      <c r="AQ1232" s="441" t="s">
        <v>37</v>
      </c>
      <c r="AR1232" s="441" t="s">
        <v>2800</v>
      </c>
      <c r="AS1232" s="426"/>
      <c r="AT1232" s="426"/>
      <c r="AU1232" s="426"/>
      <c r="AV1232" s="437">
        <v>0.5</v>
      </c>
    </row>
    <row r="1233" spans="1:48" s="402" customFormat="1" ht="15" customHeight="1">
      <c r="A1233" s="403"/>
      <c r="B1233" s="445"/>
      <c r="C1233" s="445"/>
      <c r="D1233" s="443" t="s">
        <v>2480</v>
      </c>
      <c r="E1233" s="432" t="s">
        <v>2544</v>
      </c>
      <c r="F1233" s="432"/>
      <c r="G1233" s="509">
        <v>2022</v>
      </c>
      <c r="H1233" s="509"/>
      <c r="I1233" s="509" t="s">
        <v>1498</v>
      </c>
      <c r="J1233" s="510"/>
      <c r="K1233" s="534" t="s">
        <v>5007</v>
      </c>
      <c r="L1233" s="509" t="s">
        <v>2485</v>
      </c>
      <c r="M1233" s="535">
        <v>44695</v>
      </c>
      <c r="N1233" s="535">
        <v>44695</v>
      </c>
      <c r="O1233" s="535"/>
      <c r="P1233" s="510"/>
      <c r="Q1233" s="510"/>
      <c r="R1233" s="510"/>
      <c r="S1233" s="509" t="s">
        <v>1940</v>
      </c>
      <c r="T1233" s="509">
        <v>60</v>
      </c>
      <c r="U1233" s="509"/>
      <c r="V1233" s="509" t="s">
        <v>973</v>
      </c>
      <c r="W1233" s="509">
        <v>400</v>
      </c>
      <c r="X1233" s="454">
        <v>768</v>
      </c>
      <c r="Y1233" s="422">
        <f t="shared" ref="Y1233:Y1296" si="152">X1233*W1233</f>
        <v>307200</v>
      </c>
      <c r="Z1233" s="437">
        <v>0.64</v>
      </c>
      <c r="AA1233" s="423">
        <f t="shared" ref="AA1233:AA1296" si="153">Z1233*Y1233</f>
        <v>196608</v>
      </c>
      <c r="AB1233" s="411"/>
      <c r="AC1233" s="412">
        <f t="shared" si="150"/>
        <v>0</v>
      </c>
      <c r="AD1233" s="439"/>
      <c r="AE1233" s="438"/>
      <c r="AF1233" s="424">
        <f t="shared" si="151"/>
        <v>196608</v>
      </c>
      <c r="AG1233" s="432" t="s">
        <v>1069</v>
      </c>
      <c r="AH1233" s="432">
        <v>60</v>
      </c>
      <c r="AI1233" s="434"/>
      <c r="AJ1233" s="432" t="s">
        <v>2486</v>
      </c>
      <c r="AK1233" s="440" t="s">
        <v>1136</v>
      </c>
      <c r="AL1233" s="432">
        <v>76011</v>
      </c>
      <c r="AM1233" s="432" t="s">
        <v>52</v>
      </c>
      <c r="AN1233" s="432"/>
      <c r="AO1233" s="432"/>
      <c r="AP1233" s="441"/>
      <c r="AQ1233" s="441" t="s">
        <v>37</v>
      </c>
      <c r="AR1233" s="441" t="s">
        <v>2800</v>
      </c>
      <c r="AS1233" s="426"/>
      <c r="AT1233" s="426"/>
      <c r="AU1233" s="426"/>
      <c r="AV1233" s="437">
        <v>0.5</v>
      </c>
    </row>
    <row r="1234" spans="1:48" s="402" customFormat="1" ht="15" customHeight="1">
      <c r="A1234" s="403"/>
      <c r="B1234" s="445">
        <v>44671</v>
      </c>
      <c r="C1234" s="403"/>
      <c r="D1234" s="443" t="s">
        <v>2480</v>
      </c>
      <c r="E1234" s="432" t="s">
        <v>4207</v>
      </c>
      <c r="F1234" s="432"/>
      <c r="G1234" s="432">
        <v>2022</v>
      </c>
      <c r="H1234" s="432"/>
      <c r="I1234" s="432" t="s">
        <v>1498</v>
      </c>
      <c r="J1234" s="433"/>
      <c r="K1234" s="434" t="s">
        <v>4211</v>
      </c>
      <c r="L1234" s="432" t="s">
        <v>2489</v>
      </c>
      <c r="M1234" s="435">
        <v>44671</v>
      </c>
      <c r="N1234" s="435">
        <v>44835</v>
      </c>
      <c r="O1234" s="435"/>
      <c r="P1234" s="433"/>
      <c r="Q1234" s="433"/>
      <c r="R1234" s="433"/>
      <c r="S1234" s="432" t="s">
        <v>1940</v>
      </c>
      <c r="T1234" s="432">
        <v>60</v>
      </c>
      <c r="U1234" s="432"/>
      <c r="V1234" s="432" t="s">
        <v>973</v>
      </c>
      <c r="W1234" s="432">
        <v>400</v>
      </c>
      <c r="X1234" s="436">
        <v>3072</v>
      </c>
      <c r="Y1234" s="422">
        <f t="shared" si="152"/>
        <v>1228800</v>
      </c>
      <c r="Z1234" s="437">
        <v>0.55000000000000004</v>
      </c>
      <c r="AA1234" s="423">
        <f t="shared" si="153"/>
        <v>675840</v>
      </c>
      <c r="AB1234" s="411"/>
      <c r="AC1234" s="412">
        <f t="shared" si="150"/>
        <v>0</v>
      </c>
      <c r="AD1234" s="439"/>
      <c r="AE1234" s="438"/>
      <c r="AF1234" s="424">
        <f t="shared" si="151"/>
        <v>675840</v>
      </c>
      <c r="AG1234" s="432" t="s">
        <v>1069</v>
      </c>
      <c r="AH1234" s="432">
        <v>60</v>
      </c>
      <c r="AI1234" s="434"/>
      <c r="AJ1234" s="432" t="s">
        <v>2490</v>
      </c>
      <c r="AK1234" s="440" t="s">
        <v>1136</v>
      </c>
      <c r="AL1234" s="432">
        <v>79936</v>
      </c>
      <c r="AM1234" s="432" t="s">
        <v>52</v>
      </c>
      <c r="AN1234" s="432"/>
      <c r="AO1234" s="432"/>
      <c r="AP1234" s="441"/>
      <c r="AQ1234" s="441" t="s">
        <v>37</v>
      </c>
      <c r="AR1234" s="441"/>
      <c r="AS1234" s="426"/>
      <c r="AT1234" s="426"/>
      <c r="AU1234" s="426"/>
      <c r="AV1234" s="437">
        <v>0.5</v>
      </c>
    </row>
    <row r="1235" spans="1:48" s="402" customFormat="1" ht="15" customHeight="1">
      <c r="A1235" s="403"/>
      <c r="B1235" s="445">
        <v>44685</v>
      </c>
      <c r="C1235" s="403"/>
      <c r="D1235" s="443" t="s">
        <v>2480</v>
      </c>
      <c r="E1235" s="432" t="s">
        <v>4207</v>
      </c>
      <c r="F1235" s="432"/>
      <c r="G1235" s="432">
        <v>2022</v>
      </c>
      <c r="H1235" s="432"/>
      <c r="I1235" s="432" t="s">
        <v>1498</v>
      </c>
      <c r="J1235" s="433"/>
      <c r="K1235" s="434" t="s">
        <v>4475</v>
      </c>
      <c r="L1235" s="432" t="s">
        <v>2489</v>
      </c>
      <c r="M1235" s="435">
        <v>44679</v>
      </c>
      <c r="N1235" s="435">
        <v>44679</v>
      </c>
      <c r="O1235" s="435"/>
      <c r="P1235" s="433"/>
      <c r="Q1235" s="433"/>
      <c r="R1235" s="433"/>
      <c r="S1235" s="432" t="s">
        <v>1940</v>
      </c>
      <c r="T1235" s="432">
        <v>60</v>
      </c>
      <c r="U1235" s="432"/>
      <c r="V1235" s="432" t="s">
        <v>967</v>
      </c>
      <c r="W1235" s="432">
        <v>410</v>
      </c>
      <c r="X1235" s="436">
        <v>3072</v>
      </c>
      <c r="Y1235" s="422">
        <f t="shared" si="152"/>
        <v>1259520</v>
      </c>
      <c r="Z1235" s="437">
        <v>0.64</v>
      </c>
      <c r="AA1235" s="423">
        <f t="shared" si="153"/>
        <v>806092.80000000005</v>
      </c>
      <c r="AB1235" s="411"/>
      <c r="AC1235" s="412">
        <f t="shared" si="150"/>
        <v>0</v>
      </c>
      <c r="AD1235" s="439"/>
      <c r="AE1235" s="438"/>
      <c r="AF1235" s="424">
        <f t="shared" si="151"/>
        <v>806092.80000000005</v>
      </c>
      <c r="AG1235" s="432" t="s">
        <v>1069</v>
      </c>
      <c r="AH1235" s="432">
        <v>60</v>
      </c>
      <c r="AI1235" s="434"/>
      <c r="AJ1235" s="432" t="s">
        <v>2490</v>
      </c>
      <c r="AK1235" s="440" t="s">
        <v>1136</v>
      </c>
      <c r="AL1235" s="432">
        <v>79936</v>
      </c>
      <c r="AM1235" s="432" t="s">
        <v>52</v>
      </c>
      <c r="AN1235" s="432"/>
      <c r="AO1235" s="432"/>
      <c r="AP1235" s="441"/>
      <c r="AQ1235" s="441" t="s">
        <v>37</v>
      </c>
      <c r="AR1235" s="441"/>
      <c r="AS1235" s="426"/>
      <c r="AT1235" s="426"/>
      <c r="AU1235" s="426"/>
      <c r="AV1235" s="437">
        <v>0.5</v>
      </c>
    </row>
    <row r="1236" spans="1:48" s="402" customFormat="1" ht="15" customHeight="1">
      <c r="A1236" s="403"/>
      <c r="B1236" s="403"/>
      <c r="C1236" s="403"/>
      <c r="D1236" s="443" t="s">
        <v>2480</v>
      </c>
      <c r="E1236" s="432" t="s">
        <v>2406</v>
      </c>
      <c r="F1236" s="432"/>
      <c r="G1236" s="432"/>
      <c r="H1236" s="432"/>
      <c r="I1236" s="427" t="s">
        <v>1498</v>
      </c>
      <c r="J1236" s="433"/>
      <c r="K1236" s="434" t="s">
        <v>3644</v>
      </c>
      <c r="L1236" s="432" t="s">
        <v>2487</v>
      </c>
      <c r="M1236" s="435">
        <v>44538</v>
      </c>
      <c r="N1236" s="435">
        <v>44652</v>
      </c>
      <c r="O1236" s="435"/>
      <c r="P1236" s="433"/>
      <c r="Q1236" s="433"/>
      <c r="R1236" s="433"/>
      <c r="S1236" s="432" t="s">
        <v>1940</v>
      </c>
      <c r="T1236" s="432">
        <v>60</v>
      </c>
      <c r="U1236" s="432"/>
      <c r="V1236" s="432" t="s">
        <v>985</v>
      </c>
      <c r="W1236" s="432">
        <v>400</v>
      </c>
      <c r="X1236" s="436">
        <v>1536</v>
      </c>
      <c r="Y1236" s="422">
        <f t="shared" si="152"/>
        <v>614400</v>
      </c>
      <c r="Z1236" s="409">
        <v>0.52</v>
      </c>
      <c r="AA1236" s="423">
        <f t="shared" si="153"/>
        <v>319488</v>
      </c>
      <c r="AB1236" s="411"/>
      <c r="AC1236" s="412">
        <f t="shared" si="150"/>
        <v>0</v>
      </c>
      <c r="AD1236" s="421"/>
      <c r="AE1236" s="413"/>
      <c r="AF1236" s="424">
        <f t="shared" si="151"/>
        <v>319488</v>
      </c>
      <c r="AG1236" s="405" t="s">
        <v>1069</v>
      </c>
      <c r="AH1236" s="405"/>
      <c r="AI1236" s="414" t="s">
        <v>1962</v>
      </c>
      <c r="AJ1236" s="405" t="s">
        <v>3645</v>
      </c>
      <c r="AK1236" s="425" t="s">
        <v>1930</v>
      </c>
      <c r="AL1236" s="405">
        <v>81501</v>
      </c>
      <c r="AM1236" s="405" t="s">
        <v>52</v>
      </c>
      <c r="AN1236" s="405"/>
      <c r="AO1236" s="405"/>
      <c r="AP1236" s="417"/>
      <c r="AQ1236" s="417" t="s">
        <v>37</v>
      </c>
      <c r="AR1236" s="417"/>
      <c r="AS1236" s="426"/>
      <c r="AT1236" s="426"/>
      <c r="AU1236" s="426"/>
      <c r="AV1236" s="409">
        <v>0.52</v>
      </c>
    </row>
    <row r="1237" spans="1:48" s="402" customFormat="1" ht="15" customHeight="1">
      <c r="A1237" s="403"/>
      <c r="B1237" s="403"/>
      <c r="C1237" s="403"/>
      <c r="D1237" s="443" t="s">
        <v>2480</v>
      </c>
      <c r="E1237" s="432" t="s">
        <v>2406</v>
      </c>
      <c r="F1237" s="432"/>
      <c r="G1237" s="432"/>
      <c r="H1237" s="432"/>
      <c r="I1237" s="427" t="s">
        <v>1498</v>
      </c>
      <c r="J1237" s="433"/>
      <c r="K1237" s="434" t="s">
        <v>3646</v>
      </c>
      <c r="L1237" s="432" t="s">
        <v>2487</v>
      </c>
      <c r="M1237" s="435">
        <v>44538</v>
      </c>
      <c r="N1237" s="435">
        <v>44682</v>
      </c>
      <c r="O1237" s="435"/>
      <c r="P1237" s="433"/>
      <c r="Q1237" s="433"/>
      <c r="R1237" s="433"/>
      <c r="S1237" s="432" t="s">
        <v>1940</v>
      </c>
      <c r="T1237" s="432">
        <v>60</v>
      </c>
      <c r="U1237" s="432"/>
      <c r="V1237" s="432" t="s">
        <v>985</v>
      </c>
      <c r="W1237" s="432">
        <v>400</v>
      </c>
      <c r="X1237" s="436">
        <v>1536</v>
      </c>
      <c r="Y1237" s="422">
        <f t="shared" si="152"/>
        <v>614400</v>
      </c>
      <c r="Z1237" s="409">
        <v>0.52</v>
      </c>
      <c r="AA1237" s="423">
        <f t="shared" si="153"/>
        <v>319488</v>
      </c>
      <c r="AB1237" s="411"/>
      <c r="AC1237" s="412">
        <f t="shared" si="150"/>
        <v>0</v>
      </c>
      <c r="AD1237" s="421"/>
      <c r="AE1237" s="413"/>
      <c r="AF1237" s="424">
        <f t="shared" si="151"/>
        <v>319488</v>
      </c>
      <c r="AG1237" s="405" t="s">
        <v>1069</v>
      </c>
      <c r="AH1237" s="405"/>
      <c r="AI1237" s="414" t="s">
        <v>1962</v>
      </c>
      <c r="AJ1237" s="405" t="s">
        <v>3645</v>
      </c>
      <c r="AK1237" s="425" t="s">
        <v>1930</v>
      </c>
      <c r="AL1237" s="405">
        <v>81501</v>
      </c>
      <c r="AM1237" s="405" t="s">
        <v>52</v>
      </c>
      <c r="AN1237" s="405"/>
      <c r="AO1237" s="405"/>
      <c r="AP1237" s="417"/>
      <c r="AQ1237" s="417" t="s">
        <v>37</v>
      </c>
      <c r="AR1237" s="417"/>
      <c r="AS1237" s="426"/>
      <c r="AT1237" s="426"/>
      <c r="AU1237" s="426"/>
      <c r="AV1237" s="409">
        <v>0.52</v>
      </c>
    </row>
    <row r="1238" spans="1:48" s="402" customFormat="1" ht="15" customHeight="1">
      <c r="A1238" s="403"/>
      <c r="B1238" s="403"/>
      <c r="C1238" s="403"/>
      <c r="D1238" s="443" t="s">
        <v>2480</v>
      </c>
      <c r="E1238" s="432" t="s">
        <v>2406</v>
      </c>
      <c r="F1238" s="432"/>
      <c r="G1238" s="432"/>
      <c r="H1238" s="432"/>
      <c r="I1238" s="427" t="s">
        <v>1498</v>
      </c>
      <c r="J1238" s="433"/>
      <c r="K1238" s="434" t="s">
        <v>3647</v>
      </c>
      <c r="L1238" s="432" t="s">
        <v>2487</v>
      </c>
      <c r="M1238" s="435">
        <v>44538</v>
      </c>
      <c r="N1238" s="435">
        <v>44713</v>
      </c>
      <c r="O1238" s="435"/>
      <c r="P1238" s="433"/>
      <c r="Q1238" s="433"/>
      <c r="R1238" s="433"/>
      <c r="S1238" s="432" t="s">
        <v>1940</v>
      </c>
      <c r="T1238" s="432">
        <v>60</v>
      </c>
      <c r="U1238" s="432"/>
      <c r="V1238" s="432" t="s">
        <v>985</v>
      </c>
      <c r="W1238" s="432">
        <v>400</v>
      </c>
      <c r="X1238" s="436">
        <v>1536</v>
      </c>
      <c r="Y1238" s="422">
        <f t="shared" si="152"/>
        <v>614400</v>
      </c>
      <c r="Z1238" s="409">
        <v>0.52</v>
      </c>
      <c r="AA1238" s="423">
        <f t="shared" si="153"/>
        <v>319488</v>
      </c>
      <c r="AB1238" s="411"/>
      <c r="AC1238" s="412">
        <f t="shared" si="150"/>
        <v>0</v>
      </c>
      <c r="AD1238" s="421"/>
      <c r="AE1238" s="413"/>
      <c r="AF1238" s="424">
        <f t="shared" si="151"/>
        <v>319488</v>
      </c>
      <c r="AG1238" s="405" t="s">
        <v>1069</v>
      </c>
      <c r="AH1238" s="405"/>
      <c r="AI1238" s="414" t="s">
        <v>1962</v>
      </c>
      <c r="AJ1238" s="405" t="s">
        <v>3645</v>
      </c>
      <c r="AK1238" s="425" t="s">
        <v>1930</v>
      </c>
      <c r="AL1238" s="405">
        <v>81501</v>
      </c>
      <c r="AM1238" s="405" t="s">
        <v>52</v>
      </c>
      <c r="AN1238" s="405"/>
      <c r="AO1238" s="405"/>
      <c r="AP1238" s="417"/>
      <c r="AQ1238" s="417" t="s">
        <v>37</v>
      </c>
      <c r="AR1238" s="417"/>
      <c r="AS1238" s="426"/>
      <c r="AT1238" s="426"/>
      <c r="AU1238" s="426"/>
      <c r="AV1238" s="409">
        <v>0.52</v>
      </c>
    </row>
    <row r="1239" spans="1:48" s="402" customFormat="1" ht="15" customHeight="1">
      <c r="A1239" s="403"/>
      <c r="B1239" s="403"/>
      <c r="C1239" s="403"/>
      <c r="D1239" s="443" t="s">
        <v>2480</v>
      </c>
      <c r="E1239" s="432" t="s">
        <v>2406</v>
      </c>
      <c r="F1239" s="432"/>
      <c r="G1239" s="432"/>
      <c r="H1239" s="432"/>
      <c r="I1239" s="427" t="s">
        <v>1498</v>
      </c>
      <c r="J1239" s="433"/>
      <c r="K1239" s="434" t="s">
        <v>3648</v>
      </c>
      <c r="L1239" s="432" t="s">
        <v>2487</v>
      </c>
      <c r="M1239" s="435">
        <v>44538</v>
      </c>
      <c r="N1239" s="435">
        <v>44743</v>
      </c>
      <c r="O1239" s="435"/>
      <c r="P1239" s="433"/>
      <c r="Q1239" s="433"/>
      <c r="R1239" s="433"/>
      <c r="S1239" s="432" t="s">
        <v>1940</v>
      </c>
      <c r="T1239" s="432">
        <v>60</v>
      </c>
      <c r="U1239" s="432"/>
      <c r="V1239" s="432" t="s">
        <v>985</v>
      </c>
      <c r="W1239" s="432">
        <v>400</v>
      </c>
      <c r="X1239" s="436">
        <v>1536</v>
      </c>
      <c r="Y1239" s="422">
        <f t="shared" si="152"/>
        <v>614400</v>
      </c>
      <c r="Z1239" s="409">
        <v>0.52</v>
      </c>
      <c r="AA1239" s="423">
        <f t="shared" si="153"/>
        <v>319488</v>
      </c>
      <c r="AB1239" s="411"/>
      <c r="AC1239" s="412">
        <f t="shared" si="150"/>
        <v>0</v>
      </c>
      <c r="AD1239" s="421"/>
      <c r="AE1239" s="413"/>
      <c r="AF1239" s="424">
        <f t="shared" si="151"/>
        <v>319488</v>
      </c>
      <c r="AG1239" s="405" t="s">
        <v>1069</v>
      </c>
      <c r="AH1239" s="405"/>
      <c r="AI1239" s="414" t="s">
        <v>1962</v>
      </c>
      <c r="AJ1239" s="405" t="s">
        <v>3645</v>
      </c>
      <c r="AK1239" s="425" t="s">
        <v>1930</v>
      </c>
      <c r="AL1239" s="405">
        <v>81501</v>
      </c>
      <c r="AM1239" s="405" t="s">
        <v>52</v>
      </c>
      <c r="AN1239" s="405"/>
      <c r="AO1239" s="405"/>
      <c r="AP1239" s="417"/>
      <c r="AQ1239" s="417" t="s">
        <v>37</v>
      </c>
      <c r="AR1239" s="417"/>
      <c r="AS1239" s="426"/>
      <c r="AT1239" s="426"/>
      <c r="AU1239" s="426"/>
      <c r="AV1239" s="409">
        <v>0.52</v>
      </c>
    </row>
    <row r="1240" spans="1:48" s="402" customFormat="1" ht="15" customHeight="1">
      <c r="A1240" s="403"/>
      <c r="B1240" s="403"/>
      <c r="C1240" s="403"/>
      <c r="D1240" s="443" t="s">
        <v>2480</v>
      </c>
      <c r="E1240" s="432" t="s">
        <v>2406</v>
      </c>
      <c r="F1240" s="432"/>
      <c r="G1240" s="432"/>
      <c r="H1240" s="432"/>
      <c r="I1240" s="427" t="s">
        <v>1498</v>
      </c>
      <c r="J1240" s="433"/>
      <c r="K1240" s="434" t="s">
        <v>3649</v>
      </c>
      <c r="L1240" s="432" t="s">
        <v>2487</v>
      </c>
      <c r="M1240" s="435">
        <v>44538</v>
      </c>
      <c r="N1240" s="435">
        <v>44774</v>
      </c>
      <c r="O1240" s="435"/>
      <c r="P1240" s="433"/>
      <c r="Q1240" s="433"/>
      <c r="R1240" s="433"/>
      <c r="S1240" s="432" t="s">
        <v>1940</v>
      </c>
      <c r="T1240" s="432">
        <v>60</v>
      </c>
      <c r="U1240" s="432"/>
      <c r="V1240" s="432" t="s">
        <v>985</v>
      </c>
      <c r="W1240" s="432">
        <v>400</v>
      </c>
      <c r="X1240" s="436">
        <v>1536</v>
      </c>
      <c r="Y1240" s="422">
        <f t="shared" si="152"/>
        <v>614400</v>
      </c>
      <c r="Z1240" s="409">
        <v>0.52</v>
      </c>
      <c r="AA1240" s="423">
        <f t="shared" si="153"/>
        <v>319488</v>
      </c>
      <c r="AB1240" s="411"/>
      <c r="AC1240" s="412">
        <f t="shared" si="150"/>
        <v>0</v>
      </c>
      <c r="AD1240" s="421"/>
      <c r="AE1240" s="413"/>
      <c r="AF1240" s="424">
        <f t="shared" si="151"/>
        <v>319488</v>
      </c>
      <c r="AG1240" s="405" t="s">
        <v>1069</v>
      </c>
      <c r="AH1240" s="405"/>
      <c r="AI1240" s="414" t="s">
        <v>1962</v>
      </c>
      <c r="AJ1240" s="405" t="s">
        <v>3645</v>
      </c>
      <c r="AK1240" s="425" t="s">
        <v>1930</v>
      </c>
      <c r="AL1240" s="405">
        <v>81501</v>
      </c>
      <c r="AM1240" s="405" t="s">
        <v>52</v>
      </c>
      <c r="AN1240" s="405"/>
      <c r="AO1240" s="405"/>
      <c r="AP1240" s="417"/>
      <c r="AQ1240" s="417" t="s">
        <v>37</v>
      </c>
      <c r="AR1240" s="417"/>
      <c r="AS1240" s="426"/>
      <c r="AT1240" s="426"/>
      <c r="AU1240" s="426"/>
      <c r="AV1240" s="409">
        <v>0.52</v>
      </c>
    </row>
    <row r="1241" spans="1:48" s="402" customFormat="1" ht="15" customHeight="1">
      <c r="A1241" s="403"/>
      <c r="B1241" s="403"/>
      <c r="C1241" s="403"/>
      <c r="D1241" s="443" t="s">
        <v>2480</v>
      </c>
      <c r="E1241" s="432" t="s">
        <v>2406</v>
      </c>
      <c r="F1241" s="432"/>
      <c r="G1241" s="432"/>
      <c r="H1241" s="432"/>
      <c r="I1241" s="427" t="s">
        <v>1498</v>
      </c>
      <c r="J1241" s="433"/>
      <c r="K1241" s="434" t="s">
        <v>3650</v>
      </c>
      <c r="L1241" s="432" t="s">
        <v>2487</v>
      </c>
      <c r="M1241" s="435">
        <v>44538</v>
      </c>
      <c r="N1241" s="435">
        <v>44805</v>
      </c>
      <c r="O1241" s="435"/>
      <c r="P1241" s="433"/>
      <c r="Q1241" s="433"/>
      <c r="R1241" s="433"/>
      <c r="S1241" s="432" t="s">
        <v>1940</v>
      </c>
      <c r="T1241" s="432">
        <v>60</v>
      </c>
      <c r="U1241" s="432"/>
      <c r="V1241" s="432" t="s">
        <v>985</v>
      </c>
      <c r="W1241" s="432">
        <v>400</v>
      </c>
      <c r="X1241" s="436">
        <v>1536</v>
      </c>
      <c r="Y1241" s="422">
        <f t="shared" si="152"/>
        <v>614400</v>
      </c>
      <c r="Z1241" s="409">
        <v>0.52</v>
      </c>
      <c r="AA1241" s="423">
        <f t="shared" si="153"/>
        <v>319488</v>
      </c>
      <c r="AB1241" s="411"/>
      <c r="AC1241" s="412">
        <f t="shared" si="150"/>
        <v>0</v>
      </c>
      <c r="AD1241" s="421"/>
      <c r="AE1241" s="413"/>
      <c r="AF1241" s="424">
        <f t="shared" si="151"/>
        <v>319488</v>
      </c>
      <c r="AG1241" s="405" t="s">
        <v>1069</v>
      </c>
      <c r="AH1241" s="405"/>
      <c r="AI1241" s="414" t="s">
        <v>1962</v>
      </c>
      <c r="AJ1241" s="405" t="s">
        <v>3645</v>
      </c>
      <c r="AK1241" s="425" t="s">
        <v>1930</v>
      </c>
      <c r="AL1241" s="405">
        <v>81501</v>
      </c>
      <c r="AM1241" s="405" t="s">
        <v>52</v>
      </c>
      <c r="AN1241" s="405"/>
      <c r="AO1241" s="405"/>
      <c r="AP1241" s="417"/>
      <c r="AQ1241" s="417" t="s">
        <v>37</v>
      </c>
      <c r="AR1241" s="417"/>
      <c r="AS1241" s="426"/>
      <c r="AT1241" s="426"/>
      <c r="AU1241" s="426"/>
      <c r="AV1241" s="409">
        <v>0.52</v>
      </c>
    </row>
    <row r="1242" spans="1:48" s="402" customFormat="1" ht="15" customHeight="1">
      <c r="A1242" s="403"/>
      <c r="B1242" s="403"/>
      <c r="C1242" s="403"/>
      <c r="D1242" s="443" t="s">
        <v>2480</v>
      </c>
      <c r="E1242" s="432" t="s">
        <v>2406</v>
      </c>
      <c r="F1242" s="432"/>
      <c r="G1242" s="432"/>
      <c r="H1242" s="432"/>
      <c r="I1242" s="427" t="s">
        <v>1498</v>
      </c>
      <c r="J1242" s="433"/>
      <c r="K1242" s="434" t="s">
        <v>3651</v>
      </c>
      <c r="L1242" s="432" t="s">
        <v>2487</v>
      </c>
      <c r="M1242" s="435">
        <v>44538</v>
      </c>
      <c r="N1242" s="435">
        <v>44835</v>
      </c>
      <c r="O1242" s="435"/>
      <c r="P1242" s="433"/>
      <c r="Q1242" s="433"/>
      <c r="R1242" s="433"/>
      <c r="S1242" s="432" t="s">
        <v>1940</v>
      </c>
      <c r="T1242" s="432">
        <v>60</v>
      </c>
      <c r="U1242" s="432"/>
      <c r="V1242" s="432" t="s">
        <v>985</v>
      </c>
      <c r="W1242" s="432">
        <v>400</v>
      </c>
      <c r="X1242" s="436">
        <v>1536</v>
      </c>
      <c r="Y1242" s="422">
        <f t="shared" si="152"/>
        <v>614400</v>
      </c>
      <c r="Z1242" s="409">
        <v>0.52</v>
      </c>
      <c r="AA1242" s="423">
        <f t="shared" si="153"/>
        <v>319488</v>
      </c>
      <c r="AB1242" s="411"/>
      <c r="AC1242" s="412">
        <f t="shared" si="150"/>
        <v>0</v>
      </c>
      <c r="AD1242" s="421"/>
      <c r="AE1242" s="413"/>
      <c r="AF1242" s="424">
        <f t="shared" si="151"/>
        <v>319488</v>
      </c>
      <c r="AG1242" s="405" t="s">
        <v>1069</v>
      </c>
      <c r="AH1242" s="405"/>
      <c r="AI1242" s="414" t="s">
        <v>1962</v>
      </c>
      <c r="AJ1242" s="405" t="s">
        <v>3645</v>
      </c>
      <c r="AK1242" s="425" t="s">
        <v>1930</v>
      </c>
      <c r="AL1242" s="405">
        <v>81501</v>
      </c>
      <c r="AM1242" s="405" t="s">
        <v>52</v>
      </c>
      <c r="AN1242" s="405"/>
      <c r="AO1242" s="405"/>
      <c r="AP1242" s="417"/>
      <c r="AQ1242" s="417" t="s">
        <v>37</v>
      </c>
      <c r="AR1242" s="417"/>
      <c r="AS1242" s="426"/>
      <c r="AT1242" s="426"/>
      <c r="AU1242" s="426"/>
      <c r="AV1242" s="409">
        <v>0.52</v>
      </c>
    </row>
    <row r="1243" spans="1:48" s="402" customFormat="1" ht="15" customHeight="1">
      <c r="A1243" s="403"/>
      <c r="B1243" s="403"/>
      <c r="C1243" s="403"/>
      <c r="D1243" s="443" t="s">
        <v>2480</v>
      </c>
      <c r="E1243" s="432" t="s">
        <v>2406</v>
      </c>
      <c r="F1243" s="432"/>
      <c r="G1243" s="432"/>
      <c r="H1243" s="432"/>
      <c r="I1243" s="427" t="s">
        <v>1498</v>
      </c>
      <c r="J1243" s="433"/>
      <c r="K1243" s="434" t="s">
        <v>3652</v>
      </c>
      <c r="L1243" s="432" t="s">
        <v>2487</v>
      </c>
      <c r="M1243" s="435">
        <v>44538</v>
      </c>
      <c r="N1243" s="435">
        <v>44866</v>
      </c>
      <c r="O1243" s="435"/>
      <c r="P1243" s="433"/>
      <c r="Q1243" s="433"/>
      <c r="R1243" s="433"/>
      <c r="S1243" s="432" t="s">
        <v>1940</v>
      </c>
      <c r="T1243" s="432">
        <v>60</v>
      </c>
      <c r="U1243" s="432"/>
      <c r="V1243" s="432" t="s">
        <v>985</v>
      </c>
      <c r="W1243" s="432">
        <v>400</v>
      </c>
      <c r="X1243" s="436">
        <v>1536</v>
      </c>
      <c r="Y1243" s="422">
        <f t="shared" si="152"/>
        <v>614400</v>
      </c>
      <c r="Z1243" s="409">
        <v>0.52</v>
      </c>
      <c r="AA1243" s="423">
        <f t="shared" si="153"/>
        <v>319488</v>
      </c>
      <c r="AB1243" s="411"/>
      <c r="AC1243" s="412">
        <f t="shared" si="150"/>
        <v>0</v>
      </c>
      <c r="AD1243" s="421"/>
      <c r="AE1243" s="413"/>
      <c r="AF1243" s="424">
        <f t="shared" si="151"/>
        <v>319488</v>
      </c>
      <c r="AG1243" s="405" t="s">
        <v>1069</v>
      </c>
      <c r="AH1243" s="405"/>
      <c r="AI1243" s="414" t="s">
        <v>1962</v>
      </c>
      <c r="AJ1243" s="405" t="s">
        <v>3645</v>
      </c>
      <c r="AK1243" s="425" t="s">
        <v>1930</v>
      </c>
      <c r="AL1243" s="405">
        <v>81501</v>
      </c>
      <c r="AM1243" s="405" t="s">
        <v>52</v>
      </c>
      <c r="AN1243" s="405"/>
      <c r="AO1243" s="405"/>
      <c r="AP1243" s="417"/>
      <c r="AQ1243" s="417" t="s">
        <v>37</v>
      </c>
      <c r="AR1243" s="417"/>
      <c r="AS1243" s="426"/>
      <c r="AT1243" s="426"/>
      <c r="AU1243" s="426"/>
      <c r="AV1243" s="409">
        <v>0.52</v>
      </c>
    </row>
    <row r="1244" spans="1:48" s="402" customFormat="1" ht="15" customHeight="1">
      <c r="A1244" s="403"/>
      <c r="B1244" s="403"/>
      <c r="C1244" s="403"/>
      <c r="D1244" s="443" t="s">
        <v>2480</v>
      </c>
      <c r="E1244" s="432" t="s">
        <v>2406</v>
      </c>
      <c r="F1244" s="432"/>
      <c r="G1244" s="432"/>
      <c r="H1244" s="432"/>
      <c r="I1244" s="427" t="s">
        <v>1498</v>
      </c>
      <c r="J1244" s="433"/>
      <c r="K1244" s="434" t="s">
        <v>3653</v>
      </c>
      <c r="L1244" s="432" t="s">
        <v>2487</v>
      </c>
      <c r="M1244" s="435">
        <v>44538</v>
      </c>
      <c r="N1244" s="435">
        <v>44896</v>
      </c>
      <c r="O1244" s="435"/>
      <c r="P1244" s="433"/>
      <c r="Q1244" s="433"/>
      <c r="R1244" s="433"/>
      <c r="S1244" s="432" t="s">
        <v>1940</v>
      </c>
      <c r="T1244" s="432">
        <v>60</v>
      </c>
      <c r="U1244" s="432"/>
      <c r="V1244" s="432" t="s">
        <v>985</v>
      </c>
      <c r="W1244" s="432">
        <v>400</v>
      </c>
      <c r="X1244" s="436">
        <v>1536</v>
      </c>
      <c r="Y1244" s="422">
        <f t="shared" si="152"/>
        <v>614400</v>
      </c>
      <c r="Z1244" s="409">
        <v>0.52</v>
      </c>
      <c r="AA1244" s="423">
        <f t="shared" si="153"/>
        <v>319488</v>
      </c>
      <c r="AB1244" s="411"/>
      <c r="AC1244" s="412">
        <f t="shared" si="150"/>
        <v>0</v>
      </c>
      <c r="AD1244" s="421"/>
      <c r="AE1244" s="413"/>
      <c r="AF1244" s="424">
        <f t="shared" si="151"/>
        <v>319488</v>
      </c>
      <c r="AG1244" s="405" t="s">
        <v>1069</v>
      </c>
      <c r="AH1244" s="405"/>
      <c r="AI1244" s="414" t="s">
        <v>1962</v>
      </c>
      <c r="AJ1244" s="405" t="s">
        <v>3645</v>
      </c>
      <c r="AK1244" s="425" t="s">
        <v>1930</v>
      </c>
      <c r="AL1244" s="405">
        <v>81501</v>
      </c>
      <c r="AM1244" s="405" t="s">
        <v>52</v>
      </c>
      <c r="AN1244" s="405"/>
      <c r="AO1244" s="405"/>
      <c r="AP1244" s="417"/>
      <c r="AQ1244" s="417" t="s">
        <v>37</v>
      </c>
      <c r="AR1244" s="417"/>
      <c r="AS1244" s="426"/>
      <c r="AT1244" s="426"/>
      <c r="AU1244" s="426"/>
      <c r="AV1244" s="409">
        <v>0.52</v>
      </c>
    </row>
    <row r="1245" spans="1:48" s="402" customFormat="1" ht="15" customHeight="1">
      <c r="A1245" s="403"/>
      <c r="B1245" s="445">
        <v>44911</v>
      </c>
      <c r="C1245" s="445"/>
      <c r="D1245" s="443" t="s">
        <v>2480</v>
      </c>
      <c r="E1245" s="405" t="s">
        <v>2484</v>
      </c>
      <c r="F1245" s="432"/>
      <c r="G1245" s="432"/>
      <c r="H1245" s="432"/>
      <c r="I1245" s="427" t="s">
        <v>1498</v>
      </c>
      <c r="J1245" s="433"/>
      <c r="K1245" s="434" t="s">
        <v>3654</v>
      </c>
      <c r="L1245" s="432" t="s">
        <v>2502</v>
      </c>
      <c r="M1245" s="435">
        <v>44546</v>
      </c>
      <c r="N1245" s="435">
        <v>44652</v>
      </c>
      <c r="O1245" s="435"/>
      <c r="P1245" s="433"/>
      <c r="Q1245" s="433"/>
      <c r="R1245" s="433"/>
      <c r="S1245" s="432" t="s">
        <v>2631</v>
      </c>
      <c r="T1245" s="432">
        <v>60</v>
      </c>
      <c r="U1245" s="432"/>
      <c r="V1245" s="432" t="s">
        <v>985</v>
      </c>
      <c r="W1245" s="432">
        <v>400</v>
      </c>
      <c r="X1245" s="436">
        <v>768</v>
      </c>
      <c r="Y1245" s="422">
        <f t="shared" si="152"/>
        <v>307200</v>
      </c>
      <c r="Z1245" s="409">
        <v>0.46500000000000002</v>
      </c>
      <c r="AA1245" s="423">
        <f t="shared" si="153"/>
        <v>142848</v>
      </c>
      <c r="AB1245" s="411"/>
      <c r="AC1245" s="412">
        <f t="shared" si="150"/>
        <v>0</v>
      </c>
      <c r="AD1245" s="421"/>
      <c r="AE1245" s="413"/>
      <c r="AF1245" s="424">
        <f t="shared" si="151"/>
        <v>142848</v>
      </c>
      <c r="AG1245" s="405" t="s">
        <v>1069</v>
      </c>
      <c r="AH1245" s="405"/>
      <c r="AI1245" s="414">
        <v>60</v>
      </c>
      <c r="AJ1245" s="405" t="s">
        <v>2053</v>
      </c>
      <c r="AK1245" s="425" t="s">
        <v>1136</v>
      </c>
      <c r="AL1245" s="405">
        <v>78218</v>
      </c>
      <c r="AM1245" s="405" t="s">
        <v>52</v>
      </c>
      <c r="AN1245" s="405" t="s">
        <v>50</v>
      </c>
      <c r="AO1245" s="405"/>
      <c r="AP1245" s="417" t="s">
        <v>38</v>
      </c>
      <c r="AQ1245" s="417" t="s">
        <v>37</v>
      </c>
      <c r="AR1245" s="417" t="s">
        <v>1209</v>
      </c>
      <c r="AS1245" s="426"/>
      <c r="AT1245" s="426"/>
      <c r="AU1245" s="426"/>
      <c r="AV1245" s="409">
        <v>0.46500000000000002</v>
      </c>
    </row>
    <row r="1246" spans="1:48" s="402" customFormat="1" ht="15" customHeight="1">
      <c r="A1246" s="403"/>
      <c r="B1246" s="445">
        <v>44911</v>
      </c>
      <c r="C1246" s="445"/>
      <c r="D1246" s="443" t="s">
        <v>2480</v>
      </c>
      <c r="E1246" s="405" t="s">
        <v>2484</v>
      </c>
      <c r="F1246" s="432"/>
      <c r="G1246" s="432"/>
      <c r="H1246" s="432"/>
      <c r="I1246" s="427" t="s">
        <v>1498</v>
      </c>
      <c r="J1246" s="433"/>
      <c r="K1246" s="434" t="s">
        <v>3655</v>
      </c>
      <c r="L1246" s="432" t="s">
        <v>2502</v>
      </c>
      <c r="M1246" s="435">
        <v>44546</v>
      </c>
      <c r="N1246" s="435">
        <v>44652</v>
      </c>
      <c r="O1246" s="435"/>
      <c r="P1246" s="433"/>
      <c r="Q1246" s="433"/>
      <c r="R1246" s="433"/>
      <c r="S1246" s="432" t="s">
        <v>2631</v>
      </c>
      <c r="T1246" s="432">
        <v>60</v>
      </c>
      <c r="U1246" s="432"/>
      <c r="V1246" s="432" t="s">
        <v>985</v>
      </c>
      <c r="W1246" s="432">
        <v>400</v>
      </c>
      <c r="X1246" s="436">
        <v>768</v>
      </c>
      <c r="Y1246" s="422">
        <f t="shared" si="152"/>
        <v>307200</v>
      </c>
      <c r="Z1246" s="409">
        <v>0.46500000000000002</v>
      </c>
      <c r="AA1246" s="423">
        <f t="shared" si="153"/>
        <v>142848</v>
      </c>
      <c r="AB1246" s="411"/>
      <c r="AC1246" s="412">
        <f t="shared" si="150"/>
        <v>0</v>
      </c>
      <c r="AD1246" s="421"/>
      <c r="AE1246" s="413"/>
      <c r="AF1246" s="424">
        <f t="shared" si="151"/>
        <v>142848</v>
      </c>
      <c r="AG1246" s="405" t="s">
        <v>1069</v>
      </c>
      <c r="AH1246" s="405"/>
      <c r="AI1246" s="414">
        <v>60</v>
      </c>
      <c r="AJ1246" s="405" t="s">
        <v>2053</v>
      </c>
      <c r="AK1246" s="425" t="s">
        <v>1136</v>
      </c>
      <c r="AL1246" s="405">
        <v>78218</v>
      </c>
      <c r="AM1246" s="405" t="s">
        <v>52</v>
      </c>
      <c r="AN1246" s="405" t="s">
        <v>50</v>
      </c>
      <c r="AO1246" s="405"/>
      <c r="AP1246" s="417" t="s">
        <v>38</v>
      </c>
      <c r="AQ1246" s="417" t="s">
        <v>37</v>
      </c>
      <c r="AR1246" s="417" t="s">
        <v>1209</v>
      </c>
      <c r="AS1246" s="426"/>
      <c r="AT1246" s="426"/>
      <c r="AU1246" s="426"/>
      <c r="AV1246" s="409">
        <v>0.46500000000000002</v>
      </c>
    </row>
    <row r="1247" spans="1:48" s="402" customFormat="1" ht="15" customHeight="1">
      <c r="A1247" s="403"/>
      <c r="B1247" s="445">
        <v>44911</v>
      </c>
      <c r="C1247" s="445"/>
      <c r="D1247" s="443" t="s">
        <v>2480</v>
      </c>
      <c r="E1247" s="405" t="s">
        <v>2484</v>
      </c>
      <c r="F1247" s="432"/>
      <c r="G1247" s="432"/>
      <c r="H1247" s="432"/>
      <c r="I1247" s="427" t="s">
        <v>1498</v>
      </c>
      <c r="J1247" s="433"/>
      <c r="K1247" s="434" t="s">
        <v>3656</v>
      </c>
      <c r="L1247" s="432" t="s">
        <v>2502</v>
      </c>
      <c r="M1247" s="435">
        <v>44546</v>
      </c>
      <c r="N1247" s="435">
        <v>44652</v>
      </c>
      <c r="O1247" s="435"/>
      <c r="P1247" s="433"/>
      <c r="Q1247" s="433"/>
      <c r="R1247" s="433"/>
      <c r="S1247" s="432" t="s">
        <v>2631</v>
      </c>
      <c r="T1247" s="432">
        <v>60</v>
      </c>
      <c r="U1247" s="432"/>
      <c r="V1247" s="432" t="s">
        <v>985</v>
      </c>
      <c r="W1247" s="432">
        <v>400</v>
      </c>
      <c r="X1247" s="436">
        <v>768</v>
      </c>
      <c r="Y1247" s="422">
        <f t="shared" si="152"/>
        <v>307200</v>
      </c>
      <c r="Z1247" s="409">
        <v>0.46500000000000002</v>
      </c>
      <c r="AA1247" s="423">
        <f t="shared" si="153"/>
        <v>142848</v>
      </c>
      <c r="AB1247" s="411"/>
      <c r="AC1247" s="412">
        <f t="shared" si="150"/>
        <v>0</v>
      </c>
      <c r="AD1247" s="421"/>
      <c r="AE1247" s="413"/>
      <c r="AF1247" s="424">
        <f t="shared" si="151"/>
        <v>142848</v>
      </c>
      <c r="AG1247" s="405" t="s">
        <v>1069</v>
      </c>
      <c r="AH1247" s="405"/>
      <c r="AI1247" s="414">
        <v>60</v>
      </c>
      <c r="AJ1247" s="405" t="s">
        <v>2053</v>
      </c>
      <c r="AK1247" s="425" t="s">
        <v>1136</v>
      </c>
      <c r="AL1247" s="405">
        <v>78218</v>
      </c>
      <c r="AM1247" s="405" t="s">
        <v>52</v>
      </c>
      <c r="AN1247" s="405" t="s">
        <v>50</v>
      </c>
      <c r="AO1247" s="405"/>
      <c r="AP1247" s="417" t="s">
        <v>38</v>
      </c>
      <c r="AQ1247" s="417" t="s">
        <v>37</v>
      </c>
      <c r="AR1247" s="417" t="s">
        <v>1209</v>
      </c>
      <c r="AS1247" s="426"/>
      <c r="AT1247" s="426"/>
      <c r="AU1247" s="426"/>
      <c r="AV1247" s="409">
        <v>0.46500000000000002</v>
      </c>
    </row>
    <row r="1248" spans="1:48" s="402" customFormat="1" ht="15" customHeight="1">
      <c r="A1248" s="403"/>
      <c r="B1248" s="445">
        <v>44911</v>
      </c>
      <c r="C1248" s="445"/>
      <c r="D1248" s="443" t="s">
        <v>2480</v>
      </c>
      <c r="E1248" s="405" t="s">
        <v>2484</v>
      </c>
      <c r="F1248" s="432"/>
      <c r="G1248" s="432"/>
      <c r="H1248" s="432"/>
      <c r="I1248" s="427" t="s">
        <v>1498</v>
      </c>
      <c r="J1248" s="433"/>
      <c r="K1248" s="434" t="s">
        <v>3657</v>
      </c>
      <c r="L1248" s="432" t="s">
        <v>2502</v>
      </c>
      <c r="M1248" s="435">
        <v>44546</v>
      </c>
      <c r="N1248" s="435">
        <v>44682</v>
      </c>
      <c r="O1248" s="435"/>
      <c r="P1248" s="433"/>
      <c r="Q1248" s="433"/>
      <c r="R1248" s="433"/>
      <c r="S1248" s="432" t="s">
        <v>2631</v>
      </c>
      <c r="T1248" s="432">
        <v>60</v>
      </c>
      <c r="U1248" s="432"/>
      <c r="V1248" s="432" t="s">
        <v>985</v>
      </c>
      <c r="W1248" s="432">
        <v>400</v>
      </c>
      <c r="X1248" s="436">
        <v>768</v>
      </c>
      <c r="Y1248" s="422">
        <f t="shared" si="152"/>
        <v>307200</v>
      </c>
      <c r="Z1248" s="409">
        <v>0.46500000000000002</v>
      </c>
      <c r="AA1248" s="423">
        <f t="shared" si="153"/>
        <v>142848</v>
      </c>
      <c r="AB1248" s="411"/>
      <c r="AC1248" s="412">
        <f t="shared" si="150"/>
        <v>0</v>
      </c>
      <c r="AD1248" s="421"/>
      <c r="AE1248" s="413"/>
      <c r="AF1248" s="424">
        <f t="shared" si="151"/>
        <v>142848</v>
      </c>
      <c r="AG1248" s="405" t="s">
        <v>1069</v>
      </c>
      <c r="AH1248" s="405"/>
      <c r="AI1248" s="414">
        <v>60</v>
      </c>
      <c r="AJ1248" s="405" t="s">
        <v>2053</v>
      </c>
      <c r="AK1248" s="425" t="s">
        <v>1136</v>
      </c>
      <c r="AL1248" s="405">
        <v>78218</v>
      </c>
      <c r="AM1248" s="405" t="s">
        <v>52</v>
      </c>
      <c r="AN1248" s="405" t="s">
        <v>50</v>
      </c>
      <c r="AO1248" s="405"/>
      <c r="AP1248" s="417" t="s">
        <v>38</v>
      </c>
      <c r="AQ1248" s="417" t="s">
        <v>37</v>
      </c>
      <c r="AR1248" s="417" t="s">
        <v>1209</v>
      </c>
      <c r="AS1248" s="426"/>
      <c r="AT1248" s="426"/>
      <c r="AU1248" s="426"/>
      <c r="AV1248" s="409">
        <v>0.46500000000000002</v>
      </c>
    </row>
    <row r="1249" spans="1:48" s="402" customFormat="1" ht="15" customHeight="1">
      <c r="A1249" s="403"/>
      <c r="B1249" s="445">
        <v>44911</v>
      </c>
      <c r="C1249" s="445"/>
      <c r="D1249" s="443" t="s">
        <v>2480</v>
      </c>
      <c r="E1249" s="405" t="s">
        <v>2484</v>
      </c>
      <c r="F1249" s="432"/>
      <c r="G1249" s="432"/>
      <c r="H1249" s="432"/>
      <c r="I1249" s="427" t="s">
        <v>1498</v>
      </c>
      <c r="J1249" s="433"/>
      <c r="K1249" s="434" t="s">
        <v>3658</v>
      </c>
      <c r="L1249" s="432" t="s">
        <v>2502</v>
      </c>
      <c r="M1249" s="435">
        <v>44546</v>
      </c>
      <c r="N1249" s="435">
        <v>44682</v>
      </c>
      <c r="O1249" s="435"/>
      <c r="P1249" s="433"/>
      <c r="Q1249" s="433"/>
      <c r="R1249" s="433"/>
      <c r="S1249" s="432" t="s">
        <v>2631</v>
      </c>
      <c r="T1249" s="432">
        <v>60</v>
      </c>
      <c r="U1249" s="432"/>
      <c r="V1249" s="432" t="s">
        <v>985</v>
      </c>
      <c r="W1249" s="432">
        <v>400</v>
      </c>
      <c r="X1249" s="436">
        <v>768</v>
      </c>
      <c r="Y1249" s="422">
        <f t="shared" si="152"/>
        <v>307200</v>
      </c>
      <c r="Z1249" s="409">
        <v>0.46500000000000002</v>
      </c>
      <c r="AA1249" s="423">
        <f t="shared" si="153"/>
        <v>142848</v>
      </c>
      <c r="AB1249" s="411"/>
      <c r="AC1249" s="412">
        <f t="shared" si="150"/>
        <v>0</v>
      </c>
      <c r="AD1249" s="421"/>
      <c r="AE1249" s="413"/>
      <c r="AF1249" s="424">
        <f t="shared" si="151"/>
        <v>142848</v>
      </c>
      <c r="AG1249" s="405" t="s">
        <v>1069</v>
      </c>
      <c r="AH1249" s="405"/>
      <c r="AI1249" s="414">
        <v>60</v>
      </c>
      <c r="AJ1249" s="405" t="s">
        <v>2053</v>
      </c>
      <c r="AK1249" s="425" t="s">
        <v>1136</v>
      </c>
      <c r="AL1249" s="405">
        <v>78218</v>
      </c>
      <c r="AM1249" s="405" t="s">
        <v>52</v>
      </c>
      <c r="AN1249" s="405" t="s">
        <v>50</v>
      </c>
      <c r="AO1249" s="405"/>
      <c r="AP1249" s="417" t="s">
        <v>38</v>
      </c>
      <c r="AQ1249" s="417" t="s">
        <v>37</v>
      </c>
      <c r="AR1249" s="417" t="s">
        <v>1209</v>
      </c>
      <c r="AS1249" s="426"/>
      <c r="AT1249" s="426"/>
      <c r="AU1249" s="426"/>
      <c r="AV1249" s="409">
        <v>0.46500000000000002</v>
      </c>
    </row>
    <row r="1250" spans="1:48" s="402" customFormat="1" ht="15" customHeight="1">
      <c r="A1250" s="403"/>
      <c r="B1250" s="445">
        <v>44911</v>
      </c>
      <c r="C1250" s="445"/>
      <c r="D1250" s="443" t="s">
        <v>2480</v>
      </c>
      <c r="E1250" s="405" t="s">
        <v>2484</v>
      </c>
      <c r="F1250" s="432"/>
      <c r="G1250" s="432"/>
      <c r="H1250" s="432"/>
      <c r="I1250" s="427" t="s">
        <v>1498</v>
      </c>
      <c r="J1250" s="433"/>
      <c r="K1250" s="434" t="s">
        <v>3659</v>
      </c>
      <c r="L1250" s="432" t="s">
        <v>2502</v>
      </c>
      <c r="M1250" s="435">
        <v>44546</v>
      </c>
      <c r="N1250" s="435">
        <v>44682</v>
      </c>
      <c r="O1250" s="435"/>
      <c r="P1250" s="433"/>
      <c r="Q1250" s="433"/>
      <c r="R1250" s="433"/>
      <c r="S1250" s="432" t="s">
        <v>2631</v>
      </c>
      <c r="T1250" s="432">
        <v>60</v>
      </c>
      <c r="U1250" s="432"/>
      <c r="V1250" s="432" t="s">
        <v>985</v>
      </c>
      <c r="W1250" s="432">
        <v>400</v>
      </c>
      <c r="X1250" s="436">
        <v>768</v>
      </c>
      <c r="Y1250" s="422">
        <f t="shared" si="152"/>
        <v>307200</v>
      </c>
      <c r="Z1250" s="409">
        <v>0.46500000000000002</v>
      </c>
      <c r="AA1250" s="423">
        <f t="shared" si="153"/>
        <v>142848</v>
      </c>
      <c r="AB1250" s="411"/>
      <c r="AC1250" s="412">
        <f t="shared" si="150"/>
        <v>0</v>
      </c>
      <c r="AD1250" s="421"/>
      <c r="AE1250" s="413"/>
      <c r="AF1250" s="424">
        <f t="shared" si="151"/>
        <v>142848</v>
      </c>
      <c r="AG1250" s="405" t="s">
        <v>1069</v>
      </c>
      <c r="AH1250" s="405"/>
      <c r="AI1250" s="414">
        <v>60</v>
      </c>
      <c r="AJ1250" s="405" t="s">
        <v>2053</v>
      </c>
      <c r="AK1250" s="425" t="s">
        <v>1136</v>
      </c>
      <c r="AL1250" s="405">
        <v>78218</v>
      </c>
      <c r="AM1250" s="405" t="s">
        <v>52</v>
      </c>
      <c r="AN1250" s="405" t="s">
        <v>50</v>
      </c>
      <c r="AO1250" s="405"/>
      <c r="AP1250" s="417" t="s">
        <v>38</v>
      </c>
      <c r="AQ1250" s="417" t="s">
        <v>37</v>
      </c>
      <c r="AR1250" s="417" t="s">
        <v>1209</v>
      </c>
      <c r="AS1250" s="426"/>
      <c r="AT1250" s="426"/>
      <c r="AU1250" s="426"/>
      <c r="AV1250" s="409">
        <v>0.46500000000000002</v>
      </c>
    </row>
    <row r="1251" spans="1:48" s="402" customFormat="1" ht="15" customHeight="1">
      <c r="A1251" s="403"/>
      <c r="B1251" s="445">
        <v>44911</v>
      </c>
      <c r="C1251" s="445"/>
      <c r="D1251" s="443" t="s">
        <v>2480</v>
      </c>
      <c r="E1251" s="405" t="s">
        <v>2484</v>
      </c>
      <c r="F1251" s="432"/>
      <c r="G1251" s="432"/>
      <c r="H1251" s="432"/>
      <c r="I1251" s="427" t="s">
        <v>1498</v>
      </c>
      <c r="J1251" s="433"/>
      <c r="K1251" s="434" t="s">
        <v>3660</v>
      </c>
      <c r="L1251" s="432" t="s">
        <v>2502</v>
      </c>
      <c r="M1251" s="435">
        <v>44546</v>
      </c>
      <c r="N1251" s="435">
        <v>44713</v>
      </c>
      <c r="O1251" s="435"/>
      <c r="P1251" s="433"/>
      <c r="Q1251" s="433"/>
      <c r="R1251" s="433"/>
      <c r="S1251" s="432" t="s">
        <v>2631</v>
      </c>
      <c r="T1251" s="432">
        <v>60</v>
      </c>
      <c r="U1251" s="432"/>
      <c r="V1251" s="432" t="s">
        <v>985</v>
      </c>
      <c r="W1251" s="432">
        <v>400</v>
      </c>
      <c r="X1251" s="436">
        <v>768</v>
      </c>
      <c r="Y1251" s="422">
        <f t="shared" si="152"/>
        <v>307200</v>
      </c>
      <c r="Z1251" s="409">
        <v>0.46500000000000002</v>
      </c>
      <c r="AA1251" s="423">
        <f t="shared" si="153"/>
        <v>142848</v>
      </c>
      <c r="AB1251" s="411"/>
      <c r="AC1251" s="412">
        <f t="shared" si="150"/>
        <v>0</v>
      </c>
      <c r="AD1251" s="421"/>
      <c r="AE1251" s="413"/>
      <c r="AF1251" s="424">
        <f t="shared" si="151"/>
        <v>142848</v>
      </c>
      <c r="AG1251" s="405" t="s">
        <v>1069</v>
      </c>
      <c r="AH1251" s="405"/>
      <c r="AI1251" s="414">
        <v>60</v>
      </c>
      <c r="AJ1251" s="405" t="s">
        <v>2053</v>
      </c>
      <c r="AK1251" s="425" t="s">
        <v>1136</v>
      </c>
      <c r="AL1251" s="405">
        <v>78218</v>
      </c>
      <c r="AM1251" s="405" t="s">
        <v>52</v>
      </c>
      <c r="AN1251" s="405" t="s">
        <v>50</v>
      </c>
      <c r="AO1251" s="405"/>
      <c r="AP1251" s="417" t="s">
        <v>38</v>
      </c>
      <c r="AQ1251" s="417" t="s">
        <v>37</v>
      </c>
      <c r="AR1251" s="417" t="s">
        <v>1209</v>
      </c>
      <c r="AS1251" s="426"/>
      <c r="AT1251" s="426"/>
      <c r="AU1251" s="426"/>
      <c r="AV1251" s="409">
        <v>0.46500000000000002</v>
      </c>
    </row>
    <row r="1252" spans="1:48" s="402" customFormat="1" ht="15" customHeight="1">
      <c r="A1252" s="403"/>
      <c r="B1252" s="445">
        <v>44911</v>
      </c>
      <c r="C1252" s="445"/>
      <c r="D1252" s="443" t="s">
        <v>2480</v>
      </c>
      <c r="E1252" s="405" t="s">
        <v>2484</v>
      </c>
      <c r="F1252" s="432"/>
      <c r="G1252" s="432"/>
      <c r="H1252" s="432"/>
      <c r="I1252" s="427" t="s">
        <v>1498</v>
      </c>
      <c r="J1252" s="433"/>
      <c r="K1252" s="434" t="s">
        <v>3661</v>
      </c>
      <c r="L1252" s="432" t="s">
        <v>2502</v>
      </c>
      <c r="M1252" s="435">
        <v>44546</v>
      </c>
      <c r="N1252" s="435">
        <v>44713</v>
      </c>
      <c r="O1252" s="435"/>
      <c r="P1252" s="433"/>
      <c r="Q1252" s="433"/>
      <c r="R1252" s="433"/>
      <c r="S1252" s="432" t="s">
        <v>2631</v>
      </c>
      <c r="T1252" s="432">
        <v>60</v>
      </c>
      <c r="U1252" s="432"/>
      <c r="V1252" s="432" t="s">
        <v>985</v>
      </c>
      <c r="W1252" s="432">
        <v>400</v>
      </c>
      <c r="X1252" s="436">
        <v>768</v>
      </c>
      <c r="Y1252" s="422">
        <f t="shared" si="152"/>
        <v>307200</v>
      </c>
      <c r="Z1252" s="409">
        <v>0.46500000000000002</v>
      </c>
      <c r="AA1252" s="423">
        <f t="shared" si="153"/>
        <v>142848</v>
      </c>
      <c r="AB1252" s="411"/>
      <c r="AC1252" s="412">
        <f t="shared" si="150"/>
        <v>0</v>
      </c>
      <c r="AD1252" s="421"/>
      <c r="AE1252" s="413"/>
      <c r="AF1252" s="424">
        <f t="shared" si="151"/>
        <v>142848</v>
      </c>
      <c r="AG1252" s="405" t="s">
        <v>1069</v>
      </c>
      <c r="AH1252" s="405"/>
      <c r="AI1252" s="414">
        <v>60</v>
      </c>
      <c r="AJ1252" s="405" t="s">
        <v>2053</v>
      </c>
      <c r="AK1252" s="425" t="s">
        <v>1136</v>
      </c>
      <c r="AL1252" s="405">
        <v>78218</v>
      </c>
      <c r="AM1252" s="405" t="s">
        <v>52</v>
      </c>
      <c r="AN1252" s="405" t="s">
        <v>50</v>
      </c>
      <c r="AO1252" s="405"/>
      <c r="AP1252" s="417" t="s">
        <v>38</v>
      </c>
      <c r="AQ1252" s="417" t="s">
        <v>37</v>
      </c>
      <c r="AR1252" s="417" t="s">
        <v>1209</v>
      </c>
      <c r="AS1252" s="426"/>
      <c r="AT1252" s="426"/>
      <c r="AU1252" s="426"/>
      <c r="AV1252" s="409">
        <v>0.46500000000000002</v>
      </c>
    </row>
    <row r="1253" spans="1:48" s="402" customFormat="1" ht="15" customHeight="1">
      <c r="A1253" s="403"/>
      <c r="B1253" s="445">
        <v>44911</v>
      </c>
      <c r="C1253" s="445"/>
      <c r="D1253" s="443" t="s">
        <v>2480</v>
      </c>
      <c r="E1253" s="405" t="s">
        <v>2484</v>
      </c>
      <c r="F1253" s="432"/>
      <c r="G1253" s="432"/>
      <c r="H1253" s="432"/>
      <c r="I1253" s="427" t="s">
        <v>1498</v>
      </c>
      <c r="J1253" s="433"/>
      <c r="K1253" s="434" t="s">
        <v>3662</v>
      </c>
      <c r="L1253" s="432" t="s">
        <v>2502</v>
      </c>
      <c r="M1253" s="435">
        <v>44546</v>
      </c>
      <c r="N1253" s="435">
        <v>44713</v>
      </c>
      <c r="O1253" s="435"/>
      <c r="P1253" s="433"/>
      <c r="Q1253" s="433"/>
      <c r="R1253" s="433"/>
      <c r="S1253" s="432" t="s">
        <v>2631</v>
      </c>
      <c r="T1253" s="432">
        <v>60</v>
      </c>
      <c r="U1253" s="432"/>
      <c r="V1253" s="432" t="s">
        <v>985</v>
      </c>
      <c r="W1253" s="432">
        <v>400</v>
      </c>
      <c r="X1253" s="436">
        <v>768</v>
      </c>
      <c r="Y1253" s="422">
        <f t="shared" si="152"/>
        <v>307200</v>
      </c>
      <c r="Z1253" s="409">
        <v>0.46500000000000002</v>
      </c>
      <c r="AA1253" s="423">
        <f t="shared" si="153"/>
        <v>142848</v>
      </c>
      <c r="AB1253" s="411"/>
      <c r="AC1253" s="412">
        <f t="shared" si="150"/>
        <v>0</v>
      </c>
      <c r="AD1253" s="421"/>
      <c r="AE1253" s="413"/>
      <c r="AF1253" s="424">
        <f t="shared" si="151"/>
        <v>142848</v>
      </c>
      <c r="AG1253" s="405" t="s">
        <v>1069</v>
      </c>
      <c r="AH1253" s="405"/>
      <c r="AI1253" s="414">
        <v>60</v>
      </c>
      <c r="AJ1253" s="405" t="s">
        <v>2053</v>
      </c>
      <c r="AK1253" s="425" t="s">
        <v>1136</v>
      </c>
      <c r="AL1253" s="405">
        <v>78218</v>
      </c>
      <c r="AM1253" s="405" t="s">
        <v>52</v>
      </c>
      <c r="AN1253" s="405" t="s">
        <v>50</v>
      </c>
      <c r="AO1253" s="405"/>
      <c r="AP1253" s="417" t="s">
        <v>38</v>
      </c>
      <c r="AQ1253" s="417" t="s">
        <v>37</v>
      </c>
      <c r="AR1253" s="417" t="s">
        <v>1209</v>
      </c>
      <c r="AS1253" s="426"/>
      <c r="AT1253" s="426"/>
      <c r="AU1253" s="426"/>
      <c r="AV1253" s="409">
        <v>0.46500000000000002</v>
      </c>
    </row>
    <row r="1254" spans="1:48" s="402" customFormat="1" ht="15" customHeight="1">
      <c r="A1254" s="403"/>
      <c r="B1254" s="445"/>
      <c r="C1254" s="445"/>
      <c r="D1254" s="443" t="s">
        <v>2480</v>
      </c>
      <c r="E1254" s="405" t="s">
        <v>2484</v>
      </c>
      <c r="F1254" s="432"/>
      <c r="G1254" s="432"/>
      <c r="H1254" s="432"/>
      <c r="I1254" s="427" t="s">
        <v>1498</v>
      </c>
      <c r="J1254" s="433"/>
      <c r="K1254" s="434" t="s">
        <v>3663</v>
      </c>
      <c r="L1254" s="432" t="s">
        <v>2502</v>
      </c>
      <c r="M1254" s="435">
        <v>44547</v>
      </c>
      <c r="N1254" s="435">
        <v>44547</v>
      </c>
      <c r="O1254" s="435"/>
      <c r="P1254" s="433"/>
      <c r="Q1254" s="433"/>
      <c r="R1254" s="433"/>
      <c r="S1254" s="432" t="s">
        <v>2631</v>
      </c>
      <c r="T1254" s="432">
        <v>60</v>
      </c>
      <c r="U1254" s="432"/>
      <c r="V1254" s="432" t="s">
        <v>985</v>
      </c>
      <c r="W1254" s="432">
        <v>400</v>
      </c>
      <c r="X1254" s="436">
        <v>768</v>
      </c>
      <c r="Y1254" s="422">
        <f t="shared" si="152"/>
        <v>307200</v>
      </c>
      <c r="Z1254" s="409">
        <v>0.46500000000000002</v>
      </c>
      <c r="AA1254" s="423">
        <f t="shared" si="153"/>
        <v>142848</v>
      </c>
      <c r="AB1254" s="411"/>
      <c r="AC1254" s="412">
        <f t="shared" si="150"/>
        <v>0</v>
      </c>
      <c r="AD1254" s="421"/>
      <c r="AE1254" s="413"/>
      <c r="AF1254" s="424">
        <f t="shared" si="151"/>
        <v>142848</v>
      </c>
      <c r="AG1254" s="405" t="s">
        <v>1069</v>
      </c>
      <c r="AH1254" s="405"/>
      <c r="AI1254" s="414">
        <v>60</v>
      </c>
      <c r="AJ1254" s="405" t="s">
        <v>2503</v>
      </c>
      <c r="AK1254" s="425" t="s">
        <v>1136</v>
      </c>
      <c r="AL1254" s="405">
        <v>77494</v>
      </c>
      <c r="AM1254" s="405" t="s">
        <v>52</v>
      </c>
      <c r="AN1254" s="405"/>
      <c r="AO1254" s="405"/>
      <c r="AP1254" s="417" t="s">
        <v>38</v>
      </c>
      <c r="AQ1254" s="417" t="s">
        <v>37</v>
      </c>
      <c r="AR1254" s="417" t="s">
        <v>1209</v>
      </c>
      <c r="AS1254" s="426"/>
      <c r="AT1254" s="426"/>
      <c r="AU1254" s="426"/>
      <c r="AV1254" s="409">
        <v>0.46500000000000002</v>
      </c>
    </row>
    <row r="1255" spans="1:48" s="402" customFormat="1" ht="15" customHeight="1">
      <c r="A1255" s="403"/>
      <c r="B1255" s="445"/>
      <c r="C1255" s="445"/>
      <c r="D1255" s="443" t="s">
        <v>2480</v>
      </c>
      <c r="E1255" s="405" t="s">
        <v>2484</v>
      </c>
      <c r="F1255" s="432"/>
      <c r="G1255" s="432"/>
      <c r="H1255" s="432"/>
      <c r="I1255" s="427" t="s">
        <v>1498</v>
      </c>
      <c r="J1255" s="433"/>
      <c r="K1255" s="434" t="s">
        <v>3664</v>
      </c>
      <c r="L1255" s="432" t="s">
        <v>2502</v>
      </c>
      <c r="M1255" s="435">
        <v>44547</v>
      </c>
      <c r="N1255" s="435">
        <v>44547</v>
      </c>
      <c r="O1255" s="435"/>
      <c r="P1255" s="433"/>
      <c r="Q1255" s="433"/>
      <c r="R1255" s="433"/>
      <c r="S1255" s="432" t="s">
        <v>2631</v>
      </c>
      <c r="T1255" s="432">
        <v>60</v>
      </c>
      <c r="U1255" s="432"/>
      <c r="V1255" s="432" t="s">
        <v>985</v>
      </c>
      <c r="W1255" s="432">
        <v>400</v>
      </c>
      <c r="X1255" s="436">
        <v>768</v>
      </c>
      <c r="Y1255" s="422">
        <f t="shared" si="152"/>
        <v>307200</v>
      </c>
      <c r="Z1255" s="409">
        <v>0.46500000000000002</v>
      </c>
      <c r="AA1255" s="423">
        <f t="shared" si="153"/>
        <v>142848</v>
      </c>
      <c r="AB1255" s="411"/>
      <c r="AC1255" s="412">
        <f t="shared" si="150"/>
        <v>0</v>
      </c>
      <c r="AD1255" s="421"/>
      <c r="AE1255" s="413"/>
      <c r="AF1255" s="424">
        <f t="shared" si="151"/>
        <v>142848</v>
      </c>
      <c r="AG1255" s="405" t="s">
        <v>1069</v>
      </c>
      <c r="AH1255" s="405"/>
      <c r="AI1255" s="414">
        <v>60</v>
      </c>
      <c r="AJ1255" s="405" t="s">
        <v>2503</v>
      </c>
      <c r="AK1255" s="425" t="s">
        <v>1136</v>
      </c>
      <c r="AL1255" s="405">
        <v>77494</v>
      </c>
      <c r="AM1255" s="405" t="s">
        <v>52</v>
      </c>
      <c r="AN1255" s="405"/>
      <c r="AO1255" s="405"/>
      <c r="AP1255" s="417" t="s">
        <v>38</v>
      </c>
      <c r="AQ1255" s="417" t="s">
        <v>37</v>
      </c>
      <c r="AR1255" s="417" t="s">
        <v>1209</v>
      </c>
      <c r="AS1255" s="426"/>
      <c r="AT1255" s="426"/>
      <c r="AU1255" s="426"/>
      <c r="AV1255" s="409">
        <v>0.46500000000000002</v>
      </c>
    </row>
    <row r="1256" spans="1:48" s="402" customFormat="1" ht="15" customHeight="1">
      <c r="A1256" s="403"/>
      <c r="B1256" s="445"/>
      <c r="C1256" s="445"/>
      <c r="D1256" s="443" t="s">
        <v>2480</v>
      </c>
      <c r="E1256" s="405" t="s">
        <v>2484</v>
      </c>
      <c r="F1256" s="432"/>
      <c r="G1256" s="432"/>
      <c r="H1256" s="432"/>
      <c r="I1256" s="427" t="s">
        <v>1498</v>
      </c>
      <c r="J1256" s="433"/>
      <c r="K1256" s="434" t="s">
        <v>3665</v>
      </c>
      <c r="L1256" s="432" t="s">
        <v>2502</v>
      </c>
      <c r="M1256" s="435">
        <v>44547</v>
      </c>
      <c r="N1256" s="435">
        <v>44547</v>
      </c>
      <c r="O1256" s="435"/>
      <c r="P1256" s="433"/>
      <c r="Q1256" s="433"/>
      <c r="R1256" s="433"/>
      <c r="S1256" s="432" t="s">
        <v>2631</v>
      </c>
      <c r="T1256" s="432">
        <v>60</v>
      </c>
      <c r="U1256" s="432"/>
      <c r="V1256" s="432" t="s">
        <v>985</v>
      </c>
      <c r="W1256" s="432">
        <v>400</v>
      </c>
      <c r="X1256" s="436">
        <v>768</v>
      </c>
      <c r="Y1256" s="422">
        <f t="shared" si="152"/>
        <v>307200</v>
      </c>
      <c r="Z1256" s="409">
        <v>0.46500000000000002</v>
      </c>
      <c r="AA1256" s="423">
        <f t="shared" si="153"/>
        <v>142848</v>
      </c>
      <c r="AB1256" s="411"/>
      <c r="AC1256" s="412">
        <f t="shared" si="150"/>
        <v>0</v>
      </c>
      <c r="AD1256" s="421"/>
      <c r="AE1256" s="413"/>
      <c r="AF1256" s="424">
        <f t="shared" si="151"/>
        <v>142848</v>
      </c>
      <c r="AG1256" s="405" t="s">
        <v>1069</v>
      </c>
      <c r="AH1256" s="405"/>
      <c r="AI1256" s="414">
        <v>60</v>
      </c>
      <c r="AJ1256" s="405" t="s">
        <v>2503</v>
      </c>
      <c r="AK1256" s="425" t="s">
        <v>1136</v>
      </c>
      <c r="AL1256" s="405">
        <v>77494</v>
      </c>
      <c r="AM1256" s="405" t="s">
        <v>52</v>
      </c>
      <c r="AN1256" s="405"/>
      <c r="AO1256" s="405"/>
      <c r="AP1256" s="417" t="s">
        <v>38</v>
      </c>
      <c r="AQ1256" s="417" t="s">
        <v>37</v>
      </c>
      <c r="AR1256" s="417" t="s">
        <v>1209</v>
      </c>
      <c r="AS1256" s="426"/>
      <c r="AT1256" s="426"/>
      <c r="AU1256" s="426"/>
      <c r="AV1256" s="409">
        <v>0.46500000000000002</v>
      </c>
    </row>
    <row r="1257" spans="1:48" s="402" customFormat="1" ht="15" customHeight="1">
      <c r="A1257" s="403"/>
      <c r="B1257" s="445">
        <v>44606</v>
      </c>
      <c r="C1257" s="445"/>
      <c r="D1257" s="443" t="s">
        <v>2480</v>
      </c>
      <c r="E1257" s="432" t="s">
        <v>2406</v>
      </c>
      <c r="F1257" s="432"/>
      <c r="G1257" s="432"/>
      <c r="H1257" s="432"/>
      <c r="I1257" s="427" t="s">
        <v>1498</v>
      </c>
      <c r="J1257" s="433"/>
      <c r="K1257" s="434" t="s">
        <v>3666</v>
      </c>
      <c r="L1257" s="432" t="s">
        <v>2502</v>
      </c>
      <c r="M1257" s="435">
        <v>44603</v>
      </c>
      <c r="N1257" s="435">
        <v>44743</v>
      </c>
      <c r="O1257" s="435"/>
      <c r="P1257" s="433"/>
      <c r="Q1257" s="433"/>
      <c r="R1257" s="433"/>
      <c r="S1257" s="432" t="s">
        <v>2631</v>
      </c>
      <c r="T1257" s="432">
        <v>60</v>
      </c>
      <c r="U1257" s="432"/>
      <c r="V1257" s="432" t="s">
        <v>973</v>
      </c>
      <c r="W1257" s="432">
        <v>400</v>
      </c>
      <c r="X1257" s="436">
        <v>9216</v>
      </c>
      <c r="Y1257" s="422">
        <f t="shared" si="152"/>
        <v>3686400</v>
      </c>
      <c r="Z1257" s="409">
        <v>0.55000000000000004</v>
      </c>
      <c r="AA1257" s="423">
        <f t="shared" si="153"/>
        <v>2027520.0000000002</v>
      </c>
      <c r="AB1257" s="411"/>
      <c r="AC1257" s="412">
        <f t="shared" si="150"/>
        <v>0</v>
      </c>
      <c r="AD1257" s="421"/>
      <c r="AE1257" s="413"/>
      <c r="AF1257" s="424">
        <f t="shared" si="151"/>
        <v>2027520.0000000002</v>
      </c>
      <c r="AG1257" s="405" t="s">
        <v>1069</v>
      </c>
      <c r="AH1257" s="405"/>
      <c r="AI1257" s="414">
        <v>60</v>
      </c>
      <c r="AJ1257" s="405" t="s">
        <v>2503</v>
      </c>
      <c r="AK1257" s="425" t="s">
        <v>1136</v>
      </c>
      <c r="AL1257" s="405">
        <v>77494</v>
      </c>
      <c r="AM1257" s="405" t="s">
        <v>52</v>
      </c>
      <c r="AN1257" s="405"/>
      <c r="AO1257" s="405"/>
      <c r="AP1257" s="417"/>
      <c r="AQ1257" s="417" t="s">
        <v>37</v>
      </c>
      <c r="AR1257" s="417"/>
      <c r="AS1257" s="426"/>
      <c r="AT1257" s="426"/>
      <c r="AU1257" s="426"/>
      <c r="AV1257" s="409">
        <v>0.46500000000000002</v>
      </c>
    </row>
    <row r="1258" spans="1:48" s="402" customFormat="1" ht="15" customHeight="1">
      <c r="A1258" s="403"/>
      <c r="B1258" s="445">
        <v>44606</v>
      </c>
      <c r="C1258" s="445"/>
      <c r="D1258" s="443" t="s">
        <v>2480</v>
      </c>
      <c r="E1258" s="432" t="s">
        <v>2406</v>
      </c>
      <c r="F1258" s="432"/>
      <c r="G1258" s="432"/>
      <c r="H1258" s="432"/>
      <c r="I1258" s="427" t="s">
        <v>1498</v>
      </c>
      <c r="J1258" s="433"/>
      <c r="K1258" s="434" t="s">
        <v>3667</v>
      </c>
      <c r="L1258" s="432" t="s">
        <v>2502</v>
      </c>
      <c r="M1258" s="435">
        <v>44603</v>
      </c>
      <c r="N1258" s="435">
        <v>44774</v>
      </c>
      <c r="O1258" s="435"/>
      <c r="P1258" s="433"/>
      <c r="Q1258" s="433"/>
      <c r="R1258" s="433"/>
      <c r="S1258" s="432" t="s">
        <v>2631</v>
      </c>
      <c r="T1258" s="432">
        <v>60</v>
      </c>
      <c r="U1258" s="432"/>
      <c r="V1258" s="432" t="s">
        <v>973</v>
      </c>
      <c r="W1258" s="432">
        <v>400</v>
      </c>
      <c r="X1258" s="436">
        <v>9216</v>
      </c>
      <c r="Y1258" s="422">
        <f t="shared" si="152"/>
        <v>3686400</v>
      </c>
      <c r="Z1258" s="409">
        <v>0.55000000000000004</v>
      </c>
      <c r="AA1258" s="423">
        <f t="shared" si="153"/>
        <v>2027520.0000000002</v>
      </c>
      <c r="AB1258" s="411"/>
      <c r="AC1258" s="412">
        <f t="shared" si="150"/>
        <v>0</v>
      </c>
      <c r="AD1258" s="421"/>
      <c r="AE1258" s="413"/>
      <c r="AF1258" s="424">
        <f t="shared" si="151"/>
        <v>2027520.0000000002</v>
      </c>
      <c r="AG1258" s="405" t="s">
        <v>1069</v>
      </c>
      <c r="AH1258" s="405"/>
      <c r="AI1258" s="414">
        <v>60</v>
      </c>
      <c r="AJ1258" s="405" t="s">
        <v>2503</v>
      </c>
      <c r="AK1258" s="425" t="s">
        <v>1136</v>
      </c>
      <c r="AL1258" s="405">
        <v>77494</v>
      </c>
      <c r="AM1258" s="405" t="s">
        <v>52</v>
      </c>
      <c r="AN1258" s="405"/>
      <c r="AO1258" s="405"/>
      <c r="AP1258" s="417"/>
      <c r="AQ1258" s="417" t="s">
        <v>37</v>
      </c>
      <c r="AR1258" s="417"/>
      <c r="AS1258" s="426"/>
      <c r="AT1258" s="426"/>
      <c r="AU1258" s="426"/>
      <c r="AV1258" s="409">
        <v>0.46500000000000002</v>
      </c>
    </row>
    <row r="1259" spans="1:48" s="402" customFormat="1" ht="15" customHeight="1">
      <c r="A1259" s="403"/>
      <c r="B1259" s="445">
        <v>44606</v>
      </c>
      <c r="C1259" s="445"/>
      <c r="D1259" s="443" t="s">
        <v>2480</v>
      </c>
      <c r="E1259" s="432" t="s">
        <v>2406</v>
      </c>
      <c r="F1259" s="432"/>
      <c r="G1259" s="432"/>
      <c r="H1259" s="432"/>
      <c r="I1259" s="427" t="s">
        <v>1498</v>
      </c>
      <c r="J1259" s="433"/>
      <c r="K1259" s="434" t="s">
        <v>3668</v>
      </c>
      <c r="L1259" s="432" t="s">
        <v>2502</v>
      </c>
      <c r="M1259" s="435">
        <v>44603</v>
      </c>
      <c r="N1259" s="435">
        <v>44805</v>
      </c>
      <c r="O1259" s="435"/>
      <c r="P1259" s="433"/>
      <c r="Q1259" s="433"/>
      <c r="R1259" s="433"/>
      <c r="S1259" s="432" t="s">
        <v>2631</v>
      </c>
      <c r="T1259" s="432">
        <v>60</v>
      </c>
      <c r="U1259" s="432"/>
      <c r="V1259" s="432" t="s">
        <v>973</v>
      </c>
      <c r="W1259" s="432">
        <v>400</v>
      </c>
      <c r="X1259" s="436">
        <v>9216</v>
      </c>
      <c r="Y1259" s="422">
        <f t="shared" si="152"/>
        <v>3686400</v>
      </c>
      <c r="Z1259" s="409">
        <v>0.55000000000000004</v>
      </c>
      <c r="AA1259" s="423">
        <f t="shared" si="153"/>
        <v>2027520.0000000002</v>
      </c>
      <c r="AB1259" s="411"/>
      <c r="AC1259" s="412">
        <f t="shared" si="150"/>
        <v>0</v>
      </c>
      <c r="AD1259" s="421"/>
      <c r="AE1259" s="413"/>
      <c r="AF1259" s="424">
        <f t="shared" si="151"/>
        <v>2027520.0000000002</v>
      </c>
      <c r="AG1259" s="405" t="s">
        <v>1069</v>
      </c>
      <c r="AH1259" s="405"/>
      <c r="AI1259" s="414">
        <v>60</v>
      </c>
      <c r="AJ1259" s="405" t="s">
        <v>2503</v>
      </c>
      <c r="AK1259" s="425" t="s">
        <v>1136</v>
      </c>
      <c r="AL1259" s="405">
        <v>77494</v>
      </c>
      <c r="AM1259" s="405" t="s">
        <v>52</v>
      </c>
      <c r="AN1259" s="405"/>
      <c r="AO1259" s="405"/>
      <c r="AP1259" s="417"/>
      <c r="AQ1259" s="417" t="s">
        <v>37</v>
      </c>
      <c r="AR1259" s="417"/>
      <c r="AS1259" s="426"/>
      <c r="AT1259" s="426"/>
      <c r="AU1259" s="426"/>
      <c r="AV1259" s="409">
        <v>0.46500000000000002</v>
      </c>
    </row>
    <row r="1260" spans="1:48" s="402" customFormat="1" ht="15" customHeight="1">
      <c r="A1260" s="403"/>
      <c r="B1260" s="445">
        <v>44606</v>
      </c>
      <c r="C1260" s="445"/>
      <c r="D1260" s="443" t="s">
        <v>2480</v>
      </c>
      <c r="E1260" s="432" t="s">
        <v>2406</v>
      </c>
      <c r="F1260" s="432"/>
      <c r="G1260" s="432"/>
      <c r="H1260" s="432"/>
      <c r="I1260" s="427" t="s">
        <v>1498</v>
      </c>
      <c r="J1260" s="433"/>
      <c r="K1260" s="434" t="s">
        <v>3669</v>
      </c>
      <c r="L1260" s="432" t="s">
        <v>2502</v>
      </c>
      <c r="M1260" s="435">
        <v>44603</v>
      </c>
      <c r="N1260" s="435">
        <v>44835</v>
      </c>
      <c r="O1260" s="435"/>
      <c r="P1260" s="433"/>
      <c r="Q1260" s="433"/>
      <c r="R1260" s="433"/>
      <c r="S1260" s="432" t="s">
        <v>2631</v>
      </c>
      <c r="T1260" s="432">
        <v>60</v>
      </c>
      <c r="U1260" s="432"/>
      <c r="V1260" s="432" t="s">
        <v>973</v>
      </c>
      <c r="W1260" s="432">
        <v>400</v>
      </c>
      <c r="X1260" s="436">
        <v>9216</v>
      </c>
      <c r="Y1260" s="422">
        <f t="shared" si="152"/>
        <v>3686400</v>
      </c>
      <c r="Z1260" s="409">
        <v>0.55000000000000004</v>
      </c>
      <c r="AA1260" s="423">
        <f t="shared" si="153"/>
        <v>2027520.0000000002</v>
      </c>
      <c r="AB1260" s="411"/>
      <c r="AC1260" s="412">
        <f t="shared" si="150"/>
        <v>0</v>
      </c>
      <c r="AD1260" s="421"/>
      <c r="AE1260" s="413"/>
      <c r="AF1260" s="424">
        <f t="shared" si="151"/>
        <v>2027520.0000000002</v>
      </c>
      <c r="AG1260" s="405" t="s">
        <v>1069</v>
      </c>
      <c r="AH1260" s="405"/>
      <c r="AI1260" s="414">
        <v>60</v>
      </c>
      <c r="AJ1260" s="405" t="s">
        <v>2503</v>
      </c>
      <c r="AK1260" s="425" t="s">
        <v>1136</v>
      </c>
      <c r="AL1260" s="405">
        <v>77494</v>
      </c>
      <c r="AM1260" s="405" t="s">
        <v>52</v>
      </c>
      <c r="AN1260" s="405"/>
      <c r="AO1260" s="405"/>
      <c r="AP1260" s="417"/>
      <c r="AQ1260" s="417" t="s">
        <v>37</v>
      </c>
      <c r="AR1260" s="417"/>
      <c r="AS1260" s="426"/>
      <c r="AT1260" s="426"/>
      <c r="AU1260" s="426"/>
      <c r="AV1260" s="409">
        <v>0.46500000000000002</v>
      </c>
    </row>
    <row r="1261" spans="1:48" s="402" customFormat="1" ht="15" customHeight="1">
      <c r="A1261" s="403"/>
      <c r="B1261" s="445">
        <v>44606</v>
      </c>
      <c r="C1261" s="445"/>
      <c r="D1261" s="443" t="s">
        <v>2480</v>
      </c>
      <c r="E1261" s="432" t="s">
        <v>2406</v>
      </c>
      <c r="F1261" s="432"/>
      <c r="G1261" s="432"/>
      <c r="H1261" s="432"/>
      <c r="I1261" s="427" t="s">
        <v>1498</v>
      </c>
      <c r="J1261" s="433"/>
      <c r="K1261" s="434" t="s">
        <v>3670</v>
      </c>
      <c r="L1261" s="432" t="s">
        <v>2502</v>
      </c>
      <c r="M1261" s="435">
        <v>44603</v>
      </c>
      <c r="N1261" s="435">
        <v>44866</v>
      </c>
      <c r="O1261" s="435"/>
      <c r="P1261" s="433"/>
      <c r="Q1261" s="433"/>
      <c r="R1261" s="433"/>
      <c r="S1261" s="432" t="s">
        <v>2631</v>
      </c>
      <c r="T1261" s="432">
        <v>60</v>
      </c>
      <c r="U1261" s="432"/>
      <c r="V1261" s="432" t="s">
        <v>973</v>
      </c>
      <c r="W1261" s="432">
        <v>400</v>
      </c>
      <c r="X1261" s="436">
        <v>9216</v>
      </c>
      <c r="Y1261" s="422">
        <f t="shared" si="152"/>
        <v>3686400</v>
      </c>
      <c r="Z1261" s="409">
        <v>0.55000000000000004</v>
      </c>
      <c r="AA1261" s="423">
        <f t="shared" si="153"/>
        <v>2027520.0000000002</v>
      </c>
      <c r="AB1261" s="411"/>
      <c r="AC1261" s="412">
        <f t="shared" si="150"/>
        <v>0</v>
      </c>
      <c r="AD1261" s="421"/>
      <c r="AE1261" s="413"/>
      <c r="AF1261" s="424">
        <f t="shared" si="151"/>
        <v>2027520.0000000002</v>
      </c>
      <c r="AG1261" s="405" t="s">
        <v>1069</v>
      </c>
      <c r="AH1261" s="405"/>
      <c r="AI1261" s="414">
        <v>60</v>
      </c>
      <c r="AJ1261" s="405" t="s">
        <v>2503</v>
      </c>
      <c r="AK1261" s="425" t="s">
        <v>1136</v>
      </c>
      <c r="AL1261" s="405">
        <v>77494</v>
      </c>
      <c r="AM1261" s="405" t="s">
        <v>52</v>
      </c>
      <c r="AN1261" s="405"/>
      <c r="AO1261" s="405"/>
      <c r="AP1261" s="417"/>
      <c r="AQ1261" s="417" t="s">
        <v>37</v>
      </c>
      <c r="AR1261" s="417"/>
      <c r="AS1261" s="426"/>
      <c r="AT1261" s="426"/>
      <c r="AU1261" s="426"/>
      <c r="AV1261" s="409">
        <v>0.46500000000000002</v>
      </c>
    </row>
    <row r="1262" spans="1:48" s="402" customFormat="1" ht="15" customHeight="1">
      <c r="A1262" s="403"/>
      <c r="B1262" s="445">
        <v>44606</v>
      </c>
      <c r="C1262" s="445"/>
      <c r="D1262" s="443" t="s">
        <v>2480</v>
      </c>
      <c r="E1262" s="432" t="s">
        <v>2406</v>
      </c>
      <c r="F1262" s="432"/>
      <c r="G1262" s="432"/>
      <c r="H1262" s="432"/>
      <c r="I1262" s="427" t="s">
        <v>1498</v>
      </c>
      <c r="J1262" s="433"/>
      <c r="K1262" s="434" t="s">
        <v>3671</v>
      </c>
      <c r="L1262" s="432" t="s">
        <v>2502</v>
      </c>
      <c r="M1262" s="435">
        <v>44603</v>
      </c>
      <c r="N1262" s="435">
        <v>44896</v>
      </c>
      <c r="O1262" s="435"/>
      <c r="P1262" s="433"/>
      <c r="Q1262" s="433"/>
      <c r="R1262" s="433"/>
      <c r="S1262" s="432" t="s">
        <v>2631</v>
      </c>
      <c r="T1262" s="432">
        <v>60</v>
      </c>
      <c r="U1262" s="432"/>
      <c r="V1262" s="432" t="s">
        <v>973</v>
      </c>
      <c r="W1262" s="432">
        <v>400</v>
      </c>
      <c r="X1262" s="436">
        <v>9216</v>
      </c>
      <c r="Y1262" s="422">
        <f t="shared" si="152"/>
        <v>3686400</v>
      </c>
      <c r="Z1262" s="409">
        <v>0.55000000000000004</v>
      </c>
      <c r="AA1262" s="423">
        <f t="shared" si="153"/>
        <v>2027520.0000000002</v>
      </c>
      <c r="AB1262" s="411"/>
      <c r="AC1262" s="412">
        <f t="shared" si="150"/>
        <v>0</v>
      </c>
      <c r="AD1262" s="421"/>
      <c r="AE1262" s="413"/>
      <c r="AF1262" s="424">
        <f t="shared" si="151"/>
        <v>2027520.0000000002</v>
      </c>
      <c r="AG1262" s="405" t="s">
        <v>1069</v>
      </c>
      <c r="AH1262" s="405"/>
      <c r="AI1262" s="414">
        <v>60</v>
      </c>
      <c r="AJ1262" s="405" t="s">
        <v>2503</v>
      </c>
      <c r="AK1262" s="425" t="s">
        <v>1136</v>
      </c>
      <c r="AL1262" s="405">
        <v>77494</v>
      </c>
      <c r="AM1262" s="405" t="s">
        <v>52</v>
      </c>
      <c r="AN1262" s="405"/>
      <c r="AO1262" s="405"/>
      <c r="AP1262" s="417"/>
      <c r="AQ1262" s="417" t="s">
        <v>37</v>
      </c>
      <c r="AR1262" s="417"/>
      <c r="AS1262" s="426"/>
      <c r="AT1262" s="426"/>
      <c r="AU1262" s="426"/>
      <c r="AV1262" s="409">
        <v>0.46500000000000002</v>
      </c>
    </row>
    <row r="1263" spans="1:48" s="402" customFormat="1" ht="15" customHeight="1">
      <c r="A1263" s="403"/>
      <c r="B1263" s="445">
        <v>44635</v>
      </c>
      <c r="C1263" s="445"/>
      <c r="D1263" s="443" t="s">
        <v>2480</v>
      </c>
      <c r="E1263" s="432" t="s">
        <v>2544</v>
      </c>
      <c r="F1263" s="432"/>
      <c r="G1263" s="432">
        <v>2022</v>
      </c>
      <c r="H1263" s="432"/>
      <c r="I1263" s="427" t="s">
        <v>1498</v>
      </c>
      <c r="J1263" s="433"/>
      <c r="K1263" s="434" t="s">
        <v>3672</v>
      </c>
      <c r="L1263" s="432" t="s">
        <v>2502</v>
      </c>
      <c r="M1263" s="435">
        <v>44635</v>
      </c>
      <c r="N1263" s="435">
        <v>44743</v>
      </c>
      <c r="O1263" s="435"/>
      <c r="P1263" s="433"/>
      <c r="Q1263" s="433"/>
      <c r="R1263" s="433"/>
      <c r="S1263" s="432" t="s">
        <v>2631</v>
      </c>
      <c r="T1263" s="432">
        <v>60</v>
      </c>
      <c r="U1263" s="432"/>
      <c r="V1263" s="432" t="s">
        <v>973</v>
      </c>
      <c r="W1263" s="432">
        <v>400</v>
      </c>
      <c r="X1263" s="436">
        <v>768</v>
      </c>
      <c r="Y1263" s="422">
        <f t="shared" si="152"/>
        <v>307200</v>
      </c>
      <c r="Z1263" s="409">
        <v>0.55000000000000004</v>
      </c>
      <c r="AA1263" s="423">
        <f t="shared" si="153"/>
        <v>168960</v>
      </c>
      <c r="AB1263" s="411"/>
      <c r="AC1263" s="412">
        <f t="shared" si="150"/>
        <v>0</v>
      </c>
      <c r="AD1263" s="421"/>
      <c r="AE1263" s="413"/>
      <c r="AF1263" s="424">
        <f t="shared" si="151"/>
        <v>168960</v>
      </c>
      <c r="AG1263" s="405" t="s">
        <v>1069</v>
      </c>
      <c r="AH1263" s="405"/>
      <c r="AI1263" s="414">
        <v>60</v>
      </c>
      <c r="AJ1263" s="405" t="s">
        <v>2503</v>
      </c>
      <c r="AK1263" s="425" t="s">
        <v>1136</v>
      </c>
      <c r="AL1263" s="405">
        <v>77494</v>
      </c>
      <c r="AM1263" s="405" t="s">
        <v>52</v>
      </c>
      <c r="AN1263" s="405"/>
      <c r="AO1263" s="405"/>
      <c r="AP1263" s="417"/>
      <c r="AQ1263" s="417" t="s">
        <v>37</v>
      </c>
      <c r="AR1263" s="417"/>
      <c r="AS1263" s="426"/>
      <c r="AT1263" s="426"/>
      <c r="AU1263" s="426"/>
      <c r="AV1263" s="409">
        <v>0.46500000000000002</v>
      </c>
    </row>
    <row r="1264" spans="1:48" s="402" customFormat="1" ht="15" customHeight="1">
      <c r="A1264" s="403"/>
      <c r="B1264" s="445">
        <v>44635</v>
      </c>
      <c r="C1264" s="445"/>
      <c r="D1264" s="443" t="s">
        <v>2480</v>
      </c>
      <c r="E1264" s="432" t="s">
        <v>2544</v>
      </c>
      <c r="F1264" s="432"/>
      <c r="G1264" s="432">
        <v>2022</v>
      </c>
      <c r="H1264" s="432"/>
      <c r="I1264" s="427" t="s">
        <v>1498</v>
      </c>
      <c r="J1264" s="433"/>
      <c r="K1264" s="434" t="s">
        <v>3673</v>
      </c>
      <c r="L1264" s="432" t="s">
        <v>2502</v>
      </c>
      <c r="M1264" s="435">
        <v>44635</v>
      </c>
      <c r="N1264" s="435">
        <v>44835</v>
      </c>
      <c r="O1264" s="435"/>
      <c r="P1264" s="433"/>
      <c r="Q1264" s="433"/>
      <c r="R1264" s="433"/>
      <c r="S1264" s="432" t="s">
        <v>2631</v>
      </c>
      <c r="T1264" s="432">
        <v>60</v>
      </c>
      <c r="U1264" s="432"/>
      <c r="V1264" s="432" t="s">
        <v>973</v>
      </c>
      <c r="W1264" s="432">
        <v>400</v>
      </c>
      <c r="X1264" s="436">
        <v>768</v>
      </c>
      <c r="Y1264" s="422">
        <f t="shared" si="152"/>
        <v>307200</v>
      </c>
      <c r="Z1264" s="409">
        <v>0.55000000000000004</v>
      </c>
      <c r="AA1264" s="423">
        <f t="shared" si="153"/>
        <v>168960</v>
      </c>
      <c r="AB1264" s="411"/>
      <c r="AC1264" s="412">
        <f t="shared" si="150"/>
        <v>0</v>
      </c>
      <c r="AD1264" s="421"/>
      <c r="AE1264" s="413"/>
      <c r="AF1264" s="424">
        <f t="shared" si="151"/>
        <v>168960</v>
      </c>
      <c r="AG1264" s="405" t="s">
        <v>1069</v>
      </c>
      <c r="AH1264" s="405"/>
      <c r="AI1264" s="414">
        <v>60</v>
      </c>
      <c r="AJ1264" s="405" t="s">
        <v>2503</v>
      </c>
      <c r="AK1264" s="425" t="s">
        <v>1136</v>
      </c>
      <c r="AL1264" s="405">
        <v>77494</v>
      </c>
      <c r="AM1264" s="405" t="s">
        <v>52</v>
      </c>
      <c r="AN1264" s="405"/>
      <c r="AO1264" s="405"/>
      <c r="AP1264" s="417"/>
      <c r="AQ1264" s="417" t="s">
        <v>37</v>
      </c>
      <c r="AR1264" s="417"/>
      <c r="AS1264" s="426"/>
      <c r="AT1264" s="426"/>
      <c r="AU1264" s="426"/>
      <c r="AV1264" s="409">
        <v>0.46500000000000002</v>
      </c>
    </row>
    <row r="1265" spans="1:48" s="402" customFormat="1" ht="15" customHeight="1">
      <c r="A1265" s="403"/>
      <c r="B1265" s="445">
        <v>44635</v>
      </c>
      <c r="C1265" s="445"/>
      <c r="D1265" s="443" t="s">
        <v>2480</v>
      </c>
      <c r="E1265" s="432" t="s">
        <v>2544</v>
      </c>
      <c r="F1265" s="432"/>
      <c r="G1265" s="432">
        <v>2022</v>
      </c>
      <c r="H1265" s="432"/>
      <c r="I1265" s="427" t="s">
        <v>1498</v>
      </c>
      <c r="J1265" s="433"/>
      <c r="K1265" s="434" t="s">
        <v>3674</v>
      </c>
      <c r="L1265" s="432" t="s">
        <v>2502</v>
      </c>
      <c r="M1265" s="435">
        <v>44635</v>
      </c>
      <c r="N1265" s="435">
        <v>44866</v>
      </c>
      <c r="O1265" s="435"/>
      <c r="P1265" s="433"/>
      <c r="Q1265" s="433"/>
      <c r="R1265" s="433"/>
      <c r="S1265" s="432" t="s">
        <v>2631</v>
      </c>
      <c r="T1265" s="432">
        <v>60</v>
      </c>
      <c r="U1265" s="432"/>
      <c r="V1265" s="432" t="s">
        <v>973</v>
      </c>
      <c r="W1265" s="432">
        <v>400</v>
      </c>
      <c r="X1265" s="436">
        <v>768</v>
      </c>
      <c r="Y1265" s="422">
        <f t="shared" si="152"/>
        <v>307200</v>
      </c>
      <c r="Z1265" s="409">
        <v>0.55000000000000004</v>
      </c>
      <c r="AA1265" s="423">
        <f t="shared" si="153"/>
        <v>168960</v>
      </c>
      <c r="AB1265" s="411"/>
      <c r="AC1265" s="412">
        <f t="shared" si="150"/>
        <v>0</v>
      </c>
      <c r="AD1265" s="421"/>
      <c r="AE1265" s="413"/>
      <c r="AF1265" s="424">
        <f t="shared" si="151"/>
        <v>168960</v>
      </c>
      <c r="AG1265" s="405" t="s">
        <v>1069</v>
      </c>
      <c r="AH1265" s="405"/>
      <c r="AI1265" s="414">
        <v>60</v>
      </c>
      <c r="AJ1265" s="405" t="s">
        <v>2503</v>
      </c>
      <c r="AK1265" s="425" t="s">
        <v>1136</v>
      </c>
      <c r="AL1265" s="405">
        <v>77494</v>
      </c>
      <c r="AM1265" s="405" t="s">
        <v>52</v>
      </c>
      <c r="AN1265" s="405"/>
      <c r="AO1265" s="405"/>
      <c r="AP1265" s="417"/>
      <c r="AQ1265" s="417" t="s">
        <v>37</v>
      </c>
      <c r="AR1265" s="417"/>
      <c r="AS1265" s="426"/>
      <c r="AT1265" s="426"/>
      <c r="AU1265" s="426"/>
      <c r="AV1265" s="409">
        <v>0.46500000000000002</v>
      </c>
    </row>
    <row r="1266" spans="1:48" s="402" customFormat="1" ht="15" customHeight="1">
      <c r="A1266" s="403"/>
      <c r="B1266" s="445">
        <v>44645</v>
      </c>
      <c r="C1266" s="445"/>
      <c r="D1266" s="443" t="s">
        <v>2480</v>
      </c>
      <c r="E1266" s="432" t="s">
        <v>2544</v>
      </c>
      <c r="F1266" s="432"/>
      <c r="G1266" s="432">
        <v>2022</v>
      </c>
      <c r="H1266" s="432"/>
      <c r="I1266" s="427" t="s">
        <v>1498</v>
      </c>
      <c r="J1266" s="433"/>
      <c r="K1266" s="434" t="s">
        <v>3675</v>
      </c>
      <c r="L1266" s="432" t="s">
        <v>2502</v>
      </c>
      <c r="M1266" s="435">
        <v>44645</v>
      </c>
      <c r="N1266" s="435">
        <v>44774</v>
      </c>
      <c r="O1266" s="435"/>
      <c r="P1266" s="433"/>
      <c r="Q1266" s="433"/>
      <c r="R1266" s="433"/>
      <c r="S1266" s="432" t="s">
        <v>2631</v>
      </c>
      <c r="T1266" s="432">
        <v>60</v>
      </c>
      <c r="U1266" s="432"/>
      <c r="V1266" s="432" t="s">
        <v>973</v>
      </c>
      <c r="W1266" s="432">
        <v>400</v>
      </c>
      <c r="X1266" s="436">
        <v>768</v>
      </c>
      <c r="Y1266" s="422">
        <f t="shared" si="152"/>
        <v>307200</v>
      </c>
      <c r="Z1266" s="409">
        <v>0.55000000000000004</v>
      </c>
      <c r="AA1266" s="423">
        <f t="shared" si="153"/>
        <v>168960</v>
      </c>
      <c r="AB1266" s="411"/>
      <c r="AC1266" s="412">
        <f t="shared" si="150"/>
        <v>0</v>
      </c>
      <c r="AD1266" s="421"/>
      <c r="AE1266" s="413"/>
      <c r="AF1266" s="424">
        <f t="shared" si="151"/>
        <v>168960</v>
      </c>
      <c r="AG1266" s="405" t="s">
        <v>1069</v>
      </c>
      <c r="AH1266" s="405"/>
      <c r="AI1266" s="414">
        <v>60</v>
      </c>
      <c r="AJ1266" s="405" t="s">
        <v>2503</v>
      </c>
      <c r="AK1266" s="425" t="s">
        <v>1136</v>
      </c>
      <c r="AL1266" s="405">
        <v>77494</v>
      </c>
      <c r="AM1266" s="405" t="s">
        <v>52</v>
      </c>
      <c r="AN1266" s="405"/>
      <c r="AO1266" s="405"/>
      <c r="AP1266" s="417"/>
      <c r="AQ1266" s="417" t="s">
        <v>37</v>
      </c>
      <c r="AR1266" s="417" t="s">
        <v>2800</v>
      </c>
      <c r="AS1266" s="426"/>
      <c r="AT1266" s="426"/>
      <c r="AU1266" s="426"/>
      <c r="AV1266" s="409">
        <v>0.46500000000000002</v>
      </c>
    </row>
    <row r="1267" spans="1:48" s="402" customFormat="1" ht="15" customHeight="1">
      <c r="A1267" s="403"/>
      <c r="B1267" s="445">
        <v>44645</v>
      </c>
      <c r="C1267" s="445"/>
      <c r="D1267" s="443" t="s">
        <v>2480</v>
      </c>
      <c r="E1267" s="432" t="s">
        <v>2544</v>
      </c>
      <c r="F1267" s="432"/>
      <c r="G1267" s="432">
        <v>2022</v>
      </c>
      <c r="H1267" s="432"/>
      <c r="I1267" s="427" t="s">
        <v>1498</v>
      </c>
      <c r="J1267" s="433"/>
      <c r="K1267" s="434" t="s">
        <v>3676</v>
      </c>
      <c r="L1267" s="432" t="s">
        <v>2502</v>
      </c>
      <c r="M1267" s="435">
        <v>44645</v>
      </c>
      <c r="N1267" s="435">
        <v>44774</v>
      </c>
      <c r="O1267" s="435"/>
      <c r="P1267" s="433"/>
      <c r="Q1267" s="433"/>
      <c r="R1267" s="433"/>
      <c r="S1267" s="432" t="s">
        <v>2631</v>
      </c>
      <c r="T1267" s="432">
        <v>60</v>
      </c>
      <c r="U1267" s="432"/>
      <c r="V1267" s="432" t="s">
        <v>973</v>
      </c>
      <c r="W1267" s="432">
        <v>400</v>
      </c>
      <c r="X1267" s="436">
        <v>768</v>
      </c>
      <c r="Y1267" s="422">
        <f t="shared" si="152"/>
        <v>307200</v>
      </c>
      <c r="Z1267" s="409">
        <v>0.55000000000000004</v>
      </c>
      <c r="AA1267" s="423">
        <f t="shared" si="153"/>
        <v>168960</v>
      </c>
      <c r="AB1267" s="411"/>
      <c r="AC1267" s="412">
        <f t="shared" si="150"/>
        <v>0</v>
      </c>
      <c r="AD1267" s="421"/>
      <c r="AE1267" s="413"/>
      <c r="AF1267" s="424">
        <f t="shared" si="151"/>
        <v>168960</v>
      </c>
      <c r="AG1267" s="405" t="s">
        <v>1069</v>
      </c>
      <c r="AH1267" s="405"/>
      <c r="AI1267" s="414">
        <v>60</v>
      </c>
      <c r="AJ1267" s="405" t="s">
        <v>2503</v>
      </c>
      <c r="AK1267" s="425" t="s">
        <v>1136</v>
      </c>
      <c r="AL1267" s="405">
        <v>77494</v>
      </c>
      <c r="AM1267" s="405" t="s">
        <v>52</v>
      </c>
      <c r="AN1267" s="405"/>
      <c r="AO1267" s="405"/>
      <c r="AP1267" s="417"/>
      <c r="AQ1267" s="417" t="s">
        <v>37</v>
      </c>
      <c r="AR1267" s="417" t="s">
        <v>2800</v>
      </c>
      <c r="AS1267" s="426"/>
      <c r="AT1267" s="426"/>
      <c r="AU1267" s="426"/>
      <c r="AV1267" s="409">
        <v>0.46500000000000002</v>
      </c>
    </row>
    <row r="1268" spans="1:48" s="402" customFormat="1" ht="15" customHeight="1">
      <c r="A1268" s="403"/>
      <c r="B1268" s="445">
        <v>44645</v>
      </c>
      <c r="C1268" s="445"/>
      <c r="D1268" s="443" t="s">
        <v>2480</v>
      </c>
      <c r="E1268" s="432" t="s">
        <v>2544</v>
      </c>
      <c r="F1268" s="432"/>
      <c r="G1268" s="432">
        <v>2022</v>
      </c>
      <c r="H1268" s="432"/>
      <c r="I1268" s="427" t="s">
        <v>1498</v>
      </c>
      <c r="J1268" s="433"/>
      <c r="K1268" s="434" t="s">
        <v>3677</v>
      </c>
      <c r="L1268" s="432" t="s">
        <v>2502</v>
      </c>
      <c r="M1268" s="435">
        <v>44635</v>
      </c>
      <c r="N1268" s="435">
        <v>44805</v>
      </c>
      <c r="O1268" s="435"/>
      <c r="P1268" s="433"/>
      <c r="Q1268" s="433"/>
      <c r="R1268" s="433"/>
      <c r="S1268" s="432" t="s">
        <v>2631</v>
      </c>
      <c r="T1268" s="432">
        <v>60</v>
      </c>
      <c r="U1268" s="432"/>
      <c r="V1268" s="432" t="s">
        <v>973</v>
      </c>
      <c r="W1268" s="432">
        <v>400</v>
      </c>
      <c r="X1268" s="436">
        <v>768</v>
      </c>
      <c r="Y1268" s="422">
        <f t="shared" si="152"/>
        <v>307200</v>
      </c>
      <c r="Z1268" s="409">
        <v>0.55000000000000004</v>
      </c>
      <c r="AA1268" s="423">
        <f t="shared" si="153"/>
        <v>168960</v>
      </c>
      <c r="AB1268" s="411"/>
      <c r="AC1268" s="412">
        <f t="shared" si="150"/>
        <v>0</v>
      </c>
      <c r="AD1268" s="421"/>
      <c r="AE1268" s="413"/>
      <c r="AF1268" s="424">
        <f t="shared" si="151"/>
        <v>168960</v>
      </c>
      <c r="AG1268" s="405" t="s">
        <v>1069</v>
      </c>
      <c r="AH1268" s="405"/>
      <c r="AI1268" s="414">
        <v>60</v>
      </c>
      <c r="AJ1268" s="405" t="s">
        <v>2503</v>
      </c>
      <c r="AK1268" s="425" t="s">
        <v>1136</v>
      </c>
      <c r="AL1268" s="405">
        <v>77494</v>
      </c>
      <c r="AM1268" s="405" t="s">
        <v>52</v>
      </c>
      <c r="AN1268" s="405"/>
      <c r="AO1268" s="405"/>
      <c r="AP1268" s="417"/>
      <c r="AQ1268" s="417" t="s">
        <v>37</v>
      </c>
      <c r="AR1268" s="417" t="s">
        <v>2800</v>
      </c>
      <c r="AS1268" s="426"/>
      <c r="AT1268" s="426"/>
      <c r="AU1268" s="426"/>
      <c r="AV1268" s="409">
        <v>0.46500000000000002</v>
      </c>
    </row>
    <row r="1269" spans="1:48" s="402" customFormat="1" ht="15" customHeight="1">
      <c r="A1269" s="403"/>
      <c r="B1269" s="445">
        <v>44645</v>
      </c>
      <c r="C1269" s="445"/>
      <c r="D1269" s="443" t="s">
        <v>2480</v>
      </c>
      <c r="E1269" s="432" t="s">
        <v>2544</v>
      </c>
      <c r="F1269" s="432"/>
      <c r="G1269" s="432">
        <v>2022</v>
      </c>
      <c r="H1269" s="432"/>
      <c r="I1269" s="427" t="s">
        <v>1498</v>
      </c>
      <c r="J1269" s="433"/>
      <c r="K1269" s="434" t="s">
        <v>3678</v>
      </c>
      <c r="L1269" s="432" t="s">
        <v>2502</v>
      </c>
      <c r="M1269" s="435">
        <v>44635</v>
      </c>
      <c r="N1269" s="435">
        <v>44805</v>
      </c>
      <c r="O1269" s="435"/>
      <c r="P1269" s="433"/>
      <c r="Q1269" s="433"/>
      <c r="R1269" s="433"/>
      <c r="S1269" s="432" t="s">
        <v>2631</v>
      </c>
      <c r="T1269" s="432">
        <v>60</v>
      </c>
      <c r="U1269" s="432"/>
      <c r="V1269" s="432" t="s">
        <v>973</v>
      </c>
      <c r="W1269" s="432">
        <v>400</v>
      </c>
      <c r="X1269" s="436">
        <v>768</v>
      </c>
      <c r="Y1269" s="422">
        <f t="shared" si="152"/>
        <v>307200</v>
      </c>
      <c r="Z1269" s="409">
        <v>0.55000000000000004</v>
      </c>
      <c r="AA1269" s="423">
        <f t="shared" si="153"/>
        <v>168960</v>
      </c>
      <c r="AB1269" s="411"/>
      <c r="AC1269" s="412">
        <f t="shared" si="150"/>
        <v>0</v>
      </c>
      <c r="AD1269" s="421"/>
      <c r="AE1269" s="413"/>
      <c r="AF1269" s="424">
        <f t="shared" si="151"/>
        <v>168960</v>
      </c>
      <c r="AG1269" s="405" t="s">
        <v>1069</v>
      </c>
      <c r="AH1269" s="405"/>
      <c r="AI1269" s="414">
        <v>60</v>
      </c>
      <c r="AJ1269" s="405" t="s">
        <v>2503</v>
      </c>
      <c r="AK1269" s="425" t="s">
        <v>1136</v>
      </c>
      <c r="AL1269" s="405">
        <v>77494</v>
      </c>
      <c r="AM1269" s="405" t="s">
        <v>52</v>
      </c>
      <c r="AN1269" s="405"/>
      <c r="AO1269" s="405"/>
      <c r="AP1269" s="417"/>
      <c r="AQ1269" s="417" t="s">
        <v>37</v>
      </c>
      <c r="AR1269" s="417" t="s">
        <v>2800</v>
      </c>
      <c r="AS1269" s="426"/>
      <c r="AT1269" s="426"/>
      <c r="AU1269" s="426"/>
      <c r="AV1269" s="409">
        <v>0.46500000000000002</v>
      </c>
    </row>
    <row r="1270" spans="1:48" s="402" customFormat="1" ht="15" customHeight="1">
      <c r="A1270" s="403"/>
      <c r="B1270" s="445">
        <v>44645</v>
      </c>
      <c r="C1270" s="445"/>
      <c r="D1270" s="443" t="s">
        <v>2480</v>
      </c>
      <c r="E1270" s="432" t="s">
        <v>2544</v>
      </c>
      <c r="F1270" s="432"/>
      <c r="G1270" s="432">
        <v>2022</v>
      </c>
      <c r="H1270" s="432"/>
      <c r="I1270" s="427" t="s">
        <v>1498</v>
      </c>
      <c r="J1270" s="433"/>
      <c r="K1270" s="434" t="s">
        <v>3679</v>
      </c>
      <c r="L1270" s="432" t="s">
        <v>2502</v>
      </c>
      <c r="M1270" s="435">
        <v>44635</v>
      </c>
      <c r="N1270" s="435">
        <v>44713</v>
      </c>
      <c r="O1270" s="435"/>
      <c r="P1270" s="433"/>
      <c r="Q1270" s="433"/>
      <c r="R1270" s="433"/>
      <c r="S1270" s="432" t="s">
        <v>2631</v>
      </c>
      <c r="T1270" s="432">
        <v>60</v>
      </c>
      <c r="U1270" s="432"/>
      <c r="V1270" s="432" t="s">
        <v>973</v>
      </c>
      <c r="W1270" s="432">
        <v>400</v>
      </c>
      <c r="X1270" s="436">
        <v>768</v>
      </c>
      <c r="Y1270" s="422">
        <f t="shared" si="152"/>
        <v>307200</v>
      </c>
      <c r="Z1270" s="409">
        <v>0.55000000000000004</v>
      </c>
      <c r="AA1270" s="423">
        <f t="shared" si="153"/>
        <v>168960</v>
      </c>
      <c r="AB1270" s="411"/>
      <c r="AC1270" s="412">
        <f t="shared" si="150"/>
        <v>0</v>
      </c>
      <c r="AD1270" s="421"/>
      <c r="AE1270" s="413"/>
      <c r="AF1270" s="424">
        <f t="shared" si="151"/>
        <v>168960</v>
      </c>
      <c r="AG1270" s="405" t="s">
        <v>1069</v>
      </c>
      <c r="AH1270" s="405"/>
      <c r="AI1270" s="414">
        <v>60</v>
      </c>
      <c r="AJ1270" s="405" t="s">
        <v>2503</v>
      </c>
      <c r="AK1270" s="425" t="s">
        <v>1136</v>
      </c>
      <c r="AL1270" s="405">
        <v>77494</v>
      </c>
      <c r="AM1270" s="405" t="s">
        <v>52</v>
      </c>
      <c r="AN1270" s="405"/>
      <c r="AO1270" s="405"/>
      <c r="AP1270" s="417"/>
      <c r="AQ1270" s="417" t="s">
        <v>37</v>
      </c>
      <c r="AR1270" s="417" t="s">
        <v>2800</v>
      </c>
      <c r="AS1270" s="426"/>
      <c r="AT1270" s="426"/>
      <c r="AU1270" s="426"/>
      <c r="AV1270" s="409">
        <v>0.46500000000000002</v>
      </c>
    </row>
    <row r="1271" spans="1:48" s="402" customFormat="1" ht="15" customHeight="1">
      <c r="A1271" s="403"/>
      <c r="B1271" s="445">
        <v>44645</v>
      </c>
      <c r="C1271" s="445"/>
      <c r="D1271" s="443" t="s">
        <v>2480</v>
      </c>
      <c r="E1271" s="432" t="s">
        <v>2544</v>
      </c>
      <c r="F1271" s="432"/>
      <c r="G1271" s="432">
        <v>2022</v>
      </c>
      <c r="H1271" s="432"/>
      <c r="I1271" s="427" t="s">
        <v>1498</v>
      </c>
      <c r="J1271" s="433"/>
      <c r="K1271" s="434" t="s">
        <v>3680</v>
      </c>
      <c r="L1271" s="432" t="s">
        <v>2502</v>
      </c>
      <c r="M1271" s="435">
        <v>44635</v>
      </c>
      <c r="N1271" s="435">
        <v>44713</v>
      </c>
      <c r="O1271" s="435"/>
      <c r="P1271" s="433"/>
      <c r="Q1271" s="433"/>
      <c r="R1271" s="433"/>
      <c r="S1271" s="432" t="s">
        <v>2631</v>
      </c>
      <c r="T1271" s="432">
        <v>60</v>
      </c>
      <c r="U1271" s="432"/>
      <c r="V1271" s="432" t="s">
        <v>973</v>
      </c>
      <c r="W1271" s="432">
        <v>400</v>
      </c>
      <c r="X1271" s="436">
        <v>768</v>
      </c>
      <c r="Y1271" s="422">
        <f t="shared" si="152"/>
        <v>307200</v>
      </c>
      <c r="Z1271" s="409">
        <v>0.55000000000000004</v>
      </c>
      <c r="AA1271" s="423">
        <f t="shared" si="153"/>
        <v>168960</v>
      </c>
      <c r="AB1271" s="411"/>
      <c r="AC1271" s="412">
        <f t="shared" ref="AC1271:AC1356" si="154">AB1271*Y1271</f>
        <v>0</v>
      </c>
      <c r="AD1271" s="421"/>
      <c r="AE1271" s="413"/>
      <c r="AF1271" s="424">
        <f t="shared" si="151"/>
        <v>168960</v>
      </c>
      <c r="AG1271" s="405" t="s">
        <v>1069</v>
      </c>
      <c r="AH1271" s="405"/>
      <c r="AI1271" s="414">
        <v>60</v>
      </c>
      <c r="AJ1271" s="405" t="s">
        <v>2503</v>
      </c>
      <c r="AK1271" s="425" t="s">
        <v>1136</v>
      </c>
      <c r="AL1271" s="405">
        <v>77494</v>
      </c>
      <c r="AM1271" s="405" t="s">
        <v>52</v>
      </c>
      <c r="AN1271" s="405"/>
      <c r="AO1271" s="405"/>
      <c r="AP1271" s="417"/>
      <c r="AQ1271" s="417" t="s">
        <v>37</v>
      </c>
      <c r="AR1271" s="417" t="s">
        <v>2800</v>
      </c>
      <c r="AS1271" s="426"/>
      <c r="AT1271" s="426"/>
      <c r="AU1271" s="426"/>
      <c r="AV1271" s="409">
        <v>0.46500000000000002</v>
      </c>
    </row>
    <row r="1272" spans="1:48" s="402" customFormat="1" ht="15" customHeight="1">
      <c r="A1272" s="403"/>
      <c r="B1272" s="445">
        <v>44645</v>
      </c>
      <c r="C1272" s="445"/>
      <c r="D1272" s="443" t="s">
        <v>2480</v>
      </c>
      <c r="E1272" s="432" t="s">
        <v>2544</v>
      </c>
      <c r="F1272" s="432"/>
      <c r="G1272" s="432">
        <v>2022</v>
      </c>
      <c r="H1272" s="432"/>
      <c r="I1272" s="427" t="s">
        <v>1498</v>
      </c>
      <c r="J1272" s="433"/>
      <c r="K1272" s="434" t="s">
        <v>3681</v>
      </c>
      <c r="L1272" s="432" t="s">
        <v>2502</v>
      </c>
      <c r="M1272" s="435">
        <v>44635</v>
      </c>
      <c r="N1272" s="435">
        <v>44837</v>
      </c>
      <c r="O1272" s="435"/>
      <c r="P1272" s="433"/>
      <c r="Q1272" s="433"/>
      <c r="R1272" s="433"/>
      <c r="S1272" s="432" t="s">
        <v>2631</v>
      </c>
      <c r="T1272" s="432">
        <v>60</v>
      </c>
      <c r="U1272" s="432"/>
      <c r="V1272" s="432" t="s">
        <v>973</v>
      </c>
      <c r="W1272" s="432">
        <v>400</v>
      </c>
      <c r="X1272" s="436">
        <v>768</v>
      </c>
      <c r="Y1272" s="422">
        <f t="shared" si="152"/>
        <v>307200</v>
      </c>
      <c r="Z1272" s="409">
        <v>0.55000000000000004</v>
      </c>
      <c r="AA1272" s="423">
        <f t="shared" si="153"/>
        <v>168960</v>
      </c>
      <c r="AB1272" s="411"/>
      <c r="AC1272" s="412">
        <f t="shared" si="154"/>
        <v>0</v>
      </c>
      <c r="AD1272" s="421"/>
      <c r="AE1272" s="413"/>
      <c r="AF1272" s="424">
        <f t="shared" ref="AF1272:AF1357" si="155">AE1272+AD1272+AA1272</f>
        <v>168960</v>
      </c>
      <c r="AG1272" s="405" t="s">
        <v>1069</v>
      </c>
      <c r="AH1272" s="405"/>
      <c r="AI1272" s="414">
        <v>60</v>
      </c>
      <c r="AJ1272" s="405" t="s">
        <v>2503</v>
      </c>
      <c r="AK1272" s="425" t="s">
        <v>1136</v>
      </c>
      <c r="AL1272" s="405">
        <v>77494</v>
      </c>
      <c r="AM1272" s="405" t="s">
        <v>52</v>
      </c>
      <c r="AN1272" s="405"/>
      <c r="AO1272" s="405"/>
      <c r="AP1272" s="417"/>
      <c r="AQ1272" s="417" t="s">
        <v>37</v>
      </c>
      <c r="AR1272" s="417" t="s">
        <v>2800</v>
      </c>
      <c r="AS1272" s="426"/>
      <c r="AT1272" s="426"/>
      <c r="AU1272" s="426"/>
      <c r="AV1272" s="409">
        <v>0.46500000000000002</v>
      </c>
    </row>
    <row r="1273" spans="1:48" s="402" customFormat="1" ht="15" customHeight="1">
      <c r="A1273" s="403"/>
      <c r="B1273" s="445">
        <v>44645</v>
      </c>
      <c r="C1273" s="445"/>
      <c r="D1273" s="443" t="s">
        <v>2480</v>
      </c>
      <c r="E1273" s="432" t="s">
        <v>2544</v>
      </c>
      <c r="F1273" s="432"/>
      <c r="G1273" s="432">
        <v>2022</v>
      </c>
      <c r="H1273" s="432"/>
      <c r="I1273" s="427" t="s">
        <v>1498</v>
      </c>
      <c r="J1273" s="433"/>
      <c r="K1273" s="434" t="s">
        <v>3682</v>
      </c>
      <c r="L1273" s="432" t="s">
        <v>2502</v>
      </c>
      <c r="M1273" s="435">
        <v>44635</v>
      </c>
      <c r="N1273" s="435">
        <v>44837</v>
      </c>
      <c r="O1273" s="435"/>
      <c r="P1273" s="433"/>
      <c r="Q1273" s="433"/>
      <c r="R1273" s="433"/>
      <c r="S1273" s="432" t="s">
        <v>2631</v>
      </c>
      <c r="T1273" s="432">
        <v>60</v>
      </c>
      <c r="U1273" s="432"/>
      <c r="V1273" s="432" t="s">
        <v>973</v>
      </c>
      <c r="W1273" s="432">
        <v>400</v>
      </c>
      <c r="X1273" s="436">
        <v>768</v>
      </c>
      <c r="Y1273" s="422">
        <f t="shared" si="152"/>
        <v>307200</v>
      </c>
      <c r="Z1273" s="409">
        <v>0.55000000000000004</v>
      </c>
      <c r="AA1273" s="423">
        <f t="shared" si="153"/>
        <v>168960</v>
      </c>
      <c r="AB1273" s="411"/>
      <c r="AC1273" s="412">
        <f t="shared" si="154"/>
        <v>0</v>
      </c>
      <c r="AD1273" s="421"/>
      <c r="AE1273" s="413"/>
      <c r="AF1273" s="424">
        <f t="shared" si="155"/>
        <v>168960</v>
      </c>
      <c r="AG1273" s="405" t="s">
        <v>1069</v>
      </c>
      <c r="AH1273" s="405"/>
      <c r="AI1273" s="414">
        <v>60</v>
      </c>
      <c r="AJ1273" s="405" t="s">
        <v>2503</v>
      </c>
      <c r="AK1273" s="425" t="s">
        <v>1136</v>
      </c>
      <c r="AL1273" s="405">
        <v>77494</v>
      </c>
      <c r="AM1273" s="405" t="s">
        <v>52</v>
      </c>
      <c r="AN1273" s="405"/>
      <c r="AO1273" s="405"/>
      <c r="AP1273" s="417"/>
      <c r="AQ1273" s="417" t="s">
        <v>37</v>
      </c>
      <c r="AR1273" s="417" t="s">
        <v>2800</v>
      </c>
      <c r="AS1273" s="426"/>
      <c r="AT1273" s="426"/>
      <c r="AU1273" s="426"/>
      <c r="AV1273" s="409">
        <v>0.46500000000000002</v>
      </c>
    </row>
    <row r="1274" spans="1:48" s="402" customFormat="1" ht="15" customHeight="1">
      <c r="A1274" s="403"/>
      <c r="B1274" s="445"/>
      <c r="C1274" s="445"/>
      <c r="D1274" s="443" t="s">
        <v>2480</v>
      </c>
      <c r="E1274" s="432" t="s">
        <v>2544</v>
      </c>
      <c r="F1274" s="432"/>
      <c r="G1274" s="432">
        <v>2022</v>
      </c>
      <c r="H1274" s="432"/>
      <c r="I1274" s="427" t="s">
        <v>1498</v>
      </c>
      <c r="J1274" s="433"/>
      <c r="K1274" s="434" t="s">
        <v>4796</v>
      </c>
      <c r="L1274" s="432" t="s">
        <v>2502</v>
      </c>
      <c r="M1274" s="435">
        <v>44678</v>
      </c>
      <c r="N1274" s="435">
        <v>44697</v>
      </c>
      <c r="O1274" s="435"/>
      <c r="P1274" s="433"/>
      <c r="Q1274" s="433"/>
      <c r="R1274" s="433"/>
      <c r="S1274" s="432" t="s">
        <v>2631</v>
      </c>
      <c r="T1274" s="432">
        <v>60</v>
      </c>
      <c r="U1274" s="432"/>
      <c r="V1274" s="432" t="s">
        <v>967</v>
      </c>
      <c r="W1274" s="432">
        <v>410</v>
      </c>
      <c r="X1274" s="436">
        <v>768</v>
      </c>
      <c r="Y1274" s="422">
        <f t="shared" si="152"/>
        <v>314880</v>
      </c>
      <c r="Z1274" s="409">
        <v>0.64</v>
      </c>
      <c r="AA1274" s="423">
        <f t="shared" si="153"/>
        <v>201523.20000000001</v>
      </c>
      <c r="AB1274" s="411"/>
      <c r="AC1274" s="412">
        <f t="shared" si="154"/>
        <v>0</v>
      </c>
      <c r="AD1274" s="421"/>
      <c r="AE1274" s="413"/>
      <c r="AF1274" s="424">
        <f t="shared" si="155"/>
        <v>201523.20000000001</v>
      </c>
      <c r="AG1274" s="405" t="s">
        <v>1069</v>
      </c>
      <c r="AH1274" s="405"/>
      <c r="AI1274" s="414">
        <v>60</v>
      </c>
      <c r="AJ1274" s="405" t="s">
        <v>2503</v>
      </c>
      <c r="AK1274" s="425" t="s">
        <v>1136</v>
      </c>
      <c r="AL1274" s="405">
        <v>77494</v>
      </c>
      <c r="AM1274" s="405" t="s">
        <v>52</v>
      </c>
      <c r="AN1274" s="405"/>
      <c r="AO1274" s="405"/>
      <c r="AP1274" s="417"/>
      <c r="AQ1274" s="417" t="s">
        <v>37</v>
      </c>
      <c r="AR1274" s="417" t="s">
        <v>2800</v>
      </c>
      <c r="AS1274" s="426"/>
      <c r="AT1274" s="426"/>
      <c r="AU1274" s="426"/>
      <c r="AV1274" s="409">
        <v>0.46500000000000002</v>
      </c>
    </row>
    <row r="1275" spans="1:48" s="402" customFormat="1" ht="15" customHeight="1">
      <c r="A1275" s="403"/>
      <c r="B1275" s="445"/>
      <c r="C1275" s="445"/>
      <c r="D1275" s="443" t="s">
        <v>2480</v>
      </c>
      <c r="E1275" s="432" t="s">
        <v>2544</v>
      </c>
      <c r="F1275" s="432"/>
      <c r="G1275" s="432">
        <v>2022</v>
      </c>
      <c r="H1275" s="432"/>
      <c r="I1275" s="427" t="s">
        <v>1498</v>
      </c>
      <c r="J1275" s="433"/>
      <c r="K1275" s="434" t="s">
        <v>4797</v>
      </c>
      <c r="L1275" s="432" t="s">
        <v>2502</v>
      </c>
      <c r="M1275" s="435">
        <v>44678</v>
      </c>
      <c r="N1275" s="435">
        <v>44732</v>
      </c>
      <c r="O1275" s="435"/>
      <c r="P1275" s="433"/>
      <c r="Q1275" s="433"/>
      <c r="R1275" s="433"/>
      <c r="S1275" s="432" t="s">
        <v>2631</v>
      </c>
      <c r="T1275" s="432">
        <v>60</v>
      </c>
      <c r="U1275" s="432"/>
      <c r="V1275" s="432" t="s">
        <v>967</v>
      </c>
      <c r="W1275" s="432">
        <v>410</v>
      </c>
      <c r="X1275" s="436">
        <v>768</v>
      </c>
      <c r="Y1275" s="422">
        <f t="shared" si="152"/>
        <v>314880</v>
      </c>
      <c r="Z1275" s="409">
        <v>0.64</v>
      </c>
      <c r="AA1275" s="423">
        <f t="shared" si="153"/>
        <v>201523.20000000001</v>
      </c>
      <c r="AB1275" s="411"/>
      <c r="AC1275" s="412">
        <f t="shared" si="154"/>
        <v>0</v>
      </c>
      <c r="AD1275" s="421"/>
      <c r="AE1275" s="413"/>
      <c r="AF1275" s="424">
        <f t="shared" si="155"/>
        <v>201523.20000000001</v>
      </c>
      <c r="AG1275" s="405" t="s">
        <v>1069</v>
      </c>
      <c r="AH1275" s="405"/>
      <c r="AI1275" s="414">
        <v>60</v>
      </c>
      <c r="AJ1275" s="405" t="s">
        <v>2503</v>
      </c>
      <c r="AK1275" s="425" t="s">
        <v>1136</v>
      </c>
      <c r="AL1275" s="405">
        <v>77494</v>
      </c>
      <c r="AM1275" s="405" t="s">
        <v>52</v>
      </c>
      <c r="AN1275" s="405"/>
      <c r="AO1275" s="405"/>
      <c r="AP1275" s="417"/>
      <c r="AQ1275" s="417" t="s">
        <v>37</v>
      </c>
      <c r="AR1275" s="417" t="s">
        <v>2800</v>
      </c>
      <c r="AS1275" s="426"/>
      <c r="AT1275" s="426"/>
      <c r="AU1275" s="426"/>
      <c r="AV1275" s="409">
        <v>0.46500000000000002</v>
      </c>
    </row>
    <row r="1276" spans="1:48" s="402" customFormat="1" ht="15" customHeight="1">
      <c r="A1276" s="403"/>
      <c r="B1276" s="445"/>
      <c r="C1276" s="445"/>
      <c r="D1276" s="443" t="s">
        <v>2480</v>
      </c>
      <c r="E1276" s="432" t="s">
        <v>2544</v>
      </c>
      <c r="F1276" s="432"/>
      <c r="G1276" s="432">
        <v>2022</v>
      </c>
      <c r="H1276" s="432"/>
      <c r="I1276" s="427" t="s">
        <v>1498</v>
      </c>
      <c r="J1276" s="433"/>
      <c r="K1276" s="434" t="s">
        <v>4798</v>
      </c>
      <c r="L1276" s="432" t="s">
        <v>2502</v>
      </c>
      <c r="M1276" s="435">
        <v>44678</v>
      </c>
      <c r="N1276" s="435">
        <v>44767</v>
      </c>
      <c r="O1276" s="435"/>
      <c r="P1276" s="433"/>
      <c r="Q1276" s="433"/>
      <c r="R1276" s="433"/>
      <c r="S1276" s="432" t="s">
        <v>2631</v>
      </c>
      <c r="T1276" s="432">
        <v>60</v>
      </c>
      <c r="U1276" s="432"/>
      <c r="V1276" s="432" t="s">
        <v>967</v>
      </c>
      <c r="W1276" s="432">
        <v>410</v>
      </c>
      <c r="X1276" s="436">
        <v>768</v>
      </c>
      <c r="Y1276" s="422">
        <f t="shared" si="152"/>
        <v>314880</v>
      </c>
      <c r="Z1276" s="409">
        <v>0.64</v>
      </c>
      <c r="AA1276" s="423">
        <f t="shared" si="153"/>
        <v>201523.20000000001</v>
      </c>
      <c r="AB1276" s="411"/>
      <c r="AC1276" s="412">
        <f t="shared" si="154"/>
        <v>0</v>
      </c>
      <c r="AD1276" s="421"/>
      <c r="AE1276" s="413"/>
      <c r="AF1276" s="424">
        <f t="shared" si="155"/>
        <v>201523.20000000001</v>
      </c>
      <c r="AG1276" s="405" t="s">
        <v>1069</v>
      </c>
      <c r="AH1276" s="405"/>
      <c r="AI1276" s="414">
        <v>60</v>
      </c>
      <c r="AJ1276" s="405" t="s">
        <v>2503</v>
      </c>
      <c r="AK1276" s="425" t="s">
        <v>1136</v>
      </c>
      <c r="AL1276" s="405">
        <v>77494</v>
      </c>
      <c r="AM1276" s="405" t="s">
        <v>52</v>
      </c>
      <c r="AN1276" s="405"/>
      <c r="AO1276" s="405"/>
      <c r="AP1276" s="417"/>
      <c r="AQ1276" s="417" t="s">
        <v>37</v>
      </c>
      <c r="AR1276" s="417" t="s">
        <v>2800</v>
      </c>
      <c r="AS1276" s="426"/>
      <c r="AT1276" s="426"/>
      <c r="AU1276" s="426"/>
      <c r="AV1276" s="409">
        <v>0.46500000000000002</v>
      </c>
    </row>
    <row r="1277" spans="1:48" s="402" customFormat="1" ht="15" customHeight="1">
      <c r="A1277" s="403"/>
      <c r="B1277" s="445"/>
      <c r="C1277" s="445"/>
      <c r="D1277" s="443" t="s">
        <v>2480</v>
      </c>
      <c r="E1277" s="432" t="s">
        <v>2544</v>
      </c>
      <c r="F1277" s="432"/>
      <c r="G1277" s="432">
        <v>2022</v>
      </c>
      <c r="H1277" s="432"/>
      <c r="I1277" s="427" t="s">
        <v>1498</v>
      </c>
      <c r="J1277" s="433"/>
      <c r="K1277" s="434" t="s">
        <v>4799</v>
      </c>
      <c r="L1277" s="432" t="s">
        <v>2502</v>
      </c>
      <c r="M1277" s="435">
        <v>44678</v>
      </c>
      <c r="N1277" s="435">
        <v>44795</v>
      </c>
      <c r="O1277" s="435"/>
      <c r="P1277" s="433"/>
      <c r="Q1277" s="433"/>
      <c r="R1277" s="433"/>
      <c r="S1277" s="432" t="s">
        <v>2631</v>
      </c>
      <c r="T1277" s="432">
        <v>60</v>
      </c>
      <c r="U1277" s="432"/>
      <c r="V1277" s="432" t="s">
        <v>967</v>
      </c>
      <c r="W1277" s="432">
        <v>410</v>
      </c>
      <c r="X1277" s="436">
        <v>768</v>
      </c>
      <c r="Y1277" s="422">
        <f t="shared" si="152"/>
        <v>314880</v>
      </c>
      <c r="Z1277" s="409">
        <v>0.64</v>
      </c>
      <c r="AA1277" s="423">
        <f t="shared" si="153"/>
        <v>201523.20000000001</v>
      </c>
      <c r="AB1277" s="411"/>
      <c r="AC1277" s="412">
        <f t="shared" si="154"/>
        <v>0</v>
      </c>
      <c r="AD1277" s="421"/>
      <c r="AE1277" s="413"/>
      <c r="AF1277" s="424">
        <f t="shared" si="155"/>
        <v>201523.20000000001</v>
      </c>
      <c r="AG1277" s="405" t="s">
        <v>1069</v>
      </c>
      <c r="AH1277" s="405"/>
      <c r="AI1277" s="414">
        <v>60</v>
      </c>
      <c r="AJ1277" s="405" t="s">
        <v>2503</v>
      </c>
      <c r="AK1277" s="425" t="s">
        <v>1136</v>
      </c>
      <c r="AL1277" s="405">
        <v>77494</v>
      </c>
      <c r="AM1277" s="405" t="s">
        <v>52</v>
      </c>
      <c r="AN1277" s="405"/>
      <c r="AO1277" s="405"/>
      <c r="AP1277" s="417"/>
      <c r="AQ1277" s="417" t="s">
        <v>37</v>
      </c>
      <c r="AR1277" s="417" t="s">
        <v>2800</v>
      </c>
      <c r="AS1277" s="426"/>
      <c r="AT1277" s="426"/>
      <c r="AU1277" s="426"/>
      <c r="AV1277" s="409">
        <v>0.46500000000000002</v>
      </c>
    </row>
    <row r="1278" spans="1:48" s="402" customFormat="1" ht="15" customHeight="1">
      <c r="A1278" s="403"/>
      <c r="B1278" s="445"/>
      <c r="C1278" s="445"/>
      <c r="D1278" s="443" t="s">
        <v>2480</v>
      </c>
      <c r="E1278" s="432" t="s">
        <v>2544</v>
      </c>
      <c r="F1278" s="432"/>
      <c r="G1278" s="432">
        <v>2022</v>
      </c>
      <c r="H1278" s="432"/>
      <c r="I1278" s="427" t="s">
        <v>1498</v>
      </c>
      <c r="J1278" s="433"/>
      <c r="K1278" s="434" t="s">
        <v>4800</v>
      </c>
      <c r="L1278" s="432" t="s">
        <v>2502</v>
      </c>
      <c r="M1278" s="435">
        <v>44678</v>
      </c>
      <c r="N1278" s="435">
        <v>44830</v>
      </c>
      <c r="O1278" s="435"/>
      <c r="P1278" s="433"/>
      <c r="Q1278" s="433"/>
      <c r="R1278" s="433"/>
      <c r="S1278" s="432" t="s">
        <v>2631</v>
      </c>
      <c r="T1278" s="432">
        <v>60</v>
      </c>
      <c r="U1278" s="432"/>
      <c r="V1278" s="432" t="s">
        <v>967</v>
      </c>
      <c r="W1278" s="432">
        <v>410</v>
      </c>
      <c r="X1278" s="436">
        <v>768</v>
      </c>
      <c r="Y1278" s="422">
        <f t="shared" si="152"/>
        <v>314880</v>
      </c>
      <c r="Z1278" s="409">
        <v>0.64</v>
      </c>
      <c r="AA1278" s="423">
        <f t="shared" si="153"/>
        <v>201523.20000000001</v>
      </c>
      <c r="AB1278" s="411"/>
      <c r="AC1278" s="412">
        <f t="shared" si="154"/>
        <v>0</v>
      </c>
      <c r="AD1278" s="421"/>
      <c r="AE1278" s="413"/>
      <c r="AF1278" s="424">
        <f t="shared" si="155"/>
        <v>201523.20000000001</v>
      </c>
      <c r="AG1278" s="405" t="s">
        <v>1069</v>
      </c>
      <c r="AH1278" s="405"/>
      <c r="AI1278" s="414">
        <v>60</v>
      </c>
      <c r="AJ1278" s="405" t="s">
        <v>2503</v>
      </c>
      <c r="AK1278" s="425" t="s">
        <v>1136</v>
      </c>
      <c r="AL1278" s="405">
        <v>77494</v>
      </c>
      <c r="AM1278" s="405" t="s">
        <v>52</v>
      </c>
      <c r="AN1278" s="405"/>
      <c r="AO1278" s="405"/>
      <c r="AP1278" s="417"/>
      <c r="AQ1278" s="417" t="s">
        <v>37</v>
      </c>
      <c r="AR1278" s="417" t="s">
        <v>2800</v>
      </c>
      <c r="AS1278" s="426"/>
      <c r="AT1278" s="426"/>
      <c r="AU1278" s="426"/>
      <c r="AV1278" s="409">
        <v>0.46500000000000002</v>
      </c>
    </row>
    <row r="1279" spans="1:48" s="402" customFormat="1" ht="15" customHeight="1">
      <c r="A1279" s="403"/>
      <c r="B1279" s="445"/>
      <c r="C1279" s="445"/>
      <c r="D1279" s="443" t="s">
        <v>2480</v>
      </c>
      <c r="E1279" s="432" t="s">
        <v>2544</v>
      </c>
      <c r="F1279" s="432"/>
      <c r="G1279" s="432">
        <v>2022</v>
      </c>
      <c r="H1279" s="432"/>
      <c r="I1279" s="427" t="s">
        <v>1498</v>
      </c>
      <c r="J1279" s="433"/>
      <c r="K1279" s="434" t="s">
        <v>4801</v>
      </c>
      <c r="L1279" s="432" t="s">
        <v>2502</v>
      </c>
      <c r="M1279" s="435">
        <v>44678</v>
      </c>
      <c r="N1279" s="435">
        <v>44830</v>
      </c>
      <c r="O1279" s="435"/>
      <c r="P1279" s="433"/>
      <c r="Q1279" s="433"/>
      <c r="R1279" s="433"/>
      <c r="S1279" s="432" t="s">
        <v>2631</v>
      </c>
      <c r="T1279" s="432">
        <v>60</v>
      </c>
      <c r="U1279" s="432"/>
      <c r="V1279" s="432" t="s">
        <v>967</v>
      </c>
      <c r="W1279" s="432">
        <v>410</v>
      </c>
      <c r="X1279" s="436">
        <v>768</v>
      </c>
      <c r="Y1279" s="422">
        <f t="shared" si="152"/>
        <v>314880</v>
      </c>
      <c r="Z1279" s="409">
        <v>0.64</v>
      </c>
      <c r="AA1279" s="423">
        <f t="shared" si="153"/>
        <v>201523.20000000001</v>
      </c>
      <c r="AB1279" s="411"/>
      <c r="AC1279" s="412">
        <f t="shared" si="154"/>
        <v>0</v>
      </c>
      <c r="AD1279" s="421"/>
      <c r="AE1279" s="413"/>
      <c r="AF1279" s="424">
        <f t="shared" si="155"/>
        <v>201523.20000000001</v>
      </c>
      <c r="AG1279" s="405" t="s">
        <v>1069</v>
      </c>
      <c r="AH1279" s="405"/>
      <c r="AI1279" s="414">
        <v>60</v>
      </c>
      <c r="AJ1279" s="405" t="s">
        <v>2503</v>
      </c>
      <c r="AK1279" s="425" t="s">
        <v>1136</v>
      </c>
      <c r="AL1279" s="405">
        <v>77494</v>
      </c>
      <c r="AM1279" s="405" t="s">
        <v>52</v>
      </c>
      <c r="AN1279" s="405"/>
      <c r="AO1279" s="405"/>
      <c r="AP1279" s="417"/>
      <c r="AQ1279" s="417" t="s">
        <v>37</v>
      </c>
      <c r="AR1279" s="417" t="s">
        <v>2800</v>
      </c>
      <c r="AS1279" s="426"/>
      <c r="AT1279" s="426"/>
      <c r="AU1279" s="426"/>
      <c r="AV1279" s="409">
        <v>0.46500000000000002</v>
      </c>
    </row>
    <row r="1280" spans="1:48" s="402" customFormat="1" ht="15" customHeight="1">
      <c r="A1280" s="403"/>
      <c r="B1280" s="445"/>
      <c r="C1280" s="445"/>
      <c r="D1280" s="443" t="s">
        <v>2480</v>
      </c>
      <c r="E1280" s="432" t="s">
        <v>2544</v>
      </c>
      <c r="F1280" s="432"/>
      <c r="G1280" s="432">
        <v>2022</v>
      </c>
      <c r="H1280" s="432"/>
      <c r="I1280" s="427" t="s">
        <v>1498</v>
      </c>
      <c r="J1280" s="433"/>
      <c r="K1280" s="434" t="s">
        <v>4802</v>
      </c>
      <c r="L1280" s="432" t="s">
        <v>2502</v>
      </c>
      <c r="M1280" s="435">
        <v>44678</v>
      </c>
      <c r="N1280" s="435">
        <v>44858</v>
      </c>
      <c r="O1280" s="435"/>
      <c r="P1280" s="433"/>
      <c r="Q1280" s="433"/>
      <c r="R1280" s="433"/>
      <c r="S1280" s="432" t="s">
        <v>2631</v>
      </c>
      <c r="T1280" s="432">
        <v>60</v>
      </c>
      <c r="U1280" s="432"/>
      <c r="V1280" s="432" t="s">
        <v>967</v>
      </c>
      <c r="W1280" s="432">
        <v>410</v>
      </c>
      <c r="X1280" s="436">
        <v>768</v>
      </c>
      <c r="Y1280" s="422">
        <f t="shared" si="152"/>
        <v>314880</v>
      </c>
      <c r="Z1280" s="409">
        <v>0.64</v>
      </c>
      <c r="AA1280" s="423">
        <f t="shared" si="153"/>
        <v>201523.20000000001</v>
      </c>
      <c r="AB1280" s="411"/>
      <c r="AC1280" s="412">
        <f t="shared" si="154"/>
        <v>0</v>
      </c>
      <c r="AD1280" s="421"/>
      <c r="AE1280" s="413"/>
      <c r="AF1280" s="424">
        <f t="shared" si="155"/>
        <v>201523.20000000001</v>
      </c>
      <c r="AG1280" s="405" t="s">
        <v>1069</v>
      </c>
      <c r="AH1280" s="405"/>
      <c r="AI1280" s="414">
        <v>60</v>
      </c>
      <c r="AJ1280" s="405" t="s">
        <v>2503</v>
      </c>
      <c r="AK1280" s="425" t="s">
        <v>1136</v>
      </c>
      <c r="AL1280" s="405">
        <v>77494</v>
      </c>
      <c r="AM1280" s="405" t="s">
        <v>52</v>
      </c>
      <c r="AN1280" s="405"/>
      <c r="AO1280" s="405"/>
      <c r="AP1280" s="417"/>
      <c r="AQ1280" s="417" t="s">
        <v>37</v>
      </c>
      <c r="AR1280" s="417" t="s">
        <v>2800</v>
      </c>
      <c r="AS1280" s="426"/>
      <c r="AT1280" s="426"/>
      <c r="AU1280" s="426"/>
      <c r="AV1280" s="409">
        <v>0.46500000000000002</v>
      </c>
    </row>
    <row r="1281" spans="1:48" s="402" customFormat="1" ht="15" customHeight="1">
      <c r="A1281" s="403"/>
      <c r="B1281" s="445"/>
      <c r="C1281" s="445"/>
      <c r="D1281" s="443" t="s">
        <v>2480</v>
      </c>
      <c r="E1281" s="432" t="s">
        <v>2544</v>
      </c>
      <c r="F1281" s="432"/>
      <c r="G1281" s="432">
        <v>2022</v>
      </c>
      <c r="H1281" s="432"/>
      <c r="I1281" s="427" t="s">
        <v>1498</v>
      </c>
      <c r="J1281" s="433"/>
      <c r="K1281" s="434" t="s">
        <v>4803</v>
      </c>
      <c r="L1281" s="432" t="s">
        <v>2502</v>
      </c>
      <c r="M1281" s="435">
        <v>44678</v>
      </c>
      <c r="N1281" s="435">
        <v>44893</v>
      </c>
      <c r="O1281" s="435">
        <v>44886</v>
      </c>
      <c r="P1281" s="433"/>
      <c r="Q1281" s="433"/>
      <c r="R1281" s="433"/>
      <c r="S1281" s="432" t="s">
        <v>2631</v>
      </c>
      <c r="T1281" s="432">
        <v>60</v>
      </c>
      <c r="U1281" s="432"/>
      <c r="V1281" s="432" t="s">
        <v>967</v>
      </c>
      <c r="W1281" s="432">
        <v>410</v>
      </c>
      <c r="X1281" s="436">
        <v>768</v>
      </c>
      <c r="Y1281" s="422">
        <f t="shared" si="152"/>
        <v>314880</v>
      </c>
      <c r="Z1281" s="409">
        <v>0.64</v>
      </c>
      <c r="AA1281" s="423">
        <f t="shared" si="153"/>
        <v>201523.20000000001</v>
      </c>
      <c r="AB1281" s="411"/>
      <c r="AC1281" s="412">
        <f t="shared" si="154"/>
        <v>0</v>
      </c>
      <c r="AD1281" s="421"/>
      <c r="AE1281" s="413"/>
      <c r="AF1281" s="424">
        <f t="shared" si="155"/>
        <v>201523.20000000001</v>
      </c>
      <c r="AG1281" s="405" t="s">
        <v>1069</v>
      </c>
      <c r="AH1281" s="405"/>
      <c r="AI1281" s="414">
        <v>60</v>
      </c>
      <c r="AJ1281" s="405" t="s">
        <v>2503</v>
      </c>
      <c r="AK1281" s="425" t="s">
        <v>1136</v>
      </c>
      <c r="AL1281" s="405">
        <v>77494</v>
      </c>
      <c r="AM1281" s="405" t="s">
        <v>52</v>
      </c>
      <c r="AN1281" s="405"/>
      <c r="AO1281" s="405"/>
      <c r="AP1281" s="417"/>
      <c r="AQ1281" s="417" t="s">
        <v>37</v>
      </c>
      <c r="AR1281" s="417" t="s">
        <v>2800</v>
      </c>
      <c r="AS1281" s="426"/>
      <c r="AT1281" s="426"/>
      <c r="AU1281" s="426"/>
      <c r="AV1281" s="409">
        <v>0.46500000000000002</v>
      </c>
    </row>
    <row r="1282" spans="1:48" s="402" customFormat="1" ht="15" customHeight="1">
      <c r="A1282" s="403"/>
      <c r="B1282" s="403"/>
      <c r="C1282" s="403"/>
      <c r="D1282" s="443" t="s">
        <v>2480</v>
      </c>
      <c r="E1282" s="432" t="s">
        <v>3683</v>
      </c>
      <c r="F1282" s="432"/>
      <c r="G1282" s="432"/>
      <c r="H1282" s="432"/>
      <c r="I1282" s="427" t="s">
        <v>1498</v>
      </c>
      <c r="J1282" s="433"/>
      <c r="K1282" s="434" t="s">
        <v>3684</v>
      </c>
      <c r="L1282" s="432" t="s">
        <v>2492</v>
      </c>
      <c r="M1282" s="435">
        <v>44538</v>
      </c>
      <c r="N1282" s="435">
        <v>44652</v>
      </c>
      <c r="O1282" s="435"/>
      <c r="P1282" s="433"/>
      <c r="Q1282" s="433"/>
      <c r="R1282" s="433"/>
      <c r="S1282" s="432" t="s">
        <v>1940</v>
      </c>
      <c r="T1282" s="432">
        <v>60</v>
      </c>
      <c r="U1282" s="432"/>
      <c r="V1282" s="432" t="s">
        <v>985</v>
      </c>
      <c r="W1282" s="432">
        <v>400</v>
      </c>
      <c r="X1282" s="436">
        <v>1536</v>
      </c>
      <c r="Y1282" s="422">
        <f t="shared" si="152"/>
        <v>614400</v>
      </c>
      <c r="Z1282" s="409">
        <v>0.52</v>
      </c>
      <c r="AA1282" s="423">
        <f t="shared" si="153"/>
        <v>319488</v>
      </c>
      <c r="AB1282" s="411"/>
      <c r="AC1282" s="412">
        <f t="shared" si="154"/>
        <v>0</v>
      </c>
      <c r="AD1282" s="421"/>
      <c r="AE1282" s="413"/>
      <c r="AF1282" s="424">
        <f t="shared" si="155"/>
        <v>319488</v>
      </c>
      <c r="AG1282" s="405" t="s">
        <v>1069</v>
      </c>
      <c r="AH1282" s="405"/>
      <c r="AI1282" s="414" t="s">
        <v>1962</v>
      </c>
      <c r="AJ1282" s="405" t="s">
        <v>2493</v>
      </c>
      <c r="AK1282" s="425" t="s">
        <v>1930</v>
      </c>
      <c r="AL1282" s="405">
        <v>81006</v>
      </c>
      <c r="AM1282" s="405" t="s">
        <v>52</v>
      </c>
      <c r="AN1282" s="405"/>
      <c r="AO1282" s="405"/>
      <c r="AP1282" s="417"/>
      <c r="AQ1282" s="417" t="s">
        <v>37</v>
      </c>
      <c r="AR1282" s="417"/>
      <c r="AS1282" s="426"/>
      <c r="AT1282" s="426"/>
      <c r="AU1282" s="426"/>
      <c r="AV1282" s="409">
        <v>0.52</v>
      </c>
    </row>
    <row r="1283" spans="1:48" s="402" customFormat="1" ht="15" customHeight="1">
      <c r="A1283" s="403"/>
      <c r="B1283" s="403"/>
      <c r="C1283" s="403"/>
      <c r="D1283" s="443" t="s">
        <v>2480</v>
      </c>
      <c r="E1283" s="432" t="s">
        <v>3683</v>
      </c>
      <c r="F1283" s="432"/>
      <c r="G1283" s="432"/>
      <c r="H1283" s="432"/>
      <c r="I1283" s="427" t="s">
        <v>1498</v>
      </c>
      <c r="J1283" s="433"/>
      <c r="K1283" s="434" t="s">
        <v>3685</v>
      </c>
      <c r="L1283" s="432" t="s">
        <v>2492</v>
      </c>
      <c r="M1283" s="435">
        <v>44538</v>
      </c>
      <c r="N1283" s="435">
        <v>44682</v>
      </c>
      <c r="O1283" s="435"/>
      <c r="P1283" s="433"/>
      <c r="Q1283" s="433"/>
      <c r="R1283" s="433"/>
      <c r="S1283" s="432" t="s">
        <v>1940</v>
      </c>
      <c r="T1283" s="432">
        <v>60</v>
      </c>
      <c r="U1283" s="432"/>
      <c r="V1283" s="432" t="s">
        <v>985</v>
      </c>
      <c r="W1283" s="432">
        <v>400</v>
      </c>
      <c r="X1283" s="436">
        <v>1536</v>
      </c>
      <c r="Y1283" s="422">
        <f t="shared" si="152"/>
        <v>614400</v>
      </c>
      <c r="Z1283" s="409">
        <v>0.52</v>
      </c>
      <c r="AA1283" s="423">
        <f t="shared" si="153"/>
        <v>319488</v>
      </c>
      <c r="AB1283" s="411"/>
      <c r="AC1283" s="412">
        <f t="shared" si="154"/>
        <v>0</v>
      </c>
      <c r="AD1283" s="421"/>
      <c r="AE1283" s="413"/>
      <c r="AF1283" s="424">
        <f t="shared" si="155"/>
        <v>319488</v>
      </c>
      <c r="AG1283" s="405" t="s">
        <v>1069</v>
      </c>
      <c r="AH1283" s="405"/>
      <c r="AI1283" s="414" t="s">
        <v>1962</v>
      </c>
      <c r="AJ1283" s="405" t="s">
        <v>2493</v>
      </c>
      <c r="AK1283" s="425" t="s">
        <v>1930</v>
      </c>
      <c r="AL1283" s="405">
        <v>81006</v>
      </c>
      <c r="AM1283" s="405" t="s">
        <v>52</v>
      </c>
      <c r="AN1283" s="405"/>
      <c r="AO1283" s="405"/>
      <c r="AP1283" s="417"/>
      <c r="AQ1283" s="417" t="s">
        <v>37</v>
      </c>
      <c r="AR1283" s="417"/>
      <c r="AS1283" s="426"/>
      <c r="AT1283" s="426"/>
      <c r="AU1283" s="426"/>
      <c r="AV1283" s="409">
        <v>0.52</v>
      </c>
    </row>
    <row r="1284" spans="1:48" s="402" customFormat="1" ht="15" customHeight="1">
      <c r="A1284" s="403"/>
      <c r="B1284" s="403"/>
      <c r="C1284" s="403"/>
      <c r="D1284" s="443" t="s">
        <v>2480</v>
      </c>
      <c r="E1284" s="432" t="s">
        <v>3683</v>
      </c>
      <c r="F1284" s="432"/>
      <c r="G1284" s="432"/>
      <c r="H1284" s="432"/>
      <c r="I1284" s="427" t="s">
        <v>1498</v>
      </c>
      <c r="J1284" s="433"/>
      <c r="K1284" s="434" t="s">
        <v>3686</v>
      </c>
      <c r="L1284" s="432" t="s">
        <v>2492</v>
      </c>
      <c r="M1284" s="435">
        <v>44538</v>
      </c>
      <c r="N1284" s="435">
        <v>44713</v>
      </c>
      <c r="O1284" s="435"/>
      <c r="P1284" s="433"/>
      <c r="Q1284" s="433"/>
      <c r="R1284" s="433"/>
      <c r="S1284" s="432" t="s">
        <v>1940</v>
      </c>
      <c r="T1284" s="432">
        <v>60</v>
      </c>
      <c r="U1284" s="432"/>
      <c r="V1284" s="432" t="s">
        <v>985</v>
      </c>
      <c r="W1284" s="432">
        <v>400</v>
      </c>
      <c r="X1284" s="436">
        <v>1536</v>
      </c>
      <c r="Y1284" s="422">
        <f t="shared" si="152"/>
        <v>614400</v>
      </c>
      <c r="Z1284" s="409">
        <v>0.52</v>
      </c>
      <c r="AA1284" s="423">
        <f t="shared" si="153"/>
        <v>319488</v>
      </c>
      <c r="AB1284" s="411"/>
      <c r="AC1284" s="412">
        <f t="shared" si="154"/>
        <v>0</v>
      </c>
      <c r="AD1284" s="421"/>
      <c r="AE1284" s="413"/>
      <c r="AF1284" s="424">
        <f t="shared" si="155"/>
        <v>319488</v>
      </c>
      <c r="AG1284" s="405" t="s">
        <v>1069</v>
      </c>
      <c r="AH1284" s="405"/>
      <c r="AI1284" s="414" t="s">
        <v>1962</v>
      </c>
      <c r="AJ1284" s="405" t="s">
        <v>2493</v>
      </c>
      <c r="AK1284" s="425" t="s">
        <v>1930</v>
      </c>
      <c r="AL1284" s="405">
        <v>81006</v>
      </c>
      <c r="AM1284" s="405" t="s">
        <v>52</v>
      </c>
      <c r="AN1284" s="405"/>
      <c r="AO1284" s="405"/>
      <c r="AP1284" s="417"/>
      <c r="AQ1284" s="417" t="s">
        <v>37</v>
      </c>
      <c r="AR1284" s="417"/>
      <c r="AS1284" s="426"/>
      <c r="AT1284" s="426"/>
      <c r="AU1284" s="426"/>
      <c r="AV1284" s="409">
        <v>0.52</v>
      </c>
    </row>
    <row r="1285" spans="1:48" s="402" customFormat="1" ht="15" customHeight="1">
      <c r="A1285" s="403"/>
      <c r="B1285" s="403"/>
      <c r="C1285" s="403"/>
      <c r="D1285" s="443" t="s">
        <v>2480</v>
      </c>
      <c r="E1285" s="432" t="s">
        <v>3683</v>
      </c>
      <c r="F1285" s="432"/>
      <c r="G1285" s="432"/>
      <c r="H1285" s="432"/>
      <c r="I1285" s="427" t="s">
        <v>1498</v>
      </c>
      <c r="J1285" s="433"/>
      <c r="K1285" s="434" t="s">
        <v>3687</v>
      </c>
      <c r="L1285" s="432" t="s">
        <v>2492</v>
      </c>
      <c r="M1285" s="435">
        <v>44538</v>
      </c>
      <c r="N1285" s="435">
        <v>44743</v>
      </c>
      <c r="O1285" s="435"/>
      <c r="P1285" s="433"/>
      <c r="Q1285" s="433"/>
      <c r="R1285" s="433"/>
      <c r="S1285" s="432" t="s">
        <v>1940</v>
      </c>
      <c r="T1285" s="432">
        <v>60</v>
      </c>
      <c r="U1285" s="432"/>
      <c r="V1285" s="432" t="s">
        <v>985</v>
      </c>
      <c r="W1285" s="432">
        <v>400</v>
      </c>
      <c r="X1285" s="436">
        <v>1536</v>
      </c>
      <c r="Y1285" s="422">
        <f t="shared" si="152"/>
        <v>614400</v>
      </c>
      <c r="Z1285" s="409">
        <v>0.52</v>
      </c>
      <c r="AA1285" s="423">
        <f t="shared" si="153"/>
        <v>319488</v>
      </c>
      <c r="AB1285" s="411"/>
      <c r="AC1285" s="412">
        <f t="shared" si="154"/>
        <v>0</v>
      </c>
      <c r="AD1285" s="421"/>
      <c r="AE1285" s="413"/>
      <c r="AF1285" s="424">
        <f t="shared" si="155"/>
        <v>319488</v>
      </c>
      <c r="AG1285" s="405" t="s">
        <v>1069</v>
      </c>
      <c r="AH1285" s="405"/>
      <c r="AI1285" s="414" t="s">
        <v>1962</v>
      </c>
      <c r="AJ1285" s="405" t="s">
        <v>2493</v>
      </c>
      <c r="AK1285" s="425" t="s">
        <v>1930</v>
      </c>
      <c r="AL1285" s="405">
        <v>81006</v>
      </c>
      <c r="AM1285" s="405" t="s">
        <v>52</v>
      </c>
      <c r="AN1285" s="405"/>
      <c r="AO1285" s="405"/>
      <c r="AP1285" s="417"/>
      <c r="AQ1285" s="417" t="s">
        <v>37</v>
      </c>
      <c r="AR1285" s="417"/>
      <c r="AS1285" s="426"/>
      <c r="AT1285" s="426"/>
      <c r="AU1285" s="426"/>
      <c r="AV1285" s="409">
        <v>0.52</v>
      </c>
    </row>
    <row r="1286" spans="1:48" s="402" customFormat="1" ht="15" customHeight="1">
      <c r="A1286" s="403"/>
      <c r="B1286" s="403"/>
      <c r="C1286" s="403"/>
      <c r="D1286" s="443" t="s">
        <v>2480</v>
      </c>
      <c r="E1286" s="405" t="s">
        <v>2484</v>
      </c>
      <c r="F1286" s="432"/>
      <c r="G1286" s="432"/>
      <c r="H1286" s="432"/>
      <c r="I1286" s="427" t="s">
        <v>1498</v>
      </c>
      <c r="J1286" s="433"/>
      <c r="K1286" s="434" t="s">
        <v>3688</v>
      </c>
      <c r="L1286" s="432" t="s">
        <v>2532</v>
      </c>
      <c r="M1286" s="435">
        <v>44565</v>
      </c>
      <c r="N1286" s="435">
        <v>44565</v>
      </c>
      <c r="O1286" s="435"/>
      <c r="P1286" s="433"/>
      <c r="Q1286" s="433"/>
      <c r="R1286" s="433"/>
      <c r="S1286" s="432" t="s">
        <v>1940</v>
      </c>
      <c r="T1286" s="432">
        <v>60</v>
      </c>
      <c r="U1286" s="432"/>
      <c r="V1286" s="432" t="s">
        <v>985</v>
      </c>
      <c r="W1286" s="432">
        <v>400</v>
      </c>
      <c r="X1286" s="436">
        <v>2304</v>
      </c>
      <c r="Y1286" s="422">
        <f t="shared" si="152"/>
        <v>921600</v>
      </c>
      <c r="Z1286" s="437">
        <v>0.45500000000000002</v>
      </c>
      <c r="AA1286" s="423">
        <f t="shared" si="153"/>
        <v>419328</v>
      </c>
      <c r="AB1286" s="411"/>
      <c r="AC1286" s="412">
        <f t="shared" si="154"/>
        <v>0</v>
      </c>
      <c r="AD1286" s="439"/>
      <c r="AE1286" s="438"/>
      <c r="AF1286" s="424">
        <f t="shared" si="155"/>
        <v>419328</v>
      </c>
      <c r="AG1286" s="432" t="s">
        <v>1069</v>
      </c>
      <c r="AH1286" s="432"/>
      <c r="AI1286" s="434" t="s">
        <v>1962</v>
      </c>
      <c r="AJ1286" s="432" t="s">
        <v>2533</v>
      </c>
      <c r="AK1286" s="440" t="s">
        <v>1136</v>
      </c>
      <c r="AL1286" s="432">
        <v>79423</v>
      </c>
      <c r="AM1286" s="432" t="s">
        <v>52</v>
      </c>
      <c r="AN1286" s="432"/>
      <c r="AO1286" s="432"/>
      <c r="AP1286" s="441"/>
      <c r="AQ1286" s="441" t="s">
        <v>37</v>
      </c>
      <c r="AR1286" s="441" t="s">
        <v>1499</v>
      </c>
      <c r="AS1286" s="426"/>
      <c r="AT1286" s="426"/>
      <c r="AU1286" s="426"/>
      <c r="AV1286" s="437">
        <v>0.45500000000000002</v>
      </c>
    </row>
    <row r="1287" spans="1:48" s="402" customFormat="1" ht="15" customHeight="1">
      <c r="A1287" s="403"/>
      <c r="B1287" s="403"/>
      <c r="C1287" s="403"/>
      <c r="D1287" s="443" t="s">
        <v>2480</v>
      </c>
      <c r="E1287" s="405" t="s">
        <v>2484</v>
      </c>
      <c r="F1287" s="432"/>
      <c r="G1287" s="432"/>
      <c r="H1287" s="432"/>
      <c r="I1287" s="427" t="s">
        <v>1498</v>
      </c>
      <c r="J1287" s="433"/>
      <c r="K1287" s="434" t="s">
        <v>3689</v>
      </c>
      <c r="L1287" s="432" t="s">
        <v>2532</v>
      </c>
      <c r="M1287" s="435">
        <v>44565</v>
      </c>
      <c r="N1287" s="435">
        <v>44571</v>
      </c>
      <c r="O1287" s="435"/>
      <c r="P1287" s="433"/>
      <c r="Q1287" s="433"/>
      <c r="R1287" s="433"/>
      <c r="S1287" s="432" t="s">
        <v>1940</v>
      </c>
      <c r="T1287" s="432">
        <v>60</v>
      </c>
      <c r="U1287" s="432"/>
      <c r="V1287" s="432" t="s">
        <v>985</v>
      </c>
      <c r="W1287" s="432">
        <v>400</v>
      </c>
      <c r="X1287" s="436">
        <v>1536</v>
      </c>
      <c r="Y1287" s="422">
        <f t="shared" si="152"/>
        <v>614400</v>
      </c>
      <c r="Z1287" s="437">
        <v>0.45500000000000002</v>
      </c>
      <c r="AA1287" s="423">
        <f t="shared" si="153"/>
        <v>279552</v>
      </c>
      <c r="AB1287" s="411"/>
      <c r="AC1287" s="412">
        <f t="shared" si="154"/>
        <v>0</v>
      </c>
      <c r="AD1287" s="439"/>
      <c r="AE1287" s="438"/>
      <c r="AF1287" s="424">
        <f t="shared" si="155"/>
        <v>279552</v>
      </c>
      <c r="AG1287" s="432" t="s">
        <v>1069</v>
      </c>
      <c r="AH1287" s="432"/>
      <c r="AI1287" s="434" t="s">
        <v>1962</v>
      </c>
      <c r="AJ1287" s="432" t="s">
        <v>2533</v>
      </c>
      <c r="AK1287" s="440" t="s">
        <v>1136</v>
      </c>
      <c r="AL1287" s="432">
        <v>79423</v>
      </c>
      <c r="AM1287" s="432" t="s">
        <v>52</v>
      </c>
      <c r="AN1287" s="432"/>
      <c r="AO1287" s="432"/>
      <c r="AP1287" s="441"/>
      <c r="AQ1287" s="441" t="s">
        <v>37</v>
      </c>
      <c r="AR1287" s="441" t="s">
        <v>1499</v>
      </c>
      <c r="AS1287" s="426"/>
      <c r="AT1287" s="426"/>
      <c r="AU1287" s="426"/>
      <c r="AV1287" s="437">
        <v>0.45500000000000002</v>
      </c>
    </row>
    <row r="1288" spans="1:48" s="402" customFormat="1" ht="15" customHeight="1">
      <c r="A1288" s="403"/>
      <c r="B1288" s="403"/>
      <c r="C1288" s="403"/>
      <c r="D1288" s="443" t="s">
        <v>2480</v>
      </c>
      <c r="E1288" s="405" t="s">
        <v>2484</v>
      </c>
      <c r="F1288" s="432"/>
      <c r="G1288" s="432"/>
      <c r="H1288" s="432"/>
      <c r="I1288" s="427" t="s">
        <v>1498</v>
      </c>
      <c r="J1288" s="433"/>
      <c r="K1288" s="434" t="s">
        <v>3690</v>
      </c>
      <c r="L1288" s="432" t="s">
        <v>2532</v>
      </c>
      <c r="M1288" s="435">
        <v>44565</v>
      </c>
      <c r="N1288" s="435">
        <v>44578</v>
      </c>
      <c r="O1288" s="435"/>
      <c r="P1288" s="433"/>
      <c r="Q1288" s="433"/>
      <c r="R1288" s="433"/>
      <c r="S1288" s="432" t="s">
        <v>1940</v>
      </c>
      <c r="T1288" s="432">
        <v>60</v>
      </c>
      <c r="U1288" s="432"/>
      <c r="V1288" s="432" t="s">
        <v>985</v>
      </c>
      <c r="W1288" s="432">
        <v>400</v>
      </c>
      <c r="X1288" s="436">
        <v>1536</v>
      </c>
      <c r="Y1288" s="422">
        <f t="shared" si="152"/>
        <v>614400</v>
      </c>
      <c r="Z1288" s="437">
        <v>0.45500000000000002</v>
      </c>
      <c r="AA1288" s="423">
        <f t="shared" si="153"/>
        <v>279552</v>
      </c>
      <c r="AB1288" s="411"/>
      <c r="AC1288" s="412">
        <f t="shared" si="154"/>
        <v>0</v>
      </c>
      <c r="AD1288" s="439"/>
      <c r="AE1288" s="438"/>
      <c r="AF1288" s="424">
        <f t="shared" si="155"/>
        <v>279552</v>
      </c>
      <c r="AG1288" s="432" t="s">
        <v>1069</v>
      </c>
      <c r="AH1288" s="432"/>
      <c r="AI1288" s="434" t="s">
        <v>1962</v>
      </c>
      <c r="AJ1288" s="432" t="s">
        <v>2533</v>
      </c>
      <c r="AK1288" s="440" t="s">
        <v>1136</v>
      </c>
      <c r="AL1288" s="432">
        <v>79423</v>
      </c>
      <c r="AM1288" s="432" t="s">
        <v>52</v>
      </c>
      <c r="AN1288" s="432"/>
      <c r="AO1288" s="432"/>
      <c r="AP1288" s="441"/>
      <c r="AQ1288" s="441" t="s">
        <v>37</v>
      </c>
      <c r="AR1288" s="441" t="s">
        <v>1499</v>
      </c>
      <c r="AS1288" s="426"/>
      <c r="AT1288" s="426"/>
      <c r="AU1288" s="426"/>
      <c r="AV1288" s="437">
        <v>0.45500000000000002</v>
      </c>
    </row>
    <row r="1289" spans="1:48" s="402" customFormat="1" ht="15" customHeight="1">
      <c r="A1289" s="403"/>
      <c r="B1289" s="403"/>
      <c r="C1289" s="403"/>
      <c r="D1289" s="443" t="s">
        <v>2480</v>
      </c>
      <c r="E1289" s="405" t="s">
        <v>2484</v>
      </c>
      <c r="F1289" s="432"/>
      <c r="G1289" s="432"/>
      <c r="H1289" s="432"/>
      <c r="I1289" s="427" t="s">
        <v>1498</v>
      </c>
      <c r="J1289" s="433"/>
      <c r="K1289" s="434" t="s">
        <v>3691</v>
      </c>
      <c r="L1289" s="432" t="s">
        <v>2532</v>
      </c>
      <c r="M1289" s="435">
        <v>44565</v>
      </c>
      <c r="N1289" s="435">
        <v>44585</v>
      </c>
      <c r="O1289" s="435"/>
      <c r="P1289" s="433"/>
      <c r="Q1289" s="433"/>
      <c r="R1289" s="433"/>
      <c r="S1289" s="432" t="s">
        <v>1940</v>
      </c>
      <c r="T1289" s="432">
        <v>60</v>
      </c>
      <c r="U1289" s="432"/>
      <c r="V1289" s="432" t="s">
        <v>985</v>
      </c>
      <c r="W1289" s="432">
        <v>400</v>
      </c>
      <c r="X1289" s="436">
        <v>768</v>
      </c>
      <c r="Y1289" s="422">
        <f t="shared" si="152"/>
        <v>307200</v>
      </c>
      <c r="Z1289" s="437">
        <v>0.45500000000000002</v>
      </c>
      <c r="AA1289" s="423">
        <f t="shared" si="153"/>
        <v>139776</v>
      </c>
      <c r="AB1289" s="411"/>
      <c r="AC1289" s="412">
        <f t="shared" si="154"/>
        <v>0</v>
      </c>
      <c r="AD1289" s="439"/>
      <c r="AE1289" s="438"/>
      <c r="AF1289" s="424">
        <f t="shared" si="155"/>
        <v>139776</v>
      </c>
      <c r="AG1289" s="432" t="s">
        <v>1069</v>
      </c>
      <c r="AH1289" s="432"/>
      <c r="AI1289" s="434" t="s">
        <v>1962</v>
      </c>
      <c r="AJ1289" s="432" t="s">
        <v>2533</v>
      </c>
      <c r="AK1289" s="440" t="s">
        <v>1136</v>
      </c>
      <c r="AL1289" s="432">
        <v>79423</v>
      </c>
      <c r="AM1289" s="432" t="s">
        <v>52</v>
      </c>
      <c r="AN1289" s="432"/>
      <c r="AO1289" s="432"/>
      <c r="AP1289" s="441"/>
      <c r="AQ1289" s="441" t="s">
        <v>37</v>
      </c>
      <c r="AR1289" s="441" t="s">
        <v>1499</v>
      </c>
      <c r="AS1289" s="426"/>
      <c r="AT1289" s="426"/>
      <c r="AU1289" s="426"/>
      <c r="AV1289" s="437">
        <v>0.45500000000000002</v>
      </c>
    </row>
    <row r="1290" spans="1:48" s="402" customFormat="1" ht="15" customHeight="1">
      <c r="A1290" s="403"/>
      <c r="B1290" s="403"/>
      <c r="C1290" s="403"/>
      <c r="D1290" s="443" t="s">
        <v>2480</v>
      </c>
      <c r="E1290" s="405" t="s">
        <v>2484</v>
      </c>
      <c r="F1290" s="432"/>
      <c r="G1290" s="432"/>
      <c r="H1290" s="432"/>
      <c r="I1290" s="427" t="s">
        <v>1498</v>
      </c>
      <c r="J1290" s="433"/>
      <c r="K1290" s="434" t="s">
        <v>3692</v>
      </c>
      <c r="L1290" s="432" t="s">
        <v>2532</v>
      </c>
      <c r="M1290" s="435">
        <v>44565</v>
      </c>
      <c r="N1290" s="435">
        <v>44599</v>
      </c>
      <c r="O1290" s="435"/>
      <c r="P1290" s="433"/>
      <c r="Q1290" s="433"/>
      <c r="R1290" s="433"/>
      <c r="S1290" s="432" t="s">
        <v>1940</v>
      </c>
      <c r="T1290" s="432">
        <v>60</v>
      </c>
      <c r="U1290" s="432"/>
      <c r="V1290" s="432" t="s">
        <v>985</v>
      </c>
      <c r="W1290" s="432">
        <v>400</v>
      </c>
      <c r="X1290" s="436">
        <v>2304</v>
      </c>
      <c r="Y1290" s="422">
        <f t="shared" si="152"/>
        <v>921600</v>
      </c>
      <c r="Z1290" s="437">
        <v>0.45500000000000002</v>
      </c>
      <c r="AA1290" s="423">
        <f t="shared" si="153"/>
        <v>419328</v>
      </c>
      <c r="AB1290" s="411"/>
      <c r="AC1290" s="412">
        <f t="shared" si="154"/>
        <v>0</v>
      </c>
      <c r="AD1290" s="439"/>
      <c r="AE1290" s="438"/>
      <c r="AF1290" s="424">
        <f t="shared" si="155"/>
        <v>419328</v>
      </c>
      <c r="AG1290" s="432" t="s">
        <v>1069</v>
      </c>
      <c r="AH1290" s="432"/>
      <c r="AI1290" s="434" t="s">
        <v>1962</v>
      </c>
      <c r="AJ1290" s="432" t="s">
        <v>2533</v>
      </c>
      <c r="AK1290" s="440" t="s">
        <v>1136</v>
      </c>
      <c r="AL1290" s="432">
        <v>79423</v>
      </c>
      <c r="AM1290" s="432" t="s">
        <v>52</v>
      </c>
      <c r="AN1290" s="432"/>
      <c r="AO1290" s="432"/>
      <c r="AP1290" s="441"/>
      <c r="AQ1290" s="441" t="s">
        <v>37</v>
      </c>
      <c r="AR1290" s="441" t="s">
        <v>1499</v>
      </c>
      <c r="AS1290" s="426"/>
      <c r="AT1290" s="426"/>
      <c r="AU1290" s="426"/>
      <c r="AV1290" s="437">
        <v>0.45500000000000002</v>
      </c>
    </row>
    <row r="1291" spans="1:48" s="402" customFormat="1" ht="15" customHeight="1">
      <c r="A1291" s="403"/>
      <c r="B1291" s="403"/>
      <c r="C1291" s="403"/>
      <c r="D1291" s="443" t="s">
        <v>2480</v>
      </c>
      <c r="E1291" s="405" t="s">
        <v>2484</v>
      </c>
      <c r="F1291" s="432"/>
      <c r="G1291" s="432"/>
      <c r="H1291" s="432"/>
      <c r="I1291" s="427" t="s">
        <v>1498</v>
      </c>
      <c r="J1291" s="433"/>
      <c r="K1291" s="434" t="s">
        <v>3693</v>
      </c>
      <c r="L1291" s="432" t="s">
        <v>2532</v>
      </c>
      <c r="M1291" s="435">
        <v>44565</v>
      </c>
      <c r="N1291" s="435">
        <v>44606</v>
      </c>
      <c r="O1291" s="435"/>
      <c r="P1291" s="433"/>
      <c r="Q1291" s="433"/>
      <c r="R1291" s="433"/>
      <c r="S1291" s="432" t="s">
        <v>1940</v>
      </c>
      <c r="T1291" s="432">
        <v>60</v>
      </c>
      <c r="U1291" s="432"/>
      <c r="V1291" s="432" t="s">
        <v>985</v>
      </c>
      <c r="W1291" s="432">
        <v>400</v>
      </c>
      <c r="X1291" s="436">
        <v>1536</v>
      </c>
      <c r="Y1291" s="422">
        <f t="shared" si="152"/>
        <v>614400</v>
      </c>
      <c r="Z1291" s="437">
        <v>0.45500000000000002</v>
      </c>
      <c r="AA1291" s="423">
        <f t="shared" si="153"/>
        <v>279552</v>
      </c>
      <c r="AB1291" s="411"/>
      <c r="AC1291" s="412">
        <f t="shared" si="154"/>
        <v>0</v>
      </c>
      <c r="AD1291" s="439"/>
      <c r="AE1291" s="438"/>
      <c r="AF1291" s="424">
        <f t="shared" si="155"/>
        <v>279552</v>
      </c>
      <c r="AG1291" s="432" t="s">
        <v>1069</v>
      </c>
      <c r="AH1291" s="432"/>
      <c r="AI1291" s="434" t="s">
        <v>1962</v>
      </c>
      <c r="AJ1291" s="432" t="s">
        <v>2533</v>
      </c>
      <c r="AK1291" s="440" t="s">
        <v>1136</v>
      </c>
      <c r="AL1291" s="432">
        <v>79423</v>
      </c>
      <c r="AM1291" s="432" t="s">
        <v>52</v>
      </c>
      <c r="AN1291" s="432"/>
      <c r="AO1291" s="432"/>
      <c r="AP1291" s="441"/>
      <c r="AQ1291" s="441" t="s">
        <v>37</v>
      </c>
      <c r="AR1291" s="441" t="s">
        <v>1499</v>
      </c>
      <c r="AS1291" s="426"/>
      <c r="AT1291" s="426"/>
      <c r="AU1291" s="426"/>
      <c r="AV1291" s="437">
        <v>0.45500000000000002</v>
      </c>
    </row>
    <row r="1292" spans="1:48" s="402" customFormat="1" ht="15" customHeight="1">
      <c r="A1292" s="403"/>
      <c r="B1292" s="403"/>
      <c r="C1292" s="403"/>
      <c r="D1292" s="443" t="s">
        <v>2480</v>
      </c>
      <c r="E1292" s="405" t="s">
        <v>2484</v>
      </c>
      <c r="F1292" s="432"/>
      <c r="G1292" s="432"/>
      <c r="H1292" s="432"/>
      <c r="I1292" s="427" t="s">
        <v>1498</v>
      </c>
      <c r="J1292" s="433"/>
      <c r="K1292" s="434" t="s">
        <v>3694</v>
      </c>
      <c r="L1292" s="432" t="s">
        <v>2532</v>
      </c>
      <c r="M1292" s="435">
        <v>44565</v>
      </c>
      <c r="N1292" s="435">
        <v>44613</v>
      </c>
      <c r="O1292" s="435"/>
      <c r="P1292" s="433"/>
      <c r="Q1292" s="433"/>
      <c r="R1292" s="433"/>
      <c r="S1292" s="432" t="s">
        <v>1940</v>
      </c>
      <c r="T1292" s="432">
        <v>60</v>
      </c>
      <c r="U1292" s="432"/>
      <c r="V1292" s="432" t="s">
        <v>985</v>
      </c>
      <c r="W1292" s="432">
        <v>400</v>
      </c>
      <c r="X1292" s="436">
        <v>1536</v>
      </c>
      <c r="Y1292" s="422">
        <f t="shared" si="152"/>
        <v>614400</v>
      </c>
      <c r="Z1292" s="437">
        <v>0.45500000000000002</v>
      </c>
      <c r="AA1292" s="423">
        <f t="shared" si="153"/>
        <v>279552</v>
      </c>
      <c r="AB1292" s="411"/>
      <c r="AC1292" s="412">
        <f t="shared" si="154"/>
        <v>0</v>
      </c>
      <c r="AD1292" s="439"/>
      <c r="AE1292" s="438"/>
      <c r="AF1292" s="424">
        <f t="shared" si="155"/>
        <v>279552</v>
      </c>
      <c r="AG1292" s="432" t="s">
        <v>1069</v>
      </c>
      <c r="AH1292" s="432"/>
      <c r="AI1292" s="434" t="s">
        <v>1962</v>
      </c>
      <c r="AJ1292" s="432" t="s">
        <v>2533</v>
      </c>
      <c r="AK1292" s="440" t="s">
        <v>1136</v>
      </c>
      <c r="AL1292" s="432">
        <v>79423</v>
      </c>
      <c r="AM1292" s="432" t="s">
        <v>52</v>
      </c>
      <c r="AN1292" s="432"/>
      <c r="AO1292" s="432"/>
      <c r="AP1292" s="441"/>
      <c r="AQ1292" s="441" t="s">
        <v>37</v>
      </c>
      <c r="AR1292" s="441" t="s">
        <v>1499</v>
      </c>
      <c r="AS1292" s="426"/>
      <c r="AT1292" s="426"/>
      <c r="AU1292" s="426"/>
      <c r="AV1292" s="437">
        <v>0.45500000000000002</v>
      </c>
    </row>
    <row r="1293" spans="1:48" s="402" customFormat="1" ht="15" customHeight="1">
      <c r="A1293" s="403"/>
      <c r="B1293" s="403"/>
      <c r="C1293" s="403"/>
      <c r="D1293" s="443" t="s">
        <v>2480</v>
      </c>
      <c r="E1293" s="405" t="s">
        <v>2484</v>
      </c>
      <c r="F1293" s="432"/>
      <c r="G1293" s="432"/>
      <c r="H1293" s="432"/>
      <c r="I1293" s="427" t="s">
        <v>1498</v>
      </c>
      <c r="J1293" s="433"/>
      <c r="K1293" s="434" t="s">
        <v>3695</v>
      </c>
      <c r="L1293" s="432" t="s">
        <v>2532</v>
      </c>
      <c r="M1293" s="435">
        <v>44565</v>
      </c>
      <c r="N1293" s="435">
        <v>44620</v>
      </c>
      <c r="O1293" s="435"/>
      <c r="P1293" s="433"/>
      <c r="Q1293" s="433"/>
      <c r="R1293" s="433"/>
      <c r="S1293" s="432" t="s">
        <v>1940</v>
      </c>
      <c r="T1293" s="432">
        <v>60</v>
      </c>
      <c r="U1293" s="432"/>
      <c r="V1293" s="432" t="s">
        <v>985</v>
      </c>
      <c r="W1293" s="432">
        <v>400</v>
      </c>
      <c r="X1293" s="436">
        <v>768</v>
      </c>
      <c r="Y1293" s="422">
        <f t="shared" si="152"/>
        <v>307200</v>
      </c>
      <c r="Z1293" s="437">
        <v>0.45500000000000002</v>
      </c>
      <c r="AA1293" s="423">
        <f t="shared" si="153"/>
        <v>139776</v>
      </c>
      <c r="AB1293" s="411"/>
      <c r="AC1293" s="412">
        <f t="shared" si="154"/>
        <v>0</v>
      </c>
      <c r="AD1293" s="439"/>
      <c r="AE1293" s="438"/>
      <c r="AF1293" s="424">
        <f t="shared" si="155"/>
        <v>139776</v>
      </c>
      <c r="AG1293" s="432" t="s">
        <v>1069</v>
      </c>
      <c r="AH1293" s="432"/>
      <c r="AI1293" s="434" t="s">
        <v>1962</v>
      </c>
      <c r="AJ1293" s="432" t="s">
        <v>2533</v>
      </c>
      <c r="AK1293" s="440" t="s">
        <v>1136</v>
      </c>
      <c r="AL1293" s="432">
        <v>79423</v>
      </c>
      <c r="AM1293" s="432" t="s">
        <v>52</v>
      </c>
      <c r="AN1293" s="432"/>
      <c r="AO1293" s="432"/>
      <c r="AP1293" s="441"/>
      <c r="AQ1293" s="441" t="s">
        <v>37</v>
      </c>
      <c r="AR1293" s="441" t="s">
        <v>1499</v>
      </c>
      <c r="AS1293" s="426"/>
      <c r="AT1293" s="426"/>
      <c r="AU1293" s="426"/>
      <c r="AV1293" s="437">
        <v>0.45500000000000002</v>
      </c>
    </row>
    <row r="1294" spans="1:48" s="402" customFormat="1" ht="15" customHeight="1">
      <c r="A1294" s="403"/>
      <c r="B1294" s="403"/>
      <c r="C1294" s="403"/>
      <c r="D1294" s="443" t="s">
        <v>2480</v>
      </c>
      <c r="E1294" s="405" t="s">
        <v>2484</v>
      </c>
      <c r="F1294" s="432"/>
      <c r="G1294" s="432"/>
      <c r="H1294" s="432"/>
      <c r="I1294" s="427" t="s">
        <v>1498</v>
      </c>
      <c r="J1294" s="433"/>
      <c r="K1294" s="434" t="s">
        <v>3696</v>
      </c>
      <c r="L1294" s="432" t="s">
        <v>2532</v>
      </c>
      <c r="M1294" s="435">
        <v>44565</v>
      </c>
      <c r="N1294" s="435">
        <v>44627</v>
      </c>
      <c r="O1294" s="435"/>
      <c r="P1294" s="433"/>
      <c r="Q1294" s="433"/>
      <c r="R1294" s="433"/>
      <c r="S1294" s="432" t="s">
        <v>1940</v>
      </c>
      <c r="T1294" s="432">
        <v>60</v>
      </c>
      <c r="U1294" s="432"/>
      <c r="V1294" s="432" t="s">
        <v>985</v>
      </c>
      <c r="W1294" s="432">
        <v>400</v>
      </c>
      <c r="X1294" s="436">
        <v>2304</v>
      </c>
      <c r="Y1294" s="422">
        <f t="shared" si="152"/>
        <v>921600</v>
      </c>
      <c r="Z1294" s="437">
        <v>0.45500000000000002</v>
      </c>
      <c r="AA1294" s="423">
        <f t="shared" si="153"/>
        <v>419328</v>
      </c>
      <c r="AB1294" s="411"/>
      <c r="AC1294" s="412">
        <f t="shared" si="154"/>
        <v>0</v>
      </c>
      <c r="AD1294" s="439"/>
      <c r="AE1294" s="438"/>
      <c r="AF1294" s="424">
        <f t="shared" si="155"/>
        <v>419328</v>
      </c>
      <c r="AG1294" s="432" t="s">
        <v>1069</v>
      </c>
      <c r="AH1294" s="432"/>
      <c r="AI1294" s="434" t="s">
        <v>1962</v>
      </c>
      <c r="AJ1294" s="432" t="s">
        <v>2533</v>
      </c>
      <c r="AK1294" s="440" t="s">
        <v>1136</v>
      </c>
      <c r="AL1294" s="432">
        <v>79423</v>
      </c>
      <c r="AM1294" s="432" t="s">
        <v>52</v>
      </c>
      <c r="AN1294" s="432"/>
      <c r="AO1294" s="432"/>
      <c r="AP1294" s="441"/>
      <c r="AQ1294" s="441" t="s">
        <v>37</v>
      </c>
      <c r="AR1294" s="441" t="s">
        <v>1499</v>
      </c>
      <c r="AS1294" s="426"/>
      <c r="AT1294" s="426"/>
      <c r="AU1294" s="426"/>
      <c r="AV1294" s="437">
        <v>0.45500000000000002</v>
      </c>
    </row>
    <row r="1295" spans="1:48" s="402" customFormat="1" ht="15" customHeight="1">
      <c r="A1295" s="403"/>
      <c r="B1295" s="403"/>
      <c r="C1295" s="403"/>
      <c r="D1295" s="443" t="s">
        <v>2480</v>
      </c>
      <c r="E1295" s="405" t="s">
        <v>2484</v>
      </c>
      <c r="F1295" s="432"/>
      <c r="G1295" s="432"/>
      <c r="H1295" s="432"/>
      <c r="I1295" s="427" t="s">
        <v>1498</v>
      </c>
      <c r="J1295" s="433"/>
      <c r="K1295" s="434" t="s">
        <v>3697</v>
      </c>
      <c r="L1295" s="432" t="s">
        <v>2532</v>
      </c>
      <c r="M1295" s="435">
        <v>44565</v>
      </c>
      <c r="N1295" s="435">
        <v>44634</v>
      </c>
      <c r="O1295" s="435"/>
      <c r="P1295" s="433"/>
      <c r="Q1295" s="433"/>
      <c r="R1295" s="433"/>
      <c r="S1295" s="432" t="s">
        <v>1940</v>
      </c>
      <c r="T1295" s="432">
        <v>60</v>
      </c>
      <c r="U1295" s="432"/>
      <c r="V1295" s="432" t="s">
        <v>985</v>
      </c>
      <c r="W1295" s="432">
        <v>400</v>
      </c>
      <c r="X1295" s="436">
        <v>1536</v>
      </c>
      <c r="Y1295" s="422">
        <f t="shared" si="152"/>
        <v>614400</v>
      </c>
      <c r="Z1295" s="437">
        <v>0.45500000000000002</v>
      </c>
      <c r="AA1295" s="423">
        <f t="shared" si="153"/>
        <v>279552</v>
      </c>
      <c r="AB1295" s="411"/>
      <c r="AC1295" s="412">
        <f t="shared" si="154"/>
        <v>0</v>
      </c>
      <c r="AD1295" s="439"/>
      <c r="AE1295" s="438"/>
      <c r="AF1295" s="424">
        <f t="shared" si="155"/>
        <v>279552</v>
      </c>
      <c r="AG1295" s="432" t="s">
        <v>1069</v>
      </c>
      <c r="AH1295" s="432"/>
      <c r="AI1295" s="434" t="s">
        <v>1962</v>
      </c>
      <c r="AJ1295" s="432" t="s">
        <v>2533</v>
      </c>
      <c r="AK1295" s="440" t="s">
        <v>1136</v>
      </c>
      <c r="AL1295" s="432">
        <v>79423</v>
      </c>
      <c r="AM1295" s="432" t="s">
        <v>52</v>
      </c>
      <c r="AN1295" s="432"/>
      <c r="AO1295" s="432"/>
      <c r="AP1295" s="441"/>
      <c r="AQ1295" s="441" t="s">
        <v>37</v>
      </c>
      <c r="AR1295" s="441" t="s">
        <v>1499</v>
      </c>
      <c r="AS1295" s="426"/>
      <c r="AT1295" s="426"/>
      <c r="AU1295" s="426"/>
      <c r="AV1295" s="437">
        <v>0.45500000000000002</v>
      </c>
    </row>
    <row r="1296" spans="1:48" s="402" customFormat="1" ht="15" customHeight="1">
      <c r="A1296" s="403"/>
      <c r="B1296" s="403"/>
      <c r="C1296" s="403"/>
      <c r="D1296" s="443" t="s">
        <v>2480</v>
      </c>
      <c r="E1296" s="405" t="s">
        <v>2484</v>
      </c>
      <c r="F1296" s="432"/>
      <c r="G1296" s="432"/>
      <c r="H1296" s="432"/>
      <c r="I1296" s="427" t="s">
        <v>1498</v>
      </c>
      <c r="J1296" s="433"/>
      <c r="K1296" s="434" t="s">
        <v>3698</v>
      </c>
      <c r="L1296" s="432" t="s">
        <v>2532</v>
      </c>
      <c r="M1296" s="435">
        <v>44565</v>
      </c>
      <c r="N1296" s="435">
        <v>44641</v>
      </c>
      <c r="O1296" s="435"/>
      <c r="P1296" s="433"/>
      <c r="Q1296" s="433"/>
      <c r="R1296" s="433"/>
      <c r="S1296" s="432" t="s">
        <v>1940</v>
      </c>
      <c r="T1296" s="432">
        <v>60</v>
      </c>
      <c r="U1296" s="432"/>
      <c r="V1296" s="432" t="s">
        <v>985</v>
      </c>
      <c r="W1296" s="432">
        <v>400</v>
      </c>
      <c r="X1296" s="436">
        <v>1536</v>
      </c>
      <c r="Y1296" s="422">
        <f t="shared" si="152"/>
        <v>614400</v>
      </c>
      <c r="Z1296" s="437">
        <v>0.45500000000000002</v>
      </c>
      <c r="AA1296" s="423">
        <f t="shared" si="153"/>
        <v>279552</v>
      </c>
      <c r="AB1296" s="411"/>
      <c r="AC1296" s="412">
        <f t="shared" si="154"/>
        <v>0</v>
      </c>
      <c r="AD1296" s="439"/>
      <c r="AE1296" s="438"/>
      <c r="AF1296" s="424">
        <f t="shared" si="155"/>
        <v>279552</v>
      </c>
      <c r="AG1296" s="432" t="s">
        <v>1069</v>
      </c>
      <c r="AH1296" s="432"/>
      <c r="AI1296" s="434" t="s">
        <v>1962</v>
      </c>
      <c r="AJ1296" s="432" t="s">
        <v>2533</v>
      </c>
      <c r="AK1296" s="440" t="s">
        <v>1136</v>
      </c>
      <c r="AL1296" s="432">
        <v>79423</v>
      </c>
      <c r="AM1296" s="432" t="s">
        <v>52</v>
      </c>
      <c r="AN1296" s="432"/>
      <c r="AO1296" s="432"/>
      <c r="AP1296" s="441"/>
      <c r="AQ1296" s="441" t="s">
        <v>37</v>
      </c>
      <c r="AR1296" s="441" t="s">
        <v>1499</v>
      </c>
      <c r="AS1296" s="426"/>
      <c r="AT1296" s="426"/>
      <c r="AU1296" s="426"/>
      <c r="AV1296" s="437">
        <v>0.45500000000000002</v>
      </c>
    </row>
    <row r="1297" spans="1:48" s="402" customFormat="1" ht="15" customHeight="1">
      <c r="A1297" s="403"/>
      <c r="B1297" s="403"/>
      <c r="C1297" s="403"/>
      <c r="D1297" s="443" t="s">
        <v>2480</v>
      </c>
      <c r="E1297" s="405" t="s">
        <v>2484</v>
      </c>
      <c r="F1297" s="432"/>
      <c r="G1297" s="432"/>
      <c r="H1297" s="432"/>
      <c r="I1297" s="427" t="s">
        <v>1498</v>
      </c>
      <c r="J1297" s="433"/>
      <c r="K1297" s="434" t="s">
        <v>3699</v>
      </c>
      <c r="L1297" s="432" t="s">
        <v>2532</v>
      </c>
      <c r="M1297" s="435">
        <v>44565</v>
      </c>
      <c r="N1297" s="435">
        <v>44648</v>
      </c>
      <c r="O1297" s="435"/>
      <c r="P1297" s="433"/>
      <c r="Q1297" s="433"/>
      <c r="R1297" s="433"/>
      <c r="S1297" s="432" t="s">
        <v>1940</v>
      </c>
      <c r="T1297" s="432">
        <v>60</v>
      </c>
      <c r="U1297" s="432"/>
      <c r="V1297" s="432" t="s">
        <v>985</v>
      </c>
      <c r="W1297" s="432">
        <v>400</v>
      </c>
      <c r="X1297" s="436">
        <v>768</v>
      </c>
      <c r="Y1297" s="422">
        <f t="shared" ref="Y1297:Y1382" si="156">X1297*W1297</f>
        <v>307200</v>
      </c>
      <c r="Z1297" s="437">
        <v>0.45500000000000002</v>
      </c>
      <c r="AA1297" s="423">
        <f t="shared" ref="AA1297:AA1382" si="157">Z1297*Y1297</f>
        <v>139776</v>
      </c>
      <c r="AB1297" s="411"/>
      <c r="AC1297" s="412">
        <f t="shared" si="154"/>
        <v>0</v>
      </c>
      <c r="AD1297" s="439"/>
      <c r="AE1297" s="438"/>
      <c r="AF1297" s="424">
        <f t="shared" si="155"/>
        <v>139776</v>
      </c>
      <c r="AG1297" s="432" t="s">
        <v>1069</v>
      </c>
      <c r="AH1297" s="432"/>
      <c r="AI1297" s="434" t="s">
        <v>1962</v>
      </c>
      <c r="AJ1297" s="432" t="s">
        <v>2533</v>
      </c>
      <c r="AK1297" s="440" t="s">
        <v>1136</v>
      </c>
      <c r="AL1297" s="432">
        <v>79423</v>
      </c>
      <c r="AM1297" s="432" t="s">
        <v>52</v>
      </c>
      <c r="AN1297" s="432"/>
      <c r="AO1297" s="432"/>
      <c r="AP1297" s="441"/>
      <c r="AQ1297" s="441" t="s">
        <v>37</v>
      </c>
      <c r="AR1297" s="441" t="s">
        <v>1499</v>
      </c>
      <c r="AS1297" s="426"/>
      <c r="AT1297" s="426"/>
      <c r="AU1297" s="426"/>
      <c r="AV1297" s="437">
        <v>0.45500000000000002</v>
      </c>
    </row>
    <row r="1298" spans="1:48" s="402" customFormat="1" ht="15" customHeight="1">
      <c r="A1298" s="403"/>
      <c r="B1298" s="445">
        <v>44648</v>
      </c>
      <c r="C1298" s="403"/>
      <c r="D1298" s="443" t="s">
        <v>2480</v>
      </c>
      <c r="E1298" s="432" t="s">
        <v>2406</v>
      </c>
      <c r="F1298" s="432"/>
      <c r="G1298" s="432">
        <v>2022</v>
      </c>
      <c r="H1298" s="432"/>
      <c r="I1298" s="427" t="s">
        <v>1498</v>
      </c>
      <c r="J1298" s="433"/>
      <c r="K1298" s="434" t="s">
        <v>3700</v>
      </c>
      <c r="L1298" s="432" t="s">
        <v>2532</v>
      </c>
      <c r="M1298" s="435">
        <v>44648</v>
      </c>
      <c r="N1298" s="435">
        <v>44648</v>
      </c>
      <c r="O1298" s="435">
        <v>44713</v>
      </c>
      <c r="P1298" s="433"/>
      <c r="Q1298" s="433"/>
      <c r="R1298" s="433"/>
      <c r="S1298" s="432" t="s">
        <v>1940</v>
      </c>
      <c r="T1298" s="432">
        <v>60</v>
      </c>
      <c r="U1298" s="432"/>
      <c r="V1298" s="432" t="s">
        <v>973</v>
      </c>
      <c r="W1298" s="432">
        <v>400</v>
      </c>
      <c r="X1298" s="436">
        <v>7680</v>
      </c>
      <c r="Y1298" s="422">
        <f t="shared" si="156"/>
        <v>3072000</v>
      </c>
      <c r="Z1298" s="437">
        <v>0.55000000000000004</v>
      </c>
      <c r="AA1298" s="423">
        <f t="shared" si="157"/>
        <v>1689600.0000000002</v>
      </c>
      <c r="AB1298" s="411"/>
      <c r="AC1298" s="412">
        <f t="shared" si="154"/>
        <v>0</v>
      </c>
      <c r="AD1298" s="439"/>
      <c r="AE1298" s="438"/>
      <c r="AF1298" s="424">
        <f t="shared" si="155"/>
        <v>1689600.0000000002</v>
      </c>
      <c r="AG1298" s="432" t="s">
        <v>1069</v>
      </c>
      <c r="AH1298" s="432"/>
      <c r="AI1298" s="434" t="s">
        <v>1962</v>
      </c>
      <c r="AJ1298" s="432" t="s">
        <v>2533</v>
      </c>
      <c r="AK1298" s="440" t="s">
        <v>1136</v>
      </c>
      <c r="AL1298" s="432">
        <v>79423</v>
      </c>
      <c r="AM1298" s="432" t="s">
        <v>52</v>
      </c>
      <c r="AN1298" s="432"/>
      <c r="AO1298" s="432"/>
      <c r="AP1298" s="441"/>
      <c r="AQ1298" s="441" t="s">
        <v>37</v>
      </c>
      <c r="AR1298" s="441"/>
      <c r="AS1298" s="426"/>
      <c r="AT1298" s="426"/>
      <c r="AU1298" s="426"/>
      <c r="AV1298" s="437">
        <v>0.45500000000000002</v>
      </c>
    </row>
    <row r="1299" spans="1:48" s="402" customFormat="1" ht="15" customHeight="1">
      <c r="A1299" s="403"/>
      <c r="B1299" s="445">
        <v>44648</v>
      </c>
      <c r="C1299" s="403"/>
      <c r="D1299" s="443" t="s">
        <v>2480</v>
      </c>
      <c r="E1299" s="432" t="s">
        <v>2406</v>
      </c>
      <c r="F1299" s="432"/>
      <c r="G1299" s="432">
        <v>2022</v>
      </c>
      <c r="H1299" s="432"/>
      <c r="I1299" s="427" t="s">
        <v>1498</v>
      </c>
      <c r="J1299" s="433"/>
      <c r="K1299" s="434" t="s">
        <v>3701</v>
      </c>
      <c r="L1299" s="432" t="s">
        <v>2532</v>
      </c>
      <c r="M1299" s="435">
        <v>44648</v>
      </c>
      <c r="N1299" s="435">
        <v>44648</v>
      </c>
      <c r="O1299" s="435">
        <v>44743</v>
      </c>
      <c r="P1299" s="433"/>
      <c r="Q1299" s="433"/>
      <c r="R1299" s="433"/>
      <c r="S1299" s="432" t="s">
        <v>1940</v>
      </c>
      <c r="T1299" s="432">
        <v>60</v>
      </c>
      <c r="U1299" s="432"/>
      <c r="V1299" s="432" t="s">
        <v>973</v>
      </c>
      <c r="W1299" s="432">
        <v>400</v>
      </c>
      <c r="X1299" s="436">
        <v>7680</v>
      </c>
      <c r="Y1299" s="422">
        <f t="shared" si="156"/>
        <v>3072000</v>
      </c>
      <c r="Z1299" s="437">
        <v>0.55000000000000004</v>
      </c>
      <c r="AA1299" s="423">
        <f t="shared" si="157"/>
        <v>1689600.0000000002</v>
      </c>
      <c r="AB1299" s="411"/>
      <c r="AC1299" s="412">
        <f t="shared" si="154"/>
        <v>0</v>
      </c>
      <c r="AD1299" s="439"/>
      <c r="AE1299" s="438"/>
      <c r="AF1299" s="424">
        <f t="shared" si="155"/>
        <v>1689600.0000000002</v>
      </c>
      <c r="AG1299" s="432" t="s">
        <v>1069</v>
      </c>
      <c r="AH1299" s="432"/>
      <c r="AI1299" s="434" t="s">
        <v>1962</v>
      </c>
      <c r="AJ1299" s="432" t="s">
        <v>2533</v>
      </c>
      <c r="AK1299" s="440" t="s">
        <v>1136</v>
      </c>
      <c r="AL1299" s="432">
        <v>79423</v>
      </c>
      <c r="AM1299" s="432" t="s">
        <v>52</v>
      </c>
      <c r="AN1299" s="432"/>
      <c r="AO1299" s="432"/>
      <c r="AP1299" s="441"/>
      <c r="AQ1299" s="441" t="s">
        <v>37</v>
      </c>
      <c r="AR1299" s="441"/>
      <c r="AS1299" s="426"/>
      <c r="AT1299" s="426"/>
      <c r="AU1299" s="426"/>
      <c r="AV1299" s="437">
        <v>0.45500000000000002</v>
      </c>
    </row>
    <row r="1300" spans="1:48" s="402" customFormat="1" ht="15" customHeight="1">
      <c r="A1300" s="403"/>
      <c r="B1300" s="445">
        <v>44648</v>
      </c>
      <c r="C1300" s="403"/>
      <c r="D1300" s="443" t="s">
        <v>2480</v>
      </c>
      <c r="E1300" s="432" t="s">
        <v>2406</v>
      </c>
      <c r="F1300" s="432"/>
      <c r="G1300" s="432">
        <v>2022</v>
      </c>
      <c r="H1300" s="432"/>
      <c r="I1300" s="427" t="s">
        <v>1498</v>
      </c>
      <c r="J1300" s="433"/>
      <c r="K1300" s="434" t="s">
        <v>3702</v>
      </c>
      <c r="L1300" s="432" t="s">
        <v>2532</v>
      </c>
      <c r="M1300" s="435">
        <v>44648</v>
      </c>
      <c r="N1300" s="435">
        <v>44648</v>
      </c>
      <c r="O1300" s="435">
        <v>44774</v>
      </c>
      <c r="P1300" s="433"/>
      <c r="Q1300" s="433"/>
      <c r="R1300" s="433"/>
      <c r="S1300" s="432" t="s">
        <v>1940</v>
      </c>
      <c r="T1300" s="432">
        <v>60</v>
      </c>
      <c r="U1300" s="432"/>
      <c r="V1300" s="432" t="s">
        <v>973</v>
      </c>
      <c r="W1300" s="432">
        <v>400</v>
      </c>
      <c r="X1300" s="436">
        <v>7680</v>
      </c>
      <c r="Y1300" s="422">
        <f>X1300*W1300</f>
        <v>3072000</v>
      </c>
      <c r="Z1300" s="437">
        <v>0.55000000000000004</v>
      </c>
      <c r="AA1300" s="423">
        <f>Z1300*Y1300</f>
        <v>1689600.0000000002</v>
      </c>
      <c r="AB1300" s="411"/>
      <c r="AC1300" s="412">
        <f>AB1300*Y1300</f>
        <v>0</v>
      </c>
      <c r="AD1300" s="439"/>
      <c r="AE1300" s="438"/>
      <c r="AF1300" s="424">
        <f>AE1300+AD1300+AA1300</f>
        <v>1689600.0000000002</v>
      </c>
      <c r="AG1300" s="432" t="s">
        <v>1069</v>
      </c>
      <c r="AH1300" s="432"/>
      <c r="AI1300" s="434" t="s">
        <v>1962</v>
      </c>
      <c r="AJ1300" s="432" t="s">
        <v>2533</v>
      </c>
      <c r="AK1300" s="440" t="s">
        <v>1136</v>
      </c>
      <c r="AL1300" s="432">
        <v>79423</v>
      </c>
      <c r="AM1300" s="432" t="s">
        <v>52</v>
      </c>
      <c r="AN1300" s="432"/>
      <c r="AO1300" s="432"/>
      <c r="AP1300" s="441"/>
      <c r="AQ1300" s="441" t="s">
        <v>37</v>
      </c>
      <c r="AR1300" s="441"/>
      <c r="AS1300" s="426"/>
      <c r="AT1300" s="426"/>
      <c r="AU1300" s="426"/>
      <c r="AV1300" s="437">
        <v>0.45500000000000002</v>
      </c>
    </row>
    <row r="1301" spans="1:48" s="402" customFormat="1" ht="15" customHeight="1">
      <c r="A1301" s="403"/>
      <c r="B1301" s="445">
        <v>44651</v>
      </c>
      <c r="C1301" s="403"/>
      <c r="D1301" s="443" t="s">
        <v>2480</v>
      </c>
      <c r="E1301" s="432" t="s">
        <v>3703</v>
      </c>
      <c r="F1301" s="432"/>
      <c r="G1301" s="432">
        <v>2022</v>
      </c>
      <c r="H1301" s="432"/>
      <c r="I1301" s="427" t="s">
        <v>1498</v>
      </c>
      <c r="J1301" s="433"/>
      <c r="K1301" s="434" t="s">
        <v>3704</v>
      </c>
      <c r="L1301" s="432" t="s">
        <v>2532</v>
      </c>
      <c r="M1301" s="435">
        <v>44651</v>
      </c>
      <c r="N1301" s="435">
        <v>44835</v>
      </c>
      <c r="O1301" s="435"/>
      <c r="P1301" s="433"/>
      <c r="Q1301" s="433"/>
      <c r="R1301" s="433"/>
      <c r="S1301" s="432" t="s">
        <v>1940</v>
      </c>
      <c r="T1301" s="432">
        <v>60</v>
      </c>
      <c r="U1301" s="432"/>
      <c r="V1301" s="432" t="s">
        <v>973</v>
      </c>
      <c r="W1301" s="432">
        <v>400</v>
      </c>
      <c r="X1301" s="436">
        <v>6144</v>
      </c>
      <c r="Y1301" s="422">
        <f>X1301*W1301</f>
        <v>2457600</v>
      </c>
      <c r="Z1301" s="437">
        <v>0.55000000000000004</v>
      </c>
      <c r="AA1301" s="423">
        <f>Z1301*Y1301</f>
        <v>1351680</v>
      </c>
      <c r="AB1301" s="411"/>
      <c r="AC1301" s="412">
        <f>AB1301*Y1301</f>
        <v>0</v>
      </c>
      <c r="AD1301" s="439"/>
      <c r="AE1301" s="438"/>
      <c r="AF1301" s="424">
        <f>AE1301+AD1301+AA1301</f>
        <v>1351680</v>
      </c>
      <c r="AG1301" s="432" t="s">
        <v>1069</v>
      </c>
      <c r="AH1301" s="432"/>
      <c r="AI1301" s="434" t="s">
        <v>1962</v>
      </c>
      <c r="AJ1301" s="432" t="s">
        <v>2533</v>
      </c>
      <c r="AK1301" s="440" t="s">
        <v>1136</v>
      </c>
      <c r="AL1301" s="432">
        <v>79423</v>
      </c>
      <c r="AM1301" s="432" t="s">
        <v>52</v>
      </c>
      <c r="AN1301" s="432"/>
      <c r="AO1301" s="432"/>
      <c r="AP1301" s="441"/>
      <c r="AQ1301" s="441" t="s">
        <v>37</v>
      </c>
      <c r="AR1301" s="441"/>
      <c r="AS1301" s="426"/>
      <c r="AT1301" s="426"/>
      <c r="AU1301" s="426"/>
      <c r="AV1301" s="437">
        <v>0.45500000000000002</v>
      </c>
    </row>
    <row r="1302" spans="1:48" s="402" customFormat="1" ht="15" customHeight="1">
      <c r="A1302" s="403"/>
      <c r="B1302" s="445">
        <v>44651</v>
      </c>
      <c r="C1302" s="403"/>
      <c r="D1302" s="443" t="s">
        <v>2480</v>
      </c>
      <c r="E1302" s="432" t="s">
        <v>3703</v>
      </c>
      <c r="F1302" s="432"/>
      <c r="G1302" s="432">
        <v>2022</v>
      </c>
      <c r="H1302" s="432"/>
      <c r="I1302" s="427" t="s">
        <v>1498</v>
      </c>
      <c r="J1302" s="433"/>
      <c r="K1302" s="434" t="s">
        <v>3705</v>
      </c>
      <c r="L1302" s="432" t="s">
        <v>2532</v>
      </c>
      <c r="M1302" s="435">
        <v>44651</v>
      </c>
      <c r="N1302" s="435">
        <v>44866</v>
      </c>
      <c r="O1302" s="435"/>
      <c r="P1302" s="433"/>
      <c r="Q1302" s="433"/>
      <c r="R1302" s="433"/>
      <c r="S1302" s="432" t="s">
        <v>1940</v>
      </c>
      <c r="T1302" s="432">
        <v>60</v>
      </c>
      <c r="U1302" s="432"/>
      <c r="V1302" s="432" t="s">
        <v>973</v>
      </c>
      <c r="W1302" s="432">
        <v>400</v>
      </c>
      <c r="X1302" s="436">
        <v>6144</v>
      </c>
      <c r="Y1302" s="422">
        <f>X1302*W1302</f>
        <v>2457600</v>
      </c>
      <c r="Z1302" s="437">
        <v>0.55000000000000004</v>
      </c>
      <c r="AA1302" s="423">
        <f>Z1302*Y1302</f>
        <v>1351680</v>
      </c>
      <c r="AB1302" s="411"/>
      <c r="AC1302" s="412">
        <f>AB1302*Y1302</f>
        <v>0</v>
      </c>
      <c r="AD1302" s="439"/>
      <c r="AE1302" s="438"/>
      <c r="AF1302" s="424">
        <f>AE1302+AD1302+AA1302</f>
        <v>1351680</v>
      </c>
      <c r="AG1302" s="432" t="s">
        <v>1069</v>
      </c>
      <c r="AH1302" s="432"/>
      <c r="AI1302" s="434" t="s">
        <v>1962</v>
      </c>
      <c r="AJ1302" s="432" t="s">
        <v>2533</v>
      </c>
      <c r="AK1302" s="440" t="s">
        <v>1136</v>
      </c>
      <c r="AL1302" s="432">
        <v>79423</v>
      </c>
      <c r="AM1302" s="432" t="s">
        <v>52</v>
      </c>
      <c r="AN1302" s="432"/>
      <c r="AO1302" s="432"/>
      <c r="AP1302" s="441"/>
      <c r="AQ1302" s="441" t="s">
        <v>37</v>
      </c>
      <c r="AR1302" s="441"/>
      <c r="AS1302" s="426"/>
      <c r="AT1302" s="426"/>
      <c r="AU1302" s="426"/>
      <c r="AV1302" s="437">
        <v>0.45500000000000002</v>
      </c>
    </row>
    <row r="1303" spans="1:48" s="402" customFormat="1" ht="15" customHeight="1">
      <c r="A1303" s="403"/>
      <c r="B1303" s="445">
        <v>44651</v>
      </c>
      <c r="C1303" s="403"/>
      <c r="D1303" s="443" t="s">
        <v>2480</v>
      </c>
      <c r="E1303" s="432" t="s">
        <v>3703</v>
      </c>
      <c r="F1303" s="432"/>
      <c r="G1303" s="432">
        <v>2022</v>
      </c>
      <c r="H1303" s="432"/>
      <c r="I1303" s="427" t="s">
        <v>1498</v>
      </c>
      <c r="J1303" s="433"/>
      <c r="K1303" s="434" t="s">
        <v>3706</v>
      </c>
      <c r="L1303" s="432" t="s">
        <v>2532</v>
      </c>
      <c r="M1303" s="435">
        <v>44651</v>
      </c>
      <c r="N1303" s="435">
        <v>44896</v>
      </c>
      <c r="O1303" s="435"/>
      <c r="P1303" s="433"/>
      <c r="Q1303" s="433"/>
      <c r="R1303" s="433"/>
      <c r="S1303" s="432" t="s">
        <v>1940</v>
      </c>
      <c r="T1303" s="432">
        <v>60</v>
      </c>
      <c r="U1303" s="432"/>
      <c r="V1303" s="432" t="s">
        <v>973</v>
      </c>
      <c r="W1303" s="432">
        <v>400</v>
      </c>
      <c r="X1303" s="436">
        <v>6144</v>
      </c>
      <c r="Y1303" s="422">
        <f>X1303*W1303</f>
        <v>2457600</v>
      </c>
      <c r="Z1303" s="437">
        <v>0.55000000000000004</v>
      </c>
      <c r="AA1303" s="423">
        <f>Z1303*Y1303</f>
        <v>1351680</v>
      </c>
      <c r="AB1303" s="411"/>
      <c r="AC1303" s="412">
        <f>AB1303*Y1303</f>
        <v>0</v>
      </c>
      <c r="AD1303" s="439"/>
      <c r="AE1303" s="438"/>
      <c r="AF1303" s="424">
        <f>AE1303+AD1303+AA1303</f>
        <v>1351680</v>
      </c>
      <c r="AG1303" s="432" t="s">
        <v>1069</v>
      </c>
      <c r="AH1303" s="432"/>
      <c r="AI1303" s="434" t="s">
        <v>1962</v>
      </c>
      <c r="AJ1303" s="432" t="s">
        <v>2533</v>
      </c>
      <c r="AK1303" s="440" t="s">
        <v>1136</v>
      </c>
      <c r="AL1303" s="432">
        <v>79423</v>
      </c>
      <c r="AM1303" s="432" t="s">
        <v>52</v>
      </c>
      <c r="AN1303" s="432"/>
      <c r="AO1303" s="432"/>
      <c r="AP1303" s="441"/>
      <c r="AQ1303" s="441" t="s">
        <v>37</v>
      </c>
      <c r="AR1303" s="441"/>
      <c r="AS1303" s="426"/>
      <c r="AT1303" s="426"/>
      <c r="AU1303" s="426"/>
      <c r="AV1303" s="437">
        <v>0.45500000000000002</v>
      </c>
    </row>
    <row r="1304" spans="1:48" s="402" customFormat="1" ht="15" customHeight="1">
      <c r="A1304" s="403"/>
      <c r="B1304" s="445">
        <v>44651</v>
      </c>
      <c r="C1304" s="403"/>
      <c r="D1304" s="443" t="s">
        <v>2480</v>
      </c>
      <c r="E1304" s="432" t="s">
        <v>3703</v>
      </c>
      <c r="F1304" s="432"/>
      <c r="G1304" s="432">
        <v>2023</v>
      </c>
      <c r="H1304" s="432"/>
      <c r="I1304" s="427" t="s">
        <v>1498</v>
      </c>
      <c r="J1304" s="433"/>
      <c r="K1304" s="434" t="s">
        <v>3707</v>
      </c>
      <c r="L1304" s="432" t="s">
        <v>2532</v>
      </c>
      <c r="M1304" s="435">
        <v>44651</v>
      </c>
      <c r="N1304" s="435">
        <v>44562</v>
      </c>
      <c r="O1304" s="435"/>
      <c r="P1304" s="433"/>
      <c r="Q1304" s="433"/>
      <c r="R1304" s="433"/>
      <c r="S1304" s="432" t="s">
        <v>1940</v>
      </c>
      <c r="T1304" s="432">
        <v>60</v>
      </c>
      <c r="U1304" s="432"/>
      <c r="V1304" s="432" t="s">
        <v>973</v>
      </c>
      <c r="W1304" s="432">
        <v>400</v>
      </c>
      <c r="X1304" s="436">
        <v>6144</v>
      </c>
      <c r="Y1304" s="422">
        <f t="shared" ref="Y1304:Y1313" si="158">X1304*W1304</f>
        <v>2457600</v>
      </c>
      <c r="Z1304" s="437">
        <v>0.55000000000000004</v>
      </c>
      <c r="AA1304" s="423">
        <f t="shared" ref="AA1304:AA1313" si="159">Z1304*Y1304</f>
        <v>1351680</v>
      </c>
      <c r="AB1304" s="411"/>
      <c r="AC1304" s="412">
        <f t="shared" ref="AC1304:AC1313" si="160">AB1304*Y1304</f>
        <v>0</v>
      </c>
      <c r="AD1304" s="439"/>
      <c r="AE1304" s="438"/>
      <c r="AF1304" s="424">
        <f t="shared" ref="AF1304:AF1313" si="161">AE1304+AD1304+AA1304</f>
        <v>1351680</v>
      </c>
      <c r="AG1304" s="432" t="s">
        <v>1069</v>
      </c>
      <c r="AH1304" s="432"/>
      <c r="AI1304" s="434" t="s">
        <v>1962</v>
      </c>
      <c r="AJ1304" s="432" t="s">
        <v>2533</v>
      </c>
      <c r="AK1304" s="440" t="s">
        <v>1136</v>
      </c>
      <c r="AL1304" s="432">
        <v>79423</v>
      </c>
      <c r="AM1304" s="432" t="s">
        <v>52</v>
      </c>
      <c r="AN1304" s="432"/>
      <c r="AO1304" s="432"/>
      <c r="AP1304" s="441"/>
      <c r="AQ1304" s="441" t="s">
        <v>37</v>
      </c>
      <c r="AR1304" s="441"/>
      <c r="AS1304" s="426"/>
      <c r="AT1304" s="426"/>
      <c r="AU1304" s="426"/>
      <c r="AV1304" s="437">
        <v>0.45500000000000002</v>
      </c>
    </row>
    <row r="1305" spans="1:48" s="402" customFormat="1" ht="15" customHeight="1">
      <c r="A1305" s="403"/>
      <c r="B1305" s="445">
        <v>44651</v>
      </c>
      <c r="C1305" s="403"/>
      <c r="D1305" s="443" t="s">
        <v>2480</v>
      </c>
      <c r="E1305" s="432" t="s">
        <v>2406</v>
      </c>
      <c r="F1305" s="432"/>
      <c r="G1305" s="432">
        <v>2022</v>
      </c>
      <c r="H1305" s="432"/>
      <c r="I1305" s="427" t="s">
        <v>1498</v>
      </c>
      <c r="J1305" s="433"/>
      <c r="K1305" s="434" t="s">
        <v>3708</v>
      </c>
      <c r="L1305" s="432" t="s">
        <v>1931</v>
      </c>
      <c r="M1305" s="435">
        <v>44650</v>
      </c>
      <c r="N1305" s="435">
        <v>44743</v>
      </c>
      <c r="O1305" s="435"/>
      <c r="P1305" s="433"/>
      <c r="Q1305" s="433"/>
      <c r="R1305" s="433"/>
      <c r="S1305" s="432" t="s">
        <v>1940</v>
      </c>
      <c r="T1305" s="432">
        <v>60</v>
      </c>
      <c r="U1305" s="432"/>
      <c r="V1305" s="432" t="s">
        <v>973</v>
      </c>
      <c r="W1305" s="432">
        <v>400</v>
      </c>
      <c r="X1305" s="436">
        <v>4992</v>
      </c>
      <c r="Y1305" s="422">
        <f t="shared" si="158"/>
        <v>1996800</v>
      </c>
      <c r="Z1305" s="437">
        <v>0.55000000000000004</v>
      </c>
      <c r="AA1305" s="423">
        <f t="shared" si="159"/>
        <v>1098240</v>
      </c>
      <c r="AB1305" s="411"/>
      <c r="AC1305" s="412">
        <f t="shared" si="160"/>
        <v>0</v>
      </c>
      <c r="AD1305" s="439"/>
      <c r="AE1305" s="438"/>
      <c r="AF1305" s="424">
        <f t="shared" si="161"/>
        <v>1098240</v>
      </c>
      <c r="AG1305" s="432" t="s">
        <v>1069</v>
      </c>
      <c r="AH1305" s="432"/>
      <c r="AI1305" s="434" t="s">
        <v>1962</v>
      </c>
      <c r="AJ1305" s="432" t="s">
        <v>1933</v>
      </c>
      <c r="AK1305" s="440" t="s">
        <v>1328</v>
      </c>
      <c r="AL1305" s="432">
        <v>89118</v>
      </c>
      <c r="AM1305" s="432" t="s">
        <v>52</v>
      </c>
      <c r="AN1305" s="432"/>
      <c r="AO1305" s="432"/>
      <c r="AP1305" s="441"/>
      <c r="AQ1305" s="441" t="s">
        <v>37</v>
      </c>
      <c r="AR1305" s="441"/>
      <c r="AS1305" s="426"/>
      <c r="AT1305" s="426"/>
      <c r="AU1305" s="426"/>
      <c r="AV1305" s="437">
        <v>0.45500000000000002</v>
      </c>
    </row>
    <row r="1306" spans="1:48" s="402" customFormat="1" ht="15" customHeight="1">
      <c r="A1306" s="403"/>
      <c r="B1306" s="445">
        <v>44651</v>
      </c>
      <c r="C1306" s="403"/>
      <c r="D1306" s="443" t="s">
        <v>2480</v>
      </c>
      <c r="E1306" s="432" t="s">
        <v>2406</v>
      </c>
      <c r="F1306" s="432"/>
      <c r="G1306" s="432">
        <v>2022</v>
      </c>
      <c r="H1306" s="432"/>
      <c r="I1306" s="427" t="s">
        <v>1498</v>
      </c>
      <c r="J1306" s="433"/>
      <c r="K1306" s="434" t="s">
        <v>3709</v>
      </c>
      <c r="L1306" s="432" t="s">
        <v>1931</v>
      </c>
      <c r="M1306" s="435">
        <v>44650</v>
      </c>
      <c r="N1306" s="435">
        <v>44774</v>
      </c>
      <c r="O1306" s="435"/>
      <c r="P1306" s="433"/>
      <c r="Q1306" s="433"/>
      <c r="R1306" s="433"/>
      <c r="S1306" s="432" t="s">
        <v>1940</v>
      </c>
      <c r="T1306" s="432">
        <v>60</v>
      </c>
      <c r="U1306" s="432"/>
      <c r="V1306" s="432" t="s">
        <v>973</v>
      </c>
      <c r="W1306" s="432">
        <v>400</v>
      </c>
      <c r="X1306" s="436">
        <v>4992</v>
      </c>
      <c r="Y1306" s="422">
        <f t="shared" si="158"/>
        <v>1996800</v>
      </c>
      <c r="Z1306" s="437">
        <v>0.55000000000000004</v>
      </c>
      <c r="AA1306" s="423">
        <f t="shared" si="159"/>
        <v>1098240</v>
      </c>
      <c r="AB1306" s="411"/>
      <c r="AC1306" s="412">
        <f t="shared" si="160"/>
        <v>0</v>
      </c>
      <c r="AD1306" s="439"/>
      <c r="AE1306" s="438"/>
      <c r="AF1306" s="424">
        <f t="shared" si="161"/>
        <v>1098240</v>
      </c>
      <c r="AG1306" s="432" t="s">
        <v>1069</v>
      </c>
      <c r="AH1306" s="432"/>
      <c r="AI1306" s="434" t="s">
        <v>1962</v>
      </c>
      <c r="AJ1306" s="432" t="s">
        <v>1933</v>
      </c>
      <c r="AK1306" s="440" t="s">
        <v>1328</v>
      </c>
      <c r="AL1306" s="432">
        <v>89118</v>
      </c>
      <c r="AM1306" s="432" t="s">
        <v>52</v>
      </c>
      <c r="AN1306" s="432"/>
      <c r="AO1306" s="432"/>
      <c r="AP1306" s="441"/>
      <c r="AQ1306" s="441" t="s">
        <v>37</v>
      </c>
      <c r="AR1306" s="441"/>
      <c r="AS1306" s="426"/>
      <c r="AT1306" s="426"/>
      <c r="AU1306" s="426"/>
      <c r="AV1306" s="437">
        <v>0.45500000000000002</v>
      </c>
    </row>
    <row r="1307" spans="1:48" s="402" customFormat="1" ht="15" customHeight="1">
      <c r="A1307" s="403"/>
      <c r="B1307" s="445">
        <v>44651</v>
      </c>
      <c r="C1307" s="403"/>
      <c r="D1307" s="443" t="s">
        <v>2480</v>
      </c>
      <c r="E1307" s="432" t="s">
        <v>2406</v>
      </c>
      <c r="F1307" s="432"/>
      <c r="G1307" s="432">
        <v>2022</v>
      </c>
      <c r="H1307" s="432"/>
      <c r="I1307" s="427" t="s">
        <v>1498</v>
      </c>
      <c r="J1307" s="433"/>
      <c r="K1307" s="434" t="s">
        <v>3710</v>
      </c>
      <c r="L1307" s="432" t="s">
        <v>1931</v>
      </c>
      <c r="M1307" s="435">
        <v>44650</v>
      </c>
      <c r="N1307" s="435">
        <v>44805</v>
      </c>
      <c r="O1307" s="435"/>
      <c r="P1307" s="433"/>
      <c r="Q1307" s="433"/>
      <c r="R1307" s="433"/>
      <c r="S1307" s="432" t="s">
        <v>1940</v>
      </c>
      <c r="T1307" s="432">
        <v>60</v>
      </c>
      <c r="U1307" s="432"/>
      <c r="V1307" s="432" t="s">
        <v>973</v>
      </c>
      <c r="W1307" s="432">
        <v>400</v>
      </c>
      <c r="X1307" s="436">
        <v>4992</v>
      </c>
      <c r="Y1307" s="422">
        <f t="shared" si="158"/>
        <v>1996800</v>
      </c>
      <c r="Z1307" s="437">
        <v>0.55000000000000004</v>
      </c>
      <c r="AA1307" s="423">
        <f t="shared" si="159"/>
        <v>1098240</v>
      </c>
      <c r="AB1307" s="411"/>
      <c r="AC1307" s="412">
        <f t="shared" si="160"/>
        <v>0</v>
      </c>
      <c r="AD1307" s="439"/>
      <c r="AE1307" s="438"/>
      <c r="AF1307" s="424">
        <f t="shared" si="161"/>
        <v>1098240</v>
      </c>
      <c r="AG1307" s="432" t="s">
        <v>1069</v>
      </c>
      <c r="AH1307" s="432"/>
      <c r="AI1307" s="434" t="s">
        <v>1962</v>
      </c>
      <c r="AJ1307" s="432" t="s">
        <v>1933</v>
      </c>
      <c r="AK1307" s="440" t="s">
        <v>1328</v>
      </c>
      <c r="AL1307" s="432">
        <v>89118</v>
      </c>
      <c r="AM1307" s="432" t="s">
        <v>52</v>
      </c>
      <c r="AN1307" s="432"/>
      <c r="AO1307" s="432"/>
      <c r="AP1307" s="441"/>
      <c r="AQ1307" s="441" t="s">
        <v>37</v>
      </c>
      <c r="AR1307" s="441"/>
      <c r="AS1307" s="426"/>
      <c r="AT1307" s="426"/>
      <c r="AU1307" s="426"/>
      <c r="AV1307" s="437">
        <v>0.45500000000000002</v>
      </c>
    </row>
    <row r="1308" spans="1:48" s="402" customFormat="1" ht="15" customHeight="1">
      <c r="A1308" s="403"/>
      <c r="B1308" s="445">
        <v>44651</v>
      </c>
      <c r="C1308" s="403"/>
      <c r="D1308" s="443" t="s">
        <v>2480</v>
      </c>
      <c r="E1308" s="432" t="s">
        <v>2406</v>
      </c>
      <c r="F1308" s="432"/>
      <c r="G1308" s="432">
        <v>2022</v>
      </c>
      <c r="H1308" s="432"/>
      <c r="I1308" s="427" t="s">
        <v>1498</v>
      </c>
      <c r="J1308" s="433"/>
      <c r="K1308" s="434" t="s">
        <v>3711</v>
      </c>
      <c r="L1308" s="432" t="s">
        <v>1931</v>
      </c>
      <c r="M1308" s="435">
        <v>44650</v>
      </c>
      <c r="N1308" s="435">
        <v>44837</v>
      </c>
      <c r="O1308" s="435"/>
      <c r="P1308" s="433"/>
      <c r="Q1308" s="433"/>
      <c r="R1308" s="433"/>
      <c r="S1308" s="432" t="s">
        <v>1940</v>
      </c>
      <c r="T1308" s="432">
        <v>60</v>
      </c>
      <c r="U1308" s="432"/>
      <c r="V1308" s="432" t="s">
        <v>973</v>
      </c>
      <c r="W1308" s="432">
        <v>400</v>
      </c>
      <c r="X1308" s="436">
        <v>5824</v>
      </c>
      <c r="Y1308" s="422">
        <f t="shared" si="158"/>
        <v>2329600</v>
      </c>
      <c r="Z1308" s="437">
        <v>0.55000000000000004</v>
      </c>
      <c r="AA1308" s="423">
        <f t="shared" si="159"/>
        <v>1281280</v>
      </c>
      <c r="AB1308" s="411"/>
      <c r="AC1308" s="412">
        <f t="shared" si="160"/>
        <v>0</v>
      </c>
      <c r="AD1308" s="439"/>
      <c r="AE1308" s="438"/>
      <c r="AF1308" s="424">
        <f t="shared" si="161"/>
        <v>1281280</v>
      </c>
      <c r="AG1308" s="432" t="s">
        <v>1069</v>
      </c>
      <c r="AH1308" s="432"/>
      <c r="AI1308" s="434" t="s">
        <v>1962</v>
      </c>
      <c r="AJ1308" s="432" t="s">
        <v>1933</v>
      </c>
      <c r="AK1308" s="440" t="s">
        <v>1328</v>
      </c>
      <c r="AL1308" s="432">
        <v>89118</v>
      </c>
      <c r="AM1308" s="432" t="s">
        <v>52</v>
      </c>
      <c r="AN1308" s="432"/>
      <c r="AO1308" s="432"/>
      <c r="AP1308" s="441"/>
      <c r="AQ1308" s="441" t="s">
        <v>37</v>
      </c>
      <c r="AR1308" s="441"/>
      <c r="AS1308" s="426"/>
      <c r="AT1308" s="426"/>
      <c r="AU1308" s="426"/>
      <c r="AV1308" s="437">
        <v>0.45500000000000002</v>
      </c>
    </row>
    <row r="1309" spans="1:48" s="402" customFormat="1" ht="15" customHeight="1">
      <c r="A1309" s="403"/>
      <c r="B1309" s="445">
        <v>44651</v>
      </c>
      <c r="C1309" s="403"/>
      <c r="D1309" s="443" t="s">
        <v>2480</v>
      </c>
      <c r="E1309" s="432" t="s">
        <v>2406</v>
      </c>
      <c r="F1309" s="432"/>
      <c r="G1309" s="432">
        <v>2022</v>
      </c>
      <c r="H1309" s="432"/>
      <c r="I1309" s="427" t="s">
        <v>1498</v>
      </c>
      <c r="J1309" s="433"/>
      <c r="K1309" s="434" t="s">
        <v>3712</v>
      </c>
      <c r="L1309" s="432" t="s">
        <v>1931</v>
      </c>
      <c r="M1309" s="435">
        <v>44650</v>
      </c>
      <c r="N1309" s="435">
        <v>44866</v>
      </c>
      <c r="O1309" s="435"/>
      <c r="P1309" s="433"/>
      <c r="Q1309" s="433"/>
      <c r="R1309" s="433"/>
      <c r="S1309" s="432" t="s">
        <v>1940</v>
      </c>
      <c r="T1309" s="432">
        <v>60</v>
      </c>
      <c r="U1309" s="432"/>
      <c r="V1309" s="432" t="s">
        <v>973</v>
      </c>
      <c r="W1309" s="432">
        <v>400</v>
      </c>
      <c r="X1309" s="436">
        <v>5824</v>
      </c>
      <c r="Y1309" s="422">
        <f t="shared" si="158"/>
        <v>2329600</v>
      </c>
      <c r="Z1309" s="437">
        <v>0.55000000000000004</v>
      </c>
      <c r="AA1309" s="423">
        <f t="shared" si="159"/>
        <v>1281280</v>
      </c>
      <c r="AB1309" s="411"/>
      <c r="AC1309" s="412">
        <f t="shared" si="160"/>
        <v>0</v>
      </c>
      <c r="AD1309" s="439"/>
      <c r="AE1309" s="438"/>
      <c r="AF1309" s="424">
        <f t="shared" si="161"/>
        <v>1281280</v>
      </c>
      <c r="AG1309" s="432" t="s">
        <v>1069</v>
      </c>
      <c r="AH1309" s="432"/>
      <c r="AI1309" s="434" t="s">
        <v>1962</v>
      </c>
      <c r="AJ1309" s="432" t="s">
        <v>1933</v>
      </c>
      <c r="AK1309" s="440" t="s">
        <v>1328</v>
      </c>
      <c r="AL1309" s="432">
        <v>89118</v>
      </c>
      <c r="AM1309" s="432" t="s">
        <v>52</v>
      </c>
      <c r="AN1309" s="432"/>
      <c r="AO1309" s="432"/>
      <c r="AP1309" s="441"/>
      <c r="AQ1309" s="441" t="s">
        <v>37</v>
      </c>
      <c r="AR1309" s="441"/>
      <c r="AS1309" s="426"/>
      <c r="AT1309" s="426"/>
      <c r="AU1309" s="426"/>
      <c r="AV1309" s="437">
        <v>0.45500000000000002</v>
      </c>
    </row>
    <row r="1310" spans="1:48" s="402" customFormat="1" ht="15" customHeight="1">
      <c r="A1310" s="403"/>
      <c r="B1310" s="445">
        <v>44651</v>
      </c>
      <c r="C1310" s="403"/>
      <c r="D1310" s="443" t="s">
        <v>2480</v>
      </c>
      <c r="E1310" s="432" t="s">
        <v>2406</v>
      </c>
      <c r="F1310" s="432"/>
      <c r="G1310" s="432">
        <v>2022</v>
      </c>
      <c r="H1310" s="432"/>
      <c r="I1310" s="427" t="s">
        <v>1498</v>
      </c>
      <c r="J1310" s="433"/>
      <c r="K1310" s="434" t="s">
        <v>3713</v>
      </c>
      <c r="L1310" s="432" t="s">
        <v>1931</v>
      </c>
      <c r="M1310" s="435">
        <v>44650</v>
      </c>
      <c r="N1310" s="435">
        <v>44896</v>
      </c>
      <c r="O1310" s="435"/>
      <c r="P1310" s="433"/>
      <c r="Q1310" s="433"/>
      <c r="R1310" s="433"/>
      <c r="S1310" s="432" t="s">
        <v>1940</v>
      </c>
      <c r="T1310" s="432">
        <v>60</v>
      </c>
      <c r="U1310" s="432"/>
      <c r="V1310" s="432" t="s">
        <v>973</v>
      </c>
      <c r="W1310" s="432">
        <v>400</v>
      </c>
      <c r="X1310" s="436">
        <v>5824</v>
      </c>
      <c r="Y1310" s="422">
        <f t="shared" si="158"/>
        <v>2329600</v>
      </c>
      <c r="Z1310" s="437">
        <v>0.55000000000000004</v>
      </c>
      <c r="AA1310" s="423">
        <f t="shared" si="159"/>
        <v>1281280</v>
      </c>
      <c r="AB1310" s="411"/>
      <c r="AC1310" s="412">
        <f t="shared" si="160"/>
        <v>0</v>
      </c>
      <c r="AD1310" s="439"/>
      <c r="AE1310" s="438"/>
      <c r="AF1310" s="424">
        <f t="shared" si="161"/>
        <v>1281280</v>
      </c>
      <c r="AG1310" s="432" t="s">
        <v>1069</v>
      </c>
      <c r="AH1310" s="432"/>
      <c r="AI1310" s="434" t="s">
        <v>1962</v>
      </c>
      <c r="AJ1310" s="432" t="s">
        <v>1933</v>
      </c>
      <c r="AK1310" s="440" t="s">
        <v>1328</v>
      </c>
      <c r="AL1310" s="432">
        <v>89118</v>
      </c>
      <c r="AM1310" s="432" t="s">
        <v>52</v>
      </c>
      <c r="AN1310" s="432"/>
      <c r="AO1310" s="432"/>
      <c r="AP1310" s="441"/>
      <c r="AQ1310" s="441" t="s">
        <v>37</v>
      </c>
      <c r="AR1310" s="441"/>
      <c r="AS1310" s="426"/>
      <c r="AT1310" s="426"/>
      <c r="AU1310" s="426"/>
      <c r="AV1310" s="437">
        <v>0.45500000000000002</v>
      </c>
    </row>
    <row r="1311" spans="1:48" s="402" customFormat="1" ht="15" customHeight="1">
      <c r="A1311" s="403"/>
      <c r="B1311" s="445">
        <v>44638</v>
      </c>
      <c r="C1311" s="445"/>
      <c r="D1311" s="443" t="s">
        <v>2480</v>
      </c>
      <c r="E1311" s="432"/>
      <c r="F1311" s="432"/>
      <c r="G1311" s="432">
        <v>2022</v>
      </c>
      <c r="H1311" s="432"/>
      <c r="I1311" s="427" t="s">
        <v>1498</v>
      </c>
      <c r="J1311" s="433"/>
      <c r="K1311" s="434" t="s">
        <v>3714</v>
      </c>
      <c r="L1311" s="432" t="s">
        <v>2527</v>
      </c>
      <c r="M1311" s="435">
        <v>44637</v>
      </c>
      <c r="N1311" s="435">
        <v>44743</v>
      </c>
      <c r="O1311" s="435"/>
      <c r="P1311" s="433"/>
      <c r="Q1311" s="433"/>
      <c r="R1311" s="433"/>
      <c r="S1311" s="432" t="s">
        <v>1940</v>
      </c>
      <c r="T1311" s="432">
        <v>60</v>
      </c>
      <c r="U1311" s="432"/>
      <c r="V1311" s="432" t="s">
        <v>973</v>
      </c>
      <c r="W1311" s="432">
        <v>400</v>
      </c>
      <c r="X1311" s="436">
        <v>768</v>
      </c>
      <c r="Y1311" s="422">
        <f t="shared" si="158"/>
        <v>307200</v>
      </c>
      <c r="Z1311" s="437">
        <v>0.55000000000000004</v>
      </c>
      <c r="AA1311" s="423">
        <f t="shared" si="159"/>
        <v>168960</v>
      </c>
      <c r="AB1311" s="411"/>
      <c r="AC1311" s="412">
        <f t="shared" si="160"/>
        <v>0</v>
      </c>
      <c r="AD1311" s="439"/>
      <c r="AE1311" s="438"/>
      <c r="AF1311" s="424">
        <f t="shared" si="161"/>
        <v>168960</v>
      </c>
      <c r="AG1311" s="432" t="s">
        <v>1069</v>
      </c>
      <c r="AH1311" s="432"/>
      <c r="AI1311" s="434" t="s">
        <v>1962</v>
      </c>
      <c r="AJ1311" s="432" t="s">
        <v>1941</v>
      </c>
      <c r="AK1311" s="440" t="s">
        <v>1942</v>
      </c>
      <c r="AL1311" s="432">
        <v>87107</v>
      </c>
      <c r="AM1311" s="432" t="s">
        <v>52</v>
      </c>
      <c r="AN1311" s="432"/>
      <c r="AO1311" s="432"/>
      <c r="AP1311" s="441"/>
      <c r="AQ1311" s="441" t="s">
        <v>37</v>
      </c>
      <c r="AR1311" s="441"/>
      <c r="AS1311" s="426"/>
      <c r="AT1311" s="426"/>
      <c r="AU1311" s="426"/>
      <c r="AV1311" s="437">
        <v>0.45500000000000002</v>
      </c>
    </row>
    <row r="1312" spans="1:48" s="402" customFormat="1" ht="15" customHeight="1">
      <c r="A1312" s="403"/>
      <c r="B1312" s="445">
        <v>44638</v>
      </c>
      <c r="C1312" s="445"/>
      <c r="D1312" s="443" t="s">
        <v>2480</v>
      </c>
      <c r="E1312" s="432"/>
      <c r="F1312" s="432"/>
      <c r="G1312" s="432">
        <v>2022</v>
      </c>
      <c r="H1312" s="432"/>
      <c r="I1312" s="427" t="s">
        <v>1498</v>
      </c>
      <c r="J1312" s="433"/>
      <c r="K1312" s="434" t="s">
        <v>3715</v>
      </c>
      <c r="L1312" s="432" t="s">
        <v>2527</v>
      </c>
      <c r="M1312" s="435">
        <v>44637</v>
      </c>
      <c r="N1312" s="435">
        <v>44774</v>
      </c>
      <c r="O1312" s="435"/>
      <c r="P1312" s="433"/>
      <c r="Q1312" s="433"/>
      <c r="R1312" s="433"/>
      <c r="S1312" s="432" t="s">
        <v>1940</v>
      </c>
      <c r="T1312" s="432">
        <v>60</v>
      </c>
      <c r="U1312" s="432"/>
      <c r="V1312" s="432" t="s">
        <v>973</v>
      </c>
      <c r="W1312" s="432">
        <v>400</v>
      </c>
      <c r="X1312" s="436">
        <v>1536</v>
      </c>
      <c r="Y1312" s="422">
        <f t="shared" si="158"/>
        <v>614400</v>
      </c>
      <c r="Z1312" s="437">
        <v>0.55000000000000004</v>
      </c>
      <c r="AA1312" s="423">
        <f t="shared" si="159"/>
        <v>337920</v>
      </c>
      <c r="AB1312" s="411"/>
      <c r="AC1312" s="412">
        <f t="shared" si="160"/>
        <v>0</v>
      </c>
      <c r="AD1312" s="439"/>
      <c r="AE1312" s="438"/>
      <c r="AF1312" s="424">
        <f t="shared" si="161"/>
        <v>337920</v>
      </c>
      <c r="AG1312" s="432" t="s">
        <v>1069</v>
      </c>
      <c r="AH1312" s="432"/>
      <c r="AI1312" s="434" t="s">
        <v>1962</v>
      </c>
      <c r="AJ1312" s="432" t="s">
        <v>1941</v>
      </c>
      <c r="AK1312" s="440" t="s">
        <v>1942</v>
      </c>
      <c r="AL1312" s="432">
        <v>87107</v>
      </c>
      <c r="AM1312" s="432" t="s">
        <v>52</v>
      </c>
      <c r="AN1312" s="432"/>
      <c r="AO1312" s="432"/>
      <c r="AP1312" s="441"/>
      <c r="AQ1312" s="441" t="s">
        <v>37</v>
      </c>
      <c r="AR1312" s="441"/>
      <c r="AS1312" s="426"/>
      <c r="AT1312" s="426"/>
      <c r="AU1312" s="426"/>
      <c r="AV1312" s="437">
        <v>0.45500000000000002</v>
      </c>
    </row>
    <row r="1313" spans="1:48" s="402" customFormat="1" ht="15" customHeight="1">
      <c r="A1313" s="403"/>
      <c r="B1313" s="445">
        <v>44638</v>
      </c>
      <c r="C1313" s="445"/>
      <c r="D1313" s="443" t="s">
        <v>2480</v>
      </c>
      <c r="E1313" s="432"/>
      <c r="F1313" s="432"/>
      <c r="G1313" s="432">
        <v>2022</v>
      </c>
      <c r="H1313" s="432"/>
      <c r="I1313" s="427" t="s">
        <v>1498</v>
      </c>
      <c r="J1313" s="433"/>
      <c r="K1313" s="434" t="s">
        <v>3716</v>
      </c>
      <c r="L1313" s="432" t="s">
        <v>2527</v>
      </c>
      <c r="M1313" s="435">
        <v>44637</v>
      </c>
      <c r="N1313" s="435">
        <v>44805</v>
      </c>
      <c r="O1313" s="435"/>
      <c r="P1313" s="433"/>
      <c r="Q1313" s="433"/>
      <c r="R1313" s="433"/>
      <c r="S1313" s="432" t="s">
        <v>1940</v>
      </c>
      <c r="T1313" s="432">
        <v>60</v>
      </c>
      <c r="U1313" s="432"/>
      <c r="V1313" s="432" t="s">
        <v>973</v>
      </c>
      <c r="W1313" s="432">
        <v>400</v>
      </c>
      <c r="X1313" s="436">
        <v>768</v>
      </c>
      <c r="Y1313" s="422">
        <f t="shared" si="158"/>
        <v>307200</v>
      </c>
      <c r="Z1313" s="437">
        <v>0.55000000000000004</v>
      </c>
      <c r="AA1313" s="423">
        <f t="shared" si="159"/>
        <v>168960</v>
      </c>
      <c r="AB1313" s="411"/>
      <c r="AC1313" s="412">
        <f t="shared" si="160"/>
        <v>0</v>
      </c>
      <c r="AD1313" s="439"/>
      <c r="AE1313" s="438"/>
      <c r="AF1313" s="424">
        <f t="shared" si="161"/>
        <v>168960</v>
      </c>
      <c r="AG1313" s="432" t="s">
        <v>1069</v>
      </c>
      <c r="AH1313" s="432"/>
      <c r="AI1313" s="434" t="s">
        <v>1962</v>
      </c>
      <c r="AJ1313" s="432" t="s">
        <v>1941</v>
      </c>
      <c r="AK1313" s="440" t="s">
        <v>1942</v>
      </c>
      <c r="AL1313" s="432">
        <v>87107</v>
      </c>
      <c r="AM1313" s="432" t="s">
        <v>52</v>
      </c>
      <c r="AN1313" s="432"/>
      <c r="AO1313" s="432"/>
      <c r="AP1313" s="441"/>
      <c r="AQ1313" s="441" t="s">
        <v>37</v>
      </c>
      <c r="AR1313" s="441"/>
      <c r="AS1313" s="426"/>
      <c r="AT1313" s="426"/>
      <c r="AU1313" s="426"/>
      <c r="AV1313" s="437">
        <v>0.45500000000000002</v>
      </c>
    </row>
    <row r="1314" spans="1:48" s="402" customFormat="1" ht="15" customHeight="1">
      <c r="A1314" s="403"/>
      <c r="B1314" s="403"/>
      <c r="C1314" s="403"/>
      <c r="D1314" s="443" t="s">
        <v>2480</v>
      </c>
      <c r="E1314" s="432" t="s">
        <v>3683</v>
      </c>
      <c r="F1314" s="432"/>
      <c r="G1314" s="432"/>
      <c r="H1314" s="432"/>
      <c r="I1314" s="427" t="s">
        <v>1498</v>
      </c>
      <c r="J1314" s="433"/>
      <c r="K1314" s="434" t="s">
        <v>3717</v>
      </c>
      <c r="L1314" s="432" t="s">
        <v>2492</v>
      </c>
      <c r="M1314" s="435">
        <v>44538</v>
      </c>
      <c r="N1314" s="435">
        <v>44774</v>
      </c>
      <c r="O1314" s="435"/>
      <c r="P1314" s="433"/>
      <c r="Q1314" s="433"/>
      <c r="R1314" s="433"/>
      <c r="S1314" s="432" t="s">
        <v>1940</v>
      </c>
      <c r="T1314" s="432">
        <v>60</v>
      </c>
      <c r="U1314" s="432"/>
      <c r="V1314" s="432" t="s">
        <v>985</v>
      </c>
      <c r="W1314" s="432">
        <v>400</v>
      </c>
      <c r="X1314" s="436">
        <v>1536</v>
      </c>
      <c r="Y1314" s="422">
        <f>X1314*W1314</f>
        <v>614400</v>
      </c>
      <c r="Z1314" s="409">
        <v>0.52</v>
      </c>
      <c r="AA1314" s="423">
        <f>Z1314*Y1314</f>
        <v>319488</v>
      </c>
      <c r="AB1314" s="411"/>
      <c r="AC1314" s="412">
        <f>AB1314*Y1314</f>
        <v>0</v>
      </c>
      <c r="AD1314" s="421"/>
      <c r="AE1314" s="413"/>
      <c r="AF1314" s="424">
        <f>AE1314+AD1314+AA1314</f>
        <v>319488</v>
      </c>
      <c r="AG1314" s="405" t="s">
        <v>1069</v>
      </c>
      <c r="AH1314" s="405"/>
      <c r="AI1314" s="414" t="s">
        <v>1962</v>
      </c>
      <c r="AJ1314" s="405" t="s">
        <v>2493</v>
      </c>
      <c r="AK1314" s="425" t="s">
        <v>1930</v>
      </c>
      <c r="AL1314" s="405">
        <v>81006</v>
      </c>
      <c r="AM1314" s="405" t="s">
        <v>52</v>
      </c>
      <c r="AN1314" s="405"/>
      <c r="AO1314" s="405"/>
      <c r="AP1314" s="417"/>
      <c r="AQ1314" s="417" t="s">
        <v>37</v>
      </c>
      <c r="AR1314" s="417"/>
      <c r="AS1314" s="426"/>
      <c r="AT1314" s="426"/>
      <c r="AU1314" s="426"/>
      <c r="AV1314" s="409">
        <v>0.52</v>
      </c>
    </row>
    <row r="1315" spans="1:48" s="402" customFormat="1" ht="15" customHeight="1">
      <c r="A1315" s="403"/>
      <c r="B1315" s="403"/>
      <c r="C1315" s="403"/>
      <c r="D1315" s="443" t="s">
        <v>2480</v>
      </c>
      <c r="E1315" s="432" t="s">
        <v>3683</v>
      </c>
      <c r="F1315" s="432"/>
      <c r="G1315" s="432"/>
      <c r="H1315" s="432"/>
      <c r="I1315" s="427" t="s">
        <v>1498</v>
      </c>
      <c r="J1315" s="433"/>
      <c r="K1315" s="434" t="s">
        <v>3718</v>
      </c>
      <c r="L1315" s="432" t="s">
        <v>2492</v>
      </c>
      <c r="M1315" s="435">
        <v>44538</v>
      </c>
      <c r="N1315" s="435">
        <v>44805</v>
      </c>
      <c r="O1315" s="435"/>
      <c r="P1315" s="433"/>
      <c r="Q1315" s="433"/>
      <c r="R1315" s="433"/>
      <c r="S1315" s="432" t="s">
        <v>1940</v>
      </c>
      <c r="T1315" s="432">
        <v>60</v>
      </c>
      <c r="U1315" s="432"/>
      <c r="V1315" s="432" t="s">
        <v>985</v>
      </c>
      <c r="W1315" s="432">
        <v>400</v>
      </c>
      <c r="X1315" s="436">
        <v>1536</v>
      </c>
      <c r="Y1315" s="422">
        <f>X1315*W1315</f>
        <v>614400</v>
      </c>
      <c r="Z1315" s="409">
        <v>0.52</v>
      </c>
      <c r="AA1315" s="423">
        <f>Z1315*Y1315</f>
        <v>319488</v>
      </c>
      <c r="AB1315" s="411"/>
      <c r="AC1315" s="412">
        <f>AB1315*Y1315</f>
        <v>0</v>
      </c>
      <c r="AD1315" s="421"/>
      <c r="AE1315" s="413"/>
      <c r="AF1315" s="424">
        <f>AE1315+AD1315+AA1315</f>
        <v>319488</v>
      </c>
      <c r="AG1315" s="405" t="s">
        <v>1069</v>
      </c>
      <c r="AH1315" s="405"/>
      <c r="AI1315" s="414" t="s">
        <v>1962</v>
      </c>
      <c r="AJ1315" s="405" t="s">
        <v>2493</v>
      </c>
      <c r="AK1315" s="425" t="s">
        <v>1930</v>
      </c>
      <c r="AL1315" s="405">
        <v>81006</v>
      </c>
      <c r="AM1315" s="405" t="s">
        <v>52</v>
      </c>
      <c r="AN1315" s="405"/>
      <c r="AO1315" s="405"/>
      <c r="AP1315" s="417"/>
      <c r="AQ1315" s="417" t="s">
        <v>37</v>
      </c>
      <c r="AR1315" s="417"/>
      <c r="AS1315" s="426"/>
      <c r="AT1315" s="426"/>
      <c r="AU1315" s="426"/>
      <c r="AV1315" s="409">
        <v>0.52</v>
      </c>
    </row>
    <row r="1316" spans="1:48" s="402" customFormat="1" ht="15" customHeight="1">
      <c r="A1316" s="403"/>
      <c r="B1316" s="403"/>
      <c r="C1316" s="403"/>
      <c r="D1316" s="443" t="s">
        <v>2480</v>
      </c>
      <c r="E1316" s="432" t="s">
        <v>3683</v>
      </c>
      <c r="F1316" s="432"/>
      <c r="G1316" s="432"/>
      <c r="H1316" s="432"/>
      <c r="I1316" s="427" t="s">
        <v>1498</v>
      </c>
      <c r="J1316" s="433"/>
      <c r="K1316" s="434" t="s">
        <v>3719</v>
      </c>
      <c r="L1316" s="432" t="s">
        <v>2492</v>
      </c>
      <c r="M1316" s="435">
        <v>44538</v>
      </c>
      <c r="N1316" s="435">
        <v>44835</v>
      </c>
      <c r="O1316" s="435"/>
      <c r="P1316" s="433"/>
      <c r="Q1316" s="433"/>
      <c r="R1316" s="433"/>
      <c r="S1316" s="432" t="s">
        <v>1940</v>
      </c>
      <c r="T1316" s="432">
        <v>60</v>
      </c>
      <c r="U1316" s="432"/>
      <c r="V1316" s="432" t="s">
        <v>985</v>
      </c>
      <c r="W1316" s="432">
        <v>400</v>
      </c>
      <c r="X1316" s="436">
        <v>2304</v>
      </c>
      <c r="Y1316" s="422">
        <f>X1316*W1316</f>
        <v>921600</v>
      </c>
      <c r="Z1316" s="409">
        <v>0.52</v>
      </c>
      <c r="AA1316" s="423">
        <f>Z1316*Y1316</f>
        <v>479232</v>
      </c>
      <c r="AB1316" s="411"/>
      <c r="AC1316" s="412">
        <f>AB1316*Y1316</f>
        <v>0</v>
      </c>
      <c r="AD1316" s="421"/>
      <c r="AE1316" s="413"/>
      <c r="AF1316" s="424">
        <f>AE1316+AD1316+AA1316</f>
        <v>479232</v>
      </c>
      <c r="AG1316" s="405" t="s">
        <v>1069</v>
      </c>
      <c r="AH1316" s="405"/>
      <c r="AI1316" s="414" t="s">
        <v>1962</v>
      </c>
      <c r="AJ1316" s="405" t="s">
        <v>2493</v>
      </c>
      <c r="AK1316" s="425" t="s">
        <v>1930</v>
      </c>
      <c r="AL1316" s="405">
        <v>81006</v>
      </c>
      <c r="AM1316" s="405" t="s">
        <v>52</v>
      </c>
      <c r="AN1316" s="405"/>
      <c r="AO1316" s="405"/>
      <c r="AP1316" s="417"/>
      <c r="AQ1316" s="417" t="s">
        <v>37</v>
      </c>
      <c r="AR1316" s="417"/>
      <c r="AS1316" s="426"/>
      <c r="AT1316" s="426"/>
      <c r="AU1316" s="426"/>
      <c r="AV1316" s="409">
        <v>0.52</v>
      </c>
    </row>
    <row r="1317" spans="1:48" s="402" customFormat="1" ht="15" customHeight="1">
      <c r="A1317" s="403"/>
      <c r="B1317" s="403"/>
      <c r="C1317" s="403"/>
      <c r="D1317" s="443" t="s">
        <v>2480</v>
      </c>
      <c r="E1317" s="432" t="s">
        <v>3683</v>
      </c>
      <c r="F1317" s="432"/>
      <c r="G1317" s="432"/>
      <c r="H1317" s="432"/>
      <c r="I1317" s="427" t="s">
        <v>1498</v>
      </c>
      <c r="J1317" s="433"/>
      <c r="K1317" s="434" t="s">
        <v>3720</v>
      </c>
      <c r="L1317" s="432" t="s">
        <v>2492</v>
      </c>
      <c r="M1317" s="435">
        <v>44538</v>
      </c>
      <c r="N1317" s="435">
        <v>44866</v>
      </c>
      <c r="O1317" s="435"/>
      <c r="P1317" s="433"/>
      <c r="Q1317" s="433"/>
      <c r="R1317" s="433"/>
      <c r="S1317" s="432" t="s">
        <v>1940</v>
      </c>
      <c r="T1317" s="432">
        <v>60</v>
      </c>
      <c r="U1317" s="432"/>
      <c r="V1317" s="432" t="s">
        <v>985</v>
      </c>
      <c r="W1317" s="432">
        <v>400</v>
      </c>
      <c r="X1317" s="436">
        <v>1536</v>
      </c>
      <c r="Y1317" s="422">
        <f>X1317*W1317</f>
        <v>614400</v>
      </c>
      <c r="Z1317" s="409">
        <v>0.52</v>
      </c>
      <c r="AA1317" s="423">
        <f>Z1317*Y1317</f>
        <v>319488</v>
      </c>
      <c r="AB1317" s="411"/>
      <c r="AC1317" s="412">
        <f>AB1317*Y1317</f>
        <v>0</v>
      </c>
      <c r="AD1317" s="421"/>
      <c r="AE1317" s="413"/>
      <c r="AF1317" s="424">
        <f>AE1317+AD1317+AA1317</f>
        <v>319488</v>
      </c>
      <c r="AG1317" s="405" t="s">
        <v>1069</v>
      </c>
      <c r="AH1317" s="405"/>
      <c r="AI1317" s="414" t="s">
        <v>1962</v>
      </c>
      <c r="AJ1317" s="405" t="s">
        <v>2493</v>
      </c>
      <c r="AK1317" s="425" t="s">
        <v>1930</v>
      </c>
      <c r="AL1317" s="405">
        <v>81006</v>
      </c>
      <c r="AM1317" s="405" t="s">
        <v>52</v>
      </c>
      <c r="AN1317" s="405"/>
      <c r="AO1317" s="405"/>
      <c r="AP1317" s="417"/>
      <c r="AQ1317" s="417" t="s">
        <v>37</v>
      </c>
      <c r="AR1317" s="417"/>
      <c r="AS1317" s="426"/>
      <c r="AT1317" s="426"/>
      <c r="AU1317" s="426"/>
      <c r="AV1317" s="409">
        <v>0.52</v>
      </c>
    </row>
    <row r="1318" spans="1:48" s="402" customFormat="1" ht="15" customHeight="1">
      <c r="A1318" s="403"/>
      <c r="B1318" s="403"/>
      <c r="C1318" s="403"/>
      <c r="D1318" s="443" t="s">
        <v>2480</v>
      </c>
      <c r="E1318" s="432" t="s">
        <v>3683</v>
      </c>
      <c r="F1318" s="432"/>
      <c r="G1318" s="432"/>
      <c r="H1318" s="432"/>
      <c r="I1318" s="427" t="s">
        <v>1498</v>
      </c>
      <c r="J1318" s="433"/>
      <c r="K1318" s="434" t="s">
        <v>3721</v>
      </c>
      <c r="L1318" s="432" t="s">
        <v>2492</v>
      </c>
      <c r="M1318" s="435">
        <v>44538</v>
      </c>
      <c r="N1318" s="435">
        <v>44896</v>
      </c>
      <c r="O1318" s="435"/>
      <c r="P1318" s="433"/>
      <c r="Q1318" s="433"/>
      <c r="R1318" s="433"/>
      <c r="S1318" s="432" t="s">
        <v>1940</v>
      </c>
      <c r="T1318" s="432">
        <v>60</v>
      </c>
      <c r="U1318" s="432"/>
      <c r="V1318" s="432" t="s">
        <v>985</v>
      </c>
      <c r="W1318" s="432">
        <v>400</v>
      </c>
      <c r="X1318" s="436">
        <v>2304</v>
      </c>
      <c r="Y1318" s="422">
        <f t="shared" ref="Y1318:Y1326" si="162">X1318*W1318</f>
        <v>921600</v>
      </c>
      <c r="Z1318" s="409">
        <v>0.52</v>
      </c>
      <c r="AA1318" s="423">
        <f t="shared" ref="AA1318:AA1326" si="163">Z1318*Y1318</f>
        <v>479232</v>
      </c>
      <c r="AB1318" s="411"/>
      <c r="AC1318" s="412">
        <f t="shared" ref="AC1318:AC1326" si="164">AB1318*Y1318</f>
        <v>0</v>
      </c>
      <c r="AD1318" s="421"/>
      <c r="AE1318" s="413"/>
      <c r="AF1318" s="424">
        <f t="shared" ref="AF1318:AF1326" si="165">AE1318+AD1318+AA1318</f>
        <v>479232</v>
      </c>
      <c r="AG1318" s="405" t="s">
        <v>1069</v>
      </c>
      <c r="AH1318" s="405"/>
      <c r="AI1318" s="414" t="s">
        <v>1962</v>
      </c>
      <c r="AJ1318" s="405" t="s">
        <v>2493</v>
      </c>
      <c r="AK1318" s="425" t="s">
        <v>1930</v>
      </c>
      <c r="AL1318" s="405">
        <v>81006</v>
      </c>
      <c r="AM1318" s="405" t="s">
        <v>52</v>
      </c>
      <c r="AN1318" s="405"/>
      <c r="AO1318" s="405"/>
      <c r="AP1318" s="417"/>
      <c r="AQ1318" s="417" t="s">
        <v>37</v>
      </c>
      <c r="AR1318" s="417"/>
      <c r="AS1318" s="426"/>
      <c r="AT1318" s="426"/>
      <c r="AU1318" s="426"/>
      <c r="AV1318" s="409">
        <v>0.52</v>
      </c>
    </row>
    <row r="1319" spans="1:48" s="402" customFormat="1" ht="15" customHeight="1">
      <c r="A1319" s="403"/>
      <c r="B1319" s="403"/>
      <c r="C1319" s="403"/>
      <c r="D1319" s="443" t="s">
        <v>2480</v>
      </c>
      <c r="E1319" s="432" t="s">
        <v>3722</v>
      </c>
      <c r="F1319" s="432"/>
      <c r="G1319" s="432">
        <v>2022</v>
      </c>
      <c r="H1319" s="432"/>
      <c r="I1319" s="427" t="s">
        <v>1498</v>
      </c>
      <c r="J1319" s="433"/>
      <c r="K1319" s="434" t="s">
        <v>4234</v>
      </c>
      <c r="L1319" s="432" t="s">
        <v>2623</v>
      </c>
      <c r="M1319" s="435">
        <v>44672</v>
      </c>
      <c r="N1319" s="435">
        <v>44743</v>
      </c>
      <c r="O1319" s="435"/>
      <c r="P1319" s="433"/>
      <c r="Q1319" s="433"/>
      <c r="R1319" s="433"/>
      <c r="S1319" s="432" t="s">
        <v>1940</v>
      </c>
      <c r="T1319" s="432">
        <v>60</v>
      </c>
      <c r="U1319" s="432"/>
      <c r="V1319" s="432" t="s">
        <v>4235</v>
      </c>
      <c r="W1319" s="432">
        <v>400</v>
      </c>
      <c r="X1319" s="436">
        <v>832</v>
      </c>
      <c r="Y1319" s="422">
        <f t="shared" si="162"/>
        <v>332800</v>
      </c>
      <c r="Z1319" s="409">
        <v>0.64</v>
      </c>
      <c r="AA1319" s="423">
        <f t="shared" si="163"/>
        <v>212992</v>
      </c>
      <c r="AB1319" s="411"/>
      <c r="AC1319" s="412">
        <f t="shared" si="164"/>
        <v>0</v>
      </c>
      <c r="AD1319" s="421"/>
      <c r="AE1319" s="413"/>
      <c r="AF1319" s="424">
        <f t="shared" si="165"/>
        <v>212992</v>
      </c>
      <c r="AG1319" s="405" t="s">
        <v>1069</v>
      </c>
      <c r="AH1319" s="405"/>
      <c r="AI1319" s="414" t="s">
        <v>1962</v>
      </c>
      <c r="AJ1319" s="405" t="s">
        <v>2624</v>
      </c>
      <c r="AK1319" s="425" t="s">
        <v>2625</v>
      </c>
      <c r="AL1319" s="405">
        <v>73108</v>
      </c>
      <c r="AM1319" s="405" t="s">
        <v>52</v>
      </c>
      <c r="AN1319" s="405"/>
      <c r="AO1319" s="405"/>
      <c r="AP1319" s="417"/>
      <c r="AQ1319" s="417" t="s">
        <v>37</v>
      </c>
      <c r="AR1319" s="417"/>
      <c r="AS1319" s="426"/>
      <c r="AT1319" s="426"/>
      <c r="AU1319" s="426"/>
      <c r="AV1319" s="409">
        <v>0.52</v>
      </c>
    </row>
    <row r="1320" spans="1:48" s="402" customFormat="1" ht="15" customHeight="1">
      <c r="A1320" s="403"/>
      <c r="B1320" s="403"/>
      <c r="C1320" s="403"/>
      <c r="D1320" s="443" t="s">
        <v>2480</v>
      </c>
      <c r="E1320" s="432" t="s">
        <v>3722</v>
      </c>
      <c r="F1320" s="432"/>
      <c r="G1320" s="432">
        <v>2022</v>
      </c>
      <c r="H1320" s="432"/>
      <c r="I1320" s="427" t="s">
        <v>1498</v>
      </c>
      <c r="J1320" s="433"/>
      <c r="K1320" s="434" t="s">
        <v>4236</v>
      </c>
      <c r="L1320" s="432" t="s">
        <v>2623</v>
      </c>
      <c r="M1320" s="435">
        <v>44672</v>
      </c>
      <c r="N1320" s="435">
        <v>44774</v>
      </c>
      <c r="O1320" s="435"/>
      <c r="P1320" s="433"/>
      <c r="Q1320" s="433"/>
      <c r="R1320" s="433"/>
      <c r="S1320" s="432" t="s">
        <v>1940</v>
      </c>
      <c r="T1320" s="432">
        <v>60</v>
      </c>
      <c r="U1320" s="432"/>
      <c r="V1320" s="432" t="s">
        <v>4235</v>
      </c>
      <c r="W1320" s="432">
        <v>400</v>
      </c>
      <c r="X1320" s="436">
        <v>832</v>
      </c>
      <c r="Y1320" s="422">
        <f t="shared" si="162"/>
        <v>332800</v>
      </c>
      <c r="Z1320" s="409">
        <v>0.64</v>
      </c>
      <c r="AA1320" s="423">
        <f t="shared" si="163"/>
        <v>212992</v>
      </c>
      <c r="AB1320" s="411"/>
      <c r="AC1320" s="412">
        <f t="shared" si="164"/>
        <v>0</v>
      </c>
      <c r="AD1320" s="421"/>
      <c r="AE1320" s="413"/>
      <c r="AF1320" s="424">
        <f t="shared" si="165"/>
        <v>212992</v>
      </c>
      <c r="AG1320" s="405" t="s">
        <v>1069</v>
      </c>
      <c r="AH1320" s="405"/>
      <c r="AI1320" s="414" t="s">
        <v>1962</v>
      </c>
      <c r="AJ1320" s="405" t="s">
        <v>2624</v>
      </c>
      <c r="AK1320" s="425" t="s">
        <v>2625</v>
      </c>
      <c r="AL1320" s="405">
        <v>73108</v>
      </c>
      <c r="AM1320" s="405" t="s">
        <v>52</v>
      </c>
      <c r="AN1320" s="405"/>
      <c r="AO1320" s="405"/>
      <c r="AP1320" s="417"/>
      <c r="AQ1320" s="417" t="s">
        <v>37</v>
      </c>
      <c r="AR1320" s="417"/>
      <c r="AS1320" s="426"/>
      <c r="AT1320" s="426"/>
      <c r="AU1320" s="426"/>
      <c r="AV1320" s="409">
        <v>0.52</v>
      </c>
    </row>
    <row r="1321" spans="1:48" s="402" customFormat="1" ht="15" customHeight="1">
      <c r="A1321" s="403"/>
      <c r="B1321" s="403"/>
      <c r="C1321" s="403"/>
      <c r="D1321" s="443" t="s">
        <v>2480</v>
      </c>
      <c r="E1321" s="432" t="s">
        <v>3722</v>
      </c>
      <c r="F1321" s="432"/>
      <c r="G1321" s="432">
        <v>2022</v>
      </c>
      <c r="H1321" s="432"/>
      <c r="I1321" s="427" t="s">
        <v>1498</v>
      </c>
      <c r="J1321" s="433"/>
      <c r="K1321" s="434" t="s">
        <v>4237</v>
      </c>
      <c r="L1321" s="432" t="s">
        <v>2623</v>
      </c>
      <c r="M1321" s="435">
        <v>44672</v>
      </c>
      <c r="N1321" s="435">
        <v>44805</v>
      </c>
      <c r="O1321" s="435"/>
      <c r="P1321" s="433"/>
      <c r="Q1321" s="433"/>
      <c r="R1321" s="433"/>
      <c r="S1321" s="432" t="s">
        <v>1940</v>
      </c>
      <c r="T1321" s="432">
        <v>60</v>
      </c>
      <c r="U1321" s="432"/>
      <c r="V1321" s="432" t="s">
        <v>4235</v>
      </c>
      <c r="W1321" s="432">
        <v>400</v>
      </c>
      <c r="X1321" s="436">
        <v>832</v>
      </c>
      <c r="Y1321" s="422">
        <f t="shared" si="162"/>
        <v>332800</v>
      </c>
      <c r="Z1321" s="409">
        <v>0.64</v>
      </c>
      <c r="AA1321" s="423">
        <f t="shared" si="163"/>
        <v>212992</v>
      </c>
      <c r="AB1321" s="411"/>
      <c r="AC1321" s="412">
        <f t="shared" si="164"/>
        <v>0</v>
      </c>
      <c r="AD1321" s="421"/>
      <c r="AE1321" s="413"/>
      <c r="AF1321" s="424">
        <f t="shared" si="165"/>
        <v>212992</v>
      </c>
      <c r="AG1321" s="405" t="s">
        <v>1069</v>
      </c>
      <c r="AH1321" s="405"/>
      <c r="AI1321" s="414" t="s">
        <v>1962</v>
      </c>
      <c r="AJ1321" s="405" t="s">
        <v>2624</v>
      </c>
      <c r="AK1321" s="425" t="s">
        <v>2625</v>
      </c>
      <c r="AL1321" s="405">
        <v>73108</v>
      </c>
      <c r="AM1321" s="405" t="s">
        <v>52</v>
      </c>
      <c r="AN1321" s="405"/>
      <c r="AO1321" s="405"/>
      <c r="AP1321" s="417"/>
      <c r="AQ1321" s="417" t="s">
        <v>37</v>
      </c>
      <c r="AR1321" s="417"/>
      <c r="AS1321" s="426"/>
      <c r="AT1321" s="426"/>
      <c r="AU1321" s="426"/>
      <c r="AV1321" s="409">
        <v>0.52</v>
      </c>
    </row>
    <row r="1322" spans="1:48" s="402" customFormat="1" ht="15" customHeight="1">
      <c r="A1322" s="403"/>
      <c r="B1322" s="403"/>
      <c r="C1322" s="403"/>
      <c r="D1322" s="443" t="s">
        <v>2480</v>
      </c>
      <c r="E1322" s="432" t="s">
        <v>3722</v>
      </c>
      <c r="F1322" s="432"/>
      <c r="G1322" s="432">
        <v>2022</v>
      </c>
      <c r="H1322" s="432"/>
      <c r="I1322" s="427" t="s">
        <v>1498</v>
      </c>
      <c r="J1322" s="433"/>
      <c r="K1322" s="434" t="s">
        <v>4238</v>
      </c>
      <c r="L1322" s="432" t="s">
        <v>2623</v>
      </c>
      <c r="M1322" s="435">
        <v>44672</v>
      </c>
      <c r="N1322" s="435">
        <v>44835</v>
      </c>
      <c r="O1322" s="435"/>
      <c r="P1322" s="433"/>
      <c r="Q1322" s="433"/>
      <c r="R1322" s="433"/>
      <c r="S1322" s="432" t="s">
        <v>1940</v>
      </c>
      <c r="T1322" s="432">
        <v>60</v>
      </c>
      <c r="U1322" s="432"/>
      <c r="V1322" s="432" t="s">
        <v>4235</v>
      </c>
      <c r="W1322" s="432">
        <v>400</v>
      </c>
      <c r="X1322" s="436">
        <v>832</v>
      </c>
      <c r="Y1322" s="422">
        <f t="shared" si="162"/>
        <v>332800</v>
      </c>
      <c r="Z1322" s="409">
        <v>0.64</v>
      </c>
      <c r="AA1322" s="423">
        <f t="shared" si="163"/>
        <v>212992</v>
      </c>
      <c r="AB1322" s="411"/>
      <c r="AC1322" s="412">
        <f t="shared" si="164"/>
        <v>0</v>
      </c>
      <c r="AD1322" s="421"/>
      <c r="AE1322" s="413"/>
      <c r="AF1322" s="424">
        <f t="shared" si="165"/>
        <v>212992</v>
      </c>
      <c r="AG1322" s="405" t="s">
        <v>1069</v>
      </c>
      <c r="AH1322" s="405"/>
      <c r="AI1322" s="414" t="s">
        <v>1962</v>
      </c>
      <c r="AJ1322" s="405" t="s">
        <v>2624</v>
      </c>
      <c r="AK1322" s="425" t="s">
        <v>2625</v>
      </c>
      <c r="AL1322" s="405">
        <v>73108</v>
      </c>
      <c r="AM1322" s="405" t="s">
        <v>52</v>
      </c>
      <c r="AN1322" s="405"/>
      <c r="AO1322" s="405"/>
      <c r="AP1322" s="417"/>
      <c r="AQ1322" s="417" t="s">
        <v>37</v>
      </c>
      <c r="AR1322" s="417"/>
      <c r="AS1322" s="426"/>
      <c r="AT1322" s="426"/>
      <c r="AU1322" s="426"/>
      <c r="AV1322" s="409">
        <v>0.52</v>
      </c>
    </row>
    <row r="1323" spans="1:48" s="402" customFormat="1" ht="15" customHeight="1">
      <c r="A1323" s="403"/>
      <c r="B1323" s="403"/>
      <c r="C1323" s="403"/>
      <c r="D1323" s="443" t="s">
        <v>2480</v>
      </c>
      <c r="E1323" s="432" t="s">
        <v>3722</v>
      </c>
      <c r="F1323" s="432"/>
      <c r="G1323" s="432">
        <v>2022</v>
      </c>
      <c r="H1323" s="432"/>
      <c r="I1323" s="427" t="s">
        <v>1498</v>
      </c>
      <c r="J1323" s="433"/>
      <c r="K1323" s="434" t="s">
        <v>4239</v>
      </c>
      <c r="L1323" s="432" t="s">
        <v>2623</v>
      </c>
      <c r="M1323" s="435">
        <v>44672</v>
      </c>
      <c r="N1323" s="435">
        <v>44866</v>
      </c>
      <c r="O1323" s="435"/>
      <c r="P1323" s="433"/>
      <c r="Q1323" s="433"/>
      <c r="R1323" s="433"/>
      <c r="S1323" s="432" t="s">
        <v>1940</v>
      </c>
      <c r="T1323" s="432">
        <v>60</v>
      </c>
      <c r="U1323" s="432"/>
      <c r="V1323" s="432" t="s">
        <v>4235</v>
      </c>
      <c r="W1323" s="432">
        <v>400</v>
      </c>
      <c r="X1323" s="436">
        <v>832</v>
      </c>
      <c r="Y1323" s="422">
        <f t="shared" si="162"/>
        <v>332800</v>
      </c>
      <c r="Z1323" s="409">
        <v>0.64</v>
      </c>
      <c r="AA1323" s="423">
        <f t="shared" si="163"/>
        <v>212992</v>
      </c>
      <c r="AB1323" s="411"/>
      <c r="AC1323" s="412">
        <f t="shared" si="164"/>
        <v>0</v>
      </c>
      <c r="AD1323" s="421"/>
      <c r="AE1323" s="413"/>
      <c r="AF1323" s="424">
        <f t="shared" si="165"/>
        <v>212992</v>
      </c>
      <c r="AG1323" s="405" t="s">
        <v>1069</v>
      </c>
      <c r="AH1323" s="405"/>
      <c r="AI1323" s="414" t="s">
        <v>1962</v>
      </c>
      <c r="AJ1323" s="405" t="s">
        <v>2624</v>
      </c>
      <c r="AK1323" s="425" t="s">
        <v>2625</v>
      </c>
      <c r="AL1323" s="405">
        <v>73108</v>
      </c>
      <c r="AM1323" s="405" t="s">
        <v>52</v>
      </c>
      <c r="AN1323" s="405"/>
      <c r="AO1323" s="405"/>
      <c r="AP1323" s="417"/>
      <c r="AQ1323" s="417" t="s">
        <v>37</v>
      </c>
      <c r="AR1323" s="417"/>
      <c r="AS1323" s="426"/>
      <c r="AT1323" s="426"/>
      <c r="AU1323" s="426"/>
      <c r="AV1323" s="409">
        <v>0.52</v>
      </c>
    </row>
    <row r="1324" spans="1:48" s="402" customFormat="1" ht="15" customHeight="1">
      <c r="A1324" s="403"/>
      <c r="B1324" s="403"/>
      <c r="C1324" s="403"/>
      <c r="D1324" s="443" t="s">
        <v>2480</v>
      </c>
      <c r="E1324" s="432" t="s">
        <v>3722</v>
      </c>
      <c r="F1324" s="432"/>
      <c r="G1324" s="432">
        <v>2022</v>
      </c>
      <c r="H1324" s="432"/>
      <c r="I1324" s="427" t="s">
        <v>1498</v>
      </c>
      <c r="J1324" s="433"/>
      <c r="K1324" s="434" t="s">
        <v>4240</v>
      </c>
      <c r="L1324" s="432" t="s">
        <v>2623</v>
      </c>
      <c r="M1324" s="435">
        <v>44672</v>
      </c>
      <c r="N1324" s="435">
        <v>44896</v>
      </c>
      <c r="O1324" s="435"/>
      <c r="P1324" s="433"/>
      <c r="Q1324" s="433"/>
      <c r="R1324" s="433"/>
      <c r="S1324" s="432" t="s">
        <v>1940</v>
      </c>
      <c r="T1324" s="432">
        <v>60</v>
      </c>
      <c r="U1324" s="432"/>
      <c r="V1324" s="432" t="s">
        <v>4235</v>
      </c>
      <c r="W1324" s="432">
        <v>400</v>
      </c>
      <c r="X1324" s="436">
        <v>832</v>
      </c>
      <c r="Y1324" s="422">
        <f t="shared" si="162"/>
        <v>332800</v>
      </c>
      <c r="Z1324" s="409">
        <v>0.64</v>
      </c>
      <c r="AA1324" s="423">
        <f t="shared" si="163"/>
        <v>212992</v>
      </c>
      <c r="AB1324" s="411"/>
      <c r="AC1324" s="412">
        <f t="shared" si="164"/>
        <v>0</v>
      </c>
      <c r="AD1324" s="421"/>
      <c r="AE1324" s="413"/>
      <c r="AF1324" s="424">
        <f t="shared" si="165"/>
        <v>212992</v>
      </c>
      <c r="AG1324" s="405" t="s">
        <v>1069</v>
      </c>
      <c r="AH1324" s="405"/>
      <c r="AI1324" s="414" t="s">
        <v>1962</v>
      </c>
      <c r="AJ1324" s="405" t="s">
        <v>2624</v>
      </c>
      <c r="AK1324" s="425" t="s">
        <v>2625</v>
      </c>
      <c r="AL1324" s="405">
        <v>73108</v>
      </c>
      <c r="AM1324" s="405" t="s">
        <v>52</v>
      </c>
      <c r="AN1324" s="405"/>
      <c r="AO1324" s="405"/>
      <c r="AP1324" s="417"/>
      <c r="AQ1324" s="417" t="s">
        <v>37</v>
      </c>
      <c r="AR1324" s="417"/>
      <c r="AS1324" s="426"/>
      <c r="AT1324" s="426"/>
      <c r="AU1324" s="426"/>
      <c r="AV1324" s="409">
        <v>0.52</v>
      </c>
    </row>
    <row r="1325" spans="1:48" s="402" customFormat="1" ht="15" customHeight="1">
      <c r="A1325" s="403"/>
      <c r="B1325" s="403"/>
      <c r="C1325" s="403"/>
      <c r="D1325" s="443" t="s">
        <v>2480</v>
      </c>
      <c r="E1325" s="432" t="s">
        <v>3722</v>
      </c>
      <c r="F1325" s="432"/>
      <c r="G1325" s="432">
        <v>2022</v>
      </c>
      <c r="H1325" s="432"/>
      <c r="I1325" s="427" t="s">
        <v>1498</v>
      </c>
      <c r="J1325" s="433"/>
      <c r="K1325" s="434" t="s">
        <v>4241</v>
      </c>
      <c r="L1325" s="432" t="s">
        <v>2623</v>
      </c>
      <c r="M1325" s="435">
        <v>44672</v>
      </c>
      <c r="N1325" s="435">
        <v>44713</v>
      </c>
      <c r="O1325" s="435"/>
      <c r="P1325" s="433"/>
      <c r="Q1325" s="433"/>
      <c r="R1325" s="433"/>
      <c r="S1325" s="432" t="s">
        <v>1940</v>
      </c>
      <c r="T1325" s="432">
        <v>60</v>
      </c>
      <c r="U1325" s="432"/>
      <c r="V1325" s="432" t="s">
        <v>1192</v>
      </c>
      <c r="W1325" s="432">
        <v>360</v>
      </c>
      <c r="X1325" s="436">
        <v>676</v>
      </c>
      <c r="Y1325" s="422">
        <f t="shared" si="162"/>
        <v>243360</v>
      </c>
      <c r="Z1325" s="409">
        <v>0.83</v>
      </c>
      <c r="AA1325" s="423">
        <f t="shared" si="163"/>
        <v>201988.8</v>
      </c>
      <c r="AB1325" s="411"/>
      <c r="AC1325" s="412">
        <f t="shared" si="164"/>
        <v>0</v>
      </c>
      <c r="AD1325" s="421"/>
      <c r="AE1325" s="413"/>
      <c r="AF1325" s="424">
        <f t="shared" si="165"/>
        <v>201988.8</v>
      </c>
      <c r="AG1325" s="405" t="s">
        <v>1069</v>
      </c>
      <c r="AH1325" s="405"/>
      <c r="AI1325" s="414" t="s">
        <v>1962</v>
      </c>
      <c r="AJ1325" s="405" t="s">
        <v>2624</v>
      </c>
      <c r="AK1325" s="425" t="s">
        <v>2625</v>
      </c>
      <c r="AL1325" s="405">
        <v>73108</v>
      </c>
      <c r="AM1325" s="405" t="s">
        <v>52</v>
      </c>
      <c r="AN1325" s="405"/>
      <c r="AO1325" s="405"/>
      <c r="AP1325" s="417"/>
      <c r="AQ1325" s="417" t="s">
        <v>37</v>
      </c>
      <c r="AR1325" s="417"/>
      <c r="AS1325" s="426"/>
      <c r="AT1325" s="426"/>
      <c r="AU1325" s="426"/>
      <c r="AV1325" s="409">
        <v>0.52</v>
      </c>
    </row>
    <row r="1326" spans="1:48" s="402" customFormat="1" ht="15" customHeight="1">
      <c r="A1326" s="403"/>
      <c r="B1326" s="403"/>
      <c r="C1326" s="403"/>
      <c r="D1326" s="443" t="s">
        <v>2480</v>
      </c>
      <c r="E1326" s="432" t="s">
        <v>3722</v>
      </c>
      <c r="F1326" s="432"/>
      <c r="G1326" s="432">
        <v>2022</v>
      </c>
      <c r="H1326" s="432"/>
      <c r="I1326" s="427" t="s">
        <v>1498</v>
      </c>
      <c r="J1326" s="433"/>
      <c r="K1326" s="434" t="s">
        <v>4242</v>
      </c>
      <c r="L1326" s="432" t="s">
        <v>2623</v>
      </c>
      <c r="M1326" s="435">
        <v>44672</v>
      </c>
      <c r="N1326" s="435">
        <v>44774</v>
      </c>
      <c r="O1326" s="435"/>
      <c r="P1326" s="433"/>
      <c r="Q1326" s="433"/>
      <c r="R1326" s="433"/>
      <c r="S1326" s="432" t="s">
        <v>1940</v>
      </c>
      <c r="T1326" s="432">
        <v>60</v>
      </c>
      <c r="U1326" s="432"/>
      <c r="V1326" s="432" t="s">
        <v>1192</v>
      </c>
      <c r="W1326" s="432">
        <v>360</v>
      </c>
      <c r="X1326" s="436">
        <v>676</v>
      </c>
      <c r="Y1326" s="422">
        <f t="shared" si="162"/>
        <v>243360</v>
      </c>
      <c r="Z1326" s="409">
        <v>0.83</v>
      </c>
      <c r="AA1326" s="423">
        <f t="shared" si="163"/>
        <v>201988.8</v>
      </c>
      <c r="AB1326" s="411"/>
      <c r="AC1326" s="412">
        <f t="shared" si="164"/>
        <v>0</v>
      </c>
      <c r="AD1326" s="421"/>
      <c r="AE1326" s="413"/>
      <c r="AF1326" s="424">
        <f t="shared" si="165"/>
        <v>201988.8</v>
      </c>
      <c r="AG1326" s="405" t="s">
        <v>1069</v>
      </c>
      <c r="AH1326" s="405"/>
      <c r="AI1326" s="414" t="s">
        <v>1962</v>
      </c>
      <c r="AJ1326" s="405" t="s">
        <v>2624</v>
      </c>
      <c r="AK1326" s="425" t="s">
        <v>2625</v>
      </c>
      <c r="AL1326" s="405">
        <v>73108</v>
      </c>
      <c r="AM1326" s="405" t="s">
        <v>52</v>
      </c>
      <c r="AN1326" s="405"/>
      <c r="AO1326" s="405"/>
      <c r="AP1326" s="417"/>
      <c r="AQ1326" s="417" t="s">
        <v>37</v>
      </c>
      <c r="AR1326" s="417"/>
      <c r="AS1326" s="426"/>
      <c r="AT1326" s="426"/>
      <c r="AU1326" s="426"/>
      <c r="AV1326" s="409">
        <v>0.52</v>
      </c>
    </row>
    <row r="1327" spans="1:48" s="402" customFormat="1" ht="15" customHeight="1">
      <c r="A1327" s="403"/>
      <c r="B1327" s="403"/>
      <c r="C1327" s="403"/>
      <c r="D1327" s="443" t="s">
        <v>2480</v>
      </c>
      <c r="E1327" s="432" t="s">
        <v>3722</v>
      </c>
      <c r="F1327" s="432"/>
      <c r="G1327" s="432">
        <v>2022</v>
      </c>
      <c r="H1327" s="432"/>
      <c r="I1327" s="427" t="s">
        <v>1498</v>
      </c>
      <c r="J1327" s="433"/>
      <c r="K1327" s="434" t="s">
        <v>4243</v>
      </c>
      <c r="L1327" s="432" t="s">
        <v>2623</v>
      </c>
      <c r="M1327" s="435">
        <v>44672</v>
      </c>
      <c r="N1327" s="435">
        <v>44835</v>
      </c>
      <c r="O1327" s="435"/>
      <c r="P1327" s="433"/>
      <c r="Q1327" s="433"/>
      <c r="R1327" s="433"/>
      <c r="S1327" s="432" t="s">
        <v>1940</v>
      </c>
      <c r="T1327" s="432">
        <v>60</v>
      </c>
      <c r="U1327" s="432"/>
      <c r="V1327" s="432" t="s">
        <v>1192</v>
      </c>
      <c r="W1327" s="432">
        <v>360</v>
      </c>
      <c r="X1327" s="436">
        <v>1352</v>
      </c>
      <c r="Y1327" s="422">
        <f>X1327*W1327</f>
        <v>486720</v>
      </c>
      <c r="Z1327" s="409">
        <v>0.83</v>
      </c>
      <c r="AA1327" s="423">
        <f>Z1327*Y1327</f>
        <v>403977.6</v>
      </c>
      <c r="AB1327" s="411"/>
      <c r="AC1327" s="412">
        <f>AB1327*Y1327</f>
        <v>0</v>
      </c>
      <c r="AD1327" s="421"/>
      <c r="AE1327" s="413"/>
      <c r="AF1327" s="424">
        <f>AE1327+AD1327+AA1327</f>
        <v>403977.6</v>
      </c>
      <c r="AG1327" s="405" t="s">
        <v>1069</v>
      </c>
      <c r="AH1327" s="405"/>
      <c r="AI1327" s="414" t="s">
        <v>1962</v>
      </c>
      <c r="AJ1327" s="405" t="s">
        <v>2624</v>
      </c>
      <c r="AK1327" s="425" t="s">
        <v>2625</v>
      </c>
      <c r="AL1327" s="405">
        <v>73108</v>
      </c>
      <c r="AM1327" s="405" t="s">
        <v>52</v>
      </c>
      <c r="AN1327" s="405"/>
      <c r="AO1327" s="405"/>
      <c r="AP1327" s="417"/>
      <c r="AQ1327" s="417" t="s">
        <v>37</v>
      </c>
      <c r="AR1327" s="417"/>
      <c r="AS1327" s="426"/>
      <c r="AT1327" s="426"/>
      <c r="AU1327" s="426"/>
      <c r="AV1327" s="409">
        <v>0.52</v>
      </c>
    </row>
    <row r="1328" spans="1:48" s="402" customFormat="1" ht="15" customHeight="1">
      <c r="A1328" s="403"/>
      <c r="B1328" s="403"/>
      <c r="C1328" s="403"/>
      <c r="D1328" s="443" t="s">
        <v>2480</v>
      </c>
      <c r="E1328" s="405" t="s">
        <v>2484</v>
      </c>
      <c r="F1328" s="432"/>
      <c r="G1328" s="432"/>
      <c r="H1328" s="432"/>
      <c r="I1328" s="427" t="s">
        <v>1498</v>
      </c>
      <c r="J1328" s="433"/>
      <c r="K1328" s="434" t="s">
        <v>3723</v>
      </c>
      <c r="L1328" s="432" t="s">
        <v>2530</v>
      </c>
      <c r="M1328" s="435">
        <v>44557</v>
      </c>
      <c r="N1328" s="435">
        <v>44562</v>
      </c>
      <c r="O1328" s="435"/>
      <c r="P1328" s="433"/>
      <c r="Q1328" s="433"/>
      <c r="R1328" s="433"/>
      <c r="S1328" s="432" t="s">
        <v>1940</v>
      </c>
      <c r="T1328" s="432">
        <v>60</v>
      </c>
      <c r="U1328" s="432"/>
      <c r="V1328" s="432" t="s">
        <v>973</v>
      </c>
      <c r="W1328" s="432">
        <v>400</v>
      </c>
      <c r="X1328" s="436">
        <v>4608</v>
      </c>
      <c r="Y1328" s="422">
        <f>X1328*W1328</f>
        <v>1843200</v>
      </c>
      <c r="Z1328" s="409">
        <v>0.52</v>
      </c>
      <c r="AA1328" s="423">
        <f>Z1328*Y1328</f>
        <v>958464</v>
      </c>
      <c r="AB1328" s="411"/>
      <c r="AC1328" s="412">
        <f>AB1328*Y1328</f>
        <v>0</v>
      </c>
      <c r="AD1328" s="421"/>
      <c r="AE1328" s="413"/>
      <c r="AF1328" s="424">
        <f>AE1328+AD1328+AA1328</f>
        <v>958464</v>
      </c>
      <c r="AG1328" s="405" t="s">
        <v>1069</v>
      </c>
      <c r="AH1328" s="405"/>
      <c r="AI1328" s="414">
        <v>60</v>
      </c>
      <c r="AJ1328" s="405" t="s">
        <v>2053</v>
      </c>
      <c r="AK1328" s="425" t="s">
        <v>1136</v>
      </c>
      <c r="AL1328" s="405">
        <v>78218</v>
      </c>
      <c r="AM1328" s="405" t="s">
        <v>52</v>
      </c>
      <c r="AN1328" s="405"/>
      <c r="AO1328" s="405"/>
      <c r="AP1328" s="417"/>
      <c r="AQ1328" s="417" t="s">
        <v>37</v>
      </c>
      <c r="AR1328" s="417" t="s">
        <v>1499</v>
      </c>
      <c r="AS1328" s="426"/>
      <c r="AT1328" s="426"/>
      <c r="AU1328" s="426"/>
      <c r="AV1328" s="409">
        <v>0.52</v>
      </c>
    </row>
    <row r="1329" spans="1:48" s="402" customFormat="1" ht="15" customHeight="1">
      <c r="A1329" s="403"/>
      <c r="B1329" s="403"/>
      <c r="C1329" s="403"/>
      <c r="D1329" s="443" t="s">
        <v>2480</v>
      </c>
      <c r="E1329" s="405" t="s">
        <v>2484</v>
      </c>
      <c r="F1329" s="432"/>
      <c r="G1329" s="432"/>
      <c r="H1329" s="432"/>
      <c r="I1329" s="427" t="s">
        <v>1498</v>
      </c>
      <c r="J1329" s="433"/>
      <c r="K1329" s="434" t="s">
        <v>3724</v>
      </c>
      <c r="L1329" s="432" t="s">
        <v>2530</v>
      </c>
      <c r="M1329" s="435">
        <v>44557</v>
      </c>
      <c r="N1329" s="435">
        <v>44593</v>
      </c>
      <c r="O1329" s="435"/>
      <c r="P1329" s="433"/>
      <c r="Q1329" s="433"/>
      <c r="R1329" s="433"/>
      <c r="S1329" s="432" t="s">
        <v>1940</v>
      </c>
      <c r="T1329" s="432">
        <v>60</v>
      </c>
      <c r="U1329" s="432"/>
      <c r="V1329" s="432" t="s">
        <v>973</v>
      </c>
      <c r="W1329" s="432">
        <v>400</v>
      </c>
      <c r="X1329" s="436">
        <v>3840</v>
      </c>
      <c r="Y1329" s="422">
        <f>X1329*W1329</f>
        <v>1536000</v>
      </c>
      <c r="Z1329" s="409">
        <v>0.52</v>
      </c>
      <c r="AA1329" s="423">
        <f>Z1329*Y1329</f>
        <v>798720</v>
      </c>
      <c r="AB1329" s="411"/>
      <c r="AC1329" s="412">
        <f>AB1329*Y1329</f>
        <v>0</v>
      </c>
      <c r="AD1329" s="421"/>
      <c r="AE1329" s="413"/>
      <c r="AF1329" s="424">
        <f>AE1329+AD1329+AA1329</f>
        <v>798720</v>
      </c>
      <c r="AG1329" s="405" t="s">
        <v>1069</v>
      </c>
      <c r="AH1329" s="405"/>
      <c r="AI1329" s="414">
        <v>60</v>
      </c>
      <c r="AJ1329" s="405" t="s">
        <v>2053</v>
      </c>
      <c r="AK1329" s="425" t="s">
        <v>1136</v>
      </c>
      <c r="AL1329" s="405">
        <v>78218</v>
      </c>
      <c r="AM1329" s="405" t="s">
        <v>52</v>
      </c>
      <c r="AN1329" s="405"/>
      <c r="AO1329" s="405"/>
      <c r="AP1329" s="417"/>
      <c r="AQ1329" s="417" t="s">
        <v>37</v>
      </c>
      <c r="AR1329" s="417" t="s">
        <v>1499</v>
      </c>
      <c r="AS1329" s="426"/>
      <c r="AT1329" s="426"/>
      <c r="AU1329" s="426"/>
      <c r="AV1329" s="409">
        <v>0.52</v>
      </c>
    </row>
    <row r="1330" spans="1:48" s="402" customFormat="1" ht="15" customHeight="1">
      <c r="A1330" s="403"/>
      <c r="B1330" s="403"/>
      <c r="C1330" s="403"/>
      <c r="D1330" s="443" t="s">
        <v>2480</v>
      </c>
      <c r="E1330" s="405" t="s">
        <v>2484</v>
      </c>
      <c r="F1330" s="432"/>
      <c r="G1330" s="432"/>
      <c r="H1330" s="432"/>
      <c r="I1330" s="427" t="s">
        <v>1498</v>
      </c>
      <c r="J1330" s="433"/>
      <c r="K1330" s="434" t="s">
        <v>3725</v>
      </c>
      <c r="L1330" s="432" t="s">
        <v>2530</v>
      </c>
      <c r="M1330" s="435">
        <v>44557</v>
      </c>
      <c r="N1330" s="435">
        <v>44621</v>
      </c>
      <c r="O1330" s="435"/>
      <c r="P1330" s="433"/>
      <c r="Q1330" s="433"/>
      <c r="R1330" s="433"/>
      <c r="S1330" s="432" t="s">
        <v>1940</v>
      </c>
      <c r="T1330" s="432">
        <v>60</v>
      </c>
      <c r="U1330" s="432"/>
      <c r="V1330" s="432" t="s">
        <v>973</v>
      </c>
      <c r="W1330" s="432">
        <v>400</v>
      </c>
      <c r="X1330" s="436">
        <v>3840</v>
      </c>
      <c r="Y1330" s="422">
        <f t="shared" ref="Y1330:Y1393" si="166">X1330*W1330</f>
        <v>1536000</v>
      </c>
      <c r="Z1330" s="409">
        <v>0.52</v>
      </c>
      <c r="AA1330" s="423">
        <f t="shared" ref="AA1330:AA1393" si="167">Z1330*Y1330</f>
        <v>798720</v>
      </c>
      <c r="AB1330" s="411"/>
      <c r="AC1330" s="412">
        <f t="shared" ref="AC1330:AC1393" si="168">AB1330*Y1330</f>
        <v>0</v>
      </c>
      <c r="AD1330" s="421"/>
      <c r="AE1330" s="413"/>
      <c r="AF1330" s="424">
        <f t="shared" ref="AF1330:AF1393" si="169">AE1330+AD1330+AA1330</f>
        <v>798720</v>
      </c>
      <c r="AG1330" s="405" t="s">
        <v>1069</v>
      </c>
      <c r="AH1330" s="405"/>
      <c r="AI1330" s="414">
        <v>60</v>
      </c>
      <c r="AJ1330" s="405" t="s">
        <v>2053</v>
      </c>
      <c r="AK1330" s="425" t="s">
        <v>1136</v>
      </c>
      <c r="AL1330" s="405">
        <v>78218</v>
      </c>
      <c r="AM1330" s="405" t="s">
        <v>52</v>
      </c>
      <c r="AN1330" s="405"/>
      <c r="AO1330" s="405"/>
      <c r="AP1330" s="417"/>
      <c r="AQ1330" s="417" t="s">
        <v>37</v>
      </c>
      <c r="AR1330" s="417" t="s">
        <v>1499</v>
      </c>
      <c r="AS1330" s="426"/>
      <c r="AT1330" s="426"/>
      <c r="AU1330" s="426"/>
      <c r="AV1330" s="409">
        <v>0.52</v>
      </c>
    </row>
    <row r="1331" spans="1:48" s="402" customFormat="1" ht="15" customHeight="1">
      <c r="A1331" s="403"/>
      <c r="B1331" s="445">
        <v>44690</v>
      </c>
      <c r="C1331" s="403"/>
      <c r="D1331" s="443" t="s">
        <v>2480</v>
      </c>
      <c r="E1331" s="432" t="s">
        <v>2406</v>
      </c>
      <c r="F1331" s="432"/>
      <c r="G1331" s="432"/>
      <c r="H1331" s="432"/>
      <c r="I1331" s="427" t="s">
        <v>1498</v>
      </c>
      <c r="J1331" s="433"/>
      <c r="K1331" s="434" t="s">
        <v>4804</v>
      </c>
      <c r="L1331" s="432" t="s">
        <v>2530</v>
      </c>
      <c r="M1331" s="435">
        <v>44673</v>
      </c>
      <c r="N1331" s="435">
        <v>44835</v>
      </c>
      <c r="O1331" s="435"/>
      <c r="P1331" s="433"/>
      <c r="Q1331" s="433"/>
      <c r="R1331" s="433"/>
      <c r="S1331" s="432" t="s">
        <v>1940</v>
      </c>
      <c r="T1331" s="432">
        <v>60</v>
      </c>
      <c r="U1331" s="432"/>
      <c r="V1331" s="432" t="s">
        <v>973</v>
      </c>
      <c r="W1331" s="432">
        <v>400</v>
      </c>
      <c r="X1331" s="436">
        <v>10048</v>
      </c>
      <c r="Y1331" s="422">
        <f t="shared" si="166"/>
        <v>4019200</v>
      </c>
      <c r="Z1331" s="409">
        <v>0.64</v>
      </c>
      <c r="AA1331" s="423">
        <f t="shared" si="167"/>
        <v>2572288</v>
      </c>
      <c r="AB1331" s="411"/>
      <c r="AC1331" s="412">
        <f t="shared" si="168"/>
        <v>0</v>
      </c>
      <c r="AD1331" s="421"/>
      <c r="AE1331" s="413"/>
      <c r="AF1331" s="424">
        <f t="shared" si="169"/>
        <v>2572288</v>
      </c>
      <c r="AG1331" s="405" t="s">
        <v>1069</v>
      </c>
      <c r="AH1331" s="405"/>
      <c r="AI1331" s="414">
        <v>60</v>
      </c>
      <c r="AJ1331" s="405" t="s">
        <v>2053</v>
      </c>
      <c r="AK1331" s="425" t="s">
        <v>1136</v>
      </c>
      <c r="AL1331" s="405">
        <v>78218</v>
      </c>
      <c r="AM1331" s="405" t="s">
        <v>52</v>
      </c>
      <c r="AN1331" s="405"/>
      <c r="AO1331" s="405"/>
      <c r="AP1331" s="417"/>
      <c r="AQ1331" s="417" t="s">
        <v>37</v>
      </c>
      <c r="AR1331" s="417" t="s">
        <v>1499</v>
      </c>
      <c r="AS1331" s="426"/>
      <c r="AT1331" s="426"/>
      <c r="AU1331" s="426"/>
      <c r="AV1331" s="409">
        <v>0.52</v>
      </c>
    </row>
    <row r="1332" spans="1:48" s="402" customFormat="1" ht="15" customHeight="1">
      <c r="A1332" s="403"/>
      <c r="B1332" s="445">
        <v>44690</v>
      </c>
      <c r="C1332" s="403"/>
      <c r="D1332" s="443" t="s">
        <v>2480</v>
      </c>
      <c r="E1332" s="432" t="s">
        <v>2406</v>
      </c>
      <c r="F1332" s="432"/>
      <c r="G1332" s="432"/>
      <c r="H1332" s="432"/>
      <c r="I1332" s="427" t="s">
        <v>1498</v>
      </c>
      <c r="J1332" s="433"/>
      <c r="K1332" s="434" t="s">
        <v>4805</v>
      </c>
      <c r="L1332" s="432" t="s">
        <v>2530</v>
      </c>
      <c r="M1332" s="435">
        <v>44673</v>
      </c>
      <c r="N1332" s="435">
        <v>44866</v>
      </c>
      <c r="O1332" s="435"/>
      <c r="P1332" s="433"/>
      <c r="Q1332" s="433"/>
      <c r="R1332" s="433"/>
      <c r="S1332" s="432" t="s">
        <v>1940</v>
      </c>
      <c r="T1332" s="432">
        <v>60</v>
      </c>
      <c r="U1332" s="432"/>
      <c r="V1332" s="432" t="s">
        <v>973</v>
      </c>
      <c r="W1332" s="432">
        <v>400</v>
      </c>
      <c r="X1332" s="436">
        <v>10048</v>
      </c>
      <c r="Y1332" s="422">
        <f t="shared" si="166"/>
        <v>4019200</v>
      </c>
      <c r="Z1332" s="409">
        <v>0.64</v>
      </c>
      <c r="AA1332" s="423">
        <f t="shared" si="167"/>
        <v>2572288</v>
      </c>
      <c r="AB1332" s="411"/>
      <c r="AC1332" s="412">
        <f t="shared" si="168"/>
        <v>0</v>
      </c>
      <c r="AD1332" s="421"/>
      <c r="AE1332" s="413"/>
      <c r="AF1332" s="424">
        <f t="shared" si="169"/>
        <v>2572288</v>
      </c>
      <c r="AG1332" s="405" t="s">
        <v>1069</v>
      </c>
      <c r="AH1332" s="405"/>
      <c r="AI1332" s="414">
        <v>60</v>
      </c>
      <c r="AJ1332" s="405" t="s">
        <v>2053</v>
      </c>
      <c r="AK1332" s="425" t="s">
        <v>1136</v>
      </c>
      <c r="AL1332" s="405">
        <v>78218</v>
      </c>
      <c r="AM1332" s="405" t="s">
        <v>52</v>
      </c>
      <c r="AN1332" s="405"/>
      <c r="AO1332" s="405"/>
      <c r="AP1332" s="417"/>
      <c r="AQ1332" s="417" t="s">
        <v>37</v>
      </c>
      <c r="AR1332" s="417" t="s">
        <v>1499</v>
      </c>
      <c r="AS1332" s="426"/>
      <c r="AT1332" s="426"/>
      <c r="AU1332" s="426"/>
      <c r="AV1332" s="409">
        <v>0.52</v>
      </c>
    </row>
    <row r="1333" spans="1:48" s="402" customFormat="1" ht="15" customHeight="1">
      <c r="A1333" s="403"/>
      <c r="B1333" s="445">
        <v>44690</v>
      </c>
      <c r="C1333" s="403"/>
      <c r="D1333" s="443" t="s">
        <v>2480</v>
      </c>
      <c r="E1333" s="432" t="s">
        <v>2406</v>
      </c>
      <c r="F1333" s="432"/>
      <c r="G1333" s="432"/>
      <c r="H1333" s="432"/>
      <c r="I1333" s="427" t="s">
        <v>1498</v>
      </c>
      <c r="J1333" s="433"/>
      <c r="K1333" s="434" t="s">
        <v>4806</v>
      </c>
      <c r="L1333" s="432" t="s">
        <v>2530</v>
      </c>
      <c r="M1333" s="435">
        <v>44673</v>
      </c>
      <c r="N1333" s="435">
        <v>44896</v>
      </c>
      <c r="O1333" s="435"/>
      <c r="P1333" s="433"/>
      <c r="Q1333" s="433"/>
      <c r="R1333" s="433"/>
      <c r="S1333" s="432" t="s">
        <v>1940</v>
      </c>
      <c r="T1333" s="432">
        <v>60</v>
      </c>
      <c r="U1333" s="432"/>
      <c r="V1333" s="432" t="s">
        <v>973</v>
      </c>
      <c r="W1333" s="432">
        <v>400</v>
      </c>
      <c r="X1333" s="436">
        <v>10048</v>
      </c>
      <c r="Y1333" s="422">
        <f t="shared" si="166"/>
        <v>4019200</v>
      </c>
      <c r="Z1333" s="409">
        <v>0.64</v>
      </c>
      <c r="AA1333" s="423">
        <f t="shared" si="167"/>
        <v>2572288</v>
      </c>
      <c r="AB1333" s="411"/>
      <c r="AC1333" s="412">
        <f t="shared" si="168"/>
        <v>0</v>
      </c>
      <c r="AD1333" s="421"/>
      <c r="AE1333" s="413"/>
      <c r="AF1333" s="424">
        <f t="shared" si="169"/>
        <v>2572288</v>
      </c>
      <c r="AG1333" s="405" t="s">
        <v>1069</v>
      </c>
      <c r="AH1333" s="405"/>
      <c r="AI1333" s="414">
        <v>60</v>
      </c>
      <c r="AJ1333" s="405" t="s">
        <v>2053</v>
      </c>
      <c r="AK1333" s="425" t="s">
        <v>1136</v>
      </c>
      <c r="AL1333" s="405">
        <v>78218</v>
      </c>
      <c r="AM1333" s="405" t="s">
        <v>52</v>
      </c>
      <c r="AN1333" s="405"/>
      <c r="AO1333" s="405"/>
      <c r="AP1333" s="417"/>
      <c r="AQ1333" s="417" t="s">
        <v>37</v>
      </c>
      <c r="AR1333" s="417" t="s">
        <v>1499</v>
      </c>
      <c r="AS1333" s="426"/>
      <c r="AT1333" s="426"/>
      <c r="AU1333" s="426"/>
      <c r="AV1333" s="409">
        <v>0.52</v>
      </c>
    </row>
    <row r="1334" spans="1:48" s="402" customFormat="1" ht="15" customHeight="1">
      <c r="A1334" s="403"/>
      <c r="B1334" s="445">
        <v>44690</v>
      </c>
      <c r="C1334" s="403"/>
      <c r="D1334" s="443" t="s">
        <v>2480</v>
      </c>
      <c r="E1334" s="432" t="s">
        <v>2406</v>
      </c>
      <c r="F1334" s="432"/>
      <c r="G1334" s="432"/>
      <c r="H1334" s="432"/>
      <c r="I1334" s="427" t="s">
        <v>1498</v>
      </c>
      <c r="J1334" s="433"/>
      <c r="K1334" s="434" t="s">
        <v>4807</v>
      </c>
      <c r="L1334" s="432" t="s">
        <v>2530</v>
      </c>
      <c r="M1334" s="435">
        <v>44673</v>
      </c>
      <c r="N1334" s="435">
        <v>44743</v>
      </c>
      <c r="O1334" s="435"/>
      <c r="P1334" s="433"/>
      <c r="Q1334" s="433"/>
      <c r="R1334" s="433"/>
      <c r="S1334" s="432" t="s">
        <v>1940</v>
      </c>
      <c r="T1334" s="432">
        <v>60</v>
      </c>
      <c r="U1334" s="432"/>
      <c r="V1334" s="432" t="s">
        <v>973</v>
      </c>
      <c r="W1334" s="432">
        <v>400</v>
      </c>
      <c r="X1334" s="436">
        <v>9216</v>
      </c>
      <c r="Y1334" s="422">
        <f t="shared" si="166"/>
        <v>3686400</v>
      </c>
      <c r="Z1334" s="409">
        <v>0.64</v>
      </c>
      <c r="AA1334" s="423">
        <f t="shared" si="167"/>
        <v>2359296</v>
      </c>
      <c r="AB1334" s="411"/>
      <c r="AC1334" s="412">
        <f t="shared" si="168"/>
        <v>0</v>
      </c>
      <c r="AD1334" s="421"/>
      <c r="AE1334" s="413"/>
      <c r="AF1334" s="424">
        <f t="shared" si="169"/>
        <v>2359296</v>
      </c>
      <c r="AG1334" s="405" t="s">
        <v>1069</v>
      </c>
      <c r="AH1334" s="405"/>
      <c r="AI1334" s="414">
        <v>60</v>
      </c>
      <c r="AJ1334" s="405" t="s">
        <v>2053</v>
      </c>
      <c r="AK1334" s="425" t="s">
        <v>1136</v>
      </c>
      <c r="AL1334" s="405">
        <v>78218</v>
      </c>
      <c r="AM1334" s="405" t="s">
        <v>52</v>
      </c>
      <c r="AN1334" s="405"/>
      <c r="AO1334" s="405"/>
      <c r="AP1334" s="417"/>
      <c r="AQ1334" s="417" t="s">
        <v>37</v>
      </c>
      <c r="AR1334" s="417" t="s">
        <v>1499</v>
      </c>
      <c r="AS1334" s="426"/>
      <c r="AT1334" s="426"/>
      <c r="AU1334" s="426"/>
      <c r="AV1334" s="409">
        <v>0.52</v>
      </c>
    </row>
    <row r="1335" spans="1:48" s="402" customFormat="1" ht="15" customHeight="1">
      <c r="A1335" s="403"/>
      <c r="B1335" s="445">
        <v>44690</v>
      </c>
      <c r="C1335" s="403"/>
      <c r="D1335" s="443" t="s">
        <v>2480</v>
      </c>
      <c r="E1335" s="432" t="s">
        <v>2406</v>
      </c>
      <c r="F1335" s="432"/>
      <c r="G1335" s="432"/>
      <c r="H1335" s="432"/>
      <c r="I1335" s="427" t="s">
        <v>1498</v>
      </c>
      <c r="J1335" s="433"/>
      <c r="K1335" s="434" t="s">
        <v>4808</v>
      </c>
      <c r="L1335" s="432" t="s">
        <v>2530</v>
      </c>
      <c r="M1335" s="435">
        <v>44673</v>
      </c>
      <c r="N1335" s="435">
        <v>44774</v>
      </c>
      <c r="O1335" s="435"/>
      <c r="P1335" s="433"/>
      <c r="Q1335" s="433"/>
      <c r="R1335" s="433"/>
      <c r="S1335" s="432" t="s">
        <v>1940</v>
      </c>
      <c r="T1335" s="432">
        <v>60</v>
      </c>
      <c r="U1335" s="432"/>
      <c r="V1335" s="432" t="s">
        <v>973</v>
      </c>
      <c r="W1335" s="432">
        <v>400</v>
      </c>
      <c r="X1335" s="436">
        <v>9216</v>
      </c>
      <c r="Y1335" s="422">
        <f t="shared" si="166"/>
        <v>3686400</v>
      </c>
      <c r="Z1335" s="409">
        <v>0.64</v>
      </c>
      <c r="AA1335" s="423">
        <f t="shared" si="167"/>
        <v>2359296</v>
      </c>
      <c r="AB1335" s="411"/>
      <c r="AC1335" s="412">
        <f t="shared" si="168"/>
        <v>0</v>
      </c>
      <c r="AD1335" s="421"/>
      <c r="AE1335" s="413"/>
      <c r="AF1335" s="424">
        <f t="shared" si="169"/>
        <v>2359296</v>
      </c>
      <c r="AG1335" s="405" t="s">
        <v>1069</v>
      </c>
      <c r="AH1335" s="405"/>
      <c r="AI1335" s="414">
        <v>60</v>
      </c>
      <c r="AJ1335" s="405" t="s">
        <v>2053</v>
      </c>
      <c r="AK1335" s="425" t="s">
        <v>1136</v>
      </c>
      <c r="AL1335" s="405">
        <v>78218</v>
      </c>
      <c r="AM1335" s="405" t="s">
        <v>52</v>
      </c>
      <c r="AN1335" s="405"/>
      <c r="AO1335" s="405"/>
      <c r="AP1335" s="417"/>
      <c r="AQ1335" s="417" t="s">
        <v>37</v>
      </c>
      <c r="AR1335" s="417" t="s">
        <v>1499</v>
      </c>
      <c r="AS1335" s="426"/>
      <c r="AT1335" s="426"/>
      <c r="AU1335" s="426"/>
      <c r="AV1335" s="409">
        <v>0.52</v>
      </c>
    </row>
    <row r="1336" spans="1:48" s="402" customFormat="1" ht="15" customHeight="1">
      <c r="A1336" s="403"/>
      <c r="B1336" s="445">
        <v>44690</v>
      </c>
      <c r="C1336" s="403"/>
      <c r="D1336" s="443" t="s">
        <v>2480</v>
      </c>
      <c r="E1336" s="432" t="s">
        <v>2406</v>
      </c>
      <c r="F1336" s="432"/>
      <c r="G1336" s="432"/>
      <c r="H1336" s="432"/>
      <c r="I1336" s="427" t="s">
        <v>1498</v>
      </c>
      <c r="J1336" s="433"/>
      <c r="K1336" s="434" t="s">
        <v>4809</v>
      </c>
      <c r="L1336" s="432" t="s">
        <v>2530</v>
      </c>
      <c r="M1336" s="435">
        <v>44673</v>
      </c>
      <c r="N1336" s="435">
        <v>44805</v>
      </c>
      <c r="O1336" s="435"/>
      <c r="P1336" s="433"/>
      <c r="Q1336" s="433"/>
      <c r="R1336" s="433"/>
      <c r="S1336" s="432" t="s">
        <v>1940</v>
      </c>
      <c r="T1336" s="432">
        <v>60</v>
      </c>
      <c r="U1336" s="432"/>
      <c r="V1336" s="432" t="s">
        <v>973</v>
      </c>
      <c r="W1336" s="432">
        <v>400</v>
      </c>
      <c r="X1336" s="436">
        <v>9216</v>
      </c>
      <c r="Y1336" s="422">
        <f t="shared" si="166"/>
        <v>3686400</v>
      </c>
      <c r="Z1336" s="409">
        <v>0.64</v>
      </c>
      <c r="AA1336" s="423">
        <f t="shared" si="167"/>
        <v>2359296</v>
      </c>
      <c r="AB1336" s="411"/>
      <c r="AC1336" s="412">
        <f t="shared" si="168"/>
        <v>0</v>
      </c>
      <c r="AD1336" s="421"/>
      <c r="AE1336" s="413"/>
      <c r="AF1336" s="424">
        <f t="shared" si="169"/>
        <v>2359296</v>
      </c>
      <c r="AG1336" s="405" t="s">
        <v>1069</v>
      </c>
      <c r="AH1336" s="405"/>
      <c r="AI1336" s="414">
        <v>60</v>
      </c>
      <c r="AJ1336" s="405" t="s">
        <v>2053</v>
      </c>
      <c r="AK1336" s="425" t="s">
        <v>1136</v>
      </c>
      <c r="AL1336" s="405">
        <v>78218</v>
      </c>
      <c r="AM1336" s="405" t="s">
        <v>52</v>
      </c>
      <c r="AN1336" s="405"/>
      <c r="AO1336" s="405"/>
      <c r="AP1336" s="417"/>
      <c r="AQ1336" s="417" t="s">
        <v>37</v>
      </c>
      <c r="AR1336" s="417" t="s">
        <v>1499</v>
      </c>
      <c r="AS1336" s="426"/>
      <c r="AT1336" s="426"/>
      <c r="AU1336" s="426"/>
      <c r="AV1336" s="409">
        <v>0.52</v>
      </c>
    </row>
    <row r="1337" spans="1:48" s="402" customFormat="1" ht="15" customHeight="1">
      <c r="A1337" s="403"/>
      <c r="B1337" s="445">
        <v>44610</v>
      </c>
      <c r="C1337" s="403"/>
      <c r="D1337" s="416" t="s">
        <v>2480</v>
      </c>
      <c r="E1337" s="405" t="s">
        <v>3726</v>
      </c>
      <c r="F1337" s="427"/>
      <c r="G1337" s="432">
        <v>2022</v>
      </c>
      <c r="H1337" s="432"/>
      <c r="I1337" s="427" t="s">
        <v>1498</v>
      </c>
      <c r="J1337" s="428"/>
      <c r="K1337" s="429" t="s">
        <v>3731</v>
      </c>
      <c r="L1337" s="427" t="s">
        <v>3728</v>
      </c>
      <c r="M1337" s="430">
        <v>44602</v>
      </c>
      <c r="N1337" s="430">
        <v>44781</v>
      </c>
      <c r="O1337" s="430"/>
      <c r="P1337" s="428"/>
      <c r="Q1337" s="428"/>
      <c r="R1337" s="428"/>
      <c r="S1337" s="427" t="s">
        <v>1940</v>
      </c>
      <c r="T1337" s="427">
        <v>60</v>
      </c>
      <c r="U1337" s="427"/>
      <c r="V1337" s="427" t="s">
        <v>973</v>
      </c>
      <c r="W1337" s="427">
        <v>400</v>
      </c>
      <c r="X1337" s="431">
        <v>896</v>
      </c>
      <c r="Y1337" s="422">
        <f t="shared" si="166"/>
        <v>358400</v>
      </c>
      <c r="Z1337" s="409">
        <v>0.55000000000000004</v>
      </c>
      <c r="AA1337" s="423">
        <f t="shared" si="167"/>
        <v>197120.00000000003</v>
      </c>
      <c r="AB1337" s="411"/>
      <c r="AC1337" s="412">
        <f t="shared" si="168"/>
        <v>0</v>
      </c>
      <c r="AD1337" s="421"/>
      <c r="AE1337" s="413"/>
      <c r="AF1337" s="424">
        <f t="shared" si="169"/>
        <v>197120.00000000003</v>
      </c>
      <c r="AG1337" s="405" t="s">
        <v>1069</v>
      </c>
      <c r="AH1337" s="405"/>
      <c r="AI1337" s="414" t="s">
        <v>1962</v>
      </c>
      <c r="AJ1337" s="405" t="s">
        <v>3729</v>
      </c>
      <c r="AK1337" s="425" t="s">
        <v>2505</v>
      </c>
      <c r="AL1337" s="405">
        <v>84120</v>
      </c>
      <c r="AM1337" s="405" t="s">
        <v>52</v>
      </c>
      <c r="AN1337" s="405"/>
      <c r="AO1337" s="405"/>
      <c r="AP1337" s="417"/>
      <c r="AQ1337" s="417" t="s">
        <v>37</v>
      </c>
      <c r="AR1337" s="417"/>
      <c r="AS1337" s="426"/>
      <c r="AT1337" s="426"/>
      <c r="AU1337" s="426"/>
      <c r="AV1337" s="409">
        <v>0.51</v>
      </c>
    </row>
    <row r="1338" spans="1:48" s="402" customFormat="1" ht="15" customHeight="1">
      <c r="A1338" s="403"/>
      <c r="B1338" s="445">
        <v>44610</v>
      </c>
      <c r="C1338" s="403"/>
      <c r="D1338" s="416" t="s">
        <v>2480</v>
      </c>
      <c r="E1338" s="405" t="s">
        <v>3726</v>
      </c>
      <c r="F1338" s="427"/>
      <c r="G1338" s="432">
        <v>2022</v>
      </c>
      <c r="H1338" s="432"/>
      <c r="I1338" s="427" t="s">
        <v>1498</v>
      </c>
      <c r="J1338" s="428"/>
      <c r="K1338" s="429" t="s">
        <v>3732</v>
      </c>
      <c r="L1338" s="427" t="s">
        <v>3728</v>
      </c>
      <c r="M1338" s="430">
        <v>44602</v>
      </c>
      <c r="N1338" s="430">
        <v>44805</v>
      </c>
      <c r="O1338" s="430"/>
      <c r="P1338" s="428"/>
      <c r="Q1338" s="428"/>
      <c r="R1338" s="428"/>
      <c r="S1338" s="427" t="s">
        <v>1940</v>
      </c>
      <c r="T1338" s="427">
        <v>60</v>
      </c>
      <c r="U1338" s="427"/>
      <c r="V1338" s="427" t="s">
        <v>973</v>
      </c>
      <c r="W1338" s="427">
        <v>400</v>
      </c>
      <c r="X1338" s="431">
        <v>896</v>
      </c>
      <c r="Y1338" s="422">
        <f t="shared" si="166"/>
        <v>358400</v>
      </c>
      <c r="Z1338" s="409">
        <v>0.55000000000000004</v>
      </c>
      <c r="AA1338" s="423">
        <f t="shared" si="167"/>
        <v>197120.00000000003</v>
      </c>
      <c r="AB1338" s="411"/>
      <c r="AC1338" s="412">
        <f t="shared" si="168"/>
        <v>0</v>
      </c>
      <c r="AD1338" s="421"/>
      <c r="AE1338" s="413"/>
      <c r="AF1338" s="424">
        <f t="shared" si="169"/>
        <v>197120.00000000003</v>
      </c>
      <c r="AG1338" s="405" t="s">
        <v>1069</v>
      </c>
      <c r="AH1338" s="405"/>
      <c r="AI1338" s="414" t="s">
        <v>1962</v>
      </c>
      <c r="AJ1338" s="405" t="s">
        <v>3729</v>
      </c>
      <c r="AK1338" s="425" t="s">
        <v>2505</v>
      </c>
      <c r="AL1338" s="405">
        <v>84120</v>
      </c>
      <c r="AM1338" s="405" t="s">
        <v>52</v>
      </c>
      <c r="AN1338" s="405"/>
      <c r="AO1338" s="405"/>
      <c r="AP1338" s="417"/>
      <c r="AQ1338" s="417" t="s">
        <v>37</v>
      </c>
      <c r="AR1338" s="417"/>
      <c r="AS1338" s="426"/>
      <c r="AT1338" s="426"/>
      <c r="AU1338" s="426"/>
      <c r="AV1338" s="409">
        <v>0.51</v>
      </c>
    </row>
    <row r="1339" spans="1:48" s="402" customFormat="1" ht="15" customHeight="1">
      <c r="A1339" s="403"/>
      <c r="B1339" s="445">
        <v>44610</v>
      </c>
      <c r="C1339" s="403"/>
      <c r="D1339" s="416" t="s">
        <v>2480</v>
      </c>
      <c r="E1339" s="405" t="s">
        <v>3726</v>
      </c>
      <c r="F1339" s="427"/>
      <c r="G1339" s="432">
        <v>2022</v>
      </c>
      <c r="H1339" s="432"/>
      <c r="I1339" s="427" t="s">
        <v>1498</v>
      </c>
      <c r="J1339" s="428"/>
      <c r="K1339" s="429" t="s">
        <v>3733</v>
      </c>
      <c r="L1339" s="427" t="s">
        <v>3728</v>
      </c>
      <c r="M1339" s="430">
        <v>44602</v>
      </c>
      <c r="N1339" s="430">
        <v>44805</v>
      </c>
      <c r="O1339" s="430"/>
      <c r="P1339" s="428"/>
      <c r="Q1339" s="428"/>
      <c r="R1339" s="428"/>
      <c r="S1339" s="427" t="s">
        <v>1940</v>
      </c>
      <c r="T1339" s="427">
        <v>60</v>
      </c>
      <c r="U1339" s="427"/>
      <c r="V1339" s="427" t="s">
        <v>973</v>
      </c>
      <c r="W1339" s="427">
        <v>400</v>
      </c>
      <c r="X1339" s="431">
        <v>896</v>
      </c>
      <c r="Y1339" s="422">
        <f t="shared" si="166"/>
        <v>358400</v>
      </c>
      <c r="Z1339" s="409">
        <v>0.55000000000000004</v>
      </c>
      <c r="AA1339" s="423">
        <f t="shared" si="167"/>
        <v>197120.00000000003</v>
      </c>
      <c r="AB1339" s="411"/>
      <c r="AC1339" s="412">
        <f t="shared" si="168"/>
        <v>0</v>
      </c>
      <c r="AD1339" s="421"/>
      <c r="AE1339" s="413"/>
      <c r="AF1339" s="424">
        <f t="shared" si="169"/>
        <v>197120.00000000003</v>
      </c>
      <c r="AG1339" s="405" t="s">
        <v>1069</v>
      </c>
      <c r="AH1339" s="405"/>
      <c r="AI1339" s="414" t="s">
        <v>1962</v>
      </c>
      <c r="AJ1339" s="405" t="s">
        <v>3729</v>
      </c>
      <c r="AK1339" s="425" t="s">
        <v>2505</v>
      </c>
      <c r="AL1339" s="405">
        <v>84120</v>
      </c>
      <c r="AM1339" s="405" t="s">
        <v>52</v>
      </c>
      <c r="AN1339" s="405"/>
      <c r="AO1339" s="405"/>
      <c r="AP1339" s="417"/>
      <c r="AQ1339" s="417" t="s">
        <v>37</v>
      </c>
      <c r="AR1339" s="417"/>
      <c r="AS1339" s="426"/>
      <c r="AT1339" s="426"/>
      <c r="AU1339" s="426"/>
      <c r="AV1339" s="409">
        <v>0.51</v>
      </c>
    </row>
    <row r="1340" spans="1:48" s="402" customFormat="1" ht="15" customHeight="1">
      <c r="A1340" s="403"/>
      <c r="B1340" s="445">
        <v>44610</v>
      </c>
      <c r="C1340" s="403"/>
      <c r="D1340" s="416" t="s">
        <v>2480</v>
      </c>
      <c r="E1340" s="405" t="s">
        <v>3726</v>
      </c>
      <c r="F1340" s="427"/>
      <c r="G1340" s="432">
        <v>2022</v>
      </c>
      <c r="H1340" s="432"/>
      <c r="I1340" s="427" t="s">
        <v>1498</v>
      </c>
      <c r="J1340" s="428"/>
      <c r="K1340" s="429" t="s">
        <v>3734</v>
      </c>
      <c r="L1340" s="427" t="s">
        <v>3728</v>
      </c>
      <c r="M1340" s="430">
        <v>44602</v>
      </c>
      <c r="N1340" s="430">
        <v>44844</v>
      </c>
      <c r="O1340" s="430"/>
      <c r="P1340" s="428"/>
      <c r="Q1340" s="428"/>
      <c r="R1340" s="428"/>
      <c r="S1340" s="427" t="s">
        <v>1940</v>
      </c>
      <c r="T1340" s="427">
        <v>60</v>
      </c>
      <c r="U1340" s="427"/>
      <c r="V1340" s="427" t="s">
        <v>973</v>
      </c>
      <c r="W1340" s="427">
        <v>400</v>
      </c>
      <c r="X1340" s="431">
        <v>896</v>
      </c>
      <c r="Y1340" s="422">
        <f t="shared" si="166"/>
        <v>358400</v>
      </c>
      <c r="Z1340" s="409">
        <v>0.55000000000000004</v>
      </c>
      <c r="AA1340" s="423">
        <f t="shared" si="167"/>
        <v>197120.00000000003</v>
      </c>
      <c r="AB1340" s="411"/>
      <c r="AC1340" s="412">
        <f t="shared" si="168"/>
        <v>0</v>
      </c>
      <c r="AD1340" s="421"/>
      <c r="AE1340" s="413"/>
      <c r="AF1340" s="424">
        <f t="shared" si="169"/>
        <v>197120.00000000003</v>
      </c>
      <c r="AG1340" s="405" t="s">
        <v>1069</v>
      </c>
      <c r="AH1340" s="405"/>
      <c r="AI1340" s="414" t="s">
        <v>1962</v>
      </c>
      <c r="AJ1340" s="405" t="s">
        <v>3729</v>
      </c>
      <c r="AK1340" s="425" t="s">
        <v>2505</v>
      </c>
      <c r="AL1340" s="405">
        <v>84120</v>
      </c>
      <c r="AM1340" s="405" t="s">
        <v>52</v>
      </c>
      <c r="AN1340" s="405"/>
      <c r="AO1340" s="405"/>
      <c r="AP1340" s="417"/>
      <c r="AQ1340" s="417" t="s">
        <v>37</v>
      </c>
      <c r="AR1340" s="417"/>
      <c r="AS1340" s="426"/>
      <c r="AT1340" s="426"/>
      <c r="AU1340" s="426"/>
      <c r="AV1340" s="409">
        <v>0.51</v>
      </c>
    </row>
    <row r="1341" spans="1:48" s="402" customFormat="1" ht="15" customHeight="1">
      <c r="A1341" s="403"/>
      <c r="B1341" s="445">
        <v>44610</v>
      </c>
      <c r="C1341" s="403"/>
      <c r="D1341" s="416" t="s">
        <v>2480</v>
      </c>
      <c r="E1341" s="405" t="s">
        <v>3726</v>
      </c>
      <c r="F1341" s="427"/>
      <c r="G1341" s="432">
        <v>2022</v>
      </c>
      <c r="H1341" s="432"/>
      <c r="I1341" s="427" t="s">
        <v>1498</v>
      </c>
      <c r="J1341" s="428"/>
      <c r="K1341" s="429" t="s">
        <v>3735</v>
      </c>
      <c r="L1341" s="427" t="s">
        <v>3728</v>
      </c>
      <c r="M1341" s="430">
        <v>44606</v>
      </c>
      <c r="N1341" s="430">
        <v>44866</v>
      </c>
      <c r="O1341" s="430"/>
      <c r="P1341" s="428"/>
      <c r="Q1341" s="428"/>
      <c r="R1341" s="428"/>
      <c r="S1341" s="427" t="s">
        <v>1940</v>
      </c>
      <c r="T1341" s="427">
        <v>60</v>
      </c>
      <c r="U1341" s="427"/>
      <c r="V1341" s="427" t="s">
        <v>973</v>
      </c>
      <c r="W1341" s="427">
        <v>400</v>
      </c>
      <c r="X1341" s="431">
        <v>896</v>
      </c>
      <c r="Y1341" s="422">
        <f t="shared" si="166"/>
        <v>358400</v>
      </c>
      <c r="Z1341" s="409">
        <v>0.55000000000000004</v>
      </c>
      <c r="AA1341" s="423">
        <f t="shared" si="167"/>
        <v>197120.00000000003</v>
      </c>
      <c r="AB1341" s="411"/>
      <c r="AC1341" s="412">
        <f t="shared" si="168"/>
        <v>0</v>
      </c>
      <c r="AD1341" s="421"/>
      <c r="AE1341" s="413"/>
      <c r="AF1341" s="424">
        <f t="shared" si="169"/>
        <v>197120.00000000003</v>
      </c>
      <c r="AG1341" s="405" t="s">
        <v>1069</v>
      </c>
      <c r="AH1341" s="405"/>
      <c r="AI1341" s="414" t="s">
        <v>1962</v>
      </c>
      <c r="AJ1341" s="405" t="s">
        <v>3729</v>
      </c>
      <c r="AK1341" s="425" t="s">
        <v>2505</v>
      </c>
      <c r="AL1341" s="405">
        <v>84120</v>
      </c>
      <c r="AM1341" s="405" t="s">
        <v>52</v>
      </c>
      <c r="AN1341" s="405"/>
      <c r="AO1341" s="405"/>
      <c r="AP1341" s="417"/>
      <c r="AQ1341" s="417" t="s">
        <v>37</v>
      </c>
      <c r="AR1341" s="417"/>
      <c r="AS1341" s="426"/>
      <c r="AT1341" s="426"/>
      <c r="AU1341" s="426"/>
      <c r="AV1341" s="409">
        <v>0.51</v>
      </c>
    </row>
    <row r="1342" spans="1:48" s="402" customFormat="1" ht="15" customHeight="1">
      <c r="A1342" s="403"/>
      <c r="B1342" s="445">
        <v>44614</v>
      </c>
      <c r="C1342" s="403"/>
      <c r="D1342" s="416" t="s">
        <v>2480</v>
      </c>
      <c r="E1342" s="432"/>
      <c r="F1342" s="432"/>
      <c r="G1342" s="432">
        <v>2022</v>
      </c>
      <c r="H1342" s="432"/>
      <c r="I1342" s="432" t="s">
        <v>1498</v>
      </c>
      <c r="J1342" s="433"/>
      <c r="K1342" s="434" t="s">
        <v>3736</v>
      </c>
      <c r="L1342" s="432" t="s">
        <v>2534</v>
      </c>
      <c r="M1342" s="435">
        <v>44610</v>
      </c>
      <c r="N1342" s="435">
        <v>44610</v>
      </c>
      <c r="O1342" s="435"/>
      <c r="P1342" s="433"/>
      <c r="Q1342" s="433"/>
      <c r="R1342" s="433"/>
      <c r="S1342" s="432" t="s">
        <v>1940</v>
      </c>
      <c r="T1342" s="432">
        <v>60</v>
      </c>
      <c r="U1342" s="432"/>
      <c r="V1342" s="432" t="s">
        <v>973</v>
      </c>
      <c r="W1342" s="427">
        <v>400</v>
      </c>
      <c r="X1342" s="431">
        <v>22496</v>
      </c>
      <c r="Y1342" s="422">
        <f t="shared" si="166"/>
        <v>8998400</v>
      </c>
      <c r="Z1342" s="409">
        <v>0.55000000000000004</v>
      </c>
      <c r="AA1342" s="423">
        <f t="shared" si="167"/>
        <v>4949120</v>
      </c>
      <c r="AB1342" s="411"/>
      <c r="AC1342" s="412">
        <f t="shared" si="168"/>
        <v>0</v>
      </c>
      <c r="AD1342" s="421"/>
      <c r="AE1342" s="413"/>
      <c r="AF1342" s="424">
        <f t="shared" si="169"/>
        <v>4949120</v>
      </c>
      <c r="AG1342" s="405" t="s">
        <v>1069</v>
      </c>
      <c r="AH1342" s="405"/>
      <c r="AI1342" s="414" t="s">
        <v>1962</v>
      </c>
      <c r="AJ1342" s="405" t="s">
        <v>1969</v>
      </c>
      <c r="AK1342" s="425" t="s">
        <v>1125</v>
      </c>
      <c r="AL1342" s="405">
        <v>85040</v>
      </c>
      <c r="AM1342" s="405" t="s">
        <v>52</v>
      </c>
      <c r="AN1342" s="405"/>
      <c r="AO1342" s="405"/>
      <c r="AP1342" s="417"/>
      <c r="AQ1342" s="417" t="s">
        <v>37</v>
      </c>
      <c r="AR1342" s="417"/>
      <c r="AS1342" s="426"/>
      <c r="AT1342" s="426"/>
      <c r="AU1342" s="426"/>
      <c r="AV1342" s="409">
        <v>0.51</v>
      </c>
    </row>
    <row r="1343" spans="1:48" s="402" customFormat="1" ht="15" customHeight="1">
      <c r="A1343" s="403"/>
      <c r="B1343" s="445"/>
      <c r="C1343" s="403"/>
      <c r="D1343" s="416" t="s">
        <v>2480</v>
      </c>
      <c r="E1343" s="432" t="s">
        <v>3737</v>
      </c>
      <c r="F1343" s="432"/>
      <c r="G1343" s="432">
        <v>2022</v>
      </c>
      <c r="H1343" s="432"/>
      <c r="I1343" s="432" t="s">
        <v>1498</v>
      </c>
      <c r="J1343" s="433"/>
      <c r="K1343" s="434" t="s">
        <v>3738</v>
      </c>
      <c r="L1343" s="432" t="s">
        <v>2534</v>
      </c>
      <c r="M1343" s="435">
        <v>44610</v>
      </c>
      <c r="N1343" s="435">
        <v>44621</v>
      </c>
      <c r="O1343" s="435"/>
      <c r="P1343" s="433"/>
      <c r="Q1343" s="433"/>
      <c r="R1343" s="433"/>
      <c r="S1343" s="432" t="s">
        <v>1940</v>
      </c>
      <c r="T1343" s="432">
        <v>60</v>
      </c>
      <c r="U1343" s="432"/>
      <c r="V1343" s="432" t="s">
        <v>986</v>
      </c>
      <c r="W1343" s="427">
        <v>400</v>
      </c>
      <c r="X1343" s="431">
        <v>30720</v>
      </c>
      <c r="Y1343" s="422">
        <f t="shared" si="166"/>
        <v>12288000</v>
      </c>
      <c r="Z1343" s="409">
        <v>0.55000000000000004</v>
      </c>
      <c r="AA1343" s="423">
        <f t="shared" si="167"/>
        <v>6758400.0000000009</v>
      </c>
      <c r="AB1343" s="411"/>
      <c r="AC1343" s="412">
        <f t="shared" si="168"/>
        <v>0</v>
      </c>
      <c r="AD1343" s="421"/>
      <c r="AE1343" s="413"/>
      <c r="AF1343" s="424">
        <f t="shared" si="169"/>
        <v>6758400.0000000009</v>
      </c>
      <c r="AG1343" s="405" t="s">
        <v>1069</v>
      </c>
      <c r="AH1343" s="405"/>
      <c r="AI1343" s="414" t="s">
        <v>1962</v>
      </c>
      <c r="AJ1343" s="405" t="s">
        <v>1969</v>
      </c>
      <c r="AK1343" s="425" t="s">
        <v>1125</v>
      </c>
      <c r="AL1343" s="405">
        <v>85040</v>
      </c>
      <c r="AM1343" s="405" t="s">
        <v>52</v>
      </c>
      <c r="AN1343" s="405"/>
      <c r="AO1343" s="405"/>
      <c r="AP1343" s="417"/>
      <c r="AQ1343" s="417" t="s">
        <v>37</v>
      </c>
      <c r="AR1343" s="417"/>
      <c r="AS1343" s="426"/>
      <c r="AT1343" s="426"/>
      <c r="AU1343" s="426"/>
      <c r="AV1343" s="409">
        <v>0.51</v>
      </c>
    </row>
    <row r="1344" spans="1:48" s="402" customFormat="1" ht="15" customHeight="1">
      <c r="A1344" s="403"/>
      <c r="B1344" s="445"/>
      <c r="C1344" s="403"/>
      <c r="D1344" s="416" t="s">
        <v>2480</v>
      </c>
      <c r="E1344" s="432" t="s">
        <v>3737</v>
      </c>
      <c r="F1344" s="432"/>
      <c r="G1344" s="432">
        <v>2022</v>
      </c>
      <c r="H1344" s="432"/>
      <c r="I1344" s="432" t="s">
        <v>1498</v>
      </c>
      <c r="J1344" s="433"/>
      <c r="K1344" s="434" t="s">
        <v>3739</v>
      </c>
      <c r="L1344" s="432" t="s">
        <v>2534</v>
      </c>
      <c r="M1344" s="435">
        <v>44610</v>
      </c>
      <c r="N1344" s="435">
        <v>44621</v>
      </c>
      <c r="O1344" s="435"/>
      <c r="P1344" s="433"/>
      <c r="Q1344" s="433"/>
      <c r="R1344" s="433"/>
      <c r="S1344" s="432" t="s">
        <v>1940</v>
      </c>
      <c r="T1344" s="432">
        <v>60</v>
      </c>
      <c r="U1344" s="432"/>
      <c r="V1344" s="432" t="s">
        <v>986</v>
      </c>
      <c r="W1344" s="427">
        <v>400</v>
      </c>
      <c r="X1344" s="431">
        <v>29952</v>
      </c>
      <c r="Y1344" s="422">
        <f t="shared" si="166"/>
        <v>11980800</v>
      </c>
      <c r="Z1344" s="409">
        <v>0.55000000000000004</v>
      </c>
      <c r="AA1344" s="423">
        <f t="shared" si="167"/>
        <v>6589440.0000000009</v>
      </c>
      <c r="AB1344" s="411"/>
      <c r="AC1344" s="412">
        <f t="shared" si="168"/>
        <v>0</v>
      </c>
      <c r="AD1344" s="421"/>
      <c r="AE1344" s="413"/>
      <c r="AF1344" s="424">
        <f t="shared" si="169"/>
        <v>6589440.0000000009</v>
      </c>
      <c r="AG1344" s="405" t="s">
        <v>1069</v>
      </c>
      <c r="AH1344" s="405"/>
      <c r="AI1344" s="414" t="s">
        <v>1962</v>
      </c>
      <c r="AJ1344" s="405" t="s">
        <v>1969</v>
      </c>
      <c r="AK1344" s="425" t="s">
        <v>1125</v>
      </c>
      <c r="AL1344" s="405">
        <v>85040</v>
      </c>
      <c r="AM1344" s="405" t="s">
        <v>52</v>
      </c>
      <c r="AN1344" s="405"/>
      <c r="AO1344" s="405"/>
      <c r="AP1344" s="417"/>
      <c r="AQ1344" s="417" t="s">
        <v>37</v>
      </c>
      <c r="AR1344" s="417"/>
      <c r="AS1344" s="426"/>
      <c r="AT1344" s="426"/>
      <c r="AU1344" s="426"/>
      <c r="AV1344" s="409">
        <v>0.51</v>
      </c>
    </row>
    <row r="1345" spans="1:1259" s="402" customFormat="1" ht="15" customHeight="1">
      <c r="A1345" s="403"/>
      <c r="B1345" s="403"/>
      <c r="C1345" s="403"/>
      <c r="D1345" s="443" t="s">
        <v>2480</v>
      </c>
      <c r="E1345" s="432"/>
      <c r="F1345" s="432"/>
      <c r="G1345" s="432">
        <v>2022</v>
      </c>
      <c r="H1345" s="432"/>
      <c r="I1345" s="427" t="s">
        <v>1498</v>
      </c>
      <c r="J1345" s="433"/>
      <c r="K1345" s="434" t="s">
        <v>3741</v>
      </c>
      <c r="L1345" s="432" t="s">
        <v>2518</v>
      </c>
      <c r="M1345" s="435">
        <v>44601</v>
      </c>
      <c r="N1345" s="435">
        <v>44615</v>
      </c>
      <c r="O1345" s="435"/>
      <c r="P1345" s="433"/>
      <c r="Q1345" s="433"/>
      <c r="R1345" s="433"/>
      <c r="S1345" s="432" t="s">
        <v>1940</v>
      </c>
      <c r="T1345" s="432">
        <v>60</v>
      </c>
      <c r="U1345" s="432"/>
      <c r="V1345" s="432" t="s">
        <v>973</v>
      </c>
      <c r="W1345" s="432">
        <v>400</v>
      </c>
      <c r="X1345" s="436">
        <v>416</v>
      </c>
      <c r="Y1345" s="422">
        <f t="shared" si="166"/>
        <v>166400</v>
      </c>
      <c r="Z1345" s="437">
        <v>0.54</v>
      </c>
      <c r="AA1345" s="423">
        <f t="shared" si="167"/>
        <v>89856</v>
      </c>
      <c r="AB1345" s="411"/>
      <c r="AC1345" s="412">
        <f t="shared" si="168"/>
        <v>0</v>
      </c>
      <c r="AD1345" s="439"/>
      <c r="AE1345" s="438">
        <v>3987.36</v>
      </c>
      <c r="AF1345" s="424">
        <f t="shared" si="169"/>
        <v>93843.36</v>
      </c>
      <c r="AG1345" s="432" t="s">
        <v>47</v>
      </c>
      <c r="AH1345" s="432"/>
      <c r="AI1345" s="434">
        <v>60</v>
      </c>
      <c r="AJ1345" s="432" t="s">
        <v>3742</v>
      </c>
      <c r="AK1345" s="440" t="s">
        <v>50</v>
      </c>
      <c r="AL1345" s="432">
        <v>94534</v>
      </c>
      <c r="AM1345" s="432" t="s">
        <v>52</v>
      </c>
      <c r="AN1345" s="432"/>
      <c r="AO1345" s="432"/>
      <c r="AP1345" s="441"/>
      <c r="AQ1345" s="441" t="s">
        <v>37</v>
      </c>
      <c r="AR1345" s="441"/>
      <c r="AS1345" s="426"/>
      <c r="AT1345" s="426"/>
      <c r="AU1345" s="426"/>
      <c r="AV1345" s="437">
        <f t="shared" ref="AV1345:AV1357" si="170">182.4/380</f>
        <v>0.48000000000000004</v>
      </c>
    </row>
    <row r="1346" spans="1:1259" s="442" customFormat="1" ht="15" customHeight="1">
      <c r="A1346" s="403"/>
      <c r="B1346" s="403"/>
      <c r="C1346" s="403"/>
      <c r="D1346" s="443" t="s">
        <v>2480</v>
      </c>
      <c r="E1346" s="432"/>
      <c r="F1346" s="432"/>
      <c r="G1346" s="432">
        <v>2022</v>
      </c>
      <c r="H1346" s="432"/>
      <c r="I1346" s="427" t="s">
        <v>1498</v>
      </c>
      <c r="J1346" s="433"/>
      <c r="K1346" s="434" t="s">
        <v>3743</v>
      </c>
      <c r="L1346" s="432" t="s">
        <v>2518</v>
      </c>
      <c r="M1346" s="435">
        <v>44601</v>
      </c>
      <c r="N1346" s="435">
        <v>44628</v>
      </c>
      <c r="O1346" s="435"/>
      <c r="P1346" s="433"/>
      <c r="Q1346" s="433"/>
      <c r="R1346" s="433"/>
      <c r="S1346" s="432" t="s">
        <v>1940</v>
      </c>
      <c r="T1346" s="432">
        <v>60</v>
      </c>
      <c r="U1346" s="432"/>
      <c r="V1346" s="432" t="s">
        <v>973</v>
      </c>
      <c r="W1346" s="432">
        <v>400</v>
      </c>
      <c r="X1346" s="436">
        <v>416</v>
      </c>
      <c r="Y1346" s="422">
        <f t="shared" si="166"/>
        <v>166400</v>
      </c>
      <c r="Z1346" s="437">
        <v>0.54</v>
      </c>
      <c r="AA1346" s="423">
        <f t="shared" si="167"/>
        <v>89856</v>
      </c>
      <c r="AB1346" s="411"/>
      <c r="AC1346" s="412">
        <f t="shared" si="168"/>
        <v>0</v>
      </c>
      <c r="AD1346" s="439"/>
      <c r="AE1346" s="438">
        <v>3987.36</v>
      </c>
      <c r="AF1346" s="424">
        <f t="shared" si="169"/>
        <v>93843.36</v>
      </c>
      <c r="AG1346" s="432" t="s">
        <v>47</v>
      </c>
      <c r="AH1346" s="432"/>
      <c r="AI1346" s="434">
        <v>60</v>
      </c>
      <c r="AJ1346" s="432" t="s">
        <v>3742</v>
      </c>
      <c r="AK1346" s="440" t="s">
        <v>50</v>
      </c>
      <c r="AL1346" s="432">
        <v>94534</v>
      </c>
      <c r="AM1346" s="432" t="s">
        <v>52</v>
      </c>
      <c r="AN1346" s="432"/>
      <c r="AO1346" s="432"/>
      <c r="AP1346" s="441"/>
      <c r="AQ1346" s="441" t="s">
        <v>37</v>
      </c>
      <c r="AR1346" s="441"/>
      <c r="AS1346" s="426"/>
      <c r="AT1346" s="426"/>
      <c r="AU1346" s="426"/>
      <c r="AV1346" s="437">
        <f t="shared" si="170"/>
        <v>0.48000000000000004</v>
      </c>
      <c r="AW1346" s="402"/>
      <c r="AX1346" s="402"/>
      <c r="AY1346" s="402"/>
      <c r="AZ1346" s="402"/>
      <c r="BA1346" s="402"/>
      <c r="BB1346" s="402"/>
      <c r="BC1346" s="402"/>
      <c r="BD1346" s="402"/>
      <c r="BE1346" s="402"/>
      <c r="BF1346" s="402"/>
      <c r="BG1346" s="402"/>
      <c r="BH1346" s="402"/>
      <c r="BI1346" s="402"/>
      <c r="BJ1346" s="402"/>
      <c r="BK1346" s="402"/>
      <c r="BL1346" s="402"/>
      <c r="BM1346" s="402"/>
      <c r="BN1346" s="402"/>
      <c r="BO1346" s="402"/>
      <c r="BP1346" s="402"/>
      <c r="BQ1346" s="402"/>
      <c r="BR1346" s="402"/>
      <c r="BS1346" s="402"/>
      <c r="BT1346" s="402"/>
      <c r="BU1346" s="402"/>
      <c r="BV1346" s="402"/>
      <c r="BW1346" s="402"/>
      <c r="BX1346" s="402"/>
      <c r="BY1346" s="402"/>
      <c r="BZ1346" s="402"/>
      <c r="CA1346" s="402"/>
      <c r="CB1346" s="402"/>
      <c r="CC1346" s="402"/>
      <c r="CD1346" s="402"/>
      <c r="CE1346" s="402"/>
      <c r="CF1346" s="402"/>
      <c r="CG1346" s="402"/>
      <c r="CH1346" s="402"/>
      <c r="CI1346" s="402"/>
      <c r="CJ1346" s="402"/>
      <c r="CK1346" s="402"/>
      <c r="CL1346" s="402"/>
      <c r="CM1346" s="402"/>
      <c r="CN1346" s="402"/>
      <c r="CO1346" s="402"/>
      <c r="CP1346" s="402"/>
      <c r="CQ1346" s="402"/>
      <c r="CR1346" s="402"/>
      <c r="CS1346" s="402"/>
      <c r="CT1346" s="402"/>
      <c r="CU1346" s="402"/>
      <c r="CV1346" s="402"/>
      <c r="CW1346" s="402"/>
      <c r="CX1346" s="402"/>
      <c r="CY1346" s="402"/>
      <c r="CZ1346" s="402"/>
      <c r="DA1346" s="402"/>
      <c r="DB1346" s="402"/>
      <c r="DC1346" s="402"/>
      <c r="DD1346" s="402"/>
      <c r="DE1346" s="402"/>
      <c r="DF1346" s="402"/>
      <c r="DG1346" s="402"/>
      <c r="DH1346" s="402"/>
      <c r="DI1346" s="402"/>
      <c r="DJ1346" s="402"/>
      <c r="DK1346" s="402"/>
      <c r="DL1346" s="402"/>
      <c r="DM1346" s="402"/>
      <c r="DN1346" s="402"/>
      <c r="DO1346" s="402"/>
      <c r="DP1346" s="402"/>
      <c r="DQ1346" s="402"/>
      <c r="DR1346" s="402"/>
      <c r="DS1346" s="402"/>
      <c r="DT1346" s="402"/>
      <c r="DU1346" s="402"/>
      <c r="DV1346" s="402"/>
      <c r="DW1346" s="402"/>
      <c r="DX1346" s="402"/>
      <c r="DY1346" s="402"/>
      <c r="DZ1346" s="402"/>
      <c r="EA1346" s="402"/>
      <c r="EB1346" s="402"/>
      <c r="EC1346" s="402"/>
      <c r="ED1346" s="402"/>
      <c r="EE1346" s="402"/>
      <c r="EF1346" s="402"/>
      <c r="EG1346" s="402"/>
      <c r="EH1346" s="402"/>
      <c r="EI1346" s="402"/>
      <c r="EJ1346" s="402"/>
      <c r="EK1346" s="402"/>
      <c r="EL1346" s="402"/>
      <c r="EM1346" s="402"/>
      <c r="EN1346" s="402"/>
      <c r="EO1346" s="402"/>
      <c r="EP1346" s="402"/>
      <c r="EQ1346" s="402"/>
      <c r="ER1346" s="402"/>
      <c r="ES1346" s="402"/>
      <c r="ET1346" s="402"/>
      <c r="EU1346" s="402"/>
      <c r="EV1346" s="402"/>
      <c r="EW1346" s="402"/>
      <c r="EX1346" s="402"/>
      <c r="EY1346" s="402"/>
      <c r="EZ1346" s="402"/>
      <c r="FA1346" s="402"/>
      <c r="FB1346" s="402"/>
      <c r="FC1346" s="402"/>
      <c r="FD1346" s="402"/>
      <c r="FE1346" s="402"/>
      <c r="FF1346" s="402"/>
      <c r="FG1346" s="402"/>
      <c r="FH1346" s="402"/>
      <c r="FI1346" s="402"/>
      <c r="FJ1346" s="402"/>
      <c r="FK1346" s="402"/>
      <c r="FL1346" s="402"/>
      <c r="FM1346" s="402"/>
      <c r="FN1346" s="402"/>
      <c r="FO1346" s="402"/>
      <c r="FP1346" s="402"/>
      <c r="FQ1346" s="402"/>
      <c r="FR1346" s="402"/>
      <c r="FS1346" s="402"/>
      <c r="FT1346" s="402"/>
      <c r="FU1346" s="402"/>
      <c r="FV1346" s="402"/>
      <c r="FW1346" s="402"/>
      <c r="FX1346" s="402"/>
      <c r="FY1346" s="402"/>
      <c r="FZ1346" s="402"/>
      <c r="GA1346" s="402"/>
      <c r="GB1346" s="402"/>
      <c r="GC1346" s="402"/>
      <c r="GD1346" s="402"/>
      <c r="GE1346" s="402"/>
      <c r="GF1346" s="402"/>
      <c r="GG1346" s="402"/>
      <c r="GH1346" s="402"/>
      <c r="GI1346" s="402"/>
      <c r="GJ1346" s="402"/>
      <c r="GK1346" s="402"/>
      <c r="GL1346" s="402"/>
      <c r="GM1346" s="402"/>
      <c r="GN1346" s="402"/>
      <c r="GO1346" s="402"/>
      <c r="GP1346" s="402"/>
      <c r="GQ1346" s="402"/>
      <c r="GR1346" s="402"/>
      <c r="GS1346" s="402"/>
      <c r="GT1346" s="402"/>
      <c r="GU1346" s="402"/>
      <c r="GV1346" s="402"/>
      <c r="GW1346" s="402"/>
      <c r="GX1346" s="402"/>
      <c r="GY1346" s="402"/>
      <c r="GZ1346" s="402"/>
      <c r="HA1346" s="402"/>
      <c r="HB1346" s="402"/>
      <c r="HC1346" s="402"/>
      <c r="HD1346" s="402"/>
      <c r="HE1346" s="402"/>
      <c r="HF1346" s="402"/>
      <c r="HG1346" s="402"/>
      <c r="HH1346" s="402"/>
      <c r="HI1346" s="402"/>
      <c r="HJ1346" s="402"/>
      <c r="HK1346" s="402"/>
      <c r="HL1346" s="402"/>
      <c r="HM1346" s="402"/>
      <c r="HN1346" s="402"/>
      <c r="HO1346" s="402"/>
      <c r="HP1346" s="402"/>
      <c r="HQ1346" s="402"/>
      <c r="HR1346" s="402"/>
      <c r="HS1346" s="402"/>
      <c r="HT1346" s="402"/>
      <c r="HU1346" s="402"/>
      <c r="HV1346" s="402"/>
      <c r="HW1346" s="402"/>
      <c r="HX1346" s="402"/>
      <c r="HY1346" s="402"/>
      <c r="HZ1346" s="402"/>
      <c r="IA1346" s="402"/>
      <c r="IB1346" s="402"/>
      <c r="IC1346" s="402"/>
      <c r="ID1346" s="402"/>
      <c r="IE1346" s="402"/>
      <c r="IF1346" s="402"/>
      <c r="IG1346" s="402"/>
      <c r="IH1346" s="402"/>
      <c r="II1346" s="402"/>
      <c r="IJ1346" s="402"/>
      <c r="IK1346" s="402"/>
      <c r="IL1346" s="402"/>
      <c r="IM1346" s="402"/>
      <c r="IN1346" s="402"/>
      <c r="IO1346" s="402"/>
      <c r="IP1346" s="402"/>
      <c r="IQ1346" s="402"/>
      <c r="IR1346" s="402"/>
      <c r="IS1346" s="402"/>
      <c r="IT1346" s="402"/>
      <c r="IU1346" s="402"/>
      <c r="IV1346" s="402"/>
      <c r="IW1346" s="402"/>
      <c r="IX1346" s="402"/>
      <c r="IY1346" s="402"/>
      <c r="IZ1346" s="402"/>
      <c r="JA1346" s="402"/>
      <c r="JB1346" s="402"/>
      <c r="JC1346" s="402"/>
      <c r="JD1346" s="402"/>
      <c r="JE1346" s="402"/>
      <c r="JF1346" s="402"/>
      <c r="JG1346" s="402"/>
      <c r="JH1346" s="402"/>
      <c r="JI1346" s="402"/>
      <c r="JJ1346" s="402"/>
      <c r="JK1346" s="402"/>
      <c r="JL1346" s="402"/>
      <c r="JM1346" s="402"/>
      <c r="JN1346" s="402"/>
      <c r="JO1346" s="402"/>
      <c r="JP1346" s="402"/>
      <c r="JQ1346" s="402"/>
      <c r="JR1346" s="402"/>
      <c r="JS1346" s="402"/>
      <c r="JT1346" s="402"/>
      <c r="JU1346" s="402"/>
      <c r="JV1346" s="402"/>
      <c r="JW1346" s="402"/>
      <c r="JX1346" s="402"/>
      <c r="JY1346" s="402"/>
      <c r="JZ1346" s="402"/>
      <c r="KA1346" s="402"/>
      <c r="KB1346" s="402"/>
      <c r="KC1346" s="402"/>
      <c r="KD1346" s="402"/>
      <c r="KE1346" s="402"/>
      <c r="KF1346" s="402"/>
      <c r="KG1346" s="402"/>
      <c r="KH1346" s="402"/>
      <c r="KI1346" s="402"/>
      <c r="KJ1346" s="402"/>
      <c r="KK1346" s="402"/>
      <c r="KL1346" s="402"/>
      <c r="KM1346" s="402"/>
      <c r="KN1346" s="402"/>
      <c r="KO1346" s="402"/>
      <c r="KP1346" s="402"/>
      <c r="KQ1346" s="402"/>
      <c r="KR1346" s="402"/>
      <c r="KS1346" s="402"/>
      <c r="KT1346" s="402"/>
      <c r="KU1346" s="402"/>
      <c r="KV1346" s="402"/>
      <c r="KW1346" s="402"/>
      <c r="KX1346" s="402"/>
      <c r="KY1346" s="402"/>
      <c r="KZ1346" s="402"/>
      <c r="LA1346" s="402"/>
      <c r="LB1346" s="402"/>
      <c r="LC1346" s="402"/>
      <c r="LD1346" s="402"/>
      <c r="LE1346" s="402"/>
      <c r="LF1346" s="402"/>
      <c r="LG1346" s="402"/>
      <c r="LH1346" s="402"/>
      <c r="LI1346" s="402"/>
      <c r="LJ1346" s="402"/>
      <c r="LK1346" s="402"/>
      <c r="LL1346" s="402"/>
      <c r="LM1346" s="402"/>
      <c r="LN1346" s="402"/>
      <c r="LO1346" s="402"/>
      <c r="LP1346" s="402"/>
      <c r="LQ1346" s="402"/>
      <c r="LR1346" s="402"/>
      <c r="LS1346" s="402"/>
      <c r="LT1346" s="402"/>
      <c r="LU1346" s="402"/>
      <c r="LV1346" s="402"/>
      <c r="LW1346" s="402"/>
      <c r="LX1346" s="402"/>
      <c r="LY1346" s="402"/>
      <c r="LZ1346" s="402"/>
      <c r="MA1346" s="402"/>
      <c r="MB1346" s="402"/>
      <c r="MC1346" s="402"/>
      <c r="MD1346" s="402"/>
      <c r="ME1346" s="402"/>
      <c r="MF1346" s="402"/>
      <c r="MG1346" s="402"/>
      <c r="MH1346" s="402"/>
      <c r="MI1346" s="402"/>
      <c r="MJ1346" s="402"/>
      <c r="MK1346" s="402"/>
      <c r="ML1346" s="402"/>
      <c r="MM1346" s="402"/>
      <c r="MN1346" s="402"/>
      <c r="MO1346" s="402"/>
      <c r="MP1346" s="402"/>
      <c r="MQ1346" s="402"/>
      <c r="MR1346" s="402"/>
      <c r="MS1346" s="402"/>
      <c r="MT1346" s="402"/>
      <c r="MU1346" s="402"/>
      <c r="MV1346" s="402"/>
      <c r="MW1346" s="402"/>
      <c r="MX1346" s="402"/>
      <c r="MY1346" s="402"/>
      <c r="MZ1346" s="402"/>
      <c r="NA1346" s="402"/>
      <c r="NB1346" s="402"/>
      <c r="NC1346" s="402"/>
      <c r="ND1346" s="402"/>
      <c r="NE1346" s="402"/>
      <c r="NF1346" s="402"/>
      <c r="NG1346" s="402"/>
      <c r="NH1346" s="402"/>
      <c r="NI1346" s="402"/>
      <c r="NJ1346" s="402"/>
      <c r="NK1346" s="402"/>
      <c r="NL1346" s="402"/>
      <c r="NM1346" s="402"/>
      <c r="NN1346" s="402"/>
      <c r="NO1346" s="402"/>
      <c r="NP1346" s="402"/>
      <c r="NQ1346" s="402"/>
      <c r="NR1346" s="402"/>
      <c r="NS1346" s="402"/>
      <c r="NT1346" s="402"/>
      <c r="NU1346" s="402"/>
      <c r="NV1346" s="402"/>
      <c r="NW1346" s="402"/>
      <c r="NX1346" s="402"/>
      <c r="NY1346" s="402"/>
      <c r="NZ1346" s="402"/>
      <c r="OA1346" s="402"/>
      <c r="OB1346" s="402"/>
      <c r="OC1346" s="402"/>
      <c r="OD1346" s="402"/>
      <c r="OE1346" s="402"/>
      <c r="OF1346" s="402"/>
      <c r="OG1346" s="402"/>
      <c r="OH1346" s="402"/>
      <c r="OI1346" s="402"/>
      <c r="OJ1346" s="402"/>
      <c r="OK1346" s="402"/>
      <c r="OL1346" s="402"/>
      <c r="OM1346" s="402"/>
      <c r="ON1346" s="402"/>
      <c r="OO1346" s="402"/>
      <c r="OP1346" s="402"/>
      <c r="OQ1346" s="402"/>
      <c r="OR1346" s="402"/>
      <c r="OS1346" s="402"/>
      <c r="OT1346" s="402"/>
      <c r="OU1346" s="402"/>
      <c r="OV1346" s="402"/>
      <c r="OW1346" s="402"/>
      <c r="OX1346" s="402"/>
      <c r="OY1346" s="402"/>
      <c r="OZ1346" s="402"/>
      <c r="PA1346" s="402"/>
      <c r="PB1346" s="402"/>
      <c r="PC1346" s="402"/>
      <c r="PD1346" s="402"/>
      <c r="PE1346" s="402"/>
      <c r="PF1346" s="402"/>
      <c r="PG1346" s="402"/>
      <c r="PH1346" s="402"/>
      <c r="PI1346" s="402"/>
      <c r="PJ1346" s="402"/>
      <c r="PK1346" s="402"/>
      <c r="PL1346" s="402"/>
      <c r="PM1346" s="402"/>
      <c r="PN1346" s="402"/>
      <c r="PO1346" s="402"/>
      <c r="PP1346" s="402"/>
      <c r="PQ1346" s="402"/>
      <c r="PR1346" s="402"/>
      <c r="PS1346" s="402"/>
      <c r="PT1346" s="402"/>
      <c r="PU1346" s="402"/>
      <c r="PV1346" s="402"/>
      <c r="PW1346" s="402"/>
      <c r="PX1346" s="402"/>
      <c r="PY1346" s="402"/>
      <c r="PZ1346" s="402"/>
      <c r="QA1346" s="402"/>
      <c r="QB1346" s="402"/>
      <c r="QC1346" s="402"/>
      <c r="QD1346" s="402"/>
      <c r="QE1346" s="402"/>
      <c r="QF1346" s="402"/>
      <c r="QG1346" s="402"/>
      <c r="QH1346" s="402"/>
      <c r="QI1346" s="402"/>
      <c r="QJ1346" s="402"/>
      <c r="QK1346" s="402"/>
      <c r="QL1346" s="402"/>
      <c r="QM1346" s="402"/>
      <c r="QN1346" s="402"/>
      <c r="QO1346" s="402"/>
      <c r="QP1346" s="402"/>
      <c r="QQ1346" s="402"/>
      <c r="QR1346" s="402"/>
      <c r="QS1346" s="402"/>
      <c r="QT1346" s="402"/>
      <c r="QU1346" s="402"/>
      <c r="QV1346" s="402"/>
      <c r="QW1346" s="402"/>
      <c r="QX1346" s="402"/>
      <c r="QY1346" s="402"/>
      <c r="QZ1346" s="402"/>
      <c r="RA1346" s="402"/>
      <c r="RB1346" s="402"/>
      <c r="RC1346" s="402"/>
      <c r="RD1346" s="402"/>
      <c r="RE1346" s="402"/>
      <c r="RF1346" s="402"/>
      <c r="RG1346" s="402"/>
      <c r="RH1346" s="402"/>
      <c r="RI1346" s="402"/>
      <c r="RJ1346" s="402"/>
      <c r="RK1346" s="402"/>
      <c r="RL1346" s="402"/>
      <c r="RM1346" s="402"/>
      <c r="RN1346" s="402"/>
      <c r="RO1346" s="402"/>
      <c r="RP1346" s="402"/>
      <c r="RQ1346" s="402"/>
      <c r="RR1346" s="402"/>
      <c r="RS1346" s="402"/>
      <c r="RT1346" s="402"/>
      <c r="RU1346" s="402"/>
      <c r="RV1346" s="402"/>
      <c r="RW1346" s="402"/>
      <c r="RX1346" s="402"/>
      <c r="RY1346" s="402"/>
      <c r="RZ1346" s="402"/>
      <c r="SA1346" s="402"/>
      <c r="SB1346" s="402"/>
      <c r="SC1346" s="402"/>
      <c r="SD1346" s="402"/>
      <c r="SE1346" s="402"/>
      <c r="SF1346" s="402"/>
      <c r="SG1346" s="402"/>
      <c r="SH1346" s="402"/>
      <c r="SI1346" s="402"/>
      <c r="SJ1346" s="402"/>
      <c r="SK1346" s="402"/>
      <c r="SL1346" s="402"/>
      <c r="SM1346" s="402"/>
      <c r="SN1346" s="402"/>
      <c r="SO1346" s="402"/>
      <c r="SP1346" s="402"/>
      <c r="SQ1346" s="402"/>
      <c r="SR1346" s="402"/>
      <c r="SS1346" s="402"/>
      <c r="ST1346" s="402"/>
      <c r="SU1346" s="402"/>
      <c r="SV1346" s="402"/>
      <c r="SW1346" s="402"/>
      <c r="SX1346" s="402"/>
      <c r="SY1346" s="402"/>
      <c r="SZ1346" s="402"/>
      <c r="TA1346" s="402"/>
      <c r="TB1346" s="402"/>
      <c r="TC1346" s="402"/>
      <c r="TD1346" s="402"/>
      <c r="TE1346" s="402"/>
      <c r="TF1346" s="402"/>
      <c r="TG1346" s="402"/>
      <c r="TH1346" s="402"/>
      <c r="TI1346" s="402"/>
      <c r="TJ1346" s="402"/>
      <c r="TK1346" s="402"/>
      <c r="TL1346" s="402"/>
      <c r="TM1346" s="402"/>
      <c r="TN1346" s="402"/>
      <c r="TO1346" s="402"/>
      <c r="TP1346" s="402"/>
      <c r="TQ1346" s="402"/>
      <c r="TR1346" s="402"/>
      <c r="TS1346" s="402"/>
      <c r="TT1346" s="402"/>
      <c r="TU1346" s="402"/>
      <c r="TV1346" s="402"/>
      <c r="TW1346" s="402"/>
      <c r="TX1346" s="402"/>
      <c r="TY1346" s="402"/>
      <c r="TZ1346" s="402"/>
      <c r="UA1346" s="402"/>
      <c r="UB1346" s="402"/>
      <c r="UC1346" s="402"/>
      <c r="UD1346" s="402"/>
      <c r="UE1346" s="402"/>
      <c r="UF1346" s="402"/>
      <c r="UG1346" s="402"/>
      <c r="UH1346" s="402"/>
      <c r="UI1346" s="402"/>
      <c r="UJ1346" s="402"/>
      <c r="UK1346" s="402"/>
      <c r="UL1346" s="402"/>
      <c r="UM1346" s="402"/>
      <c r="UN1346" s="402"/>
      <c r="UO1346" s="402"/>
      <c r="UP1346" s="402"/>
      <c r="UQ1346" s="402"/>
      <c r="UR1346" s="402"/>
      <c r="US1346" s="402"/>
      <c r="UT1346" s="402"/>
      <c r="UU1346" s="402"/>
      <c r="UV1346" s="402"/>
      <c r="UW1346" s="402"/>
      <c r="UX1346" s="402"/>
      <c r="UY1346" s="402"/>
      <c r="UZ1346" s="402"/>
      <c r="VA1346" s="402"/>
      <c r="VB1346" s="402"/>
      <c r="VC1346" s="402"/>
      <c r="VD1346" s="402"/>
      <c r="VE1346" s="402"/>
      <c r="VF1346" s="402"/>
      <c r="VG1346" s="402"/>
      <c r="VH1346" s="402"/>
      <c r="VI1346" s="402"/>
      <c r="VJ1346" s="402"/>
      <c r="VK1346" s="402"/>
      <c r="VL1346" s="402"/>
      <c r="VM1346" s="402"/>
      <c r="VN1346" s="402"/>
      <c r="VO1346" s="402"/>
      <c r="VP1346" s="402"/>
      <c r="VQ1346" s="402"/>
      <c r="VR1346" s="402"/>
      <c r="VS1346" s="402"/>
      <c r="VT1346" s="402"/>
      <c r="VU1346" s="402"/>
      <c r="VV1346" s="402"/>
      <c r="VW1346" s="402"/>
      <c r="VX1346" s="402"/>
      <c r="VY1346" s="402"/>
      <c r="VZ1346" s="402"/>
      <c r="WA1346" s="402"/>
      <c r="WB1346" s="402"/>
      <c r="WC1346" s="402"/>
      <c r="WD1346" s="402"/>
      <c r="WE1346" s="402"/>
      <c r="WF1346" s="402"/>
      <c r="WG1346" s="402"/>
      <c r="WH1346" s="402"/>
      <c r="WI1346" s="402"/>
      <c r="WJ1346" s="402"/>
      <c r="WK1346" s="402"/>
      <c r="WL1346" s="402"/>
      <c r="WM1346" s="402"/>
      <c r="WN1346" s="402"/>
      <c r="WO1346" s="402"/>
      <c r="WP1346" s="402"/>
      <c r="WQ1346" s="402"/>
      <c r="WR1346" s="402"/>
      <c r="WS1346" s="402"/>
      <c r="WT1346" s="402"/>
      <c r="WU1346" s="402"/>
      <c r="WV1346" s="402"/>
      <c r="WW1346" s="402"/>
      <c r="WX1346" s="402"/>
      <c r="WY1346" s="402"/>
      <c r="WZ1346" s="402"/>
      <c r="XA1346" s="402"/>
      <c r="XB1346" s="402"/>
      <c r="XC1346" s="402"/>
      <c r="XD1346" s="402"/>
      <c r="XE1346" s="402"/>
      <c r="XF1346" s="402"/>
      <c r="XG1346" s="402"/>
      <c r="XH1346" s="402"/>
      <c r="XI1346" s="402"/>
      <c r="XJ1346" s="402"/>
      <c r="XK1346" s="402"/>
      <c r="XL1346" s="402"/>
      <c r="XM1346" s="402"/>
      <c r="XN1346" s="402"/>
      <c r="XO1346" s="402"/>
      <c r="XP1346" s="402"/>
      <c r="XQ1346" s="402"/>
      <c r="XR1346" s="402"/>
      <c r="XS1346" s="402"/>
      <c r="XT1346" s="402"/>
      <c r="XU1346" s="402"/>
      <c r="XV1346" s="402"/>
      <c r="XW1346" s="402"/>
      <c r="XX1346" s="402"/>
      <c r="XY1346" s="402"/>
      <c r="XZ1346" s="402"/>
      <c r="YA1346" s="402"/>
      <c r="YB1346" s="402"/>
      <c r="YC1346" s="402"/>
      <c r="YD1346" s="402"/>
      <c r="YE1346" s="402"/>
      <c r="YF1346" s="402"/>
      <c r="YG1346" s="402"/>
      <c r="YH1346" s="402"/>
      <c r="YI1346" s="402"/>
      <c r="YJ1346" s="402"/>
      <c r="YK1346" s="402"/>
      <c r="YL1346" s="402"/>
      <c r="YM1346" s="402"/>
      <c r="YN1346" s="402"/>
      <c r="YO1346" s="402"/>
      <c r="YP1346" s="402"/>
      <c r="YQ1346" s="402"/>
      <c r="YR1346" s="402"/>
      <c r="YS1346" s="402"/>
      <c r="YT1346" s="402"/>
      <c r="YU1346" s="402"/>
      <c r="YV1346" s="402"/>
      <c r="YW1346" s="402"/>
      <c r="YX1346" s="402"/>
      <c r="YY1346" s="402"/>
      <c r="YZ1346" s="402"/>
      <c r="ZA1346" s="402"/>
      <c r="ZB1346" s="402"/>
      <c r="ZC1346" s="402"/>
      <c r="ZD1346" s="402"/>
      <c r="ZE1346" s="402"/>
      <c r="ZF1346" s="402"/>
      <c r="ZG1346" s="402"/>
      <c r="ZH1346" s="402"/>
      <c r="ZI1346" s="402"/>
      <c r="ZJ1346" s="402"/>
      <c r="ZK1346" s="402"/>
      <c r="ZL1346" s="402"/>
      <c r="ZM1346" s="402"/>
      <c r="ZN1346" s="402"/>
      <c r="ZO1346" s="402"/>
      <c r="ZP1346" s="402"/>
      <c r="ZQ1346" s="402"/>
      <c r="ZR1346" s="402"/>
      <c r="ZS1346" s="402"/>
      <c r="ZT1346" s="402"/>
      <c r="ZU1346" s="402"/>
      <c r="ZV1346" s="402"/>
      <c r="ZW1346" s="402"/>
      <c r="ZX1346" s="402"/>
      <c r="ZY1346" s="402"/>
      <c r="ZZ1346" s="402"/>
      <c r="AAA1346" s="402"/>
      <c r="AAB1346" s="402"/>
      <c r="AAC1346" s="402"/>
      <c r="AAD1346" s="402"/>
      <c r="AAE1346" s="402"/>
      <c r="AAF1346" s="402"/>
      <c r="AAG1346" s="402"/>
      <c r="AAH1346" s="402"/>
      <c r="AAI1346" s="402"/>
      <c r="AAJ1346" s="402"/>
      <c r="AAK1346" s="402"/>
      <c r="AAL1346" s="402"/>
      <c r="AAM1346" s="402"/>
      <c r="AAN1346" s="402"/>
      <c r="AAO1346" s="402"/>
      <c r="AAP1346" s="402"/>
      <c r="AAQ1346" s="402"/>
      <c r="AAR1346" s="402"/>
      <c r="AAS1346" s="402"/>
      <c r="AAT1346" s="402"/>
      <c r="AAU1346" s="402"/>
      <c r="AAV1346" s="402"/>
      <c r="AAW1346" s="402"/>
      <c r="AAX1346" s="402"/>
      <c r="AAY1346" s="402"/>
      <c r="AAZ1346" s="402"/>
      <c r="ABA1346" s="402"/>
      <c r="ABB1346" s="402"/>
      <c r="ABC1346" s="402"/>
      <c r="ABD1346" s="402"/>
      <c r="ABE1346" s="402"/>
      <c r="ABF1346" s="402"/>
      <c r="ABG1346" s="402"/>
      <c r="ABH1346" s="402"/>
      <c r="ABI1346" s="402"/>
      <c r="ABJ1346" s="402"/>
      <c r="ABK1346" s="402"/>
      <c r="ABL1346" s="402"/>
      <c r="ABM1346" s="402"/>
      <c r="ABN1346" s="402"/>
      <c r="ABO1346" s="402"/>
      <c r="ABP1346" s="402"/>
      <c r="ABQ1346" s="402"/>
      <c r="ABR1346" s="402"/>
      <c r="ABS1346" s="402"/>
      <c r="ABT1346" s="402"/>
      <c r="ABU1346" s="402"/>
      <c r="ABV1346" s="402"/>
      <c r="ABW1346" s="402"/>
      <c r="ABX1346" s="402"/>
      <c r="ABY1346" s="402"/>
      <c r="ABZ1346" s="402"/>
      <c r="ACA1346" s="402"/>
      <c r="ACB1346" s="402"/>
      <c r="ACC1346" s="402"/>
      <c r="ACD1346" s="402"/>
      <c r="ACE1346" s="402"/>
      <c r="ACF1346" s="402"/>
      <c r="ACG1346" s="402"/>
      <c r="ACH1346" s="402"/>
      <c r="ACI1346" s="402"/>
      <c r="ACJ1346" s="402"/>
      <c r="ACK1346" s="402"/>
      <c r="ACL1346" s="402"/>
      <c r="ACM1346" s="402"/>
      <c r="ACN1346" s="402"/>
      <c r="ACO1346" s="402"/>
      <c r="ACP1346" s="402"/>
      <c r="ACQ1346" s="402"/>
      <c r="ACR1346" s="402"/>
      <c r="ACS1346" s="402"/>
      <c r="ACT1346" s="402"/>
      <c r="ACU1346" s="402"/>
      <c r="ACV1346" s="402"/>
      <c r="ACW1346" s="402"/>
      <c r="ACX1346" s="402"/>
      <c r="ACY1346" s="402"/>
      <c r="ACZ1346" s="402"/>
      <c r="ADA1346" s="402"/>
      <c r="ADB1346" s="402"/>
      <c r="ADC1346" s="402"/>
      <c r="ADD1346" s="402"/>
      <c r="ADE1346" s="402"/>
      <c r="ADF1346" s="402"/>
      <c r="ADG1346" s="402"/>
      <c r="ADH1346" s="402"/>
      <c r="ADI1346" s="402"/>
      <c r="ADJ1346" s="402"/>
      <c r="ADK1346" s="402"/>
      <c r="ADL1346" s="402"/>
      <c r="ADM1346" s="402"/>
      <c r="ADN1346" s="402"/>
      <c r="ADO1346" s="402"/>
      <c r="ADP1346" s="402"/>
      <c r="ADQ1346" s="402"/>
      <c r="ADR1346" s="402"/>
      <c r="ADS1346" s="402"/>
      <c r="ADT1346" s="402"/>
      <c r="ADU1346" s="402"/>
      <c r="ADV1346" s="402"/>
      <c r="ADW1346" s="402"/>
      <c r="ADX1346" s="402"/>
      <c r="ADY1346" s="402"/>
      <c r="ADZ1346" s="402"/>
      <c r="AEA1346" s="402"/>
      <c r="AEB1346" s="402"/>
      <c r="AEC1346" s="402"/>
      <c r="AED1346" s="402"/>
      <c r="AEE1346" s="402"/>
      <c r="AEF1346" s="402"/>
      <c r="AEG1346" s="402"/>
      <c r="AEH1346" s="402"/>
      <c r="AEI1346" s="402"/>
      <c r="AEJ1346" s="402"/>
      <c r="AEK1346" s="402"/>
      <c r="AEL1346" s="402"/>
      <c r="AEM1346" s="402"/>
      <c r="AEN1346" s="402"/>
      <c r="AEO1346" s="402"/>
      <c r="AEP1346" s="402"/>
      <c r="AEQ1346" s="402"/>
      <c r="AER1346" s="402"/>
      <c r="AES1346" s="402"/>
      <c r="AET1346" s="402"/>
      <c r="AEU1346" s="402"/>
      <c r="AEV1346" s="402"/>
      <c r="AEW1346" s="402"/>
      <c r="AEX1346" s="402"/>
      <c r="AEY1346" s="402"/>
      <c r="AEZ1346" s="402"/>
      <c r="AFA1346" s="402"/>
      <c r="AFB1346" s="402"/>
      <c r="AFC1346" s="402"/>
      <c r="AFD1346" s="402"/>
      <c r="AFE1346" s="402"/>
      <c r="AFF1346" s="402"/>
      <c r="AFG1346" s="402"/>
      <c r="AFH1346" s="402"/>
      <c r="AFI1346" s="402"/>
      <c r="AFJ1346" s="402"/>
      <c r="AFK1346" s="402"/>
      <c r="AFL1346" s="402"/>
      <c r="AFM1346" s="402"/>
      <c r="AFN1346" s="402"/>
      <c r="AFO1346" s="402"/>
      <c r="AFP1346" s="402"/>
      <c r="AFQ1346" s="402"/>
      <c r="AFR1346" s="402"/>
      <c r="AFS1346" s="402"/>
      <c r="AFT1346" s="402"/>
      <c r="AFU1346" s="402"/>
      <c r="AFV1346" s="402"/>
      <c r="AFW1346" s="402"/>
      <c r="AFX1346" s="402"/>
      <c r="AFY1346" s="402"/>
      <c r="AFZ1346" s="402"/>
      <c r="AGA1346" s="402"/>
      <c r="AGB1346" s="402"/>
      <c r="AGC1346" s="402"/>
      <c r="AGD1346" s="402"/>
      <c r="AGE1346" s="402"/>
      <c r="AGF1346" s="402"/>
      <c r="AGG1346" s="402"/>
      <c r="AGH1346" s="402"/>
      <c r="AGI1346" s="402"/>
      <c r="AGJ1346" s="402"/>
      <c r="AGK1346" s="402"/>
      <c r="AGL1346" s="402"/>
      <c r="AGM1346" s="402"/>
      <c r="AGN1346" s="402"/>
      <c r="AGO1346" s="402"/>
      <c r="AGP1346" s="402"/>
      <c r="AGQ1346" s="402"/>
      <c r="AGR1346" s="402"/>
      <c r="AGS1346" s="402"/>
      <c r="AGT1346" s="402"/>
      <c r="AGU1346" s="402"/>
      <c r="AGV1346" s="402"/>
      <c r="AGW1346" s="402"/>
      <c r="AGX1346" s="402"/>
      <c r="AGY1346" s="402"/>
      <c r="AGZ1346" s="402"/>
      <c r="AHA1346" s="402"/>
      <c r="AHB1346" s="402"/>
      <c r="AHC1346" s="402"/>
      <c r="AHD1346" s="402"/>
      <c r="AHE1346" s="402"/>
      <c r="AHF1346" s="402"/>
      <c r="AHG1346" s="402"/>
      <c r="AHH1346" s="402"/>
      <c r="AHI1346" s="402"/>
      <c r="AHJ1346" s="402"/>
      <c r="AHK1346" s="402"/>
      <c r="AHL1346" s="402"/>
      <c r="AHM1346" s="402"/>
      <c r="AHN1346" s="402"/>
      <c r="AHO1346" s="402"/>
      <c r="AHP1346" s="402"/>
      <c r="AHQ1346" s="402"/>
      <c r="AHR1346" s="402"/>
      <c r="AHS1346" s="402"/>
      <c r="AHT1346" s="402"/>
      <c r="AHU1346" s="402"/>
      <c r="AHV1346" s="402"/>
      <c r="AHW1346" s="402"/>
      <c r="AHX1346" s="402"/>
      <c r="AHY1346" s="402"/>
      <c r="AHZ1346" s="402"/>
      <c r="AIA1346" s="402"/>
      <c r="AIB1346" s="402"/>
      <c r="AIC1346" s="402"/>
      <c r="AID1346" s="402"/>
      <c r="AIE1346" s="402"/>
      <c r="AIF1346" s="402"/>
      <c r="AIG1346" s="402"/>
      <c r="AIH1346" s="402"/>
      <c r="AII1346" s="402"/>
      <c r="AIJ1346" s="402"/>
      <c r="AIK1346" s="402"/>
      <c r="AIL1346" s="402"/>
      <c r="AIM1346" s="402"/>
      <c r="AIN1346" s="402"/>
      <c r="AIO1346" s="402"/>
      <c r="AIP1346" s="402"/>
      <c r="AIQ1346" s="402"/>
      <c r="AIR1346" s="402"/>
      <c r="AIS1346" s="402"/>
      <c r="AIT1346" s="402"/>
      <c r="AIU1346" s="402"/>
      <c r="AIV1346" s="402"/>
      <c r="AIW1346" s="402"/>
      <c r="AIX1346" s="402"/>
      <c r="AIY1346" s="402"/>
      <c r="AIZ1346" s="402"/>
      <c r="AJA1346" s="402"/>
      <c r="AJB1346" s="402"/>
      <c r="AJC1346" s="402"/>
      <c r="AJD1346" s="402"/>
      <c r="AJE1346" s="402"/>
      <c r="AJF1346" s="402"/>
      <c r="AJG1346" s="402"/>
      <c r="AJH1346" s="402"/>
      <c r="AJI1346" s="402"/>
      <c r="AJJ1346" s="402"/>
      <c r="AJK1346" s="402"/>
      <c r="AJL1346" s="402"/>
      <c r="AJM1346" s="402"/>
      <c r="AJN1346" s="402"/>
      <c r="AJO1346" s="402"/>
      <c r="AJP1346" s="402"/>
      <c r="AJQ1346" s="402"/>
      <c r="AJR1346" s="402"/>
      <c r="AJS1346" s="402"/>
      <c r="AJT1346" s="402"/>
      <c r="AJU1346" s="402"/>
      <c r="AJV1346" s="402"/>
      <c r="AJW1346" s="402"/>
      <c r="AJX1346" s="402"/>
      <c r="AJY1346" s="402"/>
      <c r="AJZ1346" s="402"/>
      <c r="AKA1346" s="402"/>
      <c r="AKB1346" s="402"/>
      <c r="AKC1346" s="402"/>
      <c r="AKD1346" s="402"/>
      <c r="AKE1346" s="402"/>
      <c r="AKF1346" s="402"/>
      <c r="AKG1346" s="402"/>
      <c r="AKH1346" s="402"/>
      <c r="AKI1346" s="402"/>
      <c r="AKJ1346" s="402"/>
      <c r="AKK1346" s="402"/>
      <c r="AKL1346" s="402"/>
      <c r="AKM1346" s="402"/>
      <c r="AKN1346" s="402"/>
      <c r="AKO1346" s="402"/>
      <c r="AKP1346" s="402"/>
      <c r="AKQ1346" s="402"/>
      <c r="AKR1346" s="402"/>
      <c r="AKS1346" s="402"/>
      <c r="AKT1346" s="402"/>
      <c r="AKU1346" s="402"/>
      <c r="AKV1346" s="402"/>
      <c r="AKW1346" s="402"/>
      <c r="AKX1346" s="402"/>
      <c r="AKY1346" s="402"/>
      <c r="AKZ1346" s="402"/>
      <c r="ALA1346" s="402"/>
      <c r="ALB1346" s="402"/>
      <c r="ALC1346" s="402"/>
      <c r="ALD1346" s="402"/>
      <c r="ALE1346" s="402"/>
      <c r="ALF1346" s="402"/>
      <c r="ALG1346" s="402"/>
      <c r="ALH1346" s="402"/>
      <c r="ALI1346" s="402"/>
      <c r="ALJ1346" s="402"/>
      <c r="ALK1346" s="402"/>
      <c r="ALL1346" s="402"/>
      <c r="ALM1346" s="402"/>
      <c r="ALN1346" s="402"/>
      <c r="ALO1346" s="402"/>
      <c r="ALP1346" s="402"/>
      <c r="ALQ1346" s="402"/>
      <c r="ALR1346" s="402"/>
      <c r="ALS1346" s="402"/>
      <c r="ALT1346" s="402"/>
      <c r="ALU1346" s="402"/>
      <c r="ALV1346" s="402"/>
      <c r="ALW1346" s="402"/>
      <c r="ALX1346" s="402"/>
      <c r="ALY1346" s="402"/>
      <c r="ALZ1346" s="402"/>
      <c r="AMA1346" s="402"/>
      <c r="AMB1346" s="402"/>
      <c r="AMC1346" s="402"/>
      <c r="AMD1346" s="402"/>
      <c r="AME1346" s="402"/>
      <c r="AMF1346" s="402"/>
      <c r="AMG1346" s="402"/>
      <c r="AMH1346" s="402"/>
      <c r="AMI1346" s="402"/>
      <c r="AMJ1346" s="402"/>
      <c r="AMK1346" s="402"/>
      <c r="AML1346" s="402"/>
      <c r="AMM1346" s="402"/>
      <c r="AMN1346" s="402"/>
      <c r="AMO1346" s="402"/>
      <c r="AMP1346" s="402"/>
      <c r="AMQ1346" s="402"/>
      <c r="AMR1346" s="402"/>
      <c r="AMS1346" s="402"/>
      <c r="AMT1346" s="402"/>
      <c r="AMU1346" s="402"/>
      <c r="AMV1346" s="402"/>
      <c r="AMW1346" s="402"/>
      <c r="AMX1346" s="402"/>
      <c r="AMY1346" s="402"/>
      <c r="AMZ1346" s="402"/>
      <c r="ANA1346" s="402"/>
      <c r="ANB1346" s="402"/>
      <c r="ANC1346" s="402"/>
      <c r="AND1346" s="402"/>
      <c r="ANE1346" s="402"/>
      <c r="ANF1346" s="402"/>
      <c r="ANG1346" s="402"/>
      <c r="ANH1346" s="402"/>
      <c r="ANI1346" s="402"/>
      <c r="ANJ1346" s="402"/>
      <c r="ANK1346" s="402"/>
      <c r="ANL1346" s="402"/>
      <c r="ANM1346" s="402"/>
      <c r="ANN1346" s="402"/>
      <c r="ANO1346" s="402"/>
      <c r="ANP1346" s="402"/>
      <c r="ANQ1346" s="402"/>
      <c r="ANR1346" s="402"/>
      <c r="ANS1346" s="402"/>
      <c r="ANT1346" s="402"/>
      <c r="ANU1346" s="402"/>
      <c r="ANV1346" s="402"/>
      <c r="ANW1346" s="402"/>
      <c r="ANX1346" s="402"/>
      <c r="ANY1346" s="402"/>
      <c r="ANZ1346" s="402"/>
      <c r="AOA1346" s="402"/>
      <c r="AOB1346" s="402"/>
      <c r="AOC1346" s="402"/>
      <c r="AOD1346" s="402"/>
      <c r="AOE1346" s="402"/>
      <c r="AOF1346" s="402"/>
      <c r="AOG1346" s="402"/>
      <c r="AOH1346" s="402"/>
      <c r="AOI1346" s="402"/>
      <c r="AOJ1346" s="402"/>
      <c r="AOK1346" s="402"/>
      <c r="AOL1346" s="402"/>
      <c r="AOM1346" s="402"/>
      <c r="AON1346" s="402"/>
      <c r="AOO1346" s="402"/>
      <c r="AOP1346" s="402"/>
      <c r="AOQ1346" s="402"/>
      <c r="AOR1346" s="402"/>
      <c r="AOS1346" s="402"/>
      <c r="AOT1346" s="402"/>
      <c r="AOU1346" s="402"/>
      <c r="AOV1346" s="402"/>
      <c r="AOW1346" s="402"/>
      <c r="AOX1346" s="402"/>
      <c r="AOY1346" s="402"/>
      <c r="AOZ1346" s="402"/>
      <c r="APA1346" s="402"/>
      <c r="APB1346" s="402"/>
      <c r="APC1346" s="402"/>
      <c r="APD1346" s="402"/>
      <c r="APE1346" s="402"/>
      <c r="APF1346" s="402"/>
      <c r="APG1346" s="402"/>
      <c r="APH1346" s="402"/>
      <c r="API1346" s="402"/>
      <c r="APJ1346" s="402"/>
      <c r="APK1346" s="402"/>
      <c r="APL1346" s="402"/>
      <c r="APM1346" s="402"/>
      <c r="APN1346" s="402"/>
      <c r="APO1346" s="402"/>
      <c r="APP1346" s="402"/>
      <c r="APQ1346" s="402"/>
      <c r="APR1346" s="402"/>
      <c r="APS1346" s="402"/>
      <c r="APT1346" s="402"/>
      <c r="APU1346" s="402"/>
      <c r="APV1346" s="402"/>
      <c r="APW1346" s="402"/>
      <c r="APX1346" s="402"/>
      <c r="APY1346" s="402"/>
      <c r="APZ1346" s="402"/>
      <c r="AQA1346" s="402"/>
      <c r="AQB1346" s="402"/>
      <c r="AQC1346" s="402"/>
      <c r="AQD1346" s="402"/>
      <c r="AQE1346" s="402"/>
      <c r="AQF1346" s="402"/>
      <c r="AQG1346" s="402"/>
      <c r="AQH1346" s="402"/>
      <c r="AQI1346" s="402"/>
      <c r="AQJ1346" s="402"/>
      <c r="AQK1346" s="402"/>
      <c r="AQL1346" s="402"/>
      <c r="AQM1346" s="402"/>
      <c r="AQN1346" s="402"/>
      <c r="AQO1346" s="402"/>
      <c r="AQP1346" s="402"/>
      <c r="AQQ1346" s="402"/>
      <c r="AQR1346" s="402"/>
      <c r="AQS1346" s="402"/>
      <c r="AQT1346" s="402"/>
      <c r="AQU1346" s="402"/>
      <c r="AQV1346" s="402"/>
      <c r="AQW1346" s="402"/>
      <c r="AQX1346" s="402"/>
      <c r="AQY1346" s="402"/>
      <c r="AQZ1346" s="402"/>
      <c r="ARA1346" s="402"/>
      <c r="ARB1346" s="402"/>
      <c r="ARC1346" s="402"/>
      <c r="ARD1346" s="402"/>
      <c r="ARE1346" s="402"/>
      <c r="ARF1346" s="402"/>
      <c r="ARG1346" s="402"/>
      <c r="ARH1346" s="402"/>
      <c r="ARI1346" s="402"/>
      <c r="ARJ1346" s="402"/>
      <c r="ARK1346" s="402"/>
      <c r="ARL1346" s="402"/>
      <c r="ARM1346" s="402"/>
      <c r="ARN1346" s="402"/>
      <c r="ARO1346" s="402"/>
      <c r="ARP1346" s="402"/>
      <c r="ARQ1346" s="402"/>
      <c r="ARR1346" s="402"/>
      <c r="ARS1346" s="402"/>
      <c r="ART1346" s="402"/>
      <c r="ARU1346" s="402"/>
      <c r="ARV1346" s="402"/>
      <c r="ARW1346" s="402"/>
      <c r="ARX1346" s="402"/>
      <c r="ARY1346" s="402"/>
      <c r="ARZ1346" s="402"/>
      <c r="ASA1346" s="402"/>
      <c r="ASB1346" s="402"/>
      <c r="ASC1346" s="402"/>
      <c r="ASD1346" s="402"/>
      <c r="ASE1346" s="402"/>
      <c r="ASF1346" s="402"/>
      <c r="ASG1346" s="402"/>
      <c r="ASH1346" s="402"/>
      <c r="ASI1346" s="402"/>
      <c r="ASJ1346" s="402"/>
      <c r="ASK1346" s="402"/>
      <c r="ASL1346" s="402"/>
      <c r="ASM1346" s="402"/>
      <c r="ASN1346" s="402"/>
      <c r="ASO1346" s="402"/>
      <c r="ASP1346" s="402"/>
      <c r="ASQ1346" s="402"/>
      <c r="ASR1346" s="402"/>
      <c r="ASS1346" s="402"/>
      <c r="AST1346" s="402"/>
      <c r="ASU1346" s="402"/>
      <c r="ASV1346" s="402"/>
      <c r="ASW1346" s="402"/>
      <c r="ASX1346" s="402"/>
      <c r="ASY1346" s="402"/>
      <c r="ASZ1346" s="402"/>
      <c r="ATA1346" s="402"/>
      <c r="ATB1346" s="402"/>
      <c r="ATC1346" s="402"/>
      <c r="ATD1346" s="402"/>
      <c r="ATE1346" s="402"/>
      <c r="ATF1346" s="402"/>
      <c r="ATG1346" s="402"/>
      <c r="ATH1346" s="402"/>
      <c r="ATI1346" s="402"/>
      <c r="ATJ1346" s="402"/>
      <c r="ATK1346" s="402"/>
      <c r="ATL1346" s="402"/>
      <c r="ATM1346" s="402"/>
      <c r="ATN1346" s="402"/>
      <c r="ATO1346" s="402"/>
      <c r="ATP1346" s="402"/>
      <c r="ATQ1346" s="402"/>
      <c r="ATR1346" s="402"/>
      <c r="ATS1346" s="402"/>
      <c r="ATT1346" s="402"/>
      <c r="ATU1346" s="402"/>
      <c r="ATV1346" s="402"/>
      <c r="ATW1346" s="402"/>
      <c r="ATX1346" s="402"/>
      <c r="ATY1346" s="402"/>
      <c r="ATZ1346" s="402"/>
      <c r="AUA1346" s="402"/>
      <c r="AUB1346" s="402"/>
      <c r="AUC1346" s="402"/>
      <c r="AUD1346" s="402"/>
      <c r="AUE1346" s="402"/>
      <c r="AUF1346" s="402"/>
      <c r="AUG1346" s="402"/>
      <c r="AUH1346" s="402"/>
      <c r="AUI1346" s="402"/>
      <c r="AUJ1346" s="402"/>
      <c r="AUK1346" s="402"/>
      <c r="AUL1346" s="402"/>
      <c r="AUM1346" s="402"/>
      <c r="AUN1346" s="402"/>
      <c r="AUO1346" s="402"/>
      <c r="AUP1346" s="402"/>
      <c r="AUQ1346" s="402"/>
      <c r="AUR1346" s="402"/>
      <c r="AUS1346" s="402"/>
      <c r="AUT1346" s="402"/>
      <c r="AUU1346" s="402"/>
      <c r="AUV1346" s="402"/>
      <c r="AUW1346" s="402"/>
      <c r="AUX1346" s="402"/>
      <c r="AUY1346" s="402"/>
      <c r="AUZ1346" s="402"/>
      <c r="AVA1346" s="402"/>
      <c r="AVB1346" s="402"/>
      <c r="AVC1346" s="402"/>
      <c r="AVD1346" s="402"/>
      <c r="AVE1346" s="402"/>
      <c r="AVF1346" s="402"/>
      <c r="AVG1346" s="402"/>
      <c r="AVH1346" s="402"/>
      <c r="AVI1346" s="402"/>
      <c r="AVJ1346" s="402"/>
      <c r="AVK1346" s="402"/>
    </row>
    <row r="1347" spans="1:1259" s="442" customFormat="1" ht="15" customHeight="1">
      <c r="A1347" s="403"/>
      <c r="B1347" s="403"/>
      <c r="C1347" s="403"/>
      <c r="D1347" s="443" t="s">
        <v>2480</v>
      </c>
      <c r="E1347" s="432"/>
      <c r="F1347" s="432"/>
      <c r="G1347" s="432">
        <v>2022</v>
      </c>
      <c r="H1347" s="432"/>
      <c r="I1347" s="427" t="s">
        <v>1498</v>
      </c>
      <c r="J1347" s="433"/>
      <c r="K1347" s="434" t="s">
        <v>3744</v>
      </c>
      <c r="L1347" s="432" t="s">
        <v>2518</v>
      </c>
      <c r="M1347" s="435">
        <v>44601</v>
      </c>
      <c r="N1347" s="435">
        <v>44648</v>
      </c>
      <c r="O1347" s="435"/>
      <c r="P1347" s="433"/>
      <c r="Q1347" s="433"/>
      <c r="R1347" s="433"/>
      <c r="S1347" s="432" t="s">
        <v>1940</v>
      </c>
      <c r="T1347" s="432">
        <v>60</v>
      </c>
      <c r="U1347" s="432"/>
      <c r="V1347" s="432" t="s">
        <v>973</v>
      </c>
      <c r="W1347" s="432">
        <v>400</v>
      </c>
      <c r="X1347" s="436">
        <v>416</v>
      </c>
      <c r="Y1347" s="422">
        <f t="shared" si="166"/>
        <v>166400</v>
      </c>
      <c r="Z1347" s="437">
        <v>0.54</v>
      </c>
      <c r="AA1347" s="423">
        <f t="shared" si="167"/>
        <v>89856</v>
      </c>
      <c r="AB1347" s="411"/>
      <c r="AC1347" s="412">
        <f t="shared" si="168"/>
        <v>0</v>
      </c>
      <c r="AD1347" s="439"/>
      <c r="AE1347" s="438">
        <v>3987.36</v>
      </c>
      <c r="AF1347" s="424">
        <f t="shared" si="169"/>
        <v>93843.36</v>
      </c>
      <c r="AG1347" s="432" t="s">
        <v>47</v>
      </c>
      <c r="AH1347" s="432"/>
      <c r="AI1347" s="434">
        <v>60</v>
      </c>
      <c r="AJ1347" s="432" t="s">
        <v>3742</v>
      </c>
      <c r="AK1347" s="440" t="s">
        <v>50</v>
      </c>
      <c r="AL1347" s="432">
        <v>94534</v>
      </c>
      <c r="AM1347" s="432" t="s">
        <v>52</v>
      </c>
      <c r="AN1347" s="432"/>
      <c r="AO1347" s="432"/>
      <c r="AP1347" s="441"/>
      <c r="AQ1347" s="441" t="s">
        <v>37</v>
      </c>
      <c r="AR1347" s="441"/>
      <c r="AS1347" s="426"/>
      <c r="AT1347" s="426"/>
      <c r="AU1347" s="426"/>
      <c r="AV1347" s="437">
        <f t="shared" si="170"/>
        <v>0.48000000000000004</v>
      </c>
      <c r="AW1347" s="402"/>
      <c r="AX1347" s="402"/>
      <c r="AY1347" s="402"/>
      <c r="AZ1347" s="402"/>
      <c r="BA1347" s="402"/>
      <c r="BB1347" s="402"/>
      <c r="BC1347" s="402"/>
      <c r="BD1347" s="402"/>
      <c r="BE1347" s="402"/>
      <c r="BF1347" s="402"/>
      <c r="BG1347" s="402"/>
      <c r="BH1347" s="402"/>
      <c r="BI1347" s="402"/>
      <c r="BJ1347" s="402"/>
      <c r="BK1347" s="402"/>
      <c r="BL1347" s="402"/>
      <c r="BM1347" s="402"/>
      <c r="BN1347" s="402"/>
      <c r="BO1347" s="402"/>
      <c r="BP1347" s="402"/>
      <c r="BQ1347" s="402"/>
      <c r="BR1347" s="402"/>
      <c r="BS1347" s="402"/>
      <c r="BT1347" s="402"/>
      <c r="BU1347" s="402"/>
      <c r="BV1347" s="402"/>
      <c r="BW1347" s="402"/>
      <c r="BX1347" s="402"/>
      <c r="BY1347" s="402"/>
      <c r="BZ1347" s="402"/>
      <c r="CA1347" s="402"/>
      <c r="CB1347" s="402"/>
      <c r="CC1347" s="402"/>
      <c r="CD1347" s="402"/>
      <c r="CE1347" s="402"/>
      <c r="CF1347" s="402"/>
      <c r="CG1347" s="402"/>
      <c r="CH1347" s="402"/>
      <c r="CI1347" s="402"/>
      <c r="CJ1347" s="402"/>
      <c r="CK1347" s="402"/>
      <c r="CL1347" s="402"/>
      <c r="CM1347" s="402"/>
      <c r="CN1347" s="402"/>
      <c r="CO1347" s="402"/>
      <c r="CP1347" s="402"/>
      <c r="CQ1347" s="402"/>
      <c r="CR1347" s="402"/>
      <c r="CS1347" s="402"/>
      <c r="CT1347" s="402"/>
      <c r="CU1347" s="402"/>
      <c r="CV1347" s="402"/>
      <c r="CW1347" s="402"/>
      <c r="CX1347" s="402"/>
      <c r="CY1347" s="402"/>
      <c r="CZ1347" s="402"/>
      <c r="DA1347" s="402"/>
      <c r="DB1347" s="402"/>
      <c r="DC1347" s="402"/>
      <c r="DD1347" s="402"/>
      <c r="DE1347" s="402"/>
      <c r="DF1347" s="402"/>
      <c r="DG1347" s="402"/>
      <c r="DH1347" s="402"/>
      <c r="DI1347" s="402"/>
      <c r="DJ1347" s="402"/>
      <c r="DK1347" s="402"/>
      <c r="DL1347" s="402"/>
      <c r="DM1347" s="402"/>
      <c r="DN1347" s="402"/>
      <c r="DO1347" s="402"/>
      <c r="DP1347" s="402"/>
      <c r="DQ1347" s="402"/>
      <c r="DR1347" s="402"/>
      <c r="DS1347" s="402"/>
      <c r="DT1347" s="402"/>
      <c r="DU1347" s="402"/>
      <c r="DV1347" s="402"/>
      <c r="DW1347" s="402"/>
      <c r="DX1347" s="402"/>
      <c r="DY1347" s="402"/>
      <c r="DZ1347" s="402"/>
      <c r="EA1347" s="402"/>
      <c r="EB1347" s="402"/>
      <c r="EC1347" s="402"/>
      <c r="ED1347" s="402"/>
      <c r="EE1347" s="402"/>
      <c r="EF1347" s="402"/>
      <c r="EG1347" s="402"/>
      <c r="EH1347" s="402"/>
      <c r="EI1347" s="402"/>
      <c r="EJ1347" s="402"/>
      <c r="EK1347" s="402"/>
      <c r="EL1347" s="402"/>
      <c r="EM1347" s="402"/>
      <c r="EN1347" s="402"/>
      <c r="EO1347" s="402"/>
      <c r="EP1347" s="402"/>
      <c r="EQ1347" s="402"/>
      <c r="ER1347" s="402"/>
      <c r="ES1347" s="402"/>
      <c r="ET1347" s="402"/>
      <c r="EU1347" s="402"/>
      <c r="EV1347" s="402"/>
      <c r="EW1347" s="402"/>
      <c r="EX1347" s="402"/>
      <c r="EY1347" s="402"/>
      <c r="EZ1347" s="402"/>
      <c r="FA1347" s="402"/>
      <c r="FB1347" s="402"/>
      <c r="FC1347" s="402"/>
      <c r="FD1347" s="402"/>
      <c r="FE1347" s="402"/>
      <c r="FF1347" s="402"/>
      <c r="FG1347" s="402"/>
      <c r="FH1347" s="402"/>
      <c r="FI1347" s="402"/>
      <c r="FJ1347" s="402"/>
      <c r="FK1347" s="402"/>
      <c r="FL1347" s="402"/>
      <c r="FM1347" s="402"/>
      <c r="FN1347" s="402"/>
      <c r="FO1347" s="402"/>
      <c r="FP1347" s="402"/>
      <c r="FQ1347" s="402"/>
      <c r="FR1347" s="402"/>
      <c r="FS1347" s="402"/>
      <c r="FT1347" s="402"/>
      <c r="FU1347" s="402"/>
      <c r="FV1347" s="402"/>
      <c r="FW1347" s="402"/>
      <c r="FX1347" s="402"/>
      <c r="FY1347" s="402"/>
      <c r="FZ1347" s="402"/>
      <c r="GA1347" s="402"/>
      <c r="GB1347" s="402"/>
      <c r="GC1347" s="402"/>
      <c r="GD1347" s="402"/>
      <c r="GE1347" s="402"/>
      <c r="GF1347" s="402"/>
      <c r="GG1347" s="402"/>
      <c r="GH1347" s="402"/>
      <c r="GI1347" s="402"/>
      <c r="GJ1347" s="402"/>
      <c r="GK1347" s="402"/>
      <c r="GL1347" s="402"/>
      <c r="GM1347" s="402"/>
      <c r="GN1347" s="402"/>
      <c r="GO1347" s="402"/>
      <c r="GP1347" s="402"/>
      <c r="GQ1347" s="402"/>
      <c r="GR1347" s="402"/>
      <c r="GS1347" s="402"/>
      <c r="GT1347" s="402"/>
      <c r="GU1347" s="402"/>
      <c r="GV1347" s="402"/>
      <c r="GW1347" s="402"/>
      <c r="GX1347" s="402"/>
      <c r="GY1347" s="402"/>
      <c r="GZ1347" s="402"/>
      <c r="HA1347" s="402"/>
      <c r="HB1347" s="402"/>
      <c r="HC1347" s="402"/>
      <c r="HD1347" s="402"/>
      <c r="HE1347" s="402"/>
      <c r="HF1347" s="402"/>
      <c r="HG1347" s="402"/>
      <c r="HH1347" s="402"/>
      <c r="HI1347" s="402"/>
      <c r="HJ1347" s="402"/>
      <c r="HK1347" s="402"/>
      <c r="HL1347" s="402"/>
      <c r="HM1347" s="402"/>
      <c r="HN1347" s="402"/>
      <c r="HO1347" s="402"/>
      <c r="HP1347" s="402"/>
      <c r="HQ1347" s="402"/>
      <c r="HR1347" s="402"/>
      <c r="HS1347" s="402"/>
      <c r="HT1347" s="402"/>
      <c r="HU1347" s="402"/>
      <c r="HV1347" s="402"/>
      <c r="HW1347" s="402"/>
      <c r="HX1347" s="402"/>
      <c r="HY1347" s="402"/>
      <c r="HZ1347" s="402"/>
      <c r="IA1347" s="402"/>
      <c r="IB1347" s="402"/>
      <c r="IC1347" s="402"/>
      <c r="ID1347" s="402"/>
      <c r="IE1347" s="402"/>
      <c r="IF1347" s="402"/>
      <c r="IG1347" s="402"/>
      <c r="IH1347" s="402"/>
      <c r="II1347" s="402"/>
      <c r="IJ1347" s="402"/>
      <c r="IK1347" s="402"/>
      <c r="IL1347" s="402"/>
      <c r="IM1347" s="402"/>
      <c r="IN1347" s="402"/>
      <c r="IO1347" s="402"/>
      <c r="IP1347" s="402"/>
      <c r="IQ1347" s="402"/>
      <c r="IR1347" s="402"/>
      <c r="IS1347" s="402"/>
      <c r="IT1347" s="402"/>
      <c r="IU1347" s="402"/>
      <c r="IV1347" s="402"/>
      <c r="IW1347" s="402"/>
      <c r="IX1347" s="402"/>
      <c r="IY1347" s="402"/>
      <c r="IZ1347" s="402"/>
      <c r="JA1347" s="402"/>
      <c r="JB1347" s="402"/>
      <c r="JC1347" s="402"/>
      <c r="JD1347" s="402"/>
      <c r="JE1347" s="402"/>
      <c r="JF1347" s="402"/>
      <c r="JG1347" s="402"/>
      <c r="JH1347" s="402"/>
      <c r="JI1347" s="402"/>
      <c r="JJ1347" s="402"/>
      <c r="JK1347" s="402"/>
      <c r="JL1347" s="402"/>
      <c r="JM1347" s="402"/>
      <c r="JN1347" s="402"/>
      <c r="JO1347" s="402"/>
      <c r="JP1347" s="402"/>
      <c r="JQ1347" s="402"/>
      <c r="JR1347" s="402"/>
      <c r="JS1347" s="402"/>
      <c r="JT1347" s="402"/>
      <c r="JU1347" s="402"/>
      <c r="JV1347" s="402"/>
      <c r="JW1347" s="402"/>
      <c r="JX1347" s="402"/>
      <c r="JY1347" s="402"/>
      <c r="JZ1347" s="402"/>
      <c r="KA1347" s="402"/>
      <c r="KB1347" s="402"/>
      <c r="KC1347" s="402"/>
      <c r="KD1347" s="402"/>
      <c r="KE1347" s="402"/>
      <c r="KF1347" s="402"/>
      <c r="KG1347" s="402"/>
      <c r="KH1347" s="402"/>
      <c r="KI1347" s="402"/>
      <c r="KJ1347" s="402"/>
      <c r="KK1347" s="402"/>
      <c r="KL1347" s="402"/>
      <c r="KM1347" s="402"/>
      <c r="KN1347" s="402"/>
      <c r="KO1347" s="402"/>
      <c r="KP1347" s="402"/>
      <c r="KQ1347" s="402"/>
      <c r="KR1347" s="402"/>
      <c r="KS1347" s="402"/>
      <c r="KT1347" s="402"/>
      <c r="KU1347" s="402"/>
      <c r="KV1347" s="402"/>
      <c r="KW1347" s="402"/>
      <c r="KX1347" s="402"/>
      <c r="KY1347" s="402"/>
      <c r="KZ1347" s="402"/>
      <c r="LA1347" s="402"/>
      <c r="LB1347" s="402"/>
      <c r="LC1347" s="402"/>
      <c r="LD1347" s="402"/>
      <c r="LE1347" s="402"/>
      <c r="LF1347" s="402"/>
      <c r="LG1347" s="402"/>
      <c r="LH1347" s="402"/>
      <c r="LI1347" s="402"/>
      <c r="LJ1347" s="402"/>
      <c r="LK1347" s="402"/>
      <c r="LL1347" s="402"/>
      <c r="LM1347" s="402"/>
      <c r="LN1347" s="402"/>
      <c r="LO1347" s="402"/>
      <c r="LP1347" s="402"/>
      <c r="LQ1347" s="402"/>
      <c r="LR1347" s="402"/>
      <c r="LS1347" s="402"/>
      <c r="LT1347" s="402"/>
      <c r="LU1347" s="402"/>
      <c r="LV1347" s="402"/>
      <c r="LW1347" s="402"/>
      <c r="LX1347" s="402"/>
      <c r="LY1347" s="402"/>
      <c r="LZ1347" s="402"/>
      <c r="MA1347" s="402"/>
      <c r="MB1347" s="402"/>
      <c r="MC1347" s="402"/>
      <c r="MD1347" s="402"/>
      <c r="ME1347" s="402"/>
      <c r="MF1347" s="402"/>
      <c r="MG1347" s="402"/>
      <c r="MH1347" s="402"/>
      <c r="MI1347" s="402"/>
      <c r="MJ1347" s="402"/>
      <c r="MK1347" s="402"/>
      <c r="ML1347" s="402"/>
      <c r="MM1347" s="402"/>
      <c r="MN1347" s="402"/>
      <c r="MO1347" s="402"/>
      <c r="MP1347" s="402"/>
      <c r="MQ1347" s="402"/>
      <c r="MR1347" s="402"/>
      <c r="MS1347" s="402"/>
      <c r="MT1347" s="402"/>
      <c r="MU1347" s="402"/>
      <c r="MV1347" s="402"/>
      <c r="MW1347" s="402"/>
      <c r="MX1347" s="402"/>
      <c r="MY1347" s="402"/>
      <c r="MZ1347" s="402"/>
      <c r="NA1347" s="402"/>
      <c r="NB1347" s="402"/>
      <c r="NC1347" s="402"/>
      <c r="ND1347" s="402"/>
      <c r="NE1347" s="402"/>
      <c r="NF1347" s="402"/>
      <c r="NG1347" s="402"/>
      <c r="NH1347" s="402"/>
      <c r="NI1347" s="402"/>
      <c r="NJ1347" s="402"/>
      <c r="NK1347" s="402"/>
      <c r="NL1347" s="402"/>
      <c r="NM1347" s="402"/>
      <c r="NN1347" s="402"/>
      <c r="NO1347" s="402"/>
      <c r="NP1347" s="402"/>
      <c r="NQ1347" s="402"/>
      <c r="NR1347" s="402"/>
      <c r="NS1347" s="402"/>
      <c r="NT1347" s="402"/>
      <c r="NU1347" s="402"/>
      <c r="NV1347" s="402"/>
      <c r="NW1347" s="402"/>
      <c r="NX1347" s="402"/>
      <c r="NY1347" s="402"/>
      <c r="NZ1347" s="402"/>
      <c r="OA1347" s="402"/>
      <c r="OB1347" s="402"/>
      <c r="OC1347" s="402"/>
      <c r="OD1347" s="402"/>
      <c r="OE1347" s="402"/>
      <c r="OF1347" s="402"/>
      <c r="OG1347" s="402"/>
      <c r="OH1347" s="402"/>
      <c r="OI1347" s="402"/>
      <c r="OJ1347" s="402"/>
      <c r="OK1347" s="402"/>
      <c r="OL1347" s="402"/>
      <c r="OM1347" s="402"/>
      <c r="ON1347" s="402"/>
      <c r="OO1347" s="402"/>
      <c r="OP1347" s="402"/>
      <c r="OQ1347" s="402"/>
      <c r="OR1347" s="402"/>
      <c r="OS1347" s="402"/>
      <c r="OT1347" s="402"/>
      <c r="OU1347" s="402"/>
      <c r="OV1347" s="402"/>
      <c r="OW1347" s="402"/>
      <c r="OX1347" s="402"/>
      <c r="OY1347" s="402"/>
      <c r="OZ1347" s="402"/>
      <c r="PA1347" s="402"/>
      <c r="PB1347" s="402"/>
      <c r="PC1347" s="402"/>
      <c r="PD1347" s="402"/>
      <c r="PE1347" s="402"/>
      <c r="PF1347" s="402"/>
      <c r="PG1347" s="402"/>
      <c r="PH1347" s="402"/>
      <c r="PI1347" s="402"/>
      <c r="PJ1347" s="402"/>
      <c r="PK1347" s="402"/>
      <c r="PL1347" s="402"/>
      <c r="PM1347" s="402"/>
      <c r="PN1347" s="402"/>
      <c r="PO1347" s="402"/>
      <c r="PP1347" s="402"/>
      <c r="PQ1347" s="402"/>
      <c r="PR1347" s="402"/>
      <c r="PS1347" s="402"/>
      <c r="PT1347" s="402"/>
      <c r="PU1347" s="402"/>
      <c r="PV1347" s="402"/>
      <c r="PW1347" s="402"/>
      <c r="PX1347" s="402"/>
      <c r="PY1347" s="402"/>
      <c r="PZ1347" s="402"/>
      <c r="QA1347" s="402"/>
      <c r="QB1347" s="402"/>
      <c r="QC1347" s="402"/>
      <c r="QD1347" s="402"/>
      <c r="QE1347" s="402"/>
      <c r="QF1347" s="402"/>
      <c r="QG1347" s="402"/>
      <c r="QH1347" s="402"/>
      <c r="QI1347" s="402"/>
      <c r="QJ1347" s="402"/>
      <c r="QK1347" s="402"/>
      <c r="QL1347" s="402"/>
      <c r="QM1347" s="402"/>
      <c r="QN1347" s="402"/>
      <c r="QO1347" s="402"/>
      <c r="QP1347" s="402"/>
      <c r="QQ1347" s="402"/>
      <c r="QR1347" s="402"/>
      <c r="QS1347" s="402"/>
      <c r="QT1347" s="402"/>
      <c r="QU1347" s="402"/>
      <c r="QV1347" s="402"/>
      <c r="QW1347" s="402"/>
      <c r="QX1347" s="402"/>
      <c r="QY1347" s="402"/>
      <c r="QZ1347" s="402"/>
      <c r="RA1347" s="402"/>
      <c r="RB1347" s="402"/>
      <c r="RC1347" s="402"/>
      <c r="RD1347" s="402"/>
      <c r="RE1347" s="402"/>
      <c r="RF1347" s="402"/>
      <c r="RG1347" s="402"/>
      <c r="RH1347" s="402"/>
      <c r="RI1347" s="402"/>
      <c r="RJ1347" s="402"/>
      <c r="RK1347" s="402"/>
      <c r="RL1347" s="402"/>
      <c r="RM1347" s="402"/>
      <c r="RN1347" s="402"/>
      <c r="RO1347" s="402"/>
      <c r="RP1347" s="402"/>
      <c r="RQ1347" s="402"/>
      <c r="RR1347" s="402"/>
      <c r="RS1347" s="402"/>
      <c r="RT1347" s="402"/>
      <c r="RU1347" s="402"/>
      <c r="RV1347" s="402"/>
      <c r="RW1347" s="402"/>
      <c r="RX1347" s="402"/>
      <c r="RY1347" s="402"/>
      <c r="RZ1347" s="402"/>
      <c r="SA1347" s="402"/>
      <c r="SB1347" s="402"/>
      <c r="SC1347" s="402"/>
      <c r="SD1347" s="402"/>
      <c r="SE1347" s="402"/>
      <c r="SF1347" s="402"/>
      <c r="SG1347" s="402"/>
      <c r="SH1347" s="402"/>
      <c r="SI1347" s="402"/>
      <c r="SJ1347" s="402"/>
      <c r="SK1347" s="402"/>
      <c r="SL1347" s="402"/>
      <c r="SM1347" s="402"/>
      <c r="SN1347" s="402"/>
      <c r="SO1347" s="402"/>
      <c r="SP1347" s="402"/>
      <c r="SQ1347" s="402"/>
      <c r="SR1347" s="402"/>
      <c r="SS1347" s="402"/>
      <c r="ST1347" s="402"/>
      <c r="SU1347" s="402"/>
      <c r="SV1347" s="402"/>
      <c r="SW1347" s="402"/>
      <c r="SX1347" s="402"/>
      <c r="SY1347" s="402"/>
      <c r="SZ1347" s="402"/>
      <c r="TA1347" s="402"/>
      <c r="TB1347" s="402"/>
      <c r="TC1347" s="402"/>
      <c r="TD1347" s="402"/>
      <c r="TE1347" s="402"/>
      <c r="TF1347" s="402"/>
      <c r="TG1347" s="402"/>
      <c r="TH1347" s="402"/>
      <c r="TI1347" s="402"/>
      <c r="TJ1347" s="402"/>
      <c r="TK1347" s="402"/>
      <c r="TL1347" s="402"/>
      <c r="TM1347" s="402"/>
      <c r="TN1347" s="402"/>
      <c r="TO1347" s="402"/>
      <c r="TP1347" s="402"/>
      <c r="TQ1347" s="402"/>
      <c r="TR1347" s="402"/>
      <c r="TS1347" s="402"/>
      <c r="TT1347" s="402"/>
      <c r="TU1347" s="402"/>
      <c r="TV1347" s="402"/>
      <c r="TW1347" s="402"/>
      <c r="TX1347" s="402"/>
      <c r="TY1347" s="402"/>
      <c r="TZ1347" s="402"/>
      <c r="UA1347" s="402"/>
      <c r="UB1347" s="402"/>
      <c r="UC1347" s="402"/>
      <c r="UD1347" s="402"/>
      <c r="UE1347" s="402"/>
      <c r="UF1347" s="402"/>
      <c r="UG1347" s="402"/>
      <c r="UH1347" s="402"/>
      <c r="UI1347" s="402"/>
      <c r="UJ1347" s="402"/>
      <c r="UK1347" s="402"/>
      <c r="UL1347" s="402"/>
      <c r="UM1347" s="402"/>
      <c r="UN1347" s="402"/>
      <c r="UO1347" s="402"/>
      <c r="UP1347" s="402"/>
      <c r="UQ1347" s="402"/>
      <c r="UR1347" s="402"/>
      <c r="US1347" s="402"/>
      <c r="UT1347" s="402"/>
      <c r="UU1347" s="402"/>
      <c r="UV1347" s="402"/>
      <c r="UW1347" s="402"/>
      <c r="UX1347" s="402"/>
      <c r="UY1347" s="402"/>
      <c r="UZ1347" s="402"/>
      <c r="VA1347" s="402"/>
      <c r="VB1347" s="402"/>
      <c r="VC1347" s="402"/>
      <c r="VD1347" s="402"/>
      <c r="VE1347" s="402"/>
      <c r="VF1347" s="402"/>
      <c r="VG1347" s="402"/>
      <c r="VH1347" s="402"/>
      <c r="VI1347" s="402"/>
      <c r="VJ1347" s="402"/>
      <c r="VK1347" s="402"/>
      <c r="VL1347" s="402"/>
      <c r="VM1347" s="402"/>
      <c r="VN1347" s="402"/>
      <c r="VO1347" s="402"/>
      <c r="VP1347" s="402"/>
      <c r="VQ1347" s="402"/>
      <c r="VR1347" s="402"/>
      <c r="VS1347" s="402"/>
      <c r="VT1347" s="402"/>
      <c r="VU1347" s="402"/>
      <c r="VV1347" s="402"/>
      <c r="VW1347" s="402"/>
      <c r="VX1347" s="402"/>
      <c r="VY1347" s="402"/>
      <c r="VZ1347" s="402"/>
      <c r="WA1347" s="402"/>
      <c r="WB1347" s="402"/>
      <c r="WC1347" s="402"/>
      <c r="WD1347" s="402"/>
      <c r="WE1347" s="402"/>
      <c r="WF1347" s="402"/>
      <c r="WG1347" s="402"/>
      <c r="WH1347" s="402"/>
      <c r="WI1347" s="402"/>
      <c r="WJ1347" s="402"/>
      <c r="WK1347" s="402"/>
      <c r="WL1347" s="402"/>
      <c r="WM1347" s="402"/>
      <c r="WN1347" s="402"/>
      <c r="WO1347" s="402"/>
      <c r="WP1347" s="402"/>
      <c r="WQ1347" s="402"/>
      <c r="WR1347" s="402"/>
      <c r="WS1347" s="402"/>
      <c r="WT1347" s="402"/>
      <c r="WU1347" s="402"/>
      <c r="WV1347" s="402"/>
      <c r="WW1347" s="402"/>
      <c r="WX1347" s="402"/>
      <c r="WY1347" s="402"/>
      <c r="WZ1347" s="402"/>
      <c r="XA1347" s="402"/>
      <c r="XB1347" s="402"/>
      <c r="XC1347" s="402"/>
      <c r="XD1347" s="402"/>
      <c r="XE1347" s="402"/>
      <c r="XF1347" s="402"/>
      <c r="XG1347" s="402"/>
      <c r="XH1347" s="402"/>
      <c r="XI1347" s="402"/>
      <c r="XJ1347" s="402"/>
      <c r="XK1347" s="402"/>
      <c r="XL1347" s="402"/>
      <c r="XM1347" s="402"/>
      <c r="XN1347" s="402"/>
      <c r="XO1347" s="402"/>
      <c r="XP1347" s="402"/>
      <c r="XQ1347" s="402"/>
      <c r="XR1347" s="402"/>
      <c r="XS1347" s="402"/>
      <c r="XT1347" s="402"/>
      <c r="XU1347" s="402"/>
      <c r="XV1347" s="402"/>
      <c r="XW1347" s="402"/>
      <c r="XX1347" s="402"/>
      <c r="XY1347" s="402"/>
      <c r="XZ1347" s="402"/>
      <c r="YA1347" s="402"/>
      <c r="YB1347" s="402"/>
      <c r="YC1347" s="402"/>
      <c r="YD1347" s="402"/>
      <c r="YE1347" s="402"/>
      <c r="YF1347" s="402"/>
      <c r="YG1347" s="402"/>
      <c r="YH1347" s="402"/>
      <c r="YI1347" s="402"/>
      <c r="YJ1347" s="402"/>
      <c r="YK1347" s="402"/>
      <c r="YL1347" s="402"/>
      <c r="YM1347" s="402"/>
      <c r="YN1347" s="402"/>
      <c r="YO1347" s="402"/>
      <c r="YP1347" s="402"/>
      <c r="YQ1347" s="402"/>
      <c r="YR1347" s="402"/>
      <c r="YS1347" s="402"/>
      <c r="YT1347" s="402"/>
      <c r="YU1347" s="402"/>
      <c r="YV1347" s="402"/>
      <c r="YW1347" s="402"/>
      <c r="YX1347" s="402"/>
      <c r="YY1347" s="402"/>
      <c r="YZ1347" s="402"/>
      <c r="ZA1347" s="402"/>
      <c r="ZB1347" s="402"/>
      <c r="ZC1347" s="402"/>
      <c r="ZD1347" s="402"/>
      <c r="ZE1347" s="402"/>
      <c r="ZF1347" s="402"/>
      <c r="ZG1347" s="402"/>
      <c r="ZH1347" s="402"/>
      <c r="ZI1347" s="402"/>
      <c r="ZJ1347" s="402"/>
      <c r="ZK1347" s="402"/>
      <c r="ZL1347" s="402"/>
      <c r="ZM1347" s="402"/>
      <c r="ZN1347" s="402"/>
      <c r="ZO1347" s="402"/>
      <c r="ZP1347" s="402"/>
      <c r="ZQ1347" s="402"/>
      <c r="ZR1347" s="402"/>
      <c r="ZS1347" s="402"/>
      <c r="ZT1347" s="402"/>
      <c r="ZU1347" s="402"/>
      <c r="ZV1347" s="402"/>
      <c r="ZW1347" s="402"/>
      <c r="ZX1347" s="402"/>
      <c r="ZY1347" s="402"/>
      <c r="ZZ1347" s="402"/>
      <c r="AAA1347" s="402"/>
      <c r="AAB1347" s="402"/>
      <c r="AAC1347" s="402"/>
      <c r="AAD1347" s="402"/>
      <c r="AAE1347" s="402"/>
      <c r="AAF1347" s="402"/>
      <c r="AAG1347" s="402"/>
      <c r="AAH1347" s="402"/>
      <c r="AAI1347" s="402"/>
      <c r="AAJ1347" s="402"/>
      <c r="AAK1347" s="402"/>
      <c r="AAL1347" s="402"/>
      <c r="AAM1347" s="402"/>
      <c r="AAN1347" s="402"/>
      <c r="AAO1347" s="402"/>
      <c r="AAP1347" s="402"/>
      <c r="AAQ1347" s="402"/>
      <c r="AAR1347" s="402"/>
      <c r="AAS1347" s="402"/>
      <c r="AAT1347" s="402"/>
      <c r="AAU1347" s="402"/>
      <c r="AAV1347" s="402"/>
      <c r="AAW1347" s="402"/>
      <c r="AAX1347" s="402"/>
      <c r="AAY1347" s="402"/>
      <c r="AAZ1347" s="402"/>
      <c r="ABA1347" s="402"/>
      <c r="ABB1347" s="402"/>
      <c r="ABC1347" s="402"/>
      <c r="ABD1347" s="402"/>
      <c r="ABE1347" s="402"/>
      <c r="ABF1347" s="402"/>
      <c r="ABG1347" s="402"/>
      <c r="ABH1347" s="402"/>
      <c r="ABI1347" s="402"/>
      <c r="ABJ1347" s="402"/>
      <c r="ABK1347" s="402"/>
      <c r="ABL1347" s="402"/>
      <c r="ABM1347" s="402"/>
      <c r="ABN1347" s="402"/>
      <c r="ABO1347" s="402"/>
      <c r="ABP1347" s="402"/>
      <c r="ABQ1347" s="402"/>
      <c r="ABR1347" s="402"/>
      <c r="ABS1347" s="402"/>
      <c r="ABT1347" s="402"/>
      <c r="ABU1347" s="402"/>
      <c r="ABV1347" s="402"/>
      <c r="ABW1347" s="402"/>
      <c r="ABX1347" s="402"/>
      <c r="ABY1347" s="402"/>
      <c r="ABZ1347" s="402"/>
      <c r="ACA1347" s="402"/>
      <c r="ACB1347" s="402"/>
      <c r="ACC1347" s="402"/>
      <c r="ACD1347" s="402"/>
      <c r="ACE1347" s="402"/>
      <c r="ACF1347" s="402"/>
      <c r="ACG1347" s="402"/>
      <c r="ACH1347" s="402"/>
      <c r="ACI1347" s="402"/>
      <c r="ACJ1347" s="402"/>
      <c r="ACK1347" s="402"/>
      <c r="ACL1347" s="402"/>
      <c r="ACM1347" s="402"/>
      <c r="ACN1347" s="402"/>
      <c r="ACO1347" s="402"/>
      <c r="ACP1347" s="402"/>
      <c r="ACQ1347" s="402"/>
      <c r="ACR1347" s="402"/>
      <c r="ACS1347" s="402"/>
      <c r="ACT1347" s="402"/>
      <c r="ACU1347" s="402"/>
      <c r="ACV1347" s="402"/>
      <c r="ACW1347" s="402"/>
      <c r="ACX1347" s="402"/>
      <c r="ACY1347" s="402"/>
      <c r="ACZ1347" s="402"/>
      <c r="ADA1347" s="402"/>
      <c r="ADB1347" s="402"/>
      <c r="ADC1347" s="402"/>
      <c r="ADD1347" s="402"/>
      <c r="ADE1347" s="402"/>
      <c r="ADF1347" s="402"/>
      <c r="ADG1347" s="402"/>
      <c r="ADH1347" s="402"/>
      <c r="ADI1347" s="402"/>
      <c r="ADJ1347" s="402"/>
      <c r="ADK1347" s="402"/>
      <c r="ADL1347" s="402"/>
      <c r="ADM1347" s="402"/>
      <c r="ADN1347" s="402"/>
      <c r="ADO1347" s="402"/>
      <c r="ADP1347" s="402"/>
      <c r="ADQ1347" s="402"/>
      <c r="ADR1347" s="402"/>
      <c r="ADS1347" s="402"/>
      <c r="ADT1347" s="402"/>
      <c r="ADU1347" s="402"/>
      <c r="ADV1347" s="402"/>
      <c r="ADW1347" s="402"/>
      <c r="ADX1347" s="402"/>
      <c r="ADY1347" s="402"/>
      <c r="ADZ1347" s="402"/>
      <c r="AEA1347" s="402"/>
      <c r="AEB1347" s="402"/>
      <c r="AEC1347" s="402"/>
      <c r="AED1347" s="402"/>
      <c r="AEE1347" s="402"/>
      <c r="AEF1347" s="402"/>
      <c r="AEG1347" s="402"/>
      <c r="AEH1347" s="402"/>
      <c r="AEI1347" s="402"/>
      <c r="AEJ1347" s="402"/>
      <c r="AEK1347" s="402"/>
      <c r="AEL1347" s="402"/>
      <c r="AEM1347" s="402"/>
      <c r="AEN1347" s="402"/>
      <c r="AEO1347" s="402"/>
      <c r="AEP1347" s="402"/>
      <c r="AEQ1347" s="402"/>
      <c r="AER1347" s="402"/>
      <c r="AES1347" s="402"/>
      <c r="AET1347" s="402"/>
      <c r="AEU1347" s="402"/>
      <c r="AEV1347" s="402"/>
      <c r="AEW1347" s="402"/>
      <c r="AEX1347" s="402"/>
      <c r="AEY1347" s="402"/>
      <c r="AEZ1347" s="402"/>
      <c r="AFA1347" s="402"/>
      <c r="AFB1347" s="402"/>
      <c r="AFC1347" s="402"/>
      <c r="AFD1347" s="402"/>
      <c r="AFE1347" s="402"/>
      <c r="AFF1347" s="402"/>
      <c r="AFG1347" s="402"/>
      <c r="AFH1347" s="402"/>
      <c r="AFI1347" s="402"/>
      <c r="AFJ1347" s="402"/>
      <c r="AFK1347" s="402"/>
      <c r="AFL1347" s="402"/>
      <c r="AFM1347" s="402"/>
      <c r="AFN1347" s="402"/>
      <c r="AFO1347" s="402"/>
      <c r="AFP1347" s="402"/>
      <c r="AFQ1347" s="402"/>
      <c r="AFR1347" s="402"/>
      <c r="AFS1347" s="402"/>
      <c r="AFT1347" s="402"/>
      <c r="AFU1347" s="402"/>
      <c r="AFV1347" s="402"/>
      <c r="AFW1347" s="402"/>
      <c r="AFX1347" s="402"/>
      <c r="AFY1347" s="402"/>
      <c r="AFZ1347" s="402"/>
      <c r="AGA1347" s="402"/>
      <c r="AGB1347" s="402"/>
      <c r="AGC1347" s="402"/>
      <c r="AGD1347" s="402"/>
      <c r="AGE1347" s="402"/>
      <c r="AGF1347" s="402"/>
      <c r="AGG1347" s="402"/>
      <c r="AGH1347" s="402"/>
      <c r="AGI1347" s="402"/>
      <c r="AGJ1347" s="402"/>
      <c r="AGK1347" s="402"/>
      <c r="AGL1347" s="402"/>
      <c r="AGM1347" s="402"/>
      <c r="AGN1347" s="402"/>
      <c r="AGO1347" s="402"/>
      <c r="AGP1347" s="402"/>
      <c r="AGQ1347" s="402"/>
      <c r="AGR1347" s="402"/>
      <c r="AGS1347" s="402"/>
      <c r="AGT1347" s="402"/>
      <c r="AGU1347" s="402"/>
      <c r="AGV1347" s="402"/>
      <c r="AGW1347" s="402"/>
      <c r="AGX1347" s="402"/>
      <c r="AGY1347" s="402"/>
      <c r="AGZ1347" s="402"/>
      <c r="AHA1347" s="402"/>
      <c r="AHB1347" s="402"/>
      <c r="AHC1347" s="402"/>
      <c r="AHD1347" s="402"/>
      <c r="AHE1347" s="402"/>
      <c r="AHF1347" s="402"/>
      <c r="AHG1347" s="402"/>
      <c r="AHH1347" s="402"/>
      <c r="AHI1347" s="402"/>
      <c r="AHJ1347" s="402"/>
      <c r="AHK1347" s="402"/>
      <c r="AHL1347" s="402"/>
      <c r="AHM1347" s="402"/>
      <c r="AHN1347" s="402"/>
      <c r="AHO1347" s="402"/>
      <c r="AHP1347" s="402"/>
      <c r="AHQ1347" s="402"/>
      <c r="AHR1347" s="402"/>
      <c r="AHS1347" s="402"/>
      <c r="AHT1347" s="402"/>
      <c r="AHU1347" s="402"/>
      <c r="AHV1347" s="402"/>
      <c r="AHW1347" s="402"/>
      <c r="AHX1347" s="402"/>
      <c r="AHY1347" s="402"/>
      <c r="AHZ1347" s="402"/>
      <c r="AIA1347" s="402"/>
      <c r="AIB1347" s="402"/>
      <c r="AIC1347" s="402"/>
      <c r="AID1347" s="402"/>
      <c r="AIE1347" s="402"/>
      <c r="AIF1347" s="402"/>
      <c r="AIG1347" s="402"/>
      <c r="AIH1347" s="402"/>
      <c r="AII1347" s="402"/>
      <c r="AIJ1347" s="402"/>
      <c r="AIK1347" s="402"/>
      <c r="AIL1347" s="402"/>
      <c r="AIM1347" s="402"/>
      <c r="AIN1347" s="402"/>
      <c r="AIO1347" s="402"/>
      <c r="AIP1347" s="402"/>
      <c r="AIQ1347" s="402"/>
      <c r="AIR1347" s="402"/>
      <c r="AIS1347" s="402"/>
      <c r="AIT1347" s="402"/>
      <c r="AIU1347" s="402"/>
      <c r="AIV1347" s="402"/>
      <c r="AIW1347" s="402"/>
      <c r="AIX1347" s="402"/>
      <c r="AIY1347" s="402"/>
      <c r="AIZ1347" s="402"/>
      <c r="AJA1347" s="402"/>
      <c r="AJB1347" s="402"/>
      <c r="AJC1347" s="402"/>
      <c r="AJD1347" s="402"/>
      <c r="AJE1347" s="402"/>
      <c r="AJF1347" s="402"/>
      <c r="AJG1347" s="402"/>
      <c r="AJH1347" s="402"/>
      <c r="AJI1347" s="402"/>
      <c r="AJJ1347" s="402"/>
      <c r="AJK1347" s="402"/>
      <c r="AJL1347" s="402"/>
      <c r="AJM1347" s="402"/>
      <c r="AJN1347" s="402"/>
      <c r="AJO1347" s="402"/>
      <c r="AJP1347" s="402"/>
      <c r="AJQ1347" s="402"/>
      <c r="AJR1347" s="402"/>
      <c r="AJS1347" s="402"/>
      <c r="AJT1347" s="402"/>
      <c r="AJU1347" s="402"/>
      <c r="AJV1347" s="402"/>
      <c r="AJW1347" s="402"/>
      <c r="AJX1347" s="402"/>
      <c r="AJY1347" s="402"/>
      <c r="AJZ1347" s="402"/>
      <c r="AKA1347" s="402"/>
      <c r="AKB1347" s="402"/>
      <c r="AKC1347" s="402"/>
      <c r="AKD1347" s="402"/>
      <c r="AKE1347" s="402"/>
      <c r="AKF1347" s="402"/>
      <c r="AKG1347" s="402"/>
      <c r="AKH1347" s="402"/>
      <c r="AKI1347" s="402"/>
      <c r="AKJ1347" s="402"/>
      <c r="AKK1347" s="402"/>
      <c r="AKL1347" s="402"/>
      <c r="AKM1347" s="402"/>
      <c r="AKN1347" s="402"/>
      <c r="AKO1347" s="402"/>
      <c r="AKP1347" s="402"/>
      <c r="AKQ1347" s="402"/>
      <c r="AKR1347" s="402"/>
      <c r="AKS1347" s="402"/>
      <c r="AKT1347" s="402"/>
      <c r="AKU1347" s="402"/>
      <c r="AKV1347" s="402"/>
      <c r="AKW1347" s="402"/>
      <c r="AKX1347" s="402"/>
      <c r="AKY1347" s="402"/>
      <c r="AKZ1347" s="402"/>
      <c r="ALA1347" s="402"/>
      <c r="ALB1347" s="402"/>
      <c r="ALC1347" s="402"/>
      <c r="ALD1347" s="402"/>
      <c r="ALE1347" s="402"/>
      <c r="ALF1347" s="402"/>
      <c r="ALG1347" s="402"/>
      <c r="ALH1347" s="402"/>
      <c r="ALI1347" s="402"/>
      <c r="ALJ1347" s="402"/>
      <c r="ALK1347" s="402"/>
      <c r="ALL1347" s="402"/>
      <c r="ALM1347" s="402"/>
      <c r="ALN1347" s="402"/>
      <c r="ALO1347" s="402"/>
      <c r="ALP1347" s="402"/>
      <c r="ALQ1347" s="402"/>
      <c r="ALR1347" s="402"/>
      <c r="ALS1347" s="402"/>
      <c r="ALT1347" s="402"/>
      <c r="ALU1347" s="402"/>
      <c r="ALV1347" s="402"/>
      <c r="ALW1347" s="402"/>
      <c r="ALX1347" s="402"/>
      <c r="ALY1347" s="402"/>
      <c r="ALZ1347" s="402"/>
      <c r="AMA1347" s="402"/>
      <c r="AMB1347" s="402"/>
      <c r="AMC1347" s="402"/>
      <c r="AMD1347" s="402"/>
      <c r="AME1347" s="402"/>
      <c r="AMF1347" s="402"/>
      <c r="AMG1347" s="402"/>
      <c r="AMH1347" s="402"/>
      <c r="AMI1347" s="402"/>
      <c r="AMJ1347" s="402"/>
      <c r="AMK1347" s="402"/>
      <c r="AML1347" s="402"/>
      <c r="AMM1347" s="402"/>
      <c r="AMN1347" s="402"/>
      <c r="AMO1347" s="402"/>
      <c r="AMP1347" s="402"/>
      <c r="AMQ1347" s="402"/>
      <c r="AMR1347" s="402"/>
      <c r="AMS1347" s="402"/>
      <c r="AMT1347" s="402"/>
      <c r="AMU1347" s="402"/>
      <c r="AMV1347" s="402"/>
      <c r="AMW1347" s="402"/>
      <c r="AMX1347" s="402"/>
      <c r="AMY1347" s="402"/>
      <c r="AMZ1347" s="402"/>
      <c r="ANA1347" s="402"/>
      <c r="ANB1347" s="402"/>
      <c r="ANC1347" s="402"/>
      <c r="AND1347" s="402"/>
      <c r="ANE1347" s="402"/>
      <c r="ANF1347" s="402"/>
      <c r="ANG1347" s="402"/>
      <c r="ANH1347" s="402"/>
      <c r="ANI1347" s="402"/>
      <c r="ANJ1347" s="402"/>
      <c r="ANK1347" s="402"/>
      <c r="ANL1347" s="402"/>
      <c r="ANM1347" s="402"/>
      <c r="ANN1347" s="402"/>
      <c r="ANO1347" s="402"/>
      <c r="ANP1347" s="402"/>
      <c r="ANQ1347" s="402"/>
      <c r="ANR1347" s="402"/>
      <c r="ANS1347" s="402"/>
      <c r="ANT1347" s="402"/>
      <c r="ANU1347" s="402"/>
      <c r="ANV1347" s="402"/>
      <c r="ANW1347" s="402"/>
      <c r="ANX1347" s="402"/>
      <c r="ANY1347" s="402"/>
      <c r="ANZ1347" s="402"/>
      <c r="AOA1347" s="402"/>
      <c r="AOB1347" s="402"/>
      <c r="AOC1347" s="402"/>
      <c r="AOD1347" s="402"/>
      <c r="AOE1347" s="402"/>
      <c r="AOF1347" s="402"/>
      <c r="AOG1347" s="402"/>
      <c r="AOH1347" s="402"/>
      <c r="AOI1347" s="402"/>
      <c r="AOJ1347" s="402"/>
      <c r="AOK1347" s="402"/>
      <c r="AOL1347" s="402"/>
      <c r="AOM1347" s="402"/>
      <c r="AON1347" s="402"/>
      <c r="AOO1347" s="402"/>
      <c r="AOP1347" s="402"/>
      <c r="AOQ1347" s="402"/>
      <c r="AOR1347" s="402"/>
      <c r="AOS1347" s="402"/>
      <c r="AOT1347" s="402"/>
      <c r="AOU1347" s="402"/>
      <c r="AOV1347" s="402"/>
      <c r="AOW1347" s="402"/>
      <c r="AOX1347" s="402"/>
      <c r="AOY1347" s="402"/>
      <c r="AOZ1347" s="402"/>
      <c r="APA1347" s="402"/>
      <c r="APB1347" s="402"/>
      <c r="APC1347" s="402"/>
      <c r="APD1347" s="402"/>
      <c r="APE1347" s="402"/>
      <c r="APF1347" s="402"/>
      <c r="APG1347" s="402"/>
      <c r="APH1347" s="402"/>
      <c r="API1347" s="402"/>
      <c r="APJ1347" s="402"/>
      <c r="APK1347" s="402"/>
      <c r="APL1347" s="402"/>
      <c r="APM1347" s="402"/>
      <c r="APN1347" s="402"/>
      <c r="APO1347" s="402"/>
      <c r="APP1347" s="402"/>
      <c r="APQ1347" s="402"/>
      <c r="APR1347" s="402"/>
      <c r="APS1347" s="402"/>
      <c r="APT1347" s="402"/>
      <c r="APU1347" s="402"/>
      <c r="APV1347" s="402"/>
      <c r="APW1347" s="402"/>
      <c r="APX1347" s="402"/>
      <c r="APY1347" s="402"/>
      <c r="APZ1347" s="402"/>
      <c r="AQA1347" s="402"/>
      <c r="AQB1347" s="402"/>
      <c r="AQC1347" s="402"/>
      <c r="AQD1347" s="402"/>
      <c r="AQE1347" s="402"/>
      <c r="AQF1347" s="402"/>
      <c r="AQG1347" s="402"/>
      <c r="AQH1347" s="402"/>
      <c r="AQI1347" s="402"/>
      <c r="AQJ1347" s="402"/>
      <c r="AQK1347" s="402"/>
      <c r="AQL1347" s="402"/>
      <c r="AQM1347" s="402"/>
      <c r="AQN1347" s="402"/>
      <c r="AQO1347" s="402"/>
      <c r="AQP1347" s="402"/>
      <c r="AQQ1347" s="402"/>
      <c r="AQR1347" s="402"/>
      <c r="AQS1347" s="402"/>
      <c r="AQT1347" s="402"/>
      <c r="AQU1347" s="402"/>
      <c r="AQV1347" s="402"/>
      <c r="AQW1347" s="402"/>
      <c r="AQX1347" s="402"/>
      <c r="AQY1347" s="402"/>
      <c r="AQZ1347" s="402"/>
      <c r="ARA1347" s="402"/>
      <c r="ARB1347" s="402"/>
      <c r="ARC1347" s="402"/>
      <c r="ARD1347" s="402"/>
      <c r="ARE1347" s="402"/>
      <c r="ARF1347" s="402"/>
      <c r="ARG1347" s="402"/>
      <c r="ARH1347" s="402"/>
      <c r="ARI1347" s="402"/>
      <c r="ARJ1347" s="402"/>
      <c r="ARK1347" s="402"/>
      <c r="ARL1347" s="402"/>
      <c r="ARM1347" s="402"/>
      <c r="ARN1347" s="402"/>
      <c r="ARO1347" s="402"/>
      <c r="ARP1347" s="402"/>
      <c r="ARQ1347" s="402"/>
      <c r="ARR1347" s="402"/>
      <c r="ARS1347" s="402"/>
      <c r="ART1347" s="402"/>
      <c r="ARU1347" s="402"/>
      <c r="ARV1347" s="402"/>
      <c r="ARW1347" s="402"/>
      <c r="ARX1347" s="402"/>
      <c r="ARY1347" s="402"/>
      <c r="ARZ1347" s="402"/>
      <c r="ASA1347" s="402"/>
      <c r="ASB1347" s="402"/>
      <c r="ASC1347" s="402"/>
      <c r="ASD1347" s="402"/>
      <c r="ASE1347" s="402"/>
      <c r="ASF1347" s="402"/>
      <c r="ASG1347" s="402"/>
      <c r="ASH1347" s="402"/>
      <c r="ASI1347" s="402"/>
      <c r="ASJ1347" s="402"/>
      <c r="ASK1347" s="402"/>
      <c r="ASL1347" s="402"/>
      <c r="ASM1347" s="402"/>
      <c r="ASN1347" s="402"/>
      <c r="ASO1347" s="402"/>
      <c r="ASP1347" s="402"/>
      <c r="ASQ1347" s="402"/>
      <c r="ASR1347" s="402"/>
      <c r="ASS1347" s="402"/>
      <c r="AST1347" s="402"/>
      <c r="ASU1347" s="402"/>
      <c r="ASV1347" s="402"/>
      <c r="ASW1347" s="402"/>
      <c r="ASX1347" s="402"/>
      <c r="ASY1347" s="402"/>
      <c r="ASZ1347" s="402"/>
      <c r="ATA1347" s="402"/>
      <c r="ATB1347" s="402"/>
      <c r="ATC1347" s="402"/>
      <c r="ATD1347" s="402"/>
      <c r="ATE1347" s="402"/>
      <c r="ATF1347" s="402"/>
      <c r="ATG1347" s="402"/>
      <c r="ATH1347" s="402"/>
      <c r="ATI1347" s="402"/>
      <c r="ATJ1347" s="402"/>
      <c r="ATK1347" s="402"/>
      <c r="ATL1347" s="402"/>
      <c r="ATM1347" s="402"/>
      <c r="ATN1347" s="402"/>
      <c r="ATO1347" s="402"/>
      <c r="ATP1347" s="402"/>
      <c r="ATQ1347" s="402"/>
      <c r="ATR1347" s="402"/>
      <c r="ATS1347" s="402"/>
      <c r="ATT1347" s="402"/>
      <c r="ATU1347" s="402"/>
      <c r="ATV1347" s="402"/>
      <c r="ATW1347" s="402"/>
      <c r="ATX1347" s="402"/>
      <c r="ATY1347" s="402"/>
      <c r="ATZ1347" s="402"/>
      <c r="AUA1347" s="402"/>
      <c r="AUB1347" s="402"/>
      <c r="AUC1347" s="402"/>
      <c r="AUD1347" s="402"/>
      <c r="AUE1347" s="402"/>
      <c r="AUF1347" s="402"/>
      <c r="AUG1347" s="402"/>
      <c r="AUH1347" s="402"/>
      <c r="AUI1347" s="402"/>
      <c r="AUJ1347" s="402"/>
      <c r="AUK1347" s="402"/>
      <c r="AUL1347" s="402"/>
      <c r="AUM1347" s="402"/>
      <c r="AUN1347" s="402"/>
      <c r="AUO1347" s="402"/>
      <c r="AUP1347" s="402"/>
      <c r="AUQ1347" s="402"/>
      <c r="AUR1347" s="402"/>
      <c r="AUS1347" s="402"/>
      <c r="AUT1347" s="402"/>
      <c r="AUU1347" s="402"/>
      <c r="AUV1347" s="402"/>
      <c r="AUW1347" s="402"/>
      <c r="AUX1347" s="402"/>
      <c r="AUY1347" s="402"/>
      <c r="AUZ1347" s="402"/>
      <c r="AVA1347" s="402"/>
      <c r="AVB1347" s="402"/>
      <c r="AVC1347" s="402"/>
      <c r="AVD1347" s="402"/>
      <c r="AVE1347" s="402"/>
      <c r="AVF1347" s="402"/>
      <c r="AVG1347" s="402"/>
      <c r="AVH1347" s="402"/>
      <c r="AVI1347" s="402"/>
      <c r="AVJ1347" s="402"/>
      <c r="AVK1347" s="402"/>
    </row>
    <row r="1348" spans="1:1259" s="442" customFormat="1" ht="15" customHeight="1">
      <c r="A1348" s="403"/>
      <c r="B1348" s="403"/>
      <c r="C1348" s="403"/>
      <c r="D1348" s="443" t="s">
        <v>2480</v>
      </c>
      <c r="E1348" s="432"/>
      <c r="F1348" s="432"/>
      <c r="G1348" s="432">
        <v>2022</v>
      </c>
      <c r="H1348" s="432"/>
      <c r="I1348" s="427" t="s">
        <v>1498</v>
      </c>
      <c r="J1348" s="433"/>
      <c r="K1348" s="434" t="s">
        <v>3745</v>
      </c>
      <c r="L1348" s="432" t="s">
        <v>2518</v>
      </c>
      <c r="M1348" s="435">
        <v>44601</v>
      </c>
      <c r="N1348" s="435">
        <v>44655</v>
      </c>
      <c r="O1348" s="435"/>
      <c r="P1348" s="433"/>
      <c r="Q1348" s="433"/>
      <c r="R1348" s="433"/>
      <c r="S1348" s="432" t="s">
        <v>1940</v>
      </c>
      <c r="T1348" s="432">
        <v>60</v>
      </c>
      <c r="U1348" s="432"/>
      <c r="V1348" s="432" t="s">
        <v>973</v>
      </c>
      <c r="W1348" s="432">
        <v>400</v>
      </c>
      <c r="X1348" s="436">
        <v>416</v>
      </c>
      <c r="Y1348" s="422">
        <f t="shared" si="166"/>
        <v>166400</v>
      </c>
      <c r="Z1348" s="437">
        <v>0.54</v>
      </c>
      <c r="AA1348" s="423">
        <f t="shared" si="167"/>
        <v>89856</v>
      </c>
      <c r="AB1348" s="411"/>
      <c r="AC1348" s="412">
        <f t="shared" si="168"/>
        <v>0</v>
      </c>
      <c r="AD1348" s="439"/>
      <c r="AE1348" s="438">
        <v>3987.36</v>
      </c>
      <c r="AF1348" s="424">
        <f t="shared" si="169"/>
        <v>93843.36</v>
      </c>
      <c r="AG1348" s="432" t="s">
        <v>47</v>
      </c>
      <c r="AH1348" s="432"/>
      <c r="AI1348" s="434">
        <v>60</v>
      </c>
      <c r="AJ1348" s="432" t="s">
        <v>3742</v>
      </c>
      <c r="AK1348" s="440" t="s">
        <v>50</v>
      </c>
      <c r="AL1348" s="432">
        <v>94534</v>
      </c>
      <c r="AM1348" s="432" t="s">
        <v>52</v>
      </c>
      <c r="AN1348" s="432"/>
      <c r="AO1348" s="432"/>
      <c r="AP1348" s="441"/>
      <c r="AQ1348" s="441" t="s">
        <v>37</v>
      </c>
      <c r="AR1348" s="441"/>
      <c r="AS1348" s="426"/>
      <c r="AT1348" s="426"/>
      <c r="AU1348" s="426"/>
      <c r="AV1348" s="437">
        <f t="shared" si="170"/>
        <v>0.48000000000000004</v>
      </c>
      <c r="AW1348" s="402"/>
      <c r="AX1348" s="402"/>
      <c r="AY1348" s="402"/>
      <c r="AZ1348" s="402"/>
      <c r="BA1348" s="402"/>
      <c r="BB1348" s="402"/>
      <c r="BC1348" s="402"/>
      <c r="BD1348" s="402"/>
      <c r="BE1348" s="402"/>
      <c r="BF1348" s="402"/>
      <c r="BG1348" s="402"/>
      <c r="BH1348" s="402"/>
      <c r="BI1348" s="402"/>
      <c r="BJ1348" s="402"/>
      <c r="BK1348" s="402"/>
      <c r="BL1348" s="402"/>
      <c r="BM1348" s="402"/>
      <c r="BN1348" s="402"/>
      <c r="BO1348" s="402"/>
      <c r="BP1348" s="402"/>
      <c r="BQ1348" s="402"/>
      <c r="BR1348" s="402"/>
      <c r="BS1348" s="402"/>
      <c r="BT1348" s="402"/>
      <c r="BU1348" s="402"/>
      <c r="BV1348" s="402"/>
      <c r="BW1348" s="402"/>
      <c r="BX1348" s="402"/>
      <c r="BY1348" s="402"/>
      <c r="BZ1348" s="402"/>
      <c r="CA1348" s="402"/>
      <c r="CB1348" s="402"/>
      <c r="CC1348" s="402"/>
      <c r="CD1348" s="402"/>
      <c r="CE1348" s="402"/>
      <c r="CF1348" s="402"/>
      <c r="CG1348" s="402"/>
      <c r="CH1348" s="402"/>
      <c r="CI1348" s="402"/>
      <c r="CJ1348" s="402"/>
      <c r="CK1348" s="402"/>
      <c r="CL1348" s="402"/>
      <c r="CM1348" s="402"/>
      <c r="CN1348" s="402"/>
      <c r="CO1348" s="402"/>
      <c r="CP1348" s="402"/>
      <c r="CQ1348" s="402"/>
      <c r="CR1348" s="402"/>
      <c r="CS1348" s="402"/>
      <c r="CT1348" s="402"/>
      <c r="CU1348" s="402"/>
      <c r="CV1348" s="402"/>
      <c r="CW1348" s="402"/>
      <c r="CX1348" s="402"/>
      <c r="CY1348" s="402"/>
      <c r="CZ1348" s="402"/>
      <c r="DA1348" s="402"/>
      <c r="DB1348" s="402"/>
      <c r="DC1348" s="402"/>
      <c r="DD1348" s="402"/>
      <c r="DE1348" s="402"/>
      <c r="DF1348" s="402"/>
      <c r="DG1348" s="402"/>
      <c r="DH1348" s="402"/>
      <c r="DI1348" s="402"/>
      <c r="DJ1348" s="402"/>
      <c r="DK1348" s="402"/>
      <c r="DL1348" s="402"/>
      <c r="DM1348" s="402"/>
      <c r="DN1348" s="402"/>
      <c r="DO1348" s="402"/>
      <c r="DP1348" s="402"/>
      <c r="DQ1348" s="402"/>
      <c r="DR1348" s="402"/>
      <c r="DS1348" s="402"/>
      <c r="DT1348" s="402"/>
      <c r="DU1348" s="402"/>
      <c r="DV1348" s="402"/>
      <c r="DW1348" s="402"/>
      <c r="DX1348" s="402"/>
      <c r="DY1348" s="402"/>
      <c r="DZ1348" s="402"/>
      <c r="EA1348" s="402"/>
      <c r="EB1348" s="402"/>
      <c r="EC1348" s="402"/>
      <c r="ED1348" s="402"/>
      <c r="EE1348" s="402"/>
      <c r="EF1348" s="402"/>
      <c r="EG1348" s="402"/>
      <c r="EH1348" s="402"/>
      <c r="EI1348" s="402"/>
      <c r="EJ1348" s="402"/>
      <c r="EK1348" s="402"/>
      <c r="EL1348" s="402"/>
      <c r="EM1348" s="402"/>
      <c r="EN1348" s="402"/>
      <c r="EO1348" s="402"/>
      <c r="EP1348" s="402"/>
      <c r="EQ1348" s="402"/>
      <c r="ER1348" s="402"/>
      <c r="ES1348" s="402"/>
      <c r="ET1348" s="402"/>
      <c r="EU1348" s="402"/>
      <c r="EV1348" s="402"/>
      <c r="EW1348" s="402"/>
      <c r="EX1348" s="402"/>
      <c r="EY1348" s="402"/>
      <c r="EZ1348" s="402"/>
      <c r="FA1348" s="402"/>
      <c r="FB1348" s="402"/>
      <c r="FC1348" s="402"/>
      <c r="FD1348" s="402"/>
      <c r="FE1348" s="402"/>
      <c r="FF1348" s="402"/>
      <c r="FG1348" s="402"/>
      <c r="FH1348" s="402"/>
      <c r="FI1348" s="402"/>
      <c r="FJ1348" s="402"/>
      <c r="FK1348" s="402"/>
      <c r="FL1348" s="402"/>
      <c r="FM1348" s="402"/>
      <c r="FN1348" s="402"/>
      <c r="FO1348" s="402"/>
      <c r="FP1348" s="402"/>
      <c r="FQ1348" s="402"/>
      <c r="FR1348" s="402"/>
      <c r="FS1348" s="402"/>
      <c r="FT1348" s="402"/>
      <c r="FU1348" s="402"/>
      <c r="FV1348" s="402"/>
      <c r="FW1348" s="402"/>
      <c r="FX1348" s="402"/>
      <c r="FY1348" s="402"/>
      <c r="FZ1348" s="402"/>
      <c r="GA1348" s="402"/>
      <c r="GB1348" s="402"/>
      <c r="GC1348" s="402"/>
      <c r="GD1348" s="402"/>
      <c r="GE1348" s="402"/>
      <c r="GF1348" s="402"/>
      <c r="GG1348" s="402"/>
      <c r="GH1348" s="402"/>
      <c r="GI1348" s="402"/>
      <c r="GJ1348" s="402"/>
      <c r="GK1348" s="402"/>
      <c r="GL1348" s="402"/>
      <c r="GM1348" s="402"/>
      <c r="GN1348" s="402"/>
      <c r="GO1348" s="402"/>
      <c r="GP1348" s="402"/>
      <c r="GQ1348" s="402"/>
      <c r="GR1348" s="402"/>
      <c r="GS1348" s="402"/>
      <c r="GT1348" s="402"/>
      <c r="GU1348" s="402"/>
      <c r="GV1348" s="402"/>
      <c r="GW1348" s="402"/>
      <c r="GX1348" s="402"/>
      <c r="GY1348" s="402"/>
      <c r="GZ1348" s="402"/>
      <c r="HA1348" s="402"/>
      <c r="HB1348" s="402"/>
      <c r="HC1348" s="402"/>
      <c r="HD1348" s="402"/>
      <c r="HE1348" s="402"/>
      <c r="HF1348" s="402"/>
      <c r="HG1348" s="402"/>
      <c r="HH1348" s="402"/>
      <c r="HI1348" s="402"/>
      <c r="HJ1348" s="402"/>
      <c r="HK1348" s="402"/>
      <c r="HL1348" s="402"/>
      <c r="HM1348" s="402"/>
      <c r="HN1348" s="402"/>
      <c r="HO1348" s="402"/>
      <c r="HP1348" s="402"/>
      <c r="HQ1348" s="402"/>
      <c r="HR1348" s="402"/>
      <c r="HS1348" s="402"/>
      <c r="HT1348" s="402"/>
      <c r="HU1348" s="402"/>
      <c r="HV1348" s="402"/>
      <c r="HW1348" s="402"/>
      <c r="HX1348" s="402"/>
      <c r="HY1348" s="402"/>
      <c r="HZ1348" s="402"/>
      <c r="IA1348" s="402"/>
      <c r="IB1348" s="402"/>
      <c r="IC1348" s="402"/>
      <c r="ID1348" s="402"/>
      <c r="IE1348" s="402"/>
      <c r="IF1348" s="402"/>
      <c r="IG1348" s="402"/>
      <c r="IH1348" s="402"/>
      <c r="II1348" s="402"/>
      <c r="IJ1348" s="402"/>
      <c r="IK1348" s="402"/>
      <c r="IL1348" s="402"/>
      <c r="IM1348" s="402"/>
      <c r="IN1348" s="402"/>
      <c r="IO1348" s="402"/>
      <c r="IP1348" s="402"/>
      <c r="IQ1348" s="402"/>
      <c r="IR1348" s="402"/>
      <c r="IS1348" s="402"/>
      <c r="IT1348" s="402"/>
      <c r="IU1348" s="402"/>
      <c r="IV1348" s="402"/>
      <c r="IW1348" s="402"/>
      <c r="IX1348" s="402"/>
      <c r="IY1348" s="402"/>
      <c r="IZ1348" s="402"/>
      <c r="JA1348" s="402"/>
      <c r="JB1348" s="402"/>
      <c r="JC1348" s="402"/>
      <c r="JD1348" s="402"/>
      <c r="JE1348" s="402"/>
      <c r="JF1348" s="402"/>
      <c r="JG1348" s="402"/>
      <c r="JH1348" s="402"/>
      <c r="JI1348" s="402"/>
      <c r="JJ1348" s="402"/>
      <c r="JK1348" s="402"/>
      <c r="JL1348" s="402"/>
      <c r="JM1348" s="402"/>
      <c r="JN1348" s="402"/>
      <c r="JO1348" s="402"/>
      <c r="JP1348" s="402"/>
      <c r="JQ1348" s="402"/>
      <c r="JR1348" s="402"/>
      <c r="JS1348" s="402"/>
      <c r="JT1348" s="402"/>
      <c r="JU1348" s="402"/>
      <c r="JV1348" s="402"/>
      <c r="JW1348" s="402"/>
      <c r="JX1348" s="402"/>
      <c r="JY1348" s="402"/>
      <c r="JZ1348" s="402"/>
      <c r="KA1348" s="402"/>
      <c r="KB1348" s="402"/>
      <c r="KC1348" s="402"/>
      <c r="KD1348" s="402"/>
      <c r="KE1348" s="402"/>
      <c r="KF1348" s="402"/>
      <c r="KG1348" s="402"/>
      <c r="KH1348" s="402"/>
      <c r="KI1348" s="402"/>
      <c r="KJ1348" s="402"/>
      <c r="KK1348" s="402"/>
      <c r="KL1348" s="402"/>
      <c r="KM1348" s="402"/>
      <c r="KN1348" s="402"/>
      <c r="KO1348" s="402"/>
      <c r="KP1348" s="402"/>
      <c r="KQ1348" s="402"/>
      <c r="KR1348" s="402"/>
      <c r="KS1348" s="402"/>
      <c r="KT1348" s="402"/>
      <c r="KU1348" s="402"/>
      <c r="KV1348" s="402"/>
      <c r="KW1348" s="402"/>
      <c r="KX1348" s="402"/>
      <c r="KY1348" s="402"/>
      <c r="KZ1348" s="402"/>
      <c r="LA1348" s="402"/>
      <c r="LB1348" s="402"/>
      <c r="LC1348" s="402"/>
      <c r="LD1348" s="402"/>
      <c r="LE1348" s="402"/>
      <c r="LF1348" s="402"/>
      <c r="LG1348" s="402"/>
      <c r="LH1348" s="402"/>
      <c r="LI1348" s="402"/>
      <c r="LJ1348" s="402"/>
      <c r="LK1348" s="402"/>
      <c r="LL1348" s="402"/>
      <c r="LM1348" s="402"/>
      <c r="LN1348" s="402"/>
      <c r="LO1348" s="402"/>
      <c r="LP1348" s="402"/>
      <c r="LQ1348" s="402"/>
      <c r="LR1348" s="402"/>
      <c r="LS1348" s="402"/>
      <c r="LT1348" s="402"/>
      <c r="LU1348" s="402"/>
      <c r="LV1348" s="402"/>
      <c r="LW1348" s="402"/>
      <c r="LX1348" s="402"/>
      <c r="LY1348" s="402"/>
      <c r="LZ1348" s="402"/>
      <c r="MA1348" s="402"/>
      <c r="MB1348" s="402"/>
      <c r="MC1348" s="402"/>
      <c r="MD1348" s="402"/>
      <c r="ME1348" s="402"/>
      <c r="MF1348" s="402"/>
      <c r="MG1348" s="402"/>
      <c r="MH1348" s="402"/>
      <c r="MI1348" s="402"/>
      <c r="MJ1348" s="402"/>
      <c r="MK1348" s="402"/>
      <c r="ML1348" s="402"/>
      <c r="MM1348" s="402"/>
      <c r="MN1348" s="402"/>
      <c r="MO1348" s="402"/>
      <c r="MP1348" s="402"/>
      <c r="MQ1348" s="402"/>
      <c r="MR1348" s="402"/>
      <c r="MS1348" s="402"/>
      <c r="MT1348" s="402"/>
      <c r="MU1348" s="402"/>
      <c r="MV1348" s="402"/>
      <c r="MW1348" s="402"/>
      <c r="MX1348" s="402"/>
      <c r="MY1348" s="402"/>
      <c r="MZ1348" s="402"/>
      <c r="NA1348" s="402"/>
      <c r="NB1348" s="402"/>
      <c r="NC1348" s="402"/>
      <c r="ND1348" s="402"/>
      <c r="NE1348" s="402"/>
      <c r="NF1348" s="402"/>
      <c r="NG1348" s="402"/>
      <c r="NH1348" s="402"/>
      <c r="NI1348" s="402"/>
      <c r="NJ1348" s="402"/>
      <c r="NK1348" s="402"/>
      <c r="NL1348" s="402"/>
      <c r="NM1348" s="402"/>
      <c r="NN1348" s="402"/>
      <c r="NO1348" s="402"/>
      <c r="NP1348" s="402"/>
      <c r="NQ1348" s="402"/>
      <c r="NR1348" s="402"/>
      <c r="NS1348" s="402"/>
      <c r="NT1348" s="402"/>
      <c r="NU1348" s="402"/>
      <c r="NV1348" s="402"/>
      <c r="NW1348" s="402"/>
      <c r="NX1348" s="402"/>
      <c r="NY1348" s="402"/>
      <c r="NZ1348" s="402"/>
      <c r="OA1348" s="402"/>
      <c r="OB1348" s="402"/>
      <c r="OC1348" s="402"/>
      <c r="OD1348" s="402"/>
      <c r="OE1348" s="402"/>
      <c r="OF1348" s="402"/>
      <c r="OG1348" s="402"/>
      <c r="OH1348" s="402"/>
      <c r="OI1348" s="402"/>
      <c r="OJ1348" s="402"/>
      <c r="OK1348" s="402"/>
      <c r="OL1348" s="402"/>
      <c r="OM1348" s="402"/>
      <c r="ON1348" s="402"/>
      <c r="OO1348" s="402"/>
      <c r="OP1348" s="402"/>
      <c r="OQ1348" s="402"/>
      <c r="OR1348" s="402"/>
      <c r="OS1348" s="402"/>
      <c r="OT1348" s="402"/>
      <c r="OU1348" s="402"/>
      <c r="OV1348" s="402"/>
      <c r="OW1348" s="402"/>
      <c r="OX1348" s="402"/>
      <c r="OY1348" s="402"/>
      <c r="OZ1348" s="402"/>
      <c r="PA1348" s="402"/>
      <c r="PB1348" s="402"/>
      <c r="PC1348" s="402"/>
      <c r="PD1348" s="402"/>
      <c r="PE1348" s="402"/>
      <c r="PF1348" s="402"/>
      <c r="PG1348" s="402"/>
      <c r="PH1348" s="402"/>
      <c r="PI1348" s="402"/>
      <c r="PJ1348" s="402"/>
      <c r="PK1348" s="402"/>
      <c r="PL1348" s="402"/>
      <c r="PM1348" s="402"/>
      <c r="PN1348" s="402"/>
      <c r="PO1348" s="402"/>
      <c r="PP1348" s="402"/>
      <c r="PQ1348" s="402"/>
      <c r="PR1348" s="402"/>
      <c r="PS1348" s="402"/>
      <c r="PT1348" s="402"/>
      <c r="PU1348" s="402"/>
      <c r="PV1348" s="402"/>
      <c r="PW1348" s="402"/>
      <c r="PX1348" s="402"/>
      <c r="PY1348" s="402"/>
      <c r="PZ1348" s="402"/>
      <c r="QA1348" s="402"/>
      <c r="QB1348" s="402"/>
      <c r="QC1348" s="402"/>
      <c r="QD1348" s="402"/>
      <c r="QE1348" s="402"/>
      <c r="QF1348" s="402"/>
      <c r="QG1348" s="402"/>
      <c r="QH1348" s="402"/>
      <c r="QI1348" s="402"/>
      <c r="QJ1348" s="402"/>
      <c r="QK1348" s="402"/>
      <c r="QL1348" s="402"/>
      <c r="QM1348" s="402"/>
      <c r="QN1348" s="402"/>
      <c r="QO1348" s="402"/>
      <c r="QP1348" s="402"/>
      <c r="QQ1348" s="402"/>
      <c r="QR1348" s="402"/>
      <c r="QS1348" s="402"/>
      <c r="QT1348" s="402"/>
      <c r="QU1348" s="402"/>
      <c r="QV1348" s="402"/>
      <c r="QW1348" s="402"/>
      <c r="QX1348" s="402"/>
      <c r="QY1348" s="402"/>
      <c r="QZ1348" s="402"/>
      <c r="RA1348" s="402"/>
      <c r="RB1348" s="402"/>
      <c r="RC1348" s="402"/>
      <c r="RD1348" s="402"/>
      <c r="RE1348" s="402"/>
      <c r="RF1348" s="402"/>
      <c r="RG1348" s="402"/>
      <c r="RH1348" s="402"/>
      <c r="RI1348" s="402"/>
      <c r="RJ1348" s="402"/>
      <c r="RK1348" s="402"/>
      <c r="RL1348" s="402"/>
      <c r="RM1348" s="402"/>
      <c r="RN1348" s="402"/>
      <c r="RO1348" s="402"/>
      <c r="RP1348" s="402"/>
      <c r="RQ1348" s="402"/>
      <c r="RR1348" s="402"/>
      <c r="RS1348" s="402"/>
      <c r="RT1348" s="402"/>
      <c r="RU1348" s="402"/>
      <c r="RV1348" s="402"/>
      <c r="RW1348" s="402"/>
      <c r="RX1348" s="402"/>
      <c r="RY1348" s="402"/>
      <c r="RZ1348" s="402"/>
      <c r="SA1348" s="402"/>
      <c r="SB1348" s="402"/>
      <c r="SC1348" s="402"/>
      <c r="SD1348" s="402"/>
      <c r="SE1348" s="402"/>
      <c r="SF1348" s="402"/>
      <c r="SG1348" s="402"/>
      <c r="SH1348" s="402"/>
      <c r="SI1348" s="402"/>
      <c r="SJ1348" s="402"/>
      <c r="SK1348" s="402"/>
      <c r="SL1348" s="402"/>
      <c r="SM1348" s="402"/>
      <c r="SN1348" s="402"/>
      <c r="SO1348" s="402"/>
      <c r="SP1348" s="402"/>
      <c r="SQ1348" s="402"/>
      <c r="SR1348" s="402"/>
      <c r="SS1348" s="402"/>
      <c r="ST1348" s="402"/>
      <c r="SU1348" s="402"/>
      <c r="SV1348" s="402"/>
      <c r="SW1348" s="402"/>
      <c r="SX1348" s="402"/>
      <c r="SY1348" s="402"/>
      <c r="SZ1348" s="402"/>
      <c r="TA1348" s="402"/>
      <c r="TB1348" s="402"/>
      <c r="TC1348" s="402"/>
      <c r="TD1348" s="402"/>
      <c r="TE1348" s="402"/>
      <c r="TF1348" s="402"/>
      <c r="TG1348" s="402"/>
      <c r="TH1348" s="402"/>
      <c r="TI1348" s="402"/>
      <c r="TJ1348" s="402"/>
      <c r="TK1348" s="402"/>
      <c r="TL1348" s="402"/>
      <c r="TM1348" s="402"/>
      <c r="TN1348" s="402"/>
      <c r="TO1348" s="402"/>
      <c r="TP1348" s="402"/>
      <c r="TQ1348" s="402"/>
      <c r="TR1348" s="402"/>
      <c r="TS1348" s="402"/>
      <c r="TT1348" s="402"/>
      <c r="TU1348" s="402"/>
      <c r="TV1348" s="402"/>
      <c r="TW1348" s="402"/>
      <c r="TX1348" s="402"/>
      <c r="TY1348" s="402"/>
      <c r="TZ1348" s="402"/>
      <c r="UA1348" s="402"/>
      <c r="UB1348" s="402"/>
      <c r="UC1348" s="402"/>
      <c r="UD1348" s="402"/>
      <c r="UE1348" s="402"/>
      <c r="UF1348" s="402"/>
      <c r="UG1348" s="402"/>
      <c r="UH1348" s="402"/>
      <c r="UI1348" s="402"/>
      <c r="UJ1348" s="402"/>
      <c r="UK1348" s="402"/>
      <c r="UL1348" s="402"/>
      <c r="UM1348" s="402"/>
      <c r="UN1348" s="402"/>
      <c r="UO1348" s="402"/>
      <c r="UP1348" s="402"/>
      <c r="UQ1348" s="402"/>
      <c r="UR1348" s="402"/>
      <c r="US1348" s="402"/>
      <c r="UT1348" s="402"/>
      <c r="UU1348" s="402"/>
      <c r="UV1348" s="402"/>
      <c r="UW1348" s="402"/>
      <c r="UX1348" s="402"/>
      <c r="UY1348" s="402"/>
      <c r="UZ1348" s="402"/>
      <c r="VA1348" s="402"/>
      <c r="VB1348" s="402"/>
      <c r="VC1348" s="402"/>
      <c r="VD1348" s="402"/>
      <c r="VE1348" s="402"/>
      <c r="VF1348" s="402"/>
      <c r="VG1348" s="402"/>
      <c r="VH1348" s="402"/>
      <c r="VI1348" s="402"/>
      <c r="VJ1348" s="402"/>
      <c r="VK1348" s="402"/>
      <c r="VL1348" s="402"/>
      <c r="VM1348" s="402"/>
      <c r="VN1348" s="402"/>
      <c r="VO1348" s="402"/>
      <c r="VP1348" s="402"/>
      <c r="VQ1348" s="402"/>
      <c r="VR1348" s="402"/>
      <c r="VS1348" s="402"/>
      <c r="VT1348" s="402"/>
      <c r="VU1348" s="402"/>
      <c r="VV1348" s="402"/>
      <c r="VW1348" s="402"/>
      <c r="VX1348" s="402"/>
      <c r="VY1348" s="402"/>
      <c r="VZ1348" s="402"/>
      <c r="WA1348" s="402"/>
      <c r="WB1348" s="402"/>
      <c r="WC1348" s="402"/>
      <c r="WD1348" s="402"/>
      <c r="WE1348" s="402"/>
      <c r="WF1348" s="402"/>
      <c r="WG1348" s="402"/>
      <c r="WH1348" s="402"/>
      <c r="WI1348" s="402"/>
      <c r="WJ1348" s="402"/>
      <c r="WK1348" s="402"/>
      <c r="WL1348" s="402"/>
      <c r="WM1348" s="402"/>
      <c r="WN1348" s="402"/>
      <c r="WO1348" s="402"/>
      <c r="WP1348" s="402"/>
      <c r="WQ1348" s="402"/>
      <c r="WR1348" s="402"/>
      <c r="WS1348" s="402"/>
      <c r="WT1348" s="402"/>
      <c r="WU1348" s="402"/>
      <c r="WV1348" s="402"/>
      <c r="WW1348" s="402"/>
      <c r="WX1348" s="402"/>
      <c r="WY1348" s="402"/>
      <c r="WZ1348" s="402"/>
      <c r="XA1348" s="402"/>
      <c r="XB1348" s="402"/>
      <c r="XC1348" s="402"/>
      <c r="XD1348" s="402"/>
      <c r="XE1348" s="402"/>
      <c r="XF1348" s="402"/>
      <c r="XG1348" s="402"/>
      <c r="XH1348" s="402"/>
      <c r="XI1348" s="402"/>
      <c r="XJ1348" s="402"/>
      <c r="XK1348" s="402"/>
      <c r="XL1348" s="402"/>
      <c r="XM1348" s="402"/>
      <c r="XN1348" s="402"/>
      <c r="XO1348" s="402"/>
      <c r="XP1348" s="402"/>
      <c r="XQ1348" s="402"/>
      <c r="XR1348" s="402"/>
      <c r="XS1348" s="402"/>
      <c r="XT1348" s="402"/>
      <c r="XU1348" s="402"/>
      <c r="XV1348" s="402"/>
      <c r="XW1348" s="402"/>
      <c r="XX1348" s="402"/>
      <c r="XY1348" s="402"/>
      <c r="XZ1348" s="402"/>
      <c r="YA1348" s="402"/>
      <c r="YB1348" s="402"/>
      <c r="YC1348" s="402"/>
      <c r="YD1348" s="402"/>
      <c r="YE1348" s="402"/>
      <c r="YF1348" s="402"/>
      <c r="YG1348" s="402"/>
      <c r="YH1348" s="402"/>
      <c r="YI1348" s="402"/>
      <c r="YJ1348" s="402"/>
      <c r="YK1348" s="402"/>
      <c r="YL1348" s="402"/>
      <c r="YM1348" s="402"/>
      <c r="YN1348" s="402"/>
      <c r="YO1348" s="402"/>
      <c r="YP1348" s="402"/>
      <c r="YQ1348" s="402"/>
      <c r="YR1348" s="402"/>
      <c r="YS1348" s="402"/>
      <c r="YT1348" s="402"/>
      <c r="YU1348" s="402"/>
      <c r="YV1348" s="402"/>
      <c r="YW1348" s="402"/>
      <c r="YX1348" s="402"/>
      <c r="YY1348" s="402"/>
      <c r="YZ1348" s="402"/>
      <c r="ZA1348" s="402"/>
      <c r="ZB1348" s="402"/>
      <c r="ZC1348" s="402"/>
      <c r="ZD1348" s="402"/>
      <c r="ZE1348" s="402"/>
      <c r="ZF1348" s="402"/>
      <c r="ZG1348" s="402"/>
      <c r="ZH1348" s="402"/>
      <c r="ZI1348" s="402"/>
      <c r="ZJ1348" s="402"/>
      <c r="ZK1348" s="402"/>
      <c r="ZL1348" s="402"/>
      <c r="ZM1348" s="402"/>
      <c r="ZN1348" s="402"/>
      <c r="ZO1348" s="402"/>
      <c r="ZP1348" s="402"/>
      <c r="ZQ1348" s="402"/>
      <c r="ZR1348" s="402"/>
      <c r="ZS1348" s="402"/>
      <c r="ZT1348" s="402"/>
      <c r="ZU1348" s="402"/>
      <c r="ZV1348" s="402"/>
      <c r="ZW1348" s="402"/>
      <c r="ZX1348" s="402"/>
      <c r="ZY1348" s="402"/>
      <c r="ZZ1348" s="402"/>
      <c r="AAA1348" s="402"/>
      <c r="AAB1348" s="402"/>
      <c r="AAC1348" s="402"/>
      <c r="AAD1348" s="402"/>
      <c r="AAE1348" s="402"/>
      <c r="AAF1348" s="402"/>
      <c r="AAG1348" s="402"/>
      <c r="AAH1348" s="402"/>
      <c r="AAI1348" s="402"/>
      <c r="AAJ1348" s="402"/>
      <c r="AAK1348" s="402"/>
      <c r="AAL1348" s="402"/>
      <c r="AAM1348" s="402"/>
      <c r="AAN1348" s="402"/>
      <c r="AAO1348" s="402"/>
      <c r="AAP1348" s="402"/>
      <c r="AAQ1348" s="402"/>
      <c r="AAR1348" s="402"/>
      <c r="AAS1348" s="402"/>
      <c r="AAT1348" s="402"/>
      <c r="AAU1348" s="402"/>
      <c r="AAV1348" s="402"/>
      <c r="AAW1348" s="402"/>
      <c r="AAX1348" s="402"/>
      <c r="AAY1348" s="402"/>
      <c r="AAZ1348" s="402"/>
      <c r="ABA1348" s="402"/>
      <c r="ABB1348" s="402"/>
      <c r="ABC1348" s="402"/>
      <c r="ABD1348" s="402"/>
      <c r="ABE1348" s="402"/>
      <c r="ABF1348" s="402"/>
      <c r="ABG1348" s="402"/>
      <c r="ABH1348" s="402"/>
      <c r="ABI1348" s="402"/>
      <c r="ABJ1348" s="402"/>
      <c r="ABK1348" s="402"/>
      <c r="ABL1348" s="402"/>
      <c r="ABM1348" s="402"/>
      <c r="ABN1348" s="402"/>
      <c r="ABO1348" s="402"/>
      <c r="ABP1348" s="402"/>
      <c r="ABQ1348" s="402"/>
      <c r="ABR1348" s="402"/>
      <c r="ABS1348" s="402"/>
      <c r="ABT1348" s="402"/>
      <c r="ABU1348" s="402"/>
      <c r="ABV1348" s="402"/>
      <c r="ABW1348" s="402"/>
      <c r="ABX1348" s="402"/>
      <c r="ABY1348" s="402"/>
      <c r="ABZ1348" s="402"/>
      <c r="ACA1348" s="402"/>
      <c r="ACB1348" s="402"/>
      <c r="ACC1348" s="402"/>
      <c r="ACD1348" s="402"/>
      <c r="ACE1348" s="402"/>
      <c r="ACF1348" s="402"/>
      <c r="ACG1348" s="402"/>
      <c r="ACH1348" s="402"/>
      <c r="ACI1348" s="402"/>
      <c r="ACJ1348" s="402"/>
      <c r="ACK1348" s="402"/>
      <c r="ACL1348" s="402"/>
      <c r="ACM1348" s="402"/>
      <c r="ACN1348" s="402"/>
      <c r="ACO1348" s="402"/>
      <c r="ACP1348" s="402"/>
      <c r="ACQ1348" s="402"/>
      <c r="ACR1348" s="402"/>
      <c r="ACS1348" s="402"/>
      <c r="ACT1348" s="402"/>
      <c r="ACU1348" s="402"/>
      <c r="ACV1348" s="402"/>
      <c r="ACW1348" s="402"/>
      <c r="ACX1348" s="402"/>
      <c r="ACY1348" s="402"/>
      <c r="ACZ1348" s="402"/>
      <c r="ADA1348" s="402"/>
      <c r="ADB1348" s="402"/>
      <c r="ADC1348" s="402"/>
      <c r="ADD1348" s="402"/>
      <c r="ADE1348" s="402"/>
      <c r="ADF1348" s="402"/>
      <c r="ADG1348" s="402"/>
      <c r="ADH1348" s="402"/>
      <c r="ADI1348" s="402"/>
      <c r="ADJ1348" s="402"/>
      <c r="ADK1348" s="402"/>
      <c r="ADL1348" s="402"/>
      <c r="ADM1348" s="402"/>
      <c r="ADN1348" s="402"/>
      <c r="ADO1348" s="402"/>
      <c r="ADP1348" s="402"/>
      <c r="ADQ1348" s="402"/>
      <c r="ADR1348" s="402"/>
      <c r="ADS1348" s="402"/>
      <c r="ADT1348" s="402"/>
      <c r="ADU1348" s="402"/>
      <c r="ADV1348" s="402"/>
      <c r="ADW1348" s="402"/>
      <c r="ADX1348" s="402"/>
      <c r="ADY1348" s="402"/>
      <c r="ADZ1348" s="402"/>
      <c r="AEA1348" s="402"/>
      <c r="AEB1348" s="402"/>
      <c r="AEC1348" s="402"/>
      <c r="AED1348" s="402"/>
      <c r="AEE1348" s="402"/>
      <c r="AEF1348" s="402"/>
      <c r="AEG1348" s="402"/>
      <c r="AEH1348" s="402"/>
      <c r="AEI1348" s="402"/>
      <c r="AEJ1348" s="402"/>
      <c r="AEK1348" s="402"/>
      <c r="AEL1348" s="402"/>
      <c r="AEM1348" s="402"/>
      <c r="AEN1348" s="402"/>
      <c r="AEO1348" s="402"/>
      <c r="AEP1348" s="402"/>
      <c r="AEQ1348" s="402"/>
      <c r="AER1348" s="402"/>
      <c r="AES1348" s="402"/>
      <c r="AET1348" s="402"/>
      <c r="AEU1348" s="402"/>
      <c r="AEV1348" s="402"/>
      <c r="AEW1348" s="402"/>
      <c r="AEX1348" s="402"/>
      <c r="AEY1348" s="402"/>
      <c r="AEZ1348" s="402"/>
      <c r="AFA1348" s="402"/>
      <c r="AFB1348" s="402"/>
      <c r="AFC1348" s="402"/>
      <c r="AFD1348" s="402"/>
      <c r="AFE1348" s="402"/>
      <c r="AFF1348" s="402"/>
      <c r="AFG1348" s="402"/>
      <c r="AFH1348" s="402"/>
      <c r="AFI1348" s="402"/>
      <c r="AFJ1348" s="402"/>
      <c r="AFK1348" s="402"/>
      <c r="AFL1348" s="402"/>
      <c r="AFM1348" s="402"/>
      <c r="AFN1348" s="402"/>
      <c r="AFO1348" s="402"/>
      <c r="AFP1348" s="402"/>
      <c r="AFQ1348" s="402"/>
      <c r="AFR1348" s="402"/>
      <c r="AFS1348" s="402"/>
      <c r="AFT1348" s="402"/>
      <c r="AFU1348" s="402"/>
      <c r="AFV1348" s="402"/>
      <c r="AFW1348" s="402"/>
      <c r="AFX1348" s="402"/>
      <c r="AFY1348" s="402"/>
      <c r="AFZ1348" s="402"/>
      <c r="AGA1348" s="402"/>
      <c r="AGB1348" s="402"/>
      <c r="AGC1348" s="402"/>
      <c r="AGD1348" s="402"/>
      <c r="AGE1348" s="402"/>
      <c r="AGF1348" s="402"/>
      <c r="AGG1348" s="402"/>
      <c r="AGH1348" s="402"/>
      <c r="AGI1348" s="402"/>
      <c r="AGJ1348" s="402"/>
      <c r="AGK1348" s="402"/>
      <c r="AGL1348" s="402"/>
      <c r="AGM1348" s="402"/>
      <c r="AGN1348" s="402"/>
      <c r="AGO1348" s="402"/>
      <c r="AGP1348" s="402"/>
      <c r="AGQ1348" s="402"/>
      <c r="AGR1348" s="402"/>
      <c r="AGS1348" s="402"/>
      <c r="AGT1348" s="402"/>
      <c r="AGU1348" s="402"/>
      <c r="AGV1348" s="402"/>
      <c r="AGW1348" s="402"/>
      <c r="AGX1348" s="402"/>
      <c r="AGY1348" s="402"/>
      <c r="AGZ1348" s="402"/>
      <c r="AHA1348" s="402"/>
      <c r="AHB1348" s="402"/>
      <c r="AHC1348" s="402"/>
      <c r="AHD1348" s="402"/>
      <c r="AHE1348" s="402"/>
      <c r="AHF1348" s="402"/>
      <c r="AHG1348" s="402"/>
      <c r="AHH1348" s="402"/>
      <c r="AHI1348" s="402"/>
      <c r="AHJ1348" s="402"/>
      <c r="AHK1348" s="402"/>
      <c r="AHL1348" s="402"/>
      <c r="AHM1348" s="402"/>
      <c r="AHN1348" s="402"/>
      <c r="AHO1348" s="402"/>
      <c r="AHP1348" s="402"/>
      <c r="AHQ1348" s="402"/>
      <c r="AHR1348" s="402"/>
      <c r="AHS1348" s="402"/>
      <c r="AHT1348" s="402"/>
      <c r="AHU1348" s="402"/>
      <c r="AHV1348" s="402"/>
      <c r="AHW1348" s="402"/>
      <c r="AHX1348" s="402"/>
      <c r="AHY1348" s="402"/>
      <c r="AHZ1348" s="402"/>
      <c r="AIA1348" s="402"/>
      <c r="AIB1348" s="402"/>
      <c r="AIC1348" s="402"/>
      <c r="AID1348" s="402"/>
      <c r="AIE1348" s="402"/>
      <c r="AIF1348" s="402"/>
      <c r="AIG1348" s="402"/>
      <c r="AIH1348" s="402"/>
      <c r="AII1348" s="402"/>
      <c r="AIJ1348" s="402"/>
      <c r="AIK1348" s="402"/>
      <c r="AIL1348" s="402"/>
      <c r="AIM1348" s="402"/>
      <c r="AIN1348" s="402"/>
      <c r="AIO1348" s="402"/>
      <c r="AIP1348" s="402"/>
      <c r="AIQ1348" s="402"/>
      <c r="AIR1348" s="402"/>
      <c r="AIS1348" s="402"/>
      <c r="AIT1348" s="402"/>
      <c r="AIU1348" s="402"/>
      <c r="AIV1348" s="402"/>
      <c r="AIW1348" s="402"/>
      <c r="AIX1348" s="402"/>
      <c r="AIY1348" s="402"/>
      <c r="AIZ1348" s="402"/>
      <c r="AJA1348" s="402"/>
      <c r="AJB1348" s="402"/>
      <c r="AJC1348" s="402"/>
      <c r="AJD1348" s="402"/>
      <c r="AJE1348" s="402"/>
      <c r="AJF1348" s="402"/>
      <c r="AJG1348" s="402"/>
      <c r="AJH1348" s="402"/>
      <c r="AJI1348" s="402"/>
      <c r="AJJ1348" s="402"/>
      <c r="AJK1348" s="402"/>
      <c r="AJL1348" s="402"/>
      <c r="AJM1348" s="402"/>
      <c r="AJN1348" s="402"/>
      <c r="AJO1348" s="402"/>
      <c r="AJP1348" s="402"/>
      <c r="AJQ1348" s="402"/>
      <c r="AJR1348" s="402"/>
      <c r="AJS1348" s="402"/>
      <c r="AJT1348" s="402"/>
      <c r="AJU1348" s="402"/>
      <c r="AJV1348" s="402"/>
      <c r="AJW1348" s="402"/>
      <c r="AJX1348" s="402"/>
      <c r="AJY1348" s="402"/>
      <c r="AJZ1348" s="402"/>
      <c r="AKA1348" s="402"/>
      <c r="AKB1348" s="402"/>
      <c r="AKC1348" s="402"/>
      <c r="AKD1348" s="402"/>
      <c r="AKE1348" s="402"/>
      <c r="AKF1348" s="402"/>
      <c r="AKG1348" s="402"/>
      <c r="AKH1348" s="402"/>
      <c r="AKI1348" s="402"/>
      <c r="AKJ1348" s="402"/>
      <c r="AKK1348" s="402"/>
      <c r="AKL1348" s="402"/>
      <c r="AKM1348" s="402"/>
      <c r="AKN1348" s="402"/>
      <c r="AKO1348" s="402"/>
      <c r="AKP1348" s="402"/>
      <c r="AKQ1348" s="402"/>
      <c r="AKR1348" s="402"/>
      <c r="AKS1348" s="402"/>
      <c r="AKT1348" s="402"/>
      <c r="AKU1348" s="402"/>
      <c r="AKV1348" s="402"/>
      <c r="AKW1348" s="402"/>
      <c r="AKX1348" s="402"/>
      <c r="AKY1348" s="402"/>
      <c r="AKZ1348" s="402"/>
      <c r="ALA1348" s="402"/>
      <c r="ALB1348" s="402"/>
      <c r="ALC1348" s="402"/>
      <c r="ALD1348" s="402"/>
      <c r="ALE1348" s="402"/>
      <c r="ALF1348" s="402"/>
      <c r="ALG1348" s="402"/>
      <c r="ALH1348" s="402"/>
      <c r="ALI1348" s="402"/>
      <c r="ALJ1348" s="402"/>
      <c r="ALK1348" s="402"/>
      <c r="ALL1348" s="402"/>
      <c r="ALM1348" s="402"/>
      <c r="ALN1348" s="402"/>
      <c r="ALO1348" s="402"/>
      <c r="ALP1348" s="402"/>
      <c r="ALQ1348" s="402"/>
      <c r="ALR1348" s="402"/>
      <c r="ALS1348" s="402"/>
      <c r="ALT1348" s="402"/>
      <c r="ALU1348" s="402"/>
      <c r="ALV1348" s="402"/>
      <c r="ALW1348" s="402"/>
      <c r="ALX1348" s="402"/>
      <c r="ALY1348" s="402"/>
      <c r="ALZ1348" s="402"/>
      <c r="AMA1348" s="402"/>
      <c r="AMB1348" s="402"/>
      <c r="AMC1348" s="402"/>
      <c r="AMD1348" s="402"/>
      <c r="AME1348" s="402"/>
      <c r="AMF1348" s="402"/>
      <c r="AMG1348" s="402"/>
      <c r="AMH1348" s="402"/>
      <c r="AMI1348" s="402"/>
      <c r="AMJ1348" s="402"/>
      <c r="AMK1348" s="402"/>
      <c r="AML1348" s="402"/>
      <c r="AMM1348" s="402"/>
      <c r="AMN1348" s="402"/>
      <c r="AMO1348" s="402"/>
      <c r="AMP1348" s="402"/>
      <c r="AMQ1348" s="402"/>
      <c r="AMR1348" s="402"/>
      <c r="AMS1348" s="402"/>
      <c r="AMT1348" s="402"/>
      <c r="AMU1348" s="402"/>
      <c r="AMV1348" s="402"/>
      <c r="AMW1348" s="402"/>
      <c r="AMX1348" s="402"/>
      <c r="AMY1348" s="402"/>
      <c r="AMZ1348" s="402"/>
      <c r="ANA1348" s="402"/>
      <c r="ANB1348" s="402"/>
      <c r="ANC1348" s="402"/>
      <c r="AND1348" s="402"/>
      <c r="ANE1348" s="402"/>
      <c r="ANF1348" s="402"/>
      <c r="ANG1348" s="402"/>
      <c r="ANH1348" s="402"/>
      <c r="ANI1348" s="402"/>
      <c r="ANJ1348" s="402"/>
      <c r="ANK1348" s="402"/>
      <c r="ANL1348" s="402"/>
      <c r="ANM1348" s="402"/>
      <c r="ANN1348" s="402"/>
      <c r="ANO1348" s="402"/>
      <c r="ANP1348" s="402"/>
      <c r="ANQ1348" s="402"/>
      <c r="ANR1348" s="402"/>
      <c r="ANS1348" s="402"/>
      <c r="ANT1348" s="402"/>
      <c r="ANU1348" s="402"/>
      <c r="ANV1348" s="402"/>
      <c r="ANW1348" s="402"/>
      <c r="ANX1348" s="402"/>
      <c r="ANY1348" s="402"/>
      <c r="ANZ1348" s="402"/>
      <c r="AOA1348" s="402"/>
      <c r="AOB1348" s="402"/>
      <c r="AOC1348" s="402"/>
      <c r="AOD1348" s="402"/>
      <c r="AOE1348" s="402"/>
      <c r="AOF1348" s="402"/>
      <c r="AOG1348" s="402"/>
      <c r="AOH1348" s="402"/>
      <c r="AOI1348" s="402"/>
      <c r="AOJ1348" s="402"/>
      <c r="AOK1348" s="402"/>
      <c r="AOL1348" s="402"/>
      <c r="AOM1348" s="402"/>
      <c r="AON1348" s="402"/>
      <c r="AOO1348" s="402"/>
      <c r="AOP1348" s="402"/>
      <c r="AOQ1348" s="402"/>
      <c r="AOR1348" s="402"/>
      <c r="AOS1348" s="402"/>
      <c r="AOT1348" s="402"/>
      <c r="AOU1348" s="402"/>
      <c r="AOV1348" s="402"/>
      <c r="AOW1348" s="402"/>
      <c r="AOX1348" s="402"/>
      <c r="AOY1348" s="402"/>
      <c r="AOZ1348" s="402"/>
      <c r="APA1348" s="402"/>
      <c r="APB1348" s="402"/>
      <c r="APC1348" s="402"/>
      <c r="APD1348" s="402"/>
      <c r="APE1348" s="402"/>
      <c r="APF1348" s="402"/>
      <c r="APG1348" s="402"/>
      <c r="APH1348" s="402"/>
      <c r="API1348" s="402"/>
      <c r="APJ1348" s="402"/>
      <c r="APK1348" s="402"/>
      <c r="APL1348" s="402"/>
      <c r="APM1348" s="402"/>
      <c r="APN1348" s="402"/>
      <c r="APO1348" s="402"/>
      <c r="APP1348" s="402"/>
      <c r="APQ1348" s="402"/>
      <c r="APR1348" s="402"/>
      <c r="APS1348" s="402"/>
      <c r="APT1348" s="402"/>
      <c r="APU1348" s="402"/>
      <c r="APV1348" s="402"/>
      <c r="APW1348" s="402"/>
      <c r="APX1348" s="402"/>
      <c r="APY1348" s="402"/>
      <c r="APZ1348" s="402"/>
      <c r="AQA1348" s="402"/>
      <c r="AQB1348" s="402"/>
      <c r="AQC1348" s="402"/>
      <c r="AQD1348" s="402"/>
      <c r="AQE1348" s="402"/>
      <c r="AQF1348" s="402"/>
      <c r="AQG1348" s="402"/>
      <c r="AQH1348" s="402"/>
      <c r="AQI1348" s="402"/>
      <c r="AQJ1348" s="402"/>
      <c r="AQK1348" s="402"/>
      <c r="AQL1348" s="402"/>
      <c r="AQM1348" s="402"/>
      <c r="AQN1348" s="402"/>
      <c r="AQO1348" s="402"/>
      <c r="AQP1348" s="402"/>
      <c r="AQQ1348" s="402"/>
      <c r="AQR1348" s="402"/>
      <c r="AQS1348" s="402"/>
      <c r="AQT1348" s="402"/>
      <c r="AQU1348" s="402"/>
      <c r="AQV1348" s="402"/>
      <c r="AQW1348" s="402"/>
      <c r="AQX1348" s="402"/>
      <c r="AQY1348" s="402"/>
      <c r="AQZ1348" s="402"/>
      <c r="ARA1348" s="402"/>
      <c r="ARB1348" s="402"/>
      <c r="ARC1348" s="402"/>
      <c r="ARD1348" s="402"/>
      <c r="ARE1348" s="402"/>
      <c r="ARF1348" s="402"/>
      <c r="ARG1348" s="402"/>
      <c r="ARH1348" s="402"/>
      <c r="ARI1348" s="402"/>
      <c r="ARJ1348" s="402"/>
      <c r="ARK1348" s="402"/>
      <c r="ARL1348" s="402"/>
      <c r="ARM1348" s="402"/>
      <c r="ARN1348" s="402"/>
      <c r="ARO1348" s="402"/>
      <c r="ARP1348" s="402"/>
      <c r="ARQ1348" s="402"/>
      <c r="ARR1348" s="402"/>
      <c r="ARS1348" s="402"/>
      <c r="ART1348" s="402"/>
      <c r="ARU1348" s="402"/>
      <c r="ARV1348" s="402"/>
      <c r="ARW1348" s="402"/>
      <c r="ARX1348" s="402"/>
      <c r="ARY1348" s="402"/>
      <c r="ARZ1348" s="402"/>
      <c r="ASA1348" s="402"/>
      <c r="ASB1348" s="402"/>
      <c r="ASC1348" s="402"/>
      <c r="ASD1348" s="402"/>
      <c r="ASE1348" s="402"/>
      <c r="ASF1348" s="402"/>
      <c r="ASG1348" s="402"/>
      <c r="ASH1348" s="402"/>
      <c r="ASI1348" s="402"/>
      <c r="ASJ1348" s="402"/>
      <c r="ASK1348" s="402"/>
      <c r="ASL1348" s="402"/>
      <c r="ASM1348" s="402"/>
      <c r="ASN1348" s="402"/>
      <c r="ASO1348" s="402"/>
      <c r="ASP1348" s="402"/>
      <c r="ASQ1348" s="402"/>
      <c r="ASR1348" s="402"/>
      <c r="ASS1348" s="402"/>
      <c r="AST1348" s="402"/>
      <c r="ASU1348" s="402"/>
      <c r="ASV1348" s="402"/>
      <c r="ASW1348" s="402"/>
      <c r="ASX1348" s="402"/>
      <c r="ASY1348" s="402"/>
      <c r="ASZ1348" s="402"/>
      <c r="ATA1348" s="402"/>
      <c r="ATB1348" s="402"/>
      <c r="ATC1348" s="402"/>
      <c r="ATD1348" s="402"/>
      <c r="ATE1348" s="402"/>
      <c r="ATF1348" s="402"/>
      <c r="ATG1348" s="402"/>
      <c r="ATH1348" s="402"/>
      <c r="ATI1348" s="402"/>
      <c r="ATJ1348" s="402"/>
      <c r="ATK1348" s="402"/>
      <c r="ATL1348" s="402"/>
      <c r="ATM1348" s="402"/>
      <c r="ATN1348" s="402"/>
      <c r="ATO1348" s="402"/>
      <c r="ATP1348" s="402"/>
      <c r="ATQ1348" s="402"/>
      <c r="ATR1348" s="402"/>
      <c r="ATS1348" s="402"/>
      <c r="ATT1348" s="402"/>
      <c r="ATU1348" s="402"/>
      <c r="ATV1348" s="402"/>
      <c r="ATW1348" s="402"/>
      <c r="ATX1348" s="402"/>
      <c r="ATY1348" s="402"/>
      <c r="ATZ1348" s="402"/>
      <c r="AUA1348" s="402"/>
      <c r="AUB1348" s="402"/>
      <c r="AUC1348" s="402"/>
      <c r="AUD1348" s="402"/>
      <c r="AUE1348" s="402"/>
      <c r="AUF1348" s="402"/>
      <c r="AUG1348" s="402"/>
      <c r="AUH1348" s="402"/>
      <c r="AUI1348" s="402"/>
      <c r="AUJ1348" s="402"/>
      <c r="AUK1348" s="402"/>
      <c r="AUL1348" s="402"/>
      <c r="AUM1348" s="402"/>
      <c r="AUN1348" s="402"/>
      <c r="AUO1348" s="402"/>
      <c r="AUP1348" s="402"/>
      <c r="AUQ1348" s="402"/>
      <c r="AUR1348" s="402"/>
      <c r="AUS1348" s="402"/>
      <c r="AUT1348" s="402"/>
      <c r="AUU1348" s="402"/>
      <c r="AUV1348" s="402"/>
      <c r="AUW1348" s="402"/>
      <c r="AUX1348" s="402"/>
      <c r="AUY1348" s="402"/>
      <c r="AUZ1348" s="402"/>
      <c r="AVA1348" s="402"/>
      <c r="AVB1348" s="402"/>
      <c r="AVC1348" s="402"/>
      <c r="AVD1348" s="402"/>
      <c r="AVE1348" s="402"/>
      <c r="AVF1348" s="402"/>
      <c r="AVG1348" s="402"/>
      <c r="AVH1348" s="402"/>
      <c r="AVI1348" s="402"/>
      <c r="AVJ1348" s="402"/>
      <c r="AVK1348" s="402"/>
    </row>
    <row r="1349" spans="1:1259" s="442" customFormat="1" ht="15" customHeight="1">
      <c r="A1349" s="403"/>
      <c r="B1349" s="403"/>
      <c r="C1349" s="403"/>
      <c r="D1349" s="443" t="s">
        <v>2480</v>
      </c>
      <c r="E1349" s="432"/>
      <c r="F1349" s="432"/>
      <c r="G1349" s="432">
        <v>2022</v>
      </c>
      <c r="H1349" s="432"/>
      <c r="I1349" s="427" t="s">
        <v>1498</v>
      </c>
      <c r="J1349" s="433"/>
      <c r="K1349" s="434" t="s">
        <v>3746</v>
      </c>
      <c r="L1349" s="432" t="s">
        <v>2518</v>
      </c>
      <c r="M1349" s="435">
        <v>44601</v>
      </c>
      <c r="N1349" s="435">
        <v>44662</v>
      </c>
      <c r="O1349" s="435"/>
      <c r="P1349" s="433"/>
      <c r="Q1349" s="433"/>
      <c r="R1349" s="433"/>
      <c r="S1349" s="432" t="s">
        <v>1940</v>
      </c>
      <c r="T1349" s="432">
        <v>60</v>
      </c>
      <c r="U1349" s="432"/>
      <c r="V1349" s="432" t="s">
        <v>973</v>
      </c>
      <c r="W1349" s="432">
        <v>400</v>
      </c>
      <c r="X1349" s="436">
        <v>416</v>
      </c>
      <c r="Y1349" s="422">
        <f t="shared" si="166"/>
        <v>166400</v>
      </c>
      <c r="Z1349" s="437">
        <v>0.54</v>
      </c>
      <c r="AA1349" s="423">
        <f t="shared" si="167"/>
        <v>89856</v>
      </c>
      <c r="AB1349" s="411"/>
      <c r="AC1349" s="412">
        <f t="shared" si="168"/>
        <v>0</v>
      </c>
      <c r="AD1349" s="439"/>
      <c r="AE1349" s="438">
        <v>3987.36</v>
      </c>
      <c r="AF1349" s="424">
        <f t="shared" si="169"/>
        <v>93843.36</v>
      </c>
      <c r="AG1349" s="432" t="s">
        <v>47</v>
      </c>
      <c r="AH1349" s="432"/>
      <c r="AI1349" s="434">
        <v>60</v>
      </c>
      <c r="AJ1349" s="432" t="s">
        <v>3742</v>
      </c>
      <c r="AK1349" s="440" t="s">
        <v>50</v>
      </c>
      <c r="AL1349" s="432">
        <v>94534</v>
      </c>
      <c r="AM1349" s="432" t="s">
        <v>52</v>
      </c>
      <c r="AN1349" s="432"/>
      <c r="AO1349" s="432"/>
      <c r="AP1349" s="441"/>
      <c r="AQ1349" s="441" t="s">
        <v>37</v>
      </c>
      <c r="AR1349" s="441"/>
      <c r="AS1349" s="426"/>
      <c r="AT1349" s="426"/>
      <c r="AU1349" s="426"/>
      <c r="AV1349" s="437">
        <f t="shared" si="170"/>
        <v>0.48000000000000004</v>
      </c>
      <c r="AW1349" s="402"/>
      <c r="AX1349" s="402"/>
      <c r="AY1349" s="402"/>
      <c r="AZ1349" s="402"/>
      <c r="BA1349" s="402"/>
      <c r="BB1349" s="402"/>
      <c r="BC1349" s="402"/>
      <c r="BD1349" s="402"/>
      <c r="BE1349" s="402"/>
      <c r="BF1349" s="402"/>
      <c r="BG1349" s="402"/>
      <c r="BH1349" s="402"/>
      <c r="BI1349" s="402"/>
      <c r="BJ1349" s="402"/>
      <c r="BK1349" s="402"/>
      <c r="BL1349" s="402"/>
      <c r="BM1349" s="402"/>
      <c r="BN1349" s="402"/>
      <c r="BO1349" s="402"/>
      <c r="BP1349" s="402"/>
      <c r="BQ1349" s="402"/>
      <c r="BR1349" s="402"/>
      <c r="BS1349" s="402"/>
      <c r="BT1349" s="402"/>
      <c r="BU1349" s="402"/>
      <c r="BV1349" s="402"/>
      <c r="BW1349" s="402"/>
      <c r="BX1349" s="402"/>
      <c r="BY1349" s="402"/>
      <c r="BZ1349" s="402"/>
      <c r="CA1349" s="402"/>
      <c r="CB1349" s="402"/>
      <c r="CC1349" s="402"/>
      <c r="CD1349" s="402"/>
      <c r="CE1349" s="402"/>
      <c r="CF1349" s="402"/>
      <c r="CG1349" s="402"/>
      <c r="CH1349" s="402"/>
      <c r="CI1349" s="402"/>
      <c r="CJ1349" s="402"/>
      <c r="CK1349" s="402"/>
      <c r="CL1349" s="402"/>
      <c r="CM1349" s="402"/>
      <c r="CN1349" s="402"/>
      <c r="CO1349" s="402"/>
      <c r="CP1349" s="402"/>
      <c r="CQ1349" s="402"/>
      <c r="CR1349" s="402"/>
      <c r="CS1349" s="402"/>
      <c r="CT1349" s="402"/>
      <c r="CU1349" s="402"/>
      <c r="CV1349" s="402"/>
      <c r="CW1349" s="402"/>
      <c r="CX1349" s="402"/>
      <c r="CY1349" s="402"/>
      <c r="CZ1349" s="402"/>
      <c r="DA1349" s="402"/>
      <c r="DB1349" s="402"/>
      <c r="DC1349" s="402"/>
      <c r="DD1349" s="402"/>
      <c r="DE1349" s="402"/>
      <c r="DF1349" s="402"/>
      <c r="DG1349" s="402"/>
      <c r="DH1349" s="402"/>
      <c r="DI1349" s="402"/>
      <c r="DJ1349" s="402"/>
      <c r="DK1349" s="402"/>
      <c r="DL1349" s="402"/>
      <c r="DM1349" s="402"/>
      <c r="DN1349" s="402"/>
      <c r="DO1349" s="402"/>
      <c r="DP1349" s="402"/>
      <c r="DQ1349" s="402"/>
      <c r="DR1349" s="402"/>
      <c r="DS1349" s="402"/>
      <c r="DT1349" s="402"/>
      <c r="DU1349" s="402"/>
      <c r="DV1349" s="402"/>
      <c r="DW1349" s="402"/>
      <c r="DX1349" s="402"/>
      <c r="DY1349" s="402"/>
      <c r="DZ1349" s="402"/>
      <c r="EA1349" s="402"/>
      <c r="EB1349" s="402"/>
      <c r="EC1349" s="402"/>
      <c r="ED1349" s="402"/>
      <c r="EE1349" s="402"/>
      <c r="EF1349" s="402"/>
      <c r="EG1349" s="402"/>
      <c r="EH1349" s="402"/>
      <c r="EI1349" s="402"/>
      <c r="EJ1349" s="402"/>
      <c r="EK1349" s="402"/>
      <c r="EL1349" s="402"/>
      <c r="EM1349" s="402"/>
      <c r="EN1349" s="402"/>
      <c r="EO1349" s="402"/>
      <c r="EP1349" s="402"/>
      <c r="EQ1349" s="402"/>
      <c r="ER1349" s="402"/>
      <c r="ES1349" s="402"/>
      <c r="ET1349" s="402"/>
      <c r="EU1349" s="402"/>
      <c r="EV1349" s="402"/>
      <c r="EW1349" s="402"/>
      <c r="EX1349" s="402"/>
      <c r="EY1349" s="402"/>
      <c r="EZ1349" s="402"/>
      <c r="FA1349" s="402"/>
      <c r="FB1349" s="402"/>
      <c r="FC1349" s="402"/>
      <c r="FD1349" s="402"/>
      <c r="FE1349" s="402"/>
      <c r="FF1349" s="402"/>
      <c r="FG1349" s="402"/>
      <c r="FH1349" s="402"/>
      <c r="FI1349" s="402"/>
      <c r="FJ1349" s="402"/>
      <c r="FK1349" s="402"/>
      <c r="FL1349" s="402"/>
      <c r="FM1349" s="402"/>
      <c r="FN1349" s="402"/>
      <c r="FO1349" s="402"/>
      <c r="FP1349" s="402"/>
      <c r="FQ1349" s="402"/>
      <c r="FR1349" s="402"/>
      <c r="FS1349" s="402"/>
      <c r="FT1349" s="402"/>
      <c r="FU1349" s="402"/>
      <c r="FV1349" s="402"/>
      <c r="FW1349" s="402"/>
      <c r="FX1349" s="402"/>
      <c r="FY1349" s="402"/>
      <c r="FZ1349" s="402"/>
      <c r="GA1349" s="402"/>
      <c r="GB1349" s="402"/>
      <c r="GC1349" s="402"/>
      <c r="GD1349" s="402"/>
      <c r="GE1349" s="402"/>
      <c r="GF1349" s="402"/>
      <c r="GG1349" s="402"/>
      <c r="GH1349" s="402"/>
      <c r="GI1349" s="402"/>
      <c r="GJ1349" s="402"/>
      <c r="GK1349" s="402"/>
      <c r="GL1349" s="402"/>
      <c r="GM1349" s="402"/>
      <c r="GN1349" s="402"/>
      <c r="GO1349" s="402"/>
      <c r="GP1349" s="402"/>
      <c r="GQ1349" s="402"/>
      <c r="GR1349" s="402"/>
      <c r="GS1349" s="402"/>
      <c r="GT1349" s="402"/>
      <c r="GU1349" s="402"/>
      <c r="GV1349" s="402"/>
      <c r="GW1349" s="402"/>
      <c r="GX1349" s="402"/>
      <c r="GY1349" s="402"/>
      <c r="GZ1349" s="402"/>
      <c r="HA1349" s="402"/>
      <c r="HB1349" s="402"/>
      <c r="HC1349" s="402"/>
      <c r="HD1349" s="402"/>
      <c r="HE1349" s="402"/>
      <c r="HF1349" s="402"/>
      <c r="HG1349" s="402"/>
      <c r="HH1349" s="402"/>
      <c r="HI1349" s="402"/>
      <c r="HJ1349" s="402"/>
      <c r="HK1349" s="402"/>
      <c r="HL1349" s="402"/>
      <c r="HM1349" s="402"/>
      <c r="HN1349" s="402"/>
      <c r="HO1349" s="402"/>
      <c r="HP1349" s="402"/>
      <c r="HQ1349" s="402"/>
      <c r="HR1349" s="402"/>
      <c r="HS1349" s="402"/>
      <c r="HT1349" s="402"/>
      <c r="HU1349" s="402"/>
      <c r="HV1349" s="402"/>
      <c r="HW1349" s="402"/>
      <c r="HX1349" s="402"/>
      <c r="HY1349" s="402"/>
      <c r="HZ1349" s="402"/>
      <c r="IA1349" s="402"/>
      <c r="IB1349" s="402"/>
      <c r="IC1349" s="402"/>
      <c r="ID1349" s="402"/>
      <c r="IE1349" s="402"/>
      <c r="IF1349" s="402"/>
      <c r="IG1349" s="402"/>
      <c r="IH1349" s="402"/>
      <c r="II1349" s="402"/>
      <c r="IJ1349" s="402"/>
      <c r="IK1349" s="402"/>
      <c r="IL1349" s="402"/>
      <c r="IM1349" s="402"/>
      <c r="IN1349" s="402"/>
      <c r="IO1349" s="402"/>
      <c r="IP1349" s="402"/>
      <c r="IQ1349" s="402"/>
      <c r="IR1349" s="402"/>
      <c r="IS1349" s="402"/>
      <c r="IT1349" s="402"/>
      <c r="IU1349" s="402"/>
      <c r="IV1349" s="402"/>
      <c r="IW1349" s="402"/>
      <c r="IX1349" s="402"/>
      <c r="IY1349" s="402"/>
      <c r="IZ1349" s="402"/>
      <c r="JA1349" s="402"/>
      <c r="JB1349" s="402"/>
      <c r="JC1349" s="402"/>
      <c r="JD1349" s="402"/>
      <c r="JE1349" s="402"/>
      <c r="JF1349" s="402"/>
      <c r="JG1349" s="402"/>
      <c r="JH1349" s="402"/>
      <c r="JI1349" s="402"/>
      <c r="JJ1349" s="402"/>
      <c r="JK1349" s="402"/>
      <c r="JL1349" s="402"/>
      <c r="JM1349" s="402"/>
      <c r="JN1349" s="402"/>
      <c r="JO1349" s="402"/>
      <c r="JP1349" s="402"/>
      <c r="JQ1349" s="402"/>
      <c r="JR1349" s="402"/>
      <c r="JS1349" s="402"/>
      <c r="JT1349" s="402"/>
      <c r="JU1349" s="402"/>
      <c r="JV1349" s="402"/>
      <c r="JW1349" s="402"/>
      <c r="JX1349" s="402"/>
      <c r="JY1349" s="402"/>
      <c r="JZ1349" s="402"/>
      <c r="KA1349" s="402"/>
      <c r="KB1349" s="402"/>
      <c r="KC1349" s="402"/>
      <c r="KD1349" s="402"/>
      <c r="KE1349" s="402"/>
      <c r="KF1349" s="402"/>
      <c r="KG1349" s="402"/>
      <c r="KH1349" s="402"/>
      <c r="KI1349" s="402"/>
      <c r="KJ1349" s="402"/>
      <c r="KK1349" s="402"/>
      <c r="KL1349" s="402"/>
      <c r="KM1349" s="402"/>
      <c r="KN1349" s="402"/>
      <c r="KO1349" s="402"/>
      <c r="KP1349" s="402"/>
      <c r="KQ1349" s="402"/>
      <c r="KR1349" s="402"/>
      <c r="KS1349" s="402"/>
      <c r="KT1349" s="402"/>
      <c r="KU1349" s="402"/>
      <c r="KV1349" s="402"/>
      <c r="KW1349" s="402"/>
      <c r="KX1349" s="402"/>
      <c r="KY1349" s="402"/>
      <c r="KZ1349" s="402"/>
      <c r="LA1349" s="402"/>
      <c r="LB1349" s="402"/>
      <c r="LC1349" s="402"/>
      <c r="LD1349" s="402"/>
      <c r="LE1349" s="402"/>
      <c r="LF1349" s="402"/>
      <c r="LG1349" s="402"/>
      <c r="LH1349" s="402"/>
      <c r="LI1349" s="402"/>
      <c r="LJ1349" s="402"/>
      <c r="LK1349" s="402"/>
      <c r="LL1349" s="402"/>
      <c r="LM1349" s="402"/>
      <c r="LN1349" s="402"/>
      <c r="LO1349" s="402"/>
      <c r="LP1349" s="402"/>
      <c r="LQ1349" s="402"/>
      <c r="LR1349" s="402"/>
      <c r="LS1349" s="402"/>
      <c r="LT1349" s="402"/>
      <c r="LU1349" s="402"/>
      <c r="LV1349" s="402"/>
      <c r="LW1349" s="402"/>
      <c r="LX1349" s="402"/>
      <c r="LY1349" s="402"/>
      <c r="LZ1349" s="402"/>
      <c r="MA1349" s="402"/>
      <c r="MB1349" s="402"/>
      <c r="MC1349" s="402"/>
      <c r="MD1349" s="402"/>
      <c r="ME1349" s="402"/>
      <c r="MF1349" s="402"/>
      <c r="MG1349" s="402"/>
      <c r="MH1349" s="402"/>
      <c r="MI1349" s="402"/>
      <c r="MJ1349" s="402"/>
      <c r="MK1349" s="402"/>
      <c r="ML1349" s="402"/>
      <c r="MM1349" s="402"/>
      <c r="MN1349" s="402"/>
      <c r="MO1349" s="402"/>
      <c r="MP1349" s="402"/>
      <c r="MQ1349" s="402"/>
      <c r="MR1349" s="402"/>
      <c r="MS1349" s="402"/>
      <c r="MT1349" s="402"/>
      <c r="MU1349" s="402"/>
      <c r="MV1349" s="402"/>
      <c r="MW1349" s="402"/>
      <c r="MX1349" s="402"/>
      <c r="MY1349" s="402"/>
      <c r="MZ1349" s="402"/>
      <c r="NA1349" s="402"/>
      <c r="NB1349" s="402"/>
      <c r="NC1349" s="402"/>
      <c r="ND1349" s="402"/>
      <c r="NE1349" s="402"/>
      <c r="NF1349" s="402"/>
      <c r="NG1349" s="402"/>
      <c r="NH1349" s="402"/>
      <c r="NI1349" s="402"/>
      <c r="NJ1349" s="402"/>
      <c r="NK1349" s="402"/>
      <c r="NL1349" s="402"/>
      <c r="NM1349" s="402"/>
      <c r="NN1349" s="402"/>
      <c r="NO1349" s="402"/>
      <c r="NP1349" s="402"/>
      <c r="NQ1349" s="402"/>
      <c r="NR1349" s="402"/>
      <c r="NS1349" s="402"/>
      <c r="NT1349" s="402"/>
      <c r="NU1349" s="402"/>
      <c r="NV1349" s="402"/>
      <c r="NW1349" s="402"/>
      <c r="NX1349" s="402"/>
      <c r="NY1349" s="402"/>
      <c r="NZ1349" s="402"/>
      <c r="OA1349" s="402"/>
      <c r="OB1349" s="402"/>
      <c r="OC1349" s="402"/>
      <c r="OD1349" s="402"/>
      <c r="OE1349" s="402"/>
      <c r="OF1349" s="402"/>
      <c r="OG1349" s="402"/>
      <c r="OH1349" s="402"/>
      <c r="OI1349" s="402"/>
      <c r="OJ1349" s="402"/>
      <c r="OK1349" s="402"/>
      <c r="OL1349" s="402"/>
      <c r="OM1349" s="402"/>
      <c r="ON1349" s="402"/>
      <c r="OO1349" s="402"/>
      <c r="OP1349" s="402"/>
      <c r="OQ1349" s="402"/>
      <c r="OR1349" s="402"/>
      <c r="OS1349" s="402"/>
      <c r="OT1349" s="402"/>
      <c r="OU1349" s="402"/>
      <c r="OV1349" s="402"/>
      <c r="OW1349" s="402"/>
      <c r="OX1349" s="402"/>
      <c r="OY1349" s="402"/>
      <c r="OZ1349" s="402"/>
      <c r="PA1349" s="402"/>
      <c r="PB1349" s="402"/>
      <c r="PC1349" s="402"/>
      <c r="PD1349" s="402"/>
      <c r="PE1349" s="402"/>
      <c r="PF1349" s="402"/>
      <c r="PG1349" s="402"/>
      <c r="PH1349" s="402"/>
      <c r="PI1349" s="402"/>
      <c r="PJ1349" s="402"/>
      <c r="PK1349" s="402"/>
      <c r="PL1349" s="402"/>
      <c r="PM1349" s="402"/>
      <c r="PN1349" s="402"/>
      <c r="PO1349" s="402"/>
      <c r="PP1349" s="402"/>
      <c r="PQ1349" s="402"/>
      <c r="PR1349" s="402"/>
      <c r="PS1349" s="402"/>
      <c r="PT1349" s="402"/>
      <c r="PU1349" s="402"/>
      <c r="PV1349" s="402"/>
      <c r="PW1349" s="402"/>
      <c r="PX1349" s="402"/>
      <c r="PY1349" s="402"/>
      <c r="PZ1349" s="402"/>
      <c r="QA1349" s="402"/>
      <c r="QB1349" s="402"/>
      <c r="QC1349" s="402"/>
      <c r="QD1349" s="402"/>
      <c r="QE1349" s="402"/>
      <c r="QF1349" s="402"/>
      <c r="QG1349" s="402"/>
      <c r="QH1349" s="402"/>
      <c r="QI1349" s="402"/>
      <c r="QJ1349" s="402"/>
      <c r="QK1349" s="402"/>
      <c r="QL1349" s="402"/>
      <c r="QM1349" s="402"/>
      <c r="QN1349" s="402"/>
      <c r="QO1349" s="402"/>
      <c r="QP1349" s="402"/>
      <c r="QQ1349" s="402"/>
      <c r="QR1349" s="402"/>
      <c r="QS1349" s="402"/>
      <c r="QT1349" s="402"/>
      <c r="QU1349" s="402"/>
      <c r="QV1349" s="402"/>
      <c r="QW1349" s="402"/>
      <c r="QX1349" s="402"/>
      <c r="QY1349" s="402"/>
      <c r="QZ1349" s="402"/>
      <c r="RA1349" s="402"/>
      <c r="RB1349" s="402"/>
      <c r="RC1349" s="402"/>
      <c r="RD1349" s="402"/>
      <c r="RE1349" s="402"/>
      <c r="RF1349" s="402"/>
      <c r="RG1349" s="402"/>
      <c r="RH1349" s="402"/>
      <c r="RI1349" s="402"/>
      <c r="RJ1349" s="402"/>
      <c r="RK1349" s="402"/>
      <c r="RL1349" s="402"/>
      <c r="RM1349" s="402"/>
      <c r="RN1349" s="402"/>
      <c r="RO1349" s="402"/>
      <c r="RP1349" s="402"/>
      <c r="RQ1349" s="402"/>
      <c r="RR1349" s="402"/>
      <c r="RS1349" s="402"/>
      <c r="RT1349" s="402"/>
      <c r="RU1349" s="402"/>
      <c r="RV1349" s="402"/>
      <c r="RW1349" s="402"/>
      <c r="RX1349" s="402"/>
      <c r="RY1349" s="402"/>
      <c r="RZ1349" s="402"/>
      <c r="SA1349" s="402"/>
      <c r="SB1349" s="402"/>
      <c r="SC1349" s="402"/>
      <c r="SD1349" s="402"/>
      <c r="SE1349" s="402"/>
      <c r="SF1349" s="402"/>
      <c r="SG1349" s="402"/>
      <c r="SH1349" s="402"/>
      <c r="SI1349" s="402"/>
      <c r="SJ1349" s="402"/>
      <c r="SK1349" s="402"/>
      <c r="SL1349" s="402"/>
      <c r="SM1349" s="402"/>
      <c r="SN1349" s="402"/>
      <c r="SO1349" s="402"/>
      <c r="SP1349" s="402"/>
      <c r="SQ1349" s="402"/>
      <c r="SR1349" s="402"/>
      <c r="SS1349" s="402"/>
      <c r="ST1349" s="402"/>
      <c r="SU1349" s="402"/>
      <c r="SV1349" s="402"/>
      <c r="SW1349" s="402"/>
      <c r="SX1349" s="402"/>
      <c r="SY1349" s="402"/>
      <c r="SZ1349" s="402"/>
      <c r="TA1349" s="402"/>
      <c r="TB1349" s="402"/>
      <c r="TC1349" s="402"/>
      <c r="TD1349" s="402"/>
      <c r="TE1349" s="402"/>
      <c r="TF1349" s="402"/>
      <c r="TG1349" s="402"/>
      <c r="TH1349" s="402"/>
      <c r="TI1349" s="402"/>
      <c r="TJ1349" s="402"/>
      <c r="TK1349" s="402"/>
      <c r="TL1349" s="402"/>
      <c r="TM1349" s="402"/>
      <c r="TN1349" s="402"/>
      <c r="TO1349" s="402"/>
      <c r="TP1349" s="402"/>
      <c r="TQ1349" s="402"/>
      <c r="TR1349" s="402"/>
      <c r="TS1349" s="402"/>
      <c r="TT1349" s="402"/>
      <c r="TU1349" s="402"/>
      <c r="TV1349" s="402"/>
      <c r="TW1349" s="402"/>
      <c r="TX1349" s="402"/>
      <c r="TY1349" s="402"/>
      <c r="TZ1349" s="402"/>
      <c r="UA1349" s="402"/>
      <c r="UB1349" s="402"/>
      <c r="UC1349" s="402"/>
      <c r="UD1349" s="402"/>
      <c r="UE1349" s="402"/>
      <c r="UF1349" s="402"/>
      <c r="UG1349" s="402"/>
      <c r="UH1349" s="402"/>
      <c r="UI1349" s="402"/>
      <c r="UJ1349" s="402"/>
      <c r="UK1349" s="402"/>
      <c r="UL1349" s="402"/>
      <c r="UM1349" s="402"/>
      <c r="UN1349" s="402"/>
      <c r="UO1349" s="402"/>
      <c r="UP1349" s="402"/>
      <c r="UQ1349" s="402"/>
      <c r="UR1349" s="402"/>
      <c r="US1349" s="402"/>
      <c r="UT1349" s="402"/>
      <c r="UU1349" s="402"/>
      <c r="UV1349" s="402"/>
      <c r="UW1349" s="402"/>
      <c r="UX1349" s="402"/>
      <c r="UY1349" s="402"/>
      <c r="UZ1349" s="402"/>
      <c r="VA1349" s="402"/>
      <c r="VB1349" s="402"/>
      <c r="VC1349" s="402"/>
      <c r="VD1349" s="402"/>
      <c r="VE1349" s="402"/>
      <c r="VF1349" s="402"/>
      <c r="VG1349" s="402"/>
      <c r="VH1349" s="402"/>
      <c r="VI1349" s="402"/>
      <c r="VJ1349" s="402"/>
      <c r="VK1349" s="402"/>
      <c r="VL1349" s="402"/>
      <c r="VM1349" s="402"/>
      <c r="VN1349" s="402"/>
      <c r="VO1349" s="402"/>
      <c r="VP1349" s="402"/>
      <c r="VQ1349" s="402"/>
      <c r="VR1349" s="402"/>
      <c r="VS1349" s="402"/>
      <c r="VT1349" s="402"/>
      <c r="VU1349" s="402"/>
      <c r="VV1349" s="402"/>
      <c r="VW1349" s="402"/>
      <c r="VX1349" s="402"/>
      <c r="VY1349" s="402"/>
      <c r="VZ1349" s="402"/>
      <c r="WA1349" s="402"/>
      <c r="WB1349" s="402"/>
      <c r="WC1349" s="402"/>
      <c r="WD1349" s="402"/>
      <c r="WE1349" s="402"/>
      <c r="WF1349" s="402"/>
      <c r="WG1349" s="402"/>
      <c r="WH1349" s="402"/>
      <c r="WI1349" s="402"/>
      <c r="WJ1349" s="402"/>
      <c r="WK1349" s="402"/>
      <c r="WL1349" s="402"/>
      <c r="WM1349" s="402"/>
      <c r="WN1349" s="402"/>
      <c r="WO1349" s="402"/>
      <c r="WP1349" s="402"/>
      <c r="WQ1349" s="402"/>
      <c r="WR1349" s="402"/>
      <c r="WS1349" s="402"/>
      <c r="WT1349" s="402"/>
      <c r="WU1349" s="402"/>
      <c r="WV1349" s="402"/>
      <c r="WW1349" s="402"/>
      <c r="WX1349" s="402"/>
      <c r="WY1349" s="402"/>
      <c r="WZ1349" s="402"/>
      <c r="XA1349" s="402"/>
      <c r="XB1349" s="402"/>
      <c r="XC1349" s="402"/>
      <c r="XD1349" s="402"/>
      <c r="XE1349" s="402"/>
      <c r="XF1349" s="402"/>
      <c r="XG1349" s="402"/>
      <c r="XH1349" s="402"/>
      <c r="XI1349" s="402"/>
      <c r="XJ1349" s="402"/>
      <c r="XK1349" s="402"/>
      <c r="XL1349" s="402"/>
      <c r="XM1349" s="402"/>
      <c r="XN1349" s="402"/>
      <c r="XO1349" s="402"/>
      <c r="XP1349" s="402"/>
      <c r="XQ1349" s="402"/>
      <c r="XR1349" s="402"/>
      <c r="XS1349" s="402"/>
      <c r="XT1349" s="402"/>
      <c r="XU1349" s="402"/>
      <c r="XV1349" s="402"/>
      <c r="XW1349" s="402"/>
      <c r="XX1349" s="402"/>
      <c r="XY1349" s="402"/>
      <c r="XZ1349" s="402"/>
      <c r="YA1349" s="402"/>
      <c r="YB1349" s="402"/>
      <c r="YC1349" s="402"/>
      <c r="YD1349" s="402"/>
      <c r="YE1349" s="402"/>
      <c r="YF1349" s="402"/>
      <c r="YG1349" s="402"/>
      <c r="YH1349" s="402"/>
      <c r="YI1349" s="402"/>
      <c r="YJ1349" s="402"/>
      <c r="YK1349" s="402"/>
      <c r="YL1349" s="402"/>
      <c r="YM1349" s="402"/>
      <c r="YN1349" s="402"/>
      <c r="YO1349" s="402"/>
      <c r="YP1349" s="402"/>
      <c r="YQ1349" s="402"/>
      <c r="YR1349" s="402"/>
      <c r="YS1349" s="402"/>
      <c r="YT1349" s="402"/>
      <c r="YU1349" s="402"/>
      <c r="YV1349" s="402"/>
      <c r="YW1349" s="402"/>
      <c r="YX1349" s="402"/>
      <c r="YY1349" s="402"/>
      <c r="YZ1349" s="402"/>
      <c r="ZA1349" s="402"/>
      <c r="ZB1349" s="402"/>
      <c r="ZC1349" s="402"/>
      <c r="ZD1349" s="402"/>
      <c r="ZE1349" s="402"/>
      <c r="ZF1349" s="402"/>
      <c r="ZG1349" s="402"/>
      <c r="ZH1349" s="402"/>
      <c r="ZI1349" s="402"/>
      <c r="ZJ1349" s="402"/>
      <c r="ZK1349" s="402"/>
      <c r="ZL1349" s="402"/>
      <c r="ZM1349" s="402"/>
      <c r="ZN1349" s="402"/>
      <c r="ZO1349" s="402"/>
      <c r="ZP1349" s="402"/>
      <c r="ZQ1349" s="402"/>
      <c r="ZR1349" s="402"/>
      <c r="ZS1349" s="402"/>
      <c r="ZT1349" s="402"/>
      <c r="ZU1349" s="402"/>
      <c r="ZV1349" s="402"/>
      <c r="ZW1349" s="402"/>
      <c r="ZX1349" s="402"/>
      <c r="ZY1349" s="402"/>
      <c r="ZZ1349" s="402"/>
      <c r="AAA1349" s="402"/>
      <c r="AAB1349" s="402"/>
      <c r="AAC1349" s="402"/>
      <c r="AAD1349" s="402"/>
      <c r="AAE1349" s="402"/>
      <c r="AAF1349" s="402"/>
      <c r="AAG1349" s="402"/>
      <c r="AAH1349" s="402"/>
      <c r="AAI1349" s="402"/>
      <c r="AAJ1349" s="402"/>
      <c r="AAK1349" s="402"/>
      <c r="AAL1349" s="402"/>
      <c r="AAM1349" s="402"/>
      <c r="AAN1349" s="402"/>
      <c r="AAO1349" s="402"/>
      <c r="AAP1349" s="402"/>
      <c r="AAQ1349" s="402"/>
      <c r="AAR1349" s="402"/>
      <c r="AAS1349" s="402"/>
      <c r="AAT1349" s="402"/>
      <c r="AAU1349" s="402"/>
      <c r="AAV1349" s="402"/>
      <c r="AAW1349" s="402"/>
      <c r="AAX1349" s="402"/>
      <c r="AAY1349" s="402"/>
      <c r="AAZ1349" s="402"/>
      <c r="ABA1349" s="402"/>
      <c r="ABB1349" s="402"/>
      <c r="ABC1349" s="402"/>
      <c r="ABD1349" s="402"/>
      <c r="ABE1349" s="402"/>
      <c r="ABF1349" s="402"/>
      <c r="ABG1349" s="402"/>
      <c r="ABH1349" s="402"/>
      <c r="ABI1349" s="402"/>
      <c r="ABJ1349" s="402"/>
      <c r="ABK1349" s="402"/>
      <c r="ABL1349" s="402"/>
      <c r="ABM1349" s="402"/>
      <c r="ABN1349" s="402"/>
      <c r="ABO1349" s="402"/>
      <c r="ABP1349" s="402"/>
      <c r="ABQ1349" s="402"/>
      <c r="ABR1349" s="402"/>
      <c r="ABS1349" s="402"/>
      <c r="ABT1349" s="402"/>
      <c r="ABU1349" s="402"/>
      <c r="ABV1349" s="402"/>
      <c r="ABW1349" s="402"/>
      <c r="ABX1349" s="402"/>
      <c r="ABY1349" s="402"/>
      <c r="ABZ1349" s="402"/>
      <c r="ACA1349" s="402"/>
      <c r="ACB1349" s="402"/>
      <c r="ACC1349" s="402"/>
      <c r="ACD1349" s="402"/>
      <c r="ACE1349" s="402"/>
      <c r="ACF1349" s="402"/>
      <c r="ACG1349" s="402"/>
      <c r="ACH1349" s="402"/>
      <c r="ACI1349" s="402"/>
      <c r="ACJ1349" s="402"/>
      <c r="ACK1349" s="402"/>
      <c r="ACL1349" s="402"/>
      <c r="ACM1349" s="402"/>
      <c r="ACN1349" s="402"/>
      <c r="ACO1349" s="402"/>
      <c r="ACP1349" s="402"/>
      <c r="ACQ1349" s="402"/>
      <c r="ACR1349" s="402"/>
      <c r="ACS1349" s="402"/>
      <c r="ACT1349" s="402"/>
      <c r="ACU1349" s="402"/>
      <c r="ACV1349" s="402"/>
      <c r="ACW1349" s="402"/>
      <c r="ACX1349" s="402"/>
      <c r="ACY1349" s="402"/>
      <c r="ACZ1349" s="402"/>
      <c r="ADA1349" s="402"/>
      <c r="ADB1349" s="402"/>
      <c r="ADC1349" s="402"/>
      <c r="ADD1349" s="402"/>
      <c r="ADE1349" s="402"/>
      <c r="ADF1349" s="402"/>
      <c r="ADG1349" s="402"/>
      <c r="ADH1349" s="402"/>
      <c r="ADI1349" s="402"/>
      <c r="ADJ1349" s="402"/>
      <c r="ADK1349" s="402"/>
      <c r="ADL1349" s="402"/>
      <c r="ADM1349" s="402"/>
      <c r="ADN1349" s="402"/>
      <c r="ADO1349" s="402"/>
      <c r="ADP1349" s="402"/>
      <c r="ADQ1349" s="402"/>
      <c r="ADR1349" s="402"/>
      <c r="ADS1349" s="402"/>
      <c r="ADT1349" s="402"/>
      <c r="ADU1349" s="402"/>
      <c r="ADV1349" s="402"/>
      <c r="ADW1349" s="402"/>
      <c r="ADX1349" s="402"/>
      <c r="ADY1349" s="402"/>
      <c r="ADZ1349" s="402"/>
      <c r="AEA1349" s="402"/>
      <c r="AEB1349" s="402"/>
      <c r="AEC1349" s="402"/>
      <c r="AED1349" s="402"/>
      <c r="AEE1349" s="402"/>
      <c r="AEF1349" s="402"/>
      <c r="AEG1349" s="402"/>
      <c r="AEH1349" s="402"/>
      <c r="AEI1349" s="402"/>
      <c r="AEJ1349" s="402"/>
      <c r="AEK1349" s="402"/>
      <c r="AEL1349" s="402"/>
      <c r="AEM1349" s="402"/>
      <c r="AEN1349" s="402"/>
      <c r="AEO1349" s="402"/>
      <c r="AEP1349" s="402"/>
      <c r="AEQ1349" s="402"/>
      <c r="AER1349" s="402"/>
      <c r="AES1349" s="402"/>
      <c r="AET1349" s="402"/>
      <c r="AEU1349" s="402"/>
      <c r="AEV1349" s="402"/>
      <c r="AEW1349" s="402"/>
      <c r="AEX1349" s="402"/>
      <c r="AEY1349" s="402"/>
      <c r="AEZ1349" s="402"/>
      <c r="AFA1349" s="402"/>
      <c r="AFB1349" s="402"/>
      <c r="AFC1349" s="402"/>
      <c r="AFD1349" s="402"/>
      <c r="AFE1349" s="402"/>
      <c r="AFF1349" s="402"/>
      <c r="AFG1349" s="402"/>
      <c r="AFH1349" s="402"/>
      <c r="AFI1349" s="402"/>
      <c r="AFJ1349" s="402"/>
      <c r="AFK1349" s="402"/>
      <c r="AFL1349" s="402"/>
      <c r="AFM1349" s="402"/>
      <c r="AFN1349" s="402"/>
      <c r="AFO1349" s="402"/>
      <c r="AFP1349" s="402"/>
      <c r="AFQ1349" s="402"/>
      <c r="AFR1349" s="402"/>
      <c r="AFS1349" s="402"/>
      <c r="AFT1349" s="402"/>
      <c r="AFU1349" s="402"/>
      <c r="AFV1349" s="402"/>
      <c r="AFW1349" s="402"/>
      <c r="AFX1349" s="402"/>
      <c r="AFY1349" s="402"/>
      <c r="AFZ1349" s="402"/>
      <c r="AGA1349" s="402"/>
      <c r="AGB1349" s="402"/>
      <c r="AGC1349" s="402"/>
      <c r="AGD1349" s="402"/>
      <c r="AGE1349" s="402"/>
      <c r="AGF1349" s="402"/>
      <c r="AGG1349" s="402"/>
      <c r="AGH1349" s="402"/>
      <c r="AGI1349" s="402"/>
      <c r="AGJ1349" s="402"/>
      <c r="AGK1349" s="402"/>
      <c r="AGL1349" s="402"/>
      <c r="AGM1349" s="402"/>
      <c r="AGN1349" s="402"/>
      <c r="AGO1349" s="402"/>
      <c r="AGP1349" s="402"/>
      <c r="AGQ1349" s="402"/>
      <c r="AGR1349" s="402"/>
      <c r="AGS1349" s="402"/>
      <c r="AGT1349" s="402"/>
      <c r="AGU1349" s="402"/>
      <c r="AGV1349" s="402"/>
      <c r="AGW1349" s="402"/>
      <c r="AGX1349" s="402"/>
      <c r="AGY1349" s="402"/>
      <c r="AGZ1349" s="402"/>
      <c r="AHA1349" s="402"/>
      <c r="AHB1349" s="402"/>
      <c r="AHC1349" s="402"/>
      <c r="AHD1349" s="402"/>
      <c r="AHE1349" s="402"/>
      <c r="AHF1349" s="402"/>
      <c r="AHG1349" s="402"/>
      <c r="AHH1349" s="402"/>
      <c r="AHI1349" s="402"/>
      <c r="AHJ1349" s="402"/>
      <c r="AHK1349" s="402"/>
      <c r="AHL1349" s="402"/>
      <c r="AHM1349" s="402"/>
      <c r="AHN1349" s="402"/>
      <c r="AHO1349" s="402"/>
      <c r="AHP1349" s="402"/>
      <c r="AHQ1349" s="402"/>
      <c r="AHR1349" s="402"/>
      <c r="AHS1349" s="402"/>
      <c r="AHT1349" s="402"/>
      <c r="AHU1349" s="402"/>
      <c r="AHV1349" s="402"/>
      <c r="AHW1349" s="402"/>
      <c r="AHX1349" s="402"/>
      <c r="AHY1349" s="402"/>
      <c r="AHZ1349" s="402"/>
      <c r="AIA1349" s="402"/>
      <c r="AIB1349" s="402"/>
      <c r="AIC1349" s="402"/>
      <c r="AID1349" s="402"/>
      <c r="AIE1349" s="402"/>
      <c r="AIF1349" s="402"/>
      <c r="AIG1349" s="402"/>
      <c r="AIH1349" s="402"/>
      <c r="AII1349" s="402"/>
      <c r="AIJ1349" s="402"/>
      <c r="AIK1349" s="402"/>
      <c r="AIL1349" s="402"/>
      <c r="AIM1349" s="402"/>
      <c r="AIN1349" s="402"/>
      <c r="AIO1349" s="402"/>
      <c r="AIP1349" s="402"/>
      <c r="AIQ1349" s="402"/>
      <c r="AIR1349" s="402"/>
      <c r="AIS1349" s="402"/>
      <c r="AIT1349" s="402"/>
      <c r="AIU1349" s="402"/>
      <c r="AIV1349" s="402"/>
      <c r="AIW1349" s="402"/>
      <c r="AIX1349" s="402"/>
      <c r="AIY1349" s="402"/>
      <c r="AIZ1349" s="402"/>
      <c r="AJA1349" s="402"/>
      <c r="AJB1349" s="402"/>
      <c r="AJC1349" s="402"/>
      <c r="AJD1349" s="402"/>
      <c r="AJE1349" s="402"/>
      <c r="AJF1349" s="402"/>
      <c r="AJG1349" s="402"/>
      <c r="AJH1349" s="402"/>
      <c r="AJI1349" s="402"/>
      <c r="AJJ1349" s="402"/>
      <c r="AJK1349" s="402"/>
      <c r="AJL1349" s="402"/>
      <c r="AJM1349" s="402"/>
      <c r="AJN1349" s="402"/>
      <c r="AJO1349" s="402"/>
      <c r="AJP1349" s="402"/>
      <c r="AJQ1349" s="402"/>
      <c r="AJR1349" s="402"/>
      <c r="AJS1349" s="402"/>
      <c r="AJT1349" s="402"/>
      <c r="AJU1349" s="402"/>
      <c r="AJV1349" s="402"/>
      <c r="AJW1349" s="402"/>
      <c r="AJX1349" s="402"/>
      <c r="AJY1349" s="402"/>
      <c r="AJZ1349" s="402"/>
      <c r="AKA1349" s="402"/>
      <c r="AKB1349" s="402"/>
      <c r="AKC1349" s="402"/>
      <c r="AKD1349" s="402"/>
      <c r="AKE1349" s="402"/>
      <c r="AKF1349" s="402"/>
      <c r="AKG1349" s="402"/>
      <c r="AKH1349" s="402"/>
      <c r="AKI1349" s="402"/>
      <c r="AKJ1349" s="402"/>
      <c r="AKK1349" s="402"/>
      <c r="AKL1349" s="402"/>
      <c r="AKM1349" s="402"/>
      <c r="AKN1349" s="402"/>
      <c r="AKO1349" s="402"/>
      <c r="AKP1349" s="402"/>
      <c r="AKQ1349" s="402"/>
      <c r="AKR1349" s="402"/>
      <c r="AKS1349" s="402"/>
      <c r="AKT1349" s="402"/>
      <c r="AKU1349" s="402"/>
      <c r="AKV1349" s="402"/>
      <c r="AKW1349" s="402"/>
      <c r="AKX1349" s="402"/>
      <c r="AKY1349" s="402"/>
      <c r="AKZ1349" s="402"/>
      <c r="ALA1349" s="402"/>
      <c r="ALB1349" s="402"/>
      <c r="ALC1349" s="402"/>
      <c r="ALD1349" s="402"/>
      <c r="ALE1349" s="402"/>
      <c r="ALF1349" s="402"/>
      <c r="ALG1349" s="402"/>
      <c r="ALH1349" s="402"/>
      <c r="ALI1349" s="402"/>
      <c r="ALJ1349" s="402"/>
      <c r="ALK1349" s="402"/>
      <c r="ALL1349" s="402"/>
      <c r="ALM1349" s="402"/>
      <c r="ALN1349" s="402"/>
      <c r="ALO1349" s="402"/>
      <c r="ALP1349" s="402"/>
      <c r="ALQ1349" s="402"/>
      <c r="ALR1349" s="402"/>
      <c r="ALS1349" s="402"/>
      <c r="ALT1349" s="402"/>
      <c r="ALU1349" s="402"/>
      <c r="ALV1349" s="402"/>
      <c r="ALW1349" s="402"/>
      <c r="ALX1349" s="402"/>
      <c r="ALY1349" s="402"/>
      <c r="ALZ1349" s="402"/>
      <c r="AMA1349" s="402"/>
      <c r="AMB1349" s="402"/>
      <c r="AMC1349" s="402"/>
      <c r="AMD1349" s="402"/>
      <c r="AME1349" s="402"/>
      <c r="AMF1349" s="402"/>
      <c r="AMG1349" s="402"/>
      <c r="AMH1349" s="402"/>
      <c r="AMI1349" s="402"/>
      <c r="AMJ1349" s="402"/>
      <c r="AMK1349" s="402"/>
      <c r="AML1349" s="402"/>
      <c r="AMM1349" s="402"/>
      <c r="AMN1349" s="402"/>
      <c r="AMO1349" s="402"/>
      <c r="AMP1349" s="402"/>
      <c r="AMQ1349" s="402"/>
      <c r="AMR1349" s="402"/>
      <c r="AMS1349" s="402"/>
      <c r="AMT1349" s="402"/>
      <c r="AMU1349" s="402"/>
      <c r="AMV1349" s="402"/>
      <c r="AMW1349" s="402"/>
      <c r="AMX1349" s="402"/>
      <c r="AMY1349" s="402"/>
      <c r="AMZ1349" s="402"/>
      <c r="ANA1349" s="402"/>
      <c r="ANB1349" s="402"/>
      <c r="ANC1349" s="402"/>
      <c r="AND1349" s="402"/>
      <c r="ANE1349" s="402"/>
      <c r="ANF1349" s="402"/>
      <c r="ANG1349" s="402"/>
      <c r="ANH1349" s="402"/>
      <c r="ANI1349" s="402"/>
      <c r="ANJ1349" s="402"/>
      <c r="ANK1349" s="402"/>
      <c r="ANL1349" s="402"/>
      <c r="ANM1349" s="402"/>
      <c r="ANN1349" s="402"/>
      <c r="ANO1349" s="402"/>
      <c r="ANP1349" s="402"/>
      <c r="ANQ1349" s="402"/>
      <c r="ANR1349" s="402"/>
      <c r="ANS1349" s="402"/>
      <c r="ANT1349" s="402"/>
      <c r="ANU1349" s="402"/>
      <c r="ANV1349" s="402"/>
      <c r="ANW1349" s="402"/>
      <c r="ANX1349" s="402"/>
      <c r="ANY1349" s="402"/>
      <c r="ANZ1349" s="402"/>
      <c r="AOA1349" s="402"/>
      <c r="AOB1349" s="402"/>
      <c r="AOC1349" s="402"/>
      <c r="AOD1349" s="402"/>
      <c r="AOE1349" s="402"/>
      <c r="AOF1349" s="402"/>
      <c r="AOG1349" s="402"/>
      <c r="AOH1349" s="402"/>
      <c r="AOI1349" s="402"/>
      <c r="AOJ1349" s="402"/>
      <c r="AOK1349" s="402"/>
      <c r="AOL1349" s="402"/>
      <c r="AOM1349" s="402"/>
      <c r="AON1349" s="402"/>
      <c r="AOO1349" s="402"/>
      <c r="AOP1349" s="402"/>
      <c r="AOQ1349" s="402"/>
      <c r="AOR1349" s="402"/>
      <c r="AOS1349" s="402"/>
      <c r="AOT1349" s="402"/>
      <c r="AOU1349" s="402"/>
      <c r="AOV1349" s="402"/>
      <c r="AOW1349" s="402"/>
      <c r="AOX1349" s="402"/>
      <c r="AOY1349" s="402"/>
      <c r="AOZ1349" s="402"/>
      <c r="APA1349" s="402"/>
      <c r="APB1349" s="402"/>
      <c r="APC1349" s="402"/>
      <c r="APD1349" s="402"/>
      <c r="APE1349" s="402"/>
      <c r="APF1349" s="402"/>
      <c r="APG1349" s="402"/>
      <c r="APH1349" s="402"/>
      <c r="API1349" s="402"/>
      <c r="APJ1349" s="402"/>
      <c r="APK1349" s="402"/>
      <c r="APL1349" s="402"/>
      <c r="APM1349" s="402"/>
      <c r="APN1349" s="402"/>
      <c r="APO1349" s="402"/>
      <c r="APP1349" s="402"/>
      <c r="APQ1349" s="402"/>
      <c r="APR1349" s="402"/>
      <c r="APS1349" s="402"/>
      <c r="APT1349" s="402"/>
      <c r="APU1349" s="402"/>
      <c r="APV1349" s="402"/>
      <c r="APW1349" s="402"/>
      <c r="APX1349" s="402"/>
      <c r="APY1349" s="402"/>
      <c r="APZ1349" s="402"/>
      <c r="AQA1349" s="402"/>
      <c r="AQB1349" s="402"/>
      <c r="AQC1349" s="402"/>
      <c r="AQD1349" s="402"/>
      <c r="AQE1349" s="402"/>
      <c r="AQF1349" s="402"/>
      <c r="AQG1349" s="402"/>
      <c r="AQH1349" s="402"/>
      <c r="AQI1349" s="402"/>
      <c r="AQJ1349" s="402"/>
      <c r="AQK1349" s="402"/>
      <c r="AQL1349" s="402"/>
      <c r="AQM1349" s="402"/>
      <c r="AQN1349" s="402"/>
      <c r="AQO1349" s="402"/>
      <c r="AQP1349" s="402"/>
      <c r="AQQ1349" s="402"/>
      <c r="AQR1349" s="402"/>
      <c r="AQS1349" s="402"/>
      <c r="AQT1349" s="402"/>
      <c r="AQU1349" s="402"/>
      <c r="AQV1349" s="402"/>
      <c r="AQW1349" s="402"/>
      <c r="AQX1349" s="402"/>
      <c r="AQY1349" s="402"/>
      <c r="AQZ1349" s="402"/>
      <c r="ARA1349" s="402"/>
      <c r="ARB1349" s="402"/>
      <c r="ARC1349" s="402"/>
      <c r="ARD1349" s="402"/>
      <c r="ARE1349" s="402"/>
      <c r="ARF1349" s="402"/>
      <c r="ARG1349" s="402"/>
      <c r="ARH1349" s="402"/>
      <c r="ARI1349" s="402"/>
      <c r="ARJ1349" s="402"/>
      <c r="ARK1349" s="402"/>
      <c r="ARL1349" s="402"/>
      <c r="ARM1349" s="402"/>
      <c r="ARN1349" s="402"/>
      <c r="ARO1349" s="402"/>
      <c r="ARP1349" s="402"/>
      <c r="ARQ1349" s="402"/>
      <c r="ARR1349" s="402"/>
      <c r="ARS1349" s="402"/>
      <c r="ART1349" s="402"/>
      <c r="ARU1349" s="402"/>
      <c r="ARV1349" s="402"/>
      <c r="ARW1349" s="402"/>
      <c r="ARX1349" s="402"/>
      <c r="ARY1349" s="402"/>
      <c r="ARZ1349" s="402"/>
      <c r="ASA1349" s="402"/>
      <c r="ASB1349" s="402"/>
      <c r="ASC1349" s="402"/>
      <c r="ASD1349" s="402"/>
      <c r="ASE1349" s="402"/>
      <c r="ASF1349" s="402"/>
      <c r="ASG1349" s="402"/>
      <c r="ASH1349" s="402"/>
      <c r="ASI1349" s="402"/>
      <c r="ASJ1349" s="402"/>
      <c r="ASK1349" s="402"/>
      <c r="ASL1349" s="402"/>
      <c r="ASM1349" s="402"/>
      <c r="ASN1349" s="402"/>
      <c r="ASO1349" s="402"/>
      <c r="ASP1349" s="402"/>
      <c r="ASQ1349" s="402"/>
      <c r="ASR1349" s="402"/>
      <c r="ASS1349" s="402"/>
      <c r="AST1349" s="402"/>
      <c r="ASU1349" s="402"/>
      <c r="ASV1349" s="402"/>
      <c r="ASW1349" s="402"/>
      <c r="ASX1349" s="402"/>
      <c r="ASY1349" s="402"/>
      <c r="ASZ1349" s="402"/>
      <c r="ATA1349" s="402"/>
      <c r="ATB1349" s="402"/>
      <c r="ATC1349" s="402"/>
      <c r="ATD1349" s="402"/>
      <c r="ATE1349" s="402"/>
      <c r="ATF1349" s="402"/>
      <c r="ATG1349" s="402"/>
      <c r="ATH1349" s="402"/>
      <c r="ATI1349" s="402"/>
      <c r="ATJ1349" s="402"/>
      <c r="ATK1349" s="402"/>
      <c r="ATL1349" s="402"/>
      <c r="ATM1349" s="402"/>
      <c r="ATN1349" s="402"/>
      <c r="ATO1349" s="402"/>
      <c r="ATP1349" s="402"/>
      <c r="ATQ1349" s="402"/>
      <c r="ATR1349" s="402"/>
      <c r="ATS1349" s="402"/>
      <c r="ATT1349" s="402"/>
      <c r="ATU1349" s="402"/>
      <c r="ATV1349" s="402"/>
      <c r="ATW1349" s="402"/>
      <c r="ATX1349" s="402"/>
      <c r="ATY1349" s="402"/>
      <c r="ATZ1349" s="402"/>
      <c r="AUA1349" s="402"/>
      <c r="AUB1349" s="402"/>
      <c r="AUC1349" s="402"/>
      <c r="AUD1349" s="402"/>
      <c r="AUE1349" s="402"/>
      <c r="AUF1349" s="402"/>
      <c r="AUG1349" s="402"/>
      <c r="AUH1349" s="402"/>
      <c r="AUI1349" s="402"/>
      <c r="AUJ1349" s="402"/>
      <c r="AUK1349" s="402"/>
      <c r="AUL1349" s="402"/>
      <c r="AUM1349" s="402"/>
      <c r="AUN1349" s="402"/>
      <c r="AUO1349" s="402"/>
      <c r="AUP1349" s="402"/>
      <c r="AUQ1349" s="402"/>
      <c r="AUR1349" s="402"/>
      <c r="AUS1349" s="402"/>
      <c r="AUT1349" s="402"/>
      <c r="AUU1349" s="402"/>
      <c r="AUV1349" s="402"/>
      <c r="AUW1349" s="402"/>
      <c r="AUX1349" s="402"/>
      <c r="AUY1349" s="402"/>
      <c r="AUZ1349" s="402"/>
      <c r="AVA1349" s="402"/>
      <c r="AVB1349" s="402"/>
      <c r="AVC1349" s="402"/>
      <c r="AVD1349" s="402"/>
      <c r="AVE1349" s="402"/>
      <c r="AVF1349" s="402"/>
      <c r="AVG1349" s="402"/>
      <c r="AVH1349" s="402"/>
      <c r="AVI1349" s="402"/>
      <c r="AVJ1349" s="402"/>
      <c r="AVK1349" s="402"/>
    </row>
    <row r="1350" spans="1:1259" s="442" customFormat="1" ht="15" customHeight="1">
      <c r="A1350" s="403"/>
      <c r="B1350" s="403"/>
      <c r="C1350" s="403"/>
      <c r="D1350" s="443" t="s">
        <v>2480</v>
      </c>
      <c r="E1350" s="432"/>
      <c r="F1350" s="432"/>
      <c r="G1350" s="432">
        <v>2022</v>
      </c>
      <c r="H1350" s="432"/>
      <c r="I1350" s="427" t="s">
        <v>1498</v>
      </c>
      <c r="J1350" s="433"/>
      <c r="K1350" s="434" t="s">
        <v>3747</v>
      </c>
      <c r="L1350" s="432" t="s">
        <v>2518</v>
      </c>
      <c r="M1350" s="435">
        <v>44601</v>
      </c>
      <c r="N1350" s="435">
        <v>44669</v>
      </c>
      <c r="O1350" s="435"/>
      <c r="P1350" s="433"/>
      <c r="Q1350" s="433"/>
      <c r="R1350" s="433"/>
      <c r="S1350" s="432" t="s">
        <v>1940</v>
      </c>
      <c r="T1350" s="432">
        <v>60</v>
      </c>
      <c r="U1350" s="432"/>
      <c r="V1350" s="432" t="s">
        <v>973</v>
      </c>
      <c r="W1350" s="432">
        <v>400</v>
      </c>
      <c r="X1350" s="436">
        <v>416</v>
      </c>
      <c r="Y1350" s="422">
        <f t="shared" si="166"/>
        <v>166400</v>
      </c>
      <c r="Z1350" s="437">
        <v>0.54</v>
      </c>
      <c r="AA1350" s="423">
        <f t="shared" si="167"/>
        <v>89856</v>
      </c>
      <c r="AB1350" s="411"/>
      <c r="AC1350" s="412">
        <f t="shared" si="168"/>
        <v>0</v>
      </c>
      <c r="AD1350" s="439"/>
      <c r="AE1350" s="438">
        <v>3987.36</v>
      </c>
      <c r="AF1350" s="424">
        <f t="shared" si="169"/>
        <v>93843.36</v>
      </c>
      <c r="AG1350" s="432" t="s">
        <v>47</v>
      </c>
      <c r="AH1350" s="432"/>
      <c r="AI1350" s="434">
        <v>60</v>
      </c>
      <c r="AJ1350" s="432" t="s">
        <v>3742</v>
      </c>
      <c r="AK1350" s="440" t="s">
        <v>50</v>
      </c>
      <c r="AL1350" s="432">
        <v>94534</v>
      </c>
      <c r="AM1350" s="432" t="s">
        <v>52</v>
      </c>
      <c r="AN1350" s="432"/>
      <c r="AO1350" s="432"/>
      <c r="AP1350" s="441"/>
      <c r="AQ1350" s="441" t="s">
        <v>37</v>
      </c>
      <c r="AR1350" s="441"/>
      <c r="AS1350" s="426"/>
      <c r="AT1350" s="426"/>
      <c r="AU1350" s="426"/>
      <c r="AV1350" s="437">
        <f t="shared" si="170"/>
        <v>0.48000000000000004</v>
      </c>
      <c r="AW1350" s="402"/>
      <c r="AX1350" s="402"/>
      <c r="AY1350" s="402"/>
      <c r="AZ1350" s="402"/>
      <c r="BA1350" s="402"/>
      <c r="BB1350" s="402"/>
      <c r="BC1350" s="402"/>
      <c r="BD1350" s="402"/>
      <c r="BE1350" s="402"/>
      <c r="BF1350" s="402"/>
      <c r="BG1350" s="402"/>
      <c r="BH1350" s="402"/>
      <c r="BI1350" s="402"/>
      <c r="BJ1350" s="402"/>
      <c r="BK1350" s="402"/>
      <c r="BL1350" s="402"/>
      <c r="BM1350" s="402"/>
      <c r="BN1350" s="402"/>
      <c r="BO1350" s="402"/>
      <c r="BP1350" s="402"/>
      <c r="BQ1350" s="402"/>
      <c r="BR1350" s="402"/>
      <c r="BS1350" s="402"/>
      <c r="BT1350" s="402"/>
      <c r="BU1350" s="402"/>
      <c r="BV1350" s="402"/>
      <c r="BW1350" s="402"/>
      <c r="BX1350" s="402"/>
      <c r="BY1350" s="402"/>
      <c r="BZ1350" s="402"/>
      <c r="CA1350" s="402"/>
      <c r="CB1350" s="402"/>
      <c r="CC1350" s="402"/>
      <c r="CD1350" s="402"/>
      <c r="CE1350" s="402"/>
      <c r="CF1350" s="402"/>
      <c r="CG1350" s="402"/>
      <c r="CH1350" s="402"/>
      <c r="CI1350" s="402"/>
      <c r="CJ1350" s="402"/>
      <c r="CK1350" s="402"/>
      <c r="CL1350" s="402"/>
      <c r="CM1350" s="402"/>
      <c r="CN1350" s="402"/>
      <c r="CO1350" s="402"/>
      <c r="CP1350" s="402"/>
      <c r="CQ1350" s="402"/>
      <c r="CR1350" s="402"/>
      <c r="CS1350" s="402"/>
      <c r="CT1350" s="402"/>
      <c r="CU1350" s="402"/>
      <c r="CV1350" s="402"/>
      <c r="CW1350" s="402"/>
      <c r="CX1350" s="402"/>
      <c r="CY1350" s="402"/>
      <c r="CZ1350" s="402"/>
      <c r="DA1350" s="402"/>
      <c r="DB1350" s="402"/>
      <c r="DC1350" s="402"/>
      <c r="DD1350" s="402"/>
      <c r="DE1350" s="402"/>
      <c r="DF1350" s="402"/>
      <c r="DG1350" s="402"/>
      <c r="DH1350" s="402"/>
      <c r="DI1350" s="402"/>
      <c r="DJ1350" s="402"/>
      <c r="DK1350" s="402"/>
      <c r="DL1350" s="402"/>
      <c r="DM1350" s="402"/>
      <c r="DN1350" s="402"/>
      <c r="DO1350" s="402"/>
      <c r="DP1350" s="402"/>
      <c r="DQ1350" s="402"/>
      <c r="DR1350" s="402"/>
      <c r="DS1350" s="402"/>
      <c r="DT1350" s="402"/>
      <c r="DU1350" s="402"/>
      <c r="DV1350" s="402"/>
      <c r="DW1350" s="402"/>
      <c r="DX1350" s="402"/>
      <c r="DY1350" s="402"/>
      <c r="DZ1350" s="402"/>
      <c r="EA1350" s="402"/>
      <c r="EB1350" s="402"/>
      <c r="EC1350" s="402"/>
      <c r="ED1350" s="402"/>
      <c r="EE1350" s="402"/>
      <c r="EF1350" s="402"/>
      <c r="EG1350" s="402"/>
      <c r="EH1350" s="402"/>
      <c r="EI1350" s="402"/>
      <c r="EJ1350" s="402"/>
      <c r="EK1350" s="402"/>
      <c r="EL1350" s="402"/>
      <c r="EM1350" s="402"/>
      <c r="EN1350" s="402"/>
      <c r="EO1350" s="402"/>
      <c r="EP1350" s="402"/>
      <c r="EQ1350" s="402"/>
      <c r="ER1350" s="402"/>
      <c r="ES1350" s="402"/>
      <c r="ET1350" s="402"/>
      <c r="EU1350" s="402"/>
      <c r="EV1350" s="402"/>
      <c r="EW1350" s="402"/>
      <c r="EX1350" s="402"/>
      <c r="EY1350" s="402"/>
      <c r="EZ1350" s="402"/>
      <c r="FA1350" s="402"/>
      <c r="FB1350" s="402"/>
      <c r="FC1350" s="402"/>
      <c r="FD1350" s="402"/>
      <c r="FE1350" s="402"/>
      <c r="FF1350" s="402"/>
      <c r="FG1350" s="402"/>
      <c r="FH1350" s="402"/>
      <c r="FI1350" s="402"/>
      <c r="FJ1350" s="402"/>
      <c r="FK1350" s="402"/>
      <c r="FL1350" s="402"/>
      <c r="FM1350" s="402"/>
      <c r="FN1350" s="402"/>
      <c r="FO1350" s="402"/>
      <c r="FP1350" s="402"/>
      <c r="FQ1350" s="402"/>
      <c r="FR1350" s="402"/>
      <c r="FS1350" s="402"/>
      <c r="FT1350" s="402"/>
      <c r="FU1350" s="402"/>
      <c r="FV1350" s="402"/>
      <c r="FW1350" s="402"/>
      <c r="FX1350" s="402"/>
      <c r="FY1350" s="402"/>
      <c r="FZ1350" s="402"/>
      <c r="GA1350" s="402"/>
      <c r="GB1350" s="402"/>
      <c r="GC1350" s="402"/>
      <c r="GD1350" s="402"/>
      <c r="GE1350" s="402"/>
      <c r="GF1350" s="402"/>
      <c r="GG1350" s="402"/>
      <c r="GH1350" s="402"/>
      <c r="GI1350" s="402"/>
      <c r="GJ1350" s="402"/>
      <c r="GK1350" s="402"/>
      <c r="GL1350" s="402"/>
      <c r="GM1350" s="402"/>
      <c r="GN1350" s="402"/>
      <c r="GO1350" s="402"/>
      <c r="GP1350" s="402"/>
      <c r="GQ1350" s="402"/>
      <c r="GR1350" s="402"/>
      <c r="GS1350" s="402"/>
      <c r="GT1350" s="402"/>
      <c r="GU1350" s="402"/>
      <c r="GV1350" s="402"/>
      <c r="GW1350" s="402"/>
      <c r="GX1350" s="402"/>
      <c r="GY1350" s="402"/>
      <c r="GZ1350" s="402"/>
      <c r="HA1350" s="402"/>
      <c r="HB1350" s="402"/>
      <c r="HC1350" s="402"/>
      <c r="HD1350" s="402"/>
      <c r="HE1350" s="402"/>
      <c r="HF1350" s="402"/>
      <c r="HG1350" s="402"/>
      <c r="HH1350" s="402"/>
      <c r="HI1350" s="402"/>
      <c r="HJ1350" s="402"/>
      <c r="HK1350" s="402"/>
      <c r="HL1350" s="402"/>
      <c r="HM1350" s="402"/>
      <c r="HN1350" s="402"/>
      <c r="HO1350" s="402"/>
      <c r="HP1350" s="402"/>
      <c r="HQ1350" s="402"/>
      <c r="HR1350" s="402"/>
      <c r="HS1350" s="402"/>
      <c r="HT1350" s="402"/>
      <c r="HU1350" s="402"/>
      <c r="HV1350" s="402"/>
      <c r="HW1350" s="402"/>
      <c r="HX1350" s="402"/>
      <c r="HY1350" s="402"/>
      <c r="HZ1350" s="402"/>
      <c r="IA1350" s="402"/>
      <c r="IB1350" s="402"/>
      <c r="IC1350" s="402"/>
      <c r="ID1350" s="402"/>
      <c r="IE1350" s="402"/>
      <c r="IF1350" s="402"/>
      <c r="IG1350" s="402"/>
      <c r="IH1350" s="402"/>
      <c r="II1350" s="402"/>
      <c r="IJ1350" s="402"/>
      <c r="IK1350" s="402"/>
      <c r="IL1350" s="402"/>
      <c r="IM1350" s="402"/>
      <c r="IN1350" s="402"/>
      <c r="IO1350" s="402"/>
      <c r="IP1350" s="402"/>
      <c r="IQ1350" s="402"/>
      <c r="IR1350" s="402"/>
      <c r="IS1350" s="402"/>
      <c r="IT1350" s="402"/>
      <c r="IU1350" s="402"/>
      <c r="IV1350" s="402"/>
      <c r="IW1350" s="402"/>
      <c r="IX1350" s="402"/>
      <c r="IY1350" s="402"/>
      <c r="IZ1350" s="402"/>
      <c r="JA1350" s="402"/>
      <c r="JB1350" s="402"/>
      <c r="JC1350" s="402"/>
      <c r="JD1350" s="402"/>
      <c r="JE1350" s="402"/>
      <c r="JF1350" s="402"/>
      <c r="JG1350" s="402"/>
      <c r="JH1350" s="402"/>
      <c r="JI1350" s="402"/>
      <c r="JJ1350" s="402"/>
      <c r="JK1350" s="402"/>
      <c r="JL1350" s="402"/>
      <c r="JM1350" s="402"/>
      <c r="JN1350" s="402"/>
      <c r="JO1350" s="402"/>
      <c r="JP1350" s="402"/>
      <c r="JQ1350" s="402"/>
      <c r="JR1350" s="402"/>
      <c r="JS1350" s="402"/>
      <c r="JT1350" s="402"/>
      <c r="JU1350" s="402"/>
      <c r="JV1350" s="402"/>
      <c r="JW1350" s="402"/>
      <c r="JX1350" s="402"/>
      <c r="JY1350" s="402"/>
      <c r="JZ1350" s="402"/>
      <c r="KA1350" s="402"/>
      <c r="KB1350" s="402"/>
      <c r="KC1350" s="402"/>
      <c r="KD1350" s="402"/>
      <c r="KE1350" s="402"/>
      <c r="KF1350" s="402"/>
      <c r="KG1350" s="402"/>
      <c r="KH1350" s="402"/>
      <c r="KI1350" s="402"/>
      <c r="KJ1350" s="402"/>
      <c r="KK1350" s="402"/>
      <c r="KL1350" s="402"/>
      <c r="KM1350" s="402"/>
      <c r="KN1350" s="402"/>
      <c r="KO1350" s="402"/>
      <c r="KP1350" s="402"/>
      <c r="KQ1350" s="402"/>
      <c r="KR1350" s="402"/>
      <c r="KS1350" s="402"/>
      <c r="KT1350" s="402"/>
      <c r="KU1350" s="402"/>
      <c r="KV1350" s="402"/>
      <c r="KW1350" s="402"/>
      <c r="KX1350" s="402"/>
      <c r="KY1350" s="402"/>
      <c r="KZ1350" s="402"/>
      <c r="LA1350" s="402"/>
      <c r="LB1350" s="402"/>
      <c r="LC1350" s="402"/>
      <c r="LD1350" s="402"/>
      <c r="LE1350" s="402"/>
      <c r="LF1350" s="402"/>
      <c r="LG1350" s="402"/>
      <c r="LH1350" s="402"/>
      <c r="LI1350" s="402"/>
      <c r="LJ1350" s="402"/>
      <c r="LK1350" s="402"/>
      <c r="LL1350" s="402"/>
      <c r="LM1350" s="402"/>
      <c r="LN1350" s="402"/>
      <c r="LO1350" s="402"/>
      <c r="LP1350" s="402"/>
      <c r="LQ1350" s="402"/>
      <c r="LR1350" s="402"/>
      <c r="LS1350" s="402"/>
      <c r="LT1350" s="402"/>
      <c r="LU1350" s="402"/>
      <c r="LV1350" s="402"/>
      <c r="LW1350" s="402"/>
      <c r="LX1350" s="402"/>
      <c r="LY1350" s="402"/>
      <c r="LZ1350" s="402"/>
      <c r="MA1350" s="402"/>
      <c r="MB1350" s="402"/>
      <c r="MC1350" s="402"/>
      <c r="MD1350" s="402"/>
      <c r="ME1350" s="402"/>
      <c r="MF1350" s="402"/>
      <c r="MG1350" s="402"/>
      <c r="MH1350" s="402"/>
      <c r="MI1350" s="402"/>
      <c r="MJ1350" s="402"/>
      <c r="MK1350" s="402"/>
      <c r="ML1350" s="402"/>
      <c r="MM1350" s="402"/>
      <c r="MN1350" s="402"/>
      <c r="MO1350" s="402"/>
      <c r="MP1350" s="402"/>
      <c r="MQ1350" s="402"/>
      <c r="MR1350" s="402"/>
      <c r="MS1350" s="402"/>
      <c r="MT1350" s="402"/>
      <c r="MU1350" s="402"/>
      <c r="MV1350" s="402"/>
      <c r="MW1350" s="402"/>
      <c r="MX1350" s="402"/>
      <c r="MY1350" s="402"/>
      <c r="MZ1350" s="402"/>
      <c r="NA1350" s="402"/>
      <c r="NB1350" s="402"/>
      <c r="NC1350" s="402"/>
      <c r="ND1350" s="402"/>
      <c r="NE1350" s="402"/>
      <c r="NF1350" s="402"/>
      <c r="NG1350" s="402"/>
      <c r="NH1350" s="402"/>
      <c r="NI1350" s="402"/>
      <c r="NJ1350" s="402"/>
      <c r="NK1350" s="402"/>
      <c r="NL1350" s="402"/>
      <c r="NM1350" s="402"/>
      <c r="NN1350" s="402"/>
      <c r="NO1350" s="402"/>
      <c r="NP1350" s="402"/>
      <c r="NQ1350" s="402"/>
      <c r="NR1350" s="402"/>
      <c r="NS1350" s="402"/>
      <c r="NT1350" s="402"/>
      <c r="NU1350" s="402"/>
      <c r="NV1350" s="402"/>
      <c r="NW1350" s="402"/>
      <c r="NX1350" s="402"/>
      <c r="NY1350" s="402"/>
      <c r="NZ1350" s="402"/>
      <c r="OA1350" s="402"/>
      <c r="OB1350" s="402"/>
      <c r="OC1350" s="402"/>
      <c r="OD1350" s="402"/>
      <c r="OE1350" s="402"/>
      <c r="OF1350" s="402"/>
      <c r="OG1350" s="402"/>
      <c r="OH1350" s="402"/>
      <c r="OI1350" s="402"/>
      <c r="OJ1350" s="402"/>
      <c r="OK1350" s="402"/>
      <c r="OL1350" s="402"/>
      <c r="OM1350" s="402"/>
      <c r="ON1350" s="402"/>
      <c r="OO1350" s="402"/>
      <c r="OP1350" s="402"/>
      <c r="OQ1350" s="402"/>
      <c r="OR1350" s="402"/>
      <c r="OS1350" s="402"/>
      <c r="OT1350" s="402"/>
      <c r="OU1350" s="402"/>
      <c r="OV1350" s="402"/>
      <c r="OW1350" s="402"/>
      <c r="OX1350" s="402"/>
      <c r="OY1350" s="402"/>
      <c r="OZ1350" s="402"/>
      <c r="PA1350" s="402"/>
      <c r="PB1350" s="402"/>
      <c r="PC1350" s="402"/>
      <c r="PD1350" s="402"/>
      <c r="PE1350" s="402"/>
      <c r="PF1350" s="402"/>
      <c r="PG1350" s="402"/>
      <c r="PH1350" s="402"/>
      <c r="PI1350" s="402"/>
      <c r="PJ1350" s="402"/>
      <c r="PK1350" s="402"/>
      <c r="PL1350" s="402"/>
      <c r="PM1350" s="402"/>
      <c r="PN1350" s="402"/>
      <c r="PO1350" s="402"/>
      <c r="PP1350" s="402"/>
      <c r="PQ1350" s="402"/>
      <c r="PR1350" s="402"/>
      <c r="PS1350" s="402"/>
      <c r="PT1350" s="402"/>
      <c r="PU1350" s="402"/>
      <c r="PV1350" s="402"/>
      <c r="PW1350" s="402"/>
      <c r="PX1350" s="402"/>
      <c r="PY1350" s="402"/>
      <c r="PZ1350" s="402"/>
      <c r="QA1350" s="402"/>
      <c r="QB1350" s="402"/>
      <c r="QC1350" s="402"/>
      <c r="QD1350" s="402"/>
      <c r="QE1350" s="402"/>
      <c r="QF1350" s="402"/>
      <c r="QG1350" s="402"/>
      <c r="QH1350" s="402"/>
      <c r="QI1350" s="402"/>
      <c r="QJ1350" s="402"/>
      <c r="QK1350" s="402"/>
      <c r="QL1350" s="402"/>
      <c r="QM1350" s="402"/>
      <c r="QN1350" s="402"/>
      <c r="QO1350" s="402"/>
      <c r="QP1350" s="402"/>
      <c r="QQ1350" s="402"/>
      <c r="QR1350" s="402"/>
      <c r="QS1350" s="402"/>
      <c r="QT1350" s="402"/>
      <c r="QU1350" s="402"/>
      <c r="QV1350" s="402"/>
      <c r="QW1350" s="402"/>
      <c r="QX1350" s="402"/>
      <c r="QY1350" s="402"/>
      <c r="QZ1350" s="402"/>
      <c r="RA1350" s="402"/>
      <c r="RB1350" s="402"/>
      <c r="RC1350" s="402"/>
      <c r="RD1350" s="402"/>
      <c r="RE1350" s="402"/>
      <c r="RF1350" s="402"/>
      <c r="RG1350" s="402"/>
      <c r="RH1350" s="402"/>
      <c r="RI1350" s="402"/>
      <c r="RJ1350" s="402"/>
      <c r="RK1350" s="402"/>
      <c r="RL1350" s="402"/>
      <c r="RM1350" s="402"/>
      <c r="RN1350" s="402"/>
      <c r="RO1350" s="402"/>
      <c r="RP1350" s="402"/>
      <c r="RQ1350" s="402"/>
      <c r="RR1350" s="402"/>
      <c r="RS1350" s="402"/>
      <c r="RT1350" s="402"/>
      <c r="RU1350" s="402"/>
      <c r="RV1350" s="402"/>
      <c r="RW1350" s="402"/>
      <c r="RX1350" s="402"/>
      <c r="RY1350" s="402"/>
      <c r="RZ1350" s="402"/>
      <c r="SA1350" s="402"/>
      <c r="SB1350" s="402"/>
      <c r="SC1350" s="402"/>
      <c r="SD1350" s="402"/>
      <c r="SE1350" s="402"/>
      <c r="SF1350" s="402"/>
      <c r="SG1350" s="402"/>
      <c r="SH1350" s="402"/>
      <c r="SI1350" s="402"/>
      <c r="SJ1350" s="402"/>
      <c r="SK1350" s="402"/>
      <c r="SL1350" s="402"/>
      <c r="SM1350" s="402"/>
      <c r="SN1350" s="402"/>
      <c r="SO1350" s="402"/>
      <c r="SP1350" s="402"/>
      <c r="SQ1350" s="402"/>
      <c r="SR1350" s="402"/>
      <c r="SS1350" s="402"/>
      <c r="ST1350" s="402"/>
      <c r="SU1350" s="402"/>
      <c r="SV1350" s="402"/>
      <c r="SW1350" s="402"/>
      <c r="SX1350" s="402"/>
      <c r="SY1350" s="402"/>
      <c r="SZ1350" s="402"/>
      <c r="TA1350" s="402"/>
      <c r="TB1350" s="402"/>
      <c r="TC1350" s="402"/>
      <c r="TD1350" s="402"/>
      <c r="TE1350" s="402"/>
      <c r="TF1350" s="402"/>
      <c r="TG1350" s="402"/>
      <c r="TH1350" s="402"/>
      <c r="TI1350" s="402"/>
      <c r="TJ1350" s="402"/>
      <c r="TK1350" s="402"/>
      <c r="TL1350" s="402"/>
      <c r="TM1350" s="402"/>
      <c r="TN1350" s="402"/>
      <c r="TO1350" s="402"/>
      <c r="TP1350" s="402"/>
      <c r="TQ1350" s="402"/>
      <c r="TR1350" s="402"/>
      <c r="TS1350" s="402"/>
      <c r="TT1350" s="402"/>
      <c r="TU1350" s="402"/>
      <c r="TV1350" s="402"/>
      <c r="TW1350" s="402"/>
      <c r="TX1350" s="402"/>
      <c r="TY1350" s="402"/>
      <c r="TZ1350" s="402"/>
      <c r="UA1350" s="402"/>
      <c r="UB1350" s="402"/>
      <c r="UC1350" s="402"/>
      <c r="UD1350" s="402"/>
      <c r="UE1350" s="402"/>
      <c r="UF1350" s="402"/>
      <c r="UG1350" s="402"/>
      <c r="UH1350" s="402"/>
      <c r="UI1350" s="402"/>
      <c r="UJ1350" s="402"/>
      <c r="UK1350" s="402"/>
      <c r="UL1350" s="402"/>
      <c r="UM1350" s="402"/>
      <c r="UN1350" s="402"/>
      <c r="UO1350" s="402"/>
      <c r="UP1350" s="402"/>
      <c r="UQ1350" s="402"/>
      <c r="UR1350" s="402"/>
      <c r="US1350" s="402"/>
      <c r="UT1350" s="402"/>
      <c r="UU1350" s="402"/>
      <c r="UV1350" s="402"/>
      <c r="UW1350" s="402"/>
      <c r="UX1350" s="402"/>
      <c r="UY1350" s="402"/>
      <c r="UZ1350" s="402"/>
      <c r="VA1350" s="402"/>
      <c r="VB1350" s="402"/>
      <c r="VC1350" s="402"/>
      <c r="VD1350" s="402"/>
      <c r="VE1350" s="402"/>
      <c r="VF1350" s="402"/>
      <c r="VG1350" s="402"/>
      <c r="VH1350" s="402"/>
      <c r="VI1350" s="402"/>
      <c r="VJ1350" s="402"/>
      <c r="VK1350" s="402"/>
      <c r="VL1350" s="402"/>
      <c r="VM1350" s="402"/>
      <c r="VN1350" s="402"/>
      <c r="VO1350" s="402"/>
      <c r="VP1350" s="402"/>
      <c r="VQ1350" s="402"/>
      <c r="VR1350" s="402"/>
      <c r="VS1350" s="402"/>
      <c r="VT1350" s="402"/>
      <c r="VU1350" s="402"/>
      <c r="VV1350" s="402"/>
      <c r="VW1350" s="402"/>
      <c r="VX1350" s="402"/>
      <c r="VY1350" s="402"/>
      <c r="VZ1350" s="402"/>
      <c r="WA1350" s="402"/>
      <c r="WB1350" s="402"/>
      <c r="WC1350" s="402"/>
      <c r="WD1350" s="402"/>
      <c r="WE1350" s="402"/>
      <c r="WF1350" s="402"/>
      <c r="WG1350" s="402"/>
      <c r="WH1350" s="402"/>
      <c r="WI1350" s="402"/>
      <c r="WJ1350" s="402"/>
      <c r="WK1350" s="402"/>
      <c r="WL1350" s="402"/>
      <c r="WM1350" s="402"/>
      <c r="WN1350" s="402"/>
      <c r="WO1350" s="402"/>
      <c r="WP1350" s="402"/>
      <c r="WQ1350" s="402"/>
      <c r="WR1350" s="402"/>
      <c r="WS1350" s="402"/>
      <c r="WT1350" s="402"/>
      <c r="WU1350" s="402"/>
      <c r="WV1350" s="402"/>
      <c r="WW1350" s="402"/>
      <c r="WX1350" s="402"/>
      <c r="WY1350" s="402"/>
      <c r="WZ1350" s="402"/>
      <c r="XA1350" s="402"/>
      <c r="XB1350" s="402"/>
      <c r="XC1350" s="402"/>
      <c r="XD1350" s="402"/>
      <c r="XE1350" s="402"/>
      <c r="XF1350" s="402"/>
      <c r="XG1350" s="402"/>
      <c r="XH1350" s="402"/>
      <c r="XI1350" s="402"/>
      <c r="XJ1350" s="402"/>
      <c r="XK1350" s="402"/>
      <c r="XL1350" s="402"/>
      <c r="XM1350" s="402"/>
      <c r="XN1350" s="402"/>
      <c r="XO1350" s="402"/>
      <c r="XP1350" s="402"/>
      <c r="XQ1350" s="402"/>
      <c r="XR1350" s="402"/>
      <c r="XS1350" s="402"/>
      <c r="XT1350" s="402"/>
      <c r="XU1350" s="402"/>
      <c r="XV1350" s="402"/>
      <c r="XW1350" s="402"/>
      <c r="XX1350" s="402"/>
      <c r="XY1350" s="402"/>
      <c r="XZ1350" s="402"/>
      <c r="YA1350" s="402"/>
      <c r="YB1350" s="402"/>
      <c r="YC1350" s="402"/>
      <c r="YD1350" s="402"/>
      <c r="YE1350" s="402"/>
      <c r="YF1350" s="402"/>
      <c r="YG1350" s="402"/>
      <c r="YH1350" s="402"/>
      <c r="YI1350" s="402"/>
      <c r="YJ1350" s="402"/>
      <c r="YK1350" s="402"/>
      <c r="YL1350" s="402"/>
      <c r="YM1350" s="402"/>
      <c r="YN1350" s="402"/>
      <c r="YO1350" s="402"/>
      <c r="YP1350" s="402"/>
      <c r="YQ1350" s="402"/>
      <c r="YR1350" s="402"/>
      <c r="YS1350" s="402"/>
      <c r="YT1350" s="402"/>
      <c r="YU1350" s="402"/>
      <c r="YV1350" s="402"/>
      <c r="YW1350" s="402"/>
      <c r="YX1350" s="402"/>
      <c r="YY1350" s="402"/>
      <c r="YZ1350" s="402"/>
      <c r="ZA1350" s="402"/>
      <c r="ZB1350" s="402"/>
      <c r="ZC1350" s="402"/>
      <c r="ZD1350" s="402"/>
      <c r="ZE1350" s="402"/>
      <c r="ZF1350" s="402"/>
      <c r="ZG1350" s="402"/>
      <c r="ZH1350" s="402"/>
      <c r="ZI1350" s="402"/>
      <c r="ZJ1350" s="402"/>
      <c r="ZK1350" s="402"/>
      <c r="ZL1350" s="402"/>
      <c r="ZM1350" s="402"/>
      <c r="ZN1350" s="402"/>
      <c r="ZO1350" s="402"/>
      <c r="ZP1350" s="402"/>
      <c r="ZQ1350" s="402"/>
      <c r="ZR1350" s="402"/>
      <c r="ZS1350" s="402"/>
      <c r="ZT1350" s="402"/>
      <c r="ZU1350" s="402"/>
      <c r="ZV1350" s="402"/>
      <c r="ZW1350" s="402"/>
      <c r="ZX1350" s="402"/>
      <c r="ZY1350" s="402"/>
      <c r="ZZ1350" s="402"/>
      <c r="AAA1350" s="402"/>
      <c r="AAB1350" s="402"/>
      <c r="AAC1350" s="402"/>
      <c r="AAD1350" s="402"/>
      <c r="AAE1350" s="402"/>
      <c r="AAF1350" s="402"/>
      <c r="AAG1350" s="402"/>
      <c r="AAH1350" s="402"/>
      <c r="AAI1350" s="402"/>
      <c r="AAJ1350" s="402"/>
      <c r="AAK1350" s="402"/>
      <c r="AAL1350" s="402"/>
      <c r="AAM1350" s="402"/>
      <c r="AAN1350" s="402"/>
      <c r="AAO1350" s="402"/>
      <c r="AAP1350" s="402"/>
      <c r="AAQ1350" s="402"/>
      <c r="AAR1350" s="402"/>
      <c r="AAS1350" s="402"/>
      <c r="AAT1350" s="402"/>
      <c r="AAU1350" s="402"/>
      <c r="AAV1350" s="402"/>
      <c r="AAW1350" s="402"/>
      <c r="AAX1350" s="402"/>
      <c r="AAY1350" s="402"/>
      <c r="AAZ1350" s="402"/>
      <c r="ABA1350" s="402"/>
      <c r="ABB1350" s="402"/>
      <c r="ABC1350" s="402"/>
      <c r="ABD1350" s="402"/>
      <c r="ABE1350" s="402"/>
      <c r="ABF1350" s="402"/>
      <c r="ABG1350" s="402"/>
      <c r="ABH1350" s="402"/>
      <c r="ABI1350" s="402"/>
      <c r="ABJ1350" s="402"/>
      <c r="ABK1350" s="402"/>
      <c r="ABL1350" s="402"/>
      <c r="ABM1350" s="402"/>
      <c r="ABN1350" s="402"/>
      <c r="ABO1350" s="402"/>
      <c r="ABP1350" s="402"/>
      <c r="ABQ1350" s="402"/>
      <c r="ABR1350" s="402"/>
      <c r="ABS1350" s="402"/>
      <c r="ABT1350" s="402"/>
      <c r="ABU1350" s="402"/>
      <c r="ABV1350" s="402"/>
      <c r="ABW1350" s="402"/>
      <c r="ABX1350" s="402"/>
      <c r="ABY1350" s="402"/>
      <c r="ABZ1350" s="402"/>
      <c r="ACA1350" s="402"/>
      <c r="ACB1350" s="402"/>
      <c r="ACC1350" s="402"/>
      <c r="ACD1350" s="402"/>
      <c r="ACE1350" s="402"/>
      <c r="ACF1350" s="402"/>
      <c r="ACG1350" s="402"/>
      <c r="ACH1350" s="402"/>
      <c r="ACI1350" s="402"/>
      <c r="ACJ1350" s="402"/>
      <c r="ACK1350" s="402"/>
      <c r="ACL1350" s="402"/>
      <c r="ACM1350" s="402"/>
      <c r="ACN1350" s="402"/>
      <c r="ACO1350" s="402"/>
      <c r="ACP1350" s="402"/>
      <c r="ACQ1350" s="402"/>
      <c r="ACR1350" s="402"/>
      <c r="ACS1350" s="402"/>
      <c r="ACT1350" s="402"/>
      <c r="ACU1350" s="402"/>
      <c r="ACV1350" s="402"/>
      <c r="ACW1350" s="402"/>
      <c r="ACX1350" s="402"/>
      <c r="ACY1350" s="402"/>
      <c r="ACZ1350" s="402"/>
      <c r="ADA1350" s="402"/>
      <c r="ADB1350" s="402"/>
      <c r="ADC1350" s="402"/>
      <c r="ADD1350" s="402"/>
      <c r="ADE1350" s="402"/>
      <c r="ADF1350" s="402"/>
      <c r="ADG1350" s="402"/>
      <c r="ADH1350" s="402"/>
      <c r="ADI1350" s="402"/>
      <c r="ADJ1350" s="402"/>
      <c r="ADK1350" s="402"/>
      <c r="ADL1350" s="402"/>
      <c r="ADM1350" s="402"/>
      <c r="ADN1350" s="402"/>
      <c r="ADO1350" s="402"/>
      <c r="ADP1350" s="402"/>
      <c r="ADQ1350" s="402"/>
      <c r="ADR1350" s="402"/>
      <c r="ADS1350" s="402"/>
      <c r="ADT1350" s="402"/>
      <c r="ADU1350" s="402"/>
      <c r="ADV1350" s="402"/>
      <c r="ADW1350" s="402"/>
      <c r="ADX1350" s="402"/>
      <c r="ADY1350" s="402"/>
      <c r="ADZ1350" s="402"/>
      <c r="AEA1350" s="402"/>
      <c r="AEB1350" s="402"/>
      <c r="AEC1350" s="402"/>
      <c r="AED1350" s="402"/>
      <c r="AEE1350" s="402"/>
      <c r="AEF1350" s="402"/>
      <c r="AEG1350" s="402"/>
      <c r="AEH1350" s="402"/>
      <c r="AEI1350" s="402"/>
      <c r="AEJ1350" s="402"/>
      <c r="AEK1350" s="402"/>
      <c r="AEL1350" s="402"/>
      <c r="AEM1350" s="402"/>
      <c r="AEN1350" s="402"/>
      <c r="AEO1350" s="402"/>
      <c r="AEP1350" s="402"/>
      <c r="AEQ1350" s="402"/>
      <c r="AER1350" s="402"/>
      <c r="AES1350" s="402"/>
      <c r="AET1350" s="402"/>
      <c r="AEU1350" s="402"/>
      <c r="AEV1350" s="402"/>
      <c r="AEW1350" s="402"/>
      <c r="AEX1350" s="402"/>
      <c r="AEY1350" s="402"/>
      <c r="AEZ1350" s="402"/>
      <c r="AFA1350" s="402"/>
      <c r="AFB1350" s="402"/>
      <c r="AFC1350" s="402"/>
      <c r="AFD1350" s="402"/>
      <c r="AFE1350" s="402"/>
      <c r="AFF1350" s="402"/>
      <c r="AFG1350" s="402"/>
      <c r="AFH1350" s="402"/>
      <c r="AFI1350" s="402"/>
      <c r="AFJ1350" s="402"/>
      <c r="AFK1350" s="402"/>
      <c r="AFL1350" s="402"/>
      <c r="AFM1350" s="402"/>
      <c r="AFN1350" s="402"/>
      <c r="AFO1350" s="402"/>
      <c r="AFP1350" s="402"/>
      <c r="AFQ1350" s="402"/>
      <c r="AFR1350" s="402"/>
      <c r="AFS1350" s="402"/>
      <c r="AFT1350" s="402"/>
      <c r="AFU1350" s="402"/>
      <c r="AFV1350" s="402"/>
      <c r="AFW1350" s="402"/>
      <c r="AFX1350" s="402"/>
      <c r="AFY1350" s="402"/>
      <c r="AFZ1350" s="402"/>
      <c r="AGA1350" s="402"/>
      <c r="AGB1350" s="402"/>
      <c r="AGC1350" s="402"/>
      <c r="AGD1350" s="402"/>
      <c r="AGE1350" s="402"/>
      <c r="AGF1350" s="402"/>
      <c r="AGG1350" s="402"/>
      <c r="AGH1350" s="402"/>
      <c r="AGI1350" s="402"/>
      <c r="AGJ1350" s="402"/>
      <c r="AGK1350" s="402"/>
      <c r="AGL1350" s="402"/>
      <c r="AGM1350" s="402"/>
      <c r="AGN1350" s="402"/>
      <c r="AGO1350" s="402"/>
      <c r="AGP1350" s="402"/>
      <c r="AGQ1350" s="402"/>
      <c r="AGR1350" s="402"/>
      <c r="AGS1350" s="402"/>
      <c r="AGT1350" s="402"/>
      <c r="AGU1350" s="402"/>
      <c r="AGV1350" s="402"/>
      <c r="AGW1350" s="402"/>
      <c r="AGX1350" s="402"/>
      <c r="AGY1350" s="402"/>
      <c r="AGZ1350" s="402"/>
      <c r="AHA1350" s="402"/>
      <c r="AHB1350" s="402"/>
      <c r="AHC1350" s="402"/>
      <c r="AHD1350" s="402"/>
      <c r="AHE1350" s="402"/>
      <c r="AHF1350" s="402"/>
      <c r="AHG1350" s="402"/>
      <c r="AHH1350" s="402"/>
      <c r="AHI1350" s="402"/>
      <c r="AHJ1350" s="402"/>
      <c r="AHK1350" s="402"/>
      <c r="AHL1350" s="402"/>
      <c r="AHM1350" s="402"/>
      <c r="AHN1350" s="402"/>
      <c r="AHO1350" s="402"/>
      <c r="AHP1350" s="402"/>
      <c r="AHQ1350" s="402"/>
      <c r="AHR1350" s="402"/>
      <c r="AHS1350" s="402"/>
      <c r="AHT1350" s="402"/>
      <c r="AHU1350" s="402"/>
      <c r="AHV1350" s="402"/>
      <c r="AHW1350" s="402"/>
      <c r="AHX1350" s="402"/>
      <c r="AHY1350" s="402"/>
      <c r="AHZ1350" s="402"/>
      <c r="AIA1350" s="402"/>
      <c r="AIB1350" s="402"/>
      <c r="AIC1350" s="402"/>
      <c r="AID1350" s="402"/>
      <c r="AIE1350" s="402"/>
      <c r="AIF1350" s="402"/>
      <c r="AIG1350" s="402"/>
      <c r="AIH1350" s="402"/>
      <c r="AII1350" s="402"/>
      <c r="AIJ1350" s="402"/>
      <c r="AIK1350" s="402"/>
      <c r="AIL1350" s="402"/>
      <c r="AIM1350" s="402"/>
      <c r="AIN1350" s="402"/>
      <c r="AIO1350" s="402"/>
      <c r="AIP1350" s="402"/>
      <c r="AIQ1350" s="402"/>
      <c r="AIR1350" s="402"/>
      <c r="AIS1350" s="402"/>
      <c r="AIT1350" s="402"/>
      <c r="AIU1350" s="402"/>
      <c r="AIV1350" s="402"/>
      <c r="AIW1350" s="402"/>
      <c r="AIX1350" s="402"/>
      <c r="AIY1350" s="402"/>
      <c r="AIZ1350" s="402"/>
      <c r="AJA1350" s="402"/>
      <c r="AJB1350" s="402"/>
      <c r="AJC1350" s="402"/>
      <c r="AJD1350" s="402"/>
      <c r="AJE1350" s="402"/>
      <c r="AJF1350" s="402"/>
      <c r="AJG1350" s="402"/>
      <c r="AJH1350" s="402"/>
      <c r="AJI1350" s="402"/>
      <c r="AJJ1350" s="402"/>
      <c r="AJK1350" s="402"/>
      <c r="AJL1350" s="402"/>
      <c r="AJM1350" s="402"/>
      <c r="AJN1350" s="402"/>
      <c r="AJO1350" s="402"/>
      <c r="AJP1350" s="402"/>
      <c r="AJQ1350" s="402"/>
      <c r="AJR1350" s="402"/>
      <c r="AJS1350" s="402"/>
      <c r="AJT1350" s="402"/>
      <c r="AJU1350" s="402"/>
      <c r="AJV1350" s="402"/>
      <c r="AJW1350" s="402"/>
      <c r="AJX1350" s="402"/>
      <c r="AJY1350" s="402"/>
      <c r="AJZ1350" s="402"/>
      <c r="AKA1350" s="402"/>
      <c r="AKB1350" s="402"/>
      <c r="AKC1350" s="402"/>
      <c r="AKD1350" s="402"/>
      <c r="AKE1350" s="402"/>
      <c r="AKF1350" s="402"/>
      <c r="AKG1350" s="402"/>
      <c r="AKH1350" s="402"/>
      <c r="AKI1350" s="402"/>
      <c r="AKJ1350" s="402"/>
      <c r="AKK1350" s="402"/>
      <c r="AKL1350" s="402"/>
      <c r="AKM1350" s="402"/>
      <c r="AKN1350" s="402"/>
      <c r="AKO1350" s="402"/>
      <c r="AKP1350" s="402"/>
      <c r="AKQ1350" s="402"/>
      <c r="AKR1350" s="402"/>
      <c r="AKS1350" s="402"/>
      <c r="AKT1350" s="402"/>
      <c r="AKU1350" s="402"/>
      <c r="AKV1350" s="402"/>
      <c r="AKW1350" s="402"/>
      <c r="AKX1350" s="402"/>
      <c r="AKY1350" s="402"/>
      <c r="AKZ1350" s="402"/>
      <c r="ALA1350" s="402"/>
      <c r="ALB1350" s="402"/>
      <c r="ALC1350" s="402"/>
      <c r="ALD1350" s="402"/>
      <c r="ALE1350" s="402"/>
      <c r="ALF1350" s="402"/>
      <c r="ALG1350" s="402"/>
      <c r="ALH1350" s="402"/>
      <c r="ALI1350" s="402"/>
      <c r="ALJ1350" s="402"/>
      <c r="ALK1350" s="402"/>
      <c r="ALL1350" s="402"/>
      <c r="ALM1350" s="402"/>
      <c r="ALN1350" s="402"/>
      <c r="ALO1350" s="402"/>
      <c r="ALP1350" s="402"/>
      <c r="ALQ1350" s="402"/>
      <c r="ALR1350" s="402"/>
      <c r="ALS1350" s="402"/>
      <c r="ALT1350" s="402"/>
      <c r="ALU1350" s="402"/>
      <c r="ALV1350" s="402"/>
      <c r="ALW1350" s="402"/>
      <c r="ALX1350" s="402"/>
      <c r="ALY1350" s="402"/>
      <c r="ALZ1350" s="402"/>
      <c r="AMA1350" s="402"/>
      <c r="AMB1350" s="402"/>
      <c r="AMC1350" s="402"/>
      <c r="AMD1350" s="402"/>
      <c r="AME1350" s="402"/>
      <c r="AMF1350" s="402"/>
      <c r="AMG1350" s="402"/>
      <c r="AMH1350" s="402"/>
      <c r="AMI1350" s="402"/>
      <c r="AMJ1350" s="402"/>
      <c r="AMK1350" s="402"/>
      <c r="AML1350" s="402"/>
      <c r="AMM1350" s="402"/>
      <c r="AMN1350" s="402"/>
      <c r="AMO1350" s="402"/>
      <c r="AMP1350" s="402"/>
      <c r="AMQ1350" s="402"/>
      <c r="AMR1350" s="402"/>
      <c r="AMS1350" s="402"/>
      <c r="AMT1350" s="402"/>
      <c r="AMU1350" s="402"/>
      <c r="AMV1350" s="402"/>
      <c r="AMW1350" s="402"/>
      <c r="AMX1350" s="402"/>
      <c r="AMY1350" s="402"/>
      <c r="AMZ1350" s="402"/>
      <c r="ANA1350" s="402"/>
      <c r="ANB1350" s="402"/>
      <c r="ANC1350" s="402"/>
      <c r="AND1350" s="402"/>
      <c r="ANE1350" s="402"/>
      <c r="ANF1350" s="402"/>
      <c r="ANG1350" s="402"/>
      <c r="ANH1350" s="402"/>
      <c r="ANI1350" s="402"/>
      <c r="ANJ1350" s="402"/>
      <c r="ANK1350" s="402"/>
      <c r="ANL1350" s="402"/>
      <c r="ANM1350" s="402"/>
      <c r="ANN1350" s="402"/>
      <c r="ANO1350" s="402"/>
      <c r="ANP1350" s="402"/>
      <c r="ANQ1350" s="402"/>
      <c r="ANR1350" s="402"/>
      <c r="ANS1350" s="402"/>
      <c r="ANT1350" s="402"/>
      <c r="ANU1350" s="402"/>
      <c r="ANV1350" s="402"/>
      <c r="ANW1350" s="402"/>
      <c r="ANX1350" s="402"/>
      <c r="ANY1350" s="402"/>
      <c r="ANZ1350" s="402"/>
      <c r="AOA1350" s="402"/>
      <c r="AOB1350" s="402"/>
      <c r="AOC1350" s="402"/>
      <c r="AOD1350" s="402"/>
      <c r="AOE1350" s="402"/>
      <c r="AOF1350" s="402"/>
      <c r="AOG1350" s="402"/>
      <c r="AOH1350" s="402"/>
      <c r="AOI1350" s="402"/>
      <c r="AOJ1350" s="402"/>
      <c r="AOK1350" s="402"/>
      <c r="AOL1350" s="402"/>
      <c r="AOM1350" s="402"/>
      <c r="AON1350" s="402"/>
      <c r="AOO1350" s="402"/>
      <c r="AOP1350" s="402"/>
      <c r="AOQ1350" s="402"/>
      <c r="AOR1350" s="402"/>
      <c r="AOS1350" s="402"/>
      <c r="AOT1350" s="402"/>
      <c r="AOU1350" s="402"/>
      <c r="AOV1350" s="402"/>
      <c r="AOW1350" s="402"/>
      <c r="AOX1350" s="402"/>
      <c r="AOY1350" s="402"/>
      <c r="AOZ1350" s="402"/>
      <c r="APA1350" s="402"/>
      <c r="APB1350" s="402"/>
      <c r="APC1350" s="402"/>
      <c r="APD1350" s="402"/>
      <c r="APE1350" s="402"/>
      <c r="APF1350" s="402"/>
      <c r="APG1350" s="402"/>
      <c r="APH1350" s="402"/>
      <c r="API1350" s="402"/>
      <c r="APJ1350" s="402"/>
      <c r="APK1350" s="402"/>
      <c r="APL1350" s="402"/>
      <c r="APM1350" s="402"/>
      <c r="APN1350" s="402"/>
      <c r="APO1350" s="402"/>
      <c r="APP1350" s="402"/>
      <c r="APQ1350" s="402"/>
      <c r="APR1350" s="402"/>
      <c r="APS1350" s="402"/>
      <c r="APT1350" s="402"/>
      <c r="APU1350" s="402"/>
      <c r="APV1350" s="402"/>
      <c r="APW1350" s="402"/>
      <c r="APX1350" s="402"/>
      <c r="APY1350" s="402"/>
      <c r="APZ1350" s="402"/>
      <c r="AQA1350" s="402"/>
      <c r="AQB1350" s="402"/>
      <c r="AQC1350" s="402"/>
      <c r="AQD1350" s="402"/>
      <c r="AQE1350" s="402"/>
      <c r="AQF1350" s="402"/>
      <c r="AQG1350" s="402"/>
      <c r="AQH1350" s="402"/>
      <c r="AQI1350" s="402"/>
      <c r="AQJ1350" s="402"/>
      <c r="AQK1350" s="402"/>
      <c r="AQL1350" s="402"/>
      <c r="AQM1350" s="402"/>
      <c r="AQN1350" s="402"/>
      <c r="AQO1350" s="402"/>
      <c r="AQP1350" s="402"/>
      <c r="AQQ1350" s="402"/>
      <c r="AQR1350" s="402"/>
      <c r="AQS1350" s="402"/>
      <c r="AQT1350" s="402"/>
      <c r="AQU1350" s="402"/>
      <c r="AQV1350" s="402"/>
      <c r="AQW1350" s="402"/>
      <c r="AQX1350" s="402"/>
      <c r="AQY1350" s="402"/>
      <c r="AQZ1350" s="402"/>
      <c r="ARA1350" s="402"/>
      <c r="ARB1350" s="402"/>
      <c r="ARC1350" s="402"/>
      <c r="ARD1350" s="402"/>
      <c r="ARE1350" s="402"/>
      <c r="ARF1350" s="402"/>
      <c r="ARG1350" s="402"/>
      <c r="ARH1350" s="402"/>
      <c r="ARI1350" s="402"/>
      <c r="ARJ1350" s="402"/>
      <c r="ARK1350" s="402"/>
      <c r="ARL1350" s="402"/>
      <c r="ARM1350" s="402"/>
      <c r="ARN1350" s="402"/>
      <c r="ARO1350" s="402"/>
      <c r="ARP1350" s="402"/>
      <c r="ARQ1350" s="402"/>
      <c r="ARR1350" s="402"/>
      <c r="ARS1350" s="402"/>
      <c r="ART1350" s="402"/>
      <c r="ARU1350" s="402"/>
      <c r="ARV1350" s="402"/>
      <c r="ARW1350" s="402"/>
      <c r="ARX1350" s="402"/>
      <c r="ARY1350" s="402"/>
      <c r="ARZ1350" s="402"/>
      <c r="ASA1350" s="402"/>
      <c r="ASB1350" s="402"/>
      <c r="ASC1350" s="402"/>
      <c r="ASD1350" s="402"/>
      <c r="ASE1350" s="402"/>
      <c r="ASF1350" s="402"/>
      <c r="ASG1350" s="402"/>
      <c r="ASH1350" s="402"/>
      <c r="ASI1350" s="402"/>
      <c r="ASJ1350" s="402"/>
      <c r="ASK1350" s="402"/>
      <c r="ASL1350" s="402"/>
      <c r="ASM1350" s="402"/>
      <c r="ASN1350" s="402"/>
      <c r="ASO1350" s="402"/>
      <c r="ASP1350" s="402"/>
      <c r="ASQ1350" s="402"/>
      <c r="ASR1350" s="402"/>
      <c r="ASS1350" s="402"/>
      <c r="AST1350" s="402"/>
      <c r="ASU1350" s="402"/>
      <c r="ASV1350" s="402"/>
      <c r="ASW1350" s="402"/>
      <c r="ASX1350" s="402"/>
      <c r="ASY1350" s="402"/>
      <c r="ASZ1350" s="402"/>
      <c r="ATA1350" s="402"/>
      <c r="ATB1350" s="402"/>
      <c r="ATC1350" s="402"/>
      <c r="ATD1350" s="402"/>
      <c r="ATE1350" s="402"/>
      <c r="ATF1350" s="402"/>
      <c r="ATG1350" s="402"/>
      <c r="ATH1350" s="402"/>
      <c r="ATI1350" s="402"/>
      <c r="ATJ1350" s="402"/>
      <c r="ATK1350" s="402"/>
      <c r="ATL1350" s="402"/>
      <c r="ATM1350" s="402"/>
      <c r="ATN1350" s="402"/>
      <c r="ATO1350" s="402"/>
      <c r="ATP1350" s="402"/>
      <c r="ATQ1350" s="402"/>
      <c r="ATR1350" s="402"/>
      <c r="ATS1350" s="402"/>
      <c r="ATT1350" s="402"/>
      <c r="ATU1350" s="402"/>
      <c r="ATV1350" s="402"/>
      <c r="ATW1350" s="402"/>
      <c r="ATX1350" s="402"/>
      <c r="ATY1350" s="402"/>
      <c r="ATZ1350" s="402"/>
      <c r="AUA1350" s="402"/>
      <c r="AUB1350" s="402"/>
      <c r="AUC1350" s="402"/>
      <c r="AUD1350" s="402"/>
      <c r="AUE1350" s="402"/>
      <c r="AUF1350" s="402"/>
      <c r="AUG1350" s="402"/>
      <c r="AUH1350" s="402"/>
      <c r="AUI1350" s="402"/>
      <c r="AUJ1350" s="402"/>
      <c r="AUK1350" s="402"/>
      <c r="AUL1350" s="402"/>
      <c r="AUM1350" s="402"/>
      <c r="AUN1350" s="402"/>
      <c r="AUO1350" s="402"/>
      <c r="AUP1350" s="402"/>
      <c r="AUQ1350" s="402"/>
      <c r="AUR1350" s="402"/>
      <c r="AUS1350" s="402"/>
      <c r="AUT1350" s="402"/>
      <c r="AUU1350" s="402"/>
      <c r="AUV1350" s="402"/>
      <c r="AUW1350" s="402"/>
      <c r="AUX1350" s="402"/>
      <c r="AUY1350" s="402"/>
      <c r="AUZ1350" s="402"/>
      <c r="AVA1350" s="402"/>
      <c r="AVB1350" s="402"/>
      <c r="AVC1350" s="402"/>
      <c r="AVD1350" s="402"/>
      <c r="AVE1350" s="402"/>
      <c r="AVF1350" s="402"/>
      <c r="AVG1350" s="402"/>
      <c r="AVH1350" s="402"/>
      <c r="AVI1350" s="402"/>
      <c r="AVJ1350" s="402"/>
      <c r="AVK1350" s="402"/>
    </row>
    <row r="1351" spans="1:1259" s="442" customFormat="1" ht="15" customHeight="1">
      <c r="A1351" s="403"/>
      <c r="B1351" s="403"/>
      <c r="C1351" s="403"/>
      <c r="D1351" s="443" t="s">
        <v>2480</v>
      </c>
      <c r="E1351" s="432"/>
      <c r="F1351" s="432"/>
      <c r="G1351" s="432">
        <v>2022</v>
      </c>
      <c r="H1351" s="432"/>
      <c r="I1351" s="427" t="s">
        <v>1498</v>
      </c>
      <c r="J1351" s="433"/>
      <c r="K1351" s="434" t="s">
        <v>3748</v>
      </c>
      <c r="L1351" s="432" t="s">
        <v>2518</v>
      </c>
      <c r="M1351" s="435">
        <v>44601</v>
      </c>
      <c r="N1351" s="435">
        <v>44624</v>
      </c>
      <c r="O1351" s="435"/>
      <c r="P1351" s="433"/>
      <c r="Q1351" s="433"/>
      <c r="R1351" s="433"/>
      <c r="S1351" s="432" t="s">
        <v>1940</v>
      </c>
      <c r="T1351" s="432">
        <v>60</v>
      </c>
      <c r="U1351" s="432"/>
      <c r="V1351" s="432" t="s">
        <v>973</v>
      </c>
      <c r="W1351" s="432">
        <v>400</v>
      </c>
      <c r="X1351" s="436">
        <v>416</v>
      </c>
      <c r="Y1351" s="422">
        <f t="shared" si="166"/>
        <v>166400</v>
      </c>
      <c r="Z1351" s="437">
        <v>0.54</v>
      </c>
      <c r="AA1351" s="423">
        <f t="shared" si="167"/>
        <v>89856</v>
      </c>
      <c r="AB1351" s="411"/>
      <c r="AC1351" s="412">
        <f t="shared" si="168"/>
        <v>0</v>
      </c>
      <c r="AD1351" s="439"/>
      <c r="AE1351" s="438">
        <v>3425.76</v>
      </c>
      <c r="AF1351" s="424">
        <f t="shared" si="169"/>
        <v>93281.76</v>
      </c>
      <c r="AG1351" s="432" t="s">
        <v>47</v>
      </c>
      <c r="AH1351" s="432"/>
      <c r="AI1351" s="434">
        <v>60</v>
      </c>
      <c r="AJ1351" s="432" t="s">
        <v>1679</v>
      </c>
      <c r="AK1351" s="440" t="s">
        <v>50</v>
      </c>
      <c r="AL1351" s="432">
        <v>91761</v>
      </c>
      <c r="AM1351" s="432" t="s">
        <v>52</v>
      </c>
      <c r="AN1351" s="432"/>
      <c r="AO1351" s="432"/>
      <c r="AP1351" s="441"/>
      <c r="AQ1351" s="441" t="s">
        <v>37</v>
      </c>
      <c r="AR1351" s="441"/>
      <c r="AS1351" s="426"/>
      <c r="AT1351" s="426"/>
      <c r="AU1351" s="426"/>
      <c r="AV1351" s="437">
        <f t="shared" si="170"/>
        <v>0.48000000000000004</v>
      </c>
      <c r="AW1351" s="402"/>
      <c r="AX1351" s="402"/>
      <c r="AY1351" s="402"/>
      <c r="AZ1351" s="402"/>
      <c r="BA1351" s="402"/>
      <c r="BB1351" s="402"/>
      <c r="BC1351" s="402"/>
      <c r="BD1351" s="402"/>
      <c r="BE1351" s="402"/>
      <c r="BF1351" s="402"/>
      <c r="BG1351" s="402"/>
      <c r="BH1351" s="402"/>
      <c r="BI1351" s="402"/>
      <c r="BJ1351" s="402"/>
      <c r="BK1351" s="402"/>
      <c r="BL1351" s="402"/>
      <c r="BM1351" s="402"/>
      <c r="BN1351" s="402"/>
      <c r="BO1351" s="402"/>
      <c r="BP1351" s="402"/>
      <c r="BQ1351" s="402"/>
      <c r="BR1351" s="402"/>
      <c r="BS1351" s="402"/>
      <c r="BT1351" s="402"/>
      <c r="BU1351" s="402"/>
      <c r="BV1351" s="402"/>
      <c r="BW1351" s="402"/>
      <c r="BX1351" s="402"/>
      <c r="BY1351" s="402"/>
      <c r="BZ1351" s="402"/>
      <c r="CA1351" s="402"/>
      <c r="CB1351" s="402"/>
      <c r="CC1351" s="402"/>
      <c r="CD1351" s="402"/>
      <c r="CE1351" s="402"/>
      <c r="CF1351" s="402"/>
      <c r="CG1351" s="402"/>
      <c r="CH1351" s="402"/>
      <c r="CI1351" s="402"/>
      <c r="CJ1351" s="402"/>
      <c r="CK1351" s="402"/>
      <c r="CL1351" s="402"/>
      <c r="CM1351" s="402"/>
      <c r="CN1351" s="402"/>
      <c r="CO1351" s="402"/>
      <c r="CP1351" s="402"/>
      <c r="CQ1351" s="402"/>
      <c r="CR1351" s="402"/>
      <c r="CS1351" s="402"/>
      <c r="CT1351" s="402"/>
      <c r="CU1351" s="402"/>
      <c r="CV1351" s="402"/>
      <c r="CW1351" s="402"/>
      <c r="CX1351" s="402"/>
      <c r="CY1351" s="402"/>
      <c r="CZ1351" s="402"/>
      <c r="DA1351" s="402"/>
      <c r="DB1351" s="402"/>
      <c r="DC1351" s="402"/>
      <c r="DD1351" s="402"/>
      <c r="DE1351" s="402"/>
      <c r="DF1351" s="402"/>
      <c r="DG1351" s="402"/>
      <c r="DH1351" s="402"/>
      <c r="DI1351" s="402"/>
      <c r="DJ1351" s="402"/>
      <c r="DK1351" s="402"/>
      <c r="DL1351" s="402"/>
      <c r="DM1351" s="402"/>
      <c r="DN1351" s="402"/>
      <c r="DO1351" s="402"/>
      <c r="DP1351" s="402"/>
      <c r="DQ1351" s="402"/>
      <c r="DR1351" s="402"/>
      <c r="DS1351" s="402"/>
      <c r="DT1351" s="402"/>
      <c r="DU1351" s="402"/>
      <c r="DV1351" s="402"/>
      <c r="DW1351" s="402"/>
      <c r="DX1351" s="402"/>
      <c r="DY1351" s="402"/>
      <c r="DZ1351" s="402"/>
      <c r="EA1351" s="402"/>
      <c r="EB1351" s="402"/>
      <c r="EC1351" s="402"/>
      <c r="ED1351" s="402"/>
      <c r="EE1351" s="402"/>
      <c r="EF1351" s="402"/>
      <c r="EG1351" s="402"/>
      <c r="EH1351" s="402"/>
      <c r="EI1351" s="402"/>
      <c r="EJ1351" s="402"/>
      <c r="EK1351" s="402"/>
      <c r="EL1351" s="402"/>
      <c r="EM1351" s="402"/>
      <c r="EN1351" s="402"/>
      <c r="EO1351" s="402"/>
      <c r="EP1351" s="402"/>
      <c r="EQ1351" s="402"/>
      <c r="ER1351" s="402"/>
      <c r="ES1351" s="402"/>
      <c r="ET1351" s="402"/>
      <c r="EU1351" s="402"/>
      <c r="EV1351" s="402"/>
      <c r="EW1351" s="402"/>
      <c r="EX1351" s="402"/>
      <c r="EY1351" s="402"/>
      <c r="EZ1351" s="402"/>
      <c r="FA1351" s="402"/>
      <c r="FB1351" s="402"/>
      <c r="FC1351" s="402"/>
      <c r="FD1351" s="402"/>
      <c r="FE1351" s="402"/>
      <c r="FF1351" s="402"/>
      <c r="FG1351" s="402"/>
      <c r="FH1351" s="402"/>
      <c r="FI1351" s="402"/>
      <c r="FJ1351" s="402"/>
      <c r="FK1351" s="402"/>
      <c r="FL1351" s="402"/>
      <c r="FM1351" s="402"/>
      <c r="FN1351" s="402"/>
      <c r="FO1351" s="402"/>
      <c r="FP1351" s="402"/>
      <c r="FQ1351" s="402"/>
      <c r="FR1351" s="402"/>
      <c r="FS1351" s="402"/>
      <c r="FT1351" s="402"/>
      <c r="FU1351" s="402"/>
      <c r="FV1351" s="402"/>
      <c r="FW1351" s="402"/>
      <c r="FX1351" s="402"/>
      <c r="FY1351" s="402"/>
      <c r="FZ1351" s="402"/>
      <c r="GA1351" s="402"/>
      <c r="GB1351" s="402"/>
      <c r="GC1351" s="402"/>
      <c r="GD1351" s="402"/>
      <c r="GE1351" s="402"/>
      <c r="GF1351" s="402"/>
      <c r="GG1351" s="402"/>
      <c r="GH1351" s="402"/>
      <c r="GI1351" s="402"/>
      <c r="GJ1351" s="402"/>
      <c r="GK1351" s="402"/>
      <c r="GL1351" s="402"/>
      <c r="GM1351" s="402"/>
      <c r="GN1351" s="402"/>
      <c r="GO1351" s="402"/>
      <c r="GP1351" s="402"/>
      <c r="GQ1351" s="402"/>
      <c r="GR1351" s="402"/>
      <c r="GS1351" s="402"/>
      <c r="GT1351" s="402"/>
      <c r="GU1351" s="402"/>
      <c r="GV1351" s="402"/>
      <c r="GW1351" s="402"/>
      <c r="GX1351" s="402"/>
      <c r="GY1351" s="402"/>
      <c r="GZ1351" s="402"/>
      <c r="HA1351" s="402"/>
      <c r="HB1351" s="402"/>
      <c r="HC1351" s="402"/>
      <c r="HD1351" s="402"/>
      <c r="HE1351" s="402"/>
      <c r="HF1351" s="402"/>
      <c r="HG1351" s="402"/>
      <c r="HH1351" s="402"/>
      <c r="HI1351" s="402"/>
      <c r="HJ1351" s="402"/>
      <c r="HK1351" s="402"/>
      <c r="HL1351" s="402"/>
      <c r="HM1351" s="402"/>
      <c r="HN1351" s="402"/>
      <c r="HO1351" s="402"/>
      <c r="HP1351" s="402"/>
      <c r="HQ1351" s="402"/>
      <c r="HR1351" s="402"/>
      <c r="HS1351" s="402"/>
      <c r="HT1351" s="402"/>
      <c r="HU1351" s="402"/>
      <c r="HV1351" s="402"/>
      <c r="HW1351" s="402"/>
      <c r="HX1351" s="402"/>
      <c r="HY1351" s="402"/>
      <c r="HZ1351" s="402"/>
      <c r="IA1351" s="402"/>
      <c r="IB1351" s="402"/>
      <c r="IC1351" s="402"/>
      <c r="ID1351" s="402"/>
      <c r="IE1351" s="402"/>
      <c r="IF1351" s="402"/>
      <c r="IG1351" s="402"/>
      <c r="IH1351" s="402"/>
      <c r="II1351" s="402"/>
      <c r="IJ1351" s="402"/>
      <c r="IK1351" s="402"/>
      <c r="IL1351" s="402"/>
      <c r="IM1351" s="402"/>
      <c r="IN1351" s="402"/>
      <c r="IO1351" s="402"/>
      <c r="IP1351" s="402"/>
      <c r="IQ1351" s="402"/>
      <c r="IR1351" s="402"/>
      <c r="IS1351" s="402"/>
      <c r="IT1351" s="402"/>
      <c r="IU1351" s="402"/>
      <c r="IV1351" s="402"/>
      <c r="IW1351" s="402"/>
      <c r="IX1351" s="402"/>
      <c r="IY1351" s="402"/>
      <c r="IZ1351" s="402"/>
      <c r="JA1351" s="402"/>
      <c r="JB1351" s="402"/>
      <c r="JC1351" s="402"/>
      <c r="JD1351" s="402"/>
      <c r="JE1351" s="402"/>
      <c r="JF1351" s="402"/>
      <c r="JG1351" s="402"/>
      <c r="JH1351" s="402"/>
      <c r="JI1351" s="402"/>
      <c r="JJ1351" s="402"/>
      <c r="JK1351" s="402"/>
      <c r="JL1351" s="402"/>
      <c r="JM1351" s="402"/>
      <c r="JN1351" s="402"/>
      <c r="JO1351" s="402"/>
      <c r="JP1351" s="402"/>
      <c r="JQ1351" s="402"/>
      <c r="JR1351" s="402"/>
      <c r="JS1351" s="402"/>
      <c r="JT1351" s="402"/>
      <c r="JU1351" s="402"/>
      <c r="JV1351" s="402"/>
      <c r="JW1351" s="402"/>
      <c r="JX1351" s="402"/>
      <c r="JY1351" s="402"/>
      <c r="JZ1351" s="402"/>
      <c r="KA1351" s="402"/>
      <c r="KB1351" s="402"/>
      <c r="KC1351" s="402"/>
      <c r="KD1351" s="402"/>
      <c r="KE1351" s="402"/>
      <c r="KF1351" s="402"/>
      <c r="KG1351" s="402"/>
      <c r="KH1351" s="402"/>
      <c r="KI1351" s="402"/>
      <c r="KJ1351" s="402"/>
      <c r="KK1351" s="402"/>
      <c r="KL1351" s="402"/>
      <c r="KM1351" s="402"/>
      <c r="KN1351" s="402"/>
      <c r="KO1351" s="402"/>
      <c r="KP1351" s="402"/>
      <c r="KQ1351" s="402"/>
      <c r="KR1351" s="402"/>
      <c r="KS1351" s="402"/>
      <c r="KT1351" s="402"/>
      <c r="KU1351" s="402"/>
      <c r="KV1351" s="402"/>
      <c r="KW1351" s="402"/>
      <c r="KX1351" s="402"/>
      <c r="KY1351" s="402"/>
      <c r="KZ1351" s="402"/>
      <c r="LA1351" s="402"/>
      <c r="LB1351" s="402"/>
      <c r="LC1351" s="402"/>
      <c r="LD1351" s="402"/>
      <c r="LE1351" s="402"/>
      <c r="LF1351" s="402"/>
      <c r="LG1351" s="402"/>
      <c r="LH1351" s="402"/>
      <c r="LI1351" s="402"/>
      <c r="LJ1351" s="402"/>
      <c r="LK1351" s="402"/>
      <c r="LL1351" s="402"/>
      <c r="LM1351" s="402"/>
      <c r="LN1351" s="402"/>
      <c r="LO1351" s="402"/>
      <c r="LP1351" s="402"/>
      <c r="LQ1351" s="402"/>
      <c r="LR1351" s="402"/>
      <c r="LS1351" s="402"/>
      <c r="LT1351" s="402"/>
      <c r="LU1351" s="402"/>
      <c r="LV1351" s="402"/>
      <c r="LW1351" s="402"/>
      <c r="LX1351" s="402"/>
      <c r="LY1351" s="402"/>
      <c r="LZ1351" s="402"/>
      <c r="MA1351" s="402"/>
      <c r="MB1351" s="402"/>
      <c r="MC1351" s="402"/>
      <c r="MD1351" s="402"/>
      <c r="ME1351" s="402"/>
      <c r="MF1351" s="402"/>
      <c r="MG1351" s="402"/>
      <c r="MH1351" s="402"/>
      <c r="MI1351" s="402"/>
      <c r="MJ1351" s="402"/>
      <c r="MK1351" s="402"/>
      <c r="ML1351" s="402"/>
      <c r="MM1351" s="402"/>
      <c r="MN1351" s="402"/>
      <c r="MO1351" s="402"/>
      <c r="MP1351" s="402"/>
      <c r="MQ1351" s="402"/>
      <c r="MR1351" s="402"/>
      <c r="MS1351" s="402"/>
      <c r="MT1351" s="402"/>
      <c r="MU1351" s="402"/>
      <c r="MV1351" s="402"/>
      <c r="MW1351" s="402"/>
      <c r="MX1351" s="402"/>
      <c r="MY1351" s="402"/>
      <c r="MZ1351" s="402"/>
      <c r="NA1351" s="402"/>
      <c r="NB1351" s="402"/>
      <c r="NC1351" s="402"/>
      <c r="ND1351" s="402"/>
      <c r="NE1351" s="402"/>
      <c r="NF1351" s="402"/>
      <c r="NG1351" s="402"/>
      <c r="NH1351" s="402"/>
      <c r="NI1351" s="402"/>
      <c r="NJ1351" s="402"/>
      <c r="NK1351" s="402"/>
      <c r="NL1351" s="402"/>
      <c r="NM1351" s="402"/>
      <c r="NN1351" s="402"/>
      <c r="NO1351" s="402"/>
      <c r="NP1351" s="402"/>
      <c r="NQ1351" s="402"/>
      <c r="NR1351" s="402"/>
      <c r="NS1351" s="402"/>
      <c r="NT1351" s="402"/>
      <c r="NU1351" s="402"/>
      <c r="NV1351" s="402"/>
      <c r="NW1351" s="402"/>
      <c r="NX1351" s="402"/>
      <c r="NY1351" s="402"/>
      <c r="NZ1351" s="402"/>
      <c r="OA1351" s="402"/>
      <c r="OB1351" s="402"/>
      <c r="OC1351" s="402"/>
      <c r="OD1351" s="402"/>
      <c r="OE1351" s="402"/>
      <c r="OF1351" s="402"/>
      <c r="OG1351" s="402"/>
      <c r="OH1351" s="402"/>
      <c r="OI1351" s="402"/>
      <c r="OJ1351" s="402"/>
      <c r="OK1351" s="402"/>
      <c r="OL1351" s="402"/>
      <c r="OM1351" s="402"/>
      <c r="ON1351" s="402"/>
      <c r="OO1351" s="402"/>
      <c r="OP1351" s="402"/>
      <c r="OQ1351" s="402"/>
      <c r="OR1351" s="402"/>
      <c r="OS1351" s="402"/>
      <c r="OT1351" s="402"/>
      <c r="OU1351" s="402"/>
      <c r="OV1351" s="402"/>
      <c r="OW1351" s="402"/>
      <c r="OX1351" s="402"/>
      <c r="OY1351" s="402"/>
      <c r="OZ1351" s="402"/>
      <c r="PA1351" s="402"/>
      <c r="PB1351" s="402"/>
      <c r="PC1351" s="402"/>
      <c r="PD1351" s="402"/>
      <c r="PE1351" s="402"/>
      <c r="PF1351" s="402"/>
      <c r="PG1351" s="402"/>
      <c r="PH1351" s="402"/>
      <c r="PI1351" s="402"/>
      <c r="PJ1351" s="402"/>
      <c r="PK1351" s="402"/>
      <c r="PL1351" s="402"/>
      <c r="PM1351" s="402"/>
      <c r="PN1351" s="402"/>
      <c r="PO1351" s="402"/>
      <c r="PP1351" s="402"/>
      <c r="PQ1351" s="402"/>
      <c r="PR1351" s="402"/>
      <c r="PS1351" s="402"/>
      <c r="PT1351" s="402"/>
      <c r="PU1351" s="402"/>
      <c r="PV1351" s="402"/>
      <c r="PW1351" s="402"/>
      <c r="PX1351" s="402"/>
      <c r="PY1351" s="402"/>
      <c r="PZ1351" s="402"/>
      <c r="QA1351" s="402"/>
      <c r="QB1351" s="402"/>
      <c r="QC1351" s="402"/>
      <c r="QD1351" s="402"/>
      <c r="QE1351" s="402"/>
      <c r="QF1351" s="402"/>
      <c r="QG1351" s="402"/>
      <c r="QH1351" s="402"/>
      <c r="QI1351" s="402"/>
      <c r="QJ1351" s="402"/>
      <c r="QK1351" s="402"/>
      <c r="QL1351" s="402"/>
      <c r="QM1351" s="402"/>
      <c r="QN1351" s="402"/>
      <c r="QO1351" s="402"/>
      <c r="QP1351" s="402"/>
      <c r="QQ1351" s="402"/>
      <c r="QR1351" s="402"/>
      <c r="QS1351" s="402"/>
      <c r="QT1351" s="402"/>
      <c r="QU1351" s="402"/>
      <c r="QV1351" s="402"/>
      <c r="QW1351" s="402"/>
      <c r="QX1351" s="402"/>
      <c r="QY1351" s="402"/>
      <c r="QZ1351" s="402"/>
      <c r="RA1351" s="402"/>
      <c r="RB1351" s="402"/>
      <c r="RC1351" s="402"/>
      <c r="RD1351" s="402"/>
      <c r="RE1351" s="402"/>
      <c r="RF1351" s="402"/>
      <c r="RG1351" s="402"/>
      <c r="RH1351" s="402"/>
      <c r="RI1351" s="402"/>
      <c r="RJ1351" s="402"/>
      <c r="RK1351" s="402"/>
      <c r="RL1351" s="402"/>
      <c r="RM1351" s="402"/>
      <c r="RN1351" s="402"/>
      <c r="RO1351" s="402"/>
      <c r="RP1351" s="402"/>
      <c r="RQ1351" s="402"/>
      <c r="RR1351" s="402"/>
      <c r="RS1351" s="402"/>
      <c r="RT1351" s="402"/>
      <c r="RU1351" s="402"/>
      <c r="RV1351" s="402"/>
      <c r="RW1351" s="402"/>
      <c r="RX1351" s="402"/>
      <c r="RY1351" s="402"/>
      <c r="RZ1351" s="402"/>
      <c r="SA1351" s="402"/>
      <c r="SB1351" s="402"/>
      <c r="SC1351" s="402"/>
      <c r="SD1351" s="402"/>
      <c r="SE1351" s="402"/>
      <c r="SF1351" s="402"/>
      <c r="SG1351" s="402"/>
      <c r="SH1351" s="402"/>
      <c r="SI1351" s="402"/>
      <c r="SJ1351" s="402"/>
      <c r="SK1351" s="402"/>
      <c r="SL1351" s="402"/>
      <c r="SM1351" s="402"/>
      <c r="SN1351" s="402"/>
      <c r="SO1351" s="402"/>
      <c r="SP1351" s="402"/>
      <c r="SQ1351" s="402"/>
      <c r="SR1351" s="402"/>
      <c r="SS1351" s="402"/>
      <c r="ST1351" s="402"/>
      <c r="SU1351" s="402"/>
      <c r="SV1351" s="402"/>
      <c r="SW1351" s="402"/>
      <c r="SX1351" s="402"/>
      <c r="SY1351" s="402"/>
      <c r="SZ1351" s="402"/>
      <c r="TA1351" s="402"/>
      <c r="TB1351" s="402"/>
      <c r="TC1351" s="402"/>
      <c r="TD1351" s="402"/>
      <c r="TE1351" s="402"/>
      <c r="TF1351" s="402"/>
      <c r="TG1351" s="402"/>
      <c r="TH1351" s="402"/>
      <c r="TI1351" s="402"/>
      <c r="TJ1351" s="402"/>
      <c r="TK1351" s="402"/>
      <c r="TL1351" s="402"/>
      <c r="TM1351" s="402"/>
      <c r="TN1351" s="402"/>
      <c r="TO1351" s="402"/>
      <c r="TP1351" s="402"/>
      <c r="TQ1351" s="402"/>
      <c r="TR1351" s="402"/>
      <c r="TS1351" s="402"/>
      <c r="TT1351" s="402"/>
      <c r="TU1351" s="402"/>
      <c r="TV1351" s="402"/>
      <c r="TW1351" s="402"/>
      <c r="TX1351" s="402"/>
      <c r="TY1351" s="402"/>
      <c r="TZ1351" s="402"/>
      <c r="UA1351" s="402"/>
      <c r="UB1351" s="402"/>
      <c r="UC1351" s="402"/>
      <c r="UD1351" s="402"/>
      <c r="UE1351" s="402"/>
      <c r="UF1351" s="402"/>
      <c r="UG1351" s="402"/>
      <c r="UH1351" s="402"/>
      <c r="UI1351" s="402"/>
      <c r="UJ1351" s="402"/>
      <c r="UK1351" s="402"/>
      <c r="UL1351" s="402"/>
      <c r="UM1351" s="402"/>
      <c r="UN1351" s="402"/>
      <c r="UO1351" s="402"/>
      <c r="UP1351" s="402"/>
      <c r="UQ1351" s="402"/>
      <c r="UR1351" s="402"/>
      <c r="US1351" s="402"/>
      <c r="UT1351" s="402"/>
      <c r="UU1351" s="402"/>
      <c r="UV1351" s="402"/>
      <c r="UW1351" s="402"/>
      <c r="UX1351" s="402"/>
      <c r="UY1351" s="402"/>
      <c r="UZ1351" s="402"/>
      <c r="VA1351" s="402"/>
      <c r="VB1351" s="402"/>
      <c r="VC1351" s="402"/>
      <c r="VD1351" s="402"/>
      <c r="VE1351" s="402"/>
      <c r="VF1351" s="402"/>
      <c r="VG1351" s="402"/>
      <c r="VH1351" s="402"/>
      <c r="VI1351" s="402"/>
      <c r="VJ1351" s="402"/>
      <c r="VK1351" s="402"/>
      <c r="VL1351" s="402"/>
      <c r="VM1351" s="402"/>
      <c r="VN1351" s="402"/>
      <c r="VO1351" s="402"/>
      <c r="VP1351" s="402"/>
      <c r="VQ1351" s="402"/>
      <c r="VR1351" s="402"/>
      <c r="VS1351" s="402"/>
      <c r="VT1351" s="402"/>
      <c r="VU1351" s="402"/>
      <c r="VV1351" s="402"/>
      <c r="VW1351" s="402"/>
      <c r="VX1351" s="402"/>
      <c r="VY1351" s="402"/>
      <c r="VZ1351" s="402"/>
      <c r="WA1351" s="402"/>
      <c r="WB1351" s="402"/>
      <c r="WC1351" s="402"/>
      <c r="WD1351" s="402"/>
      <c r="WE1351" s="402"/>
      <c r="WF1351" s="402"/>
      <c r="WG1351" s="402"/>
      <c r="WH1351" s="402"/>
      <c r="WI1351" s="402"/>
      <c r="WJ1351" s="402"/>
      <c r="WK1351" s="402"/>
      <c r="WL1351" s="402"/>
      <c r="WM1351" s="402"/>
      <c r="WN1351" s="402"/>
      <c r="WO1351" s="402"/>
      <c r="WP1351" s="402"/>
      <c r="WQ1351" s="402"/>
      <c r="WR1351" s="402"/>
      <c r="WS1351" s="402"/>
      <c r="WT1351" s="402"/>
      <c r="WU1351" s="402"/>
      <c r="WV1351" s="402"/>
      <c r="WW1351" s="402"/>
      <c r="WX1351" s="402"/>
      <c r="WY1351" s="402"/>
      <c r="WZ1351" s="402"/>
      <c r="XA1351" s="402"/>
      <c r="XB1351" s="402"/>
      <c r="XC1351" s="402"/>
      <c r="XD1351" s="402"/>
      <c r="XE1351" s="402"/>
      <c r="XF1351" s="402"/>
      <c r="XG1351" s="402"/>
      <c r="XH1351" s="402"/>
      <c r="XI1351" s="402"/>
      <c r="XJ1351" s="402"/>
      <c r="XK1351" s="402"/>
      <c r="XL1351" s="402"/>
      <c r="XM1351" s="402"/>
      <c r="XN1351" s="402"/>
      <c r="XO1351" s="402"/>
      <c r="XP1351" s="402"/>
      <c r="XQ1351" s="402"/>
      <c r="XR1351" s="402"/>
      <c r="XS1351" s="402"/>
      <c r="XT1351" s="402"/>
      <c r="XU1351" s="402"/>
      <c r="XV1351" s="402"/>
      <c r="XW1351" s="402"/>
      <c r="XX1351" s="402"/>
      <c r="XY1351" s="402"/>
      <c r="XZ1351" s="402"/>
      <c r="YA1351" s="402"/>
      <c r="YB1351" s="402"/>
      <c r="YC1351" s="402"/>
      <c r="YD1351" s="402"/>
      <c r="YE1351" s="402"/>
      <c r="YF1351" s="402"/>
      <c r="YG1351" s="402"/>
      <c r="YH1351" s="402"/>
      <c r="YI1351" s="402"/>
      <c r="YJ1351" s="402"/>
      <c r="YK1351" s="402"/>
      <c r="YL1351" s="402"/>
      <c r="YM1351" s="402"/>
      <c r="YN1351" s="402"/>
      <c r="YO1351" s="402"/>
      <c r="YP1351" s="402"/>
      <c r="YQ1351" s="402"/>
      <c r="YR1351" s="402"/>
      <c r="YS1351" s="402"/>
      <c r="YT1351" s="402"/>
      <c r="YU1351" s="402"/>
      <c r="YV1351" s="402"/>
      <c r="YW1351" s="402"/>
      <c r="YX1351" s="402"/>
      <c r="YY1351" s="402"/>
      <c r="YZ1351" s="402"/>
      <c r="ZA1351" s="402"/>
      <c r="ZB1351" s="402"/>
      <c r="ZC1351" s="402"/>
      <c r="ZD1351" s="402"/>
      <c r="ZE1351" s="402"/>
      <c r="ZF1351" s="402"/>
      <c r="ZG1351" s="402"/>
      <c r="ZH1351" s="402"/>
      <c r="ZI1351" s="402"/>
      <c r="ZJ1351" s="402"/>
      <c r="ZK1351" s="402"/>
      <c r="ZL1351" s="402"/>
      <c r="ZM1351" s="402"/>
      <c r="ZN1351" s="402"/>
      <c r="ZO1351" s="402"/>
      <c r="ZP1351" s="402"/>
      <c r="ZQ1351" s="402"/>
      <c r="ZR1351" s="402"/>
      <c r="ZS1351" s="402"/>
      <c r="ZT1351" s="402"/>
      <c r="ZU1351" s="402"/>
      <c r="ZV1351" s="402"/>
      <c r="ZW1351" s="402"/>
      <c r="ZX1351" s="402"/>
      <c r="ZY1351" s="402"/>
      <c r="ZZ1351" s="402"/>
      <c r="AAA1351" s="402"/>
      <c r="AAB1351" s="402"/>
      <c r="AAC1351" s="402"/>
      <c r="AAD1351" s="402"/>
      <c r="AAE1351" s="402"/>
      <c r="AAF1351" s="402"/>
      <c r="AAG1351" s="402"/>
      <c r="AAH1351" s="402"/>
      <c r="AAI1351" s="402"/>
      <c r="AAJ1351" s="402"/>
      <c r="AAK1351" s="402"/>
      <c r="AAL1351" s="402"/>
      <c r="AAM1351" s="402"/>
      <c r="AAN1351" s="402"/>
      <c r="AAO1351" s="402"/>
      <c r="AAP1351" s="402"/>
      <c r="AAQ1351" s="402"/>
      <c r="AAR1351" s="402"/>
      <c r="AAS1351" s="402"/>
      <c r="AAT1351" s="402"/>
      <c r="AAU1351" s="402"/>
      <c r="AAV1351" s="402"/>
      <c r="AAW1351" s="402"/>
      <c r="AAX1351" s="402"/>
      <c r="AAY1351" s="402"/>
      <c r="AAZ1351" s="402"/>
      <c r="ABA1351" s="402"/>
      <c r="ABB1351" s="402"/>
      <c r="ABC1351" s="402"/>
      <c r="ABD1351" s="402"/>
      <c r="ABE1351" s="402"/>
      <c r="ABF1351" s="402"/>
      <c r="ABG1351" s="402"/>
      <c r="ABH1351" s="402"/>
      <c r="ABI1351" s="402"/>
      <c r="ABJ1351" s="402"/>
      <c r="ABK1351" s="402"/>
      <c r="ABL1351" s="402"/>
      <c r="ABM1351" s="402"/>
      <c r="ABN1351" s="402"/>
      <c r="ABO1351" s="402"/>
      <c r="ABP1351" s="402"/>
      <c r="ABQ1351" s="402"/>
      <c r="ABR1351" s="402"/>
      <c r="ABS1351" s="402"/>
      <c r="ABT1351" s="402"/>
      <c r="ABU1351" s="402"/>
      <c r="ABV1351" s="402"/>
      <c r="ABW1351" s="402"/>
      <c r="ABX1351" s="402"/>
      <c r="ABY1351" s="402"/>
      <c r="ABZ1351" s="402"/>
      <c r="ACA1351" s="402"/>
      <c r="ACB1351" s="402"/>
      <c r="ACC1351" s="402"/>
      <c r="ACD1351" s="402"/>
      <c r="ACE1351" s="402"/>
      <c r="ACF1351" s="402"/>
      <c r="ACG1351" s="402"/>
      <c r="ACH1351" s="402"/>
      <c r="ACI1351" s="402"/>
      <c r="ACJ1351" s="402"/>
      <c r="ACK1351" s="402"/>
      <c r="ACL1351" s="402"/>
      <c r="ACM1351" s="402"/>
      <c r="ACN1351" s="402"/>
      <c r="ACO1351" s="402"/>
      <c r="ACP1351" s="402"/>
      <c r="ACQ1351" s="402"/>
      <c r="ACR1351" s="402"/>
      <c r="ACS1351" s="402"/>
      <c r="ACT1351" s="402"/>
      <c r="ACU1351" s="402"/>
      <c r="ACV1351" s="402"/>
      <c r="ACW1351" s="402"/>
      <c r="ACX1351" s="402"/>
      <c r="ACY1351" s="402"/>
      <c r="ACZ1351" s="402"/>
      <c r="ADA1351" s="402"/>
      <c r="ADB1351" s="402"/>
      <c r="ADC1351" s="402"/>
      <c r="ADD1351" s="402"/>
      <c r="ADE1351" s="402"/>
      <c r="ADF1351" s="402"/>
      <c r="ADG1351" s="402"/>
      <c r="ADH1351" s="402"/>
      <c r="ADI1351" s="402"/>
      <c r="ADJ1351" s="402"/>
      <c r="ADK1351" s="402"/>
      <c r="ADL1351" s="402"/>
      <c r="ADM1351" s="402"/>
      <c r="ADN1351" s="402"/>
      <c r="ADO1351" s="402"/>
      <c r="ADP1351" s="402"/>
      <c r="ADQ1351" s="402"/>
      <c r="ADR1351" s="402"/>
      <c r="ADS1351" s="402"/>
      <c r="ADT1351" s="402"/>
      <c r="ADU1351" s="402"/>
      <c r="ADV1351" s="402"/>
      <c r="ADW1351" s="402"/>
      <c r="ADX1351" s="402"/>
      <c r="ADY1351" s="402"/>
      <c r="ADZ1351" s="402"/>
      <c r="AEA1351" s="402"/>
      <c r="AEB1351" s="402"/>
      <c r="AEC1351" s="402"/>
      <c r="AED1351" s="402"/>
      <c r="AEE1351" s="402"/>
      <c r="AEF1351" s="402"/>
      <c r="AEG1351" s="402"/>
      <c r="AEH1351" s="402"/>
      <c r="AEI1351" s="402"/>
      <c r="AEJ1351" s="402"/>
      <c r="AEK1351" s="402"/>
      <c r="AEL1351" s="402"/>
      <c r="AEM1351" s="402"/>
      <c r="AEN1351" s="402"/>
      <c r="AEO1351" s="402"/>
      <c r="AEP1351" s="402"/>
      <c r="AEQ1351" s="402"/>
      <c r="AER1351" s="402"/>
      <c r="AES1351" s="402"/>
      <c r="AET1351" s="402"/>
      <c r="AEU1351" s="402"/>
      <c r="AEV1351" s="402"/>
      <c r="AEW1351" s="402"/>
      <c r="AEX1351" s="402"/>
      <c r="AEY1351" s="402"/>
      <c r="AEZ1351" s="402"/>
      <c r="AFA1351" s="402"/>
      <c r="AFB1351" s="402"/>
      <c r="AFC1351" s="402"/>
      <c r="AFD1351" s="402"/>
      <c r="AFE1351" s="402"/>
      <c r="AFF1351" s="402"/>
      <c r="AFG1351" s="402"/>
      <c r="AFH1351" s="402"/>
      <c r="AFI1351" s="402"/>
      <c r="AFJ1351" s="402"/>
      <c r="AFK1351" s="402"/>
      <c r="AFL1351" s="402"/>
      <c r="AFM1351" s="402"/>
      <c r="AFN1351" s="402"/>
      <c r="AFO1351" s="402"/>
      <c r="AFP1351" s="402"/>
      <c r="AFQ1351" s="402"/>
      <c r="AFR1351" s="402"/>
      <c r="AFS1351" s="402"/>
      <c r="AFT1351" s="402"/>
      <c r="AFU1351" s="402"/>
      <c r="AFV1351" s="402"/>
      <c r="AFW1351" s="402"/>
      <c r="AFX1351" s="402"/>
      <c r="AFY1351" s="402"/>
      <c r="AFZ1351" s="402"/>
      <c r="AGA1351" s="402"/>
      <c r="AGB1351" s="402"/>
      <c r="AGC1351" s="402"/>
      <c r="AGD1351" s="402"/>
      <c r="AGE1351" s="402"/>
      <c r="AGF1351" s="402"/>
      <c r="AGG1351" s="402"/>
      <c r="AGH1351" s="402"/>
      <c r="AGI1351" s="402"/>
      <c r="AGJ1351" s="402"/>
      <c r="AGK1351" s="402"/>
      <c r="AGL1351" s="402"/>
      <c r="AGM1351" s="402"/>
      <c r="AGN1351" s="402"/>
      <c r="AGO1351" s="402"/>
      <c r="AGP1351" s="402"/>
      <c r="AGQ1351" s="402"/>
      <c r="AGR1351" s="402"/>
      <c r="AGS1351" s="402"/>
      <c r="AGT1351" s="402"/>
      <c r="AGU1351" s="402"/>
      <c r="AGV1351" s="402"/>
      <c r="AGW1351" s="402"/>
      <c r="AGX1351" s="402"/>
      <c r="AGY1351" s="402"/>
      <c r="AGZ1351" s="402"/>
      <c r="AHA1351" s="402"/>
      <c r="AHB1351" s="402"/>
      <c r="AHC1351" s="402"/>
      <c r="AHD1351" s="402"/>
      <c r="AHE1351" s="402"/>
      <c r="AHF1351" s="402"/>
      <c r="AHG1351" s="402"/>
      <c r="AHH1351" s="402"/>
      <c r="AHI1351" s="402"/>
      <c r="AHJ1351" s="402"/>
      <c r="AHK1351" s="402"/>
      <c r="AHL1351" s="402"/>
      <c r="AHM1351" s="402"/>
      <c r="AHN1351" s="402"/>
      <c r="AHO1351" s="402"/>
      <c r="AHP1351" s="402"/>
      <c r="AHQ1351" s="402"/>
      <c r="AHR1351" s="402"/>
      <c r="AHS1351" s="402"/>
      <c r="AHT1351" s="402"/>
      <c r="AHU1351" s="402"/>
      <c r="AHV1351" s="402"/>
      <c r="AHW1351" s="402"/>
      <c r="AHX1351" s="402"/>
      <c r="AHY1351" s="402"/>
      <c r="AHZ1351" s="402"/>
      <c r="AIA1351" s="402"/>
      <c r="AIB1351" s="402"/>
      <c r="AIC1351" s="402"/>
      <c r="AID1351" s="402"/>
      <c r="AIE1351" s="402"/>
      <c r="AIF1351" s="402"/>
      <c r="AIG1351" s="402"/>
      <c r="AIH1351" s="402"/>
      <c r="AII1351" s="402"/>
      <c r="AIJ1351" s="402"/>
      <c r="AIK1351" s="402"/>
      <c r="AIL1351" s="402"/>
      <c r="AIM1351" s="402"/>
      <c r="AIN1351" s="402"/>
      <c r="AIO1351" s="402"/>
      <c r="AIP1351" s="402"/>
      <c r="AIQ1351" s="402"/>
      <c r="AIR1351" s="402"/>
      <c r="AIS1351" s="402"/>
      <c r="AIT1351" s="402"/>
      <c r="AIU1351" s="402"/>
      <c r="AIV1351" s="402"/>
      <c r="AIW1351" s="402"/>
      <c r="AIX1351" s="402"/>
      <c r="AIY1351" s="402"/>
      <c r="AIZ1351" s="402"/>
      <c r="AJA1351" s="402"/>
      <c r="AJB1351" s="402"/>
      <c r="AJC1351" s="402"/>
      <c r="AJD1351" s="402"/>
      <c r="AJE1351" s="402"/>
      <c r="AJF1351" s="402"/>
      <c r="AJG1351" s="402"/>
      <c r="AJH1351" s="402"/>
      <c r="AJI1351" s="402"/>
      <c r="AJJ1351" s="402"/>
      <c r="AJK1351" s="402"/>
      <c r="AJL1351" s="402"/>
      <c r="AJM1351" s="402"/>
      <c r="AJN1351" s="402"/>
      <c r="AJO1351" s="402"/>
      <c r="AJP1351" s="402"/>
      <c r="AJQ1351" s="402"/>
      <c r="AJR1351" s="402"/>
      <c r="AJS1351" s="402"/>
      <c r="AJT1351" s="402"/>
      <c r="AJU1351" s="402"/>
      <c r="AJV1351" s="402"/>
      <c r="AJW1351" s="402"/>
      <c r="AJX1351" s="402"/>
      <c r="AJY1351" s="402"/>
      <c r="AJZ1351" s="402"/>
      <c r="AKA1351" s="402"/>
      <c r="AKB1351" s="402"/>
      <c r="AKC1351" s="402"/>
      <c r="AKD1351" s="402"/>
      <c r="AKE1351" s="402"/>
      <c r="AKF1351" s="402"/>
      <c r="AKG1351" s="402"/>
      <c r="AKH1351" s="402"/>
      <c r="AKI1351" s="402"/>
      <c r="AKJ1351" s="402"/>
      <c r="AKK1351" s="402"/>
      <c r="AKL1351" s="402"/>
      <c r="AKM1351" s="402"/>
      <c r="AKN1351" s="402"/>
      <c r="AKO1351" s="402"/>
      <c r="AKP1351" s="402"/>
      <c r="AKQ1351" s="402"/>
      <c r="AKR1351" s="402"/>
      <c r="AKS1351" s="402"/>
      <c r="AKT1351" s="402"/>
      <c r="AKU1351" s="402"/>
      <c r="AKV1351" s="402"/>
      <c r="AKW1351" s="402"/>
      <c r="AKX1351" s="402"/>
      <c r="AKY1351" s="402"/>
      <c r="AKZ1351" s="402"/>
      <c r="ALA1351" s="402"/>
      <c r="ALB1351" s="402"/>
      <c r="ALC1351" s="402"/>
      <c r="ALD1351" s="402"/>
      <c r="ALE1351" s="402"/>
      <c r="ALF1351" s="402"/>
      <c r="ALG1351" s="402"/>
      <c r="ALH1351" s="402"/>
      <c r="ALI1351" s="402"/>
      <c r="ALJ1351" s="402"/>
      <c r="ALK1351" s="402"/>
      <c r="ALL1351" s="402"/>
      <c r="ALM1351" s="402"/>
      <c r="ALN1351" s="402"/>
      <c r="ALO1351" s="402"/>
      <c r="ALP1351" s="402"/>
      <c r="ALQ1351" s="402"/>
      <c r="ALR1351" s="402"/>
      <c r="ALS1351" s="402"/>
      <c r="ALT1351" s="402"/>
      <c r="ALU1351" s="402"/>
      <c r="ALV1351" s="402"/>
      <c r="ALW1351" s="402"/>
      <c r="ALX1351" s="402"/>
      <c r="ALY1351" s="402"/>
      <c r="ALZ1351" s="402"/>
      <c r="AMA1351" s="402"/>
      <c r="AMB1351" s="402"/>
      <c r="AMC1351" s="402"/>
      <c r="AMD1351" s="402"/>
      <c r="AME1351" s="402"/>
      <c r="AMF1351" s="402"/>
      <c r="AMG1351" s="402"/>
      <c r="AMH1351" s="402"/>
      <c r="AMI1351" s="402"/>
      <c r="AMJ1351" s="402"/>
      <c r="AMK1351" s="402"/>
      <c r="AML1351" s="402"/>
      <c r="AMM1351" s="402"/>
      <c r="AMN1351" s="402"/>
      <c r="AMO1351" s="402"/>
      <c r="AMP1351" s="402"/>
      <c r="AMQ1351" s="402"/>
      <c r="AMR1351" s="402"/>
      <c r="AMS1351" s="402"/>
      <c r="AMT1351" s="402"/>
      <c r="AMU1351" s="402"/>
      <c r="AMV1351" s="402"/>
      <c r="AMW1351" s="402"/>
      <c r="AMX1351" s="402"/>
      <c r="AMY1351" s="402"/>
      <c r="AMZ1351" s="402"/>
      <c r="ANA1351" s="402"/>
      <c r="ANB1351" s="402"/>
      <c r="ANC1351" s="402"/>
      <c r="AND1351" s="402"/>
      <c r="ANE1351" s="402"/>
      <c r="ANF1351" s="402"/>
      <c r="ANG1351" s="402"/>
      <c r="ANH1351" s="402"/>
      <c r="ANI1351" s="402"/>
      <c r="ANJ1351" s="402"/>
      <c r="ANK1351" s="402"/>
      <c r="ANL1351" s="402"/>
      <c r="ANM1351" s="402"/>
      <c r="ANN1351" s="402"/>
      <c r="ANO1351" s="402"/>
      <c r="ANP1351" s="402"/>
      <c r="ANQ1351" s="402"/>
      <c r="ANR1351" s="402"/>
      <c r="ANS1351" s="402"/>
      <c r="ANT1351" s="402"/>
      <c r="ANU1351" s="402"/>
      <c r="ANV1351" s="402"/>
      <c r="ANW1351" s="402"/>
      <c r="ANX1351" s="402"/>
      <c r="ANY1351" s="402"/>
      <c r="ANZ1351" s="402"/>
      <c r="AOA1351" s="402"/>
      <c r="AOB1351" s="402"/>
      <c r="AOC1351" s="402"/>
      <c r="AOD1351" s="402"/>
      <c r="AOE1351" s="402"/>
      <c r="AOF1351" s="402"/>
      <c r="AOG1351" s="402"/>
      <c r="AOH1351" s="402"/>
      <c r="AOI1351" s="402"/>
      <c r="AOJ1351" s="402"/>
      <c r="AOK1351" s="402"/>
      <c r="AOL1351" s="402"/>
      <c r="AOM1351" s="402"/>
      <c r="AON1351" s="402"/>
      <c r="AOO1351" s="402"/>
      <c r="AOP1351" s="402"/>
      <c r="AOQ1351" s="402"/>
      <c r="AOR1351" s="402"/>
      <c r="AOS1351" s="402"/>
      <c r="AOT1351" s="402"/>
      <c r="AOU1351" s="402"/>
      <c r="AOV1351" s="402"/>
      <c r="AOW1351" s="402"/>
      <c r="AOX1351" s="402"/>
      <c r="AOY1351" s="402"/>
      <c r="AOZ1351" s="402"/>
      <c r="APA1351" s="402"/>
      <c r="APB1351" s="402"/>
      <c r="APC1351" s="402"/>
      <c r="APD1351" s="402"/>
      <c r="APE1351" s="402"/>
      <c r="APF1351" s="402"/>
      <c r="APG1351" s="402"/>
      <c r="APH1351" s="402"/>
      <c r="API1351" s="402"/>
      <c r="APJ1351" s="402"/>
      <c r="APK1351" s="402"/>
      <c r="APL1351" s="402"/>
      <c r="APM1351" s="402"/>
      <c r="APN1351" s="402"/>
      <c r="APO1351" s="402"/>
      <c r="APP1351" s="402"/>
      <c r="APQ1351" s="402"/>
      <c r="APR1351" s="402"/>
      <c r="APS1351" s="402"/>
      <c r="APT1351" s="402"/>
      <c r="APU1351" s="402"/>
      <c r="APV1351" s="402"/>
      <c r="APW1351" s="402"/>
      <c r="APX1351" s="402"/>
      <c r="APY1351" s="402"/>
      <c r="APZ1351" s="402"/>
      <c r="AQA1351" s="402"/>
      <c r="AQB1351" s="402"/>
      <c r="AQC1351" s="402"/>
      <c r="AQD1351" s="402"/>
      <c r="AQE1351" s="402"/>
      <c r="AQF1351" s="402"/>
      <c r="AQG1351" s="402"/>
      <c r="AQH1351" s="402"/>
      <c r="AQI1351" s="402"/>
      <c r="AQJ1351" s="402"/>
      <c r="AQK1351" s="402"/>
      <c r="AQL1351" s="402"/>
      <c r="AQM1351" s="402"/>
      <c r="AQN1351" s="402"/>
      <c r="AQO1351" s="402"/>
      <c r="AQP1351" s="402"/>
      <c r="AQQ1351" s="402"/>
      <c r="AQR1351" s="402"/>
      <c r="AQS1351" s="402"/>
      <c r="AQT1351" s="402"/>
      <c r="AQU1351" s="402"/>
      <c r="AQV1351" s="402"/>
      <c r="AQW1351" s="402"/>
      <c r="AQX1351" s="402"/>
      <c r="AQY1351" s="402"/>
      <c r="AQZ1351" s="402"/>
      <c r="ARA1351" s="402"/>
      <c r="ARB1351" s="402"/>
      <c r="ARC1351" s="402"/>
      <c r="ARD1351" s="402"/>
      <c r="ARE1351" s="402"/>
      <c r="ARF1351" s="402"/>
      <c r="ARG1351" s="402"/>
      <c r="ARH1351" s="402"/>
      <c r="ARI1351" s="402"/>
      <c r="ARJ1351" s="402"/>
      <c r="ARK1351" s="402"/>
      <c r="ARL1351" s="402"/>
      <c r="ARM1351" s="402"/>
      <c r="ARN1351" s="402"/>
      <c r="ARO1351" s="402"/>
      <c r="ARP1351" s="402"/>
      <c r="ARQ1351" s="402"/>
      <c r="ARR1351" s="402"/>
      <c r="ARS1351" s="402"/>
      <c r="ART1351" s="402"/>
      <c r="ARU1351" s="402"/>
      <c r="ARV1351" s="402"/>
      <c r="ARW1351" s="402"/>
      <c r="ARX1351" s="402"/>
      <c r="ARY1351" s="402"/>
      <c r="ARZ1351" s="402"/>
      <c r="ASA1351" s="402"/>
      <c r="ASB1351" s="402"/>
      <c r="ASC1351" s="402"/>
      <c r="ASD1351" s="402"/>
      <c r="ASE1351" s="402"/>
      <c r="ASF1351" s="402"/>
      <c r="ASG1351" s="402"/>
      <c r="ASH1351" s="402"/>
      <c r="ASI1351" s="402"/>
      <c r="ASJ1351" s="402"/>
      <c r="ASK1351" s="402"/>
      <c r="ASL1351" s="402"/>
      <c r="ASM1351" s="402"/>
      <c r="ASN1351" s="402"/>
      <c r="ASO1351" s="402"/>
      <c r="ASP1351" s="402"/>
      <c r="ASQ1351" s="402"/>
      <c r="ASR1351" s="402"/>
      <c r="ASS1351" s="402"/>
      <c r="AST1351" s="402"/>
      <c r="ASU1351" s="402"/>
      <c r="ASV1351" s="402"/>
      <c r="ASW1351" s="402"/>
      <c r="ASX1351" s="402"/>
      <c r="ASY1351" s="402"/>
      <c r="ASZ1351" s="402"/>
      <c r="ATA1351" s="402"/>
      <c r="ATB1351" s="402"/>
      <c r="ATC1351" s="402"/>
      <c r="ATD1351" s="402"/>
      <c r="ATE1351" s="402"/>
      <c r="ATF1351" s="402"/>
      <c r="ATG1351" s="402"/>
      <c r="ATH1351" s="402"/>
      <c r="ATI1351" s="402"/>
      <c r="ATJ1351" s="402"/>
      <c r="ATK1351" s="402"/>
      <c r="ATL1351" s="402"/>
      <c r="ATM1351" s="402"/>
      <c r="ATN1351" s="402"/>
      <c r="ATO1351" s="402"/>
      <c r="ATP1351" s="402"/>
      <c r="ATQ1351" s="402"/>
      <c r="ATR1351" s="402"/>
      <c r="ATS1351" s="402"/>
      <c r="ATT1351" s="402"/>
      <c r="ATU1351" s="402"/>
      <c r="ATV1351" s="402"/>
      <c r="ATW1351" s="402"/>
      <c r="ATX1351" s="402"/>
      <c r="ATY1351" s="402"/>
      <c r="ATZ1351" s="402"/>
      <c r="AUA1351" s="402"/>
      <c r="AUB1351" s="402"/>
      <c r="AUC1351" s="402"/>
      <c r="AUD1351" s="402"/>
      <c r="AUE1351" s="402"/>
      <c r="AUF1351" s="402"/>
      <c r="AUG1351" s="402"/>
      <c r="AUH1351" s="402"/>
      <c r="AUI1351" s="402"/>
      <c r="AUJ1351" s="402"/>
      <c r="AUK1351" s="402"/>
      <c r="AUL1351" s="402"/>
      <c r="AUM1351" s="402"/>
      <c r="AUN1351" s="402"/>
      <c r="AUO1351" s="402"/>
      <c r="AUP1351" s="402"/>
      <c r="AUQ1351" s="402"/>
      <c r="AUR1351" s="402"/>
      <c r="AUS1351" s="402"/>
      <c r="AUT1351" s="402"/>
      <c r="AUU1351" s="402"/>
      <c r="AUV1351" s="402"/>
      <c r="AUW1351" s="402"/>
      <c r="AUX1351" s="402"/>
      <c r="AUY1351" s="402"/>
      <c r="AUZ1351" s="402"/>
      <c r="AVA1351" s="402"/>
      <c r="AVB1351" s="402"/>
      <c r="AVC1351" s="402"/>
      <c r="AVD1351" s="402"/>
      <c r="AVE1351" s="402"/>
      <c r="AVF1351" s="402"/>
      <c r="AVG1351" s="402"/>
      <c r="AVH1351" s="402"/>
      <c r="AVI1351" s="402"/>
      <c r="AVJ1351" s="402"/>
      <c r="AVK1351" s="402"/>
    </row>
    <row r="1352" spans="1:1259" s="442" customFormat="1" ht="15" customHeight="1">
      <c r="A1352" s="403"/>
      <c r="B1352" s="403"/>
      <c r="C1352" s="403"/>
      <c r="D1352" s="443" t="s">
        <v>2480</v>
      </c>
      <c r="E1352" s="432"/>
      <c r="F1352" s="432"/>
      <c r="G1352" s="432">
        <v>2022</v>
      </c>
      <c r="H1352" s="432"/>
      <c r="I1352" s="427" t="s">
        <v>1498</v>
      </c>
      <c r="J1352" s="433"/>
      <c r="K1352" s="434" t="s">
        <v>3749</v>
      </c>
      <c r="L1352" s="432" t="s">
        <v>2518</v>
      </c>
      <c r="M1352" s="435">
        <v>44601</v>
      </c>
      <c r="N1352" s="435">
        <v>44650</v>
      </c>
      <c r="O1352" s="435"/>
      <c r="P1352" s="433"/>
      <c r="Q1352" s="433"/>
      <c r="R1352" s="433"/>
      <c r="S1352" s="432" t="s">
        <v>1940</v>
      </c>
      <c r="T1352" s="432">
        <v>60</v>
      </c>
      <c r="U1352" s="432"/>
      <c r="V1352" s="432" t="s">
        <v>973</v>
      </c>
      <c r="W1352" s="432">
        <v>400</v>
      </c>
      <c r="X1352" s="436">
        <v>416</v>
      </c>
      <c r="Y1352" s="422">
        <f t="shared" si="166"/>
        <v>166400</v>
      </c>
      <c r="Z1352" s="437">
        <v>0.54</v>
      </c>
      <c r="AA1352" s="423">
        <f t="shared" si="167"/>
        <v>89856</v>
      </c>
      <c r="AB1352" s="411"/>
      <c r="AC1352" s="412">
        <f t="shared" si="168"/>
        <v>0</v>
      </c>
      <c r="AD1352" s="439"/>
      <c r="AE1352" s="438">
        <v>3425.76</v>
      </c>
      <c r="AF1352" s="424">
        <f t="shared" si="169"/>
        <v>93281.76</v>
      </c>
      <c r="AG1352" s="432" t="s">
        <v>47</v>
      </c>
      <c r="AH1352" s="432"/>
      <c r="AI1352" s="434">
        <v>60</v>
      </c>
      <c r="AJ1352" s="432" t="s">
        <v>1679</v>
      </c>
      <c r="AK1352" s="440" t="s">
        <v>50</v>
      </c>
      <c r="AL1352" s="432">
        <v>91761</v>
      </c>
      <c r="AM1352" s="432" t="s">
        <v>52</v>
      </c>
      <c r="AN1352" s="432"/>
      <c r="AO1352" s="432"/>
      <c r="AP1352" s="441"/>
      <c r="AQ1352" s="441" t="s">
        <v>37</v>
      </c>
      <c r="AR1352" s="441"/>
      <c r="AS1352" s="426"/>
      <c r="AT1352" s="426"/>
      <c r="AU1352" s="426"/>
      <c r="AV1352" s="437">
        <f t="shared" si="170"/>
        <v>0.48000000000000004</v>
      </c>
      <c r="AW1352" s="402"/>
      <c r="AX1352" s="402"/>
      <c r="AY1352" s="402"/>
      <c r="AZ1352" s="402"/>
      <c r="BA1352" s="402"/>
      <c r="BB1352" s="402"/>
      <c r="BC1352" s="402"/>
      <c r="BD1352" s="402"/>
      <c r="BE1352" s="402"/>
      <c r="BF1352" s="402"/>
      <c r="BG1352" s="402"/>
      <c r="BH1352" s="402"/>
      <c r="BI1352" s="402"/>
      <c r="BJ1352" s="402"/>
      <c r="BK1352" s="402"/>
      <c r="BL1352" s="402"/>
      <c r="BM1352" s="402"/>
      <c r="BN1352" s="402"/>
      <c r="BO1352" s="402"/>
      <c r="BP1352" s="402"/>
      <c r="BQ1352" s="402"/>
      <c r="BR1352" s="402"/>
      <c r="BS1352" s="402"/>
      <c r="BT1352" s="402"/>
      <c r="BU1352" s="402"/>
      <c r="BV1352" s="402"/>
      <c r="BW1352" s="402"/>
      <c r="BX1352" s="402"/>
      <c r="BY1352" s="402"/>
      <c r="BZ1352" s="402"/>
      <c r="CA1352" s="402"/>
      <c r="CB1352" s="402"/>
      <c r="CC1352" s="402"/>
      <c r="CD1352" s="402"/>
      <c r="CE1352" s="402"/>
      <c r="CF1352" s="402"/>
      <c r="CG1352" s="402"/>
      <c r="CH1352" s="402"/>
      <c r="CI1352" s="402"/>
      <c r="CJ1352" s="402"/>
      <c r="CK1352" s="402"/>
      <c r="CL1352" s="402"/>
      <c r="CM1352" s="402"/>
      <c r="CN1352" s="402"/>
      <c r="CO1352" s="402"/>
      <c r="CP1352" s="402"/>
      <c r="CQ1352" s="402"/>
      <c r="CR1352" s="402"/>
      <c r="CS1352" s="402"/>
      <c r="CT1352" s="402"/>
      <c r="CU1352" s="402"/>
      <c r="CV1352" s="402"/>
      <c r="CW1352" s="402"/>
      <c r="CX1352" s="402"/>
      <c r="CY1352" s="402"/>
      <c r="CZ1352" s="402"/>
      <c r="DA1352" s="402"/>
      <c r="DB1352" s="402"/>
      <c r="DC1352" s="402"/>
      <c r="DD1352" s="402"/>
      <c r="DE1352" s="402"/>
      <c r="DF1352" s="402"/>
      <c r="DG1352" s="402"/>
      <c r="DH1352" s="402"/>
      <c r="DI1352" s="402"/>
      <c r="DJ1352" s="402"/>
      <c r="DK1352" s="402"/>
      <c r="DL1352" s="402"/>
      <c r="DM1352" s="402"/>
      <c r="DN1352" s="402"/>
      <c r="DO1352" s="402"/>
      <c r="DP1352" s="402"/>
      <c r="DQ1352" s="402"/>
      <c r="DR1352" s="402"/>
      <c r="DS1352" s="402"/>
      <c r="DT1352" s="402"/>
      <c r="DU1352" s="402"/>
      <c r="DV1352" s="402"/>
      <c r="DW1352" s="402"/>
      <c r="DX1352" s="402"/>
      <c r="DY1352" s="402"/>
      <c r="DZ1352" s="402"/>
      <c r="EA1352" s="402"/>
      <c r="EB1352" s="402"/>
      <c r="EC1352" s="402"/>
      <c r="ED1352" s="402"/>
      <c r="EE1352" s="402"/>
      <c r="EF1352" s="402"/>
      <c r="EG1352" s="402"/>
      <c r="EH1352" s="402"/>
      <c r="EI1352" s="402"/>
      <c r="EJ1352" s="402"/>
      <c r="EK1352" s="402"/>
      <c r="EL1352" s="402"/>
      <c r="EM1352" s="402"/>
      <c r="EN1352" s="402"/>
      <c r="EO1352" s="402"/>
      <c r="EP1352" s="402"/>
      <c r="EQ1352" s="402"/>
      <c r="ER1352" s="402"/>
      <c r="ES1352" s="402"/>
      <c r="ET1352" s="402"/>
      <c r="EU1352" s="402"/>
      <c r="EV1352" s="402"/>
      <c r="EW1352" s="402"/>
      <c r="EX1352" s="402"/>
      <c r="EY1352" s="402"/>
      <c r="EZ1352" s="402"/>
      <c r="FA1352" s="402"/>
      <c r="FB1352" s="402"/>
      <c r="FC1352" s="402"/>
      <c r="FD1352" s="402"/>
      <c r="FE1352" s="402"/>
      <c r="FF1352" s="402"/>
      <c r="FG1352" s="402"/>
      <c r="FH1352" s="402"/>
      <c r="FI1352" s="402"/>
      <c r="FJ1352" s="402"/>
      <c r="FK1352" s="402"/>
      <c r="FL1352" s="402"/>
      <c r="FM1352" s="402"/>
      <c r="FN1352" s="402"/>
      <c r="FO1352" s="402"/>
      <c r="FP1352" s="402"/>
      <c r="FQ1352" s="402"/>
      <c r="FR1352" s="402"/>
      <c r="FS1352" s="402"/>
      <c r="FT1352" s="402"/>
      <c r="FU1352" s="402"/>
      <c r="FV1352" s="402"/>
      <c r="FW1352" s="402"/>
      <c r="FX1352" s="402"/>
      <c r="FY1352" s="402"/>
      <c r="FZ1352" s="402"/>
      <c r="GA1352" s="402"/>
      <c r="GB1352" s="402"/>
      <c r="GC1352" s="402"/>
      <c r="GD1352" s="402"/>
      <c r="GE1352" s="402"/>
      <c r="GF1352" s="402"/>
      <c r="GG1352" s="402"/>
      <c r="GH1352" s="402"/>
      <c r="GI1352" s="402"/>
      <c r="GJ1352" s="402"/>
      <c r="GK1352" s="402"/>
      <c r="GL1352" s="402"/>
      <c r="GM1352" s="402"/>
      <c r="GN1352" s="402"/>
      <c r="GO1352" s="402"/>
      <c r="GP1352" s="402"/>
      <c r="GQ1352" s="402"/>
      <c r="GR1352" s="402"/>
      <c r="GS1352" s="402"/>
      <c r="GT1352" s="402"/>
      <c r="GU1352" s="402"/>
      <c r="GV1352" s="402"/>
      <c r="GW1352" s="402"/>
      <c r="GX1352" s="402"/>
      <c r="GY1352" s="402"/>
      <c r="GZ1352" s="402"/>
      <c r="HA1352" s="402"/>
      <c r="HB1352" s="402"/>
      <c r="HC1352" s="402"/>
      <c r="HD1352" s="402"/>
      <c r="HE1352" s="402"/>
      <c r="HF1352" s="402"/>
      <c r="HG1352" s="402"/>
      <c r="HH1352" s="402"/>
      <c r="HI1352" s="402"/>
      <c r="HJ1352" s="402"/>
      <c r="HK1352" s="402"/>
      <c r="HL1352" s="402"/>
      <c r="HM1352" s="402"/>
      <c r="HN1352" s="402"/>
      <c r="HO1352" s="402"/>
      <c r="HP1352" s="402"/>
      <c r="HQ1352" s="402"/>
      <c r="HR1352" s="402"/>
      <c r="HS1352" s="402"/>
      <c r="HT1352" s="402"/>
      <c r="HU1352" s="402"/>
      <c r="HV1352" s="402"/>
      <c r="HW1352" s="402"/>
      <c r="HX1352" s="402"/>
      <c r="HY1352" s="402"/>
      <c r="HZ1352" s="402"/>
      <c r="IA1352" s="402"/>
      <c r="IB1352" s="402"/>
      <c r="IC1352" s="402"/>
      <c r="ID1352" s="402"/>
      <c r="IE1352" s="402"/>
      <c r="IF1352" s="402"/>
      <c r="IG1352" s="402"/>
      <c r="IH1352" s="402"/>
      <c r="II1352" s="402"/>
      <c r="IJ1352" s="402"/>
      <c r="IK1352" s="402"/>
      <c r="IL1352" s="402"/>
      <c r="IM1352" s="402"/>
      <c r="IN1352" s="402"/>
      <c r="IO1352" s="402"/>
      <c r="IP1352" s="402"/>
      <c r="IQ1352" s="402"/>
      <c r="IR1352" s="402"/>
      <c r="IS1352" s="402"/>
      <c r="IT1352" s="402"/>
      <c r="IU1352" s="402"/>
      <c r="IV1352" s="402"/>
      <c r="IW1352" s="402"/>
      <c r="IX1352" s="402"/>
      <c r="IY1352" s="402"/>
      <c r="IZ1352" s="402"/>
      <c r="JA1352" s="402"/>
      <c r="JB1352" s="402"/>
      <c r="JC1352" s="402"/>
      <c r="JD1352" s="402"/>
      <c r="JE1352" s="402"/>
      <c r="JF1352" s="402"/>
      <c r="JG1352" s="402"/>
      <c r="JH1352" s="402"/>
      <c r="JI1352" s="402"/>
      <c r="JJ1352" s="402"/>
      <c r="JK1352" s="402"/>
      <c r="JL1352" s="402"/>
      <c r="JM1352" s="402"/>
      <c r="JN1352" s="402"/>
      <c r="JO1352" s="402"/>
      <c r="JP1352" s="402"/>
      <c r="JQ1352" s="402"/>
      <c r="JR1352" s="402"/>
      <c r="JS1352" s="402"/>
      <c r="JT1352" s="402"/>
      <c r="JU1352" s="402"/>
      <c r="JV1352" s="402"/>
      <c r="JW1352" s="402"/>
      <c r="JX1352" s="402"/>
      <c r="JY1352" s="402"/>
      <c r="JZ1352" s="402"/>
      <c r="KA1352" s="402"/>
      <c r="KB1352" s="402"/>
      <c r="KC1352" s="402"/>
      <c r="KD1352" s="402"/>
      <c r="KE1352" s="402"/>
      <c r="KF1352" s="402"/>
      <c r="KG1352" s="402"/>
      <c r="KH1352" s="402"/>
      <c r="KI1352" s="402"/>
      <c r="KJ1352" s="402"/>
      <c r="KK1352" s="402"/>
      <c r="KL1352" s="402"/>
      <c r="KM1352" s="402"/>
      <c r="KN1352" s="402"/>
      <c r="KO1352" s="402"/>
      <c r="KP1352" s="402"/>
      <c r="KQ1352" s="402"/>
      <c r="KR1352" s="402"/>
      <c r="KS1352" s="402"/>
      <c r="KT1352" s="402"/>
      <c r="KU1352" s="402"/>
      <c r="KV1352" s="402"/>
      <c r="KW1352" s="402"/>
      <c r="KX1352" s="402"/>
      <c r="KY1352" s="402"/>
      <c r="KZ1352" s="402"/>
      <c r="LA1352" s="402"/>
      <c r="LB1352" s="402"/>
      <c r="LC1352" s="402"/>
      <c r="LD1352" s="402"/>
      <c r="LE1352" s="402"/>
      <c r="LF1352" s="402"/>
      <c r="LG1352" s="402"/>
      <c r="LH1352" s="402"/>
      <c r="LI1352" s="402"/>
      <c r="LJ1352" s="402"/>
      <c r="LK1352" s="402"/>
      <c r="LL1352" s="402"/>
      <c r="LM1352" s="402"/>
      <c r="LN1352" s="402"/>
      <c r="LO1352" s="402"/>
      <c r="LP1352" s="402"/>
      <c r="LQ1352" s="402"/>
      <c r="LR1352" s="402"/>
      <c r="LS1352" s="402"/>
      <c r="LT1352" s="402"/>
      <c r="LU1352" s="402"/>
      <c r="LV1352" s="402"/>
      <c r="LW1352" s="402"/>
      <c r="LX1352" s="402"/>
      <c r="LY1352" s="402"/>
      <c r="LZ1352" s="402"/>
      <c r="MA1352" s="402"/>
      <c r="MB1352" s="402"/>
      <c r="MC1352" s="402"/>
      <c r="MD1352" s="402"/>
      <c r="ME1352" s="402"/>
      <c r="MF1352" s="402"/>
      <c r="MG1352" s="402"/>
      <c r="MH1352" s="402"/>
      <c r="MI1352" s="402"/>
      <c r="MJ1352" s="402"/>
      <c r="MK1352" s="402"/>
      <c r="ML1352" s="402"/>
      <c r="MM1352" s="402"/>
      <c r="MN1352" s="402"/>
      <c r="MO1352" s="402"/>
      <c r="MP1352" s="402"/>
      <c r="MQ1352" s="402"/>
      <c r="MR1352" s="402"/>
      <c r="MS1352" s="402"/>
      <c r="MT1352" s="402"/>
      <c r="MU1352" s="402"/>
      <c r="MV1352" s="402"/>
      <c r="MW1352" s="402"/>
      <c r="MX1352" s="402"/>
      <c r="MY1352" s="402"/>
      <c r="MZ1352" s="402"/>
      <c r="NA1352" s="402"/>
      <c r="NB1352" s="402"/>
      <c r="NC1352" s="402"/>
      <c r="ND1352" s="402"/>
      <c r="NE1352" s="402"/>
      <c r="NF1352" s="402"/>
      <c r="NG1352" s="402"/>
      <c r="NH1352" s="402"/>
      <c r="NI1352" s="402"/>
      <c r="NJ1352" s="402"/>
      <c r="NK1352" s="402"/>
      <c r="NL1352" s="402"/>
      <c r="NM1352" s="402"/>
      <c r="NN1352" s="402"/>
      <c r="NO1352" s="402"/>
      <c r="NP1352" s="402"/>
      <c r="NQ1352" s="402"/>
      <c r="NR1352" s="402"/>
      <c r="NS1352" s="402"/>
      <c r="NT1352" s="402"/>
      <c r="NU1352" s="402"/>
      <c r="NV1352" s="402"/>
      <c r="NW1352" s="402"/>
      <c r="NX1352" s="402"/>
      <c r="NY1352" s="402"/>
      <c r="NZ1352" s="402"/>
      <c r="OA1352" s="402"/>
      <c r="OB1352" s="402"/>
      <c r="OC1352" s="402"/>
      <c r="OD1352" s="402"/>
      <c r="OE1352" s="402"/>
      <c r="OF1352" s="402"/>
      <c r="OG1352" s="402"/>
      <c r="OH1352" s="402"/>
      <c r="OI1352" s="402"/>
      <c r="OJ1352" s="402"/>
      <c r="OK1352" s="402"/>
      <c r="OL1352" s="402"/>
      <c r="OM1352" s="402"/>
      <c r="ON1352" s="402"/>
      <c r="OO1352" s="402"/>
      <c r="OP1352" s="402"/>
      <c r="OQ1352" s="402"/>
      <c r="OR1352" s="402"/>
      <c r="OS1352" s="402"/>
      <c r="OT1352" s="402"/>
      <c r="OU1352" s="402"/>
      <c r="OV1352" s="402"/>
      <c r="OW1352" s="402"/>
      <c r="OX1352" s="402"/>
      <c r="OY1352" s="402"/>
      <c r="OZ1352" s="402"/>
      <c r="PA1352" s="402"/>
      <c r="PB1352" s="402"/>
      <c r="PC1352" s="402"/>
      <c r="PD1352" s="402"/>
      <c r="PE1352" s="402"/>
      <c r="PF1352" s="402"/>
      <c r="PG1352" s="402"/>
      <c r="PH1352" s="402"/>
      <c r="PI1352" s="402"/>
      <c r="PJ1352" s="402"/>
      <c r="PK1352" s="402"/>
      <c r="PL1352" s="402"/>
      <c r="PM1352" s="402"/>
      <c r="PN1352" s="402"/>
      <c r="PO1352" s="402"/>
      <c r="PP1352" s="402"/>
      <c r="PQ1352" s="402"/>
      <c r="PR1352" s="402"/>
      <c r="PS1352" s="402"/>
      <c r="PT1352" s="402"/>
      <c r="PU1352" s="402"/>
      <c r="PV1352" s="402"/>
      <c r="PW1352" s="402"/>
      <c r="PX1352" s="402"/>
      <c r="PY1352" s="402"/>
      <c r="PZ1352" s="402"/>
      <c r="QA1352" s="402"/>
      <c r="QB1352" s="402"/>
      <c r="QC1352" s="402"/>
      <c r="QD1352" s="402"/>
      <c r="QE1352" s="402"/>
      <c r="QF1352" s="402"/>
      <c r="QG1352" s="402"/>
      <c r="QH1352" s="402"/>
      <c r="QI1352" s="402"/>
      <c r="QJ1352" s="402"/>
      <c r="QK1352" s="402"/>
      <c r="QL1352" s="402"/>
      <c r="QM1352" s="402"/>
      <c r="QN1352" s="402"/>
      <c r="QO1352" s="402"/>
      <c r="QP1352" s="402"/>
      <c r="QQ1352" s="402"/>
      <c r="QR1352" s="402"/>
      <c r="QS1352" s="402"/>
      <c r="QT1352" s="402"/>
      <c r="QU1352" s="402"/>
      <c r="QV1352" s="402"/>
      <c r="QW1352" s="402"/>
      <c r="QX1352" s="402"/>
      <c r="QY1352" s="402"/>
      <c r="QZ1352" s="402"/>
      <c r="RA1352" s="402"/>
      <c r="RB1352" s="402"/>
      <c r="RC1352" s="402"/>
      <c r="RD1352" s="402"/>
      <c r="RE1352" s="402"/>
      <c r="RF1352" s="402"/>
      <c r="RG1352" s="402"/>
      <c r="RH1352" s="402"/>
      <c r="RI1352" s="402"/>
      <c r="RJ1352" s="402"/>
      <c r="RK1352" s="402"/>
      <c r="RL1352" s="402"/>
      <c r="RM1352" s="402"/>
      <c r="RN1352" s="402"/>
      <c r="RO1352" s="402"/>
      <c r="RP1352" s="402"/>
      <c r="RQ1352" s="402"/>
      <c r="RR1352" s="402"/>
      <c r="RS1352" s="402"/>
      <c r="RT1352" s="402"/>
      <c r="RU1352" s="402"/>
      <c r="RV1352" s="402"/>
      <c r="RW1352" s="402"/>
      <c r="RX1352" s="402"/>
      <c r="RY1352" s="402"/>
      <c r="RZ1352" s="402"/>
      <c r="SA1352" s="402"/>
      <c r="SB1352" s="402"/>
      <c r="SC1352" s="402"/>
      <c r="SD1352" s="402"/>
      <c r="SE1352" s="402"/>
      <c r="SF1352" s="402"/>
      <c r="SG1352" s="402"/>
      <c r="SH1352" s="402"/>
      <c r="SI1352" s="402"/>
      <c r="SJ1352" s="402"/>
      <c r="SK1352" s="402"/>
      <c r="SL1352" s="402"/>
      <c r="SM1352" s="402"/>
      <c r="SN1352" s="402"/>
      <c r="SO1352" s="402"/>
      <c r="SP1352" s="402"/>
      <c r="SQ1352" s="402"/>
      <c r="SR1352" s="402"/>
      <c r="SS1352" s="402"/>
      <c r="ST1352" s="402"/>
      <c r="SU1352" s="402"/>
      <c r="SV1352" s="402"/>
      <c r="SW1352" s="402"/>
      <c r="SX1352" s="402"/>
      <c r="SY1352" s="402"/>
      <c r="SZ1352" s="402"/>
      <c r="TA1352" s="402"/>
      <c r="TB1352" s="402"/>
      <c r="TC1352" s="402"/>
      <c r="TD1352" s="402"/>
      <c r="TE1352" s="402"/>
      <c r="TF1352" s="402"/>
      <c r="TG1352" s="402"/>
      <c r="TH1352" s="402"/>
      <c r="TI1352" s="402"/>
      <c r="TJ1352" s="402"/>
      <c r="TK1352" s="402"/>
      <c r="TL1352" s="402"/>
      <c r="TM1352" s="402"/>
      <c r="TN1352" s="402"/>
      <c r="TO1352" s="402"/>
      <c r="TP1352" s="402"/>
      <c r="TQ1352" s="402"/>
      <c r="TR1352" s="402"/>
      <c r="TS1352" s="402"/>
      <c r="TT1352" s="402"/>
      <c r="TU1352" s="402"/>
      <c r="TV1352" s="402"/>
      <c r="TW1352" s="402"/>
      <c r="TX1352" s="402"/>
      <c r="TY1352" s="402"/>
      <c r="TZ1352" s="402"/>
      <c r="UA1352" s="402"/>
      <c r="UB1352" s="402"/>
      <c r="UC1352" s="402"/>
      <c r="UD1352" s="402"/>
      <c r="UE1352" s="402"/>
      <c r="UF1352" s="402"/>
      <c r="UG1352" s="402"/>
      <c r="UH1352" s="402"/>
      <c r="UI1352" s="402"/>
      <c r="UJ1352" s="402"/>
      <c r="UK1352" s="402"/>
      <c r="UL1352" s="402"/>
      <c r="UM1352" s="402"/>
      <c r="UN1352" s="402"/>
      <c r="UO1352" s="402"/>
      <c r="UP1352" s="402"/>
      <c r="UQ1352" s="402"/>
      <c r="UR1352" s="402"/>
      <c r="US1352" s="402"/>
      <c r="UT1352" s="402"/>
      <c r="UU1352" s="402"/>
      <c r="UV1352" s="402"/>
      <c r="UW1352" s="402"/>
      <c r="UX1352" s="402"/>
      <c r="UY1352" s="402"/>
      <c r="UZ1352" s="402"/>
      <c r="VA1352" s="402"/>
      <c r="VB1352" s="402"/>
      <c r="VC1352" s="402"/>
      <c r="VD1352" s="402"/>
      <c r="VE1352" s="402"/>
      <c r="VF1352" s="402"/>
      <c r="VG1352" s="402"/>
      <c r="VH1352" s="402"/>
      <c r="VI1352" s="402"/>
      <c r="VJ1352" s="402"/>
      <c r="VK1352" s="402"/>
      <c r="VL1352" s="402"/>
      <c r="VM1352" s="402"/>
      <c r="VN1352" s="402"/>
      <c r="VO1352" s="402"/>
      <c r="VP1352" s="402"/>
      <c r="VQ1352" s="402"/>
      <c r="VR1352" s="402"/>
      <c r="VS1352" s="402"/>
      <c r="VT1352" s="402"/>
      <c r="VU1352" s="402"/>
      <c r="VV1352" s="402"/>
      <c r="VW1352" s="402"/>
      <c r="VX1352" s="402"/>
      <c r="VY1352" s="402"/>
      <c r="VZ1352" s="402"/>
      <c r="WA1352" s="402"/>
      <c r="WB1352" s="402"/>
      <c r="WC1352" s="402"/>
      <c r="WD1352" s="402"/>
      <c r="WE1352" s="402"/>
      <c r="WF1352" s="402"/>
      <c r="WG1352" s="402"/>
      <c r="WH1352" s="402"/>
      <c r="WI1352" s="402"/>
      <c r="WJ1352" s="402"/>
      <c r="WK1352" s="402"/>
      <c r="WL1352" s="402"/>
      <c r="WM1352" s="402"/>
      <c r="WN1352" s="402"/>
      <c r="WO1352" s="402"/>
      <c r="WP1352" s="402"/>
      <c r="WQ1352" s="402"/>
      <c r="WR1352" s="402"/>
      <c r="WS1352" s="402"/>
      <c r="WT1352" s="402"/>
      <c r="WU1352" s="402"/>
      <c r="WV1352" s="402"/>
      <c r="WW1352" s="402"/>
      <c r="WX1352" s="402"/>
      <c r="WY1352" s="402"/>
      <c r="WZ1352" s="402"/>
      <c r="XA1352" s="402"/>
      <c r="XB1352" s="402"/>
      <c r="XC1352" s="402"/>
      <c r="XD1352" s="402"/>
      <c r="XE1352" s="402"/>
      <c r="XF1352" s="402"/>
      <c r="XG1352" s="402"/>
      <c r="XH1352" s="402"/>
      <c r="XI1352" s="402"/>
      <c r="XJ1352" s="402"/>
      <c r="XK1352" s="402"/>
      <c r="XL1352" s="402"/>
      <c r="XM1352" s="402"/>
      <c r="XN1352" s="402"/>
      <c r="XO1352" s="402"/>
      <c r="XP1352" s="402"/>
      <c r="XQ1352" s="402"/>
      <c r="XR1352" s="402"/>
      <c r="XS1352" s="402"/>
      <c r="XT1352" s="402"/>
      <c r="XU1352" s="402"/>
      <c r="XV1352" s="402"/>
      <c r="XW1352" s="402"/>
      <c r="XX1352" s="402"/>
      <c r="XY1352" s="402"/>
      <c r="XZ1352" s="402"/>
      <c r="YA1352" s="402"/>
      <c r="YB1352" s="402"/>
      <c r="YC1352" s="402"/>
      <c r="YD1352" s="402"/>
      <c r="YE1352" s="402"/>
      <c r="YF1352" s="402"/>
      <c r="YG1352" s="402"/>
      <c r="YH1352" s="402"/>
      <c r="YI1352" s="402"/>
      <c r="YJ1352" s="402"/>
      <c r="YK1352" s="402"/>
      <c r="YL1352" s="402"/>
      <c r="YM1352" s="402"/>
      <c r="YN1352" s="402"/>
      <c r="YO1352" s="402"/>
      <c r="YP1352" s="402"/>
      <c r="YQ1352" s="402"/>
      <c r="YR1352" s="402"/>
      <c r="YS1352" s="402"/>
      <c r="YT1352" s="402"/>
      <c r="YU1352" s="402"/>
      <c r="YV1352" s="402"/>
      <c r="YW1352" s="402"/>
      <c r="YX1352" s="402"/>
      <c r="YY1352" s="402"/>
      <c r="YZ1352" s="402"/>
      <c r="ZA1352" s="402"/>
      <c r="ZB1352" s="402"/>
      <c r="ZC1352" s="402"/>
      <c r="ZD1352" s="402"/>
      <c r="ZE1352" s="402"/>
      <c r="ZF1352" s="402"/>
      <c r="ZG1352" s="402"/>
      <c r="ZH1352" s="402"/>
      <c r="ZI1352" s="402"/>
      <c r="ZJ1352" s="402"/>
      <c r="ZK1352" s="402"/>
      <c r="ZL1352" s="402"/>
      <c r="ZM1352" s="402"/>
      <c r="ZN1352" s="402"/>
      <c r="ZO1352" s="402"/>
      <c r="ZP1352" s="402"/>
      <c r="ZQ1352" s="402"/>
      <c r="ZR1352" s="402"/>
      <c r="ZS1352" s="402"/>
      <c r="ZT1352" s="402"/>
      <c r="ZU1352" s="402"/>
      <c r="ZV1352" s="402"/>
      <c r="ZW1352" s="402"/>
      <c r="ZX1352" s="402"/>
      <c r="ZY1352" s="402"/>
      <c r="ZZ1352" s="402"/>
      <c r="AAA1352" s="402"/>
      <c r="AAB1352" s="402"/>
      <c r="AAC1352" s="402"/>
      <c r="AAD1352" s="402"/>
      <c r="AAE1352" s="402"/>
      <c r="AAF1352" s="402"/>
      <c r="AAG1352" s="402"/>
      <c r="AAH1352" s="402"/>
      <c r="AAI1352" s="402"/>
      <c r="AAJ1352" s="402"/>
      <c r="AAK1352" s="402"/>
      <c r="AAL1352" s="402"/>
      <c r="AAM1352" s="402"/>
      <c r="AAN1352" s="402"/>
      <c r="AAO1352" s="402"/>
      <c r="AAP1352" s="402"/>
      <c r="AAQ1352" s="402"/>
      <c r="AAR1352" s="402"/>
      <c r="AAS1352" s="402"/>
      <c r="AAT1352" s="402"/>
      <c r="AAU1352" s="402"/>
      <c r="AAV1352" s="402"/>
      <c r="AAW1352" s="402"/>
      <c r="AAX1352" s="402"/>
      <c r="AAY1352" s="402"/>
      <c r="AAZ1352" s="402"/>
      <c r="ABA1352" s="402"/>
      <c r="ABB1352" s="402"/>
      <c r="ABC1352" s="402"/>
      <c r="ABD1352" s="402"/>
      <c r="ABE1352" s="402"/>
      <c r="ABF1352" s="402"/>
      <c r="ABG1352" s="402"/>
      <c r="ABH1352" s="402"/>
      <c r="ABI1352" s="402"/>
      <c r="ABJ1352" s="402"/>
      <c r="ABK1352" s="402"/>
      <c r="ABL1352" s="402"/>
      <c r="ABM1352" s="402"/>
      <c r="ABN1352" s="402"/>
      <c r="ABO1352" s="402"/>
      <c r="ABP1352" s="402"/>
      <c r="ABQ1352" s="402"/>
      <c r="ABR1352" s="402"/>
      <c r="ABS1352" s="402"/>
      <c r="ABT1352" s="402"/>
      <c r="ABU1352" s="402"/>
      <c r="ABV1352" s="402"/>
      <c r="ABW1352" s="402"/>
      <c r="ABX1352" s="402"/>
      <c r="ABY1352" s="402"/>
      <c r="ABZ1352" s="402"/>
      <c r="ACA1352" s="402"/>
      <c r="ACB1352" s="402"/>
      <c r="ACC1352" s="402"/>
      <c r="ACD1352" s="402"/>
      <c r="ACE1352" s="402"/>
      <c r="ACF1352" s="402"/>
      <c r="ACG1352" s="402"/>
      <c r="ACH1352" s="402"/>
      <c r="ACI1352" s="402"/>
      <c r="ACJ1352" s="402"/>
      <c r="ACK1352" s="402"/>
      <c r="ACL1352" s="402"/>
      <c r="ACM1352" s="402"/>
      <c r="ACN1352" s="402"/>
      <c r="ACO1352" s="402"/>
      <c r="ACP1352" s="402"/>
      <c r="ACQ1352" s="402"/>
      <c r="ACR1352" s="402"/>
      <c r="ACS1352" s="402"/>
      <c r="ACT1352" s="402"/>
      <c r="ACU1352" s="402"/>
      <c r="ACV1352" s="402"/>
      <c r="ACW1352" s="402"/>
      <c r="ACX1352" s="402"/>
      <c r="ACY1352" s="402"/>
      <c r="ACZ1352" s="402"/>
      <c r="ADA1352" s="402"/>
      <c r="ADB1352" s="402"/>
      <c r="ADC1352" s="402"/>
      <c r="ADD1352" s="402"/>
      <c r="ADE1352" s="402"/>
      <c r="ADF1352" s="402"/>
      <c r="ADG1352" s="402"/>
      <c r="ADH1352" s="402"/>
      <c r="ADI1352" s="402"/>
      <c r="ADJ1352" s="402"/>
      <c r="ADK1352" s="402"/>
      <c r="ADL1352" s="402"/>
      <c r="ADM1352" s="402"/>
      <c r="ADN1352" s="402"/>
      <c r="ADO1352" s="402"/>
      <c r="ADP1352" s="402"/>
      <c r="ADQ1352" s="402"/>
      <c r="ADR1352" s="402"/>
      <c r="ADS1352" s="402"/>
      <c r="ADT1352" s="402"/>
      <c r="ADU1352" s="402"/>
      <c r="ADV1352" s="402"/>
      <c r="ADW1352" s="402"/>
      <c r="ADX1352" s="402"/>
      <c r="ADY1352" s="402"/>
      <c r="ADZ1352" s="402"/>
      <c r="AEA1352" s="402"/>
      <c r="AEB1352" s="402"/>
      <c r="AEC1352" s="402"/>
      <c r="AED1352" s="402"/>
      <c r="AEE1352" s="402"/>
      <c r="AEF1352" s="402"/>
      <c r="AEG1352" s="402"/>
      <c r="AEH1352" s="402"/>
      <c r="AEI1352" s="402"/>
      <c r="AEJ1352" s="402"/>
      <c r="AEK1352" s="402"/>
      <c r="AEL1352" s="402"/>
      <c r="AEM1352" s="402"/>
      <c r="AEN1352" s="402"/>
      <c r="AEO1352" s="402"/>
      <c r="AEP1352" s="402"/>
      <c r="AEQ1352" s="402"/>
      <c r="AER1352" s="402"/>
      <c r="AES1352" s="402"/>
      <c r="AET1352" s="402"/>
      <c r="AEU1352" s="402"/>
      <c r="AEV1352" s="402"/>
      <c r="AEW1352" s="402"/>
      <c r="AEX1352" s="402"/>
      <c r="AEY1352" s="402"/>
      <c r="AEZ1352" s="402"/>
      <c r="AFA1352" s="402"/>
      <c r="AFB1352" s="402"/>
      <c r="AFC1352" s="402"/>
      <c r="AFD1352" s="402"/>
      <c r="AFE1352" s="402"/>
      <c r="AFF1352" s="402"/>
      <c r="AFG1352" s="402"/>
      <c r="AFH1352" s="402"/>
      <c r="AFI1352" s="402"/>
      <c r="AFJ1352" s="402"/>
      <c r="AFK1352" s="402"/>
      <c r="AFL1352" s="402"/>
      <c r="AFM1352" s="402"/>
      <c r="AFN1352" s="402"/>
      <c r="AFO1352" s="402"/>
      <c r="AFP1352" s="402"/>
      <c r="AFQ1352" s="402"/>
      <c r="AFR1352" s="402"/>
      <c r="AFS1352" s="402"/>
      <c r="AFT1352" s="402"/>
      <c r="AFU1352" s="402"/>
      <c r="AFV1352" s="402"/>
      <c r="AFW1352" s="402"/>
      <c r="AFX1352" s="402"/>
      <c r="AFY1352" s="402"/>
      <c r="AFZ1352" s="402"/>
      <c r="AGA1352" s="402"/>
      <c r="AGB1352" s="402"/>
      <c r="AGC1352" s="402"/>
      <c r="AGD1352" s="402"/>
      <c r="AGE1352" s="402"/>
      <c r="AGF1352" s="402"/>
      <c r="AGG1352" s="402"/>
      <c r="AGH1352" s="402"/>
      <c r="AGI1352" s="402"/>
      <c r="AGJ1352" s="402"/>
      <c r="AGK1352" s="402"/>
      <c r="AGL1352" s="402"/>
      <c r="AGM1352" s="402"/>
      <c r="AGN1352" s="402"/>
      <c r="AGO1352" s="402"/>
      <c r="AGP1352" s="402"/>
      <c r="AGQ1352" s="402"/>
      <c r="AGR1352" s="402"/>
      <c r="AGS1352" s="402"/>
      <c r="AGT1352" s="402"/>
      <c r="AGU1352" s="402"/>
      <c r="AGV1352" s="402"/>
      <c r="AGW1352" s="402"/>
      <c r="AGX1352" s="402"/>
      <c r="AGY1352" s="402"/>
      <c r="AGZ1352" s="402"/>
      <c r="AHA1352" s="402"/>
      <c r="AHB1352" s="402"/>
      <c r="AHC1352" s="402"/>
      <c r="AHD1352" s="402"/>
      <c r="AHE1352" s="402"/>
      <c r="AHF1352" s="402"/>
      <c r="AHG1352" s="402"/>
      <c r="AHH1352" s="402"/>
      <c r="AHI1352" s="402"/>
      <c r="AHJ1352" s="402"/>
      <c r="AHK1352" s="402"/>
      <c r="AHL1352" s="402"/>
      <c r="AHM1352" s="402"/>
      <c r="AHN1352" s="402"/>
      <c r="AHO1352" s="402"/>
      <c r="AHP1352" s="402"/>
      <c r="AHQ1352" s="402"/>
      <c r="AHR1352" s="402"/>
      <c r="AHS1352" s="402"/>
      <c r="AHT1352" s="402"/>
      <c r="AHU1352" s="402"/>
      <c r="AHV1352" s="402"/>
      <c r="AHW1352" s="402"/>
      <c r="AHX1352" s="402"/>
      <c r="AHY1352" s="402"/>
      <c r="AHZ1352" s="402"/>
      <c r="AIA1352" s="402"/>
      <c r="AIB1352" s="402"/>
      <c r="AIC1352" s="402"/>
      <c r="AID1352" s="402"/>
      <c r="AIE1352" s="402"/>
      <c r="AIF1352" s="402"/>
      <c r="AIG1352" s="402"/>
      <c r="AIH1352" s="402"/>
      <c r="AII1352" s="402"/>
      <c r="AIJ1352" s="402"/>
      <c r="AIK1352" s="402"/>
      <c r="AIL1352" s="402"/>
      <c r="AIM1352" s="402"/>
      <c r="AIN1352" s="402"/>
      <c r="AIO1352" s="402"/>
      <c r="AIP1352" s="402"/>
      <c r="AIQ1352" s="402"/>
      <c r="AIR1352" s="402"/>
      <c r="AIS1352" s="402"/>
      <c r="AIT1352" s="402"/>
      <c r="AIU1352" s="402"/>
      <c r="AIV1352" s="402"/>
      <c r="AIW1352" s="402"/>
      <c r="AIX1352" s="402"/>
      <c r="AIY1352" s="402"/>
      <c r="AIZ1352" s="402"/>
      <c r="AJA1352" s="402"/>
      <c r="AJB1352" s="402"/>
      <c r="AJC1352" s="402"/>
      <c r="AJD1352" s="402"/>
      <c r="AJE1352" s="402"/>
      <c r="AJF1352" s="402"/>
      <c r="AJG1352" s="402"/>
      <c r="AJH1352" s="402"/>
      <c r="AJI1352" s="402"/>
      <c r="AJJ1352" s="402"/>
      <c r="AJK1352" s="402"/>
      <c r="AJL1352" s="402"/>
      <c r="AJM1352" s="402"/>
      <c r="AJN1352" s="402"/>
      <c r="AJO1352" s="402"/>
      <c r="AJP1352" s="402"/>
      <c r="AJQ1352" s="402"/>
      <c r="AJR1352" s="402"/>
      <c r="AJS1352" s="402"/>
      <c r="AJT1352" s="402"/>
      <c r="AJU1352" s="402"/>
      <c r="AJV1352" s="402"/>
      <c r="AJW1352" s="402"/>
      <c r="AJX1352" s="402"/>
      <c r="AJY1352" s="402"/>
      <c r="AJZ1352" s="402"/>
      <c r="AKA1352" s="402"/>
      <c r="AKB1352" s="402"/>
      <c r="AKC1352" s="402"/>
      <c r="AKD1352" s="402"/>
      <c r="AKE1352" s="402"/>
      <c r="AKF1352" s="402"/>
      <c r="AKG1352" s="402"/>
      <c r="AKH1352" s="402"/>
      <c r="AKI1352" s="402"/>
      <c r="AKJ1352" s="402"/>
      <c r="AKK1352" s="402"/>
      <c r="AKL1352" s="402"/>
      <c r="AKM1352" s="402"/>
      <c r="AKN1352" s="402"/>
      <c r="AKO1352" s="402"/>
      <c r="AKP1352" s="402"/>
      <c r="AKQ1352" s="402"/>
      <c r="AKR1352" s="402"/>
      <c r="AKS1352" s="402"/>
      <c r="AKT1352" s="402"/>
      <c r="AKU1352" s="402"/>
      <c r="AKV1352" s="402"/>
      <c r="AKW1352" s="402"/>
      <c r="AKX1352" s="402"/>
      <c r="AKY1352" s="402"/>
      <c r="AKZ1352" s="402"/>
      <c r="ALA1352" s="402"/>
      <c r="ALB1352" s="402"/>
      <c r="ALC1352" s="402"/>
      <c r="ALD1352" s="402"/>
      <c r="ALE1352" s="402"/>
      <c r="ALF1352" s="402"/>
      <c r="ALG1352" s="402"/>
      <c r="ALH1352" s="402"/>
      <c r="ALI1352" s="402"/>
      <c r="ALJ1352" s="402"/>
      <c r="ALK1352" s="402"/>
      <c r="ALL1352" s="402"/>
      <c r="ALM1352" s="402"/>
      <c r="ALN1352" s="402"/>
      <c r="ALO1352" s="402"/>
      <c r="ALP1352" s="402"/>
      <c r="ALQ1352" s="402"/>
      <c r="ALR1352" s="402"/>
      <c r="ALS1352" s="402"/>
      <c r="ALT1352" s="402"/>
      <c r="ALU1352" s="402"/>
      <c r="ALV1352" s="402"/>
      <c r="ALW1352" s="402"/>
      <c r="ALX1352" s="402"/>
      <c r="ALY1352" s="402"/>
      <c r="ALZ1352" s="402"/>
      <c r="AMA1352" s="402"/>
      <c r="AMB1352" s="402"/>
      <c r="AMC1352" s="402"/>
      <c r="AMD1352" s="402"/>
      <c r="AME1352" s="402"/>
      <c r="AMF1352" s="402"/>
      <c r="AMG1352" s="402"/>
      <c r="AMH1352" s="402"/>
      <c r="AMI1352" s="402"/>
      <c r="AMJ1352" s="402"/>
      <c r="AMK1352" s="402"/>
      <c r="AML1352" s="402"/>
      <c r="AMM1352" s="402"/>
      <c r="AMN1352" s="402"/>
      <c r="AMO1352" s="402"/>
      <c r="AMP1352" s="402"/>
      <c r="AMQ1352" s="402"/>
      <c r="AMR1352" s="402"/>
      <c r="AMS1352" s="402"/>
      <c r="AMT1352" s="402"/>
      <c r="AMU1352" s="402"/>
      <c r="AMV1352" s="402"/>
      <c r="AMW1352" s="402"/>
      <c r="AMX1352" s="402"/>
      <c r="AMY1352" s="402"/>
      <c r="AMZ1352" s="402"/>
      <c r="ANA1352" s="402"/>
      <c r="ANB1352" s="402"/>
      <c r="ANC1352" s="402"/>
      <c r="AND1352" s="402"/>
      <c r="ANE1352" s="402"/>
      <c r="ANF1352" s="402"/>
      <c r="ANG1352" s="402"/>
      <c r="ANH1352" s="402"/>
      <c r="ANI1352" s="402"/>
      <c r="ANJ1352" s="402"/>
      <c r="ANK1352" s="402"/>
      <c r="ANL1352" s="402"/>
      <c r="ANM1352" s="402"/>
      <c r="ANN1352" s="402"/>
      <c r="ANO1352" s="402"/>
      <c r="ANP1352" s="402"/>
      <c r="ANQ1352" s="402"/>
      <c r="ANR1352" s="402"/>
      <c r="ANS1352" s="402"/>
      <c r="ANT1352" s="402"/>
      <c r="ANU1352" s="402"/>
      <c r="ANV1352" s="402"/>
      <c r="ANW1352" s="402"/>
      <c r="ANX1352" s="402"/>
      <c r="ANY1352" s="402"/>
      <c r="ANZ1352" s="402"/>
      <c r="AOA1352" s="402"/>
      <c r="AOB1352" s="402"/>
      <c r="AOC1352" s="402"/>
      <c r="AOD1352" s="402"/>
      <c r="AOE1352" s="402"/>
      <c r="AOF1352" s="402"/>
      <c r="AOG1352" s="402"/>
      <c r="AOH1352" s="402"/>
      <c r="AOI1352" s="402"/>
      <c r="AOJ1352" s="402"/>
      <c r="AOK1352" s="402"/>
      <c r="AOL1352" s="402"/>
      <c r="AOM1352" s="402"/>
      <c r="AON1352" s="402"/>
      <c r="AOO1352" s="402"/>
      <c r="AOP1352" s="402"/>
      <c r="AOQ1352" s="402"/>
      <c r="AOR1352" s="402"/>
      <c r="AOS1352" s="402"/>
      <c r="AOT1352" s="402"/>
      <c r="AOU1352" s="402"/>
      <c r="AOV1352" s="402"/>
      <c r="AOW1352" s="402"/>
      <c r="AOX1352" s="402"/>
      <c r="AOY1352" s="402"/>
      <c r="AOZ1352" s="402"/>
      <c r="APA1352" s="402"/>
      <c r="APB1352" s="402"/>
      <c r="APC1352" s="402"/>
      <c r="APD1352" s="402"/>
      <c r="APE1352" s="402"/>
      <c r="APF1352" s="402"/>
      <c r="APG1352" s="402"/>
      <c r="APH1352" s="402"/>
      <c r="API1352" s="402"/>
      <c r="APJ1352" s="402"/>
      <c r="APK1352" s="402"/>
      <c r="APL1352" s="402"/>
      <c r="APM1352" s="402"/>
      <c r="APN1352" s="402"/>
      <c r="APO1352" s="402"/>
      <c r="APP1352" s="402"/>
      <c r="APQ1352" s="402"/>
      <c r="APR1352" s="402"/>
      <c r="APS1352" s="402"/>
      <c r="APT1352" s="402"/>
      <c r="APU1352" s="402"/>
      <c r="APV1352" s="402"/>
      <c r="APW1352" s="402"/>
      <c r="APX1352" s="402"/>
      <c r="APY1352" s="402"/>
      <c r="APZ1352" s="402"/>
      <c r="AQA1352" s="402"/>
      <c r="AQB1352" s="402"/>
      <c r="AQC1352" s="402"/>
      <c r="AQD1352" s="402"/>
      <c r="AQE1352" s="402"/>
      <c r="AQF1352" s="402"/>
      <c r="AQG1352" s="402"/>
      <c r="AQH1352" s="402"/>
      <c r="AQI1352" s="402"/>
      <c r="AQJ1352" s="402"/>
      <c r="AQK1352" s="402"/>
      <c r="AQL1352" s="402"/>
      <c r="AQM1352" s="402"/>
      <c r="AQN1352" s="402"/>
      <c r="AQO1352" s="402"/>
      <c r="AQP1352" s="402"/>
      <c r="AQQ1352" s="402"/>
      <c r="AQR1352" s="402"/>
      <c r="AQS1352" s="402"/>
      <c r="AQT1352" s="402"/>
      <c r="AQU1352" s="402"/>
      <c r="AQV1352" s="402"/>
      <c r="AQW1352" s="402"/>
      <c r="AQX1352" s="402"/>
      <c r="AQY1352" s="402"/>
      <c r="AQZ1352" s="402"/>
      <c r="ARA1352" s="402"/>
      <c r="ARB1352" s="402"/>
      <c r="ARC1352" s="402"/>
      <c r="ARD1352" s="402"/>
      <c r="ARE1352" s="402"/>
      <c r="ARF1352" s="402"/>
      <c r="ARG1352" s="402"/>
      <c r="ARH1352" s="402"/>
      <c r="ARI1352" s="402"/>
      <c r="ARJ1352" s="402"/>
      <c r="ARK1352" s="402"/>
      <c r="ARL1352" s="402"/>
      <c r="ARM1352" s="402"/>
      <c r="ARN1352" s="402"/>
      <c r="ARO1352" s="402"/>
      <c r="ARP1352" s="402"/>
      <c r="ARQ1352" s="402"/>
      <c r="ARR1352" s="402"/>
      <c r="ARS1352" s="402"/>
      <c r="ART1352" s="402"/>
      <c r="ARU1352" s="402"/>
      <c r="ARV1352" s="402"/>
      <c r="ARW1352" s="402"/>
      <c r="ARX1352" s="402"/>
      <c r="ARY1352" s="402"/>
      <c r="ARZ1352" s="402"/>
      <c r="ASA1352" s="402"/>
      <c r="ASB1352" s="402"/>
      <c r="ASC1352" s="402"/>
      <c r="ASD1352" s="402"/>
      <c r="ASE1352" s="402"/>
      <c r="ASF1352" s="402"/>
      <c r="ASG1352" s="402"/>
      <c r="ASH1352" s="402"/>
      <c r="ASI1352" s="402"/>
      <c r="ASJ1352" s="402"/>
      <c r="ASK1352" s="402"/>
      <c r="ASL1352" s="402"/>
      <c r="ASM1352" s="402"/>
      <c r="ASN1352" s="402"/>
      <c r="ASO1352" s="402"/>
      <c r="ASP1352" s="402"/>
      <c r="ASQ1352" s="402"/>
      <c r="ASR1352" s="402"/>
      <c r="ASS1352" s="402"/>
      <c r="AST1352" s="402"/>
      <c r="ASU1352" s="402"/>
      <c r="ASV1352" s="402"/>
      <c r="ASW1352" s="402"/>
      <c r="ASX1352" s="402"/>
      <c r="ASY1352" s="402"/>
      <c r="ASZ1352" s="402"/>
      <c r="ATA1352" s="402"/>
      <c r="ATB1352" s="402"/>
      <c r="ATC1352" s="402"/>
      <c r="ATD1352" s="402"/>
      <c r="ATE1352" s="402"/>
      <c r="ATF1352" s="402"/>
      <c r="ATG1352" s="402"/>
      <c r="ATH1352" s="402"/>
      <c r="ATI1352" s="402"/>
      <c r="ATJ1352" s="402"/>
      <c r="ATK1352" s="402"/>
      <c r="ATL1352" s="402"/>
      <c r="ATM1352" s="402"/>
      <c r="ATN1352" s="402"/>
      <c r="ATO1352" s="402"/>
      <c r="ATP1352" s="402"/>
      <c r="ATQ1352" s="402"/>
      <c r="ATR1352" s="402"/>
      <c r="ATS1352" s="402"/>
      <c r="ATT1352" s="402"/>
      <c r="ATU1352" s="402"/>
      <c r="ATV1352" s="402"/>
      <c r="ATW1352" s="402"/>
      <c r="ATX1352" s="402"/>
      <c r="ATY1352" s="402"/>
      <c r="ATZ1352" s="402"/>
      <c r="AUA1352" s="402"/>
      <c r="AUB1352" s="402"/>
      <c r="AUC1352" s="402"/>
      <c r="AUD1352" s="402"/>
      <c r="AUE1352" s="402"/>
      <c r="AUF1352" s="402"/>
      <c r="AUG1352" s="402"/>
      <c r="AUH1352" s="402"/>
      <c r="AUI1352" s="402"/>
      <c r="AUJ1352" s="402"/>
      <c r="AUK1352" s="402"/>
      <c r="AUL1352" s="402"/>
      <c r="AUM1352" s="402"/>
      <c r="AUN1352" s="402"/>
      <c r="AUO1352" s="402"/>
      <c r="AUP1352" s="402"/>
      <c r="AUQ1352" s="402"/>
      <c r="AUR1352" s="402"/>
      <c r="AUS1352" s="402"/>
      <c r="AUT1352" s="402"/>
      <c r="AUU1352" s="402"/>
      <c r="AUV1352" s="402"/>
      <c r="AUW1352" s="402"/>
      <c r="AUX1352" s="402"/>
      <c r="AUY1352" s="402"/>
      <c r="AUZ1352" s="402"/>
      <c r="AVA1352" s="402"/>
      <c r="AVB1352" s="402"/>
      <c r="AVC1352" s="402"/>
      <c r="AVD1352" s="402"/>
      <c r="AVE1352" s="402"/>
      <c r="AVF1352" s="402"/>
      <c r="AVG1352" s="402"/>
      <c r="AVH1352" s="402"/>
      <c r="AVI1352" s="402"/>
      <c r="AVJ1352" s="402"/>
      <c r="AVK1352" s="402"/>
    </row>
    <row r="1353" spans="1:1259" s="442" customFormat="1" ht="15" customHeight="1">
      <c r="A1353" s="403"/>
      <c r="B1353" s="403"/>
      <c r="C1353" s="403"/>
      <c r="D1353" s="443" t="s">
        <v>2480</v>
      </c>
      <c r="E1353" s="432"/>
      <c r="F1353" s="432"/>
      <c r="G1353" s="432">
        <v>2022</v>
      </c>
      <c r="H1353" s="432"/>
      <c r="I1353" s="427" t="s">
        <v>1498</v>
      </c>
      <c r="J1353" s="433"/>
      <c r="K1353" s="434" t="s">
        <v>3750</v>
      </c>
      <c r="L1353" s="432" t="s">
        <v>2518</v>
      </c>
      <c r="M1353" s="435">
        <v>44601</v>
      </c>
      <c r="N1353" s="435">
        <v>44650</v>
      </c>
      <c r="O1353" s="435"/>
      <c r="P1353" s="433"/>
      <c r="Q1353" s="433"/>
      <c r="R1353" s="433"/>
      <c r="S1353" s="432" t="s">
        <v>1940</v>
      </c>
      <c r="T1353" s="432">
        <v>60</v>
      </c>
      <c r="U1353" s="432"/>
      <c r="V1353" s="432" t="s">
        <v>973</v>
      </c>
      <c r="W1353" s="432">
        <v>400</v>
      </c>
      <c r="X1353" s="436">
        <v>832</v>
      </c>
      <c r="Y1353" s="422">
        <f t="shared" si="166"/>
        <v>332800</v>
      </c>
      <c r="Z1353" s="437">
        <v>0.54</v>
      </c>
      <c r="AA1353" s="423">
        <f t="shared" si="167"/>
        <v>179712</v>
      </c>
      <c r="AB1353" s="411"/>
      <c r="AC1353" s="412">
        <f t="shared" si="168"/>
        <v>0</v>
      </c>
      <c r="AD1353" s="439"/>
      <c r="AE1353" s="438">
        <v>6851.5230000000001</v>
      </c>
      <c r="AF1353" s="424">
        <f t="shared" si="169"/>
        <v>186563.52299999999</v>
      </c>
      <c r="AG1353" s="432" t="s">
        <v>47</v>
      </c>
      <c r="AH1353" s="432"/>
      <c r="AI1353" s="434">
        <v>60</v>
      </c>
      <c r="AJ1353" s="432" t="s">
        <v>1584</v>
      </c>
      <c r="AK1353" s="440" t="s">
        <v>50</v>
      </c>
      <c r="AL1353" s="432">
        <v>95826</v>
      </c>
      <c r="AM1353" s="432" t="s">
        <v>52</v>
      </c>
      <c r="AN1353" s="432"/>
      <c r="AO1353" s="432"/>
      <c r="AP1353" s="441"/>
      <c r="AQ1353" s="441" t="s">
        <v>37</v>
      </c>
      <c r="AR1353" s="441"/>
      <c r="AS1353" s="426"/>
      <c r="AT1353" s="426"/>
      <c r="AU1353" s="426"/>
      <c r="AV1353" s="437">
        <f t="shared" si="170"/>
        <v>0.48000000000000004</v>
      </c>
      <c r="AW1353" s="402"/>
      <c r="AX1353" s="402"/>
      <c r="AY1353" s="402"/>
      <c r="AZ1353" s="402"/>
      <c r="BA1353" s="402"/>
      <c r="BB1353" s="402"/>
      <c r="BC1353" s="402"/>
      <c r="BD1353" s="402"/>
      <c r="BE1353" s="402"/>
      <c r="BF1353" s="402"/>
      <c r="BG1353" s="402"/>
      <c r="BH1353" s="402"/>
      <c r="BI1353" s="402"/>
      <c r="BJ1353" s="402"/>
      <c r="BK1353" s="402"/>
      <c r="BL1353" s="402"/>
      <c r="BM1353" s="402"/>
      <c r="BN1353" s="402"/>
      <c r="BO1353" s="402"/>
      <c r="BP1353" s="402"/>
      <c r="BQ1353" s="402"/>
      <c r="BR1353" s="402"/>
      <c r="BS1353" s="402"/>
      <c r="BT1353" s="402"/>
      <c r="BU1353" s="402"/>
      <c r="BV1353" s="402"/>
      <c r="BW1353" s="402"/>
      <c r="BX1353" s="402"/>
      <c r="BY1353" s="402"/>
      <c r="BZ1353" s="402"/>
      <c r="CA1353" s="402"/>
      <c r="CB1353" s="402"/>
      <c r="CC1353" s="402"/>
      <c r="CD1353" s="402"/>
      <c r="CE1353" s="402"/>
      <c r="CF1353" s="402"/>
      <c r="CG1353" s="402"/>
      <c r="CH1353" s="402"/>
      <c r="CI1353" s="402"/>
      <c r="CJ1353" s="402"/>
      <c r="CK1353" s="402"/>
      <c r="CL1353" s="402"/>
      <c r="CM1353" s="402"/>
      <c r="CN1353" s="402"/>
      <c r="CO1353" s="402"/>
      <c r="CP1353" s="402"/>
      <c r="CQ1353" s="402"/>
      <c r="CR1353" s="402"/>
      <c r="CS1353" s="402"/>
      <c r="CT1353" s="402"/>
      <c r="CU1353" s="402"/>
      <c r="CV1353" s="402"/>
      <c r="CW1353" s="402"/>
      <c r="CX1353" s="402"/>
      <c r="CY1353" s="402"/>
      <c r="CZ1353" s="402"/>
      <c r="DA1353" s="402"/>
      <c r="DB1353" s="402"/>
      <c r="DC1353" s="402"/>
      <c r="DD1353" s="402"/>
      <c r="DE1353" s="402"/>
      <c r="DF1353" s="402"/>
      <c r="DG1353" s="402"/>
      <c r="DH1353" s="402"/>
      <c r="DI1353" s="402"/>
      <c r="DJ1353" s="402"/>
      <c r="DK1353" s="402"/>
      <c r="DL1353" s="402"/>
      <c r="DM1353" s="402"/>
      <c r="DN1353" s="402"/>
      <c r="DO1353" s="402"/>
      <c r="DP1353" s="402"/>
      <c r="DQ1353" s="402"/>
      <c r="DR1353" s="402"/>
      <c r="DS1353" s="402"/>
      <c r="DT1353" s="402"/>
      <c r="DU1353" s="402"/>
      <c r="DV1353" s="402"/>
      <c r="DW1353" s="402"/>
      <c r="DX1353" s="402"/>
      <c r="DY1353" s="402"/>
      <c r="DZ1353" s="402"/>
      <c r="EA1353" s="402"/>
      <c r="EB1353" s="402"/>
      <c r="EC1353" s="402"/>
      <c r="ED1353" s="402"/>
      <c r="EE1353" s="402"/>
      <c r="EF1353" s="402"/>
      <c r="EG1353" s="402"/>
      <c r="EH1353" s="402"/>
      <c r="EI1353" s="402"/>
      <c r="EJ1353" s="402"/>
      <c r="EK1353" s="402"/>
      <c r="EL1353" s="402"/>
      <c r="EM1353" s="402"/>
      <c r="EN1353" s="402"/>
      <c r="EO1353" s="402"/>
      <c r="EP1353" s="402"/>
      <c r="EQ1353" s="402"/>
      <c r="ER1353" s="402"/>
      <c r="ES1353" s="402"/>
      <c r="ET1353" s="402"/>
      <c r="EU1353" s="402"/>
      <c r="EV1353" s="402"/>
      <c r="EW1353" s="402"/>
      <c r="EX1353" s="402"/>
      <c r="EY1353" s="402"/>
      <c r="EZ1353" s="402"/>
      <c r="FA1353" s="402"/>
      <c r="FB1353" s="402"/>
      <c r="FC1353" s="402"/>
      <c r="FD1353" s="402"/>
      <c r="FE1353" s="402"/>
      <c r="FF1353" s="402"/>
      <c r="FG1353" s="402"/>
      <c r="FH1353" s="402"/>
      <c r="FI1353" s="402"/>
      <c r="FJ1353" s="402"/>
      <c r="FK1353" s="402"/>
      <c r="FL1353" s="402"/>
      <c r="FM1353" s="402"/>
      <c r="FN1353" s="402"/>
      <c r="FO1353" s="402"/>
      <c r="FP1353" s="402"/>
      <c r="FQ1353" s="402"/>
      <c r="FR1353" s="402"/>
      <c r="FS1353" s="402"/>
      <c r="FT1353" s="402"/>
      <c r="FU1353" s="402"/>
      <c r="FV1353" s="402"/>
      <c r="FW1353" s="402"/>
      <c r="FX1353" s="402"/>
      <c r="FY1353" s="402"/>
      <c r="FZ1353" s="402"/>
      <c r="GA1353" s="402"/>
      <c r="GB1353" s="402"/>
      <c r="GC1353" s="402"/>
      <c r="GD1353" s="402"/>
      <c r="GE1353" s="402"/>
      <c r="GF1353" s="402"/>
      <c r="GG1353" s="402"/>
      <c r="GH1353" s="402"/>
      <c r="GI1353" s="402"/>
      <c r="GJ1353" s="402"/>
      <c r="GK1353" s="402"/>
      <c r="GL1353" s="402"/>
      <c r="GM1353" s="402"/>
      <c r="GN1353" s="402"/>
      <c r="GO1353" s="402"/>
      <c r="GP1353" s="402"/>
      <c r="GQ1353" s="402"/>
      <c r="GR1353" s="402"/>
      <c r="GS1353" s="402"/>
      <c r="GT1353" s="402"/>
      <c r="GU1353" s="402"/>
      <c r="GV1353" s="402"/>
      <c r="GW1353" s="402"/>
      <c r="GX1353" s="402"/>
      <c r="GY1353" s="402"/>
      <c r="GZ1353" s="402"/>
      <c r="HA1353" s="402"/>
      <c r="HB1353" s="402"/>
      <c r="HC1353" s="402"/>
      <c r="HD1353" s="402"/>
      <c r="HE1353" s="402"/>
      <c r="HF1353" s="402"/>
      <c r="HG1353" s="402"/>
      <c r="HH1353" s="402"/>
      <c r="HI1353" s="402"/>
      <c r="HJ1353" s="402"/>
      <c r="HK1353" s="402"/>
      <c r="HL1353" s="402"/>
      <c r="HM1353" s="402"/>
      <c r="HN1353" s="402"/>
      <c r="HO1353" s="402"/>
      <c r="HP1353" s="402"/>
      <c r="HQ1353" s="402"/>
      <c r="HR1353" s="402"/>
      <c r="HS1353" s="402"/>
      <c r="HT1353" s="402"/>
      <c r="HU1353" s="402"/>
      <c r="HV1353" s="402"/>
      <c r="HW1353" s="402"/>
      <c r="HX1353" s="402"/>
      <c r="HY1353" s="402"/>
      <c r="HZ1353" s="402"/>
      <c r="IA1353" s="402"/>
      <c r="IB1353" s="402"/>
      <c r="IC1353" s="402"/>
      <c r="ID1353" s="402"/>
      <c r="IE1353" s="402"/>
      <c r="IF1353" s="402"/>
      <c r="IG1353" s="402"/>
      <c r="IH1353" s="402"/>
      <c r="II1353" s="402"/>
      <c r="IJ1353" s="402"/>
      <c r="IK1353" s="402"/>
      <c r="IL1353" s="402"/>
      <c r="IM1353" s="402"/>
      <c r="IN1353" s="402"/>
      <c r="IO1353" s="402"/>
      <c r="IP1353" s="402"/>
      <c r="IQ1353" s="402"/>
      <c r="IR1353" s="402"/>
      <c r="IS1353" s="402"/>
      <c r="IT1353" s="402"/>
      <c r="IU1353" s="402"/>
      <c r="IV1353" s="402"/>
      <c r="IW1353" s="402"/>
      <c r="IX1353" s="402"/>
      <c r="IY1353" s="402"/>
      <c r="IZ1353" s="402"/>
      <c r="JA1353" s="402"/>
      <c r="JB1353" s="402"/>
      <c r="JC1353" s="402"/>
      <c r="JD1353" s="402"/>
      <c r="JE1353" s="402"/>
      <c r="JF1353" s="402"/>
      <c r="JG1353" s="402"/>
      <c r="JH1353" s="402"/>
      <c r="JI1353" s="402"/>
      <c r="JJ1353" s="402"/>
      <c r="JK1353" s="402"/>
      <c r="JL1353" s="402"/>
      <c r="JM1353" s="402"/>
      <c r="JN1353" s="402"/>
      <c r="JO1353" s="402"/>
      <c r="JP1353" s="402"/>
      <c r="JQ1353" s="402"/>
      <c r="JR1353" s="402"/>
      <c r="JS1353" s="402"/>
      <c r="JT1353" s="402"/>
      <c r="JU1353" s="402"/>
      <c r="JV1353" s="402"/>
      <c r="JW1353" s="402"/>
      <c r="JX1353" s="402"/>
      <c r="JY1353" s="402"/>
      <c r="JZ1353" s="402"/>
      <c r="KA1353" s="402"/>
      <c r="KB1353" s="402"/>
      <c r="KC1353" s="402"/>
      <c r="KD1353" s="402"/>
      <c r="KE1353" s="402"/>
      <c r="KF1353" s="402"/>
      <c r="KG1353" s="402"/>
      <c r="KH1353" s="402"/>
      <c r="KI1353" s="402"/>
      <c r="KJ1353" s="402"/>
      <c r="KK1353" s="402"/>
      <c r="KL1353" s="402"/>
      <c r="KM1353" s="402"/>
      <c r="KN1353" s="402"/>
      <c r="KO1353" s="402"/>
      <c r="KP1353" s="402"/>
      <c r="KQ1353" s="402"/>
      <c r="KR1353" s="402"/>
      <c r="KS1353" s="402"/>
      <c r="KT1353" s="402"/>
      <c r="KU1353" s="402"/>
      <c r="KV1353" s="402"/>
      <c r="KW1353" s="402"/>
      <c r="KX1353" s="402"/>
      <c r="KY1353" s="402"/>
      <c r="KZ1353" s="402"/>
      <c r="LA1353" s="402"/>
      <c r="LB1353" s="402"/>
      <c r="LC1353" s="402"/>
      <c r="LD1353" s="402"/>
      <c r="LE1353" s="402"/>
      <c r="LF1353" s="402"/>
      <c r="LG1353" s="402"/>
      <c r="LH1353" s="402"/>
      <c r="LI1353" s="402"/>
      <c r="LJ1353" s="402"/>
      <c r="LK1353" s="402"/>
      <c r="LL1353" s="402"/>
      <c r="LM1353" s="402"/>
      <c r="LN1353" s="402"/>
      <c r="LO1353" s="402"/>
      <c r="LP1353" s="402"/>
      <c r="LQ1353" s="402"/>
      <c r="LR1353" s="402"/>
      <c r="LS1353" s="402"/>
      <c r="LT1353" s="402"/>
      <c r="LU1353" s="402"/>
      <c r="LV1353" s="402"/>
      <c r="LW1353" s="402"/>
      <c r="LX1353" s="402"/>
      <c r="LY1353" s="402"/>
      <c r="LZ1353" s="402"/>
      <c r="MA1353" s="402"/>
      <c r="MB1353" s="402"/>
      <c r="MC1353" s="402"/>
      <c r="MD1353" s="402"/>
      <c r="ME1353" s="402"/>
      <c r="MF1353" s="402"/>
      <c r="MG1353" s="402"/>
      <c r="MH1353" s="402"/>
      <c r="MI1353" s="402"/>
      <c r="MJ1353" s="402"/>
      <c r="MK1353" s="402"/>
      <c r="ML1353" s="402"/>
      <c r="MM1353" s="402"/>
      <c r="MN1353" s="402"/>
      <c r="MO1353" s="402"/>
      <c r="MP1353" s="402"/>
      <c r="MQ1353" s="402"/>
      <c r="MR1353" s="402"/>
      <c r="MS1353" s="402"/>
      <c r="MT1353" s="402"/>
      <c r="MU1353" s="402"/>
      <c r="MV1353" s="402"/>
      <c r="MW1353" s="402"/>
      <c r="MX1353" s="402"/>
      <c r="MY1353" s="402"/>
      <c r="MZ1353" s="402"/>
      <c r="NA1353" s="402"/>
      <c r="NB1353" s="402"/>
      <c r="NC1353" s="402"/>
      <c r="ND1353" s="402"/>
      <c r="NE1353" s="402"/>
      <c r="NF1353" s="402"/>
      <c r="NG1353" s="402"/>
      <c r="NH1353" s="402"/>
      <c r="NI1353" s="402"/>
      <c r="NJ1353" s="402"/>
      <c r="NK1353" s="402"/>
      <c r="NL1353" s="402"/>
      <c r="NM1353" s="402"/>
      <c r="NN1353" s="402"/>
      <c r="NO1353" s="402"/>
      <c r="NP1353" s="402"/>
      <c r="NQ1353" s="402"/>
      <c r="NR1353" s="402"/>
      <c r="NS1353" s="402"/>
      <c r="NT1353" s="402"/>
      <c r="NU1353" s="402"/>
      <c r="NV1353" s="402"/>
      <c r="NW1353" s="402"/>
      <c r="NX1353" s="402"/>
      <c r="NY1353" s="402"/>
      <c r="NZ1353" s="402"/>
      <c r="OA1353" s="402"/>
      <c r="OB1353" s="402"/>
      <c r="OC1353" s="402"/>
      <c r="OD1353" s="402"/>
      <c r="OE1353" s="402"/>
      <c r="OF1353" s="402"/>
      <c r="OG1353" s="402"/>
      <c r="OH1353" s="402"/>
      <c r="OI1353" s="402"/>
      <c r="OJ1353" s="402"/>
      <c r="OK1353" s="402"/>
      <c r="OL1353" s="402"/>
      <c r="OM1353" s="402"/>
      <c r="ON1353" s="402"/>
      <c r="OO1353" s="402"/>
      <c r="OP1353" s="402"/>
      <c r="OQ1353" s="402"/>
      <c r="OR1353" s="402"/>
      <c r="OS1353" s="402"/>
      <c r="OT1353" s="402"/>
      <c r="OU1353" s="402"/>
      <c r="OV1353" s="402"/>
      <c r="OW1353" s="402"/>
      <c r="OX1353" s="402"/>
      <c r="OY1353" s="402"/>
      <c r="OZ1353" s="402"/>
      <c r="PA1353" s="402"/>
      <c r="PB1353" s="402"/>
      <c r="PC1353" s="402"/>
      <c r="PD1353" s="402"/>
      <c r="PE1353" s="402"/>
      <c r="PF1353" s="402"/>
      <c r="PG1353" s="402"/>
      <c r="PH1353" s="402"/>
      <c r="PI1353" s="402"/>
      <c r="PJ1353" s="402"/>
      <c r="PK1353" s="402"/>
      <c r="PL1353" s="402"/>
      <c r="PM1353" s="402"/>
      <c r="PN1353" s="402"/>
      <c r="PO1353" s="402"/>
      <c r="PP1353" s="402"/>
      <c r="PQ1353" s="402"/>
      <c r="PR1353" s="402"/>
      <c r="PS1353" s="402"/>
      <c r="PT1353" s="402"/>
      <c r="PU1353" s="402"/>
      <c r="PV1353" s="402"/>
      <c r="PW1353" s="402"/>
      <c r="PX1353" s="402"/>
      <c r="PY1353" s="402"/>
      <c r="PZ1353" s="402"/>
      <c r="QA1353" s="402"/>
      <c r="QB1353" s="402"/>
      <c r="QC1353" s="402"/>
      <c r="QD1353" s="402"/>
      <c r="QE1353" s="402"/>
      <c r="QF1353" s="402"/>
      <c r="QG1353" s="402"/>
      <c r="QH1353" s="402"/>
      <c r="QI1353" s="402"/>
      <c r="QJ1353" s="402"/>
      <c r="QK1353" s="402"/>
      <c r="QL1353" s="402"/>
      <c r="QM1353" s="402"/>
      <c r="QN1353" s="402"/>
      <c r="QO1353" s="402"/>
      <c r="QP1353" s="402"/>
      <c r="QQ1353" s="402"/>
      <c r="QR1353" s="402"/>
      <c r="QS1353" s="402"/>
      <c r="QT1353" s="402"/>
      <c r="QU1353" s="402"/>
      <c r="QV1353" s="402"/>
      <c r="QW1353" s="402"/>
      <c r="QX1353" s="402"/>
      <c r="QY1353" s="402"/>
      <c r="QZ1353" s="402"/>
      <c r="RA1353" s="402"/>
      <c r="RB1353" s="402"/>
      <c r="RC1353" s="402"/>
      <c r="RD1353" s="402"/>
      <c r="RE1353" s="402"/>
      <c r="RF1353" s="402"/>
      <c r="RG1353" s="402"/>
      <c r="RH1353" s="402"/>
      <c r="RI1353" s="402"/>
      <c r="RJ1353" s="402"/>
      <c r="RK1353" s="402"/>
      <c r="RL1353" s="402"/>
      <c r="RM1353" s="402"/>
      <c r="RN1353" s="402"/>
      <c r="RO1353" s="402"/>
      <c r="RP1353" s="402"/>
      <c r="RQ1353" s="402"/>
      <c r="RR1353" s="402"/>
      <c r="RS1353" s="402"/>
      <c r="RT1353" s="402"/>
      <c r="RU1353" s="402"/>
      <c r="RV1353" s="402"/>
      <c r="RW1353" s="402"/>
      <c r="RX1353" s="402"/>
      <c r="RY1353" s="402"/>
      <c r="RZ1353" s="402"/>
      <c r="SA1353" s="402"/>
      <c r="SB1353" s="402"/>
      <c r="SC1353" s="402"/>
      <c r="SD1353" s="402"/>
      <c r="SE1353" s="402"/>
      <c r="SF1353" s="402"/>
      <c r="SG1353" s="402"/>
      <c r="SH1353" s="402"/>
      <c r="SI1353" s="402"/>
      <c r="SJ1353" s="402"/>
      <c r="SK1353" s="402"/>
      <c r="SL1353" s="402"/>
      <c r="SM1353" s="402"/>
      <c r="SN1353" s="402"/>
      <c r="SO1353" s="402"/>
      <c r="SP1353" s="402"/>
      <c r="SQ1353" s="402"/>
      <c r="SR1353" s="402"/>
      <c r="SS1353" s="402"/>
      <c r="ST1353" s="402"/>
      <c r="SU1353" s="402"/>
      <c r="SV1353" s="402"/>
      <c r="SW1353" s="402"/>
      <c r="SX1353" s="402"/>
      <c r="SY1353" s="402"/>
      <c r="SZ1353" s="402"/>
      <c r="TA1353" s="402"/>
      <c r="TB1353" s="402"/>
      <c r="TC1353" s="402"/>
      <c r="TD1353" s="402"/>
      <c r="TE1353" s="402"/>
      <c r="TF1353" s="402"/>
      <c r="TG1353" s="402"/>
      <c r="TH1353" s="402"/>
      <c r="TI1353" s="402"/>
      <c r="TJ1353" s="402"/>
      <c r="TK1353" s="402"/>
      <c r="TL1353" s="402"/>
      <c r="TM1353" s="402"/>
      <c r="TN1353" s="402"/>
      <c r="TO1353" s="402"/>
      <c r="TP1353" s="402"/>
      <c r="TQ1353" s="402"/>
      <c r="TR1353" s="402"/>
      <c r="TS1353" s="402"/>
      <c r="TT1353" s="402"/>
      <c r="TU1353" s="402"/>
      <c r="TV1353" s="402"/>
      <c r="TW1353" s="402"/>
      <c r="TX1353" s="402"/>
      <c r="TY1353" s="402"/>
      <c r="TZ1353" s="402"/>
      <c r="UA1353" s="402"/>
      <c r="UB1353" s="402"/>
      <c r="UC1353" s="402"/>
      <c r="UD1353" s="402"/>
      <c r="UE1353" s="402"/>
      <c r="UF1353" s="402"/>
      <c r="UG1353" s="402"/>
      <c r="UH1353" s="402"/>
      <c r="UI1353" s="402"/>
      <c r="UJ1353" s="402"/>
      <c r="UK1353" s="402"/>
      <c r="UL1353" s="402"/>
      <c r="UM1353" s="402"/>
      <c r="UN1353" s="402"/>
      <c r="UO1353" s="402"/>
      <c r="UP1353" s="402"/>
      <c r="UQ1353" s="402"/>
      <c r="UR1353" s="402"/>
      <c r="US1353" s="402"/>
      <c r="UT1353" s="402"/>
      <c r="UU1353" s="402"/>
      <c r="UV1353" s="402"/>
      <c r="UW1353" s="402"/>
      <c r="UX1353" s="402"/>
      <c r="UY1353" s="402"/>
      <c r="UZ1353" s="402"/>
      <c r="VA1353" s="402"/>
      <c r="VB1353" s="402"/>
      <c r="VC1353" s="402"/>
      <c r="VD1353" s="402"/>
      <c r="VE1353" s="402"/>
      <c r="VF1353" s="402"/>
      <c r="VG1353" s="402"/>
      <c r="VH1353" s="402"/>
      <c r="VI1353" s="402"/>
      <c r="VJ1353" s="402"/>
      <c r="VK1353" s="402"/>
      <c r="VL1353" s="402"/>
      <c r="VM1353" s="402"/>
      <c r="VN1353" s="402"/>
      <c r="VO1353" s="402"/>
      <c r="VP1353" s="402"/>
      <c r="VQ1353" s="402"/>
      <c r="VR1353" s="402"/>
      <c r="VS1353" s="402"/>
      <c r="VT1353" s="402"/>
      <c r="VU1353" s="402"/>
      <c r="VV1353" s="402"/>
      <c r="VW1353" s="402"/>
      <c r="VX1353" s="402"/>
      <c r="VY1353" s="402"/>
      <c r="VZ1353" s="402"/>
      <c r="WA1353" s="402"/>
      <c r="WB1353" s="402"/>
      <c r="WC1353" s="402"/>
      <c r="WD1353" s="402"/>
      <c r="WE1353" s="402"/>
      <c r="WF1353" s="402"/>
      <c r="WG1353" s="402"/>
      <c r="WH1353" s="402"/>
      <c r="WI1353" s="402"/>
      <c r="WJ1353" s="402"/>
      <c r="WK1353" s="402"/>
      <c r="WL1353" s="402"/>
      <c r="WM1353" s="402"/>
      <c r="WN1353" s="402"/>
      <c r="WO1353" s="402"/>
      <c r="WP1353" s="402"/>
      <c r="WQ1353" s="402"/>
      <c r="WR1353" s="402"/>
      <c r="WS1353" s="402"/>
      <c r="WT1353" s="402"/>
      <c r="WU1353" s="402"/>
      <c r="WV1353" s="402"/>
      <c r="WW1353" s="402"/>
      <c r="WX1353" s="402"/>
      <c r="WY1353" s="402"/>
      <c r="WZ1353" s="402"/>
      <c r="XA1353" s="402"/>
      <c r="XB1353" s="402"/>
      <c r="XC1353" s="402"/>
      <c r="XD1353" s="402"/>
      <c r="XE1353" s="402"/>
      <c r="XF1353" s="402"/>
      <c r="XG1353" s="402"/>
      <c r="XH1353" s="402"/>
      <c r="XI1353" s="402"/>
      <c r="XJ1353" s="402"/>
      <c r="XK1353" s="402"/>
      <c r="XL1353" s="402"/>
      <c r="XM1353" s="402"/>
      <c r="XN1353" s="402"/>
      <c r="XO1353" s="402"/>
      <c r="XP1353" s="402"/>
      <c r="XQ1353" s="402"/>
      <c r="XR1353" s="402"/>
      <c r="XS1353" s="402"/>
      <c r="XT1353" s="402"/>
      <c r="XU1353" s="402"/>
      <c r="XV1353" s="402"/>
      <c r="XW1353" s="402"/>
      <c r="XX1353" s="402"/>
      <c r="XY1353" s="402"/>
      <c r="XZ1353" s="402"/>
      <c r="YA1353" s="402"/>
      <c r="YB1353" s="402"/>
      <c r="YC1353" s="402"/>
      <c r="YD1353" s="402"/>
      <c r="YE1353" s="402"/>
      <c r="YF1353" s="402"/>
      <c r="YG1353" s="402"/>
      <c r="YH1353" s="402"/>
      <c r="YI1353" s="402"/>
      <c r="YJ1353" s="402"/>
      <c r="YK1353" s="402"/>
      <c r="YL1353" s="402"/>
      <c r="YM1353" s="402"/>
      <c r="YN1353" s="402"/>
      <c r="YO1353" s="402"/>
      <c r="YP1353" s="402"/>
      <c r="YQ1353" s="402"/>
      <c r="YR1353" s="402"/>
      <c r="YS1353" s="402"/>
      <c r="YT1353" s="402"/>
      <c r="YU1353" s="402"/>
      <c r="YV1353" s="402"/>
      <c r="YW1353" s="402"/>
      <c r="YX1353" s="402"/>
      <c r="YY1353" s="402"/>
      <c r="YZ1353" s="402"/>
      <c r="ZA1353" s="402"/>
      <c r="ZB1353" s="402"/>
      <c r="ZC1353" s="402"/>
      <c r="ZD1353" s="402"/>
      <c r="ZE1353" s="402"/>
      <c r="ZF1353" s="402"/>
      <c r="ZG1353" s="402"/>
      <c r="ZH1353" s="402"/>
      <c r="ZI1353" s="402"/>
      <c r="ZJ1353" s="402"/>
      <c r="ZK1353" s="402"/>
      <c r="ZL1353" s="402"/>
      <c r="ZM1353" s="402"/>
      <c r="ZN1353" s="402"/>
      <c r="ZO1353" s="402"/>
      <c r="ZP1353" s="402"/>
      <c r="ZQ1353" s="402"/>
      <c r="ZR1353" s="402"/>
      <c r="ZS1353" s="402"/>
      <c r="ZT1353" s="402"/>
      <c r="ZU1353" s="402"/>
      <c r="ZV1353" s="402"/>
      <c r="ZW1353" s="402"/>
      <c r="ZX1353" s="402"/>
      <c r="ZY1353" s="402"/>
      <c r="ZZ1353" s="402"/>
      <c r="AAA1353" s="402"/>
      <c r="AAB1353" s="402"/>
      <c r="AAC1353" s="402"/>
      <c r="AAD1353" s="402"/>
      <c r="AAE1353" s="402"/>
      <c r="AAF1353" s="402"/>
      <c r="AAG1353" s="402"/>
      <c r="AAH1353" s="402"/>
      <c r="AAI1353" s="402"/>
      <c r="AAJ1353" s="402"/>
      <c r="AAK1353" s="402"/>
      <c r="AAL1353" s="402"/>
      <c r="AAM1353" s="402"/>
      <c r="AAN1353" s="402"/>
      <c r="AAO1353" s="402"/>
      <c r="AAP1353" s="402"/>
      <c r="AAQ1353" s="402"/>
      <c r="AAR1353" s="402"/>
      <c r="AAS1353" s="402"/>
      <c r="AAT1353" s="402"/>
      <c r="AAU1353" s="402"/>
      <c r="AAV1353" s="402"/>
      <c r="AAW1353" s="402"/>
      <c r="AAX1353" s="402"/>
      <c r="AAY1353" s="402"/>
      <c r="AAZ1353" s="402"/>
      <c r="ABA1353" s="402"/>
      <c r="ABB1353" s="402"/>
      <c r="ABC1353" s="402"/>
      <c r="ABD1353" s="402"/>
      <c r="ABE1353" s="402"/>
      <c r="ABF1353" s="402"/>
      <c r="ABG1353" s="402"/>
      <c r="ABH1353" s="402"/>
      <c r="ABI1353" s="402"/>
      <c r="ABJ1353" s="402"/>
      <c r="ABK1353" s="402"/>
      <c r="ABL1353" s="402"/>
      <c r="ABM1353" s="402"/>
      <c r="ABN1353" s="402"/>
      <c r="ABO1353" s="402"/>
      <c r="ABP1353" s="402"/>
      <c r="ABQ1353" s="402"/>
      <c r="ABR1353" s="402"/>
      <c r="ABS1353" s="402"/>
      <c r="ABT1353" s="402"/>
      <c r="ABU1353" s="402"/>
      <c r="ABV1353" s="402"/>
      <c r="ABW1353" s="402"/>
      <c r="ABX1353" s="402"/>
      <c r="ABY1353" s="402"/>
      <c r="ABZ1353" s="402"/>
      <c r="ACA1353" s="402"/>
      <c r="ACB1353" s="402"/>
      <c r="ACC1353" s="402"/>
      <c r="ACD1353" s="402"/>
      <c r="ACE1353" s="402"/>
      <c r="ACF1353" s="402"/>
      <c r="ACG1353" s="402"/>
      <c r="ACH1353" s="402"/>
      <c r="ACI1353" s="402"/>
      <c r="ACJ1353" s="402"/>
      <c r="ACK1353" s="402"/>
      <c r="ACL1353" s="402"/>
      <c r="ACM1353" s="402"/>
      <c r="ACN1353" s="402"/>
      <c r="ACO1353" s="402"/>
      <c r="ACP1353" s="402"/>
      <c r="ACQ1353" s="402"/>
      <c r="ACR1353" s="402"/>
      <c r="ACS1353" s="402"/>
      <c r="ACT1353" s="402"/>
      <c r="ACU1353" s="402"/>
      <c r="ACV1353" s="402"/>
      <c r="ACW1353" s="402"/>
      <c r="ACX1353" s="402"/>
      <c r="ACY1353" s="402"/>
      <c r="ACZ1353" s="402"/>
      <c r="ADA1353" s="402"/>
      <c r="ADB1353" s="402"/>
      <c r="ADC1353" s="402"/>
      <c r="ADD1353" s="402"/>
      <c r="ADE1353" s="402"/>
      <c r="ADF1353" s="402"/>
      <c r="ADG1353" s="402"/>
      <c r="ADH1353" s="402"/>
      <c r="ADI1353" s="402"/>
      <c r="ADJ1353" s="402"/>
      <c r="ADK1353" s="402"/>
      <c r="ADL1353" s="402"/>
      <c r="ADM1353" s="402"/>
      <c r="ADN1353" s="402"/>
      <c r="ADO1353" s="402"/>
      <c r="ADP1353" s="402"/>
      <c r="ADQ1353" s="402"/>
      <c r="ADR1353" s="402"/>
      <c r="ADS1353" s="402"/>
      <c r="ADT1353" s="402"/>
      <c r="ADU1353" s="402"/>
      <c r="ADV1353" s="402"/>
      <c r="ADW1353" s="402"/>
      <c r="ADX1353" s="402"/>
      <c r="ADY1353" s="402"/>
      <c r="ADZ1353" s="402"/>
      <c r="AEA1353" s="402"/>
      <c r="AEB1353" s="402"/>
      <c r="AEC1353" s="402"/>
      <c r="AED1353" s="402"/>
      <c r="AEE1353" s="402"/>
      <c r="AEF1353" s="402"/>
      <c r="AEG1353" s="402"/>
      <c r="AEH1353" s="402"/>
      <c r="AEI1353" s="402"/>
      <c r="AEJ1353" s="402"/>
      <c r="AEK1353" s="402"/>
      <c r="AEL1353" s="402"/>
      <c r="AEM1353" s="402"/>
      <c r="AEN1353" s="402"/>
      <c r="AEO1353" s="402"/>
      <c r="AEP1353" s="402"/>
      <c r="AEQ1353" s="402"/>
      <c r="AER1353" s="402"/>
      <c r="AES1353" s="402"/>
      <c r="AET1353" s="402"/>
      <c r="AEU1353" s="402"/>
      <c r="AEV1353" s="402"/>
      <c r="AEW1353" s="402"/>
      <c r="AEX1353" s="402"/>
      <c r="AEY1353" s="402"/>
      <c r="AEZ1353" s="402"/>
      <c r="AFA1353" s="402"/>
      <c r="AFB1353" s="402"/>
      <c r="AFC1353" s="402"/>
      <c r="AFD1353" s="402"/>
      <c r="AFE1353" s="402"/>
      <c r="AFF1353" s="402"/>
      <c r="AFG1353" s="402"/>
      <c r="AFH1353" s="402"/>
      <c r="AFI1353" s="402"/>
      <c r="AFJ1353" s="402"/>
      <c r="AFK1353" s="402"/>
      <c r="AFL1353" s="402"/>
      <c r="AFM1353" s="402"/>
      <c r="AFN1353" s="402"/>
      <c r="AFO1353" s="402"/>
      <c r="AFP1353" s="402"/>
      <c r="AFQ1353" s="402"/>
      <c r="AFR1353" s="402"/>
      <c r="AFS1353" s="402"/>
      <c r="AFT1353" s="402"/>
      <c r="AFU1353" s="402"/>
      <c r="AFV1353" s="402"/>
      <c r="AFW1353" s="402"/>
      <c r="AFX1353" s="402"/>
      <c r="AFY1353" s="402"/>
      <c r="AFZ1353" s="402"/>
      <c r="AGA1353" s="402"/>
      <c r="AGB1353" s="402"/>
      <c r="AGC1353" s="402"/>
      <c r="AGD1353" s="402"/>
      <c r="AGE1353" s="402"/>
      <c r="AGF1353" s="402"/>
      <c r="AGG1353" s="402"/>
      <c r="AGH1353" s="402"/>
      <c r="AGI1353" s="402"/>
      <c r="AGJ1353" s="402"/>
      <c r="AGK1353" s="402"/>
      <c r="AGL1353" s="402"/>
      <c r="AGM1353" s="402"/>
      <c r="AGN1353" s="402"/>
      <c r="AGO1353" s="402"/>
      <c r="AGP1353" s="402"/>
      <c r="AGQ1353" s="402"/>
      <c r="AGR1353" s="402"/>
      <c r="AGS1353" s="402"/>
      <c r="AGT1353" s="402"/>
      <c r="AGU1353" s="402"/>
      <c r="AGV1353" s="402"/>
      <c r="AGW1353" s="402"/>
      <c r="AGX1353" s="402"/>
      <c r="AGY1353" s="402"/>
      <c r="AGZ1353" s="402"/>
      <c r="AHA1353" s="402"/>
      <c r="AHB1353" s="402"/>
      <c r="AHC1353" s="402"/>
      <c r="AHD1353" s="402"/>
      <c r="AHE1353" s="402"/>
      <c r="AHF1353" s="402"/>
      <c r="AHG1353" s="402"/>
      <c r="AHH1353" s="402"/>
      <c r="AHI1353" s="402"/>
      <c r="AHJ1353" s="402"/>
      <c r="AHK1353" s="402"/>
      <c r="AHL1353" s="402"/>
      <c r="AHM1353" s="402"/>
      <c r="AHN1353" s="402"/>
      <c r="AHO1353" s="402"/>
      <c r="AHP1353" s="402"/>
      <c r="AHQ1353" s="402"/>
      <c r="AHR1353" s="402"/>
      <c r="AHS1353" s="402"/>
      <c r="AHT1353" s="402"/>
      <c r="AHU1353" s="402"/>
      <c r="AHV1353" s="402"/>
      <c r="AHW1353" s="402"/>
      <c r="AHX1353" s="402"/>
      <c r="AHY1353" s="402"/>
      <c r="AHZ1353" s="402"/>
      <c r="AIA1353" s="402"/>
      <c r="AIB1353" s="402"/>
      <c r="AIC1353" s="402"/>
      <c r="AID1353" s="402"/>
      <c r="AIE1353" s="402"/>
      <c r="AIF1353" s="402"/>
      <c r="AIG1353" s="402"/>
      <c r="AIH1353" s="402"/>
      <c r="AII1353" s="402"/>
      <c r="AIJ1353" s="402"/>
      <c r="AIK1353" s="402"/>
      <c r="AIL1353" s="402"/>
      <c r="AIM1353" s="402"/>
      <c r="AIN1353" s="402"/>
      <c r="AIO1353" s="402"/>
      <c r="AIP1353" s="402"/>
      <c r="AIQ1353" s="402"/>
      <c r="AIR1353" s="402"/>
      <c r="AIS1353" s="402"/>
      <c r="AIT1353" s="402"/>
      <c r="AIU1353" s="402"/>
      <c r="AIV1353" s="402"/>
      <c r="AIW1353" s="402"/>
      <c r="AIX1353" s="402"/>
      <c r="AIY1353" s="402"/>
      <c r="AIZ1353" s="402"/>
      <c r="AJA1353" s="402"/>
      <c r="AJB1353" s="402"/>
      <c r="AJC1353" s="402"/>
      <c r="AJD1353" s="402"/>
      <c r="AJE1353" s="402"/>
      <c r="AJF1353" s="402"/>
      <c r="AJG1353" s="402"/>
      <c r="AJH1353" s="402"/>
      <c r="AJI1353" s="402"/>
      <c r="AJJ1353" s="402"/>
      <c r="AJK1353" s="402"/>
      <c r="AJL1353" s="402"/>
      <c r="AJM1353" s="402"/>
      <c r="AJN1353" s="402"/>
      <c r="AJO1353" s="402"/>
      <c r="AJP1353" s="402"/>
      <c r="AJQ1353" s="402"/>
      <c r="AJR1353" s="402"/>
      <c r="AJS1353" s="402"/>
      <c r="AJT1353" s="402"/>
      <c r="AJU1353" s="402"/>
      <c r="AJV1353" s="402"/>
      <c r="AJW1353" s="402"/>
      <c r="AJX1353" s="402"/>
      <c r="AJY1353" s="402"/>
      <c r="AJZ1353" s="402"/>
      <c r="AKA1353" s="402"/>
      <c r="AKB1353" s="402"/>
      <c r="AKC1353" s="402"/>
      <c r="AKD1353" s="402"/>
      <c r="AKE1353" s="402"/>
      <c r="AKF1353" s="402"/>
      <c r="AKG1353" s="402"/>
      <c r="AKH1353" s="402"/>
      <c r="AKI1353" s="402"/>
      <c r="AKJ1353" s="402"/>
      <c r="AKK1353" s="402"/>
      <c r="AKL1353" s="402"/>
      <c r="AKM1353" s="402"/>
      <c r="AKN1353" s="402"/>
      <c r="AKO1353" s="402"/>
      <c r="AKP1353" s="402"/>
      <c r="AKQ1353" s="402"/>
      <c r="AKR1353" s="402"/>
      <c r="AKS1353" s="402"/>
      <c r="AKT1353" s="402"/>
      <c r="AKU1353" s="402"/>
      <c r="AKV1353" s="402"/>
      <c r="AKW1353" s="402"/>
      <c r="AKX1353" s="402"/>
      <c r="AKY1353" s="402"/>
      <c r="AKZ1353" s="402"/>
      <c r="ALA1353" s="402"/>
      <c r="ALB1353" s="402"/>
      <c r="ALC1353" s="402"/>
      <c r="ALD1353" s="402"/>
      <c r="ALE1353" s="402"/>
      <c r="ALF1353" s="402"/>
      <c r="ALG1353" s="402"/>
      <c r="ALH1353" s="402"/>
      <c r="ALI1353" s="402"/>
      <c r="ALJ1353" s="402"/>
      <c r="ALK1353" s="402"/>
      <c r="ALL1353" s="402"/>
      <c r="ALM1353" s="402"/>
      <c r="ALN1353" s="402"/>
      <c r="ALO1353" s="402"/>
      <c r="ALP1353" s="402"/>
      <c r="ALQ1353" s="402"/>
      <c r="ALR1353" s="402"/>
      <c r="ALS1353" s="402"/>
      <c r="ALT1353" s="402"/>
      <c r="ALU1353" s="402"/>
      <c r="ALV1353" s="402"/>
      <c r="ALW1353" s="402"/>
      <c r="ALX1353" s="402"/>
      <c r="ALY1353" s="402"/>
      <c r="ALZ1353" s="402"/>
      <c r="AMA1353" s="402"/>
      <c r="AMB1353" s="402"/>
      <c r="AMC1353" s="402"/>
      <c r="AMD1353" s="402"/>
      <c r="AME1353" s="402"/>
      <c r="AMF1353" s="402"/>
      <c r="AMG1353" s="402"/>
      <c r="AMH1353" s="402"/>
      <c r="AMI1353" s="402"/>
      <c r="AMJ1353" s="402"/>
      <c r="AMK1353" s="402"/>
      <c r="AML1353" s="402"/>
      <c r="AMM1353" s="402"/>
      <c r="AMN1353" s="402"/>
      <c r="AMO1353" s="402"/>
      <c r="AMP1353" s="402"/>
      <c r="AMQ1353" s="402"/>
      <c r="AMR1353" s="402"/>
      <c r="AMS1353" s="402"/>
      <c r="AMT1353" s="402"/>
      <c r="AMU1353" s="402"/>
      <c r="AMV1353" s="402"/>
      <c r="AMW1353" s="402"/>
      <c r="AMX1353" s="402"/>
      <c r="AMY1353" s="402"/>
      <c r="AMZ1353" s="402"/>
      <c r="ANA1353" s="402"/>
      <c r="ANB1353" s="402"/>
      <c r="ANC1353" s="402"/>
      <c r="AND1353" s="402"/>
      <c r="ANE1353" s="402"/>
      <c r="ANF1353" s="402"/>
      <c r="ANG1353" s="402"/>
      <c r="ANH1353" s="402"/>
      <c r="ANI1353" s="402"/>
      <c r="ANJ1353" s="402"/>
      <c r="ANK1353" s="402"/>
      <c r="ANL1353" s="402"/>
      <c r="ANM1353" s="402"/>
      <c r="ANN1353" s="402"/>
      <c r="ANO1353" s="402"/>
      <c r="ANP1353" s="402"/>
      <c r="ANQ1353" s="402"/>
      <c r="ANR1353" s="402"/>
      <c r="ANS1353" s="402"/>
      <c r="ANT1353" s="402"/>
      <c r="ANU1353" s="402"/>
      <c r="ANV1353" s="402"/>
      <c r="ANW1353" s="402"/>
      <c r="ANX1353" s="402"/>
      <c r="ANY1353" s="402"/>
      <c r="ANZ1353" s="402"/>
      <c r="AOA1353" s="402"/>
      <c r="AOB1353" s="402"/>
      <c r="AOC1353" s="402"/>
      <c r="AOD1353" s="402"/>
      <c r="AOE1353" s="402"/>
      <c r="AOF1353" s="402"/>
      <c r="AOG1353" s="402"/>
      <c r="AOH1353" s="402"/>
      <c r="AOI1353" s="402"/>
      <c r="AOJ1353" s="402"/>
      <c r="AOK1353" s="402"/>
      <c r="AOL1353" s="402"/>
      <c r="AOM1353" s="402"/>
      <c r="AON1353" s="402"/>
      <c r="AOO1353" s="402"/>
      <c r="AOP1353" s="402"/>
      <c r="AOQ1353" s="402"/>
      <c r="AOR1353" s="402"/>
      <c r="AOS1353" s="402"/>
      <c r="AOT1353" s="402"/>
      <c r="AOU1353" s="402"/>
      <c r="AOV1353" s="402"/>
      <c r="AOW1353" s="402"/>
      <c r="AOX1353" s="402"/>
      <c r="AOY1353" s="402"/>
      <c r="AOZ1353" s="402"/>
      <c r="APA1353" s="402"/>
      <c r="APB1353" s="402"/>
      <c r="APC1353" s="402"/>
      <c r="APD1353" s="402"/>
      <c r="APE1353" s="402"/>
      <c r="APF1353" s="402"/>
      <c r="APG1353" s="402"/>
      <c r="APH1353" s="402"/>
      <c r="API1353" s="402"/>
      <c r="APJ1353" s="402"/>
      <c r="APK1353" s="402"/>
      <c r="APL1353" s="402"/>
      <c r="APM1353" s="402"/>
      <c r="APN1353" s="402"/>
      <c r="APO1353" s="402"/>
      <c r="APP1353" s="402"/>
      <c r="APQ1353" s="402"/>
      <c r="APR1353" s="402"/>
      <c r="APS1353" s="402"/>
      <c r="APT1353" s="402"/>
      <c r="APU1353" s="402"/>
      <c r="APV1353" s="402"/>
      <c r="APW1353" s="402"/>
      <c r="APX1353" s="402"/>
      <c r="APY1353" s="402"/>
      <c r="APZ1353" s="402"/>
      <c r="AQA1353" s="402"/>
      <c r="AQB1353" s="402"/>
      <c r="AQC1353" s="402"/>
      <c r="AQD1353" s="402"/>
      <c r="AQE1353" s="402"/>
      <c r="AQF1353" s="402"/>
      <c r="AQG1353" s="402"/>
      <c r="AQH1353" s="402"/>
      <c r="AQI1353" s="402"/>
      <c r="AQJ1353" s="402"/>
      <c r="AQK1353" s="402"/>
      <c r="AQL1353" s="402"/>
      <c r="AQM1353" s="402"/>
      <c r="AQN1353" s="402"/>
      <c r="AQO1353" s="402"/>
      <c r="AQP1353" s="402"/>
      <c r="AQQ1353" s="402"/>
      <c r="AQR1353" s="402"/>
      <c r="AQS1353" s="402"/>
      <c r="AQT1353" s="402"/>
      <c r="AQU1353" s="402"/>
      <c r="AQV1353" s="402"/>
      <c r="AQW1353" s="402"/>
      <c r="AQX1353" s="402"/>
      <c r="AQY1353" s="402"/>
      <c r="AQZ1353" s="402"/>
      <c r="ARA1353" s="402"/>
      <c r="ARB1353" s="402"/>
      <c r="ARC1353" s="402"/>
      <c r="ARD1353" s="402"/>
      <c r="ARE1353" s="402"/>
      <c r="ARF1353" s="402"/>
      <c r="ARG1353" s="402"/>
      <c r="ARH1353" s="402"/>
      <c r="ARI1353" s="402"/>
      <c r="ARJ1353" s="402"/>
      <c r="ARK1353" s="402"/>
      <c r="ARL1353" s="402"/>
      <c r="ARM1353" s="402"/>
      <c r="ARN1353" s="402"/>
      <c r="ARO1353" s="402"/>
      <c r="ARP1353" s="402"/>
      <c r="ARQ1353" s="402"/>
      <c r="ARR1353" s="402"/>
      <c r="ARS1353" s="402"/>
      <c r="ART1353" s="402"/>
      <c r="ARU1353" s="402"/>
      <c r="ARV1353" s="402"/>
      <c r="ARW1353" s="402"/>
      <c r="ARX1353" s="402"/>
      <c r="ARY1353" s="402"/>
      <c r="ARZ1353" s="402"/>
      <c r="ASA1353" s="402"/>
      <c r="ASB1353" s="402"/>
      <c r="ASC1353" s="402"/>
      <c r="ASD1353" s="402"/>
      <c r="ASE1353" s="402"/>
      <c r="ASF1353" s="402"/>
      <c r="ASG1353" s="402"/>
      <c r="ASH1353" s="402"/>
      <c r="ASI1353" s="402"/>
      <c r="ASJ1353" s="402"/>
      <c r="ASK1353" s="402"/>
      <c r="ASL1353" s="402"/>
      <c r="ASM1353" s="402"/>
      <c r="ASN1353" s="402"/>
      <c r="ASO1353" s="402"/>
      <c r="ASP1353" s="402"/>
      <c r="ASQ1353" s="402"/>
      <c r="ASR1353" s="402"/>
      <c r="ASS1353" s="402"/>
      <c r="AST1353" s="402"/>
      <c r="ASU1353" s="402"/>
      <c r="ASV1353" s="402"/>
      <c r="ASW1353" s="402"/>
      <c r="ASX1353" s="402"/>
      <c r="ASY1353" s="402"/>
      <c r="ASZ1353" s="402"/>
      <c r="ATA1353" s="402"/>
      <c r="ATB1353" s="402"/>
      <c r="ATC1353" s="402"/>
      <c r="ATD1353" s="402"/>
      <c r="ATE1353" s="402"/>
      <c r="ATF1353" s="402"/>
      <c r="ATG1353" s="402"/>
      <c r="ATH1353" s="402"/>
      <c r="ATI1353" s="402"/>
      <c r="ATJ1353" s="402"/>
      <c r="ATK1353" s="402"/>
      <c r="ATL1353" s="402"/>
      <c r="ATM1353" s="402"/>
      <c r="ATN1353" s="402"/>
      <c r="ATO1353" s="402"/>
      <c r="ATP1353" s="402"/>
      <c r="ATQ1353" s="402"/>
      <c r="ATR1353" s="402"/>
      <c r="ATS1353" s="402"/>
      <c r="ATT1353" s="402"/>
      <c r="ATU1353" s="402"/>
      <c r="ATV1353" s="402"/>
      <c r="ATW1353" s="402"/>
      <c r="ATX1353" s="402"/>
      <c r="ATY1353" s="402"/>
      <c r="ATZ1353" s="402"/>
      <c r="AUA1353" s="402"/>
      <c r="AUB1353" s="402"/>
      <c r="AUC1353" s="402"/>
      <c r="AUD1353" s="402"/>
      <c r="AUE1353" s="402"/>
      <c r="AUF1353" s="402"/>
      <c r="AUG1353" s="402"/>
      <c r="AUH1353" s="402"/>
      <c r="AUI1353" s="402"/>
      <c r="AUJ1353" s="402"/>
      <c r="AUK1353" s="402"/>
      <c r="AUL1353" s="402"/>
      <c r="AUM1353" s="402"/>
      <c r="AUN1353" s="402"/>
      <c r="AUO1353" s="402"/>
      <c r="AUP1353" s="402"/>
      <c r="AUQ1353" s="402"/>
      <c r="AUR1353" s="402"/>
      <c r="AUS1353" s="402"/>
      <c r="AUT1353" s="402"/>
      <c r="AUU1353" s="402"/>
      <c r="AUV1353" s="402"/>
      <c r="AUW1353" s="402"/>
      <c r="AUX1353" s="402"/>
      <c r="AUY1353" s="402"/>
      <c r="AUZ1353" s="402"/>
      <c r="AVA1353" s="402"/>
      <c r="AVB1353" s="402"/>
      <c r="AVC1353" s="402"/>
      <c r="AVD1353" s="402"/>
      <c r="AVE1353" s="402"/>
      <c r="AVF1353" s="402"/>
      <c r="AVG1353" s="402"/>
      <c r="AVH1353" s="402"/>
      <c r="AVI1353" s="402"/>
      <c r="AVJ1353" s="402"/>
      <c r="AVK1353" s="402"/>
    </row>
    <row r="1354" spans="1:1259" s="442" customFormat="1" ht="15" customHeight="1">
      <c r="A1354" s="403"/>
      <c r="B1354" s="403"/>
      <c r="C1354" s="403"/>
      <c r="D1354" s="443" t="s">
        <v>2480</v>
      </c>
      <c r="E1354" s="432"/>
      <c r="F1354" s="432"/>
      <c r="G1354" s="432">
        <v>2022</v>
      </c>
      <c r="H1354" s="432"/>
      <c r="I1354" s="427" t="s">
        <v>1498</v>
      </c>
      <c r="J1354" s="433"/>
      <c r="K1354" s="434" t="s">
        <v>3751</v>
      </c>
      <c r="L1354" s="432" t="s">
        <v>2518</v>
      </c>
      <c r="M1354" s="435">
        <v>44601</v>
      </c>
      <c r="N1354" s="435">
        <v>44651</v>
      </c>
      <c r="O1354" s="435"/>
      <c r="P1354" s="433"/>
      <c r="Q1354" s="433"/>
      <c r="R1354" s="433"/>
      <c r="S1354" s="432" t="s">
        <v>1940</v>
      </c>
      <c r="T1354" s="432">
        <v>60</v>
      </c>
      <c r="U1354" s="432"/>
      <c r="V1354" s="432" t="s">
        <v>973</v>
      </c>
      <c r="W1354" s="432">
        <v>400</v>
      </c>
      <c r="X1354" s="436">
        <v>832</v>
      </c>
      <c r="Y1354" s="422">
        <f t="shared" si="166"/>
        <v>332800</v>
      </c>
      <c r="Z1354" s="437">
        <v>0.54</v>
      </c>
      <c r="AA1354" s="423">
        <f t="shared" si="167"/>
        <v>179712</v>
      </c>
      <c r="AB1354" s="411"/>
      <c r="AC1354" s="412">
        <f t="shared" si="168"/>
        <v>0</v>
      </c>
      <c r="AD1354" s="439"/>
      <c r="AE1354" s="438">
        <v>6851.52</v>
      </c>
      <c r="AF1354" s="424">
        <f t="shared" si="169"/>
        <v>186563.52</v>
      </c>
      <c r="AG1354" s="432" t="s">
        <v>47</v>
      </c>
      <c r="AH1354" s="432"/>
      <c r="AI1354" s="434">
        <v>60</v>
      </c>
      <c r="AJ1354" s="432" t="s">
        <v>1584</v>
      </c>
      <c r="AK1354" s="440" t="s">
        <v>50</v>
      </c>
      <c r="AL1354" s="432">
        <v>95826</v>
      </c>
      <c r="AM1354" s="432" t="s">
        <v>52</v>
      </c>
      <c r="AN1354" s="432"/>
      <c r="AO1354" s="432"/>
      <c r="AP1354" s="441"/>
      <c r="AQ1354" s="441" t="s">
        <v>37</v>
      </c>
      <c r="AR1354" s="441"/>
      <c r="AS1354" s="426"/>
      <c r="AT1354" s="426"/>
      <c r="AU1354" s="426"/>
      <c r="AV1354" s="437">
        <f t="shared" si="170"/>
        <v>0.48000000000000004</v>
      </c>
      <c r="AW1354" s="402"/>
      <c r="AX1354" s="402"/>
      <c r="AY1354" s="402"/>
      <c r="AZ1354" s="402"/>
      <c r="BA1354" s="402"/>
      <c r="BB1354" s="402"/>
      <c r="BC1354" s="402"/>
      <c r="BD1354" s="402"/>
      <c r="BE1354" s="402"/>
      <c r="BF1354" s="402"/>
      <c r="BG1354" s="402"/>
      <c r="BH1354" s="402"/>
      <c r="BI1354" s="402"/>
      <c r="BJ1354" s="402"/>
      <c r="BK1354" s="402"/>
      <c r="BL1354" s="402"/>
      <c r="BM1354" s="402"/>
      <c r="BN1354" s="402"/>
      <c r="BO1354" s="402"/>
      <c r="BP1354" s="402"/>
      <c r="BQ1354" s="402"/>
      <c r="BR1354" s="402"/>
      <c r="BS1354" s="402"/>
      <c r="BT1354" s="402"/>
      <c r="BU1354" s="402"/>
      <c r="BV1354" s="402"/>
      <c r="BW1354" s="402"/>
      <c r="BX1354" s="402"/>
      <c r="BY1354" s="402"/>
      <c r="BZ1354" s="402"/>
      <c r="CA1354" s="402"/>
      <c r="CB1354" s="402"/>
      <c r="CC1354" s="402"/>
      <c r="CD1354" s="402"/>
      <c r="CE1354" s="402"/>
      <c r="CF1354" s="402"/>
      <c r="CG1354" s="402"/>
      <c r="CH1354" s="402"/>
      <c r="CI1354" s="402"/>
      <c r="CJ1354" s="402"/>
      <c r="CK1354" s="402"/>
      <c r="CL1354" s="402"/>
      <c r="CM1354" s="402"/>
      <c r="CN1354" s="402"/>
      <c r="CO1354" s="402"/>
      <c r="CP1354" s="402"/>
      <c r="CQ1354" s="402"/>
      <c r="CR1354" s="402"/>
      <c r="CS1354" s="402"/>
      <c r="CT1354" s="402"/>
      <c r="CU1354" s="402"/>
      <c r="CV1354" s="402"/>
      <c r="CW1354" s="402"/>
      <c r="CX1354" s="402"/>
      <c r="CY1354" s="402"/>
      <c r="CZ1354" s="402"/>
      <c r="DA1354" s="402"/>
      <c r="DB1354" s="402"/>
      <c r="DC1354" s="402"/>
      <c r="DD1354" s="402"/>
      <c r="DE1354" s="402"/>
      <c r="DF1354" s="402"/>
      <c r="DG1354" s="402"/>
      <c r="DH1354" s="402"/>
      <c r="DI1354" s="402"/>
      <c r="DJ1354" s="402"/>
      <c r="DK1354" s="402"/>
      <c r="DL1354" s="402"/>
      <c r="DM1354" s="402"/>
      <c r="DN1354" s="402"/>
      <c r="DO1354" s="402"/>
      <c r="DP1354" s="402"/>
      <c r="DQ1354" s="402"/>
      <c r="DR1354" s="402"/>
      <c r="DS1354" s="402"/>
      <c r="DT1354" s="402"/>
      <c r="DU1354" s="402"/>
      <c r="DV1354" s="402"/>
      <c r="DW1354" s="402"/>
      <c r="DX1354" s="402"/>
      <c r="DY1354" s="402"/>
      <c r="DZ1354" s="402"/>
      <c r="EA1354" s="402"/>
      <c r="EB1354" s="402"/>
      <c r="EC1354" s="402"/>
      <c r="ED1354" s="402"/>
      <c r="EE1354" s="402"/>
      <c r="EF1354" s="402"/>
      <c r="EG1354" s="402"/>
      <c r="EH1354" s="402"/>
      <c r="EI1354" s="402"/>
      <c r="EJ1354" s="402"/>
      <c r="EK1354" s="402"/>
      <c r="EL1354" s="402"/>
      <c r="EM1354" s="402"/>
      <c r="EN1354" s="402"/>
      <c r="EO1354" s="402"/>
      <c r="EP1354" s="402"/>
      <c r="EQ1354" s="402"/>
      <c r="ER1354" s="402"/>
      <c r="ES1354" s="402"/>
      <c r="ET1354" s="402"/>
      <c r="EU1354" s="402"/>
      <c r="EV1354" s="402"/>
      <c r="EW1354" s="402"/>
      <c r="EX1354" s="402"/>
      <c r="EY1354" s="402"/>
      <c r="EZ1354" s="402"/>
      <c r="FA1354" s="402"/>
      <c r="FB1354" s="402"/>
      <c r="FC1354" s="402"/>
      <c r="FD1354" s="402"/>
      <c r="FE1354" s="402"/>
      <c r="FF1354" s="402"/>
      <c r="FG1354" s="402"/>
      <c r="FH1354" s="402"/>
      <c r="FI1354" s="402"/>
      <c r="FJ1354" s="402"/>
      <c r="FK1354" s="402"/>
      <c r="FL1354" s="402"/>
      <c r="FM1354" s="402"/>
      <c r="FN1354" s="402"/>
      <c r="FO1354" s="402"/>
      <c r="FP1354" s="402"/>
      <c r="FQ1354" s="402"/>
      <c r="FR1354" s="402"/>
      <c r="FS1354" s="402"/>
      <c r="FT1354" s="402"/>
      <c r="FU1354" s="402"/>
      <c r="FV1354" s="402"/>
      <c r="FW1354" s="402"/>
      <c r="FX1354" s="402"/>
      <c r="FY1354" s="402"/>
      <c r="FZ1354" s="402"/>
      <c r="GA1354" s="402"/>
      <c r="GB1354" s="402"/>
      <c r="GC1354" s="402"/>
      <c r="GD1354" s="402"/>
      <c r="GE1354" s="402"/>
      <c r="GF1354" s="402"/>
      <c r="GG1354" s="402"/>
      <c r="GH1354" s="402"/>
      <c r="GI1354" s="402"/>
      <c r="GJ1354" s="402"/>
      <c r="GK1354" s="402"/>
      <c r="GL1354" s="402"/>
      <c r="GM1354" s="402"/>
      <c r="GN1354" s="402"/>
      <c r="GO1354" s="402"/>
      <c r="GP1354" s="402"/>
      <c r="GQ1354" s="402"/>
      <c r="GR1354" s="402"/>
      <c r="GS1354" s="402"/>
      <c r="GT1354" s="402"/>
      <c r="GU1354" s="402"/>
      <c r="GV1354" s="402"/>
      <c r="GW1354" s="402"/>
      <c r="GX1354" s="402"/>
      <c r="GY1354" s="402"/>
      <c r="GZ1354" s="402"/>
      <c r="HA1354" s="402"/>
      <c r="HB1354" s="402"/>
      <c r="HC1354" s="402"/>
      <c r="HD1354" s="402"/>
      <c r="HE1354" s="402"/>
      <c r="HF1354" s="402"/>
      <c r="HG1354" s="402"/>
      <c r="HH1354" s="402"/>
      <c r="HI1354" s="402"/>
      <c r="HJ1354" s="402"/>
      <c r="HK1354" s="402"/>
      <c r="HL1354" s="402"/>
      <c r="HM1354" s="402"/>
      <c r="HN1354" s="402"/>
      <c r="HO1354" s="402"/>
      <c r="HP1354" s="402"/>
      <c r="HQ1354" s="402"/>
      <c r="HR1354" s="402"/>
      <c r="HS1354" s="402"/>
      <c r="HT1354" s="402"/>
      <c r="HU1354" s="402"/>
      <c r="HV1354" s="402"/>
      <c r="HW1354" s="402"/>
      <c r="HX1354" s="402"/>
      <c r="HY1354" s="402"/>
      <c r="HZ1354" s="402"/>
      <c r="IA1354" s="402"/>
      <c r="IB1354" s="402"/>
      <c r="IC1354" s="402"/>
      <c r="ID1354" s="402"/>
      <c r="IE1354" s="402"/>
      <c r="IF1354" s="402"/>
      <c r="IG1354" s="402"/>
      <c r="IH1354" s="402"/>
      <c r="II1354" s="402"/>
      <c r="IJ1354" s="402"/>
      <c r="IK1354" s="402"/>
      <c r="IL1354" s="402"/>
      <c r="IM1354" s="402"/>
      <c r="IN1354" s="402"/>
      <c r="IO1354" s="402"/>
      <c r="IP1354" s="402"/>
      <c r="IQ1354" s="402"/>
      <c r="IR1354" s="402"/>
      <c r="IS1354" s="402"/>
      <c r="IT1354" s="402"/>
      <c r="IU1354" s="402"/>
      <c r="IV1354" s="402"/>
      <c r="IW1354" s="402"/>
      <c r="IX1354" s="402"/>
      <c r="IY1354" s="402"/>
      <c r="IZ1354" s="402"/>
      <c r="JA1354" s="402"/>
      <c r="JB1354" s="402"/>
      <c r="JC1354" s="402"/>
      <c r="JD1354" s="402"/>
      <c r="JE1354" s="402"/>
      <c r="JF1354" s="402"/>
      <c r="JG1354" s="402"/>
      <c r="JH1354" s="402"/>
      <c r="JI1354" s="402"/>
      <c r="JJ1354" s="402"/>
      <c r="JK1354" s="402"/>
      <c r="JL1354" s="402"/>
      <c r="JM1354" s="402"/>
      <c r="JN1354" s="402"/>
      <c r="JO1354" s="402"/>
      <c r="JP1354" s="402"/>
      <c r="JQ1354" s="402"/>
      <c r="JR1354" s="402"/>
      <c r="JS1354" s="402"/>
      <c r="JT1354" s="402"/>
      <c r="JU1354" s="402"/>
      <c r="JV1354" s="402"/>
      <c r="JW1354" s="402"/>
      <c r="JX1354" s="402"/>
      <c r="JY1354" s="402"/>
      <c r="JZ1354" s="402"/>
      <c r="KA1354" s="402"/>
      <c r="KB1354" s="402"/>
      <c r="KC1354" s="402"/>
      <c r="KD1354" s="402"/>
      <c r="KE1354" s="402"/>
      <c r="KF1354" s="402"/>
      <c r="KG1354" s="402"/>
      <c r="KH1354" s="402"/>
      <c r="KI1354" s="402"/>
      <c r="KJ1354" s="402"/>
      <c r="KK1354" s="402"/>
      <c r="KL1354" s="402"/>
      <c r="KM1354" s="402"/>
      <c r="KN1354" s="402"/>
      <c r="KO1354" s="402"/>
      <c r="KP1354" s="402"/>
      <c r="KQ1354" s="402"/>
      <c r="KR1354" s="402"/>
      <c r="KS1354" s="402"/>
      <c r="KT1354" s="402"/>
      <c r="KU1354" s="402"/>
      <c r="KV1354" s="402"/>
      <c r="KW1354" s="402"/>
      <c r="KX1354" s="402"/>
      <c r="KY1354" s="402"/>
      <c r="KZ1354" s="402"/>
      <c r="LA1354" s="402"/>
      <c r="LB1354" s="402"/>
      <c r="LC1354" s="402"/>
      <c r="LD1354" s="402"/>
      <c r="LE1354" s="402"/>
      <c r="LF1354" s="402"/>
      <c r="LG1354" s="402"/>
      <c r="LH1354" s="402"/>
      <c r="LI1354" s="402"/>
      <c r="LJ1354" s="402"/>
      <c r="LK1354" s="402"/>
      <c r="LL1354" s="402"/>
      <c r="LM1354" s="402"/>
      <c r="LN1354" s="402"/>
      <c r="LO1354" s="402"/>
      <c r="LP1354" s="402"/>
      <c r="LQ1354" s="402"/>
      <c r="LR1354" s="402"/>
      <c r="LS1354" s="402"/>
      <c r="LT1354" s="402"/>
      <c r="LU1354" s="402"/>
      <c r="LV1354" s="402"/>
      <c r="LW1354" s="402"/>
      <c r="LX1354" s="402"/>
      <c r="LY1354" s="402"/>
      <c r="LZ1354" s="402"/>
      <c r="MA1354" s="402"/>
      <c r="MB1354" s="402"/>
      <c r="MC1354" s="402"/>
      <c r="MD1354" s="402"/>
      <c r="ME1354" s="402"/>
      <c r="MF1354" s="402"/>
      <c r="MG1354" s="402"/>
      <c r="MH1354" s="402"/>
      <c r="MI1354" s="402"/>
      <c r="MJ1354" s="402"/>
      <c r="MK1354" s="402"/>
      <c r="ML1354" s="402"/>
      <c r="MM1354" s="402"/>
      <c r="MN1354" s="402"/>
      <c r="MO1354" s="402"/>
      <c r="MP1354" s="402"/>
      <c r="MQ1354" s="402"/>
      <c r="MR1354" s="402"/>
      <c r="MS1354" s="402"/>
      <c r="MT1354" s="402"/>
      <c r="MU1354" s="402"/>
      <c r="MV1354" s="402"/>
      <c r="MW1354" s="402"/>
      <c r="MX1354" s="402"/>
      <c r="MY1354" s="402"/>
      <c r="MZ1354" s="402"/>
      <c r="NA1354" s="402"/>
      <c r="NB1354" s="402"/>
      <c r="NC1354" s="402"/>
      <c r="ND1354" s="402"/>
      <c r="NE1354" s="402"/>
      <c r="NF1354" s="402"/>
      <c r="NG1354" s="402"/>
      <c r="NH1354" s="402"/>
      <c r="NI1354" s="402"/>
      <c r="NJ1354" s="402"/>
      <c r="NK1354" s="402"/>
      <c r="NL1354" s="402"/>
      <c r="NM1354" s="402"/>
      <c r="NN1354" s="402"/>
      <c r="NO1354" s="402"/>
      <c r="NP1354" s="402"/>
      <c r="NQ1354" s="402"/>
      <c r="NR1354" s="402"/>
      <c r="NS1354" s="402"/>
      <c r="NT1354" s="402"/>
      <c r="NU1354" s="402"/>
      <c r="NV1354" s="402"/>
      <c r="NW1354" s="402"/>
      <c r="NX1354" s="402"/>
      <c r="NY1354" s="402"/>
      <c r="NZ1354" s="402"/>
      <c r="OA1354" s="402"/>
      <c r="OB1354" s="402"/>
      <c r="OC1354" s="402"/>
      <c r="OD1354" s="402"/>
      <c r="OE1354" s="402"/>
      <c r="OF1354" s="402"/>
      <c r="OG1354" s="402"/>
      <c r="OH1354" s="402"/>
      <c r="OI1354" s="402"/>
      <c r="OJ1354" s="402"/>
      <c r="OK1354" s="402"/>
      <c r="OL1354" s="402"/>
      <c r="OM1354" s="402"/>
      <c r="ON1354" s="402"/>
      <c r="OO1354" s="402"/>
      <c r="OP1354" s="402"/>
      <c r="OQ1354" s="402"/>
      <c r="OR1354" s="402"/>
      <c r="OS1354" s="402"/>
      <c r="OT1354" s="402"/>
      <c r="OU1354" s="402"/>
      <c r="OV1354" s="402"/>
      <c r="OW1354" s="402"/>
      <c r="OX1354" s="402"/>
      <c r="OY1354" s="402"/>
      <c r="OZ1354" s="402"/>
      <c r="PA1354" s="402"/>
      <c r="PB1354" s="402"/>
      <c r="PC1354" s="402"/>
      <c r="PD1354" s="402"/>
      <c r="PE1354" s="402"/>
      <c r="PF1354" s="402"/>
      <c r="PG1354" s="402"/>
      <c r="PH1354" s="402"/>
      <c r="PI1354" s="402"/>
      <c r="PJ1354" s="402"/>
      <c r="PK1354" s="402"/>
      <c r="PL1354" s="402"/>
      <c r="PM1354" s="402"/>
      <c r="PN1354" s="402"/>
      <c r="PO1354" s="402"/>
      <c r="PP1354" s="402"/>
      <c r="PQ1354" s="402"/>
      <c r="PR1354" s="402"/>
      <c r="PS1354" s="402"/>
      <c r="PT1354" s="402"/>
      <c r="PU1354" s="402"/>
      <c r="PV1354" s="402"/>
      <c r="PW1354" s="402"/>
      <c r="PX1354" s="402"/>
      <c r="PY1354" s="402"/>
      <c r="PZ1354" s="402"/>
      <c r="QA1354" s="402"/>
      <c r="QB1354" s="402"/>
      <c r="QC1354" s="402"/>
      <c r="QD1354" s="402"/>
      <c r="QE1354" s="402"/>
      <c r="QF1354" s="402"/>
      <c r="QG1354" s="402"/>
      <c r="QH1354" s="402"/>
      <c r="QI1354" s="402"/>
      <c r="QJ1354" s="402"/>
      <c r="QK1354" s="402"/>
      <c r="QL1354" s="402"/>
      <c r="QM1354" s="402"/>
      <c r="QN1354" s="402"/>
      <c r="QO1354" s="402"/>
      <c r="QP1354" s="402"/>
      <c r="QQ1354" s="402"/>
      <c r="QR1354" s="402"/>
      <c r="QS1354" s="402"/>
      <c r="QT1354" s="402"/>
      <c r="QU1354" s="402"/>
      <c r="QV1354" s="402"/>
      <c r="QW1354" s="402"/>
      <c r="QX1354" s="402"/>
      <c r="QY1354" s="402"/>
      <c r="QZ1354" s="402"/>
      <c r="RA1354" s="402"/>
      <c r="RB1354" s="402"/>
      <c r="RC1354" s="402"/>
      <c r="RD1354" s="402"/>
      <c r="RE1354" s="402"/>
      <c r="RF1354" s="402"/>
      <c r="RG1354" s="402"/>
      <c r="RH1354" s="402"/>
      <c r="RI1354" s="402"/>
      <c r="RJ1354" s="402"/>
      <c r="RK1354" s="402"/>
      <c r="RL1354" s="402"/>
      <c r="RM1354" s="402"/>
      <c r="RN1354" s="402"/>
      <c r="RO1354" s="402"/>
      <c r="RP1354" s="402"/>
      <c r="RQ1354" s="402"/>
      <c r="RR1354" s="402"/>
      <c r="RS1354" s="402"/>
      <c r="RT1354" s="402"/>
      <c r="RU1354" s="402"/>
      <c r="RV1354" s="402"/>
      <c r="RW1354" s="402"/>
      <c r="RX1354" s="402"/>
      <c r="RY1354" s="402"/>
      <c r="RZ1354" s="402"/>
      <c r="SA1354" s="402"/>
      <c r="SB1354" s="402"/>
      <c r="SC1354" s="402"/>
      <c r="SD1354" s="402"/>
      <c r="SE1354" s="402"/>
      <c r="SF1354" s="402"/>
      <c r="SG1354" s="402"/>
      <c r="SH1354" s="402"/>
      <c r="SI1354" s="402"/>
      <c r="SJ1354" s="402"/>
      <c r="SK1354" s="402"/>
      <c r="SL1354" s="402"/>
      <c r="SM1354" s="402"/>
      <c r="SN1354" s="402"/>
      <c r="SO1354" s="402"/>
      <c r="SP1354" s="402"/>
      <c r="SQ1354" s="402"/>
      <c r="SR1354" s="402"/>
      <c r="SS1354" s="402"/>
      <c r="ST1354" s="402"/>
      <c r="SU1354" s="402"/>
      <c r="SV1354" s="402"/>
      <c r="SW1354" s="402"/>
      <c r="SX1354" s="402"/>
      <c r="SY1354" s="402"/>
      <c r="SZ1354" s="402"/>
      <c r="TA1354" s="402"/>
      <c r="TB1354" s="402"/>
      <c r="TC1354" s="402"/>
      <c r="TD1354" s="402"/>
      <c r="TE1354" s="402"/>
      <c r="TF1354" s="402"/>
      <c r="TG1354" s="402"/>
      <c r="TH1354" s="402"/>
      <c r="TI1354" s="402"/>
      <c r="TJ1354" s="402"/>
      <c r="TK1354" s="402"/>
      <c r="TL1354" s="402"/>
      <c r="TM1354" s="402"/>
      <c r="TN1354" s="402"/>
      <c r="TO1354" s="402"/>
      <c r="TP1354" s="402"/>
      <c r="TQ1354" s="402"/>
      <c r="TR1354" s="402"/>
      <c r="TS1354" s="402"/>
      <c r="TT1354" s="402"/>
      <c r="TU1354" s="402"/>
      <c r="TV1354" s="402"/>
      <c r="TW1354" s="402"/>
      <c r="TX1354" s="402"/>
      <c r="TY1354" s="402"/>
      <c r="TZ1354" s="402"/>
      <c r="UA1354" s="402"/>
      <c r="UB1354" s="402"/>
      <c r="UC1354" s="402"/>
      <c r="UD1354" s="402"/>
      <c r="UE1354" s="402"/>
      <c r="UF1354" s="402"/>
      <c r="UG1354" s="402"/>
      <c r="UH1354" s="402"/>
      <c r="UI1354" s="402"/>
      <c r="UJ1354" s="402"/>
      <c r="UK1354" s="402"/>
      <c r="UL1354" s="402"/>
      <c r="UM1354" s="402"/>
      <c r="UN1354" s="402"/>
      <c r="UO1354" s="402"/>
      <c r="UP1354" s="402"/>
      <c r="UQ1354" s="402"/>
      <c r="UR1354" s="402"/>
      <c r="US1354" s="402"/>
      <c r="UT1354" s="402"/>
      <c r="UU1354" s="402"/>
      <c r="UV1354" s="402"/>
      <c r="UW1354" s="402"/>
      <c r="UX1354" s="402"/>
      <c r="UY1354" s="402"/>
      <c r="UZ1354" s="402"/>
      <c r="VA1354" s="402"/>
      <c r="VB1354" s="402"/>
      <c r="VC1354" s="402"/>
      <c r="VD1354" s="402"/>
      <c r="VE1354" s="402"/>
      <c r="VF1354" s="402"/>
      <c r="VG1354" s="402"/>
      <c r="VH1354" s="402"/>
      <c r="VI1354" s="402"/>
      <c r="VJ1354" s="402"/>
      <c r="VK1354" s="402"/>
      <c r="VL1354" s="402"/>
      <c r="VM1354" s="402"/>
      <c r="VN1354" s="402"/>
      <c r="VO1354" s="402"/>
      <c r="VP1354" s="402"/>
      <c r="VQ1354" s="402"/>
      <c r="VR1354" s="402"/>
      <c r="VS1354" s="402"/>
      <c r="VT1354" s="402"/>
      <c r="VU1354" s="402"/>
      <c r="VV1354" s="402"/>
      <c r="VW1354" s="402"/>
      <c r="VX1354" s="402"/>
      <c r="VY1354" s="402"/>
      <c r="VZ1354" s="402"/>
      <c r="WA1354" s="402"/>
      <c r="WB1354" s="402"/>
      <c r="WC1354" s="402"/>
      <c r="WD1354" s="402"/>
      <c r="WE1354" s="402"/>
      <c r="WF1354" s="402"/>
      <c r="WG1354" s="402"/>
      <c r="WH1354" s="402"/>
      <c r="WI1354" s="402"/>
      <c r="WJ1354" s="402"/>
      <c r="WK1354" s="402"/>
      <c r="WL1354" s="402"/>
      <c r="WM1354" s="402"/>
      <c r="WN1354" s="402"/>
      <c r="WO1354" s="402"/>
      <c r="WP1354" s="402"/>
      <c r="WQ1354" s="402"/>
      <c r="WR1354" s="402"/>
      <c r="WS1354" s="402"/>
      <c r="WT1354" s="402"/>
      <c r="WU1354" s="402"/>
      <c r="WV1354" s="402"/>
      <c r="WW1354" s="402"/>
      <c r="WX1354" s="402"/>
      <c r="WY1354" s="402"/>
      <c r="WZ1354" s="402"/>
      <c r="XA1354" s="402"/>
      <c r="XB1354" s="402"/>
      <c r="XC1354" s="402"/>
      <c r="XD1354" s="402"/>
      <c r="XE1354" s="402"/>
      <c r="XF1354" s="402"/>
      <c r="XG1354" s="402"/>
      <c r="XH1354" s="402"/>
      <c r="XI1354" s="402"/>
      <c r="XJ1354" s="402"/>
      <c r="XK1354" s="402"/>
      <c r="XL1354" s="402"/>
      <c r="XM1354" s="402"/>
      <c r="XN1354" s="402"/>
      <c r="XO1354" s="402"/>
      <c r="XP1354" s="402"/>
      <c r="XQ1354" s="402"/>
      <c r="XR1354" s="402"/>
      <c r="XS1354" s="402"/>
      <c r="XT1354" s="402"/>
      <c r="XU1354" s="402"/>
      <c r="XV1354" s="402"/>
      <c r="XW1354" s="402"/>
      <c r="XX1354" s="402"/>
      <c r="XY1354" s="402"/>
      <c r="XZ1354" s="402"/>
      <c r="YA1354" s="402"/>
      <c r="YB1354" s="402"/>
      <c r="YC1354" s="402"/>
      <c r="YD1354" s="402"/>
      <c r="YE1354" s="402"/>
      <c r="YF1354" s="402"/>
      <c r="YG1354" s="402"/>
      <c r="YH1354" s="402"/>
      <c r="YI1354" s="402"/>
      <c r="YJ1354" s="402"/>
      <c r="YK1354" s="402"/>
      <c r="YL1354" s="402"/>
      <c r="YM1354" s="402"/>
      <c r="YN1354" s="402"/>
      <c r="YO1354" s="402"/>
      <c r="YP1354" s="402"/>
      <c r="YQ1354" s="402"/>
      <c r="YR1354" s="402"/>
      <c r="YS1354" s="402"/>
      <c r="YT1354" s="402"/>
      <c r="YU1354" s="402"/>
      <c r="YV1354" s="402"/>
      <c r="YW1354" s="402"/>
      <c r="YX1354" s="402"/>
      <c r="YY1354" s="402"/>
      <c r="YZ1354" s="402"/>
      <c r="ZA1354" s="402"/>
      <c r="ZB1354" s="402"/>
      <c r="ZC1354" s="402"/>
      <c r="ZD1354" s="402"/>
      <c r="ZE1354" s="402"/>
      <c r="ZF1354" s="402"/>
      <c r="ZG1354" s="402"/>
      <c r="ZH1354" s="402"/>
      <c r="ZI1354" s="402"/>
      <c r="ZJ1354" s="402"/>
      <c r="ZK1354" s="402"/>
      <c r="ZL1354" s="402"/>
      <c r="ZM1354" s="402"/>
      <c r="ZN1354" s="402"/>
      <c r="ZO1354" s="402"/>
      <c r="ZP1354" s="402"/>
      <c r="ZQ1354" s="402"/>
      <c r="ZR1354" s="402"/>
      <c r="ZS1354" s="402"/>
      <c r="ZT1354" s="402"/>
      <c r="ZU1354" s="402"/>
      <c r="ZV1354" s="402"/>
      <c r="ZW1354" s="402"/>
      <c r="ZX1354" s="402"/>
      <c r="ZY1354" s="402"/>
      <c r="ZZ1354" s="402"/>
      <c r="AAA1354" s="402"/>
      <c r="AAB1354" s="402"/>
      <c r="AAC1354" s="402"/>
      <c r="AAD1354" s="402"/>
      <c r="AAE1354" s="402"/>
      <c r="AAF1354" s="402"/>
      <c r="AAG1354" s="402"/>
      <c r="AAH1354" s="402"/>
      <c r="AAI1354" s="402"/>
      <c r="AAJ1354" s="402"/>
      <c r="AAK1354" s="402"/>
      <c r="AAL1354" s="402"/>
      <c r="AAM1354" s="402"/>
      <c r="AAN1354" s="402"/>
      <c r="AAO1354" s="402"/>
      <c r="AAP1354" s="402"/>
      <c r="AAQ1354" s="402"/>
      <c r="AAR1354" s="402"/>
      <c r="AAS1354" s="402"/>
      <c r="AAT1354" s="402"/>
      <c r="AAU1354" s="402"/>
      <c r="AAV1354" s="402"/>
      <c r="AAW1354" s="402"/>
      <c r="AAX1354" s="402"/>
      <c r="AAY1354" s="402"/>
      <c r="AAZ1354" s="402"/>
      <c r="ABA1354" s="402"/>
      <c r="ABB1354" s="402"/>
      <c r="ABC1354" s="402"/>
      <c r="ABD1354" s="402"/>
      <c r="ABE1354" s="402"/>
      <c r="ABF1354" s="402"/>
      <c r="ABG1354" s="402"/>
      <c r="ABH1354" s="402"/>
      <c r="ABI1354" s="402"/>
      <c r="ABJ1354" s="402"/>
      <c r="ABK1354" s="402"/>
      <c r="ABL1354" s="402"/>
      <c r="ABM1354" s="402"/>
      <c r="ABN1354" s="402"/>
      <c r="ABO1354" s="402"/>
      <c r="ABP1354" s="402"/>
      <c r="ABQ1354" s="402"/>
      <c r="ABR1354" s="402"/>
      <c r="ABS1354" s="402"/>
      <c r="ABT1354" s="402"/>
      <c r="ABU1354" s="402"/>
      <c r="ABV1354" s="402"/>
      <c r="ABW1354" s="402"/>
      <c r="ABX1354" s="402"/>
      <c r="ABY1354" s="402"/>
      <c r="ABZ1354" s="402"/>
      <c r="ACA1354" s="402"/>
      <c r="ACB1354" s="402"/>
      <c r="ACC1354" s="402"/>
      <c r="ACD1354" s="402"/>
      <c r="ACE1354" s="402"/>
      <c r="ACF1354" s="402"/>
      <c r="ACG1354" s="402"/>
      <c r="ACH1354" s="402"/>
      <c r="ACI1354" s="402"/>
      <c r="ACJ1354" s="402"/>
      <c r="ACK1354" s="402"/>
      <c r="ACL1354" s="402"/>
      <c r="ACM1354" s="402"/>
      <c r="ACN1354" s="402"/>
      <c r="ACO1354" s="402"/>
      <c r="ACP1354" s="402"/>
      <c r="ACQ1354" s="402"/>
      <c r="ACR1354" s="402"/>
      <c r="ACS1354" s="402"/>
      <c r="ACT1354" s="402"/>
      <c r="ACU1354" s="402"/>
      <c r="ACV1354" s="402"/>
      <c r="ACW1354" s="402"/>
      <c r="ACX1354" s="402"/>
      <c r="ACY1354" s="402"/>
      <c r="ACZ1354" s="402"/>
      <c r="ADA1354" s="402"/>
      <c r="ADB1354" s="402"/>
      <c r="ADC1354" s="402"/>
      <c r="ADD1354" s="402"/>
      <c r="ADE1354" s="402"/>
      <c r="ADF1354" s="402"/>
      <c r="ADG1354" s="402"/>
      <c r="ADH1354" s="402"/>
      <c r="ADI1354" s="402"/>
      <c r="ADJ1354" s="402"/>
      <c r="ADK1354" s="402"/>
      <c r="ADL1354" s="402"/>
      <c r="ADM1354" s="402"/>
      <c r="ADN1354" s="402"/>
      <c r="ADO1354" s="402"/>
      <c r="ADP1354" s="402"/>
      <c r="ADQ1354" s="402"/>
      <c r="ADR1354" s="402"/>
      <c r="ADS1354" s="402"/>
      <c r="ADT1354" s="402"/>
      <c r="ADU1354" s="402"/>
      <c r="ADV1354" s="402"/>
      <c r="ADW1354" s="402"/>
      <c r="ADX1354" s="402"/>
      <c r="ADY1354" s="402"/>
      <c r="ADZ1354" s="402"/>
      <c r="AEA1354" s="402"/>
      <c r="AEB1354" s="402"/>
      <c r="AEC1354" s="402"/>
      <c r="AED1354" s="402"/>
      <c r="AEE1354" s="402"/>
      <c r="AEF1354" s="402"/>
      <c r="AEG1354" s="402"/>
      <c r="AEH1354" s="402"/>
      <c r="AEI1354" s="402"/>
      <c r="AEJ1354" s="402"/>
      <c r="AEK1354" s="402"/>
      <c r="AEL1354" s="402"/>
      <c r="AEM1354" s="402"/>
      <c r="AEN1354" s="402"/>
      <c r="AEO1354" s="402"/>
      <c r="AEP1354" s="402"/>
      <c r="AEQ1354" s="402"/>
      <c r="AER1354" s="402"/>
      <c r="AES1354" s="402"/>
      <c r="AET1354" s="402"/>
      <c r="AEU1354" s="402"/>
      <c r="AEV1354" s="402"/>
      <c r="AEW1354" s="402"/>
      <c r="AEX1354" s="402"/>
      <c r="AEY1354" s="402"/>
      <c r="AEZ1354" s="402"/>
      <c r="AFA1354" s="402"/>
      <c r="AFB1354" s="402"/>
      <c r="AFC1354" s="402"/>
      <c r="AFD1354" s="402"/>
      <c r="AFE1354" s="402"/>
      <c r="AFF1354" s="402"/>
      <c r="AFG1354" s="402"/>
      <c r="AFH1354" s="402"/>
      <c r="AFI1354" s="402"/>
      <c r="AFJ1354" s="402"/>
      <c r="AFK1354" s="402"/>
      <c r="AFL1354" s="402"/>
      <c r="AFM1354" s="402"/>
      <c r="AFN1354" s="402"/>
      <c r="AFO1354" s="402"/>
      <c r="AFP1354" s="402"/>
      <c r="AFQ1354" s="402"/>
      <c r="AFR1354" s="402"/>
      <c r="AFS1354" s="402"/>
      <c r="AFT1354" s="402"/>
      <c r="AFU1354" s="402"/>
      <c r="AFV1354" s="402"/>
      <c r="AFW1354" s="402"/>
      <c r="AFX1354" s="402"/>
      <c r="AFY1354" s="402"/>
      <c r="AFZ1354" s="402"/>
      <c r="AGA1354" s="402"/>
      <c r="AGB1354" s="402"/>
      <c r="AGC1354" s="402"/>
      <c r="AGD1354" s="402"/>
      <c r="AGE1354" s="402"/>
      <c r="AGF1354" s="402"/>
      <c r="AGG1354" s="402"/>
      <c r="AGH1354" s="402"/>
      <c r="AGI1354" s="402"/>
      <c r="AGJ1354" s="402"/>
      <c r="AGK1354" s="402"/>
      <c r="AGL1354" s="402"/>
      <c r="AGM1354" s="402"/>
      <c r="AGN1354" s="402"/>
      <c r="AGO1354" s="402"/>
      <c r="AGP1354" s="402"/>
      <c r="AGQ1354" s="402"/>
      <c r="AGR1354" s="402"/>
      <c r="AGS1354" s="402"/>
      <c r="AGT1354" s="402"/>
      <c r="AGU1354" s="402"/>
      <c r="AGV1354" s="402"/>
      <c r="AGW1354" s="402"/>
      <c r="AGX1354" s="402"/>
      <c r="AGY1354" s="402"/>
      <c r="AGZ1354" s="402"/>
      <c r="AHA1354" s="402"/>
      <c r="AHB1354" s="402"/>
      <c r="AHC1354" s="402"/>
      <c r="AHD1354" s="402"/>
      <c r="AHE1354" s="402"/>
      <c r="AHF1354" s="402"/>
      <c r="AHG1354" s="402"/>
      <c r="AHH1354" s="402"/>
      <c r="AHI1354" s="402"/>
      <c r="AHJ1354" s="402"/>
      <c r="AHK1354" s="402"/>
      <c r="AHL1354" s="402"/>
      <c r="AHM1354" s="402"/>
      <c r="AHN1354" s="402"/>
      <c r="AHO1354" s="402"/>
      <c r="AHP1354" s="402"/>
      <c r="AHQ1354" s="402"/>
      <c r="AHR1354" s="402"/>
      <c r="AHS1354" s="402"/>
      <c r="AHT1354" s="402"/>
      <c r="AHU1354" s="402"/>
      <c r="AHV1354" s="402"/>
      <c r="AHW1354" s="402"/>
      <c r="AHX1354" s="402"/>
      <c r="AHY1354" s="402"/>
      <c r="AHZ1354" s="402"/>
      <c r="AIA1354" s="402"/>
      <c r="AIB1354" s="402"/>
      <c r="AIC1354" s="402"/>
      <c r="AID1354" s="402"/>
      <c r="AIE1354" s="402"/>
      <c r="AIF1354" s="402"/>
      <c r="AIG1354" s="402"/>
      <c r="AIH1354" s="402"/>
      <c r="AII1354" s="402"/>
      <c r="AIJ1354" s="402"/>
      <c r="AIK1354" s="402"/>
      <c r="AIL1354" s="402"/>
      <c r="AIM1354" s="402"/>
      <c r="AIN1354" s="402"/>
      <c r="AIO1354" s="402"/>
      <c r="AIP1354" s="402"/>
      <c r="AIQ1354" s="402"/>
      <c r="AIR1354" s="402"/>
      <c r="AIS1354" s="402"/>
      <c r="AIT1354" s="402"/>
      <c r="AIU1354" s="402"/>
      <c r="AIV1354" s="402"/>
      <c r="AIW1354" s="402"/>
      <c r="AIX1354" s="402"/>
      <c r="AIY1354" s="402"/>
      <c r="AIZ1354" s="402"/>
      <c r="AJA1354" s="402"/>
      <c r="AJB1354" s="402"/>
      <c r="AJC1354" s="402"/>
      <c r="AJD1354" s="402"/>
      <c r="AJE1354" s="402"/>
      <c r="AJF1354" s="402"/>
      <c r="AJG1354" s="402"/>
      <c r="AJH1354" s="402"/>
      <c r="AJI1354" s="402"/>
      <c r="AJJ1354" s="402"/>
      <c r="AJK1354" s="402"/>
      <c r="AJL1354" s="402"/>
      <c r="AJM1354" s="402"/>
      <c r="AJN1354" s="402"/>
      <c r="AJO1354" s="402"/>
      <c r="AJP1354" s="402"/>
      <c r="AJQ1354" s="402"/>
      <c r="AJR1354" s="402"/>
      <c r="AJS1354" s="402"/>
      <c r="AJT1354" s="402"/>
      <c r="AJU1354" s="402"/>
      <c r="AJV1354" s="402"/>
      <c r="AJW1354" s="402"/>
      <c r="AJX1354" s="402"/>
      <c r="AJY1354" s="402"/>
      <c r="AJZ1354" s="402"/>
      <c r="AKA1354" s="402"/>
      <c r="AKB1354" s="402"/>
      <c r="AKC1354" s="402"/>
      <c r="AKD1354" s="402"/>
      <c r="AKE1354" s="402"/>
      <c r="AKF1354" s="402"/>
      <c r="AKG1354" s="402"/>
      <c r="AKH1354" s="402"/>
      <c r="AKI1354" s="402"/>
      <c r="AKJ1354" s="402"/>
      <c r="AKK1354" s="402"/>
      <c r="AKL1354" s="402"/>
      <c r="AKM1354" s="402"/>
      <c r="AKN1354" s="402"/>
      <c r="AKO1354" s="402"/>
      <c r="AKP1354" s="402"/>
      <c r="AKQ1354" s="402"/>
      <c r="AKR1354" s="402"/>
      <c r="AKS1354" s="402"/>
      <c r="AKT1354" s="402"/>
      <c r="AKU1354" s="402"/>
      <c r="AKV1354" s="402"/>
      <c r="AKW1354" s="402"/>
      <c r="AKX1354" s="402"/>
      <c r="AKY1354" s="402"/>
      <c r="AKZ1354" s="402"/>
      <c r="ALA1354" s="402"/>
      <c r="ALB1354" s="402"/>
      <c r="ALC1354" s="402"/>
      <c r="ALD1354" s="402"/>
      <c r="ALE1354" s="402"/>
      <c r="ALF1354" s="402"/>
      <c r="ALG1354" s="402"/>
      <c r="ALH1354" s="402"/>
      <c r="ALI1354" s="402"/>
      <c r="ALJ1354" s="402"/>
      <c r="ALK1354" s="402"/>
      <c r="ALL1354" s="402"/>
      <c r="ALM1354" s="402"/>
      <c r="ALN1354" s="402"/>
      <c r="ALO1354" s="402"/>
      <c r="ALP1354" s="402"/>
      <c r="ALQ1354" s="402"/>
      <c r="ALR1354" s="402"/>
      <c r="ALS1354" s="402"/>
      <c r="ALT1354" s="402"/>
      <c r="ALU1354" s="402"/>
      <c r="ALV1354" s="402"/>
      <c r="ALW1354" s="402"/>
      <c r="ALX1354" s="402"/>
      <c r="ALY1354" s="402"/>
      <c r="ALZ1354" s="402"/>
      <c r="AMA1354" s="402"/>
      <c r="AMB1354" s="402"/>
      <c r="AMC1354" s="402"/>
      <c r="AMD1354" s="402"/>
      <c r="AME1354" s="402"/>
      <c r="AMF1354" s="402"/>
      <c r="AMG1354" s="402"/>
      <c r="AMH1354" s="402"/>
      <c r="AMI1354" s="402"/>
      <c r="AMJ1354" s="402"/>
      <c r="AMK1354" s="402"/>
      <c r="AML1354" s="402"/>
      <c r="AMM1354" s="402"/>
      <c r="AMN1354" s="402"/>
      <c r="AMO1354" s="402"/>
      <c r="AMP1354" s="402"/>
      <c r="AMQ1354" s="402"/>
      <c r="AMR1354" s="402"/>
      <c r="AMS1354" s="402"/>
      <c r="AMT1354" s="402"/>
      <c r="AMU1354" s="402"/>
      <c r="AMV1354" s="402"/>
      <c r="AMW1354" s="402"/>
      <c r="AMX1354" s="402"/>
      <c r="AMY1354" s="402"/>
      <c r="AMZ1354" s="402"/>
      <c r="ANA1354" s="402"/>
      <c r="ANB1354" s="402"/>
      <c r="ANC1354" s="402"/>
      <c r="AND1354" s="402"/>
      <c r="ANE1354" s="402"/>
      <c r="ANF1354" s="402"/>
      <c r="ANG1354" s="402"/>
      <c r="ANH1354" s="402"/>
      <c r="ANI1354" s="402"/>
      <c r="ANJ1354" s="402"/>
      <c r="ANK1354" s="402"/>
      <c r="ANL1354" s="402"/>
      <c r="ANM1354" s="402"/>
      <c r="ANN1354" s="402"/>
      <c r="ANO1354" s="402"/>
      <c r="ANP1354" s="402"/>
      <c r="ANQ1354" s="402"/>
      <c r="ANR1354" s="402"/>
      <c r="ANS1354" s="402"/>
      <c r="ANT1354" s="402"/>
      <c r="ANU1354" s="402"/>
      <c r="ANV1354" s="402"/>
      <c r="ANW1354" s="402"/>
      <c r="ANX1354" s="402"/>
      <c r="ANY1354" s="402"/>
      <c r="ANZ1354" s="402"/>
      <c r="AOA1354" s="402"/>
      <c r="AOB1354" s="402"/>
      <c r="AOC1354" s="402"/>
      <c r="AOD1354" s="402"/>
      <c r="AOE1354" s="402"/>
      <c r="AOF1354" s="402"/>
      <c r="AOG1354" s="402"/>
      <c r="AOH1354" s="402"/>
      <c r="AOI1354" s="402"/>
      <c r="AOJ1354" s="402"/>
      <c r="AOK1354" s="402"/>
      <c r="AOL1354" s="402"/>
      <c r="AOM1354" s="402"/>
      <c r="AON1354" s="402"/>
      <c r="AOO1354" s="402"/>
      <c r="AOP1354" s="402"/>
      <c r="AOQ1354" s="402"/>
      <c r="AOR1354" s="402"/>
      <c r="AOS1354" s="402"/>
      <c r="AOT1354" s="402"/>
      <c r="AOU1354" s="402"/>
      <c r="AOV1354" s="402"/>
      <c r="AOW1354" s="402"/>
      <c r="AOX1354" s="402"/>
      <c r="AOY1354" s="402"/>
      <c r="AOZ1354" s="402"/>
      <c r="APA1354" s="402"/>
      <c r="APB1354" s="402"/>
      <c r="APC1354" s="402"/>
      <c r="APD1354" s="402"/>
      <c r="APE1354" s="402"/>
      <c r="APF1354" s="402"/>
      <c r="APG1354" s="402"/>
      <c r="APH1354" s="402"/>
      <c r="API1354" s="402"/>
      <c r="APJ1354" s="402"/>
      <c r="APK1354" s="402"/>
      <c r="APL1354" s="402"/>
      <c r="APM1354" s="402"/>
      <c r="APN1354" s="402"/>
      <c r="APO1354" s="402"/>
      <c r="APP1354" s="402"/>
      <c r="APQ1354" s="402"/>
      <c r="APR1354" s="402"/>
      <c r="APS1354" s="402"/>
      <c r="APT1354" s="402"/>
      <c r="APU1354" s="402"/>
      <c r="APV1354" s="402"/>
      <c r="APW1354" s="402"/>
      <c r="APX1354" s="402"/>
      <c r="APY1354" s="402"/>
      <c r="APZ1354" s="402"/>
      <c r="AQA1354" s="402"/>
      <c r="AQB1354" s="402"/>
      <c r="AQC1354" s="402"/>
      <c r="AQD1354" s="402"/>
      <c r="AQE1354" s="402"/>
      <c r="AQF1354" s="402"/>
      <c r="AQG1354" s="402"/>
      <c r="AQH1354" s="402"/>
      <c r="AQI1354" s="402"/>
      <c r="AQJ1354" s="402"/>
      <c r="AQK1354" s="402"/>
      <c r="AQL1354" s="402"/>
      <c r="AQM1354" s="402"/>
      <c r="AQN1354" s="402"/>
      <c r="AQO1354" s="402"/>
      <c r="AQP1354" s="402"/>
      <c r="AQQ1354" s="402"/>
      <c r="AQR1354" s="402"/>
      <c r="AQS1354" s="402"/>
      <c r="AQT1354" s="402"/>
      <c r="AQU1354" s="402"/>
      <c r="AQV1354" s="402"/>
      <c r="AQW1354" s="402"/>
      <c r="AQX1354" s="402"/>
      <c r="AQY1354" s="402"/>
      <c r="AQZ1354" s="402"/>
      <c r="ARA1354" s="402"/>
      <c r="ARB1354" s="402"/>
      <c r="ARC1354" s="402"/>
      <c r="ARD1354" s="402"/>
      <c r="ARE1354" s="402"/>
      <c r="ARF1354" s="402"/>
      <c r="ARG1354" s="402"/>
      <c r="ARH1354" s="402"/>
      <c r="ARI1354" s="402"/>
      <c r="ARJ1354" s="402"/>
      <c r="ARK1354" s="402"/>
      <c r="ARL1354" s="402"/>
      <c r="ARM1354" s="402"/>
      <c r="ARN1354" s="402"/>
      <c r="ARO1354" s="402"/>
      <c r="ARP1354" s="402"/>
      <c r="ARQ1354" s="402"/>
      <c r="ARR1354" s="402"/>
      <c r="ARS1354" s="402"/>
      <c r="ART1354" s="402"/>
      <c r="ARU1354" s="402"/>
      <c r="ARV1354" s="402"/>
      <c r="ARW1354" s="402"/>
      <c r="ARX1354" s="402"/>
      <c r="ARY1354" s="402"/>
      <c r="ARZ1354" s="402"/>
      <c r="ASA1354" s="402"/>
      <c r="ASB1354" s="402"/>
      <c r="ASC1354" s="402"/>
      <c r="ASD1354" s="402"/>
      <c r="ASE1354" s="402"/>
      <c r="ASF1354" s="402"/>
      <c r="ASG1354" s="402"/>
      <c r="ASH1354" s="402"/>
      <c r="ASI1354" s="402"/>
      <c r="ASJ1354" s="402"/>
      <c r="ASK1354" s="402"/>
      <c r="ASL1354" s="402"/>
      <c r="ASM1354" s="402"/>
      <c r="ASN1354" s="402"/>
      <c r="ASO1354" s="402"/>
      <c r="ASP1354" s="402"/>
      <c r="ASQ1354" s="402"/>
      <c r="ASR1354" s="402"/>
      <c r="ASS1354" s="402"/>
      <c r="AST1354" s="402"/>
      <c r="ASU1354" s="402"/>
      <c r="ASV1354" s="402"/>
      <c r="ASW1354" s="402"/>
      <c r="ASX1354" s="402"/>
      <c r="ASY1354" s="402"/>
      <c r="ASZ1354" s="402"/>
      <c r="ATA1354" s="402"/>
      <c r="ATB1354" s="402"/>
      <c r="ATC1354" s="402"/>
      <c r="ATD1354" s="402"/>
      <c r="ATE1354" s="402"/>
      <c r="ATF1354" s="402"/>
      <c r="ATG1354" s="402"/>
      <c r="ATH1354" s="402"/>
      <c r="ATI1354" s="402"/>
      <c r="ATJ1354" s="402"/>
      <c r="ATK1354" s="402"/>
      <c r="ATL1354" s="402"/>
      <c r="ATM1354" s="402"/>
      <c r="ATN1354" s="402"/>
      <c r="ATO1354" s="402"/>
      <c r="ATP1354" s="402"/>
      <c r="ATQ1354" s="402"/>
      <c r="ATR1354" s="402"/>
      <c r="ATS1354" s="402"/>
      <c r="ATT1354" s="402"/>
      <c r="ATU1354" s="402"/>
      <c r="ATV1354" s="402"/>
      <c r="ATW1354" s="402"/>
      <c r="ATX1354" s="402"/>
      <c r="ATY1354" s="402"/>
      <c r="ATZ1354" s="402"/>
      <c r="AUA1354" s="402"/>
      <c r="AUB1354" s="402"/>
      <c r="AUC1354" s="402"/>
      <c r="AUD1354" s="402"/>
      <c r="AUE1354" s="402"/>
      <c r="AUF1354" s="402"/>
      <c r="AUG1354" s="402"/>
      <c r="AUH1354" s="402"/>
      <c r="AUI1354" s="402"/>
      <c r="AUJ1354" s="402"/>
      <c r="AUK1354" s="402"/>
      <c r="AUL1354" s="402"/>
      <c r="AUM1354" s="402"/>
      <c r="AUN1354" s="402"/>
      <c r="AUO1354" s="402"/>
      <c r="AUP1354" s="402"/>
      <c r="AUQ1354" s="402"/>
      <c r="AUR1354" s="402"/>
      <c r="AUS1354" s="402"/>
      <c r="AUT1354" s="402"/>
      <c r="AUU1354" s="402"/>
      <c r="AUV1354" s="402"/>
      <c r="AUW1354" s="402"/>
      <c r="AUX1354" s="402"/>
      <c r="AUY1354" s="402"/>
      <c r="AUZ1354" s="402"/>
      <c r="AVA1354" s="402"/>
      <c r="AVB1354" s="402"/>
      <c r="AVC1354" s="402"/>
      <c r="AVD1354" s="402"/>
      <c r="AVE1354" s="402"/>
      <c r="AVF1354" s="402"/>
      <c r="AVG1354" s="402"/>
      <c r="AVH1354" s="402"/>
      <c r="AVI1354" s="402"/>
      <c r="AVJ1354" s="402"/>
      <c r="AVK1354" s="402"/>
    </row>
    <row r="1355" spans="1:1259" s="442" customFormat="1" ht="15" customHeight="1">
      <c r="A1355" s="403"/>
      <c r="B1355" s="403"/>
      <c r="C1355" s="403"/>
      <c r="D1355" s="443" t="s">
        <v>2480</v>
      </c>
      <c r="E1355" s="432"/>
      <c r="F1355" s="432"/>
      <c r="G1355" s="432">
        <v>2022</v>
      </c>
      <c r="H1355" s="432"/>
      <c r="I1355" s="427" t="s">
        <v>1498</v>
      </c>
      <c r="J1355" s="433"/>
      <c r="K1355" s="434" t="s">
        <v>5008</v>
      </c>
      <c r="L1355" s="432" t="s">
        <v>2518</v>
      </c>
      <c r="M1355" s="435">
        <v>44671</v>
      </c>
      <c r="N1355" s="435">
        <v>44853</v>
      </c>
      <c r="O1355" s="435"/>
      <c r="P1355" s="433"/>
      <c r="Q1355" s="433"/>
      <c r="R1355" s="433"/>
      <c r="S1355" s="432" t="s">
        <v>1940</v>
      </c>
      <c r="T1355" s="432">
        <v>60</v>
      </c>
      <c r="U1355" s="432"/>
      <c r="V1355" s="432" t="s">
        <v>973</v>
      </c>
      <c r="W1355" s="432">
        <v>400</v>
      </c>
      <c r="X1355" s="436">
        <v>2496</v>
      </c>
      <c r="Y1355" s="422">
        <f t="shared" si="166"/>
        <v>998400</v>
      </c>
      <c r="Z1355" s="437">
        <v>0.6</v>
      </c>
      <c r="AA1355" s="423">
        <f t="shared" si="167"/>
        <v>599040</v>
      </c>
      <c r="AB1355" s="411"/>
      <c r="AC1355" s="412">
        <f t="shared" si="168"/>
        <v>0</v>
      </c>
      <c r="AD1355" s="439"/>
      <c r="AE1355" s="438">
        <v>45676.800000000003</v>
      </c>
      <c r="AF1355" s="424">
        <f t="shared" si="169"/>
        <v>644716.80000000005</v>
      </c>
      <c r="AG1355" s="432" t="s">
        <v>47</v>
      </c>
      <c r="AH1355" s="432"/>
      <c r="AI1355" s="434">
        <v>60</v>
      </c>
      <c r="AJ1355" s="432" t="s">
        <v>1584</v>
      </c>
      <c r="AK1355" s="440" t="s">
        <v>50</v>
      </c>
      <c r="AL1355" s="432">
        <v>95826</v>
      </c>
      <c r="AM1355" s="432" t="s">
        <v>52</v>
      </c>
      <c r="AN1355" s="432"/>
      <c r="AO1355" s="432"/>
      <c r="AP1355" s="441"/>
      <c r="AQ1355" s="441" t="s">
        <v>37</v>
      </c>
      <c r="AR1355" s="441"/>
      <c r="AS1355" s="426"/>
      <c r="AT1355" s="426"/>
      <c r="AU1355" s="426"/>
      <c r="AV1355" s="437">
        <f t="shared" si="170"/>
        <v>0.48000000000000004</v>
      </c>
      <c r="AW1355" s="402"/>
      <c r="AX1355" s="402"/>
      <c r="AY1355" s="402"/>
      <c r="AZ1355" s="402"/>
      <c r="BA1355" s="402"/>
      <c r="BB1355" s="402"/>
      <c r="BC1355" s="402"/>
      <c r="BD1355" s="402"/>
      <c r="BE1355" s="402"/>
      <c r="BF1355" s="402"/>
      <c r="BG1355" s="402"/>
      <c r="BH1355" s="402"/>
      <c r="BI1355" s="402"/>
      <c r="BJ1355" s="402"/>
      <c r="BK1355" s="402"/>
      <c r="BL1355" s="402"/>
      <c r="BM1355" s="402"/>
      <c r="BN1355" s="402"/>
      <c r="BO1355" s="402"/>
      <c r="BP1355" s="402"/>
      <c r="BQ1355" s="402"/>
      <c r="BR1355" s="402"/>
      <c r="BS1355" s="402"/>
      <c r="BT1355" s="402"/>
      <c r="BU1355" s="402"/>
      <c r="BV1355" s="402"/>
      <c r="BW1355" s="402"/>
      <c r="BX1355" s="402"/>
      <c r="BY1355" s="402"/>
      <c r="BZ1355" s="402"/>
      <c r="CA1355" s="402"/>
      <c r="CB1355" s="402"/>
      <c r="CC1355" s="402"/>
      <c r="CD1355" s="402"/>
      <c r="CE1355" s="402"/>
      <c r="CF1355" s="402"/>
      <c r="CG1355" s="402"/>
      <c r="CH1355" s="402"/>
      <c r="CI1355" s="402"/>
      <c r="CJ1355" s="402"/>
      <c r="CK1355" s="402"/>
      <c r="CL1355" s="402"/>
      <c r="CM1355" s="402"/>
      <c r="CN1355" s="402"/>
      <c r="CO1355" s="402"/>
      <c r="CP1355" s="402"/>
      <c r="CQ1355" s="402"/>
      <c r="CR1355" s="402"/>
      <c r="CS1355" s="402"/>
      <c r="CT1355" s="402"/>
      <c r="CU1355" s="402"/>
      <c r="CV1355" s="402"/>
      <c r="CW1355" s="402"/>
      <c r="CX1355" s="402"/>
      <c r="CY1355" s="402"/>
      <c r="CZ1355" s="402"/>
      <c r="DA1355" s="402"/>
      <c r="DB1355" s="402"/>
      <c r="DC1355" s="402"/>
      <c r="DD1355" s="402"/>
      <c r="DE1355" s="402"/>
      <c r="DF1355" s="402"/>
      <c r="DG1355" s="402"/>
      <c r="DH1355" s="402"/>
      <c r="DI1355" s="402"/>
      <c r="DJ1355" s="402"/>
      <c r="DK1355" s="402"/>
      <c r="DL1355" s="402"/>
      <c r="DM1355" s="402"/>
      <c r="DN1355" s="402"/>
      <c r="DO1355" s="402"/>
      <c r="DP1355" s="402"/>
      <c r="DQ1355" s="402"/>
      <c r="DR1355" s="402"/>
      <c r="DS1355" s="402"/>
      <c r="DT1355" s="402"/>
      <c r="DU1355" s="402"/>
      <c r="DV1355" s="402"/>
      <c r="DW1355" s="402"/>
      <c r="DX1355" s="402"/>
      <c r="DY1355" s="402"/>
      <c r="DZ1355" s="402"/>
      <c r="EA1355" s="402"/>
      <c r="EB1355" s="402"/>
      <c r="EC1355" s="402"/>
      <c r="ED1355" s="402"/>
      <c r="EE1355" s="402"/>
      <c r="EF1355" s="402"/>
      <c r="EG1355" s="402"/>
      <c r="EH1355" s="402"/>
      <c r="EI1355" s="402"/>
      <c r="EJ1355" s="402"/>
      <c r="EK1355" s="402"/>
      <c r="EL1355" s="402"/>
      <c r="EM1355" s="402"/>
      <c r="EN1355" s="402"/>
      <c r="EO1355" s="402"/>
      <c r="EP1355" s="402"/>
      <c r="EQ1355" s="402"/>
      <c r="ER1355" s="402"/>
      <c r="ES1355" s="402"/>
      <c r="ET1355" s="402"/>
      <c r="EU1355" s="402"/>
      <c r="EV1355" s="402"/>
      <c r="EW1355" s="402"/>
      <c r="EX1355" s="402"/>
      <c r="EY1355" s="402"/>
      <c r="EZ1355" s="402"/>
      <c r="FA1355" s="402"/>
      <c r="FB1355" s="402"/>
      <c r="FC1355" s="402"/>
      <c r="FD1355" s="402"/>
      <c r="FE1355" s="402"/>
      <c r="FF1355" s="402"/>
      <c r="FG1355" s="402"/>
      <c r="FH1355" s="402"/>
      <c r="FI1355" s="402"/>
      <c r="FJ1355" s="402"/>
      <c r="FK1355" s="402"/>
      <c r="FL1355" s="402"/>
      <c r="FM1355" s="402"/>
      <c r="FN1355" s="402"/>
      <c r="FO1355" s="402"/>
      <c r="FP1355" s="402"/>
      <c r="FQ1355" s="402"/>
      <c r="FR1355" s="402"/>
      <c r="FS1355" s="402"/>
      <c r="FT1355" s="402"/>
      <c r="FU1355" s="402"/>
      <c r="FV1355" s="402"/>
      <c r="FW1355" s="402"/>
      <c r="FX1355" s="402"/>
      <c r="FY1355" s="402"/>
      <c r="FZ1355" s="402"/>
      <c r="GA1355" s="402"/>
      <c r="GB1355" s="402"/>
      <c r="GC1355" s="402"/>
      <c r="GD1355" s="402"/>
      <c r="GE1355" s="402"/>
      <c r="GF1355" s="402"/>
      <c r="GG1355" s="402"/>
      <c r="GH1355" s="402"/>
      <c r="GI1355" s="402"/>
      <c r="GJ1355" s="402"/>
      <c r="GK1355" s="402"/>
      <c r="GL1355" s="402"/>
      <c r="GM1355" s="402"/>
      <c r="GN1355" s="402"/>
      <c r="GO1355" s="402"/>
      <c r="GP1355" s="402"/>
      <c r="GQ1355" s="402"/>
      <c r="GR1355" s="402"/>
      <c r="GS1355" s="402"/>
      <c r="GT1355" s="402"/>
      <c r="GU1355" s="402"/>
      <c r="GV1355" s="402"/>
      <c r="GW1355" s="402"/>
      <c r="GX1355" s="402"/>
      <c r="GY1355" s="402"/>
      <c r="GZ1355" s="402"/>
      <c r="HA1355" s="402"/>
      <c r="HB1355" s="402"/>
      <c r="HC1355" s="402"/>
      <c r="HD1355" s="402"/>
      <c r="HE1355" s="402"/>
      <c r="HF1355" s="402"/>
      <c r="HG1355" s="402"/>
      <c r="HH1355" s="402"/>
      <c r="HI1355" s="402"/>
      <c r="HJ1355" s="402"/>
      <c r="HK1355" s="402"/>
      <c r="HL1355" s="402"/>
      <c r="HM1355" s="402"/>
      <c r="HN1355" s="402"/>
      <c r="HO1355" s="402"/>
      <c r="HP1355" s="402"/>
      <c r="HQ1355" s="402"/>
      <c r="HR1355" s="402"/>
      <c r="HS1355" s="402"/>
      <c r="HT1355" s="402"/>
      <c r="HU1355" s="402"/>
      <c r="HV1355" s="402"/>
      <c r="HW1355" s="402"/>
      <c r="HX1355" s="402"/>
      <c r="HY1355" s="402"/>
      <c r="HZ1355" s="402"/>
      <c r="IA1355" s="402"/>
      <c r="IB1355" s="402"/>
      <c r="IC1355" s="402"/>
      <c r="ID1355" s="402"/>
      <c r="IE1355" s="402"/>
      <c r="IF1355" s="402"/>
      <c r="IG1355" s="402"/>
      <c r="IH1355" s="402"/>
      <c r="II1355" s="402"/>
      <c r="IJ1355" s="402"/>
      <c r="IK1355" s="402"/>
      <c r="IL1355" s="402"/>
      <c r="IM1355" s="402"/>
      <c r="IN1355" s="402"/>
      <c r="IO1355" s="402"/>
      <c r="IP1355" s="402"/>
      <c r="IQ1355" s="402"/>
      <c r="IR1355" s="402"/>
      <c r="IS1355" s="402"/>
      <c r="IT1355" s="402"/>
      <c r="IU1355" s="402"/>
      <c r="IV1355" s="402"/>
      <c r="IW1355" s="402"/>
      <c r="IX1355" s="402"/>
      <c r="IY1355" s="402"/>
      <c r="IZ1355" s="402"/>
      <c r="JA1355" s="402"/>
      <c r="JB1355" s="402"/>
      <c r="JC1355" s="402"/>
      <c r="JD1355" s="402"/>
      <c r="JE1355" s="402"/>
      <c r="JF1355" s="402"/>
      <c r="JG1355" s="402"/>
      <c r="JH1355" s="402"/>
      <c r="JI1355" s="402"/>
      <c r="JJ1355" s="402"/>
      <c r="JK1355" s="402"/>
      <c r="JL1355" s="402"/>
      <c r="JM1355" s="402"/>
      <c r="JN1355" s="402"/>
      <c r="JO1355" s="402"/>
      <c r="JP1355" s="402"/>
      <c r="JQ1355" s="402"/>
      <c r="JR1355" s="402"/>
      <c r="JS1355" s="402"/>
      <c r="JT1355" s="402"/>
      <c r="JU1355" s="402"/>
      <c r="JV1355" s="402"/>
      <c r="JW1355" s="402"/>
      <c r="JX1355" s="402"/>
      <c r="JY1355" s="402"/>
      <c r="JZ1355" s="402"/>
      <c r="KA1355" s="402"/>
      <c r="KB1355" s="402"/>
      <c r="KC1355" s="402"/>
      <c r="KD1355" s="402"/>
      <c r="KE1355" s="402"/>
      <c r="KF1355" s="402"/>
      <c r="KG1355" s="402"/>
      <c r="KH1355" s="402"/>
      <c r="KI1355" s="402"/>
      <c r="KJ1355" s="402"/>
      <c r="KK1355" s="402"/>
      <c r="KL1355" s="402"/>
      <c r="KM1355" s="402"/>
      <c r="KN1355" s="402"/>
      <c r="KO1355" s="402"/>
      <c r="KP1355" s="402"/>
      <c r="KQ1355" s="402"/>
      <c r="KR1355" s="402"/>
      <c r="KS1355" s="402"/>
      <c r="KT1355" s="402"/>
      <c r="KU1355" s="402"/>
      <c r="KV1355" s="402"/>
      <c r="KW1355" s="402"/>
      <c r="KX1355" s="402"/>
      <c r="KY1355" s="402"/>
      <c r="KZ1355" s="402"/>
      <c r="LA1355" s="402"/>
      <c r="LB1355" s="402"/>
      <c r="LC1355" s="402"/>
      <c r="LD1355" s="402"/>
      <c r="LE1355" s="402"/>
      <c r="LF1355" s="402"/>
      <c r="LG1355" s="402"/>
      <c r="LH1355" s="402"/>
      <c r="LI1355" s="402"/>
      <c r="LJ1355" s="402"/>
      <c r="LK1355" s="402"/>
      <c r="LL1355" s="402"/>
      <c r="LM1355" s="402"/>
      <c r="LN1355" s="402"/>
      <c r="LO1355" s="402"/>
      <c r="LP1355" s="402"/>
      <c r="LQ1355" s="402"/>
      <c r="LR1355" s="402"/>
      <c r="LS1355" s="402"/>
      <c r="LT1355" s="402"/>
      <c r="LU1355" s="402"/>
      <c r="LV1355" s="402"/>
      <c r="LW1355" s="402"/>
      <c r="LX1355" s="402"/>
      <c r="LY1355" s="402"/>
      <c r="LZ1355" s="402"/>
      <c r="MA1355" s="402"/>
      <c r="MB1355" s="402"/>
      <c r="MC1355" s="402"/>
      <c r="MD1355" s="402"/>
      <c r="ME1355" s="402"/>
      <c r="MF1355" s="402"/>
      <c r="MG1355" s="402"/>
      <c r="MH1355" s="402"/>
      <c r="MI1355" s="402"/>
      <c r="MJ1355" s="402"/>
      <c r="MK1355" s="402"/>
      <c r="ML1355" s="402"/>
      <c r="MM1355" s="402"/>
      <c r="MN1355" s="402"/>
      <c r="MO1355" s="402"/>
      <c r="MP1355" s="402"/>
      <c r="MQ1355" s="402"/>
      <c r="MR1355" s="402"/>
      <c r="MS1355" s="402"/>
      <c r="MT1355" s="402"/>
      <c r="MU1355" s="402"/>
      <c r="MV1355" s="402"/>
      <c r="MW1355" s="402"/>
      <c r="MX1355" s="402"/>
      <c r="MY1355" s="402"/>
      <c r="MZ1355" s="402"/>
      <c r="NA1355" s="402"/>
      <c r="NB1355" s="402"/>
      <c r="NC1355" s="402"/>
      <c r="ND1355" s="402"/>
      <c r="NE1355" s="402"/>
      <c r="NF1355" s="402"/>
      <c r="NG1355" s="402"/>
      <c r="NH1355" s="402"/>
      <c r="NI1355" s="402"/>
      <c r="NJ1355" s="402"/>
      <c r="NK1355" s="402"/>
      <c r="NL1355" s="402"/>
      <c r="NM1355" s="402"/>
      <c r="NN1355" s="402"/>
      <c r="NO1355" s="402"/>
      <c r="NP1355" s="402"/>
      <c r="NQ1355" s="402"/>
      <c r="NR1355" s="402"/>
      <c r="NS1355" s="402"/>
      <c r="NT1355" s="402"/>
      <c r="NU1355" s="402"/>
      <c r="NV1355" s="402"/>
      <c r="NW1355" s="402"/>
      <c r="NX1355" s="402"/>
      <c r="NY1355" s="402"/>
      <c r="NZ1355" s="402"/>
      <c r="OA1355" s="402"/>
      <c r="OB1355" s="402"/>
      <c r="OC1355" s="402"/>
      <c r="OD1355" s="402"/>
      <c r="OE1355" s="402"/>
      <c r="OF1355" s="402"/>
      <c r="OG1355" s="402"/>
      <c r="OH1355" s="402"/>
      <c r="OI1355" s="402"/>
      <c r="OJ1355" s="402"/>
      <c r="OK1355" s="402"/>
      <c r="OL1355" s="402"/>
      <c r="OM1355" s="402"/>
      <c r="ON1355" s="402"/>
      <c r="OO1355" s="402"/>
      <c r="OP1355" s="402"/>
      <c r="OQ1355" s="402"/>
      <c r="OR1355" s="402"/>
      <c r="OS1355" s="402"/>
      <c r="OT1355" s="402"/>
      <c r="OU1355" s="402"/>
      <c r="OV1355" s="402"/>
      <c r="OW1355" s="402"/>
      <c r="OX1355" s="402"/>
      <c r="OY1355" s="402"/>
      <c r="OZ1355" s="402"/>
      <c r="PA1355" s="402"/>
      <c r="PB1355" s="402"/>
      <c r="PC1355" s="402"/>
      <c r="PD1355" s="402"/>
      <c r="PE1355" s="402"/>
      <c r="PF1355" s="402"/>
      <c r="PG1355" s="402"/>
      <c r="PH1355" s="402"/>
      <c r="PI1355" s="402"/>
      <c r="PJ1355" s="402"/>
      <c r="PK1355" s="402"/>
      <c r="PL1355" s="402"/>
      <c r="PM1355" s="402"/>
      <c r="PN1355" s="402"/>
      <c r="PO1355" s="402"/>
      <c r="PP1355" s="402"/>
      <c r="PQ1355" s="402"/>
      <c r="PR1355" s="402"/>
      <c r="PS1355" s="402"/>
      <c r="PT1355" s="402"/>
      <c r="PU1355" s="402"/>
      <c r="PV1355" s="402"/>
      <c r="PW1355" s="402"/>
      <c r="PX1355" s="402"/>
      <c r="PY1355" s="402"/>
      <c r="PZ1355" s="402"/>
      <c r="QA1355" s="402"/>
      <c r="QB1355" s="402"/>
      <c r="QC1355" s="402"/>
      <c r="QD1355" s="402"/>
      <c r="QE1355" s="402"/>
      <c r="QF1355" s="402"/>
      <c r="QG1355" s="402"/>
      <c r="QH1355" s="402"/>
      <c r="QI1355" s="402"/>
      <c r="QJ1355" s="402"/>
      <c r="QK1355" s="402"/>
      <c r="QL1355" s="402"/>
      <c r="QM1355" s="402"/>
      <c r="QN1355" s="402"/>
      <c r="QO1355" s="402"/>
      <c r="QP1355" s="402"/>
      <c r="QQ1355" s="402"/>
      <c r="QR1355" s="402"/>
      <c r="QS1355" s="402"/>
      <c r="QT1355" s="402"/>
      <c r="QU1355" s="402"/>
      <c r="QV1355" s="402"/>
      <c r="QW1355" s="402"/>
      <c r="QX1355" s="402"/>
      <c r="QY1355" s="402"/>
      <c r="QZ1355" s="402"/>
      <c r="RA1355" s="402"/>
      <c r="RB1355" s="402"/>
      <c r="RC1355" s="402"/>
      <c r="RD1355" s="402"/>
      <c r="RE1355" s="402"/>
      <c r="RF1355" s="402"/>
      <c r="RG1355" s="402"/>
      <c r="RH1355" s="402"/>
      <c r="RI1355" s="402"/>
      <c r="RJ1355" s="402"/>
      <c r="RK1355" s="402"/>
      <c r="RL1355" s="402"/>
      <c r="RM1355" s="402"/>
      <c r="RN1355" s="402"/>
      <c r="RO1355" s="402"/>
      <c r="RP1355" s="402"/>
      <c r="RQ1355" s="402"/>
      <c r="RR1355" s="402"/>
      <c r="RS1355" s="402"/>
      <c r="RT1355" s="402"/>
      <c r="RU1355" s="402"/>
      <c r="RV1355" s="402"/>
      <c r="RW1355" s="402"/>
      <c r="RX1355" s="402"/>
      <c r="RY1355" s="402"/>
      <c r="RZ1355" s="402"/>
      <c r="SA1355" s="402"/>
      <c r="SB1355" s="402"/>
      <c r="SC1355" s="402"/>
      <c r="SD1355" s="402"/>
      <c r="SE1355" s="402"/>
      <c r="SF1355" s="402"/>
      <c r="SG1355" s="402"/>
      <c r="SH1355" s="402"/>
      <c r="SI1355" s="402"/>
      <c r="SJ1355" s="402"/>
      <c r="SK1355" s="402"/>
      <c r="SL1355" s="402"/>
      <c r="SM1355" s="402"/>
      <c r="SN1355" s="402"/>
      <c r="SO1355" s="402"/>
      <c r="SP1355" s="402"/>
      <c r="SQ1355" s="402"/>
      <c r="SR1355" s="402"/>
      <c r="SS1355" s="402"/>
      <c r="ST1355" s="402"/>
      <c r="SU1355" s="402"/>
      <c r="SV1355" s="402"/>
      <c r="SW1355" s="402"/>
      <c r="SX1355" s="402"/>
      <c r="SY1355" s="402"/>
      <c r="SZ1355" s="402"/>
      <c r="TA1355" s="402"/>
      <c r="TB1355" s="402"/>
      <c r="TC1355" s="402"/>
      <c r="TD1355" s="402"/>
      <c r="TE1355" s="402"/>
      <c r="TF1355" s="402"/>
      <c r="TG1355" s="402"/>
      <c r="TH1355" s="402"/>
      <c r="TI1355" s="402"/>
      <c r="TJ1355" s="402"/>
      <c r="TK1355" s="402"/>
      <c r="TL1355" s="402"/>
      <c r="TM1355" s="402"/>
      <c r="TN1355" s="402"/>
      <c r="TO1355" s="402"/>
      <c r="TP1355" s="402"/>
      <c r="TQ1355" s="402"/>
      <c r="TR1355" s="402"/>
      <c r="TS1355" s="402"/>
      <c r="TT1355" s="402"/>
      <c r="TU1355" s="402"/>
      <c r="TV1355" s="402"/>
      <c r="TW1355" s="402"/>
      <c r="TX1355" s="402"/>
      <c r="TY1355" s="402"/>
      <c r="TZ1355" s="402"/>
      <c r="UA1355" s="402"/>
      <c r="UB1355" s="402"/>
      <c r="UC1355" s="402"/>
      <c r="UD1355" s="402"/>
      <c r="UE1355" s="402"/>
      <c r="UF1355" s="402"/>
      <c r="UG1355" s="402"/>
      <c r="UH1355" s="402"/>
      <c r="UI1355" s="402"/>
      <c r="UJ1355" s="402"/>
      <c r="UK1355" s="402"/>
      <c r="UL1355" s="402"/>
      <c r="UM1355" s="402"/>
      <c r="UN1355" s="402"/>
      <c r="UO1355" s="402"/>
      <c r="UP1355" s="402"/>
      <c r="UQ1355" s="402"/>
      <c r="UR1355" s="402"/>
      <c r="US1355" s="402"/>
      <c r="UT1355" s="402"/>
      <c r="UU1355" s="402"/>
      <c r="UV1355" s="402"/>
      <c r="UW1355" s="402"/>
      <c r="UX1355" s="402"/>
      <c r="UY1355" s="402"/>
      <c r="UZ1355" s="402"/>
      <c r="VA1355" s="402"/>
      <c r="VB1355" s="402"/>
      <c r="VC1355" s="402"/>
      <c r="VD1355" s="402"/>
      <c r="VE1355" s="402"/>
      <c r="VF1355" s="402"/>
      <c r="VG1355" s="402"/>
      <c r="VH1355" s="402"/>
      <c r="VI1355" s="402"/>
      <c r="VJ1355" s="402"/>
      <c r="VK1355" s="402"/>
      <c r="VL1355" s="402"/>
      <c r="VM1355" s="402"/>
      <c r="VN1355" s="402"/>
      <c r="VO1355" s="402"/>
      <c r="VP1355" s="402"/>
      <c r="VQ1355" s="402"/>
      <c r="VR1355" s="402"/>
      <c r="VS1355" s="402"/>
      <c r="VT1355" s="402"/>
      <c r="VU1355" s="402"/>
      <c r="VV1355" s="402"/>
      <c r="VW1355" s="402"/>
      <c r="VX1355" s="402"/>
      <c r="VY1355" s="402"/>
      <c r="VZ1355" s="402"/>
      <c r="WA1355" s="402"/>
      <c r="WB1355" s="402"/>
      <c r="WC1355" s="402"/>
      <c r="WD1355" s="402"/>
      <c r="WE1355" s="402"/>
      <c r="WF1355" s="402"/>
      <c r="WG1355" s="402"/>
      <c r="WH1355" s="402"/>
      <c r="WI1355" s="402"/>
      <c r="WJ1355" s="402"/>
      <c r="WK1355" s="402"/>
      <c r="WL1355" s="402"/>
      <c r="WM1355" s="402"/>
      <c r="WN1355" s="402"/>
      <c r="WO1355" s="402"/>
      <c r="WP1355" s="402"/>
      <c r="WQ1355" s="402"/>
      <c r="WR1355" s="402"/>
      <c r="WS1355" s="402"/>
      <c r="WT1355" s="402"/>
      <c r="WU1355" s="402"/>
      <c r="WV1355" s="402"/>
      <c r="WW1355" s="402"/>
      <c r="WX1355" s="402"/>
      <c r="WY1355" s="402"/>
      <c r="WZ1355" s="402"/>
      <c r="XA1355" s="402"/>
      <c r="XB1355" s="402"/>
      <c r="XC1355" s="402"/>
      <c r="XD1355" s="402"/>
      <c r="XE1355" s="402"/>
      <c r="XF1355" s="402"/>
      <c r="XG1355" s="402"/>
      <c r="XH1355" s="402"/>
      <c r="XI1355" s="402"/>
      <c r="XJ1355" s="402"/>
      <c r="XK1355" s="402"/>
      <c r="XL1355" s="402"/>
      <c r="XM1355" s="402"/>
      <c r="XN1355" s="402"/>
      <c r="XO1355" s="402"/>
      <c r="XP1355" s="402"/>
      <c r="XQ1355" s="402"/>
      <c r="XR1355" s="402"/>
      <c r="XS1355" s="402"/>
      <c r="XT1355" s="402"/>
      <c r="XU1355" s="402"/>
      <c r="XV1355" s="402"/>
      <c r="XW1355" s="402"/>
      <c r="XX1355" s="402"/>
      <c r="XY1355" s="402"/>
      <c r="XZ1355" s="402"/>
      <c r="YA1355" s="402"/>
      <c r="YB1355" s="402"/>
      <c r="YC1355" s="402"/>
      <c r="YD1355" s="402"/>
      <c r="YE1355" s="402"/>
      <c r="YF1355" s="402"/>
      <c r="YG1355" s="402"/>
      <c r="YH1355" s="402"/>
      <c r="YI1355" s="402"/>
      <c r="YJ1355" s="402"/>
      <c r="YK1355" s="402"/>
      <c r="YL1355" s="402"/>
      <c r="YM1355" s="402"/>
      <c r="YN1355" s="402"/>
      <c r="YO1355" s="402"/>
      <c r="YP1355" s="402"/>
      <c r="YQ1355" s="402"/>
      <c r="YR1355" s="402"/>
      <c r="YS1355" s="402"/>
      <c r="YT1355" s="402"/>
      <c r="YU1355" s="402"/>
      <c r="YV1355" s="402"/>
      <c r="YW1355" s="402"/>
      <c r="YX1355" s="402"/>
      <c r="YY1355" s="402"/>
      <c r="YZ1355" s="402"/>
      <c r="ZA1355" s="402"/>
      <c r="ZB1355" s="402"/>
      <c r="ZC1355" s="402"/>
      <c r="ZD1355" s="402"/>
      <c r="ZE1355" s="402"/>
      <c r="ZF1355" s="402"/>
      <c r="ZG1355" s="402"/>
      <c r="ZH1355" s="402"/>
      <c r="ZI1355" s="402"/>
      <c r="ZJ1355" s="402"/>
      <c r="ZK1355" s="402"/>
      <c r="ZL1355" s="402"/>
      <c r="ZM1355" s="402"/>
      <c r="ZN1355" s="402"/>
      <c r="ZO1355" s="402"/>
      <c r="ZP1355" s="402"/>
      <c r="ZQ1355" s="402"/>
      <c r="ZR1355" s="402"/>
      <c r="ZS1355" s="402"/>
      <c r="ZT1355" s="402"/>
      <c r="ZU1355" s="402"/>
      <c r="ZV1355" s="402"/>
      <c r="ZW1355" s="402"/>
      <c r="ZX1355" s="402"/>
      <c r="ZY1355" s="402"/>
      <c r="ZZ1355" s="402"/>
      <c r="AAA1355" s="402"/>
      <c r="AAB1355" s="402"/>
      <c r="AAC1355" s="402"/>
      <c r="AAD1355" s="402"/>
      <c r="AAE1355" s="402"/>
      <c r="AAF1355" s="402"/>
      <c r="AAG1355" s="402"/>
      <c r="AAH1355" s="402"/>
      <c r="AAI1355" s="402"/>
      <c r="AAJ1355" s="402"/>
      <c r="AAK1355" s="402"/>
      <c r="AAL1355" s="402"/>
      <c r="AAM1355" s="402"/>
      <c r="AAN1355" s="402"/>
      <c r="AAO1355" s="402"/>
      <c r="AAP1355" s="402"/>
      <c r="AAQ1355" s="402"/>
      <c r="AAR1355" s="402"/>
      <c r="AAS1355" s="402"/>
      <c r="AAT1355" s="402"/>
      <c r="AAU1355" s="402"/>
      <c r="AAV1355" s="402"/>
      <c r="AAW1355" s="402"/>
      <c r="AAX1355" s="402"/>
      <c r="AAY1355" s="402"/>
      <c r="AAZ1355" s="402"/>
      <c r="ABA1355" s="402"/>
      <c r="ABB1355" s="402"/>
      <c r="ABC1355" s="402"/>
      <c r="ABD1355" s="402"/>
      <c r="ABE1355" s="402"/>
      <c r="ABF1355" s="402"/>
      <c r="ABG1355" s="402"/>
      <c r="ABH1355" s="402"/>
      <c r="ABI1355" s="402"/>
      <c r="ABJ1355" s="402"/>
      <c r="ABK1355" s="402"/>
      <c r="ABL1355" s="402"/>
      <c r="ABM1355" s="402"/>
      <c r="ABN1355" s="402"/>
      <c r="ABO1355" s="402"/>
      <c r="ABP1355" s="402"/>
      <c r="ABQ1355" s="402"/>
      <c r="ABR1355" s="402"/>
      <c r="ABS1355" s="402"/>
      <c r="ABT1355" s="402"/>
      <c r="ABU1355" s="402"/>
      <c r="ABV1355" s="402"/>
      <c r="ABW1355" s="402"/>
      <c r="ABX1355" s="402"/>
      <c r="ABY1355" s="402"/>
      <c r="ABZ1355" s="402"/>
      <c r="ACA1355" s="402"/>
      <c r="ACB1355" s="402"/>
      <c r="ACC1355" s="402"/>
      <c r="ACD1355" s="402"/>
      <c r="ACE1355" s="402"/>
      <c r="ACF1355" s="402"/>
      <c r="ACG1355" s="402"/>
      <c r="ACH1355" s="402"/>
      <c r="ACI1355" s="402"/>
      <c r="ACJ1355" s="402"/>
      <c r="ACK1355" s="402"/>
      <c r="ACL1355" s="402"/>
      <c r="ACM1355" s="402"/>
      <c r="ACN1355" s="402"/>
      <c r="ACO1355" s="402"/>
      <c r="ACP1355" s="402"/>
      <c r="ACQ1355" s="402"/>
      <c r="ACR1355" s="402"/>
      <c r="ACS1355" s="402"/>
      <c r="ACT1355" s="402"/>
      <c r="ACU1355" s="402"/>
      <c r="ACV1355" s="402"/>
      <c r="ACW1355" s="402"/>
      <c r="ACX1355" s="402"/>
      <c r="ACY1355" s="402"/>
      <c r="ACZ1355" s="402"/>
      <c r="ADA1355" s="402"/>
      <c r="ADB1355" s="402"/>
      <c r="ADC1355" s="402"/>
      <c r="ADD1355" s="402"/>
      <c r="ADE1355" s="402"/>
      <c r="ADF1355" s="402"/>
      <c r="ADG1355" s="402"/>
      <c r="ADH1355" s="402"/>
      <c r="ADI1355" s="402"/>
      <c r="ADJ1355" s="402"/>
      <c r="ADK1355" s="402"/>
      <c r="ADL1355" s="402"/>
      <c r="ADM1355" s="402"/>
      <c r="ADN1355" s="402"/>
      <c r="ADO1355" s="402"/>
      <c r="ADP1355" s="402"/>
      <c r="ADQ1355" s="402"/>
      <c r="ADR1355" s="402"/>
      <c r="ADS1355" s="402"/>
      <c r="ADT1355" s="402"/>
      <c r="ADU1355" s="402"/>
      <c r="ADV1355" s="402"/>
      <c r="ADW1355" s="402"/>
      <c r="ADX1355" s="402"/>
      <c r="ADY1355" s="402"/>
      <c r="ADZ1355" s="402"/>
      <c r="AEA1355" s="402"/>
      <c r="AEB1355" s="402"/>
      <c r="AEC1355" s="402"/>
      <c r="AED1355" s="402"/>
      <c r="AEE1355" s="402"/>
      <c r="AEF1355" s="402"/>
      <c r="AEG1355" s="402"/>
      <c r="AEH1355" s="402"/>
      <c r="AEI1355" s="402"/>
      <c r="AEJ1355" s="402"/>
      <c r="AEK1355" s="402"/>
      <c r="AEL1355" s="402"/>
      <c r="AEM1355" s="402"/>
      <c r="AEN1355" s="402"/>
      <c r="AEO1355" s="402"/>
      <c r="AEP1355" s="402"/>
      <c r="AEQ1355" s="402"/>
      <c r="AER1355" s="402"/>
      <c r="AES1355" s="402"/>
      <c r="AET1355" s="402"/>
      <c r="AEU1355" s="402"/>
      <c r="AEV1355" s="402"/>
      <c r="AEW1355" s="402"/>
      <c r="AEX1355" s="402"/>
      <c r="AEY1355" s="402"/>
      <c r="AEZ1355" s="402"/>
      <c r="AFA1355" s="402"/>
      <c r="AFB1355" s="402"/>
      <c r="AFC1355" s="402"/>
      <c r="AFD1355" s="402"/>
      <c r="AFE1355" s="402"/>
      <c r="AFF1355" s="402"/>
      <c r="AFG1355" s="402"/>
      <c r="AFH1355" s="402"/>
      <c r="AFI1355" s="402"/>
      <c r="AFJ1355" s="402"/>
      <c r="AFK1355" s="402"/>
      <c r="AFL1355" s="402"/>
      <c r="AFM1355" s="402"/>
      <c r="AFN1355" s="402"/>
      <c r="AFO1355" s="402"/>
      <c r="AFP1355" s="402"/>
      <c r="AFQ1355" s="402"/>
      <c r="AFR1355" s="402"/>
      <c r="AFS1355" s="402"/>
      <c r="AFT1355" s="402"/>
      <c r="AFU1355" s="402"/>
      <c r="AFV1355" s="402"/>
      <c r="AFW1355" s="402"/>
      <c r="AFX1355" s="402"/>
      <c r="AFY1355" s="402"/>
      <c r="AFZ1355" s="402"/>
      <c r="AGA1355" s="402"/>
      <c r="AGB1355" s="402"/>
      <c r="AGC1355" s="402"/>
      <c r="AGD1355" s="402"/>
      <c r="AGE1355" s="402"/>
      <c r="AGF1355" s="402"/>
      <c r="AGG1355" s="402"/>
      <c r="AGH1355" s="402"/>
      <c r="AGI1355" s="402"/>
      <c r="AGJ1355" s="402"/>
      <c r="AGK1355" s="402"/>
      <c r="AGL1355" s="402"/>
      <c r="AGM1355" s="402"/>
      <c r="AGN1355" s="402"/>
      <c r="AGO1355" s="402"/>
      <c r="AGP1355" s="402"/>
      <c r="AGQ1355" s="402"/>
      <c r="AGR1355" s="402"/>
      <c r="AGS1355" s="402"/>
      <c r="AGT1355" s="402"/>
      <c r="AGU1355" s="402"/>
      <c r="AGV1355" s="402"/>
      <c r="AGW1355" s="402"/>
      <c r="AGX1355" s="402"/>
      <c r="AGY1355" s="402"/>
      <c r="AGZ1355" s="402"/>
      <c r="AHA1355" s="402"/>
      <c r="AHB1355" s="402"/>
      <c r="AHC1355" s="402"/>
      <c r="AHD1355" s="402"/>
      <c r="AHE1355" s="402"/>
      <c r="AHF1355" s="402"/>
      <c r="AHG1355" s="402"/>
      <c r="AHH1355" s="402"/>
      <c r="AHI1355" s="402"/>
      <c r="AHJ1355" s="402"/>
      <c r="AHK1355" s="402"/>
      <c r="AHL1355" s="402"/>
      <c r="AHM1355" s="402"/>
      <c r="AHN1355" s="402"/>
      <c r="AHO1355" s="402"/>
      <c r="AHP1355" s="402"/>
      <c r="AHQ1355" s="402"/>
      <c r="AHR1355" s="402"/>
      <c r="AHS1355" s="402"/>
      <c r="AHT1355" s="402"/>
      <c r="AHU1355" s="402"/>
      <c r="AHV1355" s="402"/>
      <c r="AHW1355" s="402"/>
      <c r="AHX1355" s="402"/>
      <c r="AHY1355" s="402"/>
      <c r="AHZ1355" s="402"/>
      <c r="AIA1355" s="402"/>
      <c r="AIB1355" s="402"/>
      <c r="AIC1355" s="402"/>
      <c r="AID1355" s="402"/>
      <c r="AIE1355" s="402"/>
      <c r="AIF1355" s="402"/>
      <c r="AIG1355" s="402"/>
      <c r="AIH1355" s="402"/>
      <c r="AII1355" s="402"/>
      <c r="AIJ1355" s="402"/>
      <c r="AIK1355" s="402"/>
      <c r="AIL1355" s="402"/>
      <c r="AIM1355" s="402"/>
      <c r="AIN1355" s="402"/>
      <c r="AIO1355" s="402"/>
      <c r="AIP1355" s="402"/>
      <c r="AIQ1355" s="402"/>
      <c r="AIR1355" s="402"/>
      <c r="AIS1355" s="402"/>
      <c r="AIT1355" s="402"/>
      <c r="AIU1355" s="402"/>
      <c r="AIV1355" s="402"/>
      <c r="AIW1355" s="402"/>
      <c r="AIX1355" s="402"/>
      <c r="AIY1355" s="402"/>
      <c r="AIZ1355" s="402"/>
      <c r="AJA1355" s="402"/>
      <c r="AJB1355" s="402"/>
      <c r="AJC1355" s="402"/>
      <c r="AJD1355" s="402"/>
      <c r="AJE1355" s="402"/>
      <c r="AJF1355" s="402"/>
      <c r="AJG1355" s="402"/>
      <c r="AJH1355" s="402"/>
      <c r="AJI1355" s="402"/>
      <c r="AJJ1355" s="402"/>
      <c r="AJK1355" s="402"/>
      <c r="AJL1355" s="402"/>
      <c r="AJM1355" s="402"/>
      <c r="AJN1355" s="402"/>
      <c r="AJO1355" s="402"/>
      <c r="AJP1355" s="402"/>
      <c r="AJQ1355" s="402"/>
      <c r="AJR1355" s="402"/>
      <c r="AJS1355" s="402"/>
      <c r="AJT1355" s="402"/>
      <c r="AJU1355" s="402"/>
      <c r="AJV1355" s="402"/>
      <c r="AJW1355" s="402"/>
      <c r="AJX1355" s="402"/>
      <c r="AJY1355" s="402"/>
      <c r="AJZ1355" s="402"/>
      <c r="AKA1355" s="402"/>
      <c r="AKB1355" s="402"/>
      <c r="AKC1355" s="402"/>
      <c r="AKD1355" s="402"/>
      <c r="AKE1355" s="402"/>
      <c r="AKF1355" s="402"/>
      <c r="AKG1355" s="402"/>
      <c r="AKH1355" s="402"/>
      <c r="AKI1355" s="402"/>
      <c r="AKJ1355" s="402"/>
      <c r="AKK1355" s="402"/>
      <c r="AKL1355" s="402"/>
      <c r="AKM1355" s="402"/>
      <c r="AKN1355" s="402"/>
      <c r="AKO1355" s="402"/>
      <c r="AKP1355" s="402"/>
      <c r="AKQ1355" s="402"/>
      <c r="AKR1355" s="402"/>
      <c r="AKS1355" s="402"/>
      <c r="AKT1355" s="402"/>
      <c r="AKU1355" s="402"/>
      <c r="AKV1355" s="402"/>
      <c r="AKW1355" s="402"/>
      <c r="AKX1355" s="402"/>
      <c r="AKY1355" s="402"/>
      <c r="AKZ1355" s="402"/>
      <c r="ALA1355" s="402"/>
      <c r="ALB1355" s="402"/>
      <c r="ALC1355" s="402"/>
      <c r="ALD1355" s="402"/>
      <c r="ALE1355" s="402"/>
      <c r="ALF1355" s="402"/>
      <c r="ALG1355" s="402"/>
      <c r="ALH1355" s="402"/>
      <c r="ALI1355" s="402"/>
      <c r="ALJ1355" s="402"/>
      <c r="ALK1355" s="402"/>
      <c r="ALL1355" s="402"/>
      <c r="ALM1355" s="402"/>
      <c r="ALN1355" s="402"/>
      <c r="ALO1355" s="402"/>
      <c r="ALP1355" s="402"/>
      <c r="ALQ1355" s="402"/>
      <c r="ALR1355" s="402"/>
      <c r="ALS1355" s="402"/>
      <c r="ALT1355" s="402"/>
      <c r="ALU1355" s="402"/>
      <c r="ALV1355" s="402"/>
      <c r="ALW1355" s="402"/>
      <c r="ALX1355" s="402"/>
      <c r="ALY1355" s="402"/>
      <c r="ALZ1355" s="402"/>
      <c r="AMA1355" s="402"/>
      <c r="AMB1355" s="402"/>
      <c r="AMC1355" s="402"/>
      <c r="AMD1355" s="402"/>
      <c r="AME1355" s="402"/>
      <c r="AMF1355" s="402"/>
      <c r="AMG1355" s="402"/>
      <c r="AMH1355" s="402"/>
      <c r="AMI1355" s="402"/>
      <c r="AMJ1355" s="402"/>
      <c r="AMK1355" s="402"/>
      <c r="AML1355" s="402"/>
      <c r="AMM1355" s="402"/>
      <c r="AMN1355" s="402"/>
      <c r="AMO1355" s="402"/>
      <c r="AMP1355" s="402"/>
      <c r="AMQ1355" s="402"/>
      <c r="AMR1355" s="402"/>
      <c r="AMS1355" s="402"/>
      <c r="AMT1355" s="402"/>
      <c r="AMU1355" s="402"/>
      <c r="AMV1355" s="402"/>
      <c r="AMW1355" s="402"/>
      <c r="AMX1355" s="402"/>
      <c r="AMY1355" s="402"/>
      <c r="AMZ1355" s="402"/>
      <c r="ANA1355" s="402"/>
      <c r="ANB1355" s="402"/>
      <c r="ANC1355" s="402"/>
      <c r="AND1355" s="402"/>
      <c r="ANE1355" s="402"/>
      <c r="ANF1355" s="402"/>
      <c r="ANG1355" s="402"/>
      <c r="ANH1355" s="402"/>
      <c r="ANI1355" s="402"/>
      <c r="ANJ1355" s="402"/>
      <c r="ANK1355" s="402"/>
      <c r="ANL1355" s="402"/>
      <c r="ANM1355" s="402"/>
      <c r="ANN1355" s="402"/>
      <c r="ANO1355" s="402"/>
      <c r="ANP1355" s="402"/>
      <c r="ANQ1355" s="402"/>
      <c r="ANR1355" s="402"/>
      <c r="ANS1355" s="402"/>
      <c r="ANT1355" s="402"/>
      <c r="ANU1355" s="402"/>
      <c r="ANV1355" s="402"/>
      <c r="ANW1355" s="402"/>
      <c r="ANX1355" s="402"/>
      <c r="ANY1355" s="402"/>
      <c r="ANZ1355" s="402"/>
      <c r="AOA1355" s="402"/>
      <c r="AOB1355" s="402"/>
      <c r="AOC1355" s="402"/>
      <c r="AOD1355" s="402"/>
      <c r="AOE1355" s="402"/>
      <c r="AOF1355" s="402"/>
      <c r="AOG1355" s="402"/>
      <c r="AOH1355" s="402"/>
      <c r="AOI1355" s="402"/>
      <c r="AOJ1355" s="402"/>
      <c r="AOK1355" s="402"/>
      <c r="AOL1355" s="402"/>
      <c r="AOM1355" s="402"/>
      <c r="AON1355" s="402"/>
      <c r="AOO1355" s="402"/>
      <c r="AOP1355" s="402"/>
      <c r="AOQ1355" s="402"/>
      <c r="AOR1355" s="402"/>
      <c r="AOS1355" s="402"/>
      <c r="AOT1355" s="402"/>
      <c r="AOU1355" s="402"/>
      <c r="AOV1355" s="402"/>
      <c r="AOW1355" s="402"/>
      <c r="AOX1355" s="402"/>
      <c r="AOY1355" s="402"/>
      <c r="AOZ1355" s="402"/>
      <c r="APA1355" s="402"/>
      <c r="APB1355" s="402"/>
      <c r="APC1355" s="402"/>
      <c r="APD1355" s="402"/>
      <c r="APE1355" s="402"/>
      <c r="APF1355" s="402"/>
      <c r="APG1355" s="402"/>
      <c r="APH1355" s="402"/>
      <c r="API1355" s="402"/>
      <c r="APJ1355" s="402"/>
      <c r="APK1355" s="402"/>
      <c r="APL1355" s="402"/>
      <c r="APM1355" s="402"/>
      <c r="APN1355" s="402"/>
      <c r="APO1355" s="402"/>
      <c r="APP1355" s="402"/>
      <c r="APQ1355" s="402"/>
      <c r="APR1355" s="402"/>
      <c r="APS1355" s="402"/>
      <c r="APT1355" s="402"/>
      <c r="APU1355" s="402"/>
      <c r="APV1355" s="402"/>
      <c r="APW1355" s="402"/>
      <c r="APX1355" s="402"/>
      <c r="APY1355" s="402"/>
      <c r="APZ1355" s="402"/>
      <c r="AQA1355" s="402"/>
      <c r="AQB1355" s="402"/>
      <c r="AQC1355" s="402"/>
      <c r="AQD1355" s="402"/>
      <c r="AQE1355" s="402"/>
      <c r="AQF1355" s="402"/>
      <c r="AQG1355" s="402"/>
      <c r="AQH1355" s="402"/>
      <c r="AQI1355" s="402"/>
      <c r="AQJ1355" s="402"/>
      <c r="AQK1355" s="402"/>
      <c r="AQL1355" s="402"/>
      <c r="AQM1355" s="402"/>
      <c r="AQN1355" s="402"/>
      <c r="AQO1355" s="402"/>
      <c r="AQP1355" s="402"/>
      <c r="AQQ1355" s="402"/>
      <c r="AQR1355" s="402"/>
      <c r="AQS1355" s="402"/>
      <c r="AQT1355" s="402"/>
      <c r="AQU1355" s="402"/>
      <c r="AQV1355" s="402"/>
      <c r="AQW1355" s="402"/>
      <c r="AQX1355" s="402"/>
      <c r="AQY1355" s="402"/>
      <c r="AQZ1355" s="402"/>
      <c r="ARA1355" s="402"/>
      <c r="ARB1355" s="402"/>
      <c r="ARC1355" s="402"/>
      <c r="ARD1355" s="402"/>
      <c r="ARE1355" s="402"/>
      <c r="ARF1355" s="402"/>
      <c r="ARG1355" s="402"/>
      <c r="ARH1355" s="402"/>
      <c r="ARI1355" s="402"/>
      <c r="ARJ1355" s="402"/>
      <c r="ARK1355" s="402"/>
      <c r="ARL1355" s="402"/>
      <c r="ARM1355" s="402"/>
      <c r="ARN1355" s="402"/>
      <c r="ARO1355" s="402"/>
      <c r="ARP1355" s="402"/>
      <c r="ARQ1355" s="402"/>
      <c r="ARR1355" s="402"/>
      <c r="ARS1355" s="402"/>
      <c r="ART1355" s="402"/>
      <c r="ARU1355" s="402"/>
      <c r="ARV1355" s="402"/>
      <c r="ARW1355" s="402"/>
      <c r="ARX1355" s="402"/>
      <c r="ARY1355" s="402"/>
      <c r="ARZ1355" s="402"/>
      <c r="ASA1355" s="402"/>
      <c r="ASB1355" s="402"/>
      <c r="ASC1355" s="402"/>
      <c r="ASD1355" s="402"/>
      <c r="ASE1355" s="402"/>
      <c r="ASF1355" s="402"/>
      <c r="ASG1355" s="402"/>
      <c r="ASH1355" s="402"/>
      <c r="ASI1355" s="402"/>
      <c r="ASJ1355" s="402"/>
      <c r="ASK1355" s="402"/>
      <c r="ASL1355" s="402"/>
      <c r="ASM1355" s="402"/>
      <c r="ASN1355" s="402"/>
      <c r="ASO1355" s="402"/>
      <c r="ASP1355" s="402"/>
      <c r="ASQ1355" s="402"/>
      <c r="ASR1355" s="402"/>
      <c r="ASS1355" s="402"/>
      <c r="AST1355" s="402"/>
      <c r="ASU1355" s="402"/>
      <c r="ASV1355" s="402"/>
      <c r="ASW1355" s="402"/>
      <c r="ASX1355" s="402"/>
      <c r="ASY1355" s="402"/>
      <c r="ASZ1355" s="402"/>
      <c r="ATA1355" s="402"/>
      <c r="ATB1355" s="402"/>
      <c r="ATC1355" s="402"/>
      <c r="ATD1355" s="402"/>
      <c r="ATE1355" s="402"/>
      <c r="ATF1355" s="402"/>
      <c r="ATG1355" s="402"/>
      <c r="ATH1355" s="402"/>
      <c r="ATI1355" s="402"/>
      <c r="ATJ1355" s="402"/>
      <c r="ATK1355" s="402"/>
      <c r="ATL1355" s="402"/>
      <c r="ATM1355" s="402"/>
      <c r="ATN1355" s="402"/>
      <c r="ATO1355" s="402"/>
      <c r="ATP1355" s="402"/>
      <c r="ATQ1355" s="402"/>
      <c r="ATR1355" s="402"/>
      <c r="ATS1355" s="402"/>
      <c r="ATT1355" s="402"/>
      <c r="ATU1355" s="402"/>
      <c r="ATV1355" s="402"/>
      <c r="ATW1355" s="402"/>
      <c r="ATX1355" s="402"/>
      <c r="ATY1355" s="402"/>
      <c r="ATZ1355" s="402"/>
      <c r="AUA1355" s="402"/>
      <c r="AUB1355" s="402"/>
      <c r="AUC1355" s="402"/>
      <c r="AUD1355" s="402"/>
      <c r="AUE1355" s="402"/>
      <c r="AUF1355" s="402"/>
      <c r="AUG1355" s="402"/>
      <c r="AUH1355" s="402"/>
      <c r="AUI1355" s="402"/>
      <c r="AUJ1355" s="402"/>
      <c r="AUK1355" s="402"/>
      <c r="AUL1355" s="402"/>
      <c r="AUM1355" s="402"/>
      <c r="AUN1355" s="402"/>
      <c r="AUO1355" s="402"/>
      <c r="AUP1355" s="402"/>
      <c r="AUQ1355" s="402"/>
      <c r="AUR1355" s="402"/>
      <c r="AUS1355" s="402"/>
      <c r="AUT1355" s="402"/>
      <c r="AUU1355" s="402"/>
      <c r="AUV1355" s="402"/>
      <c r="AUW1355" s="402"/>
      <c r="AUX1355" s="402"/>
      <c r="AUY1355" s="402"/>
      <c r="AUZ1355" s="402"/>
      <c r="AVA1355" s="402"/>
      <c r="AVB1355" s="402"/>
      <c r="AVC1355" s="402"/>
      <c r="AVD1355" s="402"/>
      <c r="AVE1355" s="402"/>
      <c r="AVF1355" s="402"/>
      <c r="AVG1355" s="402"/>
      <c r="AVH1355" s="402"/>
      <c r="AVI1355" s="402"/>
      <c r="AVJ1355" s="402"/>
      <c r="AVK1355" s="402"/>
    </row>
    <row r="1356" spans="1:1259" s="442" customFormat="1" ht="15" customHeight="1">
      <c r="A1356" s="403"/>
      <c r="B1356" s="403"/>
      <c r="C1356" s="403"/>
      <c r="D1356" s="443" t="s">
        <v>2480</v>
      </c>
      <c r="E1356" s="432"/>
      <c r="F1356" s="432"/>
      <c r="G1356" s="432">
        <v>2022</v>
      </c>
      <c r="H1356" s="432"/>
      <c r="I1356" s="427" t="s">
        <v>1498</v>
      </c>
      <c r="J1356" s="433"/>
      <c r="K1356" s="434" t="s">
        <v>5009</v>
      </c>
      <c r="L1356" s="432" t="s">
        <v>2518</v>
      </c>
      <c r="M1356" s="435">
        <v>44671</v>
      </c>
      <c r="N1356" s="435">
        <v>44881</v>
      </c>
      <c r="O1356" s="435"/>
      <c r="P1356" s="433"/>
      <c r="Q1356" s="433"/>
      <c r="R1356" s="433"/>
      <c r="S1356" s="432" t="s">
        <v>1940</v>
      </c>
      <c r="T1356" s="432">
        <v>60</v>
      </c>
      <c r="U1356" s="432"/>
      <c r="V1356" s="432" t="s">
        <v>973</v>
      </c>
      <c r="W1356" s="432">
        <v>400</v>
      </c>
      <c r="X1356" s="436">
        <v>2496</v>
      </c>
      <c r="Y1356" s="422">
        <f t="shared" si="166"/>
        <v>998400</v>
      </c>
      <c r="Z1356" s="437">
        <v>0.6</v>
      </c>
      <c r="AA1356" s="423">
        <f t="shared" si="167"/>
        <v>599040</v>
      </c>
      <c r="AB1356" s="411"/>
      <c r="AC1356" s="412">
        <f t="shared" si="168"/>
        <v>0</v>
      </c>
      <c r="AD1356" s="439"/>
      <c r="AE1356" s="438">
        <v>45676.800000000003</v>
      </c>
      <c r="AF1356" s="424">
        <f t="shared" si="169"/>
        <v>644716.80000000005</v>
      </c>
      <c r="AG1356" s="432" t="s">
        <v>47</v>
      </c>
      <c r="AH1356" s="432"/>
      <c r="AI1356" s="434">
        <v>60</v>
      </c>
      <c r="AJ1356" s="432" t="s">
        <v>1584</v>
      </c>
      <c r="AK1356" s="440" t="s">
        <v>50</v>
      </c>
      <c r="AL1356" s="432">
        <v>95826</v>
      </c>
      <c r="AM1356" s="432" t="s">
        <v>52</v>
      </c>
      <c r="AN1356" s="432"/>
      <c r="AO1356" s="432"/>
      <c r="AP1356" s="441"/>
      <c r="AQ1356" s="441" t="s">
        <v>37</v>
      </c>
      <c r="AR1356" s="441"/>
      <c r="AS1356" s="426"/>
      <c r="AT1356" s="426"/>
      <c r="AU1356" s="426"/>
      <c r="AV1356" s="437">
        <f t="shared" si="170"/>
        <v>0.48000000000000004</v>
      </c>
      <c r="AW1356" s="402"/>
      <c r="AX1356" s="402"/>
      <c r="AY1356" s="402"/>
      <c r="AZ1356" s="402"/>
      <c r="BA1356" s="402"/>
      <c r="BB1356" s="402"/>
      <c r="BC1356" s="402"/>
      <c r="BD1356" s="402"/>
      <c r="BE1356" s="402"/>
      <c r="BF1356" s="402"/>
      <c r="BG1356" s="402"/>
      <c r="BH1356" s="402"/>
      <c r="BI1356" s="402"/>
      <c r="BJ1356" s="402"/>
      <c r="BK1356" s="402"/>
      <c r="BL1356" s="402"/>
      <c r="BM1356" s="402"/>
      <c r="BN1356" s="402"/>
      <c r="BO1356" s="402"/>
      <c r="BP1356" s="402"/>
      <c r="BQ1356" s="402"/>
      <c r="BR1356" s="402"/>
      <c r="BS1356" s="402"/>
      <c r="BT1356" s="402"/>
      <c r="BU1356" s="402"/>
      <c r="BV1356" s="402"/>
      <c r="BW1356" s="402"/>
      <c r="BX1356" s="402"/>
      <c r="BY1356" s="402"/>
      <c r="BZ1356" s="402"/>
      <c r="CA1356" s="402"/>
      <c r="CB1356" s="402"/>
      <c r="CC1356" s="402"/>
      <c r="CD1356" s="402"/>
      <c r="CE1356" s="402"/>
      <c r="CF1356" s="402"/>
      <c r="CG1356" s="402"/>
      <c r="CH1356" s="402"/>
      <c r="CI1356" s="402"/>
      <c r="CJ1356" s="402"/>
      <c r="CK1356" s="402"/>
      <c r="CL1356" s="402"/>
      <c r="CM1356" s="402"/>
      <c r="CN1356" s="402"/>
      <c r="CO1356" s="402"/>
      <c r="CP1356" s="402"/>
      <c r="CQ1356" s="402"/>
      <c r="CR1356" s="402"/>
      <c r="CS1356" s="402"/>
      <c r="CT1356" s="402"/>
      <c r="CU1356" s="402"/>
      <c r="CV1356" s="402"/>
      <c r="CW1356" s="402"/>
      <c r="CX1356" s="402"/>
      <c r="CY1356" s="402"/>
      <c r="CZ1356" s="402"/>
      <c r="DA1356" s="402"/>
      <c r="DB1356" s="402"/>
      <c r="DC1356" s="402"/>
      <c r="DD1356" s="402"/>
      <c r="DE1356" s="402"/>
      <c r="DF1356" s="402"/>
      <c r="DG1356" s="402"/>
      <c r="DH1356" s="402"/>
      <c r="DI1356" s="402"/>
      <c r="DJ1356" s="402"/>
      <c r="DK1356" s="402"/>
      <c r="DL1356" s="402"/>
      <c r="DM1356" s="402"/>
      <c r="DN1356" s="402"/>
      <c r="DO1356" s="402"/>
      <c r="DP1356" s="402"/>
      <c r="DQ1356" s="402"/>
      <c r="DR1356" s="402"/>
      <c r="DS1356" s="402"/>
      <c r="DT1356" s="402"/>
      <c r="DU1356" s="402"/>
      <c r="DV1356" s="402"/>
      <c r="DW1356" s="402"/>
      <c r="DX1356" s="402"/>
      <c r="DY1356" s="402"/>
      <c r="DZ1356" s="402"/>
      <c r="EA1356" s="402"/>
      <c r="EB1356" s="402"/>
      <c r="EC1356" s="402"/>
      <c r="ED1356" s="402"/>
      <c r="EE1356" s="402"/>
      <c r="EF1356" s="402"/>
      <c r="EG1356" s="402"/>
      <c r="EH1356" s="402"/>
      <c r="EI1356" s="402"/>
      <c r="EJ1356" s="402"/>
      <c r="EK1356" s="402"/>
      <c r="EL1356" s="402"/>
      <c r="EM1356" s="402"/>
      <c r="EN1356" s="402"/>
      <c r="EO1356" s="402"/>
      <c r="EP1356" s="402"/>
      <c r="EQ1356" s="402"/>
      <c r="ER1356" s="402"/>
      <c r="ES1356" s="402"/>
      <c r="ET1356" s="402"/>
      <c r="EU1356" s="402"/>
      <c r="EV1356" s="402"/>
      <c r="EW1356" s="402"/>
      <c r="EX1356" s="402"/>
      <c r="EY1356" s="402"/>
      <c r="EZ1356" s="402"/>
      <c r="FA1356" s="402"/>
      <c r="FB1356" s="402"/>
      <c r="FC1356" s="402"/>
      <c r="FD1356" s="402"/>
      <c r="FE1356" s="402"/>
      <c r="FF1356" s="402"/>
      <c r="FG1356" s="402"/>
      <c r="FH1356" s="402"/>
      <c r="FI1356" s="402"/>
      <c r="FJ1356" s="402"/>
      <c r="FK1356" s="402"/>
      <c r="FL1356" s="402"/>
      <c r="FM1356" s="402"/>
      <c r="FN1356" s="402"/>
      <c r="FO1356" s="402"/>
      <c r="FP1356" s="402"/>
      <c r="FQ1356" s="402"/>
      <c r="FR1356" s="402"/>
      <c r="FS1356" s="402"/>
      <c r="FT1356" s="402"/>
      <c r="FU1356" s="402"/>
      <c r="FV1356" s="402"/>
      <c r="FW1356" s="402"/>
      <c r="FX1356" s="402"/>
      <c r="FY1356" s="402"/>
      <c r="FZ1356" s="402"/>
      <c r="GA1356" s="402"/>
      <c r="GB1356" s="402"/>
      <c r="GC1356" s="402"/>
      <c r="GD1356" s="402"/>
      <c r="GE1356" s="402"/>
      <c r="GF1356" s="402"/>
      <c r="GG1356" s="402"/>
      <c r="GH1356" s="402"/>
      <c r="GI1356" s="402"/>
      <c r="GJ1356" s="402"/>
      <c r="GK1356" s="402"/>
      <c r="GL1356" s="402"/>
      <c r="GM1356" s="402"/>
      <c r="GN1356" s="402"/>
      <c r="GO1356" s="402"/>
      <c r="GP1356" s="402"/>
      <c r="GQ1356" s="402"/>
      <c r="GR1356" s="402"/>
      <c r="GS1356" s="402"/>
      <c r="GT1356" s="402"/>
      <c r="GU1356" s="402"/>
      <c r="GV1356" s="402"/>
      <c r="GW1356" s="402"/>
      <c r="GX1356" s="402"/>
      <c r="GY1356" s="402"/>
      <c r="GZ1356" s="402"/>
      <c r="HA1356" s="402"/>
      <c r="HB1356" s="402"/>
      <c r="HC1356" s="402"/>
      <c r="HD1356" s="402"/>
      <c r="HE1356" s="402"/>
      <c r="HF1356" s="402"/>
      <c r="HG1356" s="402"/>
      <c r="HH1356" s="402"/>
      <c r="HI1356" s="402"/>
      <c r="HJ1356" s="402"/>
      <c r="HK1356" s="402"/>
      <c r="HL1356" s="402"/>
      <c r="HM1356" s="402"/>
      <c r="HN1356" s="402"/>
      <c r="HO1356" s="402"/>
      <c r="HP1356" s="402"/>
      <c r="HQ1356" s="402"/>
      <c r="HR1356" s="402"/>
      <c r="HS1356" s="402"/>
      <c r="HT1356" s="402"/>
      <c r="HU1356" s="402"/>
      <c r="HV1356" s="402"/>
      <c r="HW1356" s="402"/>
      <c r="HX1356" s="402"/>
      <c r="HY1356" s="402"/>
      <c r="HZ1356" s="402"/>
      <c r="IA1356" s="402"/>
      <c r="IB1356" s="402"/>
      <c r="IC1356" s="402"/>
      <c r="ID1356" s="402"/>
      <c r="IE1356" s="402"/>
      <c r="IF1356" s="402"/>
      <c r="IG1356" s="402"/>
      <c r="IH1356" s="402"/>
      <c r="II1356" s="402"/>
      <c r="IJ1356" s="402"/>
      <c r="IK1356" s="402"/>
      <c r="IL1356" s="402"/>
      <c r="IM1356" s="402"/>
      <c r="IN1356" s="402"/>
      <c r="IO1356" s="402"/>
      <c r="IP1356" s="402"/>
      <c r="IQ1356" s="402"/>
      <c r="IR1356" s="402"/>
      <c r="IS1356" s="402"/>
      <c r="IT1356" s="402"/>
      <c r="IU1356" s="402"/>
      <c r="IV1356" s="402"/>
      <c r="IW1356" s="402"/>
      <c r="IX1356" s="402"/>
      <c r="IY1356" s="402"/>
      <c r="IZ1356" s="402"/>
      <c r="JA1356" s="402"/>
      <c r="JB1356" s="402"/>
      <c r="JC1356" s="402"/>
      <c r="JD1356" s="402"/>
      <c r="JE1356" s="402"/>
      <c r="JF1356" s="402"/>
      <c r="JG1356" s="402"/>
      <c r="JH1356" s="402"/>
      <c r="JI1356" s="402"/>
      <c r="JJ1356" s="402"/>
      <c r="JK1356" s="402"/>
      <c r="JL1356" s="402"/>
      <c r="JM1356" s="402"/>
      <c r="JN1356" s="402"/>
      <c r="JO1356" s="402"/>
      <c r="JP1356" s="402"/>
      <c r="JQ1356" s="402"/>
      <c r="JR1356" s="402"/>
      <c r="JS1356" s="402"/>
      <c r="JT1356" s="402"/>
      <c r="JU1356" s="402"/>
      <c r="JV1356" s="402"/>
      <c r="JW1356" s="402"/>
      <c r="JX1356" s="402"/>
      <c r="JY1356" s="402"/>
      <c r="JZ1356" s="402"/>
      <c r="KA1356" s="402"/>
      <c r="KB1356" s="402"/>
      <c r="KC1356" s="402"/>
      <c r="KD1356" s="402"/>
      <c r="KE1356" s="402"/>
      <c r="KF1356" s="402"/>
      <c r="KG1356" s="402"/>
      <c r="KH1356" s="402"/>
      <c r="KI1356" s="402"/>
      <c r="KJ1356" s="402"/>
      <c r="KK1356" s="402"/>
      <c r="KL1356" s="402"/>
      <c r="KM1356" s="402"/>
      <c r="KN1356" s="402"/>
      <c r="KO1356" s="402"/>
      <c r="KP1356" s="402"/>
      <c r="KQ1356" s="402"/>
      <c r="KR1356" s="402"/>
      <c r="KS1356" s="402"/>
      <c r="KT1356" s="402"/>
      <c r="KU1356" s="402"/>
      <c r="KV1356" s="402"/>
      <c r="KW1356" s="402"/>
      <c r="KX1356" s="402"/>
      <c r="KY1356" s="402"/>
      <c r="KZ1356" s="402"/>
      <c r="LA1356" s="402"/>
      <c r="LB1356" s="402"/>
      <c r="LC1356" s="402"/>
      <c r="LD1356" s="402"/>
      <c r="LE1356" s="402"/>
      <c r="LF1356" s="402"/>
      <c r="LG1356" s="402"/>
      <c r="LH1356" s="402"/>
      <c r="LI1356" s="402"/>
      <c r="LJ1356" s="402"/>
      <c r="LK1356" s="402"/>
      <c r="LL1356" s="402"/>
      <c r="LM1356" s="402"/>
      <c r="LN1356" s="402"/>
      <c r="LO1356" s="402"/>
      <c r="LP1356" s="402"/>
      <c r="LQ1356" s="402"/>
      <c r="LR1356" s="402"/>
      <c r="LS1356" s="402"/>
      <c r="LT1356" s="402"/>
      <c r="LU1356" s="402"/>
      <c r="LV1356" s="402"/>
      <c r="LW1356" s="402"/>
      <c r="LX1356" s="402"/>
      <c r="LY1356" s="402"/>
      <c r="LZ1356" s="402"/>
      <c r="MA1356" s="402"/>
      <c r="MB1356" s="402"/>
      <c r="MC1356" s="402"/>
      <c r="MD1356" s="402"/>
      <c r="ME1356" s="402"/>
      <c r="MF1356" s="402"/>
      <c r="MG1356" s="402"/>
      <c r="MH1356" s="402"/>
      <c r="MI1356" s="402"/>
      <c r="MJ1356" s="402"/>
      <c r="MK1356" s="402"/>
      <c r="ML1356" s="402"/>
      <c r="MM1356" s="402"/>
      <c r="MN1356" s="402"/>
      <c r="MO1356" s="402"/>
      <c r="MP1356" s="402"/>
      <c r="MQ1356" s="402"/>
      <c r="MR1356" s="402"/>
      <c r="MS1356" s="402"/>
      <c r="MT1356" s="402"/>
      <c r="MU1356" s="402"/>
      <c r="MV1356" s="402"/>
      <c r="MW1356" s="402"/>
      <c r="MX1356" s="402"/>
      <c r="MY1356" s="402"/>
      <c r="MZ1356" s="402"/>
      <c r="NA1356" s="402"/>
      <c r="NB1356" s="402"/>
      <c r="NC1356" s="402"/>
      <c r="ND1356" s="402"/>
      <c r="NE1356" s="402"/>
      <c r="NF1356" s="402"/>
      <c r="NG1356" s="402"/>
      <c r="NH1356" s="402"/>
      <c r="NI1356" s="402"/>
      <c r="NJ1356" s="402"/>
      <c r="NK1356" s="402"/>
      <c r="NL1356" s="402"/>
      <c r="NM1356" s="402"/>
      <c r="NN1356" s="402"/>
      <c r="NO1356" s="402"/>
      <c r="NP1356" s="402"/>
      <c r="NQ1356" s="402"/>
      <c r="NR1356" s="402"/>
      <c r="NS1356" s="402"/>
      <c r="NT1356" s="402"/>
      <c r="NU1356" s="402"/>
      <c r="NV1356" s="402"/>
      <c r="NW1356" s="402"/>
      <c r="NX1356" s="402"/>
      <c r="NY1356" s="402"/>
      <c r="NZ1356" s="402"/>
      <c r="OA1356" s="402"/>
      <c r="OB1356" s="402"/>
      <c r="OC1356" s="402"/>
      <c r="OD1356" s="402"/>
      <c r="OE1356" s="402"/>
      <c r="OF1356" s="402"/>
      <c r="OG1356" s="402"/>
      <c r="OH1356" s="402"/>
      <c r="OI1356" s="402"/>
      <c r="OJ1356" s="402"/>
      <c r="OK1356" s="402"/>
      <c r="OL1356" s="402"/>
      <c r="OM1356" s="402"/>
      <c r="ON1356" s="402"/>
      <c r="OO1356" s="402"/>
      <c r="OP1356" s="402"/>
      <c r="OQ1356" s="402"/>
      <c r="OR1356" s="402"/>
      <c r="OS1356" s="402"/>
      <c r="OT1356" s="402"/>
      <c r="OU1356" s="402"/>
      <c r="OV1356" s="402"/>
      <c r="OW1356" s="402"/>
      <c r="OX1356" s="402"/>
      <c r="OY1356" s="402"/>
      <c r="OZ1356" s="402"/>
      <c r="PA1356" s="402"/>
      <c r="PB1356" s="402"/>
      <c r="PC1356" s="402"/>
      <c r="PD1356" s="402"/>
      <c r="PE1356" s="402"/>
      <c r="PF1356" s="402"/>
      <c r="PG1356" s="402"/>
      <c r="PH1356" s="402"/>
      <c r="PI1356" s="402"/>
      <c r="PJ1356" s="402"/>
      <c r="PK1356" s="402"/>
      <c r="PL1356" s="402"/>
      <c r="PM1356" s="402"/>
      <c r="PN1356" s="402"/>
      <c r="PO1356" s="402"/>
      <c r="PP1356" s="402"/>
      <c r="PQ1356" s="402"/>
      <c r="PR1356" s="402"/>
      <c r="PS1356" s="402"/>
      <c r="PT1356" s="402"/>
      <c r="PU1356" s="402"/>
      <c r="PV1356" s="402"/>
      <c r="PW1356" s="402"/>
      <c r="PX1356" s="402"/>
      <c r="PY1356" s="402"/>
      <c r="PZ1356" s="402"/>
      <c r="QA1356" s="402"/>
      <c r="QB1356" s="402"/>
      <c r="QC1356" s="402"/>
      <c r="QD1356" s="402"/>
      <c r="QE1356" s="402"/>
      <c r="QF1356" s="402"/>
      <c r="QG1356" s="402"/>
      <c r="QH1356" s="402"/>
      <c r="QI1356" s="402"/>
      <c r="QJ1356" s="402"/>
      <c r="QK1356" s="402"/>
      <c r="QL1356" s="402"/>
      <c r="QM1356" s="402"/>
      <c r="QN1356" s="402"/>
      <c r="QO1356" s="402"/>
      <c r="QP1356" s="402"/>
      <c r="QQ1356" s="402"/>
      <c r="QR1356" s="402"/>
      <c r="QS1356" s="402"/>
      <c r="QT1356" s="402"/>
      <c r="QU1356" s="402"/>
      <c r="QV1356" s="402"/>
      <c r="QW1356" s="402"/>
      <c r="QX1356" s="402"/>
      <c r="QY1356" s="402"/>
      <c r="QZ1356" s="402"/>
      <c r="RA1356" s="402"/>
      <c r="RB1356" s="402"/>
      <c r="RC1356" s="402"/>
      <c r="RD1356" s="402"/>
      <c r="RE1356" s="402"/>
      <c r="RF1356" s="402"/>
      <c r="RG1356" s="402"/>
      <c r="RH1356" s="402"/>
      <c r="RI1356" s="402"/>
      <c r="RJ1356" s="402"/>
      <c r="RK1356" s="402"/>
      <c r="RL1356" s="402"/>
      <c r="RM1356" s="402"/>
      <c r="RN1356" s="402"/>
      <c r="RO1356" s="402"/>
      <c r="RP1356" s="402"/>
      <c r="RQ1356" s="402"/>
      <c r="RR1356" s="402"/>
      <c r="RS1356" s="402"/>
      <c r="RT1356" s="402"/>
      <c r="RU1356" s="402"/>
      <c r="RV1356" s="402"/>
      <c r="RW1356" s="402"/>
      <c r="RX1356" s="402"/>
      <c r="RY1356" s="402"/>
      <c r="RZ1356" s="402"/>
      <c r="SA1356" s="402"/>
      <c r="SB1356" s="402"/>
      <c r="SC1356" s="402"/>
      <c r="SD1356" s="402"/>
      <c r="SE1356" s="402"/>
      <c r="SF1356" s="402"/>
      <c r="SG1356" s="402"/>
      <c r="SH1356" s="402"/>
      <c r="SI1356" s="402"/>
      <c r="SJ1356" s="402"/>
      <c r="SK1356" s="402"/>
      <c r="SL1356" s="402"/>
      <c r="SM1356" s="402"/>
      <c r="SN1356" s="402"/>
      <c r="SO1356" s="402"/>
      <c r="SP1356" s="402"/>
      <c r="SQ1356" s="402"/>
      <c r="SR1356" s="402"/>
      <c r="SS1356" s="402"/>
      <c r="ST1356" s="402"/>
      <c r="SU1356" s="402"/>
      <c r="SV1356" s="402"/>
      <c r="SW1356" s="402"/>
      <c r="SX1356" s="402"/>
      <c r="SY1356" s="402"/>
      <c r="SZ1356" s="402"/>
      <c r="TA1356" s="402"/>
      <c r="TB1356" s="402"/>
      <c r="TC1356" s="402"/>
      <c r="TD1356" s="402"/>
      <c r="TE1356" s="402"/>
      <c r="TF1356" s="402"/>
      <c r="TG1356" s="402"/>
      <c r="TH1356" s="402"/>
      <c r="TI1356" s="402"/>
      <c r="TJ1356" s="402"/>
      <c r="TK1356" s="402"/>
      <c r="TL1356" s="402"/>
      <c r="TM1356" s="402"/>
      <c r="TN1356" s="402"/>
      <c r="TO1356" s="402"/>
      <c r="TP1356" s="402"/>
      <c r="TQ1356" s="402"/>
      <c r="TR1356" s="402"/>
      <c r="TS1356" s="402"/>
      <c r="TT1356" s="402"/>
      <c r="TU1356" s="402"/>
      <c r="TV1356" s="402"/>
      <c r="TW1356" s="402"/>
      <c r="TX1356" s="402"/>
      <c r="TY1356" s="402"/>
      <c r="TZ1356" s="402"/>
      <c r="UA1356" s="402"/>
      <c r="UB1356" s="402"/>
      <c r="UC1356" s="402"/>
      <c r="UD1356" s="402"/>
      <c r="UE1356" s="402"/>
      <c r="UF1356" s="402"/>
      <c r="UG1356" s="402"/>
      <c r="UH1356" s="402"/>
      <c r="UI1356" s="402"/>
      <c r="UJ1356" s="402"/>
      <c r="UK1356" s="402"/>
      <c r="UL1356" s="402"/>
      <c r="UM1356" s="402"/>
      <c r="UN1356" s="402"/>
      <c r="UO1356" s="402"/>
      <c r="UP1356" s="402"/>
      <c r="UQ1356" s="402"/>
      <c r="UR1356" s="402"/>
      <c r="US1356" s="402"/>
      <c r="UT1356" s="402"/>
      <c r="UU1356" s="402"/>
      <c r="UV1356" s="402"/>
      <c r="UW1356" s="402"/>
      <c r="UX1356" s="402"/>
      <c r="UY1356" s="402"/>
      <c r="UZ1356" s="402"/>
      <c r="VA1356" s="402"/>
      <c r="VB1356" s="402"/>
      <c r="VC1356" s="402"/>
      <c r="VD1356" s="402"/>
      <c r="VE1356" s="402"/>
      <c r="VF1356" s="402"/>
      <c r="VG1356" s="402"/>
      <c r="VH1356" s="402"/>
      <c r="VI1356" s="402"/>
      <c r="VJ1356" s="402"/>
      <c r="VK1356" s="402"/>
      <c r="VL1356" s="402"/>
      <c r="VM1356" s="402"/>
      <c r="VN1356" s="402"/>
      <c r="VO1356" s="402"/>
      <c r="VP1356" s="402"/>
      <c r="VQ1356" s="402"/>
      <c r="VR1356" s="402"/>
      <c r="VS1356" s="402"/>
      <c r="VT1356" s="402"/>
      <c r="VU1356" s="402"/>
      <c r="VV1356" s="402"/>
      <c r="VW1356" s="402"/>
      <c r="VX1356" s="402"/>
      <c r="VY1356" s="402"/>
      <c r="VZ1356" s="402"/>
      <c r="WA1356" s="402"/>
      <c r="WB1356" s="402"/>
      <c r="WC1356" s="402"/>
      <c r="WD1356" s="402"/>
      <c r="WE1356" s="402"/>
      <c r="WF1356" s="402"/>
      <c r="WG1356" s="402"/>
      <c r="WH1356" s="402"/>
      <c r="WI1356" s="402"/>
      <c r="WJ1356" s="402"/>
      <c r="WK1356" s="402"/>
      <c r="WL1356" s="402"/>
      <c r="WM1356" s="402"/>
      <c r="WN1356" s="402"/>
      <c r="WO1356" s="402"/>
      <c r="WP1356" s="402"/>
      <c r="WQ1356" s="402"/>
      <c r="WR1356" s="402"/>
      <c r="WS1356" s="402"/>
      <c r="WT1356" s="402"/>
      <c r="WU1356" s="402"/>
      <c r="WV1356" s="402"/>
      <c r="WW1356" s="402"/>
      <c r="WX1356" s="402"/>
      <c r="WY1356" s="402"/>
      <c r="WZ1356" s="402"/>
      <c r="XA1356" s="402"/>
      <c r="XB1356" s="402"/>
      <c r="XC1356" s="402"/>
      <c r="XD1356" s="402"/>
      <c r="XE1356" s="402"/>
      <c r="XF1356" s="402"/>
      <c r="XG1356" s="402"/>
      <c r="XH1356" s="402"/>
      <c r="XI1356" s="402"/>
      <c r="XJ1356" s="402"/>
      <c r="XK1356" s="402"/>
      <c r="XL1356" s="402"/>
      <c r="XM1356" s="402"/>
      <c r="XN1356" s="402"/>
      <c r="XO1356" s="402"/>
      <c r="XP1356" s="402"/>
      <c r="XQ1356" s="402"/>
      <c r="XR1356" s="402"/>
      <c r="XS1356" s="402"/>
      <c r="XT1356" s="402"/>
      <c r="XU1356" s="402"/>
      <c r="XV1356" s="402"/>
      <c r="XW1356" s="402"/>
      <c r="XX1356" s="402"/>
      <c r="XY1356" s="402"/>
      <c r="XZ1356" s="402"/>
      <c r="YA1356" s="402"/>
      <c r="YB1356" s="402"/>
      <c r="YC1356" s="402"/>
      <c r="YD1356" s="402"/>
      <c r="YE1356" s="402"/>
      <c r="YF1356" s="402"/>
      <c r="YG1356" s="402"/>
      <c r="YH1356" s="402"/>
      <c r="YI1356" s="402"/>
      <c r="YJ1356" s="402"/>
      <c r="YK1356" s="402"/>
      <c r="YL1356" s="402"/>
      <c r="YM1356" s="402"/>
      <c r="YN1356" s="402"/>
      <c r="YO1356" s="402"/>
      <c r="YP1356" s="402"/>
      <c r="YQ1356" s="402"/>
      <c r="YR1356" s="402"/>
      <c r="YS1356" s="402"/>
      <c r="YT1356" s="402"/>
      <c r="YU1356" s="402"/>
      <c r="YV1356" s="402"/>
      <c r="YW1356" s="402"/>
      <c r="YX1356" s="402"/>
      <c r="YY1356" s="402"/>
      <c r="YZ1356" s="402"/>
      <c r="ZA1356" s="402"/>
      <c r="ZB1356" s="402"/>
      <c r="ZC1356" s="402"/>
      <c r="ZD1356" s="402"/>
      <c r="ZE1356" s="402"/>
      <c r="ZF1356" s="402"/>
      <c r="ZG1356" s="402"/>
      <c r="ZH1356" s="402"/>
      <c r="ZI1356" s="402"/>
      <c r="ZJ1356" s="402"/>
      <c r="ZK1356" s="402"/>
      <c r="ZL1356" s="402"/>
      <c r="ZM1356" s="402"/>
      <c r="ZN1356" s="402"/>
      <c r="ZO1356" s="402"/>
      <c r="ZP1356" s="402"/>
      <c r="ZQ1356" s="402"/>
      <c r="ZR1356" s="402"/>
      <c r="ZS1356" s="402"/>
      <c r="ZT1356" s="402"/>
      <c r="ZU1356" s="402"/>
      <c r="ZV1356" s="402"/>
      <c r="ZW1356" s="402"/>
      <c r="ZX1356" s="402"/>
      <c r="ZY1356" s="402"/>
      <c r="ZZ1356" s="402"/>
      <c r="AAA1356" s="402"/>
      <c r="AAB1356" s="402"/>
      <c r="AAC1356" s="402"/>
      <c r="AAD1356" s="402"/>
      <c r="AAE1356" s="402"/>
      <c r="AAF1356" s="402"/>
      <c r="AAG1356" s="402"/>
      <c r="AAH1356" s="402"/>
      <c r="AAI1356" s="402"/>
      <c r="AAJ1356" s="402"/>
      <c r="AAK1356" s="402"/>
      <c r="AAL1356" s="402"/>
      <c r="AAM1356" s="402"/>
      <c r="AAN1356" s="402"/>
      <c r="AAO1356" s="402"/>
      <c r="AAP1356" s="402"/>
      <c r="AAQ1356" s="402"/>
      <c r="AAR1356" s="402"/>
      <c r="AAS1356" s="402"/>
      <c r="AAT1356" s="402"/>
      <c r="AAU1356" s="402"/>
      <c r="AAV1356" s="402"/>
      <c r="AAW1356" s="402"/>
      <c r="AAX1356" s="402"/>
      <c r="AAY1356" s="402"/>
      <c r="AAZ1356" s="402"/>
      <c r="ABA1356" s="402"/>
      <c r="ABB1356" s="402"/>
      <c r="ABC1356" s="402"/>
      <c r="ABD1356" s="402"/>
      <c r="ABE1356" s="402"/>
      <c r="ABF1356" s="402"/>
      <c r="ABG1356" s="402"/>
      <c r="ABH1356" s="402"/>
      <c r="ABI1356" s="402"/>
      <c r="ABJ1356" s="402"/>
      <c r="ABK1356" s="402"/>
      <c r="ABL1356" s="402"/>
      <c r="ABM1356" s="402"/>
      <c r="ABN1356" s="402"/>
      <c r="ABO1356" s="402"/>
      <c r="ABP1356" s="402"/>
      <c r="ABQ1356" s="402"/>
      <c r="ABR1356" s="402"/>
      <c r="ABS1356" s="402"/>
      <c r="ABT1356" s="402"/>
      <c r="ABU1356" s="402"/>
      <c r="ABV1356" s="402"/>
      <c r="ABW1356" s="402"/>
      <c r="ABX1356" s="402"/>
      <c r="ABY1356" s="402"/>
      <c r="ABZ1356" s="402"/>
      <c r="ACA1356" s="402"/>
      <c r="ACB1356" s="402"/>
      <c r="ACC1356" s="402"/>
      <c r="ACD1356" s="402"/>
      <c r="ACE1356" s="402"/>
      <c r="ACF1356" s="402"/>
      <c r="ACG1356" s="402"/>
      <c r="ACH1356" s="402"/>
      <c r="ACI1356" s="402"/>
      <c r="ACJ1356" s="402"/>
      <c r="ACK1356" s="402"/>
      <c r="ACL1356" s="402"/>
      <c r="ACM1356" s="402"/>
      <c r="ACN1356" s="402"/>
      <c r="ACO1356" s="402"/>
      <c r="ACP1356" s="402"/>
      <c r="ACQ1356" s="402"/>
      <c r="ACR1356" s="402"/>
      <c r="ACS1356" s="402"/>
      <c r="ACT1356" s="402"/>
      <c r="ACU1356" s="402"/>
      <c r="ACV1356" s="402"/>
      <c r="ACW1356" s="402"/>
      <c r="ACX1356" s="402"/>
      <c r="ACY1356" s="402"/>
      <c r="ACZ1356" s="402"/>
      <c r="ADA1356" s="402"/>
      <c r="ADB1356" s="402"/>
      <c r="ADC1356" s="402"/>
      <c r="ADD1356" s="402"/>
      <c r="ADE1356" s="402"/>
      <c r="ADF1356" s="402"/>
      <c r="ADG1356" s="402"/>
      <c r="ADH1356" s="402"/>
      <c r="ADI1356" s="402"/>
      <c r="ADJ1356" s="402"/>
      <c r="ADK1356" s="402"/>
      <c r="ADL1356" s="402"/>
      <c r="ADM1356" s="402"/>
      <c r="ADN1356" s="402"/>
      <c r="ADO1356" s="402"/>
      <c r="ADP1356" s="402"/>
      <c r="ADQ1356" s="402"/>
      <c r="ADR1356" s="402"/>
      <c r="ADS1356" s="402"/>
      <c r="ADT1356" s="402"/>
      <c r="ADU1356" s="402"/>
      <c r="ADV1356" s="402"/>
      <c r="ADW1356" s="402"/>
      <c r="ADX1356" s="402"/>
      <c r="ADY1356" s="402"/>
      <c r="ADZ1356" s="402"/>
      <c r="AEA1356" s="402"/>
      <c r="AEB1356" s="402"/>
      <c r="AEC1356" s="402"/>
      <c r="AED1356" s="402"/>
      <c r="AEE1356" s="402"/>
      <c r="AEF1356" s="402"/>
      <c r="AEG1356" s="402"/>
      <c r="AEH1356" s="402"/>
      <c r="AEI1356" s="402"/>
      <c r="AEJ1356" s="402"/>
      <c r="AEK1356" s="402"/>
      <c r="AEL1356" s="402"/>
      <c r="AEM1356" s="402"/>
      <c r="AEN1356" s="402"/>
      <c r="AEO1356" s="402"/>
      <c r="AEP1356" s="402"/>
      <c r="AEQ1356" s="402"/>
      <c r="AER1356" s="402"/>
      <c r="AES1356" s="402"/>
      <c r="AET1356" s="402"/>
      <c r="AEU1356" s="402"/>
      <c r="AEV1356" s="402"/>
      <c r="AEW1356" s="402"/>
      <c r="AEX1356" s="402"/>
      <c r="AEY1356" s="402"/>
      <c r="AEZ1356" s="402"/>
      <c r="AFA1356" s="402"/>
      <c r="AFB1356" s="402"/>
      <c r="AFC1356" s="402"/>
      <c r="AFD1356" s="402"/>
      <c r="AFE1356" s="402"/>
      <c r="AFF1356" s="402"/>
      <c r="AFG1356" s="402"/>
      <c r="AFH1356" s="402"/>
      <c r="AFI1356" s="402"/>
      <c r="AFJ1356" s="402"/>
      <c r="AFK1356" s="402"/>
      <c r="AFL1356" s="402"/>
      <c r="AFM1356" s="402"/>
      <c r="AFN1356" s="402"/>
      <c r="AFO1356" s="402"/>
      <c r="AFP1356" s="402"/>
      <c r="AFQ1356" s="402"/>
      <c r="AFR1356" s="402"/>
      <c r="AFS1356" s="402"/>
      <c r="AFT1356" s="402"/>
      <c r="AFU1356" s="402"/>
      <c r="AFV1356" s="402"/>
      <c r="AFW1356" s="402"/>
      <c r="AFX1356" s="402"/>
      <c r="AFY1356" s="402"/>
      <c r="AFZ1356" s="402"/>
      <c r="AGA1356" s="402"/>
      <c r="AGB1356" s="402"/>
      <c r="AGC1356" s="402"/>
      <c r="AGD1356" s="402"/>
      <c r="AGE1356" s="402"/>
      <c r="AGF1356" s="402"/>
      <c r="AGG1356" s="402"/>
      <c r="AGH1356" s="402"/>
      <c r="AGI1356" s="402"/>
      <c r="AGJ1356" s="402"/>
      <c r="AGK1356" s="402"/>
      <c r="AGL1356" s="402"/>
      <c r="AGM1356" s="402"/>
      <c r="AGN1356" s="402"/>
      <c r="AGO1356" s="402"/>
      <c r="AGP1356" s="402"/>
      <c r="AGQ1356" s="402"/>
      <c r="AGR1356" s="402"/>
      <c r="AGS1356" s="402"/>
      <c r="AGT1356" s="402"/>
      <c r="AGU1356" s="402"/>
      <c r="AGV1356" s="402"/>
      <c r="AGW1356" s="402"/>
      <c r="AGX1356" s="402"/>
      <c r="AGY1356" s="402"/>
      <c r="AGZ1356" s="402"/>
      <c r="AHA1356" s="402"/>
      <c r="AHB1356" s="402"/>
      <c r="AHC1356" s="402"/>
      <c r="AHD1356" s="402"/>
      <c r="AHE1356" s="402"/>
      <c r="AHF1356" s="402"/>
      <c r="AHG1356" s="402"/>
      <c r="AHH1356" s="402"/>
      <c r="AHI1356" s="402"/>
      <c r="AHJ1356" s="402"/>
      <c r="AHK1356" s="402"/>
      <c r="AHL1356" s="402"/>
      <c r="AHM1356" s="402"/>
      <c r="AHN1356" s="402"/>
      <c r="AHO1356" s="402"/>
      <c r="AHP1356" s="402"/>
      <c r="AHQ1356" s="402"/>
      <c r="AHR1356" s="402"/>
      <c r="AHS1356" s="402"/>
      <c r="AHT1356" s="402"/>
      <c r="AHU1356" s="402"/>
      <c r="AHV1356" s="402"/>
      <c r="AHW1356" s="402"/>
      <c r="AHX1356" s="402"/>
      <c r="AHY1356" s="402"/>
      <c r="AHZ1356" s="402"/>
      <c r="AIA1356" s="402"/>
      <c r="AIB1356" s="402"/>
      <c r="AIC1356" s="402"/>
      <c r="AID1356" s="402"/>
      <c r="AIE1356" s="402"/>
      <c r="AIF1356" s="402"/>
      <c r="AIG1356" s="402"/>
      <c r="AIH1356" s="402"/>
      <c r="AII1356" s="402"/>
      <c r="AIJ1356" s="402"/>
      <c r="AIK1356" s="402"/>
      <c r="AIL1356" s="402"/>
      <c r="AIM1356" s="402"/>
      <c r="AIN1356" s="402"/>
      <c r="AIO1356" s="402"/>
      <c r="AIP1356" s="402"/>
      <c r="AIQ1356" s="402"/>
      <c r="AIR1356" s="402"/>
      <c r="AIS1356" s="402"/>
      <c r="AIT1356" s="402"/>
      <c r="AIU1356" s="402"/>
      <c r="AIV1356" s="402"/>
      <c r="AIW1356" s="402"/>
      <c r="AIX1356" s="402"/>
      <c r="AIY1356" s="402"/>
      <c r="AIZ1356" s="402"/>
      <c r="AJA1356" s="402"/>
      <c r="AJB1356" s="402"/>
      <c r="AJC1356" s="402"/>
      <c r="AJD1356" s="402"/>
      <c r="AJE1356" s="402"/>
      <c r="AJF1356" s="402"/>
      <c r="AJG1356" s="402"/>
      <c r="AJH1356" s="402"/>
      <c r="AJI1356" s="402"/>
      <c r="AJJ1356" s="402"/>
      <c r="AJK1356" s="402"/>
      <c r="AJL1356" s="402"/>
      <c r="AJM1356" s="402"/>
      <c r="AJN1356" s="402"/>
      <c r="AJO1356" s="402"/>
      <c r="AJP1356" s="402"/>
      <c r="AJQ1356" s="402"/>
      <c r="AJR1356" s="402"/>
      <c r="AJS1356" s="402"/>
      <c r="AJT1356" s="402"/>
      <c r="AJU1356" s="402"/>
      <c r="AJV1356" s="402"/>
      <c r="AJW1356" s="402"/>
      <c r="AJX1356" s="402"/>
      <c r="AJY1356" s="402"/>
      <c r="AJZ1356" s="402"/>
      <c r="AKA1356" s="402"/>
      <c r="AKB1356" s="402"/>
      <c r="AKC1356" s="402"/>
      <c r="AKD1356" s="402"/>
      <c r="AKE1356" s="402"/>
      <c r="AKF1356" s="402"/>
      <c r="AKG1356" s="402"/>
      <c r="AKH1356" s="402"/>
      <c r="AKI1356" s="402"/>
      <c r="AKJ1356" s="402"/>
      <c r="AKK1356" s="402"/>
      <c r="AKL1356" s="402"/>
      <c r="AKM1356" s="402"/>
      <c r="AKN1356" s="402"/>
      <c r="AKO1356" s="402"/>
      <c r="AKP1356" s="402"/>
      <c r="AKQ1356" s="402"/>
      <c r="AKR1356" s="402"/>
      <c r="AKS1356" s="402"/>
      <c r="AKT1356" s="402"/>
      <c r="AKU1356" s="402"/>
      <c r="AKV1356" s="402"/>
      <c r="AKW1356" s="402"/>
      <c r="AKX1356" s="402"/>
      <c r="AKY1356" s="402"/>
      <c r="AKZ1356" s="402"/>
      <c r="ALA1356" s="402"/>
      <c r="ALB1356" s="402"/>
      <c r="ALC1356" s="402"/>
      <c r="ALD1356" s="402"/>
      <c r="ALE1356" s="402"/>
      <c r="ALF1356" s="402"/>
      <c r="ALG1356" s="402"/>
      <c r="ALH1356" s="402"/>
      <c r="ALI1356" s="402"/>
      <c r="ALJ1356" s="402"/>
      <c r="ALK1356" s="402"/>
      <c r="ALL1356" s="402"/>
      <c r="ALM1356" s="402"/>
      <c r="ALN1356" s="402"/>
      <c r="ALO1356" s="402"/>
      <c r="ALP1356" s="402"/>
      <c r="ALQ1356" s="402"/>
      <c r="ALR1356" s="402"/>
      <c r="ALS1356" s="402"/>
      <c r="ALT1356" s="402"/>
      <c r="ALU1356" s="402"/>
      <c r="ALV1356" s="402"/>
      <c r="ALW1356" s="402"/>
      <c r="ALX1356" s="402"/>
      <c r="ALY1356" s="402"/>
      <c r="ALZ1356" s="402"/>
      <c r="AMA1356" s="402"/>
      <c r="AMB1356" s="402"/>
      <c r="AMC1356" s="402"/>
      <c r="AMD1356" s="402"/>
      <c r="AME1356" s="402"/>
      <c r="AMF1356" s="402"/>
      <c r="AMG1356" s="402"/>
      <c r="AMH1356" s="402"/>
      <c r="AMI1356" s="402"/>
      <c r="AMJ1356" s="402"/>
      <c r="AMK1356" s="402"/>
      <c r="AML1356" s="402"/>
      <c r="AMM1356" s="402"/>
      <c r="AMN1356" s="402"/>
      <c r="AMO1356" s="402"/>
      <c r="AMP1356" s="402"/>
      <c r="AMQ1356" s="402"/>
      <c r="AMR1356" s="402"/>
      <c r="AMS1356" s="402"/>
      <c r="AMT1356" s="402"/>
      <c r="AMU1356" s="402"/>
      <c r="AMV1356" s="402"/>
      <c r="AMW1356" s="402"/>
      <c r="AMX1356" s="402"/>
      <c r="AMY1356" s="402"/>
      <c r="AMZ1356" s="402"/>
      <c r="ANA1356" s="402"/>
      <c r="ANB1356" s="402"/>
      <c r="ANC1356" s="402"/>
      <c r="AND1356" s="402"/>
      <c r="ANE1356" s="402"/>
      <c r="ANF1356" s="402"/>
      <c r="ANG1356" s="402"/>
      <c r="ANH1356" s="402"/>
      <c r="ANI1356" s="402"/>
      <c r="ANJ1356" s="402"/>
      <c r="ANK1356" s="402"/>
      <c r="ANL1356" s="402"/>
      <c r="ANM1356" s="402"/>
      <c r="ANN1356" s="402"/>
      <c r="ANO1356" s="402"/>
      <c r="ANP1356" s="402"/>
      <c r="ANQ1356" s="402"/>
      <c r="ANR1356" s="402"/>
      <c r="ANS1356" s="402"/>
      <c r="ANT1356" s="402"/>
      <c r="ANU1356" s="402"/>
      <c r="ANV1356" s="402"/>
      <c r="ANW1356" s="402"/>
      <c r="ANX1356" s="402"/>
      <c r="ANY1356" s="402"/>
      <c r="ANZ1356" s="402"/>
      <c r="AOA1356" s="402"/>
      <c r="AOB1356" s="402"/>
      <c r="AOC1356" s="402"/>
      <c r="AOD1356" s="402"/>
      <c r="AOE1356" s="402"/>
      <c r="AOF1356" s="402"/>
      <c r="AOG1356" s="402"/>
      <c r="AOH1356" s="402"/>
      <c r="AOI1356" s="402"/>
      <c r="AOJ1356" s="402"/>
      <c r="AOK1356" s="402"/>
      <c r="AOL1356" s="402"/>
      <c r="AOM1356" s="402"/>
      <c r="AON1356" s="402"/>
      <c r="AOO1356" s="402"/>
      <c r="AOP1356" s="402"/>
      <c r="AOQ1356" s="402"/>
      <c r="AOR1356" s="402"/>
      <c r="AOS1356" s="402"/>
      <c r="AOT1356" s="402"/>
      <c r="AOU1356" s="402"/>
      <c r="AOV1356" s="402"/>
      <c r="AOW1356" s="402"/>
      <c r="AOX1356" s="402"/>
      <c r="AOY1356" s="402"/>
      <c r="AOZ1356" s="402"/>
      <c r="APA1356" s="402"/>
      <c r="APB1356" s="402"/>
      <c r="APC1356" s="402"/>
      <c r="APD1356" s="402"/>
      <c r="APE1356" s="402"/>
      <c r="APF1356" s="402"/>
      <c r="APG1356" s="402"/>
      <c r="APH1356" s="402"/>
      <c r="API1356" s="402"/>
      <c r="APJ1356" s="402"/>
      <c r="APK1356" s="402"/>
      <c r="APL1356" s="402"/>
      <c r="APM1356" s="402"/>
      <c r="APN1356" s="402"/>
      <c r="APO1356" s="402"/>
      <c r="APP1356" s="402"/>
      <c r="APQ1356" s="402"/>
      <c r="APR1356" s="402"/>
      <c r="APS1356" s="402"/>
      <c r="APT1356" s="402"/>
      <c r="APU1356" s="402"/>
      <c r="APV1356" s="402"/>
      <c r="APW1356" s="402"/>
      <c r="APX1356" s="402"/>
      <c r="APY1356" s="402"/>
      <c r="APZ1356" s="402"/>
      <c r="AQA1356" s="402"/>
      <c r="AQB1356" s="402"/>
      <c r="AQC1356" s="402"/>
      <c r="AQD1356" s="402"/>
      <c r="AQE1356" s="402"/>
      <c r="AQF1356" s="402"/>
      <c r="AQG1356" s="402"/>
      <c r="AQH1356" s="402"/>
      <c r="AQI1356" s="402"/>
      <c r="AQJ1356" s="402"/>
      <c r="AQK1356" s="402"/>
      <c r="AQL1356" s="402"/>
      <c r="AQM1356" s="402"/>
      <c r="AQN1356" s="402"/>
      <c r="AQO1356" s="402"/>
      <c r="AQP1356" s="402"/>
      <c r="AQQ1356" s="402"/>
      <c r="AQR1356" s="402"/>
      <c r="AQS1356" s="402"/>
      <c r="AQT1356" s="402"/>
      <c r="AQU1356" s="402"/>
      <c r="AQV1356" s="402"/>
      <c r="AQW1356" s="402"/>
      <c r="AQX1356" s="402"/>
      <c r="AQY1356" s="402"/>
      <c r="AQZ1356" s="402"/>
      <c r="ARA1356" s="402"/>
      <c r="ARB1356" s="402"/>
      <c r="ARC1356" s="402"/>
      <c r="ARD1356" s="402"/>
      <c r="ARE1356" s="402"/>
      <c r="ARF1356" s="402"/>
      <c r="ARG1356" s="402"/>
      <c r="ARH1356" s="402"/>
      <c r="ARI1356" s="402"/>
      <c r="ARJ1356" s="402"/>
      <c r="ARK1356" s="402"/>
      <c r="ARL1356" s="402"/>
      <c r="ARM1356" s="402"/>
      <c r="ARN1356" s="402"/>
      <c r="ARO1356" s="402"/>
      <c r="ARP1356" s="402"/>
      <c r="ARQ1356" s="402"/>
      <c r="ARR1356" s="402"/>
      <c r="ARS1356" s="402"/>
      <c r="ART1356" s="402"/>
      <c r="ARU1356" s="402"/>
      <c r="ARV1356" s="402"/>
      <c r="ARW1356" s="402"/>
      <c r="ARX1356" s="402"/>
      <c r="ARY1356" s="402"/>
      <c r="ARZ1356" s="402"/>
      <c r="ASA1356" s="402"/>
      <c r="ASB1356" s="402"/>
      <c r="ASC1356" s="402"/>
      <c r="ASD1356" s="402"/>
      <c r="ASE1356" s="402"/>
      <c r="ASF1356" s="402"/>
      <c r="ASG1356" s="402"/>
      <c r="ASH1356" s="402"/>
      <c r="ASI1356" s="402"/>
      <c r="ASJ1356" s="402"/>
      <c r="ASK1356" s="402"/>
      <c r="ASL1356" s="402"/>
      <c r="ASM1356" s="402"/>
      <c r="ASN1356" s="402"/>
      <c r="ASO1356" s="402"/>
      <c r="ASP1356" s="402"/>
      <c r="ASQ1356" s="402"/>
      <c r="ASR1356" s="402"/>
      <c r="ASS1356" s="402"/>
      <c r="AST1356" s="402"/>
      <c r="ASU1356" s="402"/>
      <c r="ASV1356" s="402"/>
      <c r="ASW1356" s="402"/>
      <c r="ASX1356" s="402"/>
      <c r="ASY1356" s="402"/>
      <c r="ASZ1356" s="402"/>
      <c r="ATA1356" s="402"/>
      <c r="ATB1356" s="402"/>
      <c r="ATC1356" s="402"/>
      <c r="ATD1356" s="402"/>
      <c r="ATE1356" s="402"/>
      <c r="ATF1356" s="402"/>
      <c r="ATG1356" s="402"/>
      <c r="ATH1356" s="402"/>
      <c r="ATI1356" s="402"/>
      <c r="ATJ1356" s="402"/>
      <c r="ATK1356" s="402"/>
      <c r="ATL1356" s="402"/>
      <c r="ATM1356" s="402"/>
      <c r="ATN1356" s="402"/>
      <c r="ATO1356" s="402"/>
      <c r="ATP1356" s="402"/>
      <c r="ATQ1356" s="402"/>
      <c r="ATR1356" s="402"/>
      <c r="ATS1356" s="402"/>
      <c r="ATT1356" s="402"/>
      <c r="ATU1356" s="402"/>
      <c r="ATV1356" s="402"/>
      <c r="ATW1356" s="402"/>
      <c r="ATX1356" s="402"/>
      <c r="ATY1356" s="402"/>
      <c r="ATZ1356" s="402"/>
      <c r="AUA1356" s="402"/>
      <c r="AUB1356" s="402"/>
      <c r="AUC1356" s="402"/>
      <c r="AUD1356" s="402"/>
      <c r="AUE1356" s="402"/>
      <c r="AUF1356" s="402"/>
      <c r="AUG1356" s="402"/>
      <c r="AUH1356" s="402"/>
      <c r="AUI1356" s="402"/>
      <c r="AUJ1356" s="402"/>
      <c r="AUK1356" s="402"/>
      <c r="AUL1356" s="402"/>
      <c r="AUM1356" s="402"/>
      <c r="AUN1356" s="402"/>
      <c r="AUO1356" s="402"/>
      <c r="AUP1356" s="402"/>
      <c r="AUQ1356" s="402"/>
      <c r="AUR1356" s="402"/>
      <c r="AUS1356" s="402"/>
      <c r="AUT1356" s="402"/>
      <c r="AUU1356" s="402"/>
      <c r="AUV1356" s="402"/>
      <c r="AUW1356" s="402"/>
      <c r="AUX1356" s="402"/>
      <c r="AUY1356" s="402"/>
      <c r="AUZ1356" s="402"/>
      <c r="AVA1356" s="402"/>
      <c r="AVB1356" s="402"/>
      <c r="AVC1356" s="402"/>
      <c r="AVD1356" s="402"/>
      <c r="AVE1356" s="402"/>
      <c r="AVF1356" s="402"/>
      <c r="AVG1356" s="402"/>
      <c r="AVH1356" s="402"/>
      <c r="AVI1356" s="402"/>
      <c r="AVJ1356" s="402"/>
      <c r="AVK1356" s="402"/>
    </row>
    <row r="1357" spans="1:1259" s="442" customFormat="1" ht="15" customHeight="1">
      <c r="A1357" s="403"/>
      <c r="B1357" s="403"/>
      <c r="C1357" s="403"/>
      <c r="D1357" s="443" t="s">
        <v>2480</v>
      </c>
      <c r="E1357" s="432"/>
      <c r="F1357" s="432"/>
      <c r="G1357" s="432">
        <v>2022</v>
      </c>
      <c r="H1357" s="432"/>
      <c r="I1357" s="427" t="s">
        <v>1498</v>
      </c>
      <c r="J1357" s="433"/>
      <c r="K1357" s="434" t="s">
        <v>5010</v>
      </c>
      <c r="L1357" s="432" t="s">
        <v>2518</v>
      </c>
      <c r="M1357" s="435">
        <v>44671</v>
      </c>
      <c r="N1357" s="435">
        <v>44909</v>
      </c>
      <c r="O1357" s="435"/>
      <c r="P1357" s="433"/>
      <c r="Q1357" s="433"/>
      <c r="R1357" s="433"/>
      <c r="S1357" s="432" t="s">
        <v>1940</v>
      </c>
      <c r="T1357" s="432">
        <v>60</v>
      </c>
      <c r="U1357" s="432"/>
      <c r="V1357" s="432" t="s">
        <v>973</v>
      </c>
      <c r="W1357" s="432">
        <v>400</v>
      </c>
      <c r="X1357" s="436">
        <v>2496</v>
      </c>
      <c r="Y1357" s="422">
        <f t="shared" si="166"/>
        <v>998400</v>
      </c>
      <c r="Z1357" s="437">
        <v>0.6</v>
      </c>
      <c r="AA1357" s="423">
        <f t="shared" si="167"/>
        <v>599040</v>
      </c>
      <c r="AB1357" s="411"/>
      <c r="AC1357" s="412">
        <f t="shared" si="168"/>
        <v>0</v>
      </c>
      <c r="AD1357" s="439"/>
      <c r="AE1357" s="438">
        <v>45676.800000000003</v>
      </c>
      <c r="AF1357" s="424">
        <f t="shared" si="169"/>
        <v>644716.80000000005</v>
      </c>
      <c r="AG1357" s="432" t="s">
        <v>47</v>
      </c>
      <c r="AH1357" s="432"/>
      <c r="AI1357" s="434">
        <v>60</v>
      </c>
      <c r="AJ1357" s="432" t="s">
        <v>1584</v>
      </c>
      <c r="AK1357" s="440" t="s">
        <v>50</v>
      </c>
      <c r="AL1357" s="432">
        <v>95826</v>
      </c>
      <c r="AM1357" s="432" t="s">
        <v>52</v>
      </c>
      <c r="AN1357" s="432"/>
      <c r="AO1357" s="432"/>
      <c r="AP1357" s="441"/>
      <c r="AQ1357" s="441" t="s">
        <v>37</v>
      </c>
      <c r="AR1357" s="441"/>
      <c r="AS1357" s="426"/>
      <c r="AT1357" s="426"/>
      <c r="AU1357" s="426"/>
      <c r="AV1357" s="437">
        <f t="shared" si="170"/>
        <v>0.48000000000000004</v>
      </c>
      <c r="AW1357" s="402"/>
      <c r="AX1357" s="402"/>
      <c r="AY1357" s="402"/>
      <c r="AZ1357" s="402"/>
      <c r="BA1357" s="402"/>
      <c r="BB1357" s="402"/>
      <c r="BC1357" s="402"/>
      <c r="BD1357" s="402"/>
      <c r="BE1357" s="402"/>
      <c r="BF1357" s="402"/>
      <c r="BG1357" s="402"/>
      <c r="BH1357" s="402"/>
      <c r="BI1357" s="402"/>
      <c r="BJ1357" s="402"/>
      <c r="BK1357" s="402"/>
      <c r="BL1357" s="402"/>
      <c r="BM1357" s="402"/>
      <c r="BN1357" s="402"/>
      <c r="BO1357" s="402"/>
      <c r="BP1357" s="402"/>
      <c r="BQ1357" s="402"/>
      <c r="BR1357" s="402"/>
      <c r="BS1357" s="402"/>
      <c r="BT1357" s="402"/>
      <c r="BU1357" s="402"/>
      <c r="BV1357" s="402"/>
      <c r="BW1357" s="402"/>
      <c r="BX1357" s="402"/>
      <c r="BY1357" s="402"/>
      <c r="BZ1357" s="402"/>
      <c r="CA1357" s="402"/>
      <c r="CB1357" s="402"/>
      <c r="CC1357" s="402"/>
      <c r="CD1357" s="402"/>
      <c r="CE1357" s="402"/>
      <c r="CF1357" s="402"/>
      <c r="CG1357" s="402"/>
      <c r="CH1357" s="402"/>
      <c r="CI1357" s="402"/>
      <c r="CJ1357" s="402"/>
      <c r="CK1357" s="402"/>
      <c r="CL1357" s="402"/>
      <c r="CM1357" s="402"/>
      <c r="CN1357" s="402"/>
      <c r="CO1357" s="402"/>
      <c r="CP1357" s="402"/>
      <c r="CQ1357" s="402"/>
      <c r="CR1357" s="402"/>
      <c r="CS1357" s="402"/>
      <c r="CT1357" s="402"/>
      <c r="CU1357" s="402"/>
      <c r="CV1357" s="402"/>
      <c r="CW1357" s="402"/>
      <c r="CX1357" s="402"/>
      <c r="CY1357" s="402"/>
      <c r="CZ1357" s="402"/>
      <c r="DA1357" s="402"/>
      <c r="DB1357" s="402"/>
      <c r="DC1357" s="402"/>
      <c r="DD1357" s="402"/>
      <c r="DE1357" s="402"/>
      <c r="DF1357" s="402"/>
      <c r="DG1357" s="402"/>
      <c r="DH1357" s="402"/>
      <c r="DI1357" s="402"/>
      <c r="DJ1357" s="402"/>
      <c r="DK1357" s="402"/>
      <c r="DL1357" s="402"/>
      <c r="DM1357" s="402"/>
      <c r="DN1357" s="402"/>
      <c r="DO1357" s="402"/>
      <c r="DP1357" s="402"/>
      <c r="DQ1357" s="402"/>
      <c r="DR1357" s="402"/>
      <c r="DS1357" s="402"/>
      <c r="DT1357" s="402"/>
      <c r="DU1357" s="402"/>
      <c r="DV1357" s="402"/>
      <c r="DW1357" s="402"/>
      <c r="DX1357" s="402"/>
      <c r="DY1357" s="402"/>
      <c r="DZ1357" s="402"/>
      <c r="EA1357" s="402"/>
      <c r="EB1357" s="402"/>
      <c r="EC1357" s="402"/>
      <c r="ED1357" s="402"/>
      <c r="EE1357" s="402"/>
      <c r="EF1357" s="402"/>
      <c r="EG1357" s="402"/>
      <c r="EH1357" s="402"/>
      <c r="EI1357" s="402"/>
      <c r="EJ1357" s="402"/>
      <c r="EK1357" s="402"/>
      <c r="EL1357" s="402"/>
      <c r="EM1357" s="402"/>
      <c r="EN1357" s="402"/>
      <c r="EO1357" s="402"/>
      <c r="EP1357" s="402"/>
      <c r="EQ1357" s="402"/>
      <c r="ER1357" s="402"/>
      <c r="ES1357" s="402"/>
      <c r="ET1357" s="402"/>
      <c r="EU1357" s="402"/>
      <c r="EV1357" s="402"/>
      <c r="EW1357" s="402"/>
      <c r="EX1357" s="402"/>
      <c r="EY1357" s="402"/>
      <c r="EZ1357" s="402"/>
      <c r="FA1357" s="402"/>
      <c r="FB1357" s="402"/>
      <c r="FC1357" s="402"/>
      <c r="FD1357" s="402"/>
      <c r="FE1357" s="402"/>
      <c r="FF1357" s="402"/>
      <c r="FG1357" s="402"/>
      <c r="FH1357" s="402"/>
      <c r="FI1357" s="402"/>
      <c r="FJ1357" s="402"/>
      <c r="FK1357" s="402"/>
      <c r="FL1357" s="402"/>
      <c r="FM1357" s="402"/>
      <c r="FN1357" s="402"/>
      <c r="FO1357" s="402"/>
      <c r="FP1357" s="402"/>
      <c r="FQ1357" s="402"/>
      <c r="FR1357" s="402"/>
      <c r="FS1357" s="402"/>
      <c r="FT1357" s="402"/>
      <c r="FU1357" s="402"/>
      <c r="FV1357" s="402"/>
      <c r="FW1357" s="402"/>
      <c r="FX1357" s="402"/>
      <c r="FY1357" s="402"/>
      <c r="FZ1357" s="402"/>
      <c r="GA1357" s="402"/>
      <c r="GB1357" s="402"/>
      <c r="GC1357" s="402"/>
      <c r="GD1357" s="402"/>
      <c r="GE1357" s="402"/>
      <c r="GF1357" s="402"/>
      <c r="GG1357" s="402"/>
      <c r="GH1357" s="402"/>
      <c r="GI1357" s="402"/>
      <c r="GJ1357" s="402"/>
      <c r="GK1357" s="402"/>
      <c r="GL1357" s="402"/>
      <c r="GM1357" s="402"/>
      <c r="GN1357" s="402"/>
      <c r="GO1357" s="402"/>
      <c r="GP1357" s="402"/>
      <c r="GQ1357" s="402"/>
      <c r="GR1357" s="402"/>
      <c r="GS1357" s="402"/>
      <c r="GT1357" s="402"/>
      <c r="GU1357" s="402"/>
      <c r="GV1357" s="402"/>
      <c r="GW1357" s="402"/>
      <c r="GX1357" s="402"/>
      <c r="GY1357" s="402"/>
      <c r="GZ1357" s="402"/>
      <c r="HA1357" s="402"/>
      <c r="HB1357" s="402"/>
      <c r="HC1357" s="402"/>
      <c r="HD1357" s="402"/>
      <c r="HE1357" s="402"/>
      <c r="HF1357" s="402"/>
      <c r="HG1357" s="402"/>
      <c r="HH1357" s="402"/>
      <c r="HI1357" s="402"/>
      <c r="HJ1357" s="402"/>
      <c r="HK1357" s="402"/>
      <c r="HL1357" s="402"/>
      <c r="HM1357" s="402"/>
      <c r="HN1357" s="402"/>
      <c r="HO1357" s="402"/>
      <c r="HP1357" s="402"/>
      <c r="HQ1357" s="402"/>
      <c r="HR1357" s="402"/>
      <c r="HS1357" s="402"/>
      <c r="HT1357" s="402"/>
      <c r="HU1357" s="402"/>
      <c r="HV1357" s="402"/>
      <c r="HW1357" s="402"/>
      <c r="HX1357" s="402"/>
      <c r="HY1357" s="402"/>
      <c r="HZ1357" s="402"/>
      <c r="IA1357" s="402"/>
      <c r="IB1357" s="402"/>
      <c r="IC1357" s="402"/>
      <c r="ID1357" s="402"/>
      <c r="IE1357" s="402"/>
      <c r="IF1357" s="402"/>
      <c r="IG1357" s="402"/>
      <c r="IH1357" s="402"/>
      <c r="II1357" s="402"/>
      <c r="IJ1357" s="402"/>
      <c r="IK1357" s="402"/>
      <c r="IL1357" s="402"/>
      <c r="IM1357" s="402"/>
      <c r="IN1357" s="402"/>
      <c r="IO1357" s="402"/>
      <c r="IP1357" s="402"/>
      <c r="IQ1357" s="402"/>
      <c r="IR1357" s="402"/>
      <c r="IS1357" s="402"/>
      <c r="IT1357" s="402"/>
      <c r="IU1357" s="402"/>
      <c r="IV1357" s="402"/>
      <c r="IW1357" s="402"/>
      <c r="IX1357" s="402"/>
      <c r="IY1357" s="402"/>
      <c r="IZ1357" s="402"/>
      <c r="JA1357" s="402"/>
      <c r="JB1357" s="402"/>
      <c r="JC1357" s="402"/>
      <c r="JD1357" s="402"/>
      <c r="JE1357" s="402"/>
      <c r="JF1357" s="402"/>
      <c r="JG1357" s="402"/>
      <c r="JH1357" s="402"/>
      <c r="JI1357" s="402"/>
      <c r="JJ1357" s="402"/>
      <c r="JK1357" s="402"/>
      <c r="JL1357" s="402"/>
      <c r="JM1357" s="402"/>
      <c r="JN1357" s="402"/>
      <c r="JO1357" s="402"/>
      <c r="JP1357" s="402"/>
      <c r="JQ1357" s="402"/>
      <c r="JR1357" s="402"/>
      <c r="JS1357" s="402"/>
      <c r="JT1357" s="402"/>
      <c r="JU1357" s="402"/>
      <c r="JV1357" s="402"/>
      <c r="JW1357" s="402"/>
      <c r="JX1357" s="402"/>
      <c r="JY1357" s="402"/>
      <c r="JZ1357" s="402"/>
      <c r="KA1357" s="402"/>
      <c r="KB1357" s="402"/>
      <c r="KC1357" s="402"/>
      <c r="KD1357" s="402"/>
      <c r="KE1357" s="402"/>
      <c r="KF1357" s="402"/>
      <c r="KG1357" s="402"/>
      <c r="KH1357" s="402"/>
      <c r="KI1357" s="402"/>
      <c r="KJ1357" s="402"/>
      <c r="KK1357" s="402"/>
      <c r="KL1357" s="402"/>
      <c r="KM1357" s="402"/>
      <c r="KN1357" s="402"/>
      <c r="KO1357" s="402"/>
      <c r="KP1357" s="402"/>
      <c r="KQ1357" s="402"/>
      <c r="KR1357" s="402"/>
      <c r="KS1357" s="402"/>
      <c r="KT1357" s="402"/>
      <c r="KU1357" s="402"/>
      <c r="KV1357" s="402"/>
      <c r="KW1357" s="402"/>
      <c r="KX1357" s="402"/>
      <c r="KY1357" s="402"/>
      <c r="KZ1357" s="402"/>
      <c r="LA1357" s="402"/>
      <c r="LB1357" s="402"/>
      <c r="LC1357" s="402"/>
      <c r="LD1357" s="402"/>
      <c r="LE1357" s="402"/>
      <c r="LF1357" s="402"/>
      <c r="LG1357" s="402"/>
      <c r="LH1357" s="402"/>
      <c r="LI1357" s="402"/>
      <c r="LJ1357" s="402"/>
      <c r="LK1357" s="402"/>
      <c r="LL1357" s="402"/>
      <c r="LM1357" s="402"/>
      <c r="LN1357" s="402"/>
      <c r="LO1357" s="402"/>
      <c r="LP1357" s="402"/>
      <c r="LQ1357" s="402"/>
      <c r="LR1357" s="402"/>
      <c r="LS1357" s="402"/>
      <c r="LT1357" s="402"/>
      <c r="LU1357" s="402"/>
      <c r="LV1357" s="402"/>
      <c r="LW1357" s="402"/>
      <c r="LX1357" s="402"/>
      <c r="LY1357" s="402"/>
      <c r="LZ1357" s="402"/>
      <c r="MA1357" s="402"/>
      <c r="MB1357" s="402"/>
      <c r="MC1357" s="402"/>
      <c r="MD1357" s="402"/>
      <c r="ME1357" s="402"/>
      <c r="MF1357" s="402"/>
      <c r="MG1357" s="402"/>
      <c r="MH1357" s="402"/>
      <c r="MI1357" s="402"/>
      <c r="MJ1357" s="402"/>
      <c r="MK1357" s="402"/>
      <c r="ML1357" s="402"/>
      <c r="MM1357" s="402"/>
      <c r="MN1357" s="402"/>
      <c r="MO1357" s="402"/>
      <c r="MP1357" s="402"/>
      <c r="MQ1357" s="402"/>
      <c r="MR1357" s="402"/>
      <c r="MS1357" s="402"/>
      <c r="MT1357" s="402"/>
      <c r="MU1357" s="402"/>
      <c r="MV1357" s="402"/>
      <c r="MW1357" s="402"/>
      <c r="MX1357" s="402"/>
      <c r="MY1357" s="402"/>
      <c r="MZ1357" s="402"/>
      <c r="NA1357" s="402"/>
      <c r="NB1357" s="402"/>
      <c r="NC1357" s="402"/>
      <c r="ND1357" s="402"/>
      <c r="NE1357" s="402"/>
      <c r="NF1357" s="402"/>
      <c r="NG1357" s="402"/>
      <c r="NH1357" s="402"/>
      <c r="NI1357" s="402"/>
      <c r="NJ1357" s="402"/>
      <c r="NK1357" s="402"/>
      <c r="NL1357" s="402"/>
      <c r="NM1357" s="402"/>
      <c r="NN1357" s="402"/>
      <c r="NO1357" s="402"/>
      <c r="NP1357" s="402"/>
      <c r="NQ1357" s="402"/>
      <c r="NR1357" s="402"/>
      <c r="NS1357" s="402"/>
      <c r="NT1357" s="402"/>
      <c r="NU1357" s="402"/>
      <c r="NV1357" s="402"/>
      <c r="NW1357" s="402"/>
      <c r="NX1357" s="402"/>
      <c r="NY1357" s="402"/>
      <c r="NZ1357" s="402"/>
      <c r="OA1357" s="402"/>
      <c r="OB1357" s="402"/>
      <c r="OC1357" s="402"/>
      <c r="OD1357" s="402"/>
      <c r="OE1357" s="402"/>
      <c r="OF1357" s="402"/>
      <c r="OG1357" s="402"/>
      <c r="OH1357" s="402"/>
      <c r="OI1357" s="402"/>
      <c r="OJ1357" s="402"/>
      <c r="OK1357" s="402"/>
      <c r="OL1357" s="402"/>
      <c r="OM1357" s="402"/>
      <c r="ON1357" s="402"/>
      <c r="OO1357" s="402"/>
      <c r="OP1357" s="402"/>
      <c r="OQ1357" s="402"/>
      <c r="OR1357" s="402"/>
      <c r="OS1357" s="402"/>
      <c r="OT1357" s="402"/>
      <c r="OU1357" s="402"/>
      <c r="OV1357" s="402"/>
      <c r="OW1357" s="402"/>
      <c r="OX1357" s="402"/>
      <c r="OY1357" s="402"/>
      <c r="OZ1357" s="402"/>
      <c r="PA1357" s="402"/>
      <c r="PB1357" s="402"/>
      <c r="PC1357" s="402"/>
      <c r="PD1357" s="402"/>
      <c r="PE1357" s="402"/>
      <c r="PF1357" s="402"/>
      <c r="PG1357" s="402"/>
      <c r="PH1357" s="402"/>
      <c r="PI1357" s="402"/>
      <c r="PJ1357" s="402"/>
      <c r="PK1357" s="402"/>
      <c r="PL1357" s="402"/>
      <c r="PM1357" s="402"/>
      <c r="PN1357" s="402"/>
      <c r="PO1357" s="402"/>
      <c r="PP1357" s="402"/>
      <c r="PQ1357" s="402"/>
      <c r="PR1357" s="402"/>
      <c r="PS1357" s="402"/>
      <c r="PT1357" s="402"/>
      <c r="PU1357" s="402"/>
      <c r="PV1357" s="402"/>
      <c r="PW1357" s="402"/>
      <c r="PX1357" s="402"/>
      <c r="PY1357" s="402"/>
      <c r="PZ1357" s="402"/>
      <c r="QA1357" s="402"/>
      <c r="QB1357" s="402"/>
      <c r="QC1357" s="402"/>
      <c r="QD1357" s="402"/>
      <c r="QE1357" s="402"/>
      <c r="QF1357" s="402"/>
      <c r="QG1357" s="402"/>
      <c r="QH1357" s="402"/>
      <c r="QI1357" s="402"/>
      <c r="QJ1357" s="402"/>
      <c r="QK1357" s="402"/>
      <c r="QL1357" s="402"/>
      <c r="QM1357" s="402"/>
      <c r="QN1357" s="402"/>
      <c r="QO1357" s="402"/>
      <c r="QP1357" s="402"/>
      <c r="QQ1357" s="402"/>
      <c r="QR1357" s="402"/>
      <c r="QS1357" s="402"/>
      <c r="QT1357" s="402"/>
      <c r="QU1357" s="402"/>
      <c r="QV1357" s="402"/>
      <c r="QW1357" s="402"/>
      <c r="QX1357" s="402"/>
      <c r="QY1357" s="402"/>
      <c r="QZ1357" s="402"/>
      <c r="RA1357" s="402"/>
      <c r="RB1357" s="402"/>
      <c r="RC1357" s="402"/>
      <c r="RD1357" s="402"/>
      <c r="RE1357" s="402"/>
      <c r="RF1357" s="402"/>
      <c r="RG1357" s="402"/>
      <c r="RH1357" s="402"/>
      <c r="RI1357" s="402"/>
      <c r="RJ1357" s="402"/>
      <c r="RK1357" s="402"/>
      <c r="RL1357" s="402"/>
      <c r="RM1357" s="402"/>
      <c r="RN1357" s="402"/>
      <c r="RO1357" s="402"/>
      <c r="RP1357" s="402"/>
      <c r="RQ1357" s="402"/>
      <c r="RR1357" s="402"/>
      <c r="RS1357" s="402"/>
      <c r="RT1357" s="402"/>
      <c r="RU1357" s="402"/>
      <c r="RV1357" s="402"/>
      <c r="RW1357" s="402"/>
      <c r="RX1357" s="402"/>
      <c r="RY1357" s="402"/>
      <c r="RZ1357" s="402"/>
      <c r="SA1357" s="402"/>
      <c r="SB1357" s="402"/>
      <c r="SC1357" s="402"/>
      <c r="SD1357" s="402"/>
      <c r="SE1357" s="402"/>
      <c r="SF1357" s="402"/>
      <c r="SG1357" s="402"/>
      <c r="SH1357" s="402"/>
      <c r="SI1357" s="402"/>
      <c r="SJ1357" s="402"/>
      <c r="SK1357" s="402"/>
      <c r="SL1357" s="402"/>
      <c r="SM1357" s="402"/>
      <c r="SN1357" s="402"/>
      <c r="SO1357" s="402"/>
      <c r="SP1357" s="402"/>
      <c r="SQ1357" s="402"/>
      <c r="SR1357" s="402"/>
      <c r="SS1357" s="402"/>
      <c r="ST1357" s="402"/>
      <c r="SU1357" s="402"/>
      <c r="SV1357" s="402"/>
      <c r="SW1357" s="402"/>
      <c r="SX1357" s="402"/>
      <c r="SY1357" s="402"/>
      <c r="SZ1357" s="402"/>
      <c r="TA1357" s="402"/>
      <c r="TB1357" s="402"/>
      <c r="TC1357" s="402"/>
      <c r="TD1357" s="402"/>
      <c r="TE1357" s="402"/>
      <c r="TF1357" s="402"/>
      <c r="TG1357" s="402"/>
      <c r="TH1357" s="402"/>
      <c r="TI1357" s="402"/>
      <c r="TJ1357" s="402"/>
      <c r="TK1357" s="402"/>
      <c r="TL1357" s="402"/>
      <c r="TM1357" s="402"/>
      <c r="TN1357" s="402"/>
      <c r="TO1357" s="402"/>
      <c r="TP1357" s="402"/>
      <c r="TQ1357" s="402"/>
      <c r="TR1357" s="402"/>
      <c r="TS1357" s="402"/>
      <c r="TT1357" s="402"/>
      <c r="TU1357" s="402"/>
      <c r="TV1357" s="402"/>
      <c r="TW1357" s="402"/>
      <c r="TX1357" s="402"/>
      <c r="TY1357" s="402"/>
      <c r="TZ1357" s="402"/>
      <c r="UA1357" s="402"/>
      <c r="UB1357" s="402"/>
      <c r="UC1357" s="402"/>
      <c r="UD1357" s="402"/>
      <c r="UE1357" s="402"/>
      <c r="UF1357" s="402"/>
      <c r="UG1357" s="402"/>
      <c r="UH1357" s="402"/>
      <c r="UI1357" s="402"/>
      <c r="UJ1357" s="402"/>
      <c r="UK1357" s="402"/>
      <c r="UL1357" s="402"/>
      <c r="UM1357" s="402"/>
      <c r="UN1357" s="402"/>
      <c r="UO1357" s="402"/>
      <c r="UP1357" s="402"/>
      <c r="UQ1357" s="402"/>
      <c r="UR1357" s="402"/>
      <c r="US1357" s="402"/>
      <c r="UT1357" s="402"/>
      <c r="UU1357" s="402"/>
      <c r="UV1357" s="402"/>
      <c r="UW1357" s="402"/>
      <c r="UX1357" s="402"/>
      <c r="UY1357" s="402"/>
      <c r="UZ1357" s="402"/>
      <c r="VA1357" s="402"/>
      <c r="VB1357" s="402"/>
      <c r="VC1357" s="402"/>
      <c r="VD1357" s="402"/>
      <c r="VE1357" s="402"/>
      <c r="VF1357" s="402"/>
      <c r="VG1357" s="402"/>
      <c r="VH1357" s="402"/>
      <c r="VI1357" s="402"/>
      <c r="VJ1357" s="402"/>
      <c r="VK1357" s="402"/>
      <c r="VL1357" s="402"/>
      <c r="VM1357" s="402"/>
      <c r="VN1357" s="402"/>
      <c r="VO1357" s="402"/>
      <c r="VP1357" s="402"/>
      <c r="VQ1357" s="402"/>
      <c r="VR1357" s="402"/>
      <c r="VS1357" s="402"/>
      <c r="VT1357" s="402"/>
      <c r="VU1357" s="402"/>
      <c r="VV1357" s="402"/>
      <c r="VW1357" s="402"/>
      <c r="VX1357" s="402"/>
      <c r="VY1357" s="402"/>
      <c r="VZ1357" s="402"/>
      <c r="WA1357" s="402"/>
      <c r="WB1357" s="402"/>
      <c r="WC1357" s="402"/>
      <c r="WD1357" s="402"/>
      <c r="WE1357" s="402"/>
      <c r="WF1357" s="402"/>
      <c r="WG1357" s="402"/>
      <c r="WH1357" s="402"/>
      <c r="WI1357" s="402"/>
      <c r="WJ1357" s="402"/>
      <c r="WK1357" s="402"/>
      <c r="WL1357" s="402"/>
      <c r="WM1357" s="402"/>
      <c r="WN1357" s="402"/>
      <c r="WO1357" s="402"/>
      <c r="WP1357" s="402"/>
      <c r="WQ1357" s="402"/>
      <c r="WR1357" s="402"/>
      <c r="WS1357" s="402"/>
      <c r="WT1357" s="402"/>
      <c r="WU1357" s="402"/>
      <c r="WV1357" s="402"/>
      <c r="WW1357" s="402"/>
      <c r="WX1357" s="402"/>
      <c r="WY1357" s="402"/>
      <c r="WZ1357" s="402"/>
      <c r="XA1357" s="402"/>
      <c r="XB1357" s="402"/>
      <c r="XC1357" s="402"/>
      <c r="XD1357" s="402"/>
      <c r="XE1357" s="402"/>
      <c r="XF1357" s="402"/>
      <c r="XG1357" s="402"/>
      <c r="XH1357" s="402"/>
      <c r="XI1357" s="402"/>
      <c r="XJ1357" s="402"/>
      <c r="XK1357" s="402"/>
      <c r="XL1357" s="402"/>
      <c r="XM1357" s="402"/>
      <c r="XN1357" s="402"/>
      <c r="XO1357" s="402"/>
      <c r="XP1357" s="402"/>
      <c r="XQ1357" s="402"/>
      <c r="XR1357" s="402"/>
      <c r="XS1357" s="402"/>
      <c r="XT1357" s="402"/>
      <c r="XU1357" s="402"/>
      <c r="XV1357" s="402"/>
      <c r="XW1357" s="402"/>
      <c r="XX1357" s="402"/>
      <c r="XY1357" s="402"/>
      <c r="XZ1357" s="402"/>
      <c r="YA1357" s="402"/>
      <c r="YB1357" s="402"/>
      <c r="YC1357" s="402"/>
      <c r="YD1357" s="402"/>
      <c r="YE1357" s="402"/>
      <c r="YF1357" s="402"/>
      <c r="YG1357" s="402"/>
      <c r="YH1357" s="402"/>
      <c r="YI1357" s="402"/>
      <c r="YJ1357" s="402"/>
      <c r="YK1357" s="402"/>
      <c r="YL1357" s="402"/>
      <c r="YM1357" s="402"/>
      <c r="YN1357" s="402"/>
      <c r="YO1357" s="402"/>
      <c r="YP1357" s="402"/>
      <c r="YQ1357" s="402"/>
      <c r="YR1357" s="402"/>
      <c r="YS1357" s="402"/>
      <c r="YT1357" s="402"/>
      <c r="YU1357" s="402"/>
      <c r="YV1357" s="402"/>
      <c r="YW1357" s="402"/>
      <c r="YX1357" s="402"/>
      <c r="YY1357" s="402"/>
      <c r="YZ1357" s="402"/>
      <c r="ZA1357" s="402"/>
      <c r="ZB1357" s="402"/>
      <c r="ZC1357" s="402"/>
      <c r="ZD1357" s="402"/>
      <c r="ZE1357" s="402"/>
      <c r="ZF1357" s="402"/>
      <c r="ZG1357" s="402"/>
      <c r="ZH1357" s="402"/>
      <c r="ZI1357" s="402"/>
      <c r="ZJ1357" s="402"/>
      <c r="ZK1357" s="402"/>
      <c r="ZL1357" s="402"/>
      <c r="ZM1357" s="402"/>
      <c r="ZN1357" s="402"/>
      <c r="ZO1357" s="402"/>
      <c r="ZP1357" s="402"/>
      <c r="ZQ1357" s="402"/>
      <c r="ZR1357" s="402"/>
      <c r="ZS1357" s="402"/>
      <c r="ZT1357" s="402"/>
      <c r="ZU1357" s="402"/>
      <c r="ZV1357" s="402"/>
      <c r="ZW1357" s="402"/>
      <c r="ZX1357" s="402"/>
      <c r="ZY1357" s="402"/>
      <c r="ZZ1357" s="402"/>
      <c r="AAA1357" s="402"/>
      <c r="AAB1357" s="402"/>
      <c r="AAC1357" s="402"/>
      <c r="AAD1357" s="402"/>
      <c r="AAE1357" s="402"/>
      <c r="AAF1357" s="402"/>
      <c r="AAG1357" s="402"/>
      <c r="AAH1357" s="402"/>
      <c r="AAI1357" s="402"/>
      <c r="AAJ1357" s="402"/>
      <c r="AAK1357" s="402"/>
      <c r="AAL1357" s="402"/>
      <c r="AAM1357" s="402"/>
      <c r="AAN1357" s="402"/>
      <c r="AAO1357" s="402"/>
      <c r="AAP1357" s="402"/>
      <c r="AAQ1357" s="402"/>
      <c r="AAR1357" s="402"/>
      <c r="AAS1357" s="402"/>
      <c r="AAT1357" s="402"/>
      <c r="AAU1357" s="402"/>
      <c r="AAV1357" s="402"/>
      <c r="AAW1357" s="402"/>
      <c r="AAX1357" s="402"/>
      <c r="AAY1357" s="402"/>
      <c r="AAZ1357" s="402"/>
      <c r="ABA1357" s="402"/>
      <c r="ABB1357" s="402"/>
      <c r="ABC1357" s="402"/>
      <c r="ABD1357" s="402"/>
      <c r="ABE1357" s="402"/>
      <c r="ABF1357" s="402"/>
      <c r="ABG1357" s="402"/>
      <c r="ABH1357" s="402"/>
      <c r="ABI1357" s="402"/>
      <c r="ABJ1357" s="402"/>
      <c r="ABK1357" s="402"/>
      <c r="ABL1357" s="402"/>
      <c r="ABM1357" s="402"/>
      <c r="ABN1357" s="402"/>
      <c r="ABO1357" s="402"/>
      <c r="ABP1357" s="402"/>
      <c r="ABQ1357" s="402"/>
      <c r="ABR1357" s="402"/>
      <c r="ABS1357" s="402"/>
      <c r="ABT1357" s="402"/>
      <c r="ABU1357" s="402"/>
      <c r="ABV1357" s="402"/>
      <c r="ABW1357" s="402"/>
      <c r="ABX1357" s="402"/>
      <c r="ABY1357" s="402"/>
      <c r="ABZ1357" s="402"/>
      <c r="ACA1357" s="402"/>
      <c r="ACB1357" s="402"/>
      <c r="ACC1357" s="402"/>
      <c r="ACD1357" s="402"/>
      <c r="ACE1357" s="402"/>
      <c r="ACF1357" s="402"/>
      <c r="ACG1357" s="402"/>
      <c r="ACH1357" s="402"/>
      <c r="ACI1357" s="402"/>
      <c r="ACJ1357" s="402"/>
      <c r="ACK1357" s="402"/>
      <c r="ACL1357" s="402"/>
      <c r="ACM1357" s="402"/>
      <c r="ACN1357" s="402"/>
      <c r="ACO1357" s="402"/>
      <c r="ACP1357" s="402"/>
      <c r="ACQ1357" s="402"/>
      <c r="ACR1357" s="402"/>
      <c r="ACS1357" s="402"/>
      <c r="ACT1357" s="402"/>
      <c r="ACU1357" s="402"/>
      <c r="ACV1357" s="402"/>
      <c r="ACW1357" s="402"/>
      <c r="ACX1357" s="402"/>
      <c r="ACY1357" s="402"/>
      <c r="ACZ1357" s="402"/>
      <c r="ADA1357" s="402"/>
      <c r="ADB1357" s="402"/>
      <c r="ADC1357" s="402"/>
      <c r="ADD1357" s="402"/>
      <c r="ADE1357" s="402"/>
      <c r="ADF1357" s="402"/>
      <c r="ADG1357" s="402"/>
      <c r="ADH1357" s="402"/>
      <c r="ADI1357" s="402"/>
      <c r="ADJ1357" s="402"/>
      <c r="ADK1357" s="402"/>
      <c r="ADL1357" s="402"/>
      <c r="ADM1357" s="402"/>
      <c r="ADN1357" s="402"/>
      <c r="ADO1357" s="402"/>
      <c r="ADP1357" s="402"/>
      <c r="ADQ1357" s="402"/>
      <c r="ADR1357" s="402"/>
      <c r="ADS1357" s="402"/>
      <c r="ADT1357" s="402"/>
      <c r="ADU1357" s="402"/>
      <c r="ADV1357" s="402"/>
      <c r="ADW1357" s="402"/>
      <c r="ADX1357" s="402"/>
      <c r="ADY1357" s="402"/>
      <c r="ADZ1357" s="402"/>
      <c r="AEA1357" s="402"/>
      <c r="AEB1357" s="402"/>
      <c r="AEC1357" s="402"/>
      <c r="AED1357" s="402"/>
      <c r="AEE1357" s="402"/>
      <c r="AEF1357" s="402"/>
      <c r="AEG1357" s="402"/>
      <c r="AEH1357" s="402"/>
      <c r="AEI1357" s="402"/>
      <c r="AEJ1357" s="402"/>
      <c r="AEK1357" s="402"/>
      <c r="AEL1357" s="402"/>
      <c r="AEM1357" s="402"/>
      <c r="AEN1357" s="402"/>
      <c r="AEO1357" s="402"/>
      <c r="AEP1357" s="402"/>
      <c r="AEQ1357" s="402"/>
      <c r="AER1357" s="402"/>
      <c r="AES1357" s="402"/>
      <c r="AET1357" s="402"/>
      <c r="AEU1357" s="402"/>
      <c r="AEV1357" s="402"/>
      <c r="AEW1357" s="402"/>
      <c r="AEX1357" s="402"/>
      <c r="AEY1357" s="402"/>
      <c r="AEZ1357" s="402"/>
      <c r="AFA1357" s="402"/>
      <c r="AFB1357" s="402"/>
      <c r="AFC1357" s="402"/>
      <c r="AFD1357" s="402"/>
      <c r="AFE1357" s="402"/>
      <c r="AFF1357" s="402"/>
      <c r="AFG1357" s="402"/>
      <c r="AFH1357" s="402"/>
      <c r="AFI1357" s="402"/>
      <c r="AFJ1357" s="402"/>
      <c r="AFK1357" s="402"/>
      <c r="AFL1357" s="402"/>
      <c r="AFM1357" s="402"/>
      <c r="AFN1357" s="402"/>
      <c r="AFO1357" s="402"/>
      <c r="AFP1357" s="402"/>
      <c r="AFQ1357" s="402"/>
      <c r="AFR1357" s="402"/>
      <c r="AFS1357" s="402"/>
      <c r="AFT1357" s="402"/>
      <c r="AFU1357" s="402"/>
      <c r="AFV1357" s="402"/>
      <c r="AFW1357" s="402"/>
      <c r="AFX1357" s="402"/>
      <c r="AFY1357" s="402"/>
      <c r="AFZ1357" s="402"/>
      <c r="AGA1357" s="402"/>
      <c r="AGB1357" s="402"/>
      <c r="AGC1357" s="402"/>
      <c r="AGD1357" s="402"/>
      <c r="AGE1357" s="402"/>
      <c r="AGF1357" s="402"/>
      <c r="AGG1357" s="402"/>
      <c r="AGH1357" s="402"/>
      <c r="AGI1357" s="402"/>
      <c r="AGJ1357" s="402"/>
      <c r="AGK1357" s="402"/>
      <c r="AGL1357" s="402"/>
      <c r="AGM1357" s="402"/>
      <c r="AGN1357" s="402"/>
      <c r="AGO1357" s="402"/>
      <c r="AGP1357" s="402"/>
      <c r="AGQ1357" s="402"/>
      <c r="AGR1357" s="402"/>
      <c r="AGS1357" s="402"/>
      <c r="AGT1357" s="402"/>
      <c r="AGU1357" s="402"/>
      <c r="AGV1357" s="402"/>
      <c r="AGW1357" s="402"/>
      <c r="AGX1357" s="402"/>
      <c r="AGY1357" s="402"/>
      <c r="AGZ1357" s="402"/>
      <c r="AHA1357" s="402"/>
      <c r="AHB1357" s="402"/>
      <c r="AHC1357" s="402"/>
      <c r="AHD1357" s="402"/>
      <c r="AHE1357" s="402"/>
      <c r="AHF1357" s="402"/>
      <c r="AHG1357" s="402"/>
      <c r="AHH1357" s="402"/>
      <c r="AHI1357" s="402"/>
      <c r="AHJ1357" s="402"/>
      <c r="AHK1357" s="402"/>
      <c r="AHL1357" s="402"/>
      <c r="AHM1357" s="402"/>
      <c r="AHN1357" s="402"/>
      <c r="AHO1357" s="402"/>
      <c r="AHP1357" s="402"/>
      <c r="AHQ1357" s="402"/>
      <c r="AHR1357" s="402"/>
      <c r="AHS1357" s="402"/>
      <c r="AHT1357" s="402"/>
      <c r="AHU1357" s="402"/>
      <c r="AHV1357" s="402"/>
      <c r="AHW1357" s="402"/>
      <c r="AHX1357" s="402"/>
      <c r="AHY1357" s="402"/>
      <c r="AHZ1357" s="402"/>
      <c r="AIA1357" s="402"/>
      <c r="AIB1357" s="402"/>
      <c r="AIC1357" s="402"/>
      <c r="AID1357" s="402"/>
      <c r="AIE1357" s="402"/>
      <c r="AIF1357" s="402"/>
      <c r="AIG1357" s="402"/>
      <c r="AIH1357" s="402"/>
      <c r="AII1357" s="402"/>
      <c r="AIJ1357" s="402"/>
      <c r="AIK1357" s="402"/>
      <c r="AIL1357" s="402"/>
      <c r="AIM1357" s="402"/>
      <c r="AIN1357" s="402"/>
      <c r="AIO1357" s="402"/>
      <c r="AIP1357" s="402"/>
      <c r="AIQ1357" s="402"/>
      <c r="AIR1357" s="402"/>
      <c r="AIS1357" s="402"/>
      <c r="AIT1357" s="402"/>
      <c r="AIU1357" s="402"/>
      <c r="AIV1357" s="402"/>
      <c r="AIW1357" s="402"/>
      <c r="AIX1357" s="402"/>
      <c r="AIY1357" s="402"/>
      <c r="AIZ1357" s="402"/>
      <c r="AJA1357" s="402"/>
      <c r="AJB1357" s="402"/>
      <c r="AJC1357" s="402"/>
      <c r="AJD1357" s="402"/>
      <c r="AJE1357" s="402"/>
      <c r="AJF1357" s="402"/>
      <c r="AJG1357" s="402"/>
      <c r="AJH1357" s="402"/>
      <c r="AJI1357" s="402"/>
      <c r="AJJ1357" s="402"/>
      <c r="AJK1357" s="402"/>
      <c r="AJL1357" s="402"/>
      <c r="AJM1357" s="402"/>
      <c r="AJN1357" s="402"/>
      <c r="AJO1357" s="402"/>
      <c r="AJP1357" s="402"/>
      <c r="AJQ1357" s="402"/>
      <c r="AJR1357" s="402"/>
      <c r="AJS1357" s="402"/>
      <c r="AJT1357" s="402"/>
      <c r="AJU1357" s="402"/>
      <c r="AJV1357" s="402"/>
      <c r="AJW1357" s="402"/>
      <c r="AJX1357" s="402"/>
      <c r="AJY1357" s="402"/>
      <c r="AJZ1357" s="402"/>
      <c r="AKA1357" s="402"/>
      <c r="AKB1357" s="402"/>
      <c r="AKC1357" s="402"/>
      <c r="AKD1357" s="402"/>
      <c r="AKE1357" s="402"/>
      <c r="AKF1357" s="402"/>
      <c r="AKG1357" s="402"/>
      <c r="AKH1357" s="402"/>
      <c r="AKI1357" s="402"/>
      <c r="AKJ1357" s="402"/>
      <c r="AKK1357" s="402"/>
      <c r="AKL1357" s="402"/>
      <c r="AKM1357" s="402"/>
      <c r="AKN1357" s="402"/>
      <c r="AKO1357" s="402"/>
      <c r="AKP1357" s="402"/>
      <c r="AKQ1357" s="402"/>
      <c r="AKR1357" s="402"/>
      <c r="AKS1357" s="402"/>
      <c r="AKT1357" s="402"/>
      <c r="AKU1357" s="402"/>
      <c r="AKV1357" s="402"/>
      <c r="AKW1357" s="402"/>
      <c r="AKX1357" s="402"/>
      <c r="AKY1357" s="402"/>
      <c r="AKZ1357" s="402"/>
      <c r="ALA1357" s="402"/>
      <c r="ALB1357" s="402"/>
      <c r="ALC1357" s="402"/>
      <c r="ALD1357" s="402"/>
      <c r="ALE1357" s="402"/>
      <c r="ALF1357" s="402"/>
      <c r="ALG1357" s="402"/>
      <c r="ALH1357" s="402"/>
      <c r="ALI1357" s="402"/>
      <c r="ALJ1357" s="402"/>
      <c r="ALK1357" s="402"/>
      <c r="ALL1357" s="402"/>
      <c r="ALM1357" s="402"/>
      <c r="ALN1357" s="402"/>
      <c r="ALO1357" s="402"/>
      <c r="ALP1357" s="402"/>
      <c r="ALQ1357" s="402"/>
      <c r="ALR1357" s="402"/>
      <c r="ALS1357" s="402"/>
      <c r="ALT1357" s="402"/>
      <c r="ALU1357" s="402"/>
      <c r="ALV1357" s="402"/>
      <c r="ALW1357" s="402"/>
      <c r="ALX1357" s="402"/>
      <c r="ALY1357" s="402"/>
      <c r="ALZ1357" s="402"/>
      <c r="AMA1357" s="402"/>
      <c r="AMB1357" s="402"/>
      <c r="AMC1357" s="402"/>
      <c r="AMD1357" s="402"/>
      <c r="AME1357" s="402"/>
      <c r="AMF1357" s="402"/>
      <c r="AMG1357" s="402"/>
      <c r="AMH1357" s="402"/>
      <c r="AMI1357" s="402"/>
      <c r="AMJ1357" s="402"/>
      <c r="AMK1357" s="402"/>
      <c r="AML1357" s="402"/>
      <c r="AMM1357" s="402"/>
      <c r="AMN1357" s="402"/>
      <c r="AMO1357" s="402"/>
      <c r="AMP1357" s="402"/>
      <c r="AMQ1357" s="402"/>
      <c r="AMR1357" s="402"/>
      <c r="AMS1357" s="402"/>
      <c r="AMT1357" s="402"/>
      <c r="AMU1357" s="402"/>
      <c r="AMV1357" s="402"/>
      <c r="AMW1357" s="402"/>
      <c r="AMX1357" s="402"/>
      <c r="AMY1357" s="402"/>
      <c r="AMZ1357" s="402"/>
      <c r="ANA1357" s="402"/>
      <c r="ANB1357" s="402"/>
      <c r="ANC1357" s="402"/>
      <c r="AND1357" s="402"/>
      <c r="ANE1357" s="402"/>
      <c r="ANF1357" s="402"/>
      <c r="ANG1357" s="402"/>
      <c r="ANH1357" s="402"/>
      <c r="ANI1357" s="402"/>
      <c r="ANJ1357" s="402"/>
      <c r="ANK1357" s="402"/>
      <c r="ANL1357" s="402"/>
      <c r="ANM1357" s="402"/>
      <c r="ANN1357" s="402"/>
      <c r="ANO1357" s="402"/>
      <c r="ANP1357" s="402"/>
      <c r="ANQ1357" s="402"/>
      <c r="ANR1357" s="402"/>
      <c r="ANS1357" s="402"/>
      <c r="ANT1357" s="402"/>
      <c r="ANU1357" s="402"/>
      <c r="ANV1357" s="402"/>
      <c r="ANW1357" s="402"/>
      <c r="ANX1357" s="402"/>
      <c r="ANY1357" s="402"/>
      <c r="ANZ1357" s="402"/>
      <c r="AOA1357" s="402"/>
      <c r="AOB1357" s="402"/>
      <c r="AOC1357" s="402"/>
      <c r="AOD1357" s="402"/>
      <c r="AOE1357" s="402"/>
      <c r="AOF1357" s="402"/>
      <c r="AOG1357" s="402"/>
      <c r="AOH1357" s="402"/>
      <c r="AOI1357" s="402"/>
      <c r="AOJ1357" s="402"/>
      <c r="AOK1357" s="402"/>
      <c r="AOL1357" s="402"/>
      <c r="AOM1357" s="402"/>
      <c r="AON1357" s="402"/>
      <c r="AOO1357" s="402"/>
      <c r="AOP1357" s="402"/>
      <c r="AOQ1357" s="402"/>
      <c r="AOR1357" s="402"/>
      <c r="AOS1357" s="402"/>
      <c r="AOT1357" s="402"/>
      <c r="AOU1357" s="402"/>
      <c r="AOV1357" s="402"/>
      <c r="AOW1357" s="402"/>
      <c r="AOX1357" s="402"/>
      <c r="AOY1357" s="402"/>
      <c r="AOZ1357" s="402"/>
      <c r="APA1357" s="402"/>
      <c r="APB1357" s="402"/>
      <c r="APC1357" s="402"/>
      <c r="APD1357" s="402"/>
      <c r="APE1357" s="402"/>
      <c r="APF1357" s="402"/>
      <c r="APG1357" s="402"/>
      <c r="APH1357" s="402"/>
      <c r="API1357" s="402"/>
      <c r="APJ1357" s="402"/>
      <c r="APK1357" s="402"/>
      <c r="APL1357" s="402"/>
      <c r="APM1357" s="402"/>
      <c r="APN1357" s="402"/>
      <c r="APO1357" s="402"/>
      <c r="APP1357" s="402"/>
      <c r="APQ1357" s="402"/>
      <c r="APR1357" s="402"/>
      <c r="APS1357" s="402"/>
      <c r="APT1357" s="402"/>
      <c r="APU1357" s="402"/>
      <c r="APV1357" s="402"/>
      <c r="APW1357" s="402"/>
      <c r="APX1357" s="402"/>
      <c r="APY1357" s="402"/>
      <c r="APZ1357" s="402"/>
      <c r="AQA1357" s="402"/>
      <c r="AQB1357" s="402"/>
      <c r="AQC1357" s="402"/>
      <c r="AQD1357" s="402"/>
      <c r="AQE1357" s="402"/>
      <c r="AQF1357" s="402"/>
      <c r="AQG1357" s="402"/>
      <c r="AQH1357" s="402"/>
      <c r="AQI1357" s="402"/>
      <c r="AQJ1357" s="402"/>
      <c r="AQK1357" s="402"/>
      <c r="AQL1357" s="402"/>
      <c r="AQM1357" s="402"/>
      <c r="AQN1357" s="402"/>
      <c r="AQO1357" s="402"/>
      <c r="AQP1357" s="402"/>
      <c r="AQQ1357" s="402"/>
      <c r="AQR1357" s="402"/>
      <c r="AQS1357" s="402"/>
      <c r="AQT1357" s="402"/>
      <c r="AQU1357" s="402"/>
      <c r="AQV1357" s="402"/>
      <c r="AQW1357" s="402"/>
      <c r="AQX1357" s="402"/>
      <c r="AQY1357" s="402"/>
      <c r="AQZ1357" s="402"/>
      <c r="ARA1357" s="402"/>
      <c r="ARB1357" s="402"/>
      <c r="ARC1357" s="402"/>
      <c r="ARD1357" s="402"/>
      <c r="ARE1357" s="402"/>
      <c r="ARF1357" s="402"/>
      <c r="ARG1357" s="402"/>
      <c r="ARH1357" s="402"/>
      <c r="ARI1357" s="402"/>
      <c r="ARJ1357" s="402"/>
      <c r="ARK1357" s="402"/>
      <c r="ARL1357" s="402"/>
      <c r="ARM1357" s="402"/>
      <c r="ARN1357" s="402"/>
      <c r="ARO1357" s="402"/>
      <c r="ARP1357" s="402"/>
      <c r="ARQ1357" s="402"/>
      <c r="ARR1357" s="402"/>
      <c r="ARS1357" s="402"/>
      <c r="ART1357" s="402"/>
      <c r="ARU1357" s="402"/>
      <c r="ARV1357" s="402"/>
      <c r="ARW1357" s="402"/>
      <c r="ARX1357" s="402"/>
      <c r="ARY1357" s="402"/>
      <c r="ARZ1357" s="402"/>
      <c r="ASA1357" s="402"/>
      <c r="ASB1357" s="402"/>
      <c r="ASC1357" s="402"/>
      <c r="ASD1357" s="402"/>
      <c r="ASE1357" s="402"/>
      <c r="ASF1357" s="402"/>
      <c r="ASG1357" s="402"/>
      <c r="ASH1357" s="402"/>
      <c r="ASI1357" s="402"/>
      <c r="ASJ1357" s="402"/>
      <c r="ASK1357" s="402"/>
      <c r="ASL1357" s="402"/>
      <c r="ASM1357" s="402"/>
      <c r="ASN1357" s="402"/>
      <c r="ASO1357" s="402"/>
      <c r="ASP1357" s="402"/>
      <c r="ASQ1357" s="402"/>
      <c r="ASR1357" s="402"/>
      <c r="ASS1357" s="402"/>
      <c r="AST1357" s="402"/>
      <c r="ASU1357" s="402"/>
      <c r="ASV1357" s="402"/>
      <c r="ASW1357" s="402"/>
      <c r="ASX1357" s="402"/>
      <c r="ASY1357" s="402"/>
      <c r="ASZ1357" s="402"/>
      <c r="ATA1357" s="402"/>
      <c r="ATB1357" s="402"/>
      <c r="ATC1357" s="402"/>
      <c r="ATD1357" s="402"/>
      <c r="ATE1357" s="402"/>
      <c r="ATF1357" s="402"/>
      <c r="ATG1357" s="402"/>
      <c r="ATH1357" s="402"/>
      <c r="ATI1357" s="402"/>
      <c r="ATJ1357" s="402"/>
      <c r="ATK1357" s="402"/>
      <c r="ATL1357" s="402"/>
      <c r="ATM1357" s="402"/>
      <c r="ATN1357" s="402"/>
      <c r="ATO1357" s="402"/>
      <c r="ATP1357" s="402"/>
      <c r="ATQ1357" s="402"/>
      <c r="ATR1357" s="402"/>
      <c r="ATS1357" s="402"/>
      <c r="ATT1357" s="402"/>
      <c r="ATU1357" s="402"/>
      <c r="ATV1357" s="402"/>
      <c r="ATW1357" s="402"/>
      <c r="ATX1357" s="402"/>
      <c r="ATY1357" s="402"/>
      <c r="ATZ1357" s="402"/>
      <c r="AUA1357" s="402"/>
      <c r="AUB1357" s="402"/>
      <c r="AUC1357" s="402"/>
      <c r="AUD1357" s="402"/>
      <c r="AUE1357" s="402"/>
      <c r="AUF1357" s="402"/>
      <c r="AUG1357" s="402"/>
      <c r="AUH1357" s="402"/>
      <c r="AUI1357" s="402"/>
      <c r="AUJ1357" s="402"/>
      <c r="AUK1357" s="402"/>
      <c r="AUL1357" s="402"/>
      <c r="AUM1357" s="402"/>
      <c r="AUN1357" s="402"/>
      <c r="AUO1357" s="402"/>
      <c r="AUP1357" s="402"/>
      <c r="AUQ1357" s="402"/>
      <c r="AUR1357" s="402"/>
      <c r="AUS1357" s="402"/>
      <c r="AUT1357" s="402"/>
      <c r="AUU1357" s="402"/>
      <c r="AUV1357" s="402"/>
      <c r="AUW1357" s="402"/>
      <c r="AUX1357" s="402"/>
      <c r="AUY1357" s="402"/>
      <c r="AUZ1357" s="402"/>
      <c r="AVA1357" s="402"/>
      <c r="AVB1357" s="402"/>
      <c r="AVC1357" s="402"/>
      <c r="AVD1357" s="402"/>
      <c r="AVE1357" s="402"/>
      <c r="AVF1357" s="402"/>
      <c r="AVG1357" s="402"/>
      <c r="AVH1357" s="402"/>
      <c r="AVI1357" s="402"/>
      <c r="AVJ1357" s="402"/>
      <c r="AVK1357" s="402"/>
    </row>
    <row r="1358" spans="1:1259" s="442" customFormat="1" ht="15" customHeight="1">
      <c r="A1358" s="403"/>
      <c r="B1358" s="403"/>
      <c r="C1358" s="403"/>
      <c r="D1358" s="443" t="s">
        <v>2480</v>
      </c>
      <c r="E1358" s="443" t="s">
        <v>2406</v>
      </c>
      <c r="F1358" s="432"/>
      <c r="G1358" s="432"/>
      <c r="H1358" s="451"/>
      <c r="I1358" s="427" t="s">
        <v>1498</v>
      </c>
      <c r="J1358" s="433"/>
      <c r="K1358" s="433" t="s">
        <v>3752</v>
      </c>
      <c r="L1358" s="433" t="s">
        <v>2509</v>
      </c>
      <c r="M1358" s="433">
        <v>44550</v>
      </c>
      <c r="N1358" s="433">
        <v>44687</v>
      </c>
      <c r="O1358" s="435"/>
      <c r="P1358" s="433"/>
      <c r="Q1358" s="433"/>
      <c r="R1358" s="433"/>
      <c r="S1358" s="432" t="s">
        <v>1940</v>
      </c>
      <c r="T1358" s="432">
        <v>60</v>
      </c>
      <c r="U1358" s="432"/>
      <c r="V1358" s="432" t="s">
        <v>973</v>
      </c>
      <c r="W1358" s="432">
        <v>400</v>
      </c>
      <c r="X1358" s="436">
        <v>768</v>
      </c>
      <c r="Y1358" s="422">
        <f t="shared" si="166"/>
        <v>307200</v>
      </c>
      <c r="Z1358" s="437">
        <v>0.53</v>
      </c>
      <c r="AA1358" s="423">
        <f t="shared" si="167"/>
        <v>162816</v>
      </c>
      <c r="AB1358" s="411"/>
      <c r="AC1358" s="412">
        <f t="shared" si="168"/>
        <v>0</v>
      </c>
      <c r="AD1358" s="439"/>
      <c r="AE1358" s="438"/>
      <c r="AF1358" s="424">
        <f t="shared" si="169"/>
        <v>162816</v>
      </c>
      <c r="AG1358" s="432" t="s">
        <v>1069</v>
      </c>
      <c r="AH1358" s="432"/>
      <c r="AI1358" s="434">
        <v>60</v>
      </c>
      <c r="AJ1358" s="432" t="s">
        <v>1454</v>
      </c>
      <c r="AK1358" s="440" t="s">
        <v>1136</v>
      </c>
      <c r="AL1358" s="432">
        <v>78744</v>
      </c>
      <c r="AM1358" s="432" t="s">
        <v>52</v>
      </c>
      <c r="AN1358" s="432"/>
      <c r="AO1358" s="432"/>
      <c r="AP1358" s="441"/>
      <c r="AQ1358" s="441" t="s">
        <v>37</v>
      </c>
      <c r="AR1358" s="441"/>
      <c r="AS1358" s="426" t="s">
        <v>1142</v>
      </c>
      <c r="AT1358" s="426" t="s">
        <v>1073</v>
      </c>
      <c r="AU1358" s="426" t="s">
        <v>1073</v>
      </c>
      <c r="AV1358" s="437">
        <v>0.53</v>
      </c>
      <c r="AW1358" s="402"/>
      <c r="AX1358" s="402"/>
      <c r="AY1358" s="402"/>
      <c r="AZ1358" s="402"/>
      <c r="BA1358" s="402"/>
      <c r="BB1358" s="402"/>
      <c r="BC1358" s="402"/>
      <c r="BD1358" s="402"/>
      <c r="BE1358" s="402"/>
      <c r="BF1358" s="402"/>
      <c r="BG1358" s="402"/>
      <c r="BH1358" s="402"/>
      <c r="BI1358" s="402"/>
      <c r="BJ1358" s="402"/>
      <c r="BK1358" s="402"/>
      <c r="BL1358" s="402"/>
      <c r="BM1358" s="402"/>
      <c r="BN1358" s="402"/>
      <c r="BO1358" s="402"/>
      <c r="BP1358" s="402"/>
      <c r="BQ1358" s="402"/>
      <c r="BR1358" s="402"/>
      <c r="BS1358" s="402"/>
      <c r="BT1358" s="402"/>
      <c r="BU1358" s="402"/>
      <c r="BV1358" s="402"/>
      <c r="BW1358" s="402"/>
      <c r="BX1358" s="402"/>
      <c r="BY1358" s="402"/>
      <c r="BZ1358" s="402"/>
      <c r="CA1358" s="402"/>
      <c r="CB1358" s="402"/>
      <c r="CC1358" s="402"/>
      <c r="CD1358" s="402"/>
      <c r="CE1358" s="402"/>
      <c r="CF1358" s="402"/>
      <c r="CG1358" s="402"/>
      <c r="CH1358" s="402"/>
      <c r="CI1358" s="402"/>
      <c r="CJ1358" s="402"/>
      <c r="CK1358" s="402"/>
      <c r="CL1358" s="402"/>
      <c r="CM1358" s="402"/>
      <c r="CN1358" s="402"/>
      <c r="CO1358" s="402"/>
      <c r="CP1358" s="402"/>
      <c r="CQ1358" s="402"/>
      <c r="CR1358" s="402"/>
      <c r="CS1358" s="402"/>
      <c r="CT1358" s="402"/>
      <c r="CU1358" s="402"/>
      <c r="CV1358" s="402"/>
      <c r="CW1358" s="402"/>
      <c r="CX1358" s="402"/>
      <c r="CY1358" s="402"/>
      <c r="CZ1358" s="402"/>
      <c r="DA1358" s="402"/>
      <c r="DB1358" s="402"/>
      <c r="DC1358" s="402"/>
      <c r="DD1358" s="402"/>
      <c r="DE1358" s="402"/>
      <c r="DF1358" s="402"/>
      <c r="DG1358" s="402"/>
      <c r="DH1358" s="402"/>
      <c r="DI1358" s="402"/>
      <c r="DJ1358" s="402"/>
      <c r="DK1358" s="402"/>
      <c r="DL1358" s="402"/>
      <c r="DM1358" s="402"/>
      <c r="DN1358" s="402"/>
      <c r="DO1358" s="402"/>
      <c r="DP1358" s="402"/>
      <c r="DQ1358" s="402"/>
      <c r="DR1358" s="402"/>
      <c r="DS1358" s="402"/>
      <c r="DT1358" s="402"/>
      <c r="DU1358" s="402"/>
      <c r="DV1358" s="402"/>
      <c r="DW1358" s="402"/>
      <c r="DX1358" s="402"/>
      <c r="DY1358" s="402"/>
      <c r="DZ1358" s="402"/>
      <c r="EA1358" s="402"/>
      <c r="EB1358" s="402"/>
      <c r="EC1358" s="402"/>
      <c r="ED1358" s="402"/>
      <c r="EE1358" s="402"/>
      <c r="EF1358" s="402"/>
      <c r="EG1358" s="402"/>
      <c r="EH1358" s="402"/>
      <c r="EI1358" s="402"/>
      <c r="EJ1358" s="402"/>
      <c r="EK1358" s="402"/>
      <c r="EL1358" s="402"/>
      <c r="EM1358" s="402"/>
      <c r="EN1358" s="402"/>
      <c r="EO1358" s="402"/>
      <c r="EP1358" s="402"/>
      <c r="EQ1358" s="402"/>
      <c r="ER1358" s="402"/>
      <c r="ES1358" s="402"/>
      <c r="ET1358" s="402"/>
      <c r="EU1358" s="402"/>
      <c r="EV1358" s="402"/>
      <c r="EW1358" s="402"/>
      <c r="EX1358" s="402"/>
      <c r="EY1358" s="402"/>
      <c r="EZ1358" s="402"/>
      <c r="FA1358" s="402"/>
      <c r="FB1358" s="402"/>
      <c r="FC1358" s="402"/>
      <c r="FD1358" s="402"/>
      <c r="FE1358" s="402"/>
      <c r="FF1358" s="402"/>
      <c r="FG1358" s="402"/>
      <c r="FH1358" s="402"/>
      <c r="FI1358" s="402"/>
      <c r="FJ1358" s="402"/>
      <c r="FK1358" s="402"/>
      <c r="FL1358" s="402"/>
      <c r="FM1358" s="402"/>
      <c r="FN1358" s="402"/>
      <c r="FO1358" s="402"/>
      <c r="FP1358" s="402"/>
      <c r="FQ1358" s="402"/>
      <c r="FR1358" s="402"/>
      <c r="FS1358" s="402"/>
      <c r="FT1358" s="402"/>
      <c r="FU1358" s="402"/>
      <c r="FV1358" s="402"/>
      <c r="FW1358" s="402"/>
      <c r="FX1358" s="402"/>
      <c r="FY1358" s="402"/>
      <c r="FZ1358" s="402"/>
      <c r="GA1358" s="402"/>
      <c r="GB1358" s="402"/>
      <c r="GC1358" s="402"/>
      <c r="GD1358" s="402"/>
      <c r="GE1358" s="402"/>
      <c r="GF1358" s="402"/>
      <c r="GG1358" s="402"/>
      <c r="GH1358" s="402"/>
      <c r="GI1358" s="402"/>
      <c r="GJ1358" s="402"/>
      <c r="GK1358" s="402"/>
      <c r="GL1358" s="402"/>
      <c r="GM1358" s="402"/>
      <c r="GN1358" s="402"/>
      <c r="GO1358" s="402"/>
      <c r="GP1358" s="402"/>
      <c r="GQ1358" s="402"/>
      <c r="GR1358" s="402"/>
      <c r="GS1358" s="402"/>
      <c r="GT1358" s="402"/>
      <c r="GU1358" s="402"/>
      <c r="GV1358" s="402"/>
      <c r="GW1358" s="402"/>
      <c r="GX1358" s="402"/>
      <c r="GY1358" s="402"/>
      <c r="GZ1358" s="402"/>
      <c r="HA1358" s="402"/>
      <c r="HB1358" s="402"/>
      <c r="HC1358" s="402"/>
      <c r="HD1358" s="402"/>
      <c r="HE1358" s="402"/>
      <c r="HF1358" s="402"/>
      <c r="HG1358" s="402"/>
      <c r="HH1358" s="402"/>
      <c r="HI1358" s="402"/>
      <c r="HJ1358" s="402"/>
      <c r="HK1358" s="402"/>
      <c r="HL1358" s="402"/>
      <c r="HM1358" s="402"/>
      <c r="HN1358" s="402"/>
      <c r="HO1358" s="402"/>
      <c r="HP1358" s="402"/>
      <c r="HQ1358" s="402"/>
      <c r="HR1358" s="402"/>
      <c r="HS1358" s="402"/>
      <c r="HT1358" s="402"/>
      <c r="HU1358" s="402"/>
      <c r="HV1358" s="402"/>
      <c r="HW1358" s="402"/>
      <c r="HX1358" s="402"/>
      <c r="HY1358" s="402"/>
      <c r="HZ1358" s="402"/>
      <c r="IA1358" s="402"/>
      <c r="IB1358" s="402"/>
      <c r="IC1358" s="402"/>
      <c r="ID1358" s="402"/>
      <c r="IE1358" s="402"/>
      <c r="IF1358" s="402"/>
      <c r="IG1358" s="402"/>
      <c r="IH1358" s="402"/>
      <c r="II1358" s="402"/>
      <c r="IJ1358" s="402"/>
      <c r="IK1358" s="402"/>
      <c r="IL1358" s="402"/>
      <c r="IM1358" s="402"/>
      <c r="IN1358" s="402"/>
      <c r="IO1358" s="402"/>
      <c r="IP1358" s="402"/>
      <c r="IQ1358" s="402"/>
      <c r="IR1358" s="402"/>
      <c r="IS1358" s="402"/>
      <c r="IT1358" s="402"/>
      <c r="IU1358" s="402"/>
      <c r="IV1358" s="402"/>
      <c r="IW1358" s="402"/>
      <c r="IX1358" s="402"/>
      <c r="IY1358" s="402"/>
      <c r="IZ1358" s="402"/>
      <c r="JA1358" s="402"/>
      <c r="JB1358" s="402"/>
      <c r="JC1358" s="402"/>
      <c r="JD1358" s="402"/>
      <c r="JE1358" s="402"/>
      <c r="JF1358" s="402"/>
      <c r="JG1358" s="402"/>
      <c r="JH1358" s="402"/>
      <c r="JI1358" s="402"/>
      <c r="JJ1358" s="402"/>
      <c r="JK1358" s="402"/>
      <c r="JL1358" s="402"/>
      <c r="JM1358" s="402"/>
      <c r="JN1358" s="402"/>
      <c r="JO1358" s="402"/>
      <c r="JP1358" s="402"/>
      <c r="JQ1358" s="402"/>
      <c r="JR1358" s="402"/>
      <c r="JS1358" s="402"/>
      <c r="JT1358" s="402"/>
      <c r="JU1358" s="402"/>
      <c r="JV1358" s="402"/>
      <c r="JW1358" s="402"/>
      <c r="JX1358" s="402"/>
      <c r="JY1358" s="402"/>
      <c r="JZ1358" s="402"/>
      <c r="KA1358" s="402"/>
      <c r="KB1358" s="402"/>
      <c r="KC1358" s="402"/>
      <c r="KD1358" s="402"/>
      <c r="KE1358" s="402"/>
      <c r="KF1358" s="402"/>
      <c r="KG1358" s="402"/>
      <c r="KH1358" s="402"/>
      <c r="KI1358" s="402"/>
      <c r="KJ1358" s="402"/>
      <c r="KK1358" s="402"/>
      <c r="KL1358" s="402"/>
      <c r="KM1358" s="402"/>
      <c r="KN1358" s="402"/>
      <c r="KO1358" s="402"/>
      <c r="KP1358" s="402"/>
      <c r="KQ1358" s="402"/>
      <c r="KR1358" s="402"/>
      <c r="KS1358" s="402"/>
      <c r="KT1358" s="402"/>
      <c r="KU1358" s="402"/>
      <c r="KV1358" s="402"/>
      <c r="KW1358" s="402"/>
      <c r="KX1358" s="402"/>
      <c r="KY1358" s="402"/>
      <c r="KZ1358" s="402"/>
      <c r="LA1358" s="402"/>
      <c r="LB1358" s="402"/>
      <c r="LC1358" s="402"/>
      <c r="LD1358" s="402"/>
      <c r="LE1358" s="402"/>
      <c r="LF1358" s="402"/>
      <c r="LG1358" s="402"/>
      <c r="LH1358" s="402"/>
      <c r="LI1358" s="402"/>
      <c r="LJ1358" s="402"/>
      <c r="LK1358" s="402"/>
      <c r="LL1358" s="402"/>
      <c r="LM1358" s="402"/>
      <c r="LN1358" s="402"/>
      <c r="LO1358" s="402"/>
      <c r="LP1358" s="402"/>
      <c r="LQ1358" s="402"/>
      <c r="LR1358" s="402"/>
      <c r="LS1358" s="402"/>
      <c r="LT1358" s="402"/>
      <c r="LU1358" s="402"/>
      <c r="LV1358" s="402"/>
      <c r="LW1358" s="402"/>
      <c r="LX1358" s="402"/>
      <c r="LY1358" s="402"/>
      <c r="LZ1358" s="402"/>
      <c r="MA1358" s="402"/>
      <c r="MB1358" s="402"/>
      <c r="MC1358" s="402"/>
      <c r="MD1358" s="402"/>
      <c r="ME1358" s="402"/>
      <c r="MF1358" s="402"/>
      <c r="MG1358" s="402"/>
      <c r="MH1358" s="402"/>
      <c r="MI1358" s="402"/>
      <c r="MJ1358" s="402"/>
      <c r="MK1358" s="402"/>
      <c r="ML1358" s="402"/>
      <c r="MM1358" s="402"/>
      <c r="MN1358" s="402"/>
      <c r="MO1358" s="402"/>
      <c r="MP1358" s="402"/>
      <c r="MQ1358" s="402"/>
      <c r="MR1358" s="402"/>
      <c r="MS1358" s="402"/>
      <c r="MT1358" s="402"/>
      <c r="MU1358" s="402"/>
      <c r="MV1358" s="402"/>
      <c r="MW1358" s="402"/>
      <c r="MX1358" s="402"/>
      <c r="MY1358" s="402"/>
      <c r="MZ1358" s="402"/>
      <c r="NA1358" s="402"/>
      <c r="NB1358" s="402"/>
      <c r="NC1358" s="402"/>
      <c r="ND1358" s="402"/>
      <c r="NE1358" s="402"/>
      <c r="NF1358" s="402"/>
      <c r="NG1358" s="402"/>
      <c r="NH1358" s="402"/>
      <c r="NI1358" s="402"/>
      <c r="NJ1358" s="402"/>
      <c r="NK1358" s="402"/>
      <c r="NL1358" s="402"/>
      <c r="NM1358" s="402"/>
      <c r="NN1358" s="402"/>
      <c r="NO1358" s="402"/>
      <c r="NP1358" s="402"/>
      <c r="NQ1358" s="402"/>
      <c r="NR1358" s="402"/>
      <c r="NS1358" s="402"/>
      <c r="NT1358" s="402"/>
      <c r="NU1358" s="402"/>
      <c r="NV1358" s="402"/>
      <c r="NW1358" s="402"/>
      <c r="NX1358" s="402"/>
      <c r="NY1358" s="402"/>
      <c r="NZ1358" s="402"/>
      <c r="OA1358" s="402"/>
      <c r="OB1358" s="402"/>
      <c r="OC1358" s="402"/>
      <c r="OD1358" s="402"/>
      <c r="OE1358" s="402"/>
      <c r="OF1358" s="402"/>
      <c r="OG1358" s="402"/>
      <c r="OH1358" s="402"/>
      <c r="OI1358" s="402"/>
      <c r="OJ1358" s="402"/>
      <c r="OK1358" s="402"/>
      <c r="OL1358" s="402"/>
      <c r="OM1358" s="402"/>
      <c r="ON1358" s="402"/>
      <c r="OO1358" s="402"/>
      <c r="OP1358" s="402"/>
      <c r="OQ1358" s="402"/>
      <c r="OR1358" s="402"/>
      <c r="OS1358" s="402"/>
      <c r="OT1358" s="402"/>
      <c r="OU1358" s="402"/>
      <c r="OV1358" s="402"/>
      <c r="OW1358" s="402"/>
      <c r="OX1358" s="402"/>
      <c r="OY1358" s="402"/>
      <c r="OZ1358" s="402"/>
      <c r="PA1358" s="402"/>
      <c r="PB1358" s="402"/>
      <c r="PC1358" s="402"/>
      <c r="PD1358" s="402"/>
      <c r="PE1358" s="402"/>
      <c r="PF1358" s="402"/>
      <c r="PG1358" s="402"/>
      <c r="PH1358" s="402"/>
      <c r="PI1358" s="402"/>
      <c r="PJ1358" s="402"/>
      <c r="PK1358" s="402"/>
      <c r="PL1358" s="402"/>
      <c r="PM1358" s="402"/>
      <c r="PN1358" s="402"/>
      <c r="PO1358" s="402"/>
      <c r="PP1358" s="402"/>
      <c r="PQ1358" s="402"/>
      <c r="PR1358" s="402"/>
      <c r="PS1358" s="402"/>
      <c r="PT1358" s="402"/>
      <c r="PU1358" s="402"/>
      <c r="PV1358" s="402"/>
      <c r="PW1358" s="402"/>
      <c r="PX1358" s="402"/>
      <c r="PY1358" s="402"/>
      <c r="PZ1358" s="402"/>
      <c r="QA1358" s="402"/>
      <c r="QB1358" s="402"/>
      <c r="QC1358" s="402"/>
      <c r="QD1358" s="402"/>
      <c r="QE1358" s="402"/>
      <c r="QF1358" s="402"/>
      <c r="QG1358" s="402"/>
      <c r="QH1358" s="402"/>
      <c r="QI1358" s="402"/>
      <c r="QJ1358" s="402"/>
      <c r="QK1358" s="402"/>
      <c r="QL1358" s="402"/>
      <c r="QM1358" s="402"/>
      <c r="QN1358" s="402"/>
      <c r="QO1358" s="402"/>
      <c r="QP1358" s="402"/>
      <c r="QQ1358" s="402"/>
      <c r="QR1358" s="402"/>
      <c r="QS1358" s="402"/>
      <c r="QT1358" s="402"/>
      <c r="QU1358" s="402"/>
      <c r="QV1358" s="402"/>
      <c r="QW1358" s="402"/>
      <c r="QX1358" s="402"/>
      <c r="QY1358" s="402"/>
      <c r="QZ1358" s="402"/>
      <c r="RA1358" s="402"/>
      <c r="RB1358" s="402"/>
      <c r="RC1358" s="402"/>
      <c r="RD1358" s="402"/>
      <c r="RE1358" s="402"/>
      <c r="RF1358" s="402"/>
      <c r="RG1358" s="402"/>
      <c r="RH1358" s="402"/>
      <c r="RI1358" s="402"/>
      <c r="RJ1358" s="402"/>
      <c r="RK1358" s="402"/>
      <c r="RL1358" s="402"/>
      <c r="RM1358" s="402"/>
      <c r="RN1358" s="402"/>
      <c r="RO1358" s="402"/>
      <c r="RP1358" s="402"/>
      <c r="RQ1358" s="402"/>
      <c r="RR1358" s="402"/>
      <c r="RS1358" s="402"/>
      <c r="RT1358" s="402"/>
      <c r="RU1358" s="402"/>
      <c r="RV1358" s="402"/>
      <c r="RW1358" s="402"/>
      <c r="RX1358" s="402"/>
      <c r="RY1358" s="402"/>
      <c r="RZ1358" s="402"/>
      <c r="SA1358" s="402"/>
      <c r="SB1358" s="402"/>
      <c r="SC1358" s="402"/>
      <c r="SD1358" s="402"/>
      <c r="SE1358" s="402"/>
      <c r="SF1358" s="402"/>
      <c r="SG1358" s="402"/>
      <c r="SH1358" s="402"/>
      <c r="SI1358" s="402"/>
      <c r="SJ1358" s="402"/>
      <c r="SK1358" s="402"/>
      <c r="SL1358" s="402"/>
      <c r="SM1358" s="402"/>
      <c r="SN1358" s="402"/>
      <c r="SO1358" s="402"/>
      <c r="SP1358" s="402"/>
      <c r="SQ1358" s="402"/>
      <c r="SR1358" s="402"/>
      <c r="SS1358" s="402"/>
      <c r="ST1358" s="402"/>
      <c r="SU1358" s="402"/>
      <c r="SV1358" s="402"/>
      <c r="SW1358" s="402"/>
      <c r="SX1358" s="402"/>
      <c r="SY1358" s="402"/>
      <c r="SZ1358" s="402"/>
      <c r="TA1358" s="402"/>
      <c r="TB1358" s="402"/>
      <c r="TC1358" s="402"/>
      <c r="TD1358" s="402"/>
      <c r="TE1358" s="402"/>
      <c r="TF1358" s="402"/>
      <c r="TG1358" s="402"/>
      <c r="TH1358" s="402"/>
      <c r="TI1358" s="402"/>
      <c r="TJ1358" s="402"/>
      <c r="TK1358" s="402"/>
      <c r="TL1358" s="402"/>
      <c r="TM1358" s="402"/>
      <c r="TN1358" s="402"/>
      <c r="TO1358" s="402"/>
      <c r="TP1358" s="402"/>
      <c r="TQ1358" s="402"/>
      <c r="TR1358" s="402"/>
      <c r="TS1358" s="402"/>
      <c r="TT1358" s="402"/>
      <c r="TU1358" s="402"/>
      <c r="TV1358" s="402"/>
      <c r="TW1358" s="402"/>
      <c r="TX1358" s="402"/>
      <c r="TY1358" s="402"/>
      <c r="TZ1358" s="402"/>
      <c r="UA1358" s="402"/>
      <c r="UB1358" s="402"/>
      <c r="UC1358" s="402"/>
      <c r="UD1358" s="402"/>
      <c r="UE1358" s="402"/>
      <c r="UF1358" s="402"/>
      <c r="UG1358" s="402"/>
      <c r="UH1358" s="402"/>
      <c r="UI1358" s="402"/>
      <c r="UJ1358" s="402"/>
      <c r="UK1358" s="402"/>
      <c r="UL1358" s="402"/>
      <c r="UM1358" s="402"/>
      <c r="UN1358" s="402"/>
      <c r="UO1358" s="402"/>
      <c r="UP1358" s="402"/>
      <c r="UQ1358" s="402"/>
      <c r="UR1358" s="402"/>
      <c r="US1358" s="402"/>
      <c r="UT1358" s="402"/>
      <c r="UU1358" s="402"/>
      <c r="UV1358" s="402"/>
      <c r="UW1358" s="402"/>
      <c r="UX1358" s="402"/>
      <c r="UY1358" s="402"/>
      <c r="UZ1358" s="402"/>
      <c r="VA1358" s="402"/>
      <c r="VB1358" s="402"/>
      <c r="VC1358" s="402"/>
      <c r="VD1358" s="402"/>
      <c r="VE1358" s="402"/>
      <c r="VF1358" s="402"/>
      <c r="VG1358" s="402"/>
      <c r="VH1358" s="402"/>
      <c r="VI1358" s="402"/>
      <c r="VJ1358" s="402"/>
      <c r="VK1358" s="402"/>
      <c r="VL1358" s="402"/>
      <c r="VM1358" s="402"/>
      <c r="VN1358" s="402"/>
      <c r="VO1358" s="402"/>
      <c r="VP1358" s="402"/>
      <c r="VQ1358" s="402"/>
      <c r="VR1358" s="402"/>
      <c r="VS1358" s="402"/>
      <c r="VT1358" s="402"/>
      <c r="VU1358" s="402"/>
      <c r="VV1358" s="402"/>
      <c r="VW1358" s="402"/>
      <c r="VX1358" s="402"/>
      <c r="VY1358" s="402"/>
      <c r="VZ1358" s="402"/>
      <c r="WA1358" s="402"/>
      <c r="WB1358" s="402"/>
      <c r="WC1358" s="402"/>
      <c r="WD1358" s="402"/>
      <c r="WE1358" s="402"/>
      <c r="WF1358" s="402"/>
      <c r="WG1358" s="402"/>
      <c r="WH1358" s="402"/>
      <c r="WI1358" s="402"/>
      <c r="WJ1358" s="402"/>
      <c r="WK1358" s="402"/>
      <c r="WL1358" s="402"/>
      <c r="WM1358" s="402"/>
      <c r="WN1358" s="402"/>
      <c r="WO1358" s="402"/>
      <c r="WP1358" s="402"/>
      <c r="WQ1358" s="402"/>
      <c r="WR1358" s="402"/>
      <c r="WS1358" s="402"/>
      <c r="WT1358" s="402"/>
      <c r="WU1358" s="402"/>
      <c r="WV1358" s="402"/>
      <c r="WW1358" s="402"/>
      <c r="WX1358" s="402"/>
      <c r="WY1358" s="402"/>
      <c r="WZ1358" s="402"/>
      <c r="XA1358" s="402"/>
      <c r="XB1358" s="402"/>
      <c r="XC1358" s="402"/>
      <c r="XD1358" s="402"/>
      <c r="XE1358" s="402"/>
      <c r="XF1358" s="402"/>
      <c r="XG1358" s="402"/>
      <c r="XH1358" s="402"/>
      <c r="XI1358" s="402"/>
      <c r="XJ1358" s="402"/>
      <c r="XK1358" s="402"/>
      <c r="XL1358" s="402"/>
      <c r="XM1358" s="402"/>
      <c r="XN1358" s="402"/>
      <c r="XO1358" s="402"/>
      <c r="XP1358" s="402"/>
      <c r="XQ1358" s="402"/>
      <c r="XR1358" s="402"/>
      <c r="XS1358" s="402"/>
      <c r="XT1358" s="402"/>
      <c r="XU1358" s="402"/>
      <c r="XV1358" s="402"/>
      <c r="XW1358" s="402"/>
      <c r="XX1358" s="402"/>
      <c r="XY1358" s="402"/>
      <c r="XZ1358" s="402"/>
      <c r="YA1358" s="402"/>
      <c r="YB1358" s="402"/>
      <c r="YC1358" s="402"/>
      <c r="YD1358" s="402"/>
      <c r="YE1358" s="402"/>
      <c r="YF1358" s="402"/>
      <c r="YG1358" s="402"/>
      <c r="YH1358" s="402"/>
      <c r="YI1358" s="402"/>
      <c r="YJ1358" s="402"/>
      <c r="YK1358" s="402"/>
      <c r="YL1358" s="402"/>
      <c r="YM1358" s="402"/>
      <c r="YN1358" s="402"/>
      <c r="YO1358" s="402"/>
      <c r="YP1358" s="402"/>
      <c r="YQ1358" s="402"/>
      <c r="YR1358" s="402"/>
      <c r="YS1358" s="402"/>
      <c r="YT1358" s="402"/>
      <c r="YU1358" s="402"/>
      <c r="YV1358" s="402"/>
      <c r="YW1358" s="402"/>
      <c r="YX1358" s="402"/>
      <c r="YY1358" s="402"/>
      <c r="YZ1358" s="402"/>
      <c r="ZA1358" s="402"/>
      <c r="ZB1358" s="402"/>
      <c r="ZC1358" s="402"/>
      <c r="ZD1358" s="402"/>
      <c r="ZE1358" s="402"/>
      <c r="ZF1358" s="402"/>
      <c r="ZG1358" s="402"/>
      <c r="ZH1358" s="402"/>
      <c r="ZI1358" s="402"/>
      <c r="ZJ1358" s="402"/>
      <c r="ZK1358" s="402"/>
      <c r="ZL1358" s="402"/>
      <c r="ZM1358" s="402"/>
      <c r="ZN1358" s="402"/>
      <c r="ZO1358" s="402"/>
      <c r="ZP1358" s="402"/>
      <c r="ZQ1358" s="402"/>
      <c r="ZR1358" s="402"/>
      <c r="ZS1358" s="402"/>
      <c r="ZT1358" s="402"/>
      <c r="ZU1358" s="402"/>
      <c r="ZV1358" s="402"/>
      <c r="ZW1358" s="402"/>
      <c r="ZX1358" s="402"/>
      <c r="ZY1358" s="402"/>
      <c r="ZZ1358" s="402"/>
      <c r="AAA1358" s="402"/>
      <c r="AAB1358" s="402"/>
      <c r="AAC1358" s="402"/>
      <c r="AAD1358" s="402"/>
      <c r="AAE1358" s="402"/>
      <c r="AAF1358" s="402"/>
      <c r="AAG1358" s="402"/>
      <c r="AAH1358" s="402"/>
      <c r="AAI1358" s="402"/>
      <c r="AAJ1358" s="402"/>
      <c r="AAK1358" s="402"/>
      <c r="AAL1358" s="402"/>
      <c r="AAM1358" s="402"/>
      <c r="AAN1358" s="402"/>
      <c r="AAO1358" s="402"/>
      <c r="AAP1358" s="402"/>
      <c r="AAQ1358" s="402"/>
      <c r="AAR1358" s="402"/>
      <c r="AAS1358" s="402"/>
      <c r="AAT1358" s="402"/>
      <c r="AAU1358" s="402"/>
      <c r="AAV1358" s="402"/>
      <c r="AAW1358" s="402"/>
      <c r="AAX1358" s="402"/>
      <c r="AAY1358" s="402"/>
      <c r="AAZ1358" s="402"/>
      <c r="ABA1358" s="402"/>
      <c r="ABB1358" s="402"/>
      <c r="ABC1358" s="402"/>
      <c r="ABD1358" s="402"/>
      <c r="ABE1358" s="402"/>
      <c r="ABF1358" s="402"/>
      <c r="ABG1358" s="402"/>
      <c r="ABH1358" s="402"/>
      <c r="ABI1358" s="402"/>
      <c r="ABJ1358" s="402"/>
      <c r="ABK1358" s="402"/>
      <c r="ABL1358" s="402"/>
      <c r="ABM1358" s="402"/>
      <c r="ABN1358" s="402"/>
      <c r="ABO1358" s="402"/>
      <c r="ABP1358" s="402"/>
      <c r="ABQ1358" s="402"/>
      <c r="ABR1358" s="402"/>
      <c r="ABS1358" s="402"/>
      <c r="ABT1358" s="402"/>
      <c r="ABU1358" s="402"/>
      <c r="ABV1358" s="402"/>
      <c r="ABW1358" s="402"/>
      <c r="ABX1358" s="402"/>
      <c r="ABY1358" s="402"/>
      <c r="ABZ1358" s="402"/>
      <c r="ACA1358" s="402"/>
      <c r="ACB1358" s="402"/>
      <c r="ACC1358" s="402"/>
      <c r="ACD1358" s="402"/>
      <c r="ACE1358" s="402"/>
      <c r="ACF1358" s="402"/>
      <c r="ACG1358" s="402"/>
      <c r="ACH1358" s="402"/>
      <c r="ACI1358" s="402"/>
      <c r="ACJ1358" s="402"/>
      <c r="ACK1358" s="402"/>
      <c r="ACL1358" s="402"/>
      <c r="ACM1358" s="402"/>
      <c r="ACN1358" s="402"/>
      <c r="ACO1358" s="402"/>
      <c r="ACP1358" s="402"/>
      <c r="ACQ1358" s="402"/>
      <c r="ACR1358" s="402"/>
      <c r="ACS1358" s="402"/>
      <c r="ACT1358" s="402"/>
      <c r="ACU1358" s="402"/>
      <c r="ACV1358" s="402"/>
      <c r="ACW1358" s="402"/>
      <c r="ACX1358" s="402"/>
      <c r="ACY1358" s="402"/>
      <c r="ACZ1358" s="402"/>
      <c r="ADA1358" s="402"/>
      <c r="ADB1358" s="402"/>
      <c r="ADC1358" s="402"/>
      <c r="ADD1358" s="402"/>
      <c r="ADE1358" s="402"/>
      <c r="ADF1358" s="402"/>
      <c r="ADG1358" s="402"/>
      <c r="ADH1358" s="402"/>
      <c r="ADI1358" s="402"/>
      <c r="ADJ1358" s="402"/>
      <c r="ADK1358" s="402"/>
      <c r="ADL1358" s="402"/>
      <c r="ADM1358" s="402"/>
      <c r="ADN1358" s="402"/>
      <c r="ADO1358" s="402"/>
      <c r="ADP1358" s="402"/>
      <c r="ADQ1358" s="402"/>
      <c r="ADR1358" s="402"/>
      <c r="ADS1358" s="402"/>
      <c r="ADT1358" s="402"/>
      <c r="ADU1358" s="402"/>
      <c r="ADV1358" s="402"/>
      <c r="ADW1358" s="402"/>
      <c r="ADX1358" s="402"/>
      <c r="ADY1358" s="402"/>
      <c r="ADZ1358" s="402"/>
      <c r="AEA1358" s="402"/>
      <c r="AEB1358" s="402"/>
      <c r="AEC1358" s="402"/>
      <c r="AED1358" s="402"/>
      <c r="AEE1358" s="402"/>
      <c r="AEF1358" s="402"/>
      <c r="AEG1358" s="402"/>
      <c r="AEH1358" s="402"/>
      <c r="AEI1358" s="402"/>
      <c r="AEJ1358" s="402"/>
      <c r="AEK1358" s="402"/>
      <c r="AEL1358" s="402"/>
      <c r="AEM1358" s="402"/>
      <c r="AEN1358" s="402"/>
      <c r="AEO1358" s="402"/>
      <c r="AEP1358" s="402"/>
      <c r="AEQ1358" s="402"/>
      <c r="AER1358" s="402"/>
      <c r="AES1358" s="402"/>
      <c r="AET1358" s="402"/>
      <c r="AEU1358" s="402"/>
      <c r="AEV1358" s="402"/>
      <c r="AEW1358" s="402"/>
      <c r="AEX1358" s="402"/>
      <c r="AEY1358" s="402"/>
      <c r="AEZ1358" s="402"/>
      <c r="AFA1358" s="402"/>
      <c r="AFB1358" s="402"/>
      <c r="AFC1358" s="402"/>
      <c r="AFD1358" s="402"/>
      <c r="AFE1358" s="402"/>
      <c r="AFF1358" s="402"/>
      <c r="AFG1358" s="402"/>
      <c r="AFH1358" s="402"/>
      <c r="AFI1358" s="402"/>
      <c r="AFJ1358" s="402"/>
      <c r="AFK1358" s="402"/>
      <c r="AFL1358" s="402"/>
      <c r="AFM1358" s="402"/>
      <c r="AFN1358" s="402"/>
      <c r="AFO1358" s="402"/>
      <c r="AFP1358" s="402"/>
      <c r="AFQ1358" s="402"/>
      <c r="AFR1358" s="402"/>
      <c r="AFS1358" s="402"/>
      <c r="AFT1358" s="402"/>
      <c r="AFU1358" s="402"/>
      <c r="AFV1358" s="402"/>
      <c r="AFW1358" s="402"/>
      <c r="AFX1358" s="402"/>
      <c r="AFY1358" s="402"/>
      <c r="AFZ1358" s="402"/>
      <c r="AGA1358" s="402"/>
      <c r="AGB1358" s="402"/>
      <c r="AGC1358" s="402"/>
      <c r="AGD1358" s="402"/>
      <c r="AGE1358" s="402"/>
      <c r="AGF1358" s="402"/>
      <c r="AGG1358" s="402"/>
      <c r="AGH1358" s="402"/>
      <c r="AGI1358" s="402"/>
      <c r="AGJ1358" s="402"/>
      <c r="AGK1358" s="402"/>
      <c r="AGL1358" s="402"/>
      <c r="AGM1358" s="402"/>
      <c r="AGN1358" s="402"/>
      <c r="AGO1358" s="402"/>
      <c r="AGP1358" s="402"/>
      <c r="AGQ1358" s="402"/>
      <c r="AGR1358" s="402"/>
      <c r="AGS1358" s="402"/>
      <c r="AGT1358" s="402"/>
      <c r="AGU1358" s="402"/>
      <c r="AGV1358" s="402"/>
      <c r="AGW1358" s="402"/>
      <c r="AGX1358" s="402"/>
      <c r="AGY1358" s="402"/>
      <c r="AGZ1358" s="402"/>
      <c r="AHA1358" s="402"/>
      <c r="AHB1358" s="402"/>
      <c r="AHC1358" s="402"/>
      <c r="AHD1358" s="402"/>
      <c r="AHE1358" s="402"/>
      <c r="AHF1358" s="402"/>
      <c r="AHG1358" s="402"/>
      <c r="AHH1358" s="402"/>
      <c r="AHI1358" s="402"/>
      <c r="AHJ1358" s="402"/>
      <c r="AHK1358" s="402"/>
      <c r="AHL1358" s="402"/>
      <c r="AHM1358" s="402"/>
      <c r="AHN1358" s="402"/>
      <c r="AHO1358" s="402"/>
      <c r="AHP1358" s="402"/>
      <c r="AHQ1358" s="402"/>
      <c r="AHR1358" s="402"/>
      <c r="AHS1358" s="402"/>
      <c r="AHT1358" s="402"/>
      <c r="AHU1358" s="402"/>
      <c r="AHV1358" s="402"/>
      <c r="AHW1358" s="402"/>
      <c r="AHX1358" s="402"/>
      <c r="AHY1358" s="402"/>
      <c r="AHZ1358" s="402"/>
      <c r="AIA1358" s="402"/>
      <c r="AIB1358" s="402"/>
      <c r="AIC1358" s="402"/>
      <c r="AID1358" s="402"/>
      <c r="AIE1358" s="402"/>
      <c r="AIF1358" s="402"/>
      <c r="AIG1358" s="402"/>
      <c r="AIH1358" s="402"/>
      <c r="AII1358" s="402"/>
      <c r="AIJ1358" s="402"/>
      <c r="AIK1358" s="402"/>
      <c r="AIL1358" s="402"/>
      <c r="AIM1358" s="402"/>
      <c r="AIN1358" s="402"/>
      <c r="AIO1358" s="402"/>
      <c r="AIP1358" s="402"/>
      <c r="AIQ1358" s="402"/>
      <c r="AIR1358" s="402"/>
      <c r="AIS1358" s="402"/>
      <c r="AIT1358" s="402"/>
      <c r="AIU1358" s="402"/>
      <c r="AIV1358" s="402"/>
      <c r="AIW1358" s="402"/>
      <c r="AIX1358" s="402"/>
      <c r="AIY1358" s="402"/>
      <c r="AIZ1358" s="402"/>
      <c r="AJA1358" s="402"/>
      <c r="AJB1358" s="402"/>
      <c r="AJC1358" s="402"/>
      <c r="AJD1358" s="402"/>
      <c r="AJE1358" s="402"/>
      <c r="AJF1358" s="402"/>
      <c r="AJG1358" s="402"/>
      <c r="AJH1358" s="402"/>
      <c r="AJI1358" s="402"/>
      <c r="AJJ1358" s="402"/>
      <c r="AJK1358" s="402"/>
      <c r="AJL1358" s="402"/>
      <c r="AJM1358" s="402"/>
      <c r="AJN1358" s="402"/>
      <c r="AJO1358" s="402"/>
      <c r="AJP1358" s="402"/>
      <c r="AJQ1358" s="402"/>
      <c r="AJR1358" s="402"/>
      <c r="AJS1358" s="402"/>
      <c r="AJT1358" s="402"/>
      <c r="AJU1358" s="402"/>
      <c r="AJV1358" s="402"/>
      <c r="AJW1358" s="402"/>
      <c r="AJX1358" s="402"/>
      <c r="AJY1358" s="402"/>
      <c r="AJZ1358" s="402"/>
      <c r="AKA1358" s="402"/>
      <c r="AKB1358" s="402"/>
      <c r="AKC1358" s="402"/>
      <c r="AKD1358" s="402"/>
      <c r="AKE1358" s="402"/>
      <c r="AKF1358" s="402"/>
      <c r="AKG1358" s="402"/>
      <c r="AKH1358" s="402"/>
      <c r="AKI1358" s="402"/>
      <c r="AKJ1358" s="402"/>
      <c r="AKK1358" s="402"/>
      <c r="AKL1358" s="402"/>
      <c r="AKM1358" s="402"/>
      <c r="AKN1358" s="402"/>
      <c r="AKO1358" s="402"/>
      <c r="AKP1358" s="402"/>
      <c r="AKQ1358" s="402"/>
      <c r="AKR1358" s="402"/>
      <c r="AKS1358" s="402"/>
      <c r="AKT1358" s="402"/>
      <c r="AKU1358" s="402"/>
      <c r="AKV1358" s="402"/>
      <c r="AKW1358" s="402"/>
      <c r="AKX1358" s="402"/>
      <c r="AKY1358" s="402"/>
      <c r="AKZ1358" s="402"/>
      <c r="ALA1358" s="402"/>
      <c r="ALB1358" s="402"/>
      <c r="ALC1358" s="402"/>
      <c r="ALD1358" s="402"/>
      <c r="ALE1358" s="402"/>
      <c r="ALF1358" s="402"/>
      <c r="ALG1358" s="402"/>
      <c r="ALH1358" s="402"/>
      <c r="ALI1358" s="402"/>
      <c r="ALJ1358" s="402"/>
      <c r="ALK1358" s="402"/>
      <c r="ALL1358" s="402"/>
      <c r="ALM1358" s="402"/>
      <c r="ALN1358" s="402"/>
      <c r="ALO1358" s="402"/>
      <c r="ALP1358" s="402"/>
      <c r="ALQ1358" s="402"/>
      <c r="ALR1358" s="402"/>
      <c r="ALS1358" s="402"/>
      <c r="ALT1358" s="402"/>
      <c r="ALU1358" s="402"/>
      <c r="ALV1358" s="402"/>
      <c r="ALW1358" s="402"/>
      <c r="ALX1358" s="402"/>
      <c r="ALY1358" s="402"/>
      <c r="ALZ1358" s="402"/>
      <c r="AMA1358" s="402"/>
      <c r="AMB1358" s="402"/>
      <c r="AMC1358" s="402"/>
      <c r="AMD1358" s="402"/>
      <c r="AME1358" s="402"/>
      <c r="AMF1358" s="402"/>
      <c r="AMG1358" s="402"/>
      <c r="AMH1358" s="402"/>
      <c r="AMI1358" s="402"/>
      <c r="AMJ1358" s="402"/>
      <c r="AMK1358" s="402"/>
      <c r="AML1358" s="402"/>
      <c r="AMM1358" s="402"/>
      <c r="AMN1358" s="402"/>
      <c r="AMO1358" s="402"/>
      <c r="AMP1358" s="402"/>
      <c r="AMQ1358" s="402"/>
      <c r="AMR1358" s="402"/>
      <c r="AMS1358" s="402"/>
      <c r="AMT1358" s="402"/>
      <c r="AMU1358" s="402"/>
      <c r="AMV1358" s="402"/>
      <c r="AMW1358" s="402"/>
      <c r="AMX1358" s="402"/>
      <c r="AMY1358" s="402"/>
      <c r="AMZ1358" s="402"/>
      <c r="ANA1358" s="402"/>
      <c r="ANB1358" s="402"/>
      <c r="ANC1358" s="402"/>
      <c r="AND1358" s="402"/>
      <c r="ANE1358" s="402"/>
      <c r="ANF1358" s="402"/>
      <c r="ANG1358" s="402"/>
      <c r="ANH1358" s="402"/>
      <c r="ANI1358" s="402"/>
      <c r="ANJ1358" s="402"/>
      <c r="ANK1358" s="402"/>
      <c r="ANL1358" s="402"/>
      <c r="ANM1358" s="402"/>
      <c r="ANN1358" s="402"/>
      <c r="ANO1358" s="402"/>
      <c r="ANP1358" s="402"/>
      <c r="ANQ1358" s="402"/>
      <c r="ANR1358" s="402"/>
      <c r="ANS1358" s="402"/>
      <c r="ANT1358" s="402"/>
      <c r="ANU1358" s="402"/>
      <c r="ANV1358" s="402"/>
      <c r="ANW1358" s="402"/>
      <c r="ANX1358" s="402"/>
      <c r="ANY1358" s="402"/>
      <c r="ANZ1358" s="402"/>
      <c r="AOA1358" s="402"/>
      <c r="AOB1358" s="402"/>
      <c r="AOC1358" s="402"/>
      <c r="AOD1358" s="402"/>
      <c r="AOE1358" s="402"/>
      <c r="AOF1358" s="402"/>
      <c r="AOG1358" s="402"/>
      <c r="AOH1358" s="402"/>
      <c r="AOI1358" s="402"/>
      <c r="AOJ1358" s="402"/>
      <c r="AOK1358" s="402"/>
      <c r="AOL1358" s="402"/>
      <c r="AOM1358" s="402"/>
      <c r="AON1358" s="402"/>
      <c r="AOO1358" s="402"/>
      <c r="AOP1358" s="402"/>
      <c r="AOQ1358" s="402"/>
      <c r="AOR1358" s="402"/>
      <c r="AOS1358" s="402"/>
      <c r="AOT1358" s="402"/>
      <c r="AOU1358" s="402"/>
      <c r="AOV1358" s="402"/>
      <c r="AOW1358" s="402"/>
      <c r="AOX1358" s="402"/>
      <c r="AOY1358" s="402"/>
      <c r="AOZ1358" s="402"/>
      <c r="APA1358" s="402"/>
      <c r="APB1358" s="402"/>
      <c r="APC1358" s="402"/>
      <c r="APD1358" s="402"/>
      <c r="APE1358" s="402"/>
      <c r="APF1358" s="402"/>
      <c r="APG1358" s="402"/>
      <c r="APH1358" s="402"/>
      <c r="API1358" s="402"/>
      <c r="APJ1358" s="402"/>
      <c r="APK1358" s="402"/>
      <c r="APL1358" s="402"/>
      <c r="APM1358" s="402"/>
      <c r="APN1358" s="402"/>
      <c r="APO1358" s="402"/>
      <c r="APP1358" s="402"/>
      <c r="APQ1358" s="402"/>
      <c r="APR1358" s="402"/>
      <c r="APS1358" s="402"/>
      <c r="APT1358" s="402"/>
      <c r="APU1358" s="402"/>
      <c r="APV1358" s="402"/>
      <c r="APW1358" s="402"/>
      <c r="APX1358" s="402"/>
      <c r="APY1358" s="402"/>
      <c r="APZ1358" s="402"/>
      <c r="AQA1358" s="402"/>
      <c r="AQB1358" s="402"/>
      <c r="AQC1358" s="402"/>
      <c r="AQD1358" s="402"/>
      <c r="AQE1358" s="402"/>
      <c r="AQF1358" s="402"/>
      <c r="AQG1358" s="402"/>
      <c r="AQH1358" s="402"/>
      <c r="AQI1358" s="402"/>
      <c r="AQJ1358" s="402"/>
      <c r="AQK1358" s="402"/>
      <c r="AQL1358" s="402"/>
      <c r="AQM1358" s="402"/>
      <c r="AQN1358" s="402"/>
      <c r="AQO1358" s="402"/>
      <c r="AQP1358" s="402"/>
      <c r="AQQ1358" s="402"/>
      <c r="AQR1358" s="402"/>
      <c r="AQS1358" s="402"/>
      <c r="AQT1358" s="402"/>
      <c r="AQU1358" s="402"/>
      <c r="AQV1358" s="402"/>
      <c r="AQW1358" s="402"/>
      <c r="AQX1358" s="402"/>
      <c r="AQY1358" s="402"/>
      <c r="AQZ1358" s="402"/>
      <c r="ARA1358" s="402"/>
      <c r="ARB1358" s="402"/>
      <c r="ARC1358" s="402"/>
      <c r="ARD1358" s="402"/>
      <c r="ARE1358" s="402"/>
      <c r="ARF1358" s="402"/>
      <c r="ARG1358" s="402"/>
      <c r="ARH1358" s="402"/>
      <c r="ARI1358" s="402"/>
      <c r="ARJ1358" s="402"/>
      <c r="ARK1358" s="402"/>
      <c r="ARL1358" s="402"/>
      <c r="ARM1358" s="402"/>
      <c r="ARN1358" s="402"/>
      <c r="ARO1358" s="402"/>
      <c r="ARP1358" s="402"/>
      <c r="ARQ1358" s="402"/>
      <c r="ARR1358" s="402"/>
      <c r="ARS1358" s="402"/>
      <c r="ART1358" s="402"/>
      <c r="ARU1358" s="402"/>
      <c r="ARV1358" s="402"/>
      <c r="ARW1358" s="402"/>
      <c r="ARX1358" s="402"/>
      <c r="ARY1358" s="402"/>
      <c r="ARZ1358" s="402"/>
      <c r="ASA1358" s="402"/>
      <c r="ASB1358" s="402"/>
      <c r="ASC1358" s="402"/>
      <c r="ASD1358" s="402"/>
      <c r="ASE1358" s="402"/>
      <c r="ASF1358" s="402"/>
      <c r="ASG1358" s="402"/>
      <c r="ASH1358" s="402"/>
      <c r="ASI1358" s="402"/>
      <c r="ASJ1358" s="402"/>
      <c r="ASK1358" s="402"/>
      <c r="ASL1358" s="402"/>
      <c r="ASM1358" s="402"/>
      <c r="ASN1358" s="402"/>
      <c r="ASO1358" s="402"/>
      <c r="ASP1358" s="402"/>
      <c r="ASQ1358" s="402"/>
      <c r="ASR1358" s="402"/>
      <c r="ASS1358" s="402"/>
      <c r="AST1358" s="402"/>
      <c r="ASU1358" s="402"/>
      <c r="ASV1358" s="402"/>
      <c r="ASW1358" s="402"/>
      <c r="ASX1358" s="402"/>
      <c r="ASY1358" s="402"/>
      <c r="ASZ1358" s="402"/>
      <c r="ATA1358" s="402"/>
      <c r="ATB1358" s="402"/>
      <c r="ATC1358" s="402"/>
      <c r="ATD1358" s="402"/>
      <c r="ATE1358" s="402"/>
      <c r="ATF1358" s="402"/>
      <c r="ATG1358" s="402"/>
      <c r="ATH1358" s="402"/>
      <c r="ATI1358" s="402"/>
      <c r="ATJ1358" s="402"/>
      <c r="ATK1358" s="402"/>
      <c r="ATL1358" s="402"/>
      <c r="ATM1358" s="402"/>
      <c r="ATN1358" s="402"/>
      <c r="ATO1358" s="402"/>
      <c r="ATP1358" s="402"/>
      <c r="ATQ1358" s="402"/>
      <c r="ATR1358" s="402"/>
      <c r="ATS1358" s="402"/>
      <c r="ATT1358" s="402"/>
      <c r="ATU1358" s="402"/>
      <c r="ATV1358" s="402"/>
      <c r="ATW1358" s="402"/>
      <c r="ATX1358" s="402"/>
      <c r="ATY1358" s="402"/>
      <c r="ATZ1358" s="402"/>
      <c r="AUA1358" s="402"/>
      <c r="AUB1358" s="402"/>
      <c r="AUC1358" s="402"/>
      <c r="AUD1358" s="402"/>
      <c r="AUE1358" s="402"/>
      <c r="AUF1358" s="402"/>
      <c r="AUG1358" s="402"/>
      <c r="AUH1358" s="402"/>
      <c r="AUI1358" s="402"/>
      <c r="AUJ1358" s="402"/>
      <c r="AUK1358" s="402"/>
      <c r="AUL1358" s="402"/>
      <c r="AUM1358" s="402"/>
      <c r="AUN1358" s="402"/>
      <c r="AUO1358" s="402"/>
      <c r="AUP1358" s="402"/>
      <c r="AUQ1358" s="402"/>
      <c r="AUR1358" s="402"/>
      <c r="AUS1358" s="402"/>
      <c r="AUT1358" s="402"/>
      <c r="AUU1358" s="402"/>
      <c r="AUV1358" s="402"/>
      <c r="AUW1358" s="402"/>
      <c r="AUX1358" s="402"/>
      <c r="AUY1358" s="402"/>
      <c r="AUZ1358" s="402"/>
      <c r="AVA1358" s="402"/>
      <c r="AVB1358" s="402"/>
      <c r="AVC1358" s="402"/>
      <c r="AVD1358" s="402"/>
      <c r="AVE1358" s="402"/>
      <c r="AVF1358" s="402"/>
      <c r="AVG1358" s="402"/>
      <c r="AVH1358" s="402"/>
      <c r="AVI1358" s="402"/>
      <c r="AVJ1358" s="402"/>
      <c r="AVK1358" s="402"/>
    </row>
    <row r="1359" spans="1:1259" s="442" customFormat="1" ht="15" customHeight="1">
      <c r="A1359" s="403"/>
      <c r="B1359" s="403"/>
      <c r="C1359" s="403"/>
      <c r="D1359" s="443" t="s">
        <v>2480</v>
      </c>
      <c r="E1359" s="443" t="s">
        <v>2406</v>
      </c>
      <c r="F1359" s="432"/>
      <c r="G1359" s="432"/>
      <c r="H1359" s="451">
        <v>10</v>
      </c>
      <c r="I1359" s="427" t="s">
        <v>1498</v>
      </c>
      <c r="J1359" s="433"/>
      <c r="K1359" s="433" t="s">
        <v>3753</v>
      </c>
      <c r="L1359" s="433" t="s">
        <v>2509</v>
      </c>
      <c r="M1359" s="433">
        <v>44550</v>
      </c>
      <c r="N1359" s="433">
        <v>44715</v>
      </c>
      <c r="O1359" s="435"/>
      <c r="P1359" s="433"/>
      <c r="Q1359" s="433"/>
      <c r="R1359" s="433"/>
      <c r="S1359" s="432" t="s">
        <v>1940</v>
      </c>
      <c r="T1359" s="432">
        <v>60</v>
      </c>
      <c r="U1359" s="432"/>
      <c r="V1359" s="432" t="s">
        <v>973</v>
      </c>
      <c r="W1359" s="432">
        <v>400</v>
      </c>
      <c r="X1359" s="436">
        <v>768</v>
      </c>
      <c r="Y1359" s="422">
        <f t="shared" si="166"/>
        <v>307200</v>
      </c>
      <c r="Z1359" s="437">
        <v>0.53</v>
      </c>
      <c r="AA1359" s="423">
        <f t="shared" si="167"/>
        <v>162816</v>
      </c>
      <c r="AB1359" s="411"/>
      <c r="AC1359" s="412">
        <f t="shared" si="168"/>
        <v>0</v>
      </c>
      <c r="AD1359" s="439"/>
      <c r="AE1359" s="438"/>
      <c r="AF1359" s="424">
        <f t="shared" si="169"/>
        <v>162816</v>
      </c>
      <c r="AG1359" s="432" t="s">
        <v>1069</v>
      </c>
      <c r="AH1359" s="432"/>
      <c r="AI1359" s="434">
        <v>60</v>
      </c>
      <c r="AJ1359" s="432" t="s">
        <v>1454</v>
      </c>
      <c r="AK1359" s="440" t="s">
        <v>1136</v>
      </c>
      <c r="AL1359" s="432">
        <v>78744</v>
      </c>
      <c r="AM1359" s="432" t="s">
        <v>52</v>
      </c>
      <c r="AN1359" s="432"/>
      <c r="AO1359" s="432"/>
      <c r="AP1359" s="441"/>
      <c r="AQ1359" s="441" t="s">
        <v>37</v>
      </c>
      <c r="AR1359" s="441"/>
      <c r="AS1359" s="426" t="s">
        <v>1142</v>
      </c>
      <c r="AT1359" s="426" t="s">
        <v>1073</v>
      </c>
      <c r="AU1359" s="426" t="s">
        <v>1073</v>
      </c>
      <c r="AV1359" s="437">
        <v>0.53</v>
      </c>
      <c r="AW1359" s="402"/>
      <c r="AX1359" s="402"/>
      <c r="AY1359" s="402"/>
      <c r="AZ1359" s="402"/>
      <c r="BA1359" s="402"/>
      <c r="BB1359" s="402"/>
      <c r="BC1359" s="402"/>
      <c r="BD1359" s="402"/>
      <c r="BE1359" s="402"/>
      <c r="BF1359" s="402"/>
      <c r="BG1359" s="402"/>
      <c r="BH1359" s="402"/>
      <c r="BI1359" s="402"/>
      <c r="BJ1359" s="402"/>
      <c r="BK1359" s="402"/>
      <c r="BL1359" s="402"/>
      <c r="BM1359" s="402"/>
      <c r="BN1359" s="402"/>
      <c r="BO1359" s="402"/>
      <c r="BP1359" s="402"/>
      <c r="BQ1359" s="402"/>
      <c r="BR1359" s="402"/>
      <c r="BS1359" s="402"/>
      <c r="BT1359" s="402"/>
      <c r="BU1359" s="402"/>
      <c r="BV1359" s="402"/>
      <c r="BW1359" s="402"/>
      <c r="BX1359" s="402"/>
      <c r="BY1359" s="402"/>
      <c r="BZ1359" s="402"/>
      <c r="CA1359" s="402"/>
      <c r="CB1359" s="402"/>
      <c r="CC1359" s="402"/>
      <c r="CD1359" s="402"/>
      <c r="CE1359" s="402"/>
      <c r="CF1359" s="402"/>
      <c r="CG1359" s="402"/>
      <c r="CH1359" s="402"/>
      <c r="CI1359" s="402"/>
      <c r="CJ1359" s="402"/>
      <c r="CK1359" s="402"/>
      <c r="CL1359" s="402"/>
      <c r="CM1359" s="402"/>
      <c r="CN1359" s="402"/>
      <c r="CO1359" s="402"/>
      <c r="CP1359" s="402"/>
      <c r="CQ1359" s="402"/>
      <c r="CR1359" s="402"/>
      <c r="CS1359" s="402"/>
      <c r="CT1359" s="402"/>
      <c r="CU1359" s="402"/>
      <c r="CV1359" s="402"/>
      <c r="CW1359" s="402"/>
      <c r="CX1359" s="402"/>
      <c r="CY1359" s="402"/>
      <c r="CZ1359" s="402"/>
      <c r="DA1359" s="402"/>
      <c r="DB1359" s="402"/>
      <c r="DC1359" s="402"/>
      <c r="DD1359" s="402"/>
      <c r="DE1359" s="402"/>
      <c r="DF1359" s="402"/>
      <c r="DG1359" s="402"/>
      <c r="DH1359" s="402"/>
      <c r="DI1359" s="402"/>
      <c r="DJ1359" s="402"/>
      <c r="DK1359" s="402"/>
      <c r="DL1359" s="402"/>
      <c r="DM1359" s="402"/>
      <c r="DN1359" s="402"/>
      <c r="DO1359" s="402"/>
      <c r="DP1359" s="402"/>
      <c r="DQ1359" s="402"/>
      <c r="DR1359" s="402"/>
      <c r="DS1359" s="402"/>
      <c r="DT1359" s="402"/>
      <c r="DU1359" s="402"/>
      <c r="DV1359" s="402"/>
      <c r="DW1359" s="402"/>
      <c r="DX1359" s="402"/>
      <c r="DY1359" s="402"/>
      <c r="DZ1359" s="402"/>
      <c r="EA1359" s="402"/>
      <c r="EB1359" s="402"/>
      <c r="EC1359" s="402"/>
      <c r="ED1359" s="402"/>
      <c r="EE1359" s="402"/>
      <c r="EF1359" s="402"/>
      <c r="EG1359" s="402"/>
      <c r="EH1359" s="402"/>
      <c r="EI1359" s="402"/>
      <c r="EJ1359" s="402"/>
      <c r="EK1359" s="402"/>
      <c r="EL1359" s="402"/>
      <c r="EM1359" s="402"/>
      <c r="EN1359" s="402"/>
      <c r="EO1359" s="402"/>
      <c r="EP1359" s="402"/>
      <c r="EQ1359" s="402"/>
      <c r="ER1359" s="402"/>
      <c r="ES1359" s="402"/>
      <c r="ET1359" s="402"/>
      <c r="EU1359" s="402"/>
      <c r="EV1359" s="402"/>
      <c r="EW1359" s="402"/>
      <c r="EX1359" s="402"/>
      <c r="EY1359" s="402"/>
      <c r="EZ1359" s="402"/>
      <c r="FA1359" s="402"/>
      <c r="FB1359" s="402"/>
      <c r="FC1359" s="402"/>
      <c r="FD1359" s="402"/>
      <c r="FE1359" s="402"/>
      <c r="FF1359" s="402"/>
      <c r="FG1359" s="402"/>
      <c r="FH1359" s="402"/>
      <c r="FI1359" s="402"/>
      <c r="FJ1359" s="402"/>
      <c r="FK1359" s="402"/>
      <c r="FL1359" s="402"/>
      <c r="FM1359" s="402"/>
      <c r="FN1359" s="402"/>
      <c r="FO1359" s="402"/>
      <c r="FP1359" s="402"/>
      <c r="FQ1359" s="402"/>
      <c r="FR1359" s="402"/>
      <c r="FS1359" s="402"/>
      <c r="FT1359" s="402"/>
      <c r="FU1359" s="402"/>
      <c r="FV1359" s="402"/>
      <c r="FW1359" s="402"/>
      <c r="FX1359" s="402"/>
      <c r="FY1359" s="402"/>
      <c r="FZ1359" s="402"/>
      <c r="GA1359" s="402"/>
      <c r="GB1359" s="402"/>
      <c r="GC1359" s="402"/>
      <c r="GD1359" s="402"/>
      <c r="GE1359" s="402"/>
      <c r="GF1359" s="402"/>
      <c r="GG1359" s="402"/>
      <c r="GH1359" s="402"/>
      <c r="GI1359" s="402"/>
      <c r="GJ1359" s="402"/>
      <c r="GK1359" s="402"/>
      <c r="GL1359" s="402"/>
      <c r="GM1359" s="402"/>
      <c r="GN1359" s="402"/>
      <c r="GO1359" s="402"/>
      <c r="GP1359" s="402"/>
      <c r="GQ1359" s="402"/>
      <c r="GR1359" s="402"/>
      <c r="GS1359" s="402"/>
      <c r="GT1359" s="402"/>
      <c r="GU1359" s="402"/>
      <c r="GV1359" s="402"/>
      <c r="GW1359" s="402"/>
      <c r="GX1359" s="402"/>
      <c r="GY1359" s="402"/>
      <c r="GZ1359" s="402"/>
      <c r="HA1359" s="402"/>
      <c r="HB1359" s="402"/>
      <c r="HC1359" s="402"/>
      <c r="HD1359" s="402"/>
      <c r="HE1359" s="402"/>
      <c r="HF1359" s="402"/>
      <c r="HG1359" s="402"/>
      <c r="HH1359" s="402"/>
      <c r="HI1359" s="402"/>
      <c r="HJ1359" s="402"/>
      <c r="HK1359" s="402"/>
      <c r="HL1359" s="402"/>
      <c r="HM1359" s="402"/>
      <c r="HN1359" s="402"/>
      <c r="HO1359" s="402"/>
      <c r="HP1359" s="402"/>
      <c r="HQ1359" s="402"/>
      <c r="HR1359" s="402"/>
      <c r="HS1359" s="402"/>
      <c r="HT1359" s="402"/>
      <c r="HU1359" s="402"/>
      <c r="HV1359" s="402"/>
      <c r="HW1359" s="402"/>
      <c r="HX1359" s="402"/>
      <c r="HY1359" s="402"/>
      <c r="HZ1359" s="402"/>
      <c r="IA1359" s="402"/>
      <c r="IB1359" s="402"/>
      <c r="IC1359" s="402"/>
      <c r="ID1359" s="402"/>
      <c r="IE1359" s="402"/>
      <c r="IF1359" s="402"/>
      <c r="IG1359" s="402"/>
      <c r="IH1359" s="402"/>
      <c r="II1359" s="402"/>
      <c r="IJ1359" s="402"/>
      <c r="IK1359" s="402"/>
      <c r="IL1359" s="402"/>
      <c r="IM1359" s="402"/>
      <c r="IN1359" s="402"/>
      <c r="IO1359" s="402"/>
      <c r="IP1359" s="402"/>
      <c r="IQ1359" s="402"/>
      <c r="IR1359" s="402"/>
      <c r="IS1359" s="402"/>
      <c r="IT1359" s="402"/>
      <c r="IU1359" s="402"/>
      <c r="IV1359" s="402"/>
      <c r="IW1359" s="402"/>
      <c r="IX1359" s="402"/>
      <c r="IY1359" s="402"/>
      <c r="IZ1359" s="402"/>
      <c r="JA1359" s="402"/>
      <c r="JB1359" s="402"/>
      <c r="JC1359" s="402"/>
      <c r="JD1359" s="402"/>
      <c r="JE1359" s="402"/>
      <c r="JF1359" s="402"/>
      <c r="JG1359" s="402"/>
      <c r="JH1359" s="402"/>
      <c r="JI1359" s="402"/>
      <c r="JJ1359" s="402"/>
      <c r="JK1359" s="402"/>
      <c r="JL1359" s="402"/>
      <c r="JM1359" s="402"/>
      <c r="JN1359" s="402"/>
      <c r="JO1359" s="402"/>
      <c r="JP1359" s="402"/>
      <c r="JQ1359" s="402"/>
      <c r="JR1359" s="402"/>
      <c r="JS1359" s="402"/>
      <c r="JT1359" s="402"/>
      <c r="JU1359" s="402"/>
      <c r="JV1359" s="402"/>
      <c r="JW1359" s="402"/>
      <c r="JX1359" s="402"/>
      <c r="JY1359" s="402"/>
      <c r="JZ1359" s="402"/>
      <c r="KA1359" s="402"/>
      <c r="KB1359" s="402"/>
      <c r="KC1359" s="402"/>
      <c r="KD1359" s="402"/>
      <c r="KE1359" s="402"/>
      <c r="KF1359" s="402"/>
      <c r="KG1359" s="402"/>
      <c r="KH1359" s="402"/>
      <c r="KI1359" s="402"/>
      <c r="KJ1359" s="402"/>
      <c r="KK1359" s="402"/>
      <c r="KL1359" s="402"/>
      <c r="KM1359" s="402"/>
      <c r="KN1359" s="402"/>
      <c r="KO1359" s="402"/>
      <c r="KP1359" s="402"/>
      <c r="KQ1359" s="402"/>
      <c r="KR1359" s="402"/>
      <c r="KS1359" s="402"/>
      <c r="KT1359" s="402"/>
      <c r="KU1359" s="402"/>
      <c r="KV1359" s="402"/>
      <c r="KW1359" s="402"/>
      <c r="KX1359" s="402"/>
      <c r="KY1359" s="402"/>
      <c r="KZ1359" s="402"/>
      <c r="LA1359" s="402"/>
      <c r="LB1359" s="402"/>
      <c r="LC1359" s="402"/>
      <c r="LD1359" s="402"/>
      <c r="LE1359" s="402"/>
      <c r="LF1359" s="402"/>
      <c r="LG1359" s="402"/>
      <c r="LH1359" s="402"/>
      <c r="LI1359" s="402"/>
      <c r="LJ1359" s="402"/>
      <c r="LK1359" s="402"/>
      <c r="LL1359" s="402"/>
      <c r="LM1359" s="402"/>
      <c r="LN1359" s="402"/>
      <c r="LO1359" s="402"/>
      <c r="LP1359" s="402"/>
      <c r="LQ1359" s="402"/>
      <c r="LR1359" s="402"/>
      <c r="LS1359" s="402"/>
      <c r="LT1359" s="402"/>
      <c r="LU1359" s="402"/>
      <c r="LV1359" s="402"/>
      <c r="LW1359" s="402"/>
      <c r="LX1359" s="402"/>
      <c r="LY1359" s="402"/>
      <c r="LZ1359" s="402"/>
      <c r="MA1359" s="402"/>
      <c r="MB1359" s="402"/>
      <c r="MC1359" s="402"/>
      <c r="MD1359" s="402"/>
      <c r="ME1359" s="402"/>
      <c r="MF1359" s="402"/>
      <c r="MG1359" s="402"/>
      <c r="MH1359" s="402"/>
      <c r="MI1359" s="402"/>
      <c r="MJ1359" s="402"/>
      <c r="MK1359" s="402"/>
      <c r="ML1359" s="402"/>
      <c r="MM1359" s="402"/>
      <c r="MN1359" s="402"/>
      <c r="MO1359" s="402"/>
      <c r="MP1359" s="402"/>
      <c r="MQ1359" s="402"/>
      <c r="MR1359" s="402"/>
      <c r="MS1359" s="402"/>
      <c r="MT1359" s="402"/>
      <c r="MU1359" s="402"/>
      <c r="MV1359" s="402"/>
      <c r="MW1359" s="402"/>
      <c r="MX1359" s="402"/>
      <c r="MY1359" s="402"/>
      <c r="MZ1359" s="402"/>
      <c r="NA1359" s="402"/>
      <c r="NB1359" s="402"/>
      <c r="NC1359" s="402"/>
      <c r="ND1359" s="402"/>
      <c r="NE1359" s="402"/>
      <c r="NF1359" s="402"/>
      <c r="NG1359" s="402"/>
      <c r="NH1359" s="402"/>
      <c r="NI1359" s="402"/>
      <c r="NJ1359" s="402"/>
      <c r="NK1359" s="402"/>
      <c r="NL1359" s="402"/>
      <c r="NM1359" s="402"/>
      <c r="NN1359" s="402"/>
      <c r="NO1359" s="402"/>
      <c r="NP1359" s="402"/>
      <c r="NQ1359" s="402"/>
      <c r="NR1359" s="402"/>
      <c r="NS1359" s="402"/>
      <c r="NT1359" s="402"/>
      <c r="NU1359" s="402"/>
      <c r="NV1359" s="402"/>
      <c r="NW1359" s="402"/>
      <c r="NX1359" s="402"/>
      <c r="NY1359" s="402"/>
      <c r="NZ1359" s="402"/>
      <c r="OA1359" s="402"/>
      <c r="OB1359" s="402"/>
      <c r="OC1359" s="402"/>
      <c r="OD1359" s="402"/>
      <c r="OE1359" s="402"/>
      <c r="OF1359" s="402"/>
      <c r="OG1359" s="402"/>
      <c r="OH1359" s="402"/>
      <c r="OI1359" s="402"/>
      <c r="OJ1359" s="402"/>
      <c r="OK1359" s="402"/>
      <c r="OL1359" s="402"/>
      <c r="OM1359" s="402"/>
      <c r="ON1359" s="402"/>
      <c r="OO1359" s="402"/>
      <c r="OP1359" s="402"/>
      <c r="OQ1359" s="402"/>
      <c r="OR1359" s="402"/>
      <c r="OS1359" s="402"/>
      <c r="OT1359" s="402"/>
      <c r="OU1359" s="402"/>
      <c r="OV1359" s="402"/>
      <c r="OW1359" s="402"/>
      <c r="OX1359" s="402"/>
      <c r="OY1359" s="402"/>
      <c r="OZ1359" s="402"/>
      <c r="PA1359" s="402"/>
      <c r="PB1359" s="402"/>
      <c r="PC1359" s="402"/>
      <c r="PD1359" s="402"/>
      <c r="PE1359" s="402"/>
      <c r="PF1359" s="402"/>
      <c r="PG1359" s="402"/>
      <c r="PH1359" s="402"/>
      <c r="PI1359" s="402"/>
      <c r="PJ1359" s="402"/>
      <c r="PK1359" s="402"/>
      <c r="PL1359" s="402"/>
      <c r="PM1359" s="402"/>
      <c r="PN1359" s="402"/>
      <c r="PO1359" s="402"/>
      <c r="PP1359" s="402"/>
      <c r="PQ1359" s="402"/>
      <c r="PR1359" s="402"/>
      <c r="PS1359" s="402"/>
      <c r="PT1359" s="402"/>
      <c r="PU1359" s="402"/>
      <c r="PV1359" s="402"/>
      <c r="PW1359" s="402"/>
      <c r="PX1359" s="402"/>
      <c r="PY1359" s="402"/>
      <c r="PZ1359" s="402"/>
      <c r="QA1359" s="402"/>
      <c r="QB1359" s="402"/>
      <c r="QC1359" s="402"/>
      <c r="QD1359" s="402"/>
      <c r="QE1359" s="402"/>
      <c r="QF1359" s="402"/>
      <c r="QG1359" s="402"/>
      <c r="QH1359" s="402"/>
      <c r="QI1359" s="402"/>
      <c r="QJ1359" s="402"/>
      <c r="QK1359" s="402"/>
      <c r="QL1359" s="402"/>
      <c r="QM1359" s="402"/>
      <c r="QN1359" s="402"/>
      <c r="QO1359" s="402"/>
      <c r="QP1359" s="402"/>
      <c r="QQ1359" s="402"/>
      <c r="QR1359" s="402"/>
      <c r="QS1359" s="402"/>
      <c r="QT1359" s="402"/>
      <c r="QU1359" s="402"/>
      <c r="QV1359" s="402"/>
      <c r="QW1359" s="402"/>
      <c r="QX1359" s="402"/>
      <c r="QY1359" s="402"/>
      <c r="QZ1359" s="402"/>
      <c r="RA1359" s="402"/>
      <c r="RB1359" s="402"/>
      <c r="RC1359" s="402"/>
      <c r="RD1359" s="402"/>
      <c r="RE1359" s="402"/>
      <c r="RF1359" s="402"/>
      <c r="RG1359" s="402"/>
      <c r="RH1359" s="402"/>
      <c r="RI1359" s="402"/>
      <c r="RJ1359" s="402"/>
      <c r="RK1359" s="402"/>
      <c r="RL1359" s="402"/>
      <c r="RM1359" s="402"/>
      <c r="RN1359" s="402"/>
      <c r="RO1359" s="402"/>
      <c r="RP1359" s="402"/>
      <c r="RQ1359" s="402"/>
      <c r="RR1359" s="402"/>
      <c r="RS1359" s="402"/>
      <c r="RT1359" s="402"/>
      <c r="RU1359" s="402"/>
      <c r="RV1359" s="402"/>
      <c r="RW1359" s="402"/>
      <c r="RX1359" s="402"/>
      <c r="RY1359" s="402"/>
      <c r="RZ1359" s="402"/>
      <c r="SA1359" s="402"/>
      <c r="SB1359" s="402"/>
      <c r="SC1359" s="402"/>
      <c r="SD1359" s="402"/>
      <c r="SE1359" s="402"/>
      <c r="SF1359" s="402"/>
      <c r="SG1359" s="402"/>
      <c r="SH1359" s="402"/>
      <c r="SI1359" s="402"/>
      <c r="SJ1359" s="402"/>
      <c r="SK1359" s="402"/>
      <c r="SL1359" s="402"/>
      <c r="SM1359" s="402"/>
      <c r="SN1359" s="402"/>
      <c r="SO1359" s="402"/>
      <c r="SP1359" s="402"/>
      <c r="SQ1359" s="402"/>
      <c r="SR1359" s="402"/>
      <c r="SS1359" s="402"/>
      <c r="ST1359" s="402"/>
      <c r="SU1359" s="402"/>
      <c r="SV1359" s="402"/>
      <c r="SW1359" s="402"/>
      <c r="SX1359" s="402"/>
      <c r="SY1359" s="402"/>
      <c r="SZ1359" s="402"/>
      <c r="TA1359" s="402"/>
      <c r="TB1359" s="402"/>
      <c r="TC1359" s="402"/>
      <c r="TD1359" s="402"/>
      <c r="TE1359" s="402"/>
      <c r="TF1359" s="402"/>
      <c r="TG1359" s="402"/>
      <c r="TH1359" s="402"/>
      <c r="TI1359" s="402"/>
      <c r="TJ1359" s="402"/>
      <c r="TK1359" s="402"/>
      <c r="TL1359" s="402"/>
      <c r="TM1359" s="402"/>
      <c r="TN1359" s="402"/>
      <c r="TO1359" s="402"/>
      <c r="TP1359" s="402"/>
      <c r="TQ1359" s="402"/>
      <c r="TR1359" s="402"/>
      <c r="TS1359" s="402"/>
      <c r="TT1359" s="402"/>
      <c r="TU1359" s="402"/>
      <c r="TV1359" s="402"/>
      <c r="TW1359" s="402"/>
      <c r="TX1359" s="402"/>
      <c r="TY1359" s="402"/>
      <c r="TZ1359" s="402"/>
      <c r="UA1359" s="402"/>
      <c r="UB1359" s="402"/>
      <c r="UC1359" s="402"/>
      <c r="UD1359" s="402"/>
      <c r="UE1359" s="402"/>
      <c r="UF1359" s="402"/>
      <c r="UG1359" s="402"/>
      <c r="UH1359" s="402"/>
      <c r="UI1359" s="402"/>
      <c r="UJ1359" s="402"/>
      <c r="UK1359" s="402"/>
      <c r="UL1359" s="402"/>
      <c r="UM1359" s="402"/>
      <c r="UN1359" s="402"/>
      <c r="UO1359" s="402"/>
      <c r="UP1359" s="402"/>
      <c r="UQ1359" s="402"/>
      <c r="UR1359" s="402"/>
      <c r="US1359" s="402"/>
      <c r="UT1359" s="402"/>
      <c r="UU1359" s="402"/>
      <c r="UV1359" s="402"/>
      <c r="UW1359" s="402"/>
      <c r="UX1359" s="402"/>
      <c r="UY1359" s="402"/>
      <c r="UZ1359" s="402"/>
      <c r="VA1359" s="402"/>
      <c r="VB1359" s="402"/>
      <c r="VC1359" s="402"/>
      <c r="VD1359" s="402"/>
      <c r="VE1359" s="402"/>
      <c r="VF1359" s="402"/>
      <c r="VG1359" s="402"/>
      <c r="VH1359" s="402"/>
      <c r="VI1359" s="402"/>
      <c r="VJ1359" s="402"/>
      <c r="VK1359" s="402"/>
      <c r="VL1359" s="402"/>
      <c r="VM1359" s="402"/>
      <c r="VN1359" s="402"/>
      <c r="VO1359" s="402"/>
      <c r="VP1359" s="402"/>
      <c r="VQ1359" s="402"/>
      <c r="VR1359" s="402"/>
      <c r="VS1359" s="402"/>
      <c r="VT1359" s="402"/>
      <c r="VU1359" s="402"/>
      <c r="VV1359" s="402"/>
      <c r="VW1359" s="402"/>
      <c r="VX1359" s="402"/>
      <c r="VY1359" s="402"/>
      <c r="VZ1359" s="402"/>
      <c r="WA1359" s="402"/>
      <c r="WB1359" s="402"/>
      <c r="WC1359" s="402"/>
      <c r="WD1359" s="402"/>
      <c r="WE1359" s="402"/>
      <c r="WF1359" s="402"/>
      <c r="WG1359" s="402"/>
      <c r="WH1359" s="402"/>
      <c r="WI1359" s="402"/>
      <c r="WJ1359" s="402"/>
      <c r="WK1359" s="402"/>
      <c r="WL1359" s="402"/>
      <c r="WM1359" s="402"/>
      <c r="WN1359" s="402"/>
      <c r="WO1359" s="402"/>
      <c r="WP1359" s="402"/>
      <c r="WQ1359" s="402"/>
      <c r="WR1359" s="402"/>
      <c r="WS1359" s="402"/>
      <c r="WT1359" s="402"/>
      <c r="WU1359" s="402"/>
      <c r="WV1359" s="402"/>
      <c r="WW1359" s="402"/>
      <c r="WX1359" s="402"/>
      <c r="WY1359" s="402"/>
      <c r="WZ1359" s="402"/>
      <c r="XA1359" s="402"/>
      <c r="XB1359" s="402"/>
      <c r="XC1359" s="402"/>
      <c r="XD1359" s="402"/>
      <c r="XE1359" s="402"/>
      <c r="XF1359" s="402"/>
      <c r="XG1359" s="402"/>
      <c r="XH1359" s="402"/>
      <c r="XI1359" s="402"/>
      <c r="XJ1359" s="402"/>
      <c r="XK1359" s="402"/>
      <c r="XL1359" s="402"/>
      <c r="XM1359" s="402"/>
      <c r="XN1359" s="402"/>
      <c r="XO1359" s="402"/>
      <c r="XP1359" s="402"/>
      <c r="XQ1359" s="402"/>
      <c r="XR1359" s="402"/>
      <c r="XS1359" s="402"/>
      <c r="XT1359" s="402"/>
      <c r="XU1359" s="402"/>
      <c r="XV1359" s="402"/>
      <c r="XW1359" s="402"/>
      <c r="XX1359" s="402"/>
      <c r="XY1359" s="402"/>
      <c r="XZ1359" s="402"/>
      <c r="YA1359" s="402"/>
      <c r="YB1359" s="402"/>
      <c r="YC1359" s="402"/>
      <c r="YD1359" s="402"/>
      <c r="YE1359" s="402"/>
      <c r="YF1359" s="402"/>
      <c r="YG1359" s="402"/>
      <c r="YH1359" s="402"/>
      <c r="YI1359" s="402"/>
      <c r="YJ1359" s="402"/>
      <c r="YK1359" s="402"/>
      <c r="YL1359" s="402"/>
      <c r="YM1359" s="402"/>
      <c r="YN1359" s="402"/>
      <c r="YO1359" s="402"/>
      <c r="YP1359" s="402"/>
      <c r="YQ1359" s="402"/>
      <c r="YR1359" s="402"/>
      <c r="YS1359" s="402"/>
      <c r="YT1359" s="402"/>
      <c r="YU1359" s="402"/>
      <c r="YV1359" s="402"/>
      <c r="YW1359" s="402"/>
      <c r="YX1359" s="402"/>
      <c r="YY1359" s="402"/>
      <c r="YZ1359" s="402"/>
      <c r="ZA1359" s="402"/>
      <c r="ZB1359" s="402"/>
      <c r="ZC1359" s="402"/>
      <c r="ZD1359" s="402"/>
      <c r="ZE1359" s="402"/>
      <c r="ZF1359" s="402"/>
      <c r="ZG1359" s="402"/>
      <c r="ZH1359" s="402"/>
      <c r="ZI1359" s="402"/>
      <c r="ZJ1359" s="402"/>
      <c r="ZK1359" s="402"/>
      <c r="ZL1359" s="402"/>
      <c r="ZM1359" s="402"/>
      <c r="ZN1359" s="402"/>
      <c r="ZO1359" s="402"/>
      <c r="ZP1359" s="402"/>
      <c r="ZQ1359" s="402"/>
      <c r="ZR1359" s="402"/>
      <c r="ZS1359" s="402"/>
      <c r="ZT1359" s="402"/>
      <c r="ZU1359" s="402"/>
      <c r="ZV1359" s="402"/>
      <c r="ZW1359" s="402"/>
      <c r="ZX1359" s="402"/>
      <c r="ZY1359" s="402"/>
      <c r="ZZ1359" s="402"/>
      <c r="AAA1359" s="402"/>
      <c r="AAB1359" s="402"/>
      <c r="AAC1359" s="402"/>
      <c r="AAD1359" s="402"/>
      <c r="AAE1359" s="402"/>
      <c r="AAF1359" s="402"/>
      <c r="AAG1359" s="402"/>
      <c r="AAH1359" s="402"/>
      <c r="AAI1359" s="402"/>
      <c r="AAJ1359" s="402"/>
      <c r="AAK1359" s="402"/>
      <c r="AAL1359" s="402"/>
      <c r="AAM1359" s="402"/>
      <c r="AAN1359" s="402"/>
      <c r="AAO1359" s="402"/>
      <c r="AAP1359" s="402"/>
      <c r="AAQ1359" s="402"/>
      <c r="AAR1359" s="402"/>
      <c r="AAS1359" s="402"/>
      <c r="AAT1359" s="402"/>
      <c r="AAU1359" s="402"/>
      <c r="AAV1359" s="402"/>
      <c r="AAW1359" s="402"/>
      <c r="AAX1359" s="402"/>
      <c r="AAY1359" s="402"/>
      <c r="AAZ1359" s="402"/>
      <c r="ABA1359" s="402"/>
      <c r="ABB1359" s="402"/>
      <c r="ABC1359" s="402"/>
      <c r="ABD1359" s="402"/>
      <c r="ABE1359" s="402"/>
      <c r="ABF1359" s="402"/>
      <c r="ABG1359" s="402"/>
      <c r="ABH1359" s="402"/>
      <c r="ABI1359" s="402"/>
      <c r="ABJ1359" s="402"/>
      <c r="ABK1359" s="402"/>
      <c r="ABL1359" s="402"/>
      <c r="ABM1359" s="402"/>
      <c r="ABN1359" s="402"/>
      <c r="ABO1359" s="402"/>
      <c r="ABP1359" s="402"/>
      <c r="ABQ1359" s="402"/>
      <c r="ABR1359" s="402"/>
      <c r="ABS1359" s="402"/>
      <c r="ABT1359" s="402"/>
      <c r="ABU1359" s="402"/>
      <c r="ABV1359" s="402"/>
      <c r="ABW1359" s="402"/>
      <c r="ABX1359" s="402"/>
      <c r="ABY1359" s="402"/>
      <c r="ABZ1359" s="402"/>
      <c r="ACA1359" s="402"/>
      <c r="ACB1359" s="402"/>
      <c r="ACC1359" s="402"/>
      <c r="ACD1359" s="402"/>
      <c r="ACE1359" s="402"/>
      <c r="ACF1359" s="402"/>
      <c r="ACG1359" s="402"/>
      <c r="ACH1359" s="402"/>
      <c r="ACI1359" s="402"/>
      <c r="ACJ1359" s="402"/>
      <c r="ACK1359" s="402"/>
      <c r="ACL1359" s="402"/>
      <c r="ACM1359" s="402"/>
      <c r="ACN1359" s="402"/>
      <c r="ACO1359" s="402"/>
      <c r="ACP1359" s="402"/>
      <c r="ACQ1359" s="402"/>
      <c r="ACR1359" s="402"/>
      <c r="ACS1359" s="402"/>
      <c r="ACT1359" s="402"/>
      <c r="ACU1359" s="402"/>
      <c r="ACV1359" s="402"/>
      <c r="ACW1359" s="402"/>
      <c r="ACX1359" s="402"/>
      <c r="ACY1359" s="402"/>
      <c r="ACZ1359" s="402"/>
      <c r="ADA1359" s="402"/>
      <c r="ADB1359" s="402"/>
      <c r="ADC1359" s="402"/>
      <c r="ADD1359" s="402"/>
      <c r="ADE1359" s="402"/>
      <c r="ADF1359" s="402"/>
      <c r="ADG1359" s="402"/>
      <c r="ADH1359" s="402"/>
      <c r="ADI1359" s="402"/>
      <c r="ADJ1359" s="402"/>
      <c r="ADK1359" s="402"/>
      <c r="ADL1359" s="402"/>
      <c r="ADM1359" s="402"/>
      <c r="ADN1359" s="402"/>
      <c r="ADO1359" s="402"/>
      <c r="ADP1359" s="402"/>
      <c r="ADQ1359" s="402"/>
      <c r="ADR1359" s="402"/>
      <c r="ADS1359" s="402"/>
      <c r="ADT1359" s="402"/>
      <c r="ADU1359" s="402"/>
      <c r="ADV1359" s="402"/>
      <c r="ADW1359" s="402"/>
      <c r="ADX1359" s="402"/>
      <c r="ADY1359" s="402"/>
      <c r="ADZ1359" s="402"/>
      <c r="AEA1359" s="402"/>
      <c r="AEB1359" s="402"/>
      <c r="AEC1359" s="402"/>
      <c r="AED1359" s="402"/>
      <c r="AEE1359" s="402"/>
      <c r="AEF1359" s="402"/>
      <c r="AEG1359" s="402"/>
      <c r="AEH1359" s="402"/>
      <c r="AEI1359" s="402"/>
      <c r="AEJ1359" s="402"/>
      <c r="AEK1359" s="402"/>
      <c r="AEL1359" s="402"/>
      <c r="AEM1359" s="402"/>
      <c r="AEN1359" s="402"/>
      <c r="AEO1359" s="402"/>
      <c r="AEP1359" s="402"/>
      <c r="AEQ1359" s="402"/>
      <c r="AER1359" s="402"/>
      <c r="AES1359" s="402"/>
      <c r="AET1359" s="402"/>
      <c r="AEU1359" s="402"/>
      <c r="AEV1359" s="402"/>
      <c r="AEW1359" s="402"/>
      <c r="AEX1359" s="402"/>
      <c r="AEY1359" s="402"/>
      <c r="AEZ1359" s="402"/>
      <c r="AFA1359" s="402"/>
      <c r="AFB1359" s="402"/>
      <c r="AFC1359" s="402"/>
      <c r="AFD1359" s="402"/>
      <c r="AFE1359" s="402"/>
      <c r="AFF1359" s="402"/>
      <c r="AFG1359" s="402"/>
      <c r="AFH1359" s="402"/>
      <c r="AFI1359" s="402"/>
      <c r="AFJ1359" s="402"/>
      <c r="AFK1359" s="402"/>
      <c r="AFL1359" s="402"/>
      <c r="AFM1359" s="402"/>
      <c r="AFN1359" s="402"/>
      <c r="AFO1359" s="402"/>
      <c r="AFP1359" s="402"/>
      <c r="AFQ1359" s="402"/>
      <c r="AFR1359" s="402"/>
      <c r="AFS1359" s="402"/>
      <c r="AFT1359" s="402"/>
      <c r="AFU1359" s="402"/>
      <c r="AFV1359" s="402"/>
      <c r="AFW1359" s="402"/>
      <c r="AFX1359" s="402"/>
      <c r="AFY1359" s="402"/>
      <c r="AFZ1359" s="402"/>
      <c r="AGA1359" s="402"/>
      <c r="AGB1359" s="402"/>
      <c r="AGC1359" s="402"/>
      <c r="AGD1359" s="402"/>
      <c r="AGE1359" s="402"/>
      <c r="AGF1359" s="402"/>
      <c r="AGG1359" s="402"/>
      <c r="AGH1359" s="402"/>
      <c r="AGI1359" s="402"/>
      <c r="AGJ1359" s="402"/>
      <c r="AGK1359" s="402"/>
      <c r="AGL1359" s="402"/>
      <c r="AGM1359" s="402"/>
      <c r="AGN1359" s="402"/>
      <c r="AGO1359" s="402"/>
      <c r="AGP1359" s="402"/>
      <c r="AGQ1359" s="402"/>
      <c r="AGR1359" s="402"/>
      <c r="AGS1359" s="402"/>
      <c r="AGT1359" s="402"/>
      <c r="AGU1359" s="402"/>
      <c r="AGV1359" s="402"/>
      <c r="AGW1359" s="402"/>
      <c r="AGX1359" s="402"/>
      <c r="AGY1359" s="402"/>
      <c r="AGZ1359" s="402"/>
      <c r="AHA1359" s="402"/>
      <c r="AHB1359" s="402"/>
      <c r="AHC1359" s="402"/>
      <c r="AHD1359" s="402"/>
      <c r="AHE1359" s="402"/>
      <c r="AHF1359" s="402"/>
      <c r="AHG1359" s="402"/>
      <c r="AHH1359" s="402"/>
      <c r="AHI1359" s="402"/>
      <c r="AHJ1359" s="402"/>
      <c r="AHK1359" s="402"/>
      <c r="AHL1359" s="402"/>
      <c r="AHM1359" s="402"/>
      <c r="AHN1359" s="402"/>
      <c r="AHO1359" s="402"/>
      <c r="AHP1359" s="402"/>
      <c r="AHQ1359" s="402"/>
      <c r="AHR1359" s="402"/>
      <c r="AHS1359" s="402"/>
      <c r="AHT1359" s="402"/>
      <c r="AHU1359" s="402"/>
      <c r="AHV1359" s="402"/>
      <c r="AHW1359" s="402"/>
      <c r="AHX1359" s="402"/>
      <c r="AHY1359" s="402"/>
      <c r="AHZ1359" s="402"/>
      <c r="AIA1359" s="402"/>
      <c r="AIB1359" s="402"/>
      <c r="AIC1359" s="402"/>
      <c r="AID1359" s="402"/>
      <c r="AIE1359" s="402"/>
      <c r="AIF1359" s="402"/>
      <c r="AIG1359" s="402"/>
      <c r="AIH1359" s="402"/>
      <c r="AII1359" s="402"/>
      <c r="AIJ1359" s="402"/>
      <c r="AIK1359" s="402"/>
      <c r="AIL1359" s="402"/>
      <c r="AIM1359" s="402"/>
      <c r="AIN1359" s="402"/>
      <c r="AIO1359" s="402"/>
      <c r="AIP1359" s="402"/>
      <c r="AIQ1359" s="402"/>
      <c r="AIR1359" s="402"/>
      <c r="AIS1359" s="402"/>
      <c r="AIT1359" s="402"/>
      <c r="AIU1359" s="402"/>
      <c r="AIV1359" s="402"/>
      <c r="AIW1359" s="402"/>
      <c r="AIX1359" s="402"/>
      <c r="AIY1359" s="402"/>
      <c r="AIZ1359" s="402"/>
      <c r="AJA1359" s="402"/>
      <c r="AJB1359" s="402"/>
      <c r="AJC1359" s="402"/>
      <c r="AJD1359" s="402"/>
      <c r="AJE1359" s="402"/>
      <c r="AJF1359" s="402"/>
      <c r="AJG1359" s="402"/>
      <c r="AJH1359" s="402"/>
      <c r="AJI1359" s="402"/>
      <c r="AJJ1359" s="402"/>
      <c r="AJK1359" s="402"/>
      <c r="AJL1359" s="402"/>
      <c r="AJM1359" s="402"/>
      <c r="AJN1359" s="402"/>
      <c r="AJO1359" s="402"/>
      <c r="AJP1359" s="402"/>
      <c r="AJQ1359" s="402"/>
      <c r="AJR1359" s="402"/>
      <c r="AJS1359" s="402"/>
      <c r="AJT1359" s="402"/>
      <c r="AJU1359" s="402"/>
      <c r="AJV1359" s="402"/>
      <c r="AJW1359" s="402"/>
      <c r="AJX1359" s="402"/>
      <c r="AJY1359" s="402"/>
      <c r="AJZ1359" s="402"/>
      <c r="AKA1359" s="402"/>
      <c r="AKB1359" s="402"/>
      <c r="AKC1359" s="402"/>
      <c r="AKD1359" s="402"/>
      <c r="AKE1359" s="402"/>
      <c r="AKF1359" s="402"/>
      <c r="AKG1359" s="402"/>
      <c r="AKH1359" s="402"/>
      <c r="AKI1359" s="402"/>
      <c r="AKJ1359" s="402"/>
      <c r="AKK1359" s="402"/>
      <c r="AKL1359" s="402"/>
      <c r="AKM1359" s="402"/>
      <c r="AKN1359" s="402"/>
      <c r="AKO1359" s="402"/>
      <c r="AKP1359" s="402"/>
      <c r="AKQ1359" s="402"/>
      <c r="AKR1359" s="402"/>
      <c r="AKS1359" s="402"/>
      <c r="AKT1359" s="402"/>
      <c r="AKU1359" s="402"/>
      <c r="AKV1359" s="402"/>
      <c r="AKW1359" s="402"/>
      <c r="AKX1359" s="402"/>
      <c r="AKY1359" s="402"/>
      <c r="AKZ1359" s="402"/>
      <c r="ALA1359" s="402"/>
      <c r="ALB1359" s="402"/>
      <c r="ALC1359" s="402"/>
      <c r="ALD1359" s="402"/>
      <c r="ALE1359" s="402"/>
      <c r="ALF1359" s="402"/>
      <c r="ALG1359" s="402"/>
      <c r="ALH1359" s="402"/>
      <c r="ALI1359" s="402"/>
      <c r="ALJ1359" s="402"/>
      <c r="ALK1359" s="402"/>
      <c r="ALL1359" s="402"/>
      <c r="ALM1359" s="402"/>
      <c r="ALN1359" s="402"/>
      <c r="ALO1359" s="402"/>
      <c r="ALP1359" s="402"/>
      <c r="ALQ1359" s="402"/>
      <c r="ALR1359" s="402"/>
      <c r="ALS1359" s="402"/>
      <c r="ALT1359" s="402"/>
      <c r="ALU1359" s="402"/>
      <c r="ALV1359" s="402"/>
      <c r="ALW1359" s="402"/>
      <c r="ALX1359" s="402"/>
      <c r="ALY1359" s="402"/>
      <c r="ALZ1359" s="402"/>
      <c r="AMA1359" s="402"/>
      <c r="AMB1359" s="402"/>
      <c r="AMC1359" s="402"/>
      <c r="AMD1359" s="402"/>
      <c r="AME1359" s="402"/>
      <c r="AMF1359" s="402"/>
      <c r="AMG1359" s="402"/>
      <c r="AMH1359" s="402"/>
      <c r="AMI1359" s="402"/>
      <c r="AMJ1359" s="402"/>
      <c r="AMK1359" s="402"/>
      <c r="AML1359" s="402"/>
      <c r="AMM1359" s="402"/>
      <c r="AMN1359" s="402"/>
      <c r="AMO1359" s="402"/>
      <c r="AMP1359" s="402"/>
      <c r="AMQ1359" s="402"/>
      <c r="AMR1359" s="402"/>
      <c r="AMS1359" s="402"/>
      <c r="AMT1359" s="402"/>
      <c r="AMU1359" s="402"/>
      <c r="AMV1359" s="402"/>
      <c r="AMW1359" s="402"/>
      <c r="AMX1359" s="402"/>
      <c r="AMY1359" s="402"/>
      <c r="AMZ1359" s="402"/>
      <c r="ANA1359" s="402"/>
      <c r="ANB1359" s="402"/>
      <c r="ANC1359" s="402"/>
      <c r="AND1359" s="402"/>
      <c r="ANE1359" s="402"/>
      <c r="ANF1359" s="402"/>
      <c r="ANG1359" s="402"/>
      <c r="ANH1359" s="402"/>
      <c r="ANI1359" s="402"/>
      <c r="ANJ1359" s="402"/>
      <c r="ANK1359" s="402"/>
      <c r="ANL1359" s="402"/>
      <c r="ANM1359" s="402"/>
      <c r="ANN1359" s="402"/>
      <c r="ANO1359" s="402"/>
      <c r="ANP1359" s="402"/>
      <c r="ANQ1359" s="402"/>
      <c r="ANR1359" s="402"/>
      <c r="ANS1359" s="402"/>
      <c r="ANT1359" s="402"/>
      <c r="ANU1359" s="402"/>
      <c r="ANV1359" s="402"/>
      <c r="ANW1359" s="402"/>
      <c r="ANX1359" s="402"/>
      <c r="ANY1359" s="402"/>
      <c r="ANZ1359" s="402"/>
      <c r="AOA1359" s="402"/>
      <c r="AOB1359" s="402"/>
      <c r="AOC1359" s="402"/>
      <c r="AOD1359" s="402"/>
      <c r="AOE1359" s="402"/>
      <c r="AOF1359" s="402"/>
      <c r="AOG1359" s="402"/>
      <c r="AOH1359" s="402"/>
      <c r="AOI1359" s="402"/>
      <c r="AOJ1359" s="402"/>
      <c r="AOK1359" s="402"/>
      <c r="AOL1359" s="402"/>
      <c r="AOM1359" s="402"/>
      <c r="AON1359" s="402"/>
      <c r="AOO1359" s="402"/>
      <c r="AOP1359" s="402"/>
      <c r="AOQ1359" s="402"/>
      <c r="AOR1359" s="402"/>
      <c r="AOS1359" s="402"/>
      <c r="AOT1359" s="402"/>
      <c r="AOU1359" s="402"/>
      <c r="AOV1359" s="402"/>
      <c r="AOW1359" s="402"/>
      <c r="AOX1359" s="402"/>
      <c r="AOY1359" s="402"/>
      <c r="AOZ1359" s="402"/>
      <c r="APA1359" s="402"/>
      <c r="APB1359" s="402"/>
      <c r="APC1359" s="402"/>
      <c r="APD1359" s="402"/>
      <c r="APE1359" s="402"/>
      <c r="APF1359" s="402"/>
      <c r="APG1359" s="402"/>
      <c r="APH1359" s="402"/>
      <c r="API1359" s="402"/>
      <c r="APJ1359" s="402"/>
      <c r="APK1359" s="402"/>
      <c r="APL1359" s="402"/>
      <c r="APM1359" s="402"/>
      <c r="APN1359" s="402"/>
      <c r="APO1359" s="402"/>
      <c r="APP1359" s="402"/>
      <c r="APQ1359" s="402"/>
      <c r="APR1359" s="402"/>
      <c r="APS1359" s="402"/>
      <c r="APT1359" s="402"/>
      <c r="APU1359" s="402"/>
      <c r="APV1359" s="402"/>
      <c r="APW1359" s="402"/>
      <c r="APX1359" s="402"/>
      <c r="APY1359" s="402"/>
      <c r="APZ1359" s="402"/>
      <c r="AQA1359" s="402"/>
      <c r="AQB1359" s="402"/>
      <c r="AQC1359" s="402"/>
      <c r="AQD1359" s="402"/>
      <c r="AQE1359" s="402"/>
      <c r="AQF1359" s="402"/>
      <c r="AQG1359" s="402"/>
      <c r="AQH1359" s="402"/>
      <c r="AQI1359" s="402"/>
      <c r="AQJ1359" s="402"/>
      <c r="AQK1359" s="402"/>
      <c r="AQL1359" s="402"/>
      <c r="AQM1359" s="402"/>
      <c r="AQN1359" s="402"/>
      <c r="AQO1359" s="402"/>
      <c r="AQP1359" s="402"/>
      <c r="AQQ1359" s="402"/>
      <c r="AQR1359" s="402"/>
      <c r="AQS1359" s="402"/>
      <c r="AQT1359" s="402"/>
      <c r="AQU1359" s="402"/>
      <c r="AQV1359" s="402"/>
      <c r="AQW1359" s="402"/>
      <c r="AQX1359" s="402"/>
      <c r="AQY1359" s="402"/>
      <c r="AQZ1359" s="402"/>
      <c r="ARA1359" s="402"/>
      <c r="ARB1359" s="402"/>
      <c r="ARC1359" s="402"/>
      <c r="ARD1359" s="402"/>
      <c r="ARE1359" s="402"/>
      <c r="ARF1359" s="402"/>
      <c r="ARG1359" s="402"/>
      <c r="ARH1359" s="402"/>
      <c r="ARI1359" s="402"/>
      <c r="ARJ1359" s="402"/>
      <c r="ARK1359" s="402"/>
      <c r="ARL1359" s="402"/>
      <c r="ARM1359" s="402"/>
      <c r="ARN1359" s="402"/>
      <c r="ARO1359" s="402"/>
      <c r="ARP1359" s="402"/>
      <c r="ARQ1359" s="402"/>
      <c r="ARR1359" s="402"/>
      <c r="ARS1359" s="402"/>
      <c r="ART1359" s="402"/>
      <c r="ARU1359" s="402"/>
      <c r="ARV1359" s="402"/>
      <c r="ARW1359" s="402"/>
      <c r="ARX1359" s="402"/>
      <c r="ARY1359" s="402"/>
      <c r="ARZ1359" s="402"/>
      <c r="ASA1359" s="402"/>
      <c r="ASB1359" s="402"/>
      <c r="ASC1359" s="402"/>
      <c r="ASD1359" s="402"/>
      <c r="ASE1359" s="402"/>
      <c r="ASF1359" s="402"/>
      <c r="ASG1359" s="402"/>
      <c r="ASH1359" s="402"/>
      <c r="ASI1359" s="402"/>
      <c r="ASJ1359" s="402"/>
      <c r="ASK1359" s="402"/>
      <c r="ASL1359" s="402"/>
      <c r="ASM1359" s="402"/>
      <c r="ASN1359" s="402"/>
      <c r="ASO1359" s="402"/>
      <c r="ASP1359" s="402"/>
      <c r="ASQ1359" s="402"/>
      <c r="ASR1359" s="402"/>
      <c r="ASS1359" s="402"/>
      <c r="AST1359" s="402"/>
      <c r="ASU1359" s="402"/>
      <c r="ASV1359" s="402"/>
      <c r="ASW1359" s="402"/>
      <c r="ASX1359" s="402"/>
      <c r="ASY1359" s="402"/>
      <c r="ASZ1359" s="402"/>
      <c r="ATA1359" s="402"/>
      <c r="ATB1359" s="402"/>
      <c r="ATC1359" s="402"/>
      <c r="ATD1359" s="402"/>
      <c r="ATE1359" s="402"/>
      <c r="ATF1359" s="402"/>
      <c r="ATG1359" s="402"/>
      <c r="ATH1359" s="402"/>
      <c r="ATI1359" s="402"/>
      <c r="ATJ1359" s="402"/>
      <c r="ATK1359" s="402"/>
      <c r="ATL1359" s="402"/>
      <c r="ATM1359" s="402"/>
      <c r="ATN1359" s="402"/>
      <c r="ATO1359" s="402"/>
      <c r="ATP1359" s="402"/>
      <c r="ATQ1359" s="402"/>
      <c r="ATR1359" s="402"/>
      <c r="ATS1359" s="402"/>
      <c r="ATT1359" s="402"/>
      <c r="ATU1359" s="402"/>
      <c r="ATV1359" s="402"/>
      <c r="ATW1359" s="402"/>
      <c r="ATX1359" s="402"/>
      <c r="ATY1359" s="402"/>
      <c r="ATZ1359" s="402"/>
      <c r="AUA1359" s="402"/>
      <c r="AUB1359" s="402"/>
      <c r="AUC1359" s="402"/>
      <c r="AUD1359" s="402"/>
      <c r="AUE1359" s="402"/>
      <c r="AUF1359" s="402"/>
      <c r="AUG1359" s="402"/>
      <c r="AUH1359" s="402"/>
      <c r="AUI1359" s="402"/>
      <c r="AUJ1359" s="402"/>
      <c r="AUK1359" s="402"/>
      <c r="AUL1359" s="402"/>
      <c r="AUM1359" s="402"/>
      <c r="AUN1359" s="402"/>
      <c r="AUO1359" s="402"/>
      <c r="AUP1359" s="402"/>
      <c r="AUQ1359" s="402"/>
      <c r="AUR1359" s="402"/>
      <c r="AUS1359" s="402"/>
      <c r="AUT1359" s="402"/>
      <c r="AUU1359" s="402"/>
      <c r="AUV1359" s="402"/>
      <c r="AUW1359" s="402"/>
      <c r="AUX1359" s="402"/>
      <c r="AUY1359" s="402"/>
      <c r="AUZ1359" s="402"/>
      <c r="AVA1359" s="402"/>
      <c r="AVB1359" s="402"/>
      <c r="AVC1359" s="402"/>
      <c r="AVD1359" s="402"/>
      <c r="AVE1359" s="402"/>
      <c r="AVF1359" s="402"/>
      <c r="AVG1359" s="402"/>
      <c r="AVH1359" s="402"/>
      <c r="AVI1359" s="402"/>
      <c r="AVJ1359" s="402"/>
      <c r="AVK1359" s="402"/>
    </row>
    <row r="1360" spans="1:1259" s="442" customFormat="1" ht="15" customHeight="1">
      <c r="A1360" s="403"/>
      <c r="B1360" s="403"/>
      <c r="C1360" s="403"/>
      <c r="D1360" s="443" t="s">
        <v>2480</v>
      </c>
      <c r="E1360" s="443" t="s">
        <v>2406</v>
      </c>
      <c r="F1360" s="432"/>
      <c r="G1360" s="432"/>
      <c r="H1360" s="451">
        <v>9</v>
      </c>
      <c r="I1360" s="427" t="s">
        <v>1498</v>
      </c>
      <c r="J1360" s="433"/>
      <c r="K1360" s="433" t="s">
        <v>3754</v>
      </c>
      <c r="L1360" s="433" t="s">
        <v>2509</v>
      </c>
      <c r="M1360" s="433">
        <v>44550</v>
      </c>
      <c r="N1360" s="433">
        <v>44715</v>
      </c>
      <c r="O1360" s="435"/>
      <c r="P1360" s="433"/>
      <c r="Q1360" s="433"/>
      <c r="R1360" s="433"/>
      <c r="S1360" s="432" t="s">
        <v>1940</v>
      </c>
      <c r="T1360" s="432">
        <v>60</v>
      </c>
      <c r="U1360" s="432"/>
      <c r="V1360" s="432" t="s">
        <v>973</v>
      </c>
      <c r="W1360" s="432">
        <v>400</v>
      </c>
      <c r="X1360" s="436">
        <v>320</v>
      </c>
      <c r="Y1360" s="422">
        <f t="shared" si="166"/>
        <v>128000</v>
      </c>
      <c r="Z1360" s="437">
        <v>0.53</v>
      </c>
      <c r="AA1360" s="423">
        <f t="shared" si="167"/>
        <v>67840</v>
      </c>
      <c r="AB1360" s="411"/>
      <c r="AC1360" s="412">
        <f t="shared" si="168"/>
        <v>0</v>
      </c>
      <c r="AD1360" s="439"/>
      <c r="AE1360" s="438"/>
      <c r="AF1360" s="424">
        <f t="shared" si="169"/>
        <v>67840</v>
      </c>
      <c r="AG1360" s="432" t="s">
        <v>1069</v>
      </c>
      <c r="AH1360" s="432"/>
      <c r="AI1360" s="434">
        <v>60</v>
      </c>
      <c r="AJ1360" s="432" t="s">
        <v>1958</v>
      </c>
      <c r="AK1360" s="440" t="s">
        <v>1136</v>
      </c>
      <c r="AL1360" s="432">
        <v>78217</v>
      </c>
      <c r="AM1360" s="432" t="s">
        <v>52</v>
      </c>
      <c r="AN1360" s="432"/>
      <c r="AO1360" s="432"/>
      <c r="AP1360" s="441"/>
      <c r="AQ1360" s="441" t="s">
        <v>37</v>
      </c>
      <c r="AR1360" s="441"/>
      <c r="AS1360" s="426" t="s">
        <v>1142</v>
      </c>
      <c r="AT1360" s="426" t="s">
        <v>1073</v>
      </c>
      <c r="AU1360" s="426" t="s">
        <v>1073</v>
      </c>
      <c r="AV1360" s="437">
        <v>0.53</v>
      </c>
      <c r="AW1360" s="402"/>
      <c r="AX1360" s="402"/>
      <c r="AY1360" s="402"/>
      <c r="AZ1360" s="402"/>
      <c r="BA1360" s="402"/>
      <c r="BB1360" s="402"/>
      <c r="BC1360" s="402"/>
      <c r="BD1360" s="402"/>
      <c r="BE1360" s="402"/>
      <c r="BF1360" s="402"/>
      <c r="BG1360" s="402"/>
      <c r="BH1360" s="402"/>
      <c r="BI1360" s="402"/>
      <c r="BJ1360" s="402"/>
      <c r="BK1360" s="402"/>
      <c r="BL1360" s="402"/>
      <c r="BM1360" s="402"/>
      <c r="BN1360" s="402"/>
      <c r="BO1360" s="402"/>
      <c r="BP1360" s="402"/>
      <c r="BQ1360" s="402"/>
      <c r="BR1360" s="402"/>
      <c r="BS1360" s="402"/>
      <c r="BT1360" s="402"/>
      <c r="BU1360" s="402"/>
      <c r="BV1360" s="402"/>
      <c r="BW1360" s="402"/>
      <c r="BX1360" s="402"/>
      <c r="BY1360" s="402"/>
      <c r="BZ1360" s="402"/>
      <c r="CA1360" s="402"/>
      <c r="CB1360" s="402"/>
      <c r="CC1360" s="402"/>
      <c r="CD1360" s="402"/>
      <c r="CE1360" s="402"/>
      <c r="CF1360" s="402"/>
      <c r="CG1360" s="402"/>
      <c r="CH1360" s="402"/>
      <c r="CI1360" s="402"/>
      <c r="CJ1360" s="402"/>
      <c r="CK1360" s="402"/>
      <c r="CL1360" s="402"/>
      <c r="CM1360" s="402"/>
      <c r="CN1360" s="402"/>
      <c r="CO1360" s="402"/>
      <c r="CP1360" s="402"/>
      <c r="CQ1360" s="402"/>
      <c r="CR1360" s="402"/>
      <c r="CS1360" s="402"/>
      <c r="CT1360" s="402"/>
      <c r="CU1360" s="402"/>
      <c r="CV1360" s="402"/>
      <c r="CW1360" s="402"/>
      <c r="CX1360" s="402"/>
      <c r="CY1360" s="402"/>
      <c r="CZ1360" s="402"/>
      <c r="DA1360" s="402"/>
      <c r="DB1360" s="402"/>
      <c r="DC1360" s="402"/>
      <c r="DD1360" s="402"/>
      <c r="DE1360" s="402"/>
      <c r="DF1360" s="402"/>
      <c r="DG1360" s="402"/>
      <c r="DH1360" s="402"/>
      <c r="DI1360" s="402"/>
      <c r="DJ1360" s="402"/>
      <c r="DK1360" s="402"/>
      <c r="DL1360" s="402"/>
      <c r="DM1360" s="402"/>
      <c r="DN1360" s="402"/>
      <c r="DO1360" s="402"/>
      <c r="DP1360" s="402"/>
      <c r="DQ1360" s="402"/>
      <c r="DR1360" s="402"/>
      <c r="DS1360" s="402"/>
      <c r="DT1360" s="402"/>
      <c r="DU1360" s="402"/>
      <c r="DV1360" s="402"/>
      <c r="DW1360" s="402"/>
      <c r="DX1360" s="402"/>
      <c r="DY1360" s="402"/>
      <c r="DZ1360" s="402"/>
      <c r="EA1360" s="402"/>
      <c r="EB1360" s="402"/>
      <c r="EC1360" s="402"/>
      <c r="ED1360" s="402"/>
      <c r="EE1360" s="402"/>
      <c r="EF1360" s="402"/>
      <c r="EG1360" s="402"/>
      <c r="EH1360" s="402"/>
      <c r="EI1360" s="402"/>
      <c r="EJ1360" s="402"/>
      <c r="EK1360" s="402"/>
      <c r="EL1360" s="402"/>
      <c r="EM1360" s="402"/>
      <c r="EN1360" s="402"/>
      <c r="EO1360" s="402"/>
      <c r="EP1360" s="402"/>
      <c r="EQ1360" s="402"/>
      <c r="ER1360" s="402"/>
      <c r="ES1360" s="402"/>
      <c r="ET1360" s="402"/>
      <c r="EU1360" s="402"/>
      <c r="EV1360" s="402"/>
      <c r="EW1360" s="402"/>
      <c r="EX1360" s="402"/>
      <c r="EY1360" s="402"/>
      <c r="EZ1360" s="402"/>
      <c r="FA1360" s="402"/>
      <c r="FB1360" s="402"/>
      <c r="FC1360" s="402"/>
      <c r="FD1360" s="402"/>
      <c r="FE1360" s="402"/>
      <c r="FF1360" s="402"/>
      <c r="FG1360" s="402"/>
      <c r="FH1360" s="402"/>
      <c r="FI1360" s="402"/>
      <c r="FJ1360" s="402"/>
      <c r="FK1360" s="402"/>
      <c r="FL1360" s="402"/>
      <c r="FM1360" s="402"/>
      <c r="FN1360" s="402"/>
      <c r="FO1360" s="402"/>
      <c r="FP1360" s="402"/>
      <c r="FQ1360" s="402"/>
      <c r="FR1360" s="402"/>
      <c r="FS1360" s="402"/>
      <c r="FT1360" s="402"/>
      <c r="FU1360" s="402"/>
      <c r="FV1360" s="402"/>
      <c r="FW1360" s="402"/>
      <c r="FX1360" s="402"/>
      <c r="FY1360" s="402"/>
      <c r="FZ1360" s="402"/>
      <c r="GA1360" s="402"/>
      <c r="GB1360" s="402"/>
      <c r="GC1360" s="402"/>
      <c r="GD1360" s="402"/>
      <c r="GE1360" s="402"/>
      <c r="GF1360" s="402"/>
      <c r="GG1360" s="402"/>
      <c r="GH1360" s="402"/>
      <c r="GI1360" s="402"/>
      <c r="GJ1360" s="402"/>
      <c r="GK1360" s="402"/>
      <c r="GL1360" s="402"/>
      <c r="GM1360" s="402"/>
      <c r="GN1360" s="402"/>
      <c r="GO1360" s="402"/>
      <c r="GP1360" s="402"/>
      <c r="GQ1360" s="402"/>
      <c r="GR1360" s="402"/>
      <c r="GS1360" s="402"/>
      <c r="GT1360" s="402"/>
      <c r="GU1360" s="402"/>
      <c r="GV1360" s="402"/>
      <c r="GW1360" s="402"/>
      <c r="GX1360" s="402"/>
      <c r="GY1360" s="402"/>
      <c r="GZ1360" s="402"/>
      <c r="HA1360" s="402"/>
      <c r="HB1360" s="402"/>
      <c r="HC1360" s="402"/>
      <c r="HD1360" s="402"/>
      <c r="HE1360" s="402"/>
      <c r="HF1360" s="402"/>
      <c r="HG1360" s="402"/>
      <c r="HH1360" s="402"/>
      <c r="HI1360" s="402"/>
      <c r="HJ1360" s="402"/>
      <c r="HK1360" s="402"/>
      <c r="HL1360" s="402"/>
      <c r="HM1360" s="402"/>
      <c r="HN1360" s="402"/>
      <c r="HO1360" s="402"/>
      <c r="HP1360" s="402"/>
      <c r="HQ1360" s="402"/>
      <c r="HR1360" s="402"/>
      <c r="HS1360" s="402"/>
      <c r="HT1360" s="402"/>
      <c r="HU1360" s="402"/>
      <c r="HV1360" s="402"/>
      <c r="HW1360" s="402"/>
      <c r="HX1360" s="402"/>
      <c r="HY1360" s="402"/>
      <c r="HZ1360" s="402"/>
      <c r="IA1360" s="402"/>
      <c r="IB1360" s="402"/>
      <c r="IC1360" s="402"/>
      <c r="ID1360" s="402"/>
      <c r="IE1360" s="402"/>
      <c r="IF1360" s="402"/>
      <c r="IG1360" s="402"/>
      <c r="IH1360" s="402"/>
      <c r="II1360" s="402"/>
      <c r="IJ1360" s="402"/>
      <c r="IK1360" s="402"/>
      <c r="IL1360" s="402"/>
      <c r="IM1360" s="402"/>
      <c r="IN1360" s="402"/>
      <c r="IO1360" s="402"/>
      <c r="IP1360" s="402"/>
      <c r="IQ1360" s="402"/>
      <c r="IR1360" s="402"/>
      <c r="IS1360" s="402"/>
      <c r="IT1360" s="402"/>
      <c r="IU1360" s="402"/>
      <c r="IV1360" s="402"/>
      <c r="IW1360" s="402"/>
      <c r="IX1360" s="402"/>
      <c r="IY1360" s="402"/>
      <c r="IZ1360" s="402"/>
      <c r="JA1360" s="402"/>
      <c r="JB1360" s="402"/>
      <c r="JC1360" s="402"/>
      <c r="JD1360" s="402"/>
      <c r="JE1360" s="402"/>
      <c r="JF1360" s="402"/>
      <c r="JG1360" s="402"/>
      <c r="JH1360" s="402"/>
      <c r="JI1360" s="402"/>
      <c r="JJ1360" s="402"/>
      <c r="JK1360" s="402"/>
      <c r="JL1360" s="402"/>
      <c r="JM1360" s="402"/>
      <c r="JN1360" s="402"/>
      <c r="JO1360" s="402"/>
      <c r="JP1360" s="402"/>
      <c r="JQ1360" s="402"/>
      <c r="JR1360" s="402"/>
      <c r="JS1360" s="402"/>
      <c r="JT1360" s="402"/>
      <c r="JU1360" s="402"/>
      <c r="JV1360" s="402"/>
      <c r="JW1360" s="402"/>
      <c r="JX1360" s="402"/>
      <c r="JY1360" s="402"/>
      <c r="JZ1360" s="402"/>
      <c r="KA1360" s="402"/>
      <c r="KB1360" s="402"/>
      <c r="KC1360" s="402"/>
      <c r="KD1360" s="402"/>
      <c r="KE1360" s="402"/>
      <c r="KF1360" s="402"/>
      <c r="KG1360" s="402"/>
      <c r="KH1360" s="402"/>
      <c r="KI1360" s="402"/>
      <c r="KJ1360" s="402"/>
      <c r="KK1360" s="402"/>
      <c r="KL1360" s="402"/>
      <c r="KM1360" s="402"/>
      <c r="KN1360" s="402"/>
      <c r="KO1360" s="402"/>
      <c r="KP1360" s="402"/>
      <c r="KQ1360" s="402"/>
      <c r="KR1360" s="402"/>
      <c r="KS1360" s="402"/>
      <c r="KT1360" s="402"/>
      <c r="KU1360" s="402"/>
      <c r="KV1360" s="402"/>
      <c r="KW1360" s="402"/>
      <c r="KX1360" s="402"/>
      <c r="KY1360" s="402"/>
      <c r="KZ1360" s="402"/>
      <c r="LA1360" s="402"/>
      <c r="LB1360" s="402"/>
      <c r="LC1360" s="402"/>
      <c r="LD1360" s="402"/>
      <c r="LE1360" s="402"/>
      <c r="LF1360" s="402"/>
      <c r="LG1360" s="402"/>
      <c r="LH1360" s="402"/>
      <c r="LI1360" s="402"/>
      <c r="LJ1360" s="402"/>
      <c r="LK1360" s="402"/>
      <c r="LL1360" s="402"/>
      <c r="LM1360" s="402"/>
      <c r="LN1360" s="402"/>
      <c r="LO1360" s="402"/>
      <c r="LP1360" s="402"/>
      <c r="LQ1360" s="402"/>
      <c r="LR1360" s="402"/>
      <c r="LS1360" s="402"/>
      <c r="LT1360" s="402"/>
      <c r="LU1360" s="402"/>
      <c r="LV1360" s="402"/>
      <c r="LW1360" s="402"/>
      <c r="LX1360" s="402"/>
      <c r="LY1360" s="402"/>
      <c r="LZ1360" s="402"/>
      <c r="MA1360" s="402"/>
      <c r="MB1360" s="402"/>
      <c r="MC1360" s="402"/>
      <c r="MD1360" s="402"/>
      <c r="ME1360" s="402"/>
      <c r="MF1360" s="402"/>
      <c r="MG1360" s="402"/>
      <c r="MH1360" s="402"/>
      <c r="MI1360" s="402"/>
      <c r="MJ1360" s="402"/>
      <c r="MK1360" s="402"/>
      <c r="ML1360" s="402"/>
      <c r="MM1360" s="402"/>
      <c r="MN1360" s="402"/>
      <c r="MO1360" s="402"/>
      <c r="MP1360" s="402"/>
      <c r="MQ1360" s="402"/>
      <c r="MR1360" s="402"/>
      <c r="MS1360" s="402"/>
      <c r="MT1360" s="402"/>
      <c r="MU1360" s="402"/>
      <c r="MV1360" s="402"/>
      <c r="MW1360" s="402"/>
      <c r="MX1360" s="402"/>
      <c r="MY1360" s="402"/>
      <c r="MZ1360" s="402"/>
      <c r="NA1360" s="402"/>
      <c r="NB1360" s="402"/>
      <c r="NC1360" s="402"/>
      <c r="ND1360" s="402"/>
      <c r="NE1360" s="402"/>
      <c r="NF1360" s="402"/>
      <c r="NG1360" s="402"/>
      <c r="NH1360" s="402"/>
      <c r="NI1360" s="402"/>
      <c r="NJ1360" s="402"/>
      <c r="NK1360" s="402"/>
      <c r="NL1360" s="402"/>
      <c r="NM1360" s="402"/>
      <c r="NN1360" s="402"/>
      <c r="NO1360" s="402"/>
      <c r="NP1360" s="402"/>
      <c r="NQ1360" s="402"/>
      <c r="NR1360" s="402"/>
      <c r="NS1360" s="402"/>
      <c r="NT1360" s="402"/>
      <c r="NU1360" s="402"/>
      <c r="NV1360" s="402"/>
      <c r="NW1360" s="402"/>
      <c r="NX1360" s="402"/>
      <c r="NY1360" s="402"/>
      <c r="NZ1360" s="402"/>
      <c r="OA1360" s="402"/>
      <c r="OB1360" s="402"/>
      <c r="OC1360" s="402"/>
      <c r="OD1360" s="402"/>
      <c r="OE1360" s="402"/>
      <c r="OF1360" s="402"/>
      <c r="OG1360" s="402"/>
      <c r="OH1360" s="402"/>
      <c r="OI1360" s="402"/>
      <c r="OJ1360" s="402"/>
      <c r="OK1360" s="402"/>
      <c r="OL1360" s="402"/>
      <c r="OM1360" s="402"/>
      <c r="ON1360" s="402"/>
      <c r="OO1360" s="402"/>
      <c r="OP1360" s="402"/>
      <c r="OQ1360" s="402"/>
      <c r="OR1360" s="402"/>
      <c r="OS1360" s="402"/>
      <c r="OT1360" s="402"/>
      <c r="OU1360" s="402"/>
      <c r="OV1360" s="402"/>
      <c r="OW1360" s="402"/>
      <c r="OX1360" s="402"/>
      <c r="OY1360" s="402"/>
      <c r="OZ1360" s="402"/>
      <c r="PA1360" s="402"/>
      <c r="PB1360" s="402"/>
      <c r="PC1360" s="402"/>
      <c r="PD1360" s="402"/>
      <c r="PE1360" s="402"/>
      <c r="PF1360" s="402"/>
      <c r="PG1360" s="402"/>
      <c r="PH1360" s="402"/>
      <c r="PI1360" s="402"/>
      <c r="PJ1360" s="402"/>
      <c r="PK1360" s="402"/>
      <c r="PL1360" s="402"/>
      <c r="PM1360" s="402"/>
      <c r="PN1360" s="402"/>
      <c r="PO1360" s="402"/>
      <c r="PP1360" s="402"/>
      <c r="PQ1360" s="402"/>
      <c r="PR1360" s="402"/>
      <c r="PS1360" s="402"/>
      <c r="PT1360" s="402"/>
      <c r="PU1360" s="402"/>
      <c r="PV1360" s="402"/>
      <c r="PW1360" s="402"/>
      <c r="PX1360" s="402"/>
      <c r="PY1360" s="402"/>
      <c r="PZ1360" s="402"/>
      <c r="QA1360" s="402"/>
      <c r="QB1360" s="402"/>
      <c r="QC1360" s="402"/>
      <c r="QD1360" s="402"/>
      <c r="QE1360" s="402"/>
      <c r="QF1360" s="402"/>
      <c r="QG1360" s="402"/>
      <c r="QH1360" s="402"/>
      <c r="QI1360" s="402"/>
      <c r="QJ1360" s="402"/>
      <c r="QK1360" s="402"/>
      <c r="QL1360" s="402"/>
      <c r="QM1360" s="402"/>
      <c r="QN1360" s="402"/>
      <c r="QO1360" s="402"/>
      <c r="QP1360" s="402"/>
      <c r="QQ1360" s="402"/>
      <c r="QR1360" s="402"/>
      <c r="QS1360" s="402"/>
      <c r="QT1360" s="402"/>
      <c r="QU1360" s="402"/>
      <c r="QV1360" s="402"/>
      <c r="QW1360" s="402"/>
      <c r="QX1360" s="402"/>
      <c r="QY1360" s="402"/>
      <c r="QZ1360" s="402"/>
      <c r="RA1360" s="402"/>
      <c r="RB1360" s="402"/>
      <c r="RC1360" s="402"/>
      <c r="RD1360" s="402"/>
      <c r="RE1360" s="402"/>
      <c r="RF1360" s="402"/>
      <c r="RG1360" s="402"/>
      <c r="RH1360" s="402"/>
      <c r="RI1360" s="402"/>
      <c r="RJ1360" s="402"/>
      <c r="RK1360" s="402"/>
      <c r="RL1360" s="402"/>
      <c r="RM1360" s="402"/>
      <c r="RN1360" s="402"/>
      <c r="RO1360" s="402"/>
      <c r="RP1360" s="402"/>
      <c r="RQ1360" s="402"/>
      <c r="RR1360" s="402"/>
      <c r="RS1360" s="402"/>
      <c r="RT1360" s="402"/>
      <c r="RU1360" s="402"/>
      <c r="RV1360" s="402"/>
      <c r="RW1360" s="402"/>
      <c r="RX1360" s="402"/>
      <c r="RY1360" s="402"/>
      <c r="RZ1360" s="402"/>
      <c r="SA1360" s="402"/>
      <c r="SB1360" s="402"/>
      <c r="SC1360" s="402"/>
      <c r="SD1360" s="402"/>
      <c r="SE1360" s="402"/>
      <c r="SF1360" s="402"/>
      <c r="SG1360" s="402"/>
      <c r="SH1360" s="402"/>
      <c r="SI1360" s="402"/>
      <c r="SJ1360" s="402"/>
      <c r="SK1360" s="402"/>
      <c r="SL1360" s="402"/>
      <c r="SM1360" s="402"/>
      <c r="SN1360" s="402"/>
      <c r="SO1360" s="402"/>
      <c r="SP1360" s="402"/>
      <c r="SQ1360" s="402"/>
      <c r="SR1360" s="402"/>
      <c r="SS1360" s="402"/>
      <c r="ST1360" s="402"/>
      <c r="SU1360" s="402"/>
      <c r="SV1360" s="402"/>
      <c r="SW1360" s="402"/>
      <c r="SX1360" s="402"/>
      <c r="SY1360" s="402"/>
      <c r="SZ1360" s="402"/>
      <c r="TA1360" s="402"/>
      <c r="TB1360" s="402"/>
      <c r="TC1360" s="402"/>
      <c r="TD1360" s="402"/>
      <c r="TE1360" s="402"/>
      <c r="TF1360" s="402"/>
      <c r="TG1360" s="402"/>
      <c r="TH1360" s="402"/>
      <c r="TI1360" s="402"/>
      <c r="TJ1360" s="402"/>
      <c r="TK1360" s="402"/>
      <c r="TL1360" s="402"/>
      <c r="TM1360" s="402"/>
      <c r="TN1360" s="402"/>
      <c r="TO1360" s="402"/>
      <c r="TP1360" s="402"/>
      <c r="TQ1360" s="402"/>
      <c r="TR1360" s="402"/>
      <c r="TS1360" s="402"/>
      <c r="TT1360" s="402"/>
      <c r="TU1360" s="402"/>
      <c r="TV1360" s="402"/>
      <c r="TW1360" s="402"/>
      <c r="TX1360" s="402"/>
      <c r="TY1360" s="402"/>
      <c r="TZ1360" s="402"/>
      <c r="UA1360" s="402"/>
      <c r="UB1360" s="402"/>
      <c r="UC1360" s="402"/>
      <c r="UD1360" s="402"/>
      <c r="UE1360" s="402"/>
      <c r="UF1360" s="402"/>
      <c r="UG1360" s="402"/>
      <c r="UH1360" s="402"/>
      <c r="UI1360" s="402"/>
      <c r="UJ1360" s="402"/>
      <c r="UK1360" s="402"/>
      <c r="UL1360" s="402"/>
      <c r="UM1360" s="402"/>
      <c r="UN1360" s="402"/>
      <c r="UO1360" s="402"/>
      <c r="UP1360" s="402"/>
      <c r="UQ1360" s="402"/>
      <c r="UR1360" s="402"/>
      <c r="US1360" s="402"/>
      <c r="UT1360" s="402"/>
      <c r="UU1360" s="402"/>
      <c r="UV1360" s="402"/>
      <c r="UW1360" s="402"/>
      <c r="UX1360" s="402"/>
      <c r="UY1360" s="402"/>
      <c r="UZ1360" s="402"/>
      <c r="VA1360" s="402"/>
      <c r="VB1360" s="402"/>
      <c r="VC1360" s="402"/>
      <c r="VD1360" s="402"/>
      <c r="VE1360" s="402"/>
      <c r="VF1360" s="402"/>
      <c r="VG1360" s="402"/>
      <c r="VH1360" s="402"/>
      <c r="VI1360" s="402"/>
      <c r="VJ1360" s="402"/>
      <c r="VK1360" s="402"/>
      <c r="VL1360" s="402"/>
      <c r="VM1360" s="402"/>
      <c r="VN1360" s="402"/>
      <c r="VO1360" s="402"/>
      <c r="VP1360" s="402"/>
      <c r="VQ1360" s="402"/>
      <c r="VR1360" s="402"/>
      <c r="VS1360" s="402"/>
      <c r="VT1360" s="402"/>
      <c r="VU1360" s="402"/>
      <c r="VV1360" s="402"/>
      <c r="VW1360" s="402"/>
      <c r="VX1360" s="402"/>
      <c r="VY1360" s="402"/>
      <c r="VZ1360" s="402"/>
      <c r="WA1360" s="402"/>
      <c r="WB1360" s="402"/>
      <c r="WC1360" s="402"/>
      <c r="WD1360" s="402"/>
      <c r="WE1360" s="402"/>
      <c r="WF1360" s="402"/>
      <c r="WG1360" s="402"/>
      <c r="WH1360" s="402"/>
      <c r="WI1360" s="402"/>
      <c r="WJ1360" s="402"/>
      <c r="WK1360" s="402"/>
      <c r="WL1360" s="402"/>
      <c r="WM1360" s="402"/>
      <c r="WN1360" s="402"/>
      <c r="WO1360" s="402"/>
      <c r="WP1360" s="402"/>
      <c r="WQ1360" s="402"/>
      <c r="WR1360" s="402"/>
      <c r="WS1360" s="402"/>
      <c r="WT1360" s="402"/>
      <c r="WU1360" s="402"/>
      <c r="WV1360" s="402"/>
      <c r="WW1360" s="402"/>
      <c r="WX1360" s="402"/>
      <c r="WY1360" s="402"/>
      <c r="WZ1360" s="402"/>
      <c r="XA1360" s="402"/>
      <c r="XB1360" s="402"/>
      <c r="XC1360" s="402"/>
      <c r="XD1360" s="402"/>
      <c r="XE1360" s="402"/>
      <c r="XF1360" s="402"/>
      <c r="XG1360" s="402"/>
      <c r="XH1360" s="402"/>
      <c r="XI1360" s="402"/>
      <c r="XJ1360" s="402"/>
      <c r="XK1360" s="402"/>
      <c r="XL1360" s="402"/>
      <c r="XM1360" s="402"/>
      <c r="XN1360" s="402"/>
      <c r="XO1360" s="402"/>
      <c r="XP1360" s="402"/>
      <c r="XQ1360" s="402"/>
      <c r="XR1360" s="402"/>
      <c r="XS1360" s="402"/>
      <c r="XT1360" s="402"/>
      <c r="XU1360" s="402"/>
      <c r="XV1360" s="402"/>
      <c r="XW1360" s="402"/>
      <c r="XX1360" s="402"/>
      <c r="XY1360" s="402"/>
      <c r="XZ1360" s="402"/>
      <c r="YA1360" s="402"/>
      <c r="YB1360" s="402"/>
      <c r="YC1360" s="402"/>
      <c r="YD1360" s="402"/>
      <c r="YE1360" s="402"/>
      <c r="YF1360" s="402"/>
      <c r="YG1360" s="402"/>
      <c r="YH1360" s="402"/>
      <c r="YI1360" s="402"/>
      <c r="YJ1360" s="402"/>
      <c r="YK1360" s="402"/>
      <c r="YL1360" s="402"/>
      <c r="YM1360" s="402"/>
      <c r="YN1360" s="402"/>
      <c r="YO1360" s="402"/>
      <c r="YP1360" s="402"/>
      <c r="YQ1360" s="402"/>
      <c r="YR1360" s="402"/>
      <c r="YS1360" s="402"/>
      <c r="YT1360" s="402"/>
      <c r="YU1360" s="402"/>
      <c r="YV1360" s="402"/>
      <c r="YW1360" s="402"/>
      <c r="YX1360" s="402"/>
      <c r="YY1360" s="402"/>
      <c r="YZ1360" s="402"/>
      <c r="ZA1360" s="402"/>
      <c r="ZB1360" s="402"/>
      <c r="ZC1360" s="402"/>
      <c r="ZD1360" s="402"/>
      <c r="ZE1360" s="402"/>
      <c r="ZF1360" s="402"/>
      <c r="ZG1360" s="402"/>
      <c r="ZH1360" s="402"/>
      <c r="ZI1360" s="402"/>
      <c r="ZJ1360" s="402"/>
      <c r="ZK1360" s="402"/>
      <c r="ZL1360" s="402"/>
      <c r="ZM1360" s="402"/>
      <c r="ZN1360" s="402"/>
      <c r="ZO1360" s="402"/>
      <c r="ZP1360" s="402"/>
      <c r="ZQ1360" s="402"/>
      <c r="ZR1360" s="402"/>
      <c r="ZS1360" s="402"/>
      <c r="ZT1360" s="402"/>
      <c r="ZU1360" s="402"/>
      <c r="ZV1360" s="402"/>
      <c r="ZW1360" s="402"/>
      <c r="ZX1360" s="402"/>
      <c r="ZY1360" s="402"/>
      <c r="ZZ1360" s="402"/>
      <c r="AAA1360" s="402"/>
      <c r="AAB1360" s="402"/>
      <c r="AAC1360" s="402"/>
      <c r="AAD1360" s="402"/>
      <c r="AAE1360" s="402"/>
      <c r="AAF1360" s="402"/>
      <c r="AAG1360" s="402"/>
      <c r="AAH1360" s="402"/>
      <c r="AAI1360" s="402"/>
      <c r="AAJ1360" s="402"/>
      <c r="AAK1360" s="402"/>
      <c r="AAL1360" s="402"/>
      <c r="AAM1360" s="402"/>
      <c r="AAN1360" s="402"/>
      <c r="AAO1360" s="402"/>
      <c r="AAP1360" s="402"/>
      <c r="AAQ1360" s="402"/>
      <c r="AAR1360" s="402"/>
      <c r="AAS1360" s="402"/>
      <c r="AAT1360" s="402"/>
      <c r="AAU1360" s="402"/>
      <c r="AAV1360" s="402"/>
      <c r="AAW1360" s="402"/>
      <c r="AAX1360" s="402"/>
      <c r="AAY1360" s="402"/>
      <c r="AAZ1360" s="402"/>
      <c r="ABA1360" s="402"/>
      <c r="ABB1360" s="402"/>
      <c r="ABC1360" s="402"/>
      <c r="ABD1360" s="402"/>
      <c r="ABE1360" s="402"/>
      <c r="ABF1360" s="402"/>
      <c r="ABG1360" s="402"/>
      <c r="ABH1360" s="402"/>
      <c r="ABI1360" s="402"/>
      <c r="ABJ1360" s="402"/>
      <c r="ABK1360" s="402"/>
      <c r="ABL1360" s="402"/>
      <c r="ABM1360" s="402"/>
      <c r="ABN1360" s="402"/>
      <c r="ABO1360" s="402"/>
      <c r="ABP1360" s="402"/>
      <c r="ABQ1360" s="402"/>
      <c r="ABR1360" s="402"/>
      <c r="ABS1360" s="402"/>
      <c r="ABT1360" s="402"/>
      <c r="ABU1360" s="402"/>
      <c r="ABV1360" s="402"/>
      <c r="ABW1360" s="402"/>
      <c r="ABX1360" s="402"/>
      <c r="ABY1360" s="402"/>
      <c r="ABZ1360" s="402"/>
      <c r="ACA1360" s="402"/>
      <c r="ACB1360" s="402"/>
      <c r="ACC1360" s="402"/>
      <c r="ACD1360" s="402"/>
      <c r="ACE1360" s="402"/>
      <c r="ACF1360" s="402"/>
      <c r="ACG1360" s="402"/>
      <c r="ACH1360" s="402"/>
      <c r="ACI1360" s="402"/>
      <c r="ACJ1360" s="402"/>
      <c r="ACK1360" s="402"/>
      <c r="ACL1360" s="402"/>
      <c r="ACM1360" s="402"/>
      <c r="ACN1360" s="402"/>
      <c r="ACO1360" s="402"/>
      <c r="ACP1360" s="402"/>
      <c r="ACQ1360" s="402"/>
      <c r="ACR1360" s="402"/>
      <c r="ACS1360" s="402"/>
      <c r="ACT1360" s="402"/>
      <c r="ACU1360" s="402"/>
      <c r="ACV1360" s="402"/>
      <c r="ACW1360" s="402"/>
      <c r="ACX1360" s="402"/>
      <c r="ACY1360" s="402"/>
      <c r="ACZ1360" s="402"/>
      <c r="ADA1360" s="402"/>
      <c r="ADB1360" s="402"/>
      <c r="ADC1360" s="402"/>
      <c r="ADD1360" s="402"/>
      <c r="ADE1360" s="402"/>
      <c r="ADF1360" s="402"/>
      <c r="ADG1360" s="402"/>
      <c r="ADH1360" s="402"/>
      <c r="ADI1360" s="402"/>
      <c r="ADJ1360" s="402"/>
      <c r="ADK1360" s="402"/>
      <c r="ADL1360" s="402"/>
      <c r="ADM1360" s="402"/>
      <c r="ADN1360" s="402"/>
      <c r="ADO1360" s="402"/>
      <c r="ADP1360" s="402"/>
      <c r="ADQ1360" s="402"/>
      <c r="ADR1360" s="402"/>
      <c r="ADS1360" s="402"/>
      <c r="ADT1360" s="402"/>
      <c r="ADU1360" s="402"/>
      <c r="ADV1360" s="402"/>
      <c r="ADW1360" s="402"/>
      <c r="ADX1360" s="402"/>
      <c r="ADY1360" s="402"/>
      <c r="ADZ1360" s="402"/>
      <c r="AEA1360" s="402"/>
      <c r="AEB1360" s="402"/>
      <c r="AEC1360" s="402"/>
      <c r="AED1360" s="402"/>
      <c r="AEE1360" s="402"/>
      <c r="AEF1360" s="402"/>
      <c r="AEG1360" s="402"/>
      <c r="AEH1360" s="402"/>
      <c r="AEI1360" s="402"/>
      <c r="AEJ1360" s="402"/>
      <c r="AEK1360" s="402"/>
      <c r="AEL1360" s="402"/>
      <c r="AEM1360" s="402"/>
      <c r="AEN1360" s="402"/>
      <c r="AEO1360" s="402"/>
      <c r="AEP1360" s="402"/>
      <c r="AEQ1360" s="402"/>
      <c r="AER1360" s="402"/>
      <c r="AES1360" s="402"/>
      <c r="AET1360" s="402"/>
      <c r="AEU1360" s="402"/>
      <c r="AEV1360" s="402"/>
      <c r="AEW1360" s="402"/>
      <c r="AEX1360" s="402"/>
      <c r="AEY1360" s="402"/>
      <c r="AEZ1360" s="402"/>
      <c r="AFA1360" s="402"/>
      <c r="AFB1360" s="402"/>
      <c r="AFC1360" s="402"/>
      <c r="AFD1360" s="402"/>
      <c r="AFE1360" s="402"/>
      <c r="AFF1360" s="402"/>
      <c r="AFG1360" s="402"/>
      <c r="AFH1360" s="402"/>
      <c r="AFI1360" s="402"/>
      <c r="AFJ1360" s="402"/>
      <c r="AFK1360" s="402"/>
      <c r="AFL1360" s="402"/>
      <c r="AFM1360" s="402"/>
      <c r="AFN1360" s="402"/>
      <c r="AFO1360" s="402"/>
      <c r="AFP1360" s="402"/>
      <c r="AFQ1360" s="402"/>
      <c r="AFR1360" s="402"/>
      <c r="AFS1360" s="402"/>
      <c r="AFT1360" s="402"/>
      <c r="AFU1360" s="402"/>
      <c r="AFV1360" s="402"/>
      <c r="AFW1360" s="402"/>
      <c r="AFX1360" s="402"/>
      <c r="AFY1360" s="402"/>
      <c r="AFZ1360" s="402"/>
      <c r="AGA1360" s="402"/>
      <c r="AGB1360" s="402"/>
      <c r="AGC1360" s="402"/>
      <c r="AGD1360" s="402"/>
      <c r="AGE1360" s="402"/>
      <c r="AGF1360" s="402"/>
      <c r="AGG1360" s="402"/>
      <c r="AGH1360" s="402"/>
      <c r="AGI1360" s="402"/>
      <c r="AGJ1360" s="402"/>
      <c r="AGK1360" s="402"/>
      <c r="AGL1360" s="402"/>
      <c r="AGM1360" s="402"/>
      <c r="AGN1360" s="402"/>
      <c r="AGO1360" s="402"/>
      <c r="AGP1360" s="402"/>
      <c r="AGQ1360" s="402"/>
      <c r="AGR1360" s="402"/>
      <c r="AGS1360" s="402"/>
      <c r="AGT1360" s="402"/>
      <c r="AGU1360" s="402"/>
      <c r="AGV1360" s="402"/>
      <c r="AGW1360" s="402"/>
      <c r="AGX1360" s="402"/>
      <c r="AGY1360" s="402"/>
      <c r="AGZ1360" s="402"/>
      <c r="AHA1360" s="402"/>
      <c r="AHB1360" s="402"/>
      <c r="AHC1360" s="402"/>
      <c r="AHD1360" s="402"/>
      <c r="AHE1360" s="402"/>
      <c r="AHF1360" s="402"/>
      <c r="AHG1360" s="402"/>
      <c r="AHH1360" s="402"/>
      <c r="AHI1360" s="402"/>
      <c r="AHJ1360" s="402"/>
      <c r="AHK1360" s="402"/>
      <c r="AHL1360" s="402"/>
      <c r="AHM1360" s="402"/>
      <c r="AHN1360" s="402"/>
      <c r="AHO1360" s="402"/>
      <c r="AHP1360" s="402"/>
      <c r="AHQ1360" s="402"/>
      <c r="AHR1360" s="402"/>
      <c r="AHS1360" s="402"/>
      <c r="AHT1360" s="402"/>
      <c r="AHU1360" s="402"/>
      <c r="AHV1360" s="402"/>
      <c r="AHW1360" s="402"/>
      <c r="AHX1360" s="402"/>
      <c r="AHY1360" s="402"/>
      <c r="AHZ1360" s="402"/>
      <c r="AIA1360" s="402"/>
      <c r="AIB1360" s="402"/>
      <c r="AIC1360" s="402"/>
      <c r="AID1360" s="402"/>
      <c r="AIE1360" s="402"/>
      <c r="AIF1360" s="402"/>
      <c r="AIG1360" s="402"/>
      <c r="AIH1360" s="402"/>
      <c r="AII1360" s="402"/>
      <c r="AIJ1360" s="402"/>
      <c r="AIK1360" s="402"/>
      <c r="AIL1360" s="402"/>
      <c r="AIM1360" s="402"/>
      <c r="AIN1360" s="402"/>
      <c r="AIO1360" s="402"/>
      <c r="AIP1360" s="402"/>
      <c r="AIQ1360" s="402"/>
      <c r="AIR1360" s="402"/>
      <c r="AIS1360" s="402"/>
      <c r="AIT1360" s="402"/>
      <c r="AIU1360" s="402"/>
      <c r="AIV1360" s="402"/>
      <c r="AIW1360" s="402"/>
      <c r="AIX1360" s="402"/>
      <c r="AIY1360" s="402"/>
      <c r="AIZ1360" s="402"/>
      <c r="AJA1360" s="402"/>
      <c r="AJB1360" s="402"/>
      <c r="AJC1360" s="402"/>
      <c r="AJD1360" s="402"/>
      <c r="AJE1360" s="402"/>
      <c r="AJF1360" s="402"/>
      <c r="AJG1360" s="402"/>
      <c r="AJH1360" s="402"/>
      <c r="AJI1360" s="402"/>
      <c r="AJJ1360" s="402"/>
      <c r="AJK1360" s="402"/>
      <c r="AJL1360" s="402"/>
      <c r="AJM1360" s="402"/>
      <c r="AJN1360" s="402"/>
      <c r="AJO1360" s="402"/>
      <c r="AJP1360" s="402"/>
      <c r="AJQ1360" s="402"/>
      <c r="AJR1360" s="402"/>
      <c r="AJS1360" s="402"/>
      <c r="AJT1360" s="402"/>
      <c r="AJU1360" s="402"/>
      <c r="AJV1360" s="402"/>
      <c r="AJW1360" s="402"/>
      <c r="AJX1360" s="402"/>
      <c r="AJY1360" s="402"/>
      <c r="AJZ1360" s="402"/>
      <c r="AKA1360" s="402"/>
      <c r="AKB1360" s="402"/>
      <c r="AKC1360" s="402"/>
      <c r="AKD1360" s="402"/>
      <c r="AKE1360" s="402"/>
      <c r="AKF1360" s="402"/>
      <c r="AKG1360" s="402"/>
      <c r="AKH1360" s="402"/>
      <c r="AKI1360" s="402"/>
      <c r="AKJ1360" s="402"/>
      <c r="AKK1360" s="402"/>
      <c r="AKL1360" s="402"/>
      <c r="AKM1360" s="402"/>
      <c r="AKN1360" s="402"/>
      <c r="AKO1360" s="402"/>
      <c r="AKP1360" s="402"/>
      <c r="AKQ1360" s="402"/>
      <c r="AKR1360" s="402"/>
      <c r="AKS1360" s="402"/>
      <c r="AKT1360" s="402"/>
      <c r="AKU1360" s="402"/>
      <c r="AKV1360" s="402"/>
      <c r="AKW1360" s="402"/>
      <c r="AKX1360" s="402"/>
      <c r="AKY1360" s="402"/>
      <c r="AKZ1360" s="402"/>
      <c r="ALA1360" s="402"/>
      <c r="ALB1360" s="402"/>
      <c r="ALC1360" s="402"/>
      <c r="ALD1360" s="402"/>
      <c r="ALE1360" s="402"/>
      <c r="ALF1360" s="402"/>
      <c r="ALG1360" s="402"/>
      <c r="ALH1360" s="402"/>
      <c r="ALI1360" s="402"/>
      <c r="ALJ1360" s="402"/>
      <c r="ALK1360" s="402"/>
      <c r="ALL1360" s="402"/>
      <c r="ALM1360" s="402"/>
      <c r="ALN1360" s="402"/>
      <c r="ALO1360" s="402"/>
      <c r="ALP1360" s="402"/>
      <c r="ALQ1360" s="402"/>
      <c r="ALR1360" s="402"/>
      <c r="ALS1360" s="402"/>
      <c r="ALT1360" s="402"/>
      <c r="ALU1360" s="402"/>
      <c r="ALV1360" s="402"/>
      <c r="ALW1360" s="402"/>
      <c r="ALX1360" s="402"/>
      <c r="ALY1360" s="402"/>
      <c r="ALZ1360" s="402"/>
      <c r="AMA1360" s="402"/>
      <c r="AMB1360" s="402"/>
      <c r="AMC1360" s="402"/>
      <c r="AMD1360" s="402"/>
      <c r="AME1360" s="402"/>
      <c r="AMF1360" s="402"/>
      <c r="AMG1360" s="402"/>
      <c r="AMH1360" s="402"/>
      <c r="AMI1360" s="402"/>
      <c r="AMJ1360" s="402"/>
      <c r="AMK1360" s="402"/>
      <c r="AML1360" s="402"/>
      <c r="AMM1360" s="402"/>
      <c r="AMN1360" s="402"/>
      <c r="AMO1360" s="402"/>
      <c r="AMP1360" s="402"/>
      <c r="AMQ1360" s="402"/>
      <c r="AMR1360" s="402"/>
      <c r="AMS1360" s="402"/>
      <c r="AMT1360" s="402"/>
      <c r="AMU1360" s="402"/>
      <c r="AMV1360" s="402"/>
      <c r="AMW1360" s="402"/>
      <c r="AMX1360" s="402"/>
      <c r="AMY1360" s="402"/>
      <c r="AMZ1360" s="402"/>
      <c r="ANA1360" s="402"/>
      <c r="ANB1360" s="402"/>
      <c r="ANC1360" s="402"/>
      <c r="AND1360" s="402"/>
      <c r="ANE1360" s="402"/>
      <c r="ANF1360" s="402"/>
      <c r="ANG1360" s="402"/>
      <c r="ANH1360" s="402"/>
      <c r="ANI1360" s="402"/>
      <c r="ANJ1360" s="402"/>
      <c r="ANK1360" s="402"/>
      <c r="ANL1360" s="402"/>
      <c r="ANM1360" s="402"/>
      <c r="ANN1360" s="402"/>
      <c r="ANO1360" s="402"/>
      <c r="ANP1360" s="402"/>
      <c r="ANQ1360" s="402"/>
      <c r="ANR1360" s="402"/>
      <c r="ANS1360" s="402"/>
      <c r="ANT1360" s="402"/>
      <c r="ANU1360" s="402"/>
      <c r="ANV1360" s="402"/>
      <c r="ANW1360" s="402"/>
      <c r="ANX1360" s="402"/>
      <c r="ANY1360" s="402"/>
      <c r="ANZ1360" s="402"/>
      <c r="AOA1360" s="402"/>
      <c r="AOB1360" s="402"/>
      <c r="AOC1360" s="402"/>
      <c r="AOD1360" s="402"/>
      <c r="AOE1360" s="402"/>
      <c r="AOF1360" s="402"/>
      <c r="AOG1360" s="402"/>
      <c r="AOH1360" s="402"/>
      <c r="AOI1360" s="402"/>
      <c r="AOJ1360" s="402"/>
      <c r="AOK1360" s="402"/>
      <c r="AOL1360" s="402"/>
      <c r="AOM1360" s="402"/>
      <c r="AON1360" s="402"/>
      <c r="AOO1360" s="402"/>
      <c r="AOP1360" s="402"/>
      <c r="AOQ1360" s="402"/>
      <c r="AOR1360" s="402"/>
      <c r="AOS1360" s="402"/>
      <c r="AOT1360" s="402"/>
      <c r="AOU1360" s="402"/>
      <c r="AOV1360" s="402"/>
      <c r="AOW1360" s="402"/>
      <c r="AOX1360" s="402"/>
      <c r="AOY1360" s="402"/>
      <c r="AOZ1360" s="402"/>
      <c r="APA1360" s="402"/>
      <c r="APB1360" s="402"/>
      <c r="APC1360" s="402"/>
      <c r="APD1360" s="402"/>
      <c r="APE1360" s="402"/>
      <c r="APF1360" s="402"/>
      <c r="APG1360" s="402"/>
      <c r="APH1360" s="402"/>
      <c r="API1360" s="402"/>
      <c r="APJ1360" s="402"/>
      <c r="APK1360" s="402"/>
      <c r="APL1360" s="402"/>
      <c r="APM1360" s="402"/>
      <c r="APN1360" s="402"/>
      <c r="APO1360" s="402"/>
      <c r="APP1360" s="402"/>
      <c r="APQ1360" s="402"/>
      <c r="APR1360" s="402"/>
      <c r="APS1360" s="402"/>
      <c r="APT1360" s="402"/>
      <c r="APU1360" s="402"/>
      <c r="APV1360" s="402"/>
      <c r="APW1360" s="402"/>
      <c r="APX1360" s="402"/>
      <c r="APY1360" s="402"/>
      <c r="APZ1360" s="402"/>
      <c r="AQA1360" s="402"/>
      <c r="AQB1360" s="402"/>
      <c r="AQC1360" s="402"/>
      <c r="AQD1360" s="402"/>
      <c r="AQE1360" s="402"/>
      <c r="AQF1360" s="402"/>
      <c r="AQG1360" s="402"/>
      <c r="AQH1360" s="402"/>
      <c r="AQI1360" s="402"/>
      <c r="AQJ1360" s="402"/>
      <c r="AQK1360" s="402"/>
      <c r="AQL1360" s="402"/>
      <c r="AQM1360" s="402"/>
      <c r="AQN1360" s="402"/>
      <c r="AQO1360" s="402"/>
      <c r="AQP1360" s="402"/>
      <c r="AQQ1360" s="402"/>
      <c r="AQR1360" s="402"/>
      <c r="AQS1360" s="402"/>
      <c r="AQT1360" s="402"/>
      <c r="AQU1360" s="402"/>
      <c r="AQV1360" s="402"/>
      <c r="AQW1360" s="402"/>
      <c r="AQX1360" s="402"/>
      <c r="AQY1360" s="402"/>
      <c r="AQZ1360" s="402"/>
      <c r="ARA1360" s="402"/>
      <c r="ARB1360" s="402"/>
      <c r="ARC1360" s="402"/>
      <c r="ARD1360" s="402"/>
      <c r="ARE1360" s="402"/>
      <c r="ARF1360" s="402"/>
      <c r="ARG1360" s="402"/>
      <c r="ARH1360" s="402"/>
      <c r="ARI1360" s="402"/>
      <c r="ARJ1360" s="402"/>
      <c r="ARK1360" s="402"/>
      <c r="ARL1360" s="402"/>
      <c r="ARM1360" s="402"/>
      <c r="ARN1360" s="402"/>
      <c r="ARO1360" s="402"/>
      <c r="ARP1360" s="402"/>
      <c r="ARQ1360" s="402"/>
      <c r="ARR1360" s="402"/>
      <c r="ARS1360" s="402"/>
      <c r="ART1360" s="402"/>
      <c r="ARU1360" s="402"/>
      <c r="ARV1360" s="402"/>
      <c r="ARW1360" s="402"/>
      <c r="ARX1360" s="402"/>
      <c r="ARY1360" s="402"/>
      <c r="ARZ1360" s="402"/>
      <c r="ASA1360" s="402"/>
      <c r="ASB1360" s="402"/>
      <c r="ASC1360" s="402"/>
      <c r="ASD1360" s="402"/>
      <c r="ASE1360" s="402"/>
      <c r="ASF1360" s="402"/>
      <c r="ASG1360" s="402"/>
      <c r="ASH1360" s="402"/>
      <c r="ASI1360" s="402"/>
      <c r="ASJ1360" s="402"/>
      <c r="ASK1360" s="402"/>
      <c r="ASL1360" s="402"/>
      <c r="ASM1360" s="402"/>
      <c r="ASN1360" s="402"/>
      <c r="ASO1360" s="402"/>
      <c r="ASP1360" s="402"/>
      <c r="ASQ1360" s="402"/>
      <c r="ASR1360" s="402"/>
      <c r="ASS1360" s="402"/>
      <c r="AST1360" s="402"/>
      <c r="ASU1360" s="402"/>
      <c r="ASV1360" s="402"/>
      <c r="ASW1360" s="402"/>
      <c r="ASX1360" s="402"/>
      <c r="ASY1360" s="402"/>
      <c r="ASZ1360" s="402"/>
      <c r="ATA1360" s="402"/>
      <c r="ATB1360" s="402"/>
      <c r="ATC1360" s="402"/>
      <c r="ATD1360" s="402"/>
      <c r="ATE1360" s="402"/>
      <c r="ATF1360" s="402"/>
      <c r="ATG1360" s="402"/>
      <c r="ATH1360" s="402"/>
      <c r="ATI1360" s="402"/>
      <c r="ATJ1360" s="402"/>
      <c r="ATK1360" s="402"/>
      <c r="ATL1360" s="402"/>
      <c r="ATM1360" s="402"/>
      <c r="ATN1360" s="402"/>
      <c r="ATO1360" s="402"/>
      <c r="ATP1360" s="402"/>
      <c r="ATQ1360" s="402"/>
      <c r="ATR1360" s="402"/>
      <c r="ATS1360" s="402"/>
      <c r="ATT1360" s="402"/>
      <c r="ATU1360" s="402"/>
      <c r="ATV1360" s="402"/>
      <c r="ATW1360" s="402"/>
      <c r="ATX1360" s="402"/>
      <c r="ATY1360" s="402"/>
      <c r="ATZ1360" s="402"/>
      <c r="AUA1360" s="402"/>
      <c r="AUB1360" s="402"/>
      <c r="AUC1360" s="402"/>
      <c r="AUD1360" s="402"/>
      <c r="AUE1360" s="402"/>
      <c r="AUF1360" s="402"/>
      <c r="AUG1360" s="402"/>
      <c r="AUH1360" s="402"/>
      <c r="AUI1360" s="402"/>
      <c r="AUJ1360" s="402"/>
      <c r="AUK1360" s="402"/>
      <c r="AUL1360" s="402"/>
      <c r="AUM1360" s="402"/>
      <c r="AUN1360" s="402"/>
      <c r="AUO1360" s="402"/>
      <c r="AUP1360" s="402"/>
      <c r="AUQ1360" s="402"/>
      <c r="AUR1360" s="402"/>
      <c r="AUS1360" s="402"/>
      <c r="AUT1360" s="402"/>
      <c r="AUU1360" s="402"/>
      <c r="AUV1360" s="402"/>
      <c r="AUW1360" s="402"/>
      <c r="AUX1360" s="402"/>
      <c r="AUY1360" s="402"/>
      <c r="AUZ1360" s="402"/>
      <c r="AVA1360" s="402"/>
      <c r="AVB1360" s="402"/>
      <c r="AVC1360" s="402"/>
      <c r="AVD1360" s="402"/>
      <c r="AVE1360" s="402"/>
      <c r="AVF1360" s="402"/>
      <c r="AVG1360" s="402"/>
      <c r="AVH1360" s="402"/>
      <c r="AVI1360" s="402"/>
      <c r="AVJ1360" s="402"/>
      <c r="AVK1360" s="402"/>
    </row>
    <row r="1361" spans="1:1259" s="442" customFormat="1" ht="15" customHeight="1">
      <c r="A1361" s="403"/>
      <c r="B1361" s="403"/>
      <c r="C1361" s="403"/>
      <c r="D1361" s="443" t="s">
        <v>2480</v>
      </c>
      <c r="E1361" s="443" t="s">
        <v>2406</v>
      </c>
      <c r="F1361" s="432"/>
      <c r="G1361" s="432"/>
      <c r="H1361" s="451">
        <v>10</v>
      </c>
      <c r="I1361" s="427" t="s">
        <v>1498</v>
      </c>
      <c r="J1361" s="433"/>
      <c r="K1361" s="433" t="s">
        <v>3755</v>
      </c>
      <c r="L1361" s="433" t="s">
        <v>2509</v>
      </c>
      <c r="M1361" s="433">
        <v>44550</v>
      </c>
      <c r="N1361" s="433">
        <v>44715</v>
      </c>
      <c r="O1361" s="435"/>
      <c r="P1361" s="433"/>
      <c r="Q1361" s="433"/>
      <c r="R1361" s="433"/>
      <c r="S1361" s="432" t="s">
        <v>1940</v>
      </c>
      <c r="T1361" s="432">
        <v>60</v>
      </c>
      <c r="U1361" s="432"/>
      <c r="V1361" s="432" t="s">
        <v>973</v>
      </c>
      <c r="W1361" s="432">
        <v>400</v>
      </c>
      <c r="X1361" s="436">
        <v>320</v>
      </c>
      <c r="Y1361" s="422">
        <f t="shared" si="166"/>
        <v>128000</v>
      </c>
      <c r="Z1361" s="437">
        <v>0.53</v>
      </c>
      <c r="AA1361" s="423">
        <f t="shared" si="167"/>
        <v>67840</v>
      </c>
      <c r="AB1361" s="411"/>
      <c r="AC1361" s="412">
        <f t="shared" si="168"/>
        <v>0</v>
      </c>
      <c r="AD1361" s="439"/>
      <c r="AE1361" s="438"/>
      <c r="AF1361" s="424">
        <f t="shared" si="169"/>
        <v>67840</v>
      </c>
      <c r="AG1361" s="432" t="s">
        <v>1069</v>
      </c>
      <c r="AH1361" s="432"/>
      <c r="AI1361" s="434">
        <v>60</v>
      </c>
      <c r="AJ1361" s="432" t="s">
        <v>2659</v>
      </c>
      <c r="AK1361" s="440" t="s">
        <v>2660</v>
      </c>
      <c r="AL1361" s="432">
        <v>70087</v>
      </c>
      <c r="AM1361" s="432" t="s">
        <v>52</v>
      </c>
      <c r="AN1361" s="432"/>
      <c r="AO1361" s="432"/>
      <c r="AP1361" s="441"/>
      <c r="AQ1361" s="441" t="s">
        <v>37</v>
      </c>
      <c r="AR1361" s="441"/>
      <c r="AS1361" s="426" t="s">
        <v>1142</v>
      </c>
      <c r="AT1361" s="426" t="s">
        <v>1073</v>
      </c>
      <c r="AU1361" s="426" t="s">
        <v>1073</v>
      </c>
      <c r="AV1361" s="437">
        <v>0.53</v>
      </c>
      <c r="AW1361" s="402"/>
      <c r="AX1361" s="402"/>
      <c r="AY1361" s="402"/>
      <c r="AZ1361" s="402"/>
      <c r="BA1361" s="402"/>
      <c r="BB1361" s="402"/>
      <c r="BC1361" s="402"/>
      <c r="BD1361" s="402"/>
      <c r="BE1361" s="402"/>
      <c r="BF1361" s="402"/>
      <c r="BG1361" s="402"/>
      <c r="BH1361" s="402"/>
      <c r="BI1361" s="402"/>
      <c r="BJ1361" s="402"/>
      <c r="BK1361" s="402"/>
      <c r="BL1361" s="402"/>
      <c r="BM1361" s="402"/>
      <c r="BN1361" s="402"/>
      <c r="BO1361" s="402"/>
      <c r="BP1361" s="402"/>
      <c r="BQ1361" s="402"/>
      <c r="BR1361" s="402"/>
      <c r="BS1361" s="402"/>
      <c r="BT1361" s="402"/>
      <c r="BU1361" s="402"/>
      <c r="BV1361" s="402"/>
      <c r="BW1361" s="402"/>
      <c r="BX1361" s="402"/>
      <c r="BY1361" s="402"/>
      <c r="BZ1361" s="402"/>
      <c r="CA1361" s="402"/>
      <c r="CB1361" s="402"/>
      <c r="CC1361" s="402"/>
      <c r="CD1361" s="402"/>
      <c r="CE1361" s="402"/>
      <c r="CF1361" s="402"/>
      <c r="CG1361" s="402"/>
      <c r="CH1361" s="402"/>
      <c r="CI1361" s="402"/>
      <c r="CJ1361" s="402"/>
      <c r="CK1361" s="402"/>
      <c r="CL1361" s="402"/>
      <c r="CM1361" s="402"/>
      <c r="CN1361" s="402"/>
      <c r="CO1361" s="402"/>
      <c r="CP1361" s="402"/>
      <c r="CQ1361" s="402"/>
      <c r="CR1361" s="402"/>
      <c r="CS1361" s="402"/>
      <c r="CT1361" s="402"/>
      <c r="CU1361" s="402"/>
      <c r="CV1361" s="402"/>
      <c r="CW1361" s="402"/>
      <c r="CX1361" s="402"/>
      <c r="CY1361" s="402"/>
      <c r="CZ1361" s="402"/>
      <c r="DA1361" s="402"/>
      <c r="DB1361" s="402"/>
      <c r="DC1361" s="402"/>
      <c r="DD1361" s="402"/>
      <c r="DE1361" s="402"/>
      <c r="DF1361" s="402"/>
      <c r="DG1361" s="402"/>
      <c r="DH1361" s="402"/>
      <c r="DI1361" s="402"/>
      <c r="DJ1361" s="402"/>
      <c r="DK1361" s="402"/>
      <c r="DL1361" s="402"/>
      <c r="DM1361" s="402"/>
      <c r="DN1361" s="402"/>
      <c r="DO1361" s="402"/>
      <c r="DP1361" s="402"/>
      <c r="DQ1361" s="402"/>
      <c r="DR1361" s="402"/>
      <c r="DS1361" s="402"/>
      <c r="DT1361" s="402"/>
      <c r="DU1361" s="402"/>
      <c r="DV1361" s="402"/>
      <c r="DW1361" s="402"/>
      <c r="DX1361" s="402"/>
      <c r="DY1361" s="402"/>
      <c r="DZ1361" s="402"/>
      <c r="EA1361" s="402"/>
      <c r="EB1361" s="402"/>
      <c r="EC1361" s="402"/>
      <c r="ED1361" s="402"/>
      <c r="EE1361" s="402"/>
      <c r="EF1361" s="402"/>
      <c r="EG1361" s="402"/>
      <c r="EH1361" s="402"/>
      <c r="EI1361" s="402"/>
      <c r="EJ1361" s="402"/>
      <c r="EK1361" s="402"/>
      <c r="EL1361" s="402"/>
      <c r="EM1361" s="402"/>
      <c r="EN1361" s="402"/>
      <c r="EO1361" s="402"/>
      <c r="EP1361" s="402"/>
      <c r="EQ1361" s="402"/>
      <c r="ER1361" s="402"/>
      <c r="ES1361" s="402"/>
      <c r="ET1361" s="402"/>
      <c r="EU1361" s="402"/>
      <c r="EV1361" s="402"/>
      <c r="EW1361" s="402"/>
      <c r="EX1361" s="402"/>
      <c r="EY1361" s="402"/>
      <c r="EZ1361" s="402"/>
      <c r="FA1361" s="402"/>
      <c r="FB1361" s="402"/>
      <c r="FC1361" s="402"/>
      <c r="FD1361" s="402"/>
      <c r="FE1361" s="402"/>
      <c r="FF1361" s="402"/>
      <c r="FG1361" s="402"/>
      <c r="FH1361" s="402"/>
      <c r="FI1361" s="402"/>
      <c r="FJ1361" s="402"/>
      <c r="FK1361" s="402"/>
      <c r="FL1361" s="402"/>
      <c r="FM1361" s="402"/>
      <c r="FN1361" s="402"/>
      <c r="FO1361" s="402"/>
      <c r="FP1361" s="402"/>
      <c r="FQ1361" s="402"/>
      <c r="FR1361" s="402"/>
      <c r="FS1361" s="402"/>
      <c r="FT1361" s="402"/>
      <c r="FU1361" s="402"/>
      <c r="FV1361" s="402"/>
      <c r="FW1361" s="402"/>
      <c r="FX1361" s="402"/>
      <c r="FY1361" s="402"/>
      <c r="FZ1361" s="402"/>
      <c r="GA1361" s="402"/>
      <c r="GB1361" s="402"/>
      <c r="GC1361" s="402"/>
      <c r="GD1361" s="402"/>
      <c r="GE1361" s="402"/>
      <c r="GF1361" s="402"/>
      <c r="GG1361" s="402"/>
      <c r="GH1361" s="402"/>
      <c r="GI1361" s="402"/>
      <c r="GJ1361" s="402"/>
      <c r="GK1361" s="402"/>
      <c r="GL1361" s="402"/>
      <c r="GM1361" s="402"/>
      <c r="GN1361" s="402"/>
      <c r="GO1361" s="402"/>
      <c r="GP1361" s="402"/>
      <c r="GQ1361" s="402"/>
      <c r="GR1361" s="402"/>
      <c r="GS1361" s="402"/>
      <c r="GT1361" s="402"/>
      <c r="GU1361" s="402"/>
      <c r="GV1361" s="402"/>
      <c r="GW1361" s="402"/>
      <c r="GX1361" s="402"/>
      <c r="GY1361" s="402"/>
      <c r="GZ1361" s="402"/>
      <c r="HA1361" s="402"/>
      <c r="HB1361" s="402"/>
      <c r="HC1361" s="402"/>
      <c r="HD1361" s="402"/>
      <c r="HE1361" s="402"/>
      <c r="HF1361" s="402"/>
      <c r="HG1361" s="402"/>
      <c r="HH1361" s="402"/>
      <c r="HI1361" s="402"/>
      <c r="HJ1361" s="402"/>
      <c r="HK1361" s="402"/>
      <c r="HL1361" s="402"/>
      <c r="HM1361" s="402"/>
      <c r="HN1361" s="402"/>
      <c r="HO1361" s="402"/>
      <c r="HP1361" s="402"/>
      <c r="HQ1361" s="402"/>
      <c r="HR1361" s="402"/>
      <c r="HS1361" s="402"/>
      <c r="HT1361" s="402"/>
      <c r="HU1361" s="402"/>
      <c r="HV1361" s="402"/>
      <c r="HW1361" s="402"/>
      <c r="HX1361" s="402"/>
      <c r="HY1361" s="402"/>
      <c r="HZ1361" s="402"/>
      <c r="IA1361" s="402"/>
      <c r="IB1361" s="402"/>
      <c r="IC1361" s="402"/>
      <c r="ID1361" s="402"/>
      <c r="IE1361" s="402"/>
      <c r="IF1361" s="402"/>
      <c r="IG1361" s="402"/>
      <c r="IH1361" s="402"/>
      <c r="II1361" s="402"/>
      <c r="IJ1361" s="402"/>
      <c r="IK1361" s="402"/>
      <c r="IL1361" s="402"/>
      <c r="IM1361" s="402"/>
      <c r="IN1361" s="402"/>
      <c r="IO1361" s="402"/>
      <c r="IP1361" s="402"/>
      <c r="IQ1361" s="402"/>
      <c r="IR1361" s="402"/>
      <c r="IS1361" s="402"/>
      <c r="IT1361" s="402"/>
      <c r="IU1361" s="402"/>
      <c r="IV1361" s="402"/>
      <c r="IW1361" s="402"/>
      <c r="IX1361" s="402"/>
      <c r="IY1361" s="402"/>
      <c r="IZ1361" s="402"/>
      <c r="JA1361" s="402"/>
      <c r="JB1361" s="402"/>
      <c r="JC1361" s="402"/>
      <c r="JD1361" s="402"/>
      <c r="JE1361" s="402"/>
      <c r="JF1361" s="402"/>
      <c r="JG1361" s="402"/>
      <c r="JH1361" s="402"/>
      <c r="JI1361" s="402"/>
      <c r="JJ1361" s="402"/>
      <c r="JK1361" s="402"/>
      <c r="JL1361" s="402"/>
      <c r="JM1361" s="402"/>
      <c r="JN1361" s="402"/>
      <c r="JO1361" s="402"/>
      <c r="JP1361" s="402"/>
      <c r="JQ1361" s="402"/>
      <c r="JR1361" s="402"/>
      <c r="JS1361" s="402"/>
      <c r="JT1361" s="402"/>
      <c r="JU1361" s="402"/>
      <c r="JV1361" s="402"/>
      <c r="JW1361" s="402"/>
      <c r="JX1361" s="402"/>
      <c r="JY1361" s="402"/>
      <c r="JZ1361" s="402"/>
      <c r="KA1361" s="402"/>
      <c r="KB1361" s="402"/>
      <c r="KC1361" s="402"/>
      <c r="KD1361" s="402"/>
      <c r="KE1361" s="402"/>
      <c r="KF1361" s="402"/>
      <c r="KG1361" s="402"/>
      <c r="KH1361" s="402"/>
      <c r="KI1361" s="402"/>
      <c r="KJ1361" s="402"/>
      <c r="KK1361" s="402"/>
      <c r="KL1361" s="402"/>
      <c r="KM1361" s="402"/>
      <c r="KN1361" s="402"/>
      <c r="KO1361" s="402"/>
      <c r="KP1361" s="402"/>
      <c r="KQ1361" s="402"/>
      <c r="KR1361" s="402"/>
      <c r="KS1361" s="402"/>
      <c r="KT1361" s="402"/>
      <c r="KU1361" s="402"/>
      <c r="KV1361" s="402"/>
      <c r="KW1361" s="402"/>
      <c r="KX1361" s="402"/>
      <c r="KY1361" s="402"/>
      <c r="KZ1361" s="402"/>
      <c r="LA1361" s="402"/>
      <c r="LB1361" s="402"/>
      <c r="LC1361" s="402"/>
      <c r="LD1361" s="402"/>
      <c r="LE1361" s="402"/>
      <c r="LF1361" s="402"/>
      <c r="LG1361" s="402"/>
      <c r="LH1361" s="402"/>
      <c r="LI1361" s="402"/>
      <c r="LJ1361" s="402"/>
      <c r="LK1361" s="402"/>
      <c r="LL1361" s="402"/>
      <c r="LM1361" s="402"/>
      <c r="LN1361" s="402"/>
      <c r="LO1361" s="402"/>
      <c r="LP1361" s="402"/>
      <c r="LQ1361" s="402"/>
      <c r="LR1361" s="402"/>
      <c r="LS1361" s="402"/>
      <c r="LT1361" s="402"/>
      <c r="LU1361" s="402"/>
      <c r="LV1361" s="402"/>
      <c r="LW1361" s="402"/>
      <c r="LX1361" s="402"/>
      <c r="LY1361" s="402"/>
      <c r="LZ1361" s="402"/>
      <c r="MA1361" s="402"/>
      <c r="MB1361" s="402"/>
      <c r="MC1361" s="402"/>
      <c r="MD1361" s="402"/>
      <c r="ME1361" s="402"/>
      <c r="MF1361" s="402"/>
      <c r="MG1361" s="402"/>
      <c r="MH1361" s="402"/>
      <c r="MI1361" s="402"/>
      <c r="MJ1361" s="402"/>
      <c r="MK1361" s="402"/>
      <c r="ML1361" s="402"/>
      <c r="MM1361" s="402"/>
      <c r="MN1361" s="402"/>
      <c r="MO1361" s="402"/>
      <c r="MP1361" s="402"/>
      <c r="MQ1361" s="402"/>
      <c r="MR1361" s="402"/>
      <c r="MS1361" s="402"/>
      <c r="MT1361" s="402"/>
      <c r="MU1361" s="402"/>
      <c r="MV1361" s="402"/>
      <c r="MW1361" s="402"/>
      <c r="MX1361" s="402"/>
      <c r="MY1361" s="402"/>
      <c r="MZ1361" s="402"/>
      <c r="NA1361" s="402"/>
      <c r="NB1361" s="402"/>
      <c r="NC1361" s="402"/>
      <c r="ND1361" s="402"/>
      <c r="NE1361" s="402"/>
      <c r="NF1361" s="402"/>
      <c r="NG1361" s="402"/>
      <c r="NH1361" s="402"/>
      <c r="NI1361" s="402"/>
      <c r="NJ1361" s="402"/>
      <c r="NK1361" s="402"/>
      <c r="NL1361" s="402"/>
      <c r="NM1361" s="402"/>
      <c r="NN1361" s="402"/>
      <c r="NO1361" s="402"/>
      <c r="NP1361" s="402"/>
      <c r="NQ1361" s="402"/>
      <c r="NR1361" s="402"/>
      <c r="NS1361" s="402"/>
      <c r="NT1361" s="402"/>
      <c r="NU1361" s="402"/>
      <c r="NV1361" s="402"/>
      <c r="NW1361" s="402"/>
      <c r="NX1361" s="402"/>
      <c r="NY1361" s="402"/>
      <c r="NZ1361" s="402"/>
      <c r="OA1361" s="402"/>
      <c r="OB1361" s="402"/>
      <c r="OC1361" s="402"/>
      <c r="OD1361" s="402"/>
      <c r="OE1361" s="402"/>
      <c r="OF1361" s="402"/>
      <c r="OG1361" s="402"/>
      <c r="OH1361" s="402"/>
      <c r="OI1361" s="402"/>
      <c r="OJ1361" s="402"/>
      <c r="OK1361" s="402"/>
      <c r="OL1361" s="402"/>
      <c r="OM1361" s="402"/>
      <c r="ON1361" s="402"/>
      <c r="OO1361" s="402"/>
      <c r="OP1361" s="402"/>
      <c r="OQ1361" s="402"/>
      <c r="OR1361" s="402"/>
      <c r="OS1361" s="402"/>
      <c r="OT1361" s="402"/>
      <c r="OU1361" s="402"/>
      <c r="OV1361" s="402"/>
      <c r="OW1361" s="402"/>
      <c r="OX1361" s="402"/>
      <c r="OY1361" s="402"/>
      <c r="OZ1361" s="402"/>
      <c r="PA1361" s="402"/>
      <c r="PB1361" s="402"/>
      <c r="PC1361" s="402"/>
      <c r="PD1361" s="402"/>
      <c r="PE1361" s="402"/>
      <c r="PF1361" s="402"/>
      <c r="PG1361" s="402"/>
      <c r="PH1361" s="402"/>
      <c r="PI1361" s="402"/>
      <c r="PJ1361" s="402"/>
      <c r="PK1361" s="402"/>
      <c r="PL1361" s="402"/>
      <c r="PM1361" s="402"/>
      <c r="PN1361" s="402"/>
      <c r="PO1361" s="402"/>
      <c r="PP1361" s="402"/>
      <c r="PQ1361" s="402"/>
      <c r="PR1361" s="402"/>
      <c r="PS1361" s="402"/>
      <c r="PT1361" s="402"/>
      <c r="PU1361" s="402"/>
      <c r="PV1361" s="402"/>
      <c r="PW1361" s="402"/>
      <c r="PX1361" s="402"/>
      <c r="PY1361" s="402"/>
      <c r="PZ1361" s="402"/>
      <c r="QA1361" s="402"/>
      <c r="QB1361" s="402"/>
      <c r="QC1361" s="402"/>
      <c r="QD1361" s="402"/>
      <c r="QE1361" s="402"/>
      <c r="QF1361" s="402"/>
      <c r="QG1361" s="402"/>
      <c r="QH1361" s="402"/>
      <c r="QI1361" s="402"/>
      <c r="QJ1361" s="402"/>
      <c r="QK1361" s="402"/>
      <c r="QL1361" s="402"/>
      <c r="QM1361" s="402"/>
      <c r="QN1361" s="402"/>
      <c r="QO1361" s="402"/>
      <c r="QP1361" s="402"/>
      <c r="QQ1361" s="402"/>
      <c r="QR1361" s="402"/>
      <c r="QS1361" s="402"/>
      <c r="QT1361" s="402"/>
      <c r="QU1361" s="402"/>
      <c r="QV1361" s="402"/>
      <c r="QW1361" s="402"/>
      <c r="QX1361" s="402"/>
      <c r="QY1361" s="402"/>
      <c r="QZ1361" s="402"/>
      <c r="RA1361" s="402"/>
      <c r="RB1361" s="402"/>
      <c r="RC1361" s="402"/>
      <c r="RD1361" s="402"/>
      <c r="RE1361" s="402"/>
      <c r="RF1361" s="402"/>
      <c r="RG1361" s="402"/>
      <c r="RH1361" s="402"/>
      <c r="RI1361" s="402"/>
      <c r="RJ1361" s="402"/>
      <c r="RK1361" s="402"/>
      <c r="RL1361" s="402"/>
      <c r="RM1361" s="402"/>
      <c r="RN1361" s="402"/>
      <c r="RO1361" s="402"/>
      <c r="RP1361" s="402"/>
      <c r="RQ1361" s="402"/>
      <c r="RR1361" s="402"/>
      <c r="RS1361" s="402"/>
      <c r="RT1361" s="402"/>
      <c r="RU1361" s="402"/>
      <c r="RV1361" s="402"/>
      <c r="RW1361" s="402"/>
      <c r="RX1361" s="402"/>
      <c r="RY1361" s="402"/>
      <c r="RZ1361" s="402"/>
      <c r="SA1361" s="402"/>
      <c r="SB1361" s="402"/>
      <c r="SC1361" s="402"/>
      <c r="SD1361" s="402"/>
      <c r="SE1361" s="402"/>
      <c r="SF1361" s="402"/>
      <c r="SG1361" s="402"/>
      <c r="SH1361" s="402"/>
      <c r="SI1361" s="402"/>
      <c r="SJ1361" s="402"/>
      <c r="SK1361" s="402"/>
      <c r="SL1361" s="402"/>
      <c r="SM1361" s="402"/>
      <c r="SN1361" s="402"/>
      <c r="SO1361" s="402"/>
      <c r="SP1361" s="402"/>
      <c r="SQ1361" s="402"/>
      <c r="SR1361" s="402"/>
      <c r="SS1361" s="402"/>
      <c r="ST1361" s="402"/>
      <c r="SU1361" s="402"/>
      <c r="SV1361" s="402"/>
      <c r="SW1361" s="402"/>
      <c r="SX1361" s="402"/>
      <c r="SY1361" s="402"/>
      <c r="SZ1361" s="402"/>
      <c r="TA1361" s="402"/>
      <c r="TB1361" s="402"/>
      <c r="TC1361" s="402"/>
      <c r="TD1361" s="402"/>
      <c r="TE1361" s="402"/>
      <c r="TF1361" s="402"/>
      <c r="TG1361" s="402"/>
      <c r="TH1361" s="402"/>
      <c r="TI1361" s="402"/>
      <c r="TJ1361" s="402"/>
      <c r="TK1361" s="402"/>
      <c r="TL1361" s="402"/>
      <c r="TM1361" s="402"/>
      <c r="TN1361" s="402"/>
      <c r="TO1361" s="402"/>
      <c r="TP1361" s="402"/>
      <c r="TQ1361" s="402"/>
      <c r="TR1361" s="402"/>
      <c r="TS1361" s="402"/>
      <c r="TT1361" s="402"/>
      <c r="TU1361" s="402"/>
      <c r="TV1361" s="402"/>
      <c r="TW1361" s="402"/>
      <c r="TX1361" s="402"/>
      <c r="TY1361" s="402"/>
      <c r="TZ1361" s="402"/>
      <c r="UA1361" s="402"/>
      <c r="UB1361" s="402"/>
      <c r="UC1361" s="402"/>
      <c r="UD1361" s="402"/>
      <c r="UE1361" s="402"/>
      <c r="UF1361" s="402"/>
      <c r="UG1361" s="402"/>
      <c r="UH1361" s="402"/>
      <c r="UI1361" s="402"/>
      <c r="UJ1361" s="402"/>
      <c r="UK1361" s="402"/>
      <c r="UL1361" s="402"/>
      <c r="UM1361" s="402"/>
      <c r="UN1361" s="402"/>
      <c r="UO1361" s="402"/>
      <c r="UP1361" s="402"/>
      <c r="UQ1361" s="402"/>
      <c r="UR1361" s="402"/>
      <c r="US1361" s="402"/>
      <c r="UT1361" s="402"/>
      <c r="UU1361" s="402"/>
      <c r="UV1361" s="402"/>
      <c r="UW1361" s="402"/>
      <c r="UX1361" s="402"/>
      <c r="UY1361" s="402"/>
      <c r="UZ1361" s="402"/>
      <c r="VA1361" s="402"/>
      <c r="VB1361" s="402"/>
      <c r="VC1361" s="402"/>
      <c r="VD1361" s="402"/>
      <c r="VE1361" s="402"/>
      <c r="VF1361" s="402"/>
      <c r="VG1361" s="402"/>
      <c r="VH1361" s="402"/>
      <c r="VI1361" s="402"/>
      <c r="VJ1361" s="402"/>
      <c r="VK1361" s="402"/>
      <c r="VL1361" s="402"/>
      <c r="VM1361" s="402"/>
      <c r="VN1361" s="402"/>
      <c r="VO1361" s="402"/>
      <c r="VP1361" s="402"/>
      <c r="VQ1361" s="402"/>
      <c r="VR1361" s="402"/>
      <c r="VS1361" s="402"/>
      <c r="VT1361" s="402"/>
      <c r="VU1361" s="402"/>
      <c r="VV1361" s="402"/>
      <c r="VW1361" s="402"/>
      <c r="VX1361" s="402"/>
      <c r="VY1361" s="402"/>
      <c r="VZ1361" s="402"/>
      <c r="WA1361" s="402"/>
      <c r="WB1361" s="402"/>
      <c r="WC1361" s="402"/>
      <c r="WD1361" s="402"/>
      <c r="WE1361" s="402"/>
      <c r="WF1361" s="402"/>
      <c r="WG1361" s="402"/>
      <c r="WH1361" s="402"/>
      <c r="WI1361" s="402"/>
      <c r="WJ1361" s="402"/>
      <c r="WK1361" s="402"/>
      <c r="WL1361" s="402"/>
      <c r="WM1361" s="402"/>
      <c r="WN1361" s="402"/>
      <c r="WO1361" s="402"/>
      <c r="WP1361" s="402"/>
      <c r="WQ1361" s="402"/>
      <c r="WR1361" s="402"/>
      <c r="WS1361" s="402"/>
      <c r="WT1361" s="402"/>
      <c r="WU1361" s="402"/>
      <c r="WV1361" s="402"/>
      <c r="WW1361" s="402"/>
      <c r="WX1361" s="402"/>
      <c r="WY1361" s="402"/>
      <c r="WZ1361" s="402"/>
      <c r="XA1361" s="402"/>
      <c r="XB1361" s="402"/>
      <c r="XC1361" s="402"/>
      <c r="XD1361" s="402"/>
      <c r="XE1361" s="402"/>
      <c r="XF1361" s="402"/>
      <c r="XG1361" s="402"/>
      <c r="XH1361" s="402"/>
      <c r="XI1361" s="402"/>
      <c r="XJ1361" s="402"/>
      <c r="XK1361" s="402"/>
      <c r="XL1361" s="402"/>
      <c r="XM1361" s="402"/>
      <c r="XN1361" s="402"/>
      <c r="XO1361" s="402"/>
      <c r="XP1361" s="402"/>
      <c r="XQ1361" s="402"/>
      <c r="XR1361" s="402"/>
      <c r="XS1361" s="402"/>
      <c r="XT1361" s="402"/>
      <c r="XU1361" s="402"/>
      <c r="XV1361" s="402"/>
      <c r="XW1361" s="402"/>
      <c r="XX1361" s="402"/>
      <c r="XY1361" s="402"/>
      <c r="XZ1361" s="402"/>
      <c r="YA1361" s="402"/>
      <c r="YB1361" s="402"/>
      <c r="YC1361" s="402"/>
      <c r="YD1361" s="402"/>
      <c r="YE1361" s="402"/>
      <c r="YF1361" s="402"/>
      <c r="YG1361" s="402"/>
      <c r="YH1361" s="402"/>
      <c r="YI1361" s="402"/>
      <c r="YJ1361" s="402"/>
      <c r="YK1361" s="402"/>
      <c r="YL1361" s="402"/>
      <c r="YM1361" s="402"/>
      <c r="YN1361" s="402"/>
      <c r="YO1361" s="402"/>
      <c r="YP1361" s="402"/>
      <c r="YQ1361" s="402"/>
      <c r="YR1361" s="402"/>
      <c r="YS1361" s="402"/>
      <c r="YT1361" s="402"/>
      <c r="YU1361" s="402"/>
      <c r="YV1361" s="402"/>
      <c r="YW1361" s="402"/>
      <c r="YX1361" s="402"/>
      <c r="YY1361" s="402"/>
      <c r="YZ1361" s="402"/>
      <c r="ZA1361" s="402"/>
      <c r="ZB1361" s="402"/>
      <c r="ZC1361" s="402"/>
      <c r="ZD1361" s="402"/>
      <c r="ZE1361" s="402"/>
      <c r="ZF1361" s="402"/>
      <c r="ZG1361" s="402"/>
      <c r="ZH1361" s="402"/>
      <c r="ZI1361" s="402"/>
      <c r="ZJ1361" s="402"/>
      <c r="ZK1361" s="402"/>
      <c r="ZL1361" s="402"/>
      <c r="ZM1361" s="402"/>
      <c r="ZN1361" s="402"/>
      <c r="ZO1361" s="402"/>
      <c r="ZP1361" s="402"/>
      <c r="ZQ1361" s="402"/>
      <c r="ZR1361" s="402"/>
      <c r="ZS1361" s="402"/>
      <c r="ZT1361" s="402"/>
      <c r="ZU1361" s="402"/>
      <c r="ZV1361" s="402"/>
      <c r="ZW1361" s="402"/>
      <c r="ZX1361" s="402"/>
      <c r="ZY1361" s="402"/>
      <c r="ZZ1361" s="402"/>
      <c r="AAA1361" s="402"/>
      <c r="AAB1361" s="402"/>
      <c r="AAC1361" s="402"/>
      <c r="AAD1361" s="402"/>
      <c r="AAE1361" s="402"/>
      <c r="AAF1361" s="402"/>
      <c r="AAG1361" s="402"/>
      <c r="AAH1361" s="402"/>
      <c r="AAI1361" s="402"/>
      <c r="AAJ1361" s="402"/>
      <c r="AAK1361" s="402"/>
      <c r="AAL1361" s="402"/>
      <c r="AAM1361" s="402"/>
      <c r="AAN1361" s="402"/>
      <c r="AAO1361" s="402"/>
      <c r="AAP1361" s="402"/>
      <c r="AAQ1361" s="402"/>
      <c r="AAR1361" s="402"/>
      <c r="AAS1361" s="402"/>
      <c r="AAT1361" s="402"/>
      <c r="AAU1361" s="402"/>
      <c r="AAV1361" s="402"/>
      <c r="AAW1361" s="402"/>
      <c r="AAX1361" s="402"/>
      <c r="AAY1361" s="402"/>
      <c r="AAZ1361" s="402"/>
      <c r="ABA1361" s="402"/>
      <c r="ABB1361" s="402"/>
      <c r="ABC1361" s="402"/>
      <c r="ABD1361" s="402"/>
      <c r="ABE1361" s="402"/>
      <c r="ABF1361" s="402"/>
      <c r="ABG1361" s="402"/>
      <c r="ABH1361" s="402"/>
      <c r="ABI1361" s="402"/>
      <c r="ABJ1361" s="402"/>
      <c r="ABK1361" s="402"/>
      <c r="ABL1361" s="402"/>
      <c r="ABM1361" s="402"/>
      <c r="ABN1361" s="402"/>
      <c r="ABO1361" s="402"/>
      <c r="ABP1361" s="402"/>
      <c r="ABQ1361" s="402"/>
      <c r="ABR1361" s="402"/>
      <c r="ABS1361" s="402"/>
      <c r="ABT1361" s="402"/>
      <c r="ABU1361" s="402"/>
      <c r="ABV1361" s="402"/>
      <c r="ABW1361" s="402"/>
      <c r="ABX1361" s="402"/>
      <c r="ABY1361" s="402"/>
      <c r="ABZ1361" s="402"/>
      <c r="ACA1361" s="402"/>
      <c r="ACB1361" s="402"/>
      <c r="ACC1361" s="402"/>
      <c r="ACD1361" s="402"/>
      <c r="ACE1361" s="402"/>
      <c r="ACF1361" s="402"/>
      <c r="ACG1361" s="402"/>
      <c r="ACH1361" s="402"/>
      <c r="ACI1361" s="402"/>
      <c r="ACJ1361" s="402"/>
      <c r="ACK1361" s="402"/>
      <c r="ACL1361" s="402"/>
      <c r="ACM1361" s="402"/>
      <c r="ACN1361" s="402"/>
      <c r="ACO1361" s="402"/>
      <c r="ACP1361" s="402"/>
      <c r="ACQ1361" s="402"/>
      <c r="ACR1361" s="402"/>
      <c r="ACS1361" s="402"/>
      <c r="ACT1361" s="402"/>
      <c r="ACU1361" s="402"/>
      <c r="ACV1361" s="402"/>
      <c r="ACW1361" s="402"/>
      <c r="ACX1361" s="402"/>
      <c r="ACY1361" s="402"/>
      <c r="ACZ1361" s="402"/>
      <c r="ADA1361" s="402"/>
      <c r="ADB1361" s="402"/>
      <c r="ADC1361" s="402"/>
      <c r="ADD1361" s="402"/>
      <c r="ADE1361" s="402"/>
      <c r="ADF1361" s="402"/>
      <c r="ADG1361" s="402"/>
      <c r="ADH1361" s="402"/>
      <c r="ADI1361" s="402"/>
      <c r="ADJ1361" s="402"/>
      <c r="ADK1361" s="402"/>
      <c r="ADL1361" s="402"/>
      <c r="ADM1361" s="402"/>
      <c r="ADN1361" s="402"/>
      <c r="ADO1361" s="402"/>
      <c r="ADP1361" s="402"/>
      <c r="ADQ1361" s="402"/>
      <c r="ADR1361" s="402"/>
      <c r="ADS1361" s="402"/>
      <c r="ADT1361" s="402"/>
      <c r="ADU1361" s="402"/>
      <c r="ADV1361" s="402"/>
      <c r="ADW1361" s="402"/>
      <c r="ADX1361" s="402"/>
      <c r="ADY1361" s="402"/>
      <c r="ADZ1361" s="402"/>
      <c r="AEA1361" s="402"/>
      <c r="AEB1361" s="402"/>
      <c r="AEC1361" s="402"/>
      <c r="AED1361" s="402"/>
      <c r="AEE1361" s="402"/>
      <c r="AEF1361" s="402"/>
      <c r="AEG1361" s="402"/>
      <c r="AEH1361" s="402"/>
      <c r="AEI1361" s="402"/>
      <c r="AEJ1361" s="402"/>
      <c r="AEK1361" s="402"/>
      <c r="AEL1361" s="402"/>
      <c r="AEM1361" s="402"/>
      <c r="AEN1361" s="402"/>
      <c r="AEO1361" s="402"/>
      <c r="AEP1361" s="402"/>
      <c r="AEQ1361" s="402"/>
      <c r="AER1361" s="402"/>
      <c r="AES1361" s="402"/>
      <c r="AET1361" s="402"/>
      <c r="AEU1361" s="402"/>
      <c r="AEV1361" s="402"/>
      <c r="AEW1361" s="402"/>
      <c r="AEX1361" s="402"/>
      <c r="AEY1361" s="402"/>
      <c r="AEZ1361" s="402"/>
      <c r="AFA1361" s="402"/>
      <c r="AFB1361" s="402"/>
      <c r="AFC1361" s="402"/>
      <c r="AFD1361" s="402"/>
      <c r="AFE1361" s="402"/>
      <c r="AFF1361" s="402"/>
      <c r="AFG1361" s="402"/>
      <c r="AFH1361" s="402"/>
      <c r="AFI1361" s="402"/>
      <c r="AFJ1361" s="402"/>
      <c r="AFK1361" s="402"/>
      <c r="AFL1361" s="402"/>
      <c r="AFM1361" s="402"/>
      <c r="AFN1361" s="402"/>
      <c r="AFO1361" s="402"/>
      <c r="AFP1361" s="402"/>
      <c r="AFQ1361" s="402"/>
      <c r="AFR1361" s="402"/>
      <c r="AFS1361" s="402"/>
      <c r="AFT1361" s="402"/>
      <c r="AFU1361" s="402"/>
      <c r="AFV1361" s="402"/>
      <c r="AFW1361" s="402"/>
      <c r="AFX1361" s="402"/>
      <c r="AFY1361" s="402"/>
      <c r="AFZ1361" s="402"/>
      <c r="AGA1361" s="402"/>
      <c r="AGB1361" s="402"/>
      <c r="AGC1361" s="402"/>
      <c r="AGD1361" s="402"/>
      <c r="AGE1361" s="402"/>
      <c r="AGF1361" s="402"/>
      <c r="AGG1361" s="402"/>
      <c r="AGH1361" s="402"/>
      <c r="AGI1361" s="402"/>
      <c r="AGJ1361" s="402"/>
      <c r="AGK1361" s="402"/>
      <c r="AGL1361" s="402"/>
      <c r="AGM1361" s="402"/>
      <c r="AGN1361" s="402"/>
      <c r="AGO1361" s="402"/>
      <c r="AGP1361" s="402"/>
      <c r="AGQ1361" s="402"/>
      <c r="AGR1361" s="402"/>
      <c r="AGS1361" s="402"/>
      <c r="AGT1361" s="402"/>
      <c r="AGU1361" s="402"/>
      <c r="AGV1361" s="402"/>
      <c r="AGW1361" s="402"/>
      <c r="AGX1361" s="402"/>
      <c r="AGY1361" s="402"/>
      <c r="AGZ1361" s="402"/>
      <c r="AHA1361" s="402"/>
      <c r="AHB1361" s="402"/>
      <c r="AHC1361" s="402"/>
      <c r="AHD1361" s="402"/>
      <c r="AHE1361" s="402"/>
      <c r="AHF1361" s="402"/>
      <c r="AHG1361" s="402"/>
      <c r="AHH1361" s="402"/>
      <c r="AHI1361" s="402"/>
      <c r="AHJ1361" s="402"/>
      <c r="AHK1361" s="402"/>
      <c r="AHL1361" s="402"/>
      <c r="AHM1361" s="402"/>
      <c r="AHN1361" s="402"/>
      <c r="AHO1361" s="402"/>
      <c r="AHP1361" s="402"/>
      <c r="AHQ1361" s="402"/>
      <c r="AHR1361" s="402"/>
      <c r="AHS1361" s="402"/>
      <c r="AHT1361" s="402"/>
      <c r="AHU1361" s="402"/>
      <c r="AHV1361" s="402"/>
      <c r="AHW1361" s="402"/>
      <c r="AHX1361" s="402"/>
      <c r="AHY1361" s="402"/>
      <c r="AHZ1361" s="402"/>
      <c r="AIA1361" s="402"/>
      <c r="AIB1361" s="402"/>
      <c r="AIC1361" s="402"/>
      <c r="AID1361" s="402"/>
      <c r="AIE1361" s="402"/>
      <c r="AIF1361" s="402"/>
      <c r="AIG1361" s="402"/>
      <c r="AIH1361" s="402"/>
      <c r="AII1361" s="402"/>
      <c r="AIJ1361" s="402"/>
      <c r="AIK1361" s="402"/>
      <c r="AIL1361" s="402"/>
      <c r="AIM1361" s="402"/>
      <c r="AIN1361" s="402"/>
      <c r="AIO1361" s="402"/>
      <c r="AIP1361" s="402"/>
      <c r="AIQ1361" s="402"/>
      <c r="AIR1361" s="402"/>
      <c r="AIS1361" s="402"/>
      <c r="AIT1361" s="402"/>
      <c r="AIU1361" s="402"/>
      <c r="AIV1361" s="402"/>
      <c r="AIW1361" s="402"/>
      <c r="AIX1361" s="402"/>
      <c r="AIY1361" s="402"/>
      <c r="AIZ1361" s="402"/>
      <c r="AJA1361" s="402"/>
      <c r="AJB1361" s="402"/>
      <c r="AJC1361" s="402"/>
      <c r="AJD1361" s="402"/>
      <c r="AJE1361" s="402"/>
      <c r="AJF1361" s="402"/>
      <c r="AJG1361" s="402"/>
      <c r="AJH1361" s="402"/>
      <c r="AJI1361" s="402"/>
      <c r="AJJ1361" s="402"/>
      <c r="AJK1361" s="402"/>
      <c r="AJL1361" s="402"/>
      <c r="AJM1361" s="402"/>
      <c r="AJN1361" s="402"/>
      <c r="AJO1361" s="402"/>
      <c r="AJP1361" s="402"/>
      <c r="AJQ1361" s="402"/>
      <c r="AJR1361" s="402"/>
      <c r="AJS1361" s="402"/>
      <c r="AJT1361" s="402"/>
      <c r="AJU1361" s="402"/>
      <c r="AJV1361" s="402"/>
      <c r="AJW1361" s="402"/>
      <c r="AJX1361" s="402"/>
      <c r="AJY1361" s="402"/>
      <c r="AJZ1361" s="402"/>
      <c r="AKA1361" s="402"/>
      <c r="AKB1361" s="402"/>
      <c r="AKC1361" s="402"/>
      <c r="AKD1361" s="402"/>
      <c r="AKE1361" s="402"/>
      <c r="AKF1361" s="402"/>
      <c r="AKG1361" s="402"/>
      <c r="AKH1361" s="402"/>
      <c r="AKI1361" s="402"/>
      <c r="AKJ1361" s="402"/>
      <c r="AKK1361" s="402"/>
      <c r="AKL1361" s="402"/>
      <c r="AKM1361" s="402"/>
      <c r="AKN1361" s="402"/>
      <c r="AKO1361" s="402"/>
      <c r="AKP1361" s="402"/>
      <c r="AKQ1361" s="402"/>
      <c r="AKR1361" s="402"/>
      <c r="AKS1361" s="402"/>
      <c r="AKT1361" s="402"/>
      <c r="AKU1361" s="402"/>
      <c r="AKV1361" s="402"/>
      <c r="AKW1361" s="402"/>
      <c r="AKX1361" s="402"/>
      <c r="AKY1361" s="402"/>
      <c r="AKZ1361" s="402"/>
      <c r="ALA1361" s="402"/>
      <c r="ALB1361" s="402"/>
      <c r="ALC1361" s="402"/>
      <c r="ALD1361" s="402"/>
      <c r="ALE1361" s="402"/>
      <c r="ALF1361" s="402"/>
      <c r="ALG1361" s="402"/>
      <c r="ALH1361" s="402"/>
      <c r="ALI1361" s="402"/>
      <c r="ALJ1361" s="402"/>
      <c r="ALK1361" s="402"/>
      <c r="ALL1361" s="402"/>
      <c r="ALM1361" s="402"/>
      <c r="ALN1361" s="402"/>
      <c r="ALO1361" s="402"/>
      <c r="ALP1361" s="402"/>
      <c r="ALQ1361" s="402"/>
      <c r="ALR1361" s="402"/>
      <c r="ALS1361" s="402"/>
      <c r="ALT1361" s="402"/>
      <c r="ALU1361" s="402"/>
      <c r="ALV1361" s="402"/>
      <c r="ALW1361" s="402"/>
      <c r="ALX1361" s="402"/>
      <c r="ALY1361" s="402"/>
      <c r="ALZ1361" s="402"/>
      <c r="AMA1361" s="402"/>
      <c r="AMB1361" s="402"/>
      <c r="AMC1361" s="402"/>
      <c r="AMD1361" s="402"/>
      <c r="AME1361" s="402"/>
      <c r="AMF1361" s="402"/>
      <c r="AMG1361" s="402"/>
      <c r="AMH1361" s="402"/>
      <c r="AMI1361" s="402"/>
      <c r="AMJ1361" s="402"/>
      <c r="AMK1361" s="402"/>
      <c r="AML1361" s="402"/>
      <c r="AMM1361" s="402"/>
      <c r="AMN1361" s="402"/>
      <c r="AMO1361" s="402"/>
      <c r="AMP1361" s="402"/>
      <c r="AMQ1361" s="402"/>
      <c r="AMR1361" s="402"/>
      <c r="AMS1361" s="402"/>
      <c r="AMT1361" s="402"/>
      <c r="AMU1361" s="402"/>
      <c r="AMV1361" s="402"/>
      <c r="AMW1361" s="402"/>
      <c r="AMX1361" s="402"/>
      <c r="AMY1361" s="402"/>
      <c r="AMZ1361" s="402"/>
      <c r="ANA1361" s="402"/>
      <c r="ANB1361" s="402"/>
      <c r="ANC1361" s="402"/>
      <c r="AND1361" s="402"/>
      <c r="ANE1361" s="402"/>
      <c r="ANF1361" s="402"/>
      <c r="ANG1361" s="402"/>
      <c r="ANH1361" s="402"/>
      <c r="ANI1361" s="402"/>
      <c r="ANJ1361" s="402"/>
      <c r="ANK1361" s="402"/>
      <c r="ANL1361" s="402"/>
      <c r="ANM1361" s="402"/>
      <c r="ANN1361" s="402"/>
      <c r="ANO1361" s="402"/>
      <c r="ANP1361" s="402"/>
      <c r="ANQ1361" s="402"/>
      <c r="ANR1361" s="402"/>
      <c r="ANS1361" s="402"/>
      <c r="ANT1361" s="402"/>
      <c r="ANU1361" s="402"/>
      <c r="ANV1361" s="402"/>
      <c r="ANW1361" s="402"/>
      <c r="ANX1361" s="402"/>
      <c r="ANY1361" s="402"/>
      <c r="ANZ1361" s="402"/>
      <c r="AOA1361" s="402"/>
      <c r="AOB1361" s="402"/>
      <c r="AOC1361" s="402"/>
      <c r="AOD1361" s="402"/>
      <c r="AOE1361" s="402"/>
      <c r="AOF1361" s="402"/>
      <c r="AOG1361" s="402"/>
      <c r="AOH1361" s="402"/>
      <c r="AOI1361" s="402"/>
      <c r="AOJ1361" s="402"/>
      <c r="AOK1361" s="402"/>
      <c r="AOL1361" s="402"/>
      <c r="AOM1361" s="402"/>
      <c r="AON1361" s="402"/>
      <c r="AOO1361" s="402"/>
      <c r="AOP1361" s="402"/>
      <c r="AOQ1361" s="402"/>
      <c r="AOR1361" s="402"/>
      <c r="AOS1361" s="402"/>
      <c r="AOT1361" s="402"/>
      <c r="AOU1361" s="402"/>
      <c r="AOV1361" s="402"/>
      <c r="AOW1361" s="402"/>
      <c r="AOX1361" s="402"/>
      <c r="AOY1361" s="402"/>
      <c r="AOZ1361" s="402"/>
      <c r="APA1361" s="402"/>
      <c r="APB1361" s="402"/>
      <c r="APC1361" s="402"/>
      <c r="APD1361" s="402"/>
      <c r="APE1361" s="402"/>
      <c r="APF1361" s="402"/>
      <c r="APG1361" s="402"/>
      <c r="APH1361" s="402"/>
      <c r="API1361" s="402"/>
      <c r="APJ1361" s="402"/>
      <c r="APK1361" s="402"/>
      <c r="APL1361" s="402"/>
      <c r="APM1361" s="402"/>
      <c r="APN1361" s="402"/>
      <c r="APO1361" s="402"/>
      <c r="APP1361" s="402"/>
      <c r="APQ1361" s="402"/>
      <c r="APR1361" s="402"/>
      <c r="APS1361" s="402"/>
      <c r="APT1361" s="402"/>
      <c r="APU1361" s="402"/>
      <c r="APV1361" s="402"/>
      <c r="APW1361" s="402"/>
      <c r="APX1361" s="402"/>
      <c r="APY1361" s="402"/>
      <c r="APZ1361" s="402"/>
      <c r="AQA1361" s="402"/>
      <c r="AQB1361" s="402"/>
      <c r="AQC1361" s="402"/>
      <c r="AQD1361" s="402"/>
      <c r="AQE1361" s="402"/>
      <c r="AQF1361" s="402"/>
      <c r="AQG1361" s="402"/>
      <c r="AQH1361" s="402"/>
      <c r="AQI1361" s="402"/>
      <c r="AQJ1361" s="402"/>
      <c r="AQK1361" s="402"/>
      <c r="AQL1361" s="402"/>
      <c r="AQM1361" s="402"/>
      <c r="AQN1361" s="402"/>
      <c r="AQO1361" s="402"/>
      <c r="AQP1361" s="402"/>
      <c r="AQQ1361" s="402"/>
      <c r="AQR1361" s="402"/>
      <c r="AQS1361" s="402"/>
      <c r="AQT1361" s="402"/>
      <c r="AQU1361" s="402"/>
      <c r="AQV1361" s="402"/>
      <c r="AQW1361" s="402"/>
      <c r="AQX1361" s="402"/>
      <c r="AQY1361" s="402"/>
      <c r="AQZ1361" s="402"/>
      <c r="ARA1361" s="402"/>
      <c r="ARB1361" s="402"/>
      <c r="ARC1361" s="402"/>
      <c r="ARD1361" s="402"/>
      <c r="ARE1361" s="402"/>
      <c r="ARF1361" s="402"/>
      <c r="ARG1361" s="402"/>
      <c r="ARH1361" s="402"/>
      <c r="ARI1361" s="402"/>
      <c r="ARJ1361" s="402"/>
      <c r="ARK1361" s="402"/>
      <c r="ARL1361" s="402"/>
      <c r="ARM1361" s="402"/>
      <c r="ARN1361" s="402"/>
      <c r="ARO1361" s="402"/>
      <c r="ARP1361" s="402"/>
      <c r="ARQ1361" s="402"/>
      <c r="ARR1361" s="402"/>
      <c r="ARS1361" s="402"/>
      <c r="ART1361" s="402"/>
      <c r="ARU1361" s="402"/>
      <c r="ARV1361" s="402"/>
      <c r="ARW1361" s="402"/>
      <c r="ARX1361" s="402"/>
      <c r="ARY1361" s="402"/>
      <c r="ARZ1361" s="402"/>
      <c r="ASA1361" s="402"/>
      <c r="ASB1361" s="402"/>
      <c r="ASC1361" s="402"/>
      <c r="ASD1361" s="402"/>
      <c r="ASE1361" s="402"/>
      <c r="ASF1361" s="402"/>
      <c r="ASG1361" s="402"/>
      <c r="ASH1361" s="402"/>
      <c r="ASI1361" s="402"/>
      <c r="ASJ1361" s="402"/>
      <c r="ASK1361" s="402"/>
      <c r="ASL1361" s="402"/>
      <c r="ASM1361" s="402"/>
      <c r="ASN1361" s="402"/>
      <c r="ASO1361" s="402"/>
      <c r="ASP1361" s="402"/>
      <c r="ASQ1361" s="402"/>
      <c r="ASR1361" s="402"/>
      <c r="ASS1361" s="402"/>
      <c r="AST1361" s="402"/>
      <c r="ASU1361" s="402"/>
      <c r="ASV1361" s="402"/>
      <c r="ASW1361" s="402"/>
      <c r="ASX1361" s="402"/>
      <c r="ASY1361" s="402"/>
      <c r="ASZ1361" s="402"/>
      <c r="ATA1361" s="402"/>
      <c r="ATB1361" s="402"/>
      <c r="ATC1361" s="402"/>
      <c r="ATD1361" s="402"/>
      <c r="ATE1361" s="402"/>
      <c r="ATF1361" s="402"/>
      <c r="ATG1361" s="402"/>
      <c r="ATH1361" s="402"/>
      <c r="ATI1361" s="402"/>
      <c r="ATJ1361" s="402"/>
      <c r="ATK1361" s="402"/>
      <c r="ATL1361" s="402"/>
      <c r="ATM1361" s="402"/>
      <c r="ATN1361" s="402"/>
      <c r="ATO1361" s="402"/>
      <c r="ATP1361" s="402"/>
      <c r="ATQ1361" s="402"/>
      <c r="ATR1361" s="402"/>
      <c r="ATS1361" s="402"/>
      <c r="ATT1361" s="402"/>
      <c r="ATU1361" s="402"/>
      <c r="ATV1361" s="402"/>
      <c r="ATW1361" s="402"/>
      <c r="ATX1361" s="402"/>
      <c r="ATY1361" s="402"/>
      <c r="ATZ1361" s="402"/>
      <c r="AUA1361" s="402"/>
      <c r="AUB1361" s="402"/>
      <c r="AUC1361" s="402"/>
      <c r="AUD1361" s="402"/>
      <c r="AUE1361" s="402"/>
      <c r="AUF1361" s="402"/>
      <c r="AUG1361" s="402"/>
      <c r="AUH1361" s="402"/>
      <c r="AUI1361" s="402"/>
      <c r="AUJ1361" s="402"/>
      <c r="AUK1361" s="402"/>
      <c r="AUL1361" s="402"/>
      <c r="AUM1361" s="402"/>
      <c r="AUN1361" s="402"/>
      <c r="AUO1361" s="402"/>
      <c r="AUP1361" s="402"/>
      <c r="AUQ1361" s="402"/>
      <c r="AUR1361" s="402"/>
      <c r="AUS1361" s="402"/>
      <c r="AUT1361" s="402"/>
      <c r="AUU1361" s="402"/>
      <c r="AUV1361" s="402"/>
      <c r="AUW1361" s="402"/>
      <c r="AUX1361" s="402"/>
      <c r="AUY1361" s="402"/>
      <c r="AUZ1361" s="402"/>
      <c r="AVA1361" s="402"/>
      <c r="AVB1361" s="402"/>
      <c r="AVC1361" s="402"/>
      <c r="AVD1361" s="402"/>
      <c r="AVE1361" s="402"/>
      <c r="AVF1361" s="402"/>
      <c r="AVG1361" s="402"/>
      <c r="AVH1361" s="402"/>
      <c r="AVI1361" s="402"/>
      <c r="AVJ1361" s="402"/>
      <c r="AVK1361" s="402"/>
    </row>
    <row r="1362" spans="1:1259" s="442" customFormat="1" ht="15" customHeight="1">
      <c r="A1362" s="403"/>
      <c r="B1362" s="403"/>
      <c r="C1362" s="403"/>
      <c r="D1362" s="443" t="s">
        <v>2480</v>
      </c>
      <c r="E1362" s="432" t="s">
        <v>2406</v>
      </c>
      <c r="F1362" s="432"/>
      <c r="G1362" s="432"/>
      <c r="H1362" s="451">
        <v>10</v>
      </c>
      <c r="I1362" s="427" t="s">
        <v>1498</v>
      </c>
      <c r="J1362" s="433"/>
      <c r="K1362" s="434" t="s">
        <v>3756</v>
      </c>
      <c r="L1362" s="432" t="s">
        <v>2509</v>
      </c>
      <c r="M1362" s="435">
        <v>44550</v>
      </c>
      <c r="N1362" s="435">
        <v>44687</v>
      </c>
      <c r="O1362" s="435"/>
      <c r="P1362" s="433"/>
      <c r="Q1362" s="433"/>
      <c r="R1362" s="433"/>
      <c r="S1362" s="432" t="s">
        <v>1940</v>
      </c>
      <c r="T1362" s="432">
        <v>60</v>
      </c>
      <c r="U1362" s="432"/>
      <c r="V1362" s="432" t="s">
        <v>973</v>
      </c>
      <c r="W1362" s="432">
        <v>400</v>
      </c>
      <c r="X1362" s="436">
        <v>480</v>
      </c>
      <c r="Y1362" s="422">
        <f t="shared" si="166"/>
        <v>192000</v>
      </c>
      <c r="Z1362" s="437">
        <v>0.53</v>
      </c>
      <c r="AA1362" s="423">
        <f t="shared" si="167"/>
        <v>101760</v>
      </c>
      <c r="AB1362" s="411"/>
      <c r="AC1362" s="412">
        <f t="shared" si="168"/>
        <v>0</v>
      </c>
      <c r="AD1362" s="439"/>
      <c r="AE1362" s="438"/>
      <c r="AF1362" s="424">
        <f t="shared" si="169"/>
        <v>101760</v>
      </c>
      <c r="AG1362" s="432" t="s">
        <v>1069</v>
      </c>
      <c r="AH1362" s="432"/>
      <c r="AI1362" s="434">
        <v>60</v>
      </c>
      <c r="AJ1362" s="432" t="s">
        <v>2508</v>
      </c>
      <c r="AK1362" s="440" t="s">
        <v>1136</v>
      </c>
      <c r="AL1362" s="432">
        <v>75007</v>
      </c>
      <c r="AM1362" s="432" t="s">
        <v>52</v>
      </c>
      <c r="AN1362" s="432"/>
      <c r="AO1362" s="432"/>
      <c r="AP1362" s="441"/>
      <c r="AQ1362" s="441" t="s">
        <v>37</v>
      </c>
      <c r="AR1362" s="441"/>
      <c r="AS1362" s="426" t="s">
        <v>1142</v>
      </c>
      <c r="AT1362" s="426" t="s">
        <v>1073</v>
      </c>
      <c r="AU1362" s="426" t="s">
        <v>1073</v>
      </c>
      <c r="AV1362" s="437">
        <v>0.53</v>
      </c>
      <c r="AW1362" s="402"/>
      <c r="AX1362" s="402"/>
      <c r="AY1362" s="402"/>
      <c r="AZ1362" s="402"/>
      <c r="BA1362" s="402"/>
      <c r="BB1362" s="402"/>
      <c r="BC1362" s="402"/>
      <c r="BD1362" s="402"/>
      <c r="BE1362" s="402"/>
      <c r="BF1362" s="402"/>
      <c r="BG1362" s="402"/>
      <c r="BH1362" s="402"/>
      <c r="BI1362" s="402"/>
      <c r="BJ1362" s="402"/>
      <c r="BK1362" s="402"/>
      <c r="BL1362" s="402"/>
      <c r="BM1362" s="402"/>
      <c r="BN1362" s="402"/>
      <c r="BO1362" s="402"/>
      <c r="BP1362" s="402"/>
      <c r="BQ1362" s="402"/>
      <c r="BR1362" s="402"/>
      <c r="BS1362" s="402"/>
      <c r="BT1362" s="402"/>
      <c r="BU1362" s="402"/>
      <c r="BV1362" s="402"/>
      <c r="BW1362" s="402"/>
      <c r="BX1362" s="402"/>
      <c r="BY1362" s="402"/>
      <c r="BZ1362" s="402"/>
      <c r="CA1362" s="402"/>
      <c r="CB1362" s="402"/>
      <c r="CC1362" s="402"/>
      <c r="CD1362" s="402"/>
      <c r="CE1362" s="402"/>
      <c r="CF1362" s="402"/>
      <c r="CG1362" s="402"/>
      <c r="CH1362" s="402"/>
      <c r="CI1362" s="402"/>
      <c r="CJ1362" s="402"/>
      <c r="CK1362" s="402"/>
      <c r="CL1362" s="402"/>
      <c r="CM1362" s="402"/>
      <c r="CN1362" s="402"/>
      <c r="CO1362" s="402"/>
      <c r="CP1362" s="402"/>
      <c r="CQ1362" s="402"/>
      <c r="CR1362" s="402"/>
      <c r="CS1362" s="402"/>
      <c r="CT1362" s="402"/>
      <c r="CU1362" s="402"/>
      <c r="CV1362" s="402"/>
      <c r="CW1362" s="402"/>
      <c r="CX1362" s="402"/>
      <c r="CY1362" s="402"/>
      <c r="CZ1362" s="402"/>
      <c r="DA1362" s="402"/>
      <c r="DB1362" s="402"/>
      <c r="DC1362" s="402"/>
      <c r="DD1362" s="402"/>
      <c r="DE1362" s="402"/>
      <c r="DF1362" s="402"/>
      <c r="DG1362" s="402"/>
      <c r="DH1362" s="402"/>
      <c r="DI1362" s="402"/>
      <c r="DJ1362" s="402"/>
      <c r="DK1362" s="402"/>
      <c r="DL1362" s="402"/>
      <c r="DM1362" s="402"/>
      <c r="DN1362" s="402"/>
      <c r="DO1362" s="402"/>
      <c r="DP1362" s="402"/>
      <c r="DQ1362" s="402"/>
      <c r="DR1362" s="402"/>
      <c r="DS1362" s="402"/>
      <c r="DT1362" s="402"/>
      <c r="DU1362" s="402"/>
      <c r="DV1362" s="402"/>
      <c r="DW1362" s="402"/>
      <c r="DX1362" s="402"/>
      <c r="DY1362" s="402"/>
      <c r="DZ1362" s="402"/>
      <c r="EA1362" s="402"/>
      <c r="EB1362" s="402"/>
      <c r="EC1362" s="402"/>
      <c r="ED1362" s="402"/>
      <c r="EE1362" s="402"/>
      <c r="EF1362" s="402"/>
      <c r="EG1362" s="402"/>
      <c r="EH1362" s="402"/>
      <c r="EI1362" s="402"/>
      <c r="EJ1362" s="402"/>
      <c r="EK1362" s="402"/>
      <c r="EL1362" s="402"/>
      <c r="EM1362" s="402"/>
      <c r="EN1362" s="402"/>
      <c r="EO1362" s="402"/>
      <c r="EP1362" s="402"/>
      <c r="EQ1362" s="402"/>
      <c r="ER1362" s="402"/>
      <c r="ES1362" s="402"/>
      <c r="ET1362" s="402"/>
      <c r="EU1362" s="402"/>
      <c r="EV1362" s="402"/>
      <c r="EW1362" s="402"/>
      <c r="EX1362" s="402"/>
      <c r="EY1362" s="402"/>
      <c r="EZ1362" s="402"/>
      <c r="FA1362" s="402"/>
      <c r="FB1362" s="402"/>
      <c r="FC1362" s="402"/>
      <c r="FD1362" s="402"/>
      <c r="FE1362" s="402"/>
      <c r="FF1362" s="402"/>
      <c r="FG1362" s="402"/>
      <c r="FH1362" s="402"/>
      <c r="FI1362" s="402"/>
      <c r="FJ1362" s="402"/>
      <c r="FK1362" s="402"/>
      <c r="FL1362" s="402"/>
      <c r="FM1362" s="402"/>
      <c r="FN1362" s="402"/>
      <c r="FO1362" s="402"/>
      <c r="FP1362" s="402"/>
      <c r="FQ1362" s="402"/>
      <c r="FR1362" s="402"/>
      <c r="FS1362" s="402"/>
      <c r="FT1362" s="402"/>
      <c r="FU1362" s="402"/>
      <c r="FV1362" s="402"/>
      <c r="FW1362" s="402"/>
      <c r="FX1362" s="402"/>
      <c r="FY1362" s="402"/>
      <c r="FZ1362" s="402"/>
      <c r="GA1362" s="402"/>
      <c r="GB1362" s="402"/>
      <c r="GC1362" s="402"/>
      <c r="GD1362" s="402"/>
      <c r="GE1362" s="402"/>
      <c r="GF1362" s="402"/>
      <c r="GG1362" s="402"/>
      <c r="GH1362" s="402"/>
      <c r="GI1362" s="402"/>
      <c r="GJ1362" s="402"/>
      <c r="GK1362" s="402"/>
      <c r="GL1362" s="402"/>
      <c r="GM1362" s="402"/>
      <c r="GN1362" s="402"/>
      <c r="GO1362" s="402"/>
      <c r="GP1362" s="402"/>
      <c r="GQ1362" s="402"/>
      <c r="GR1362" s="402"/>
      <c r="GS1362" s="402"/>
      <c r="GT1362" s="402"/>
      <c r="GU1362" s="402"/>
      <c r="GV1362" s="402"/>
      <c r="GW1362" s="402"/>
      <c r="GX1362" s="402"/>
      <c r="GY1362" s="402"/>
      <c r="GZ1362" s="402"/>
      <c r="HA1362" s="402"/>
      <c r="HB1362" s="402"/>
      <c r="HC1362" s="402"/>
      <c r="HD1362" s="402"/>
      <c r="HE1362" s="402"/>
      <c r="HF1362" s="402"/>
      <c r="HG1362" s="402"/>
      <c r="HH1362" s="402"/>
      <c r="HI1362" s="402"/>
      <c r="HJ1362" s="402"/>
      <c r="HK1362" s="402"/>
      <c r="HL1362" s="402"/>
      <c r="HM1362" s="402"/>
      <c r="HN1362" s="402"/>
      <c r="HO1362" s="402"/>
      <c r="HP1362" s="402"/>
      <c r="HQ1362" s="402"/>
      <c r="HR1362" s="402"/>
      <c r="HS1362" s="402"/>
      <c r="HT1362" s="402"/>
      <c r="HU1362" s="402"/>
      <c r="HV1362" s="402"/>
      <c r="HW1362" s="402"/>
      <c r="HX1362" s="402"/>
      <c r="HY1362" s="402"/>
      <c r="HZ1362" s="402"/>
      <c r="IA1362" s="402"/>
      <c r="IB1362" s="402"/>
      <c r="IC1362" s="402"/>
      <c r="ID1362" s="402"/>
      <c r="IE1362" s="402"/>
      <c r="IF1362" s="402"/>
      <c r="IG1362" s="402"/>
      <c r="IH1362" s="402"/>
      <c r="II1362" s="402"/>
      <c r="IJ1362" s="402"/>
      <c r="IK1362" s="402"/>
      <c r="IL1362" s="402"/>
      <c r="IM1362" s="402"/>
      <c r="IN1362" s="402"/>
      <c r="IO1362" s="402"/>
      <c r="IP1362" s="402"/>
      <c r="IQ1362" s="402"/>
      <c r="IR1362" s="402"/>
      <c r="IS1362" s="402"/>
      <c r="IT1362" s="402"/>
      <c r="IU1362" s="402"/>
      <c r="IV1362" s="402"/>
      <c r="IW1362" s="402"/>
      <c r="IX1362" s="402"/>
      <c r="IY1362" s="402"/>
      <c r="IZ1362" s="402"/>
      <c r="JA1362" s="402"/>
      <c r="JB1362" s="402"/>
      <c r="JC1362" s="402"/>
      <c r="JD1362" s="402"/>
      <c r="JE1362" s="402"/>
      <c r="JF1362" s="402"/>
      <c r="JG1362" s="402"/>
      <c r="JH1362" s="402"/>
      <c r="JI1362" s="402"/>
      <c r="JJ1362" s="402"/>
      <c r="JK1362" s="402"/>
      <c r="JL1362" s="402"/>
      <c r="JM1362" s="402"/>
      <c r="JN1362" s="402"/>
      <c r="JO1362" s="402"/>
      <c r="JP1362" s="402"/>
      <c r="JQ1362" s="402"/>
      <c r="JR1362" s="402"/>
      <c r="JS1362" s="402"/>
      <c r="JT1362" s="402"/>
      <c r="JU1362" s="402"/>
      <c r="JV1362" s="402"/>
      <c r="JW1362" s="402"/>
      <c r="JX1362" s="402"/>
      <c r="JY1362" s="402"/>
      <c r="JZ1362" s="402"/>
      <c r="KA1362" s="402"/>
      <c r="KB1362" s="402"/>
      <c r="KC1362" s="402"/>
      <c r="KD1362" s="402"/>
      <c r="KE1362" s="402"/>
      <c r="KF1362" s="402"/>
      <c r="KG1362" s="402"/>
      <c r="KH1362" s="402"/>
      <c r="KI1362" s="402"/>
      <c r="KJ1362" s="402"/>
      <c r="KK1362" s="402"/>
      <c r="KL1362" s="402"/>
      <c r="KM1362" s="402"/>
      <c r="KN1362" s="402"/>
      <c r="KO1362" s="402"/>
      <c r="KP1362" s="402"/>
      <c r="KQ1362" s="402"/>
      <c r="KR1362" s="402"/>
      <c r="KS1362" s="402"/>
      <c r="KT1362" s="402"/>
      <c r="KU1362" s="402"/>
      <c r="KV1362" s="402"/>
      <c r="KW1362" s="402"/>
      <c r="KX1362" s="402"/>
      <c r="KY1362" s="402"/>
      <c r="KZ1362" s="402"/>
      <c r="LA1362" s="402"/>
      <c r="LB1362" s="402"/>
      <c r="LC1362" s="402"/>
      <c r="LD1362" s="402"/>
      <c r="LE1362" s="402"/>
      <c r="LF1362" s="402"/>
      <c r="LG1362" s="402"/>
      <c r="LH1362" s="402"/>
      <c r="LI1362" s="402"/>
      <c r="LJ1362" s="402"/>
      <c r="LK1362" s="402"/>
      <c r="LL1362" s="402"/>
      <c r="LM1362" s="402"/>
      <c r="LN1362" s="402"/>
      <c r="LO1362" s="402"/>
      <c r="LP1362" s="402"/>
      <c r="LQ1362" s="402"/>
      <c r="LR1362" s="402"/>
      <c r="LS1362" s="402"/>
      <c r="LT1362" s="402"/>
      <c r="LU1362" s="402"/>
      <c r="LV1362" s="402"/>
      <c r="LW1362" s="402"/>
      <c r="LX1362" s="402"/>
      <c r="LY1362" s="402"/>
      <c r="LZ1362" s="402"/>
      <c r="MA1362" s="402"/>
      <c r="MB1362" s="402"/>
      <c r="MC1362" s="402"/>
      <c r="MD1362" s="402"/>
      <c r="ME1362" s="402"/>
      <c r="MF1362" s="402"/>
      <c r="MG1362" s="402"/>
      <c r="MH1362" s="402"/>
      <c r="MI1362" s="402"/>
      <c r="MJ1362" s="402"/>
      <c r="MK1362" s="402"/>
      <c r="ML1362" s="402"/>
      <c r="MM1362" s="402"/>
      <c r="MN1362" s="402"/>
      <c r="MO1362" s="402"/>
      <c r="MP1362" s="402"/>
      <c r="MQ1362" s="402"/>
      <c r="MR1362" s="402"/>
      <c r="MS1362" s="402"/>
      <c r="MT1362" s="402"/>
      <c r="MU1362" s="402"/>
      <c r="MV1362" s="402"/>
      <c r="MW1362" s="402"/>
      <c r="MX1362" s="402"/>
      <c r="MY1362" s="402"/>
      <c r="MZ1362" s="402"/>
      <c r="NA1362" s="402"/>
      <c r="NB1362" s="402"/>
      <c r="NC1362" s="402"/>
      <c r="ND1362" s="402"/>
      <c r="NE1362" s="402"/>
      <c r="NF1362" s="402"/>
      <c r="NG1362" s="402"/>
      <c r="NH1362" s="402"/>
      <c r="NI1362" s="402"/>
      <c r="NJ1362" s="402"/>
      <c r="NK1362" s="402"/>
      <c r="NL1362" s="402"/>
      <c r="NM1362" s="402"/>
      <c r="NN1362" s="402"/>
      <c r="NO1362" s="402"/>
      <c r="NP1362" s="402"/>
      <c r="NQ1362" s="402"/>
      <c r="NR1362" s="402"/>
      <c r="NS1362" s="402"/>
      <c r="NT1362" s="402"/>
      <c r="NU1362" s="402"/>
      <c r="NV1362" s="402"/>
      <c r="NW1362" s="402"/>
      <c r="NX1362" s="402"/>
      <c r="NY1362" s="402"/>
      <c r="NZ1362" s="402"/>
      <c r="OA1362" s="402"/>
      <c r="OB1362" s="402"/>
      <c r="OC1362" s="402"/>
      <c r="OD1362" s="402"/>
      <c r="OE1362" s="402"/>
      <c r="OF1362" s="402"/>
      <c r="OG1362" s="402"/>
      <c r="OH1362" s="402"/>
      <c r="OI1362" s="402"/>
      <c r="OJ1362" s="402"/>
      <c r="OK1362" s="402"/>
      <c r="OL1362" s="402"/>
      <c r="OM1362" s="402"/>
      <c r="ON1362" s="402"/>
      <c r="OO1362" s="402"/>
      <c r="OP1362" s="402"/>
      <c r="OQ1362" s="402"/>
      <c r="OR1362" s="402"/>
      <c r="OS1362" s="402"/>
      <c r="OT1362" s="402"/>
      <c r="OU1362" s="402"/>
      <c r="OV1362" s="402"/>
      <c r="OW1362" s="402"/>
      <c r="OX1362" s="402"/>
      <c r="OY1362" s="402"/>
      <c r="OZ1362" s="402"/>
      <c r="PA1362" s="402"/>
      <c r="PB1362" s="402"/>
      <c r="PC1362" s="402"/>
      <c r="PD1362" s="402"/>
      <c r="PE1362" s="402"/>
      <c r="PF1362" s="402"/>
      <c r="PG1362" s="402"/>
      <c r="PH1362" s="402"/>
      <c r="PI1362" s="402"/>
      <c r="PJ1362" s="402"/>
      <c r="PK1362" s="402"/>
      <c r="PL1362" s="402"/>
      <c r="PM1362" s="402"/>
      <c r="PN1362" s="402"/>
      <c r="PO1362" s="402"/>
      <c r="PP1362" s="402"/>
      <c r="PQ1362" s="402"/>
      <c r="PR1362" s="402"/>
      <c r="PS1362" s="402"/>
      <c r="PT1362" s="402"/>
      <c r="PU1362" s="402"/>
      <c r="PV1362" s="402"/>
      <c r="PW1362" s="402"/>
      <c r="PX1362" s="402"/>
      <c r="PY1362" s="402"/>
      <c r="PZ1362" s="402"/>
      <c r="QA1362" s="402"/>
      <c r="QB1362" s="402"/>
      <c r="QC1362" s="402"/>
      <c r="QD1362" s="402"/>
      <c r="QE1362" s="402"/>
      <c r="QF1362" s="402"/>
      <c r="QG1362" s="402"/>
      <c r="QH1362" s="402"/>
      <c r="QI1362" s="402"/>
      <c r="QJ1362" s="402"/>
      <c r="QK1362" s="402"/>
      <c r="QL1362" s="402"/>
      <c r="QM1362" s="402"/>
      <c r="QN1362" s="402"/>
      <c r="QO1362" s="402"/>
      <c r="QP1362" s="402"/>
      <c r="QQ1362" s="402"/>
      <c r="QR1362" s="402"/>
      <c r="QS1362" s="402"/>
      <c r="QT1362" s="402"/>
      <c r="QU1362" s="402"/>
      <c r="QV1362" s="402"/>
      <c r="QW1362" s="402"/>
      <c r="QX1362" s="402"/>
      <c r="QY1362" s="402"/>
      <c r="QZ1362" s="402"/>
      <c r="RA1362" s="402"/>
      <c r="RB1362" s="402"/>
      <c r="RC1362" s="402"/>
      <c r="RD1362" s="402"/>
      <c r="RE1362" s="402"/>
      <c r="RF1362" s="402"/>
      <c r="RG1362" s="402"/>
      <c r="RH1362" s="402"/>
      <c r="RI1362" s="402"/>
      <c r="RJ1362" s="402"/>
      <c r="RK1362" s="402"/>
      <c r="RL1362" s="402"/>
      <c r="RM1362" s="402"/>
      <c r="RN1362" s="402"/>
      <c r="RO1362" s="402"/>
      <c r="RP1362" s="402"/>
      <c r="RQ1362" s="402"/>
      <c r="RR1362" s="402"/>
      <c r="RS1362" s="402"/>
      <c r="RT1362" s="402"/>
      <c r="RU1362" s="402"/>
      <c r="RV1362" s="402"/>
      <c r="RW1362" s="402"/>
      <c r="RX1362" s="402"/>
      <c r="RY1362" s="402"/>
      <c r="RZ1362" s="402"/>
      <c r="SA1362" s="402"/>
      <c r="SB1362" s="402"/>
      <c r="SC1362" s="402"/>
      <c r="SD1362" s="402"/>
      <c r="SE1362" s="402"/>
      <c r="SF1362" s="402"/>
      <c r="SG1362" s="402"/>
      <c r="SH1362" s="402"/>
      <c r="SI1362" s="402"/>
      <c r="SJ1362" s="402"/>
      <c r="SK1362" s="402"/>
      <c r="SL1362" s="402"/>
      <c r="SM1362" s="402"/>
      <c r="SN1362" s="402"/>
      <c r="SO1362" s="402"/>
      <c r="SP1362" s="402"/>
      <c r="SQ1362" s="402"/>
      <c r="SR1362" s="402"/>
      <c r="SS1362" s="402"/>
      <c r="ST1362" s="402"/>
      <c r="SU1362" s="402"/>
      <c r="SV1362" s="402"/>
      <c r="SW1362" s="402"/>
      <c r="SX1362" s="402"/>
      <c r="SY1362" s="402"/>
      <c r="SZ1362" s="402"/>
      <c r="TA1362" s="402"/>
      <c r="TB1362" s="402"/>
      <c r="TC1362" s="402"/>
      <c r="TD1362" s="402"/>
      <c r="TE1362" s="402"/>
      <c r="TF1362" s="402"/>
      <c r="TG1362" s="402"/>
      <c r="TH1362" s="402"/>
      <c r="TI1362" s="402"/>
      <c r="TJ1362" s="402"/>
      <c r="TK1362" s="402"/>
      <c r="TL1362" s="402"/>
      <c r="TM1362" s="402"/>
      <c r="TN1362" s="402"/>
      <c r="TO1362" s="402"/>
      <c r="TP1362" s="402"/>
      <c r="TQ1362" s="402"/>
      <c r="TR1362" s="402"/>
      <c r="TS1362" s="402"/>
      <c r="TT1362" s="402"/>
      <c r="TU1362" s="402"/>
      <c r="TV1362" s="402"/>
      <c r="TW1362" s="402"/>
      <c r="TX1362" s="402"/>
      <c r="TY1362" s="402"/>
      <c r="TZ1362" s="402"/>
      <c r="UA1362" s="402"/>
      <c r="UB1362" s="402"/>
      <c r="UC1362" s="402"/>
      <c r="UD1362" s="402"/>
      <c r="UE1362" s="402"/>
      <c r="UF1362" s="402"/>
      <c r="UG1362" s="402"/>
      <c r="UH1362" s="402"/>
      <c r="UI1362" s="402"/>
      <c r="UJ1362" s="402"/>
      <c r="UK1362" s="402"/>
      <c r="UL1362" s="402"/>
      <c r="UM1362" s="402"/>
      <c r="UN1362" s="402"/>
      <c r="UO1362" s="402"/>
      <c r="UP1362" s="402"/>
      <c r="UQ1362" s="402"/>
      <c r="UR1362" s="402"/>
      <c r="US1362" s="402"/>
      <c r="UT1362" s="402"/>
      <c r="UU1362" s="402"/>
      <c r="UV1362" s="402"/>
      <c r="UW1362" s="402"/>
      <c r="UX1362" s="402"/>
      <c r="UY1362" s="402"/>
      <c r="UZ1362" s="402"/>
      <c r="VA1362" s="402"/>
      <c r="VB1362" s="402"/>
      <c r="VC1362" s="402"/>
      <c r="VD1362" s="402"/>
      <c r="VE1362" s="402"/>
      <c r="VF1362" s="402"/>
      <c r="VG1362" s="402"/>
      <c r="VH1362" s="402"/>
      <c r="VI1362" s="402"/>
      <c r="VJ1362" s="402"/>
      <c r="VK1362" s="402"/>
      <c r="VL1362" s="402"/>
      <c r="VM1362" s="402"/>
      <c r="VN1362" s="402"/>
      <c r="VO1362" s="402"/>
      <c r="VP1362" s="402"/>
      <c r="VQ1362" s="402"/>
      <c r="VR1362" s="402"/>
      <c r="VS1362" s="402"/>
      <c r="VT1362" s="402"/>
      <c r="VU1362" s="402"/>
      <c r="VV1362" s="402"/>
      <c r="VW1362" s="402"/>
      <c r="VX1362" s="402"/>
      <c r="VY1362" s="402"/>
      <c r="VZ1362" s="402"/>
      <c r="WA1362" s="402"/>
      <c r="WB1362" s="402"/>
      <c r="WC1362" s="402"/>
      <c r="WD1362" s="402"/>
      <c r="WE1362" s="402"/>
      <c r="WF1362" s="402"/>
      <c r="WG1362" s="402"/>
      <c r="WH1362" s="402"/>
      <c r="WI1362" s="402"/>
      <c r="WJ1362" s="402"/>
      <c r="WK1362" s="402"/>
      <c r="WL1362" s="402"/>
      <c r="WM1362" s="402"/>
      <c r="WN1362" s="402"/>
      <c r="WO1362" s="402"/>
      <c r="WP1362" s="402"/>
      <c r="WQ1362" s="402"/>
      <c r="WR1362" s="402"/>
      <c r="WS1362" s="402"/>
      <c r="WT1362" s="402"/>
      <c r="WU1362" s="402"/>
      <c r="WV1362" s="402"/>
      <c r="WW1362" s="402"/>
      <c r="WX1362" s="402"/>
      <c r="WY1362" s="402"/>
      <c r="WZ1362" s="402"/>
      <c r="XA1362" s="402"/>
      <c r="XB1362" s="402"/>
      <c r="XC1362" s="402"/>
      <c r="XD1362" s="402"/>
      <c r="XE1362" s="402"/>
      <c r="XF1362" s="402"/>
      <c r="XG1362" s="402"/>
      <c r="XH1362" s="402"/>
      <c r="XI1362" s="402"/>
      <c r="XJ1362" s="402"/>
      <c r="XK1362" s="402"/>
      <c r="XL1362" s="402"/>
      <c r="XM1362" s="402"/>
      <c r="XN1362" s="402"/>
      <c r="XO1362" s="402"/>
      <c r="XP1362" s="402"/>
      <c r="XQ1362" s="402"/>
      <c r="XR1362" s="402"/>
      <c r="XS1362" s="402"/>
      <c r="XT1362" s="402"/>
      <c r="XU1362" s="402"/>
      <c r="XV1362" s="402"/>
      <c r="XW1362" s="402"/>
      <c r="XX1362" s="402"/>
      <c r="XY1362" s="402"/>
      <c r="XZ1362" s="402"/>
      <c r="YA1362" s="402"/>
      <c r="YB1362" s="402"/>
      <c r="YC1362" s="402"/>
      <c r="YD1362" s="402"/>
      <c r="YE1362" s="402"/>
      <c r="YF1362" s="402"/>
      <c r="YG1362" s="402"/>
      <c r="YH1362" s="402"/>
      <c r="YI1362" s="402"/>
      <c r="YJ1362" s="402"/>
      <c r="YK1362" s="402"/>
      <c r="YL1362" s="402"/>
      <c r="YM1362" s="402"/>
      <c r="YN1362" s="402"/>
      <c r="YO1362" s="402"/>
      <c r="YP1362" s="402"/>
      <c r="YQ1362" s="402"/>
      <c r="YR1362" s="402"/>
      <c r="YS1362" s="402"/>
      <c r="YT1362" s="402"/>
      <c r="YU1362" s="402"/>
      <c r="YV1362" s="402"/>
      <c r="YW1362" s="402"/>
      <c r="YX1362" s="402"/>
      <c r="YY1362" s="402"/>
      <c r="YZ1362" s="402"/>
      <c r="ZA1362" s="402"/>
      <c r="ZB1362" s="402"/>
      <c r="ZC1362" s="402"/>
      <c r="ZD1362" s="402"/>
      <c r="ZE1362" s="402"/>
      <c r="ZF1362" s="402"/>
      <c r="ZG1362" s="402"/>
      <c r="ZH1362" s="402"/>
      <c r="ZI1362" s="402"/>
      <c r="ZJ1362" s="402"/>
      <c r="ZK1362" s="402"/>
      <c r="ZL1362" s="402"/>
      <c r="ZM1362" s="402"/>
      <c r="ZN1362" s="402"/>
      <c r="ZO1362" s="402"/>
      <c r="ZP1362" s="402"/>
      <c r="ZQ1362" s="402"/>
      <c r="ZR1362" s="402"/>
      <c r="ZS1362" s="402"/>
      <c r="ZT1362" s="402"/>
      <c r="ZU1362" s="402"/>
      <c r="ZV1362" s="402"/>
      <c r="ZW1362" s="402"/>
      <c r="ZX1362" s="402"/>
      <c r="ZY1362" s="402"/>
      <c r="ZZ1362" s="402"/>
      <c r="AAA1362" s="402"/>
      <c r="AAB1362" s="402"/>
      <c r="AAC1362" s="402"/>
      <c r="AAD1362" s="402"/>
      <c r="AAE1362" s="402"/>
      <c r="AAF1362" s="402"/>
      <c r="AAG1362" s="402"/>
      <c r="AAH1362" s="402"/>
      <c r="AAI1362" s="402"/>
      <c r="AAJ1362" s="402"/>
      <c r="AAK1362" s="402"/>
      <c r="AAL1362" s="402"/>
      <c r="AAM1362" s="402"/>
      <c r="AAN1362" s="402"/>
      <c r="AAO1362" s="402"/>
      <c r="AAP1362" s="402"/>
      <c r="AAQ1362" s="402"/>
      <c r="AAR1362" s="402"/>
      <c r="AAS1362" s="402"/>
      <c r="AAT1362" s="402"/>
      <c r="AAU1362" s="402"/>
      <c r="AAV1362" s="402"/>
      <c r="AAW1362" s="402"/>
      <c r="AAX1362" s="402"/>
      <c r="AAY1362" s="402"/>
      <c r="AAZ1362" s="402"/>
      <c r="ABA1362" s="402"/>
      <c r="ABB1362" s="402"/>
      <c r="ABC1362" s="402"/>
      <c r="ABD1362" s="402"/>
      <c r="ABE1362" s="402"/>
      <c r="ABF1362" s="402"/>
      <c r="ABG1362" s="402"/>
      <c r="ABH1362" s="402"/>
      <c r="ABI1362" s="402"/>
      <c r="ABJ1362" s="402"/>
      <c r="ABK1362" s="402"/>
      <c r="ABL1362" s="402"/>
      <c r="ABM1362" s="402"/>
      <c r="ABN1362" s="402"/>
      <c r="ABO1362" s="402"/>
      <c r="ABP1362" s="402"/>
      <c r="ABQ1362" s="402"/>
      <c r="ABR1362" s="402"/>
      <c r="ABS1362" s="402"/>
      <c r="ABT1362" s="402"/>
      <c r="ABU1362" s="402"/>
      <c r="ABV1362" s="402"/>
      <c r="ABW1362" s="402"/>
      <c r="ABX1362" s="402"/>
      <c r="ABY1362" s="402"/>
      <c r="ABZ1362" s="402"/>
      <c r="ACA1362" s="402"/>
      <c r="ACB1362" s="402"/>
      <c r="ACC1362" s="402"/>
      <c r="ACD1362" s="402"/>
      <c r="ACE1362" s="402"/>
      <c r="ACF1362" s="402"/>
      <c r="ACG1362" s="402"/>
      <c r="ACH1362" s="402"/>
      <c r="ACI1362" s="402"/>
      <c r="ACJ1362" s="402"/>
      <c r="ACK1362" s="402"/>
      <c r="ACL1362" s="402"/>
      <c r="ACM1362" s="402"/>
      <c r="ACN1362" s="402"/>
      <c r="ACO1362" s="402"/>
      <c r="ACP1362" s="402"/>
      <c r="ACQ1362" s="402"/>
      <c r="ACR1362" s="402"/>
      <c r="ACS1362" s="402"/>
      <c r="ACT1362" s="402"/>
      <c r="ACU1362" s="402"/>
      <c r="ACV1362" s="402"/>
      <c r="ACW1362" s="402"/>
      <c r="ACX1362" s="402"/>
      <c r="ACY1362" s="402"/>
      <c r="ACZ1362" s="402"/>
      <c r="ADA1362" s="402"/>
      <c r="ADB1362" s="402"/>
      <c r="ADC1362" s="402"/>
      <c r="ADD1362" s="402"/>
      <c r="ADE1362" s="402"/>
      <c r="ADF1362" s="402"/>
      <c r="ADG1362" s="402"/>
      <c r="ADH1362" s="402"/>
      <c r="ADI1362" s="402"/>
      <c r="ADJ1362" s="402"/>
      <c r="ADK1362" s="402"/>
      <c r="ADL1362" s="402"/>
      <c r="ADM1362" s="402"/>
      <c r="ADN1362" s="402"/>
      <c r="ADO1362" s="402"/>
      <c r="ADP1362" s="402"/>
      <c r="ADQ1362" s="402"/>
      <c r="ADR1362" s="402"/>
      <c r="ADS1362" s="402"/>
      <c r="ADT1362" s="402"/>
      <c r="ADU1362" s="402"/>
      <c r="ADV1362" s="402"/>
      <c r="ADW1362" s="402"/>
      <c r="ADX1362" s="402"/>
      <c r="ADY1362" s="402"/>
      <c r="ADZ1362" s="402"/>
      <c r="AEA1362" s="402"/>
      <c r="AEB1362" s="402"/>
      <c r="AEC1362" s="402"/>
      <c r="AED1362" s="402"/>
      <c r="AEE1362" s="402"/>
      <c r="AEF1362" s="402"/>
      <c r="AEG1362" s="402"/>
      <c r="AEH1362" s="402"/>
      <c r="AEI1362" s="402"/>
      <c r="AEJ1362" s="402"/>
      <c r="AEK1362" s="402"/>
      <c r="AEL1362" s="402"/>
      <c r="AEM1362" s="402"/>
      <c r="AEN1362" s="402"/>
      <c r="AEO1362" s="402"/>
      <c r="AEP1362" s="402"/>
      <c r="AEQ1362" s="402"/>
      <c r="AER1362" s="402"/>
      <c r="AES1362" s="402"/>
      <c r="AET1362" s="402"/>
      <c r="AEU1362" s="402"/>
      <c r="AEV1362" s="402"/>
      <c r="AEW1362" s="402"/>
      <c r="AEX1362" s="402"/>
      <c r="AEY1362" s="402"/>
      <c r="AEZ1362" s="402"/>
      <c r="AFA1362" s="402"/>
      <c r="AFB1362" s="402"/>
      <c r="AFC1362" s="402"/>
      <c r="AFD1362" s="402"/>
      <c r="AFE1362" s="402"/>
      <c r="AFF1362" s="402"/>
      <c r="AFG1362" s="402"/>
      <c r="AFH1362" s="402"/>
      <c r="AFI1362" s="402"/>
      <c r="AFJ1362" s="402"/>
      <c r="AFK1362" s="402"/>
      <c r="AFL1362" s="402"/>
      <c r="AFM1362" s="402"/>
      <c r="AFN1362" s="402"/>
      <c r="AFO1362" s="402"/>
      <c r="AFP1362" s="402"/>
      <c r="AFQ1362" s="402"/>
      <c r="AFR1362" s="402"/>
      <c r="AFS1362" s="402"/>
      <c r="AFT1362" s="402"/>
      <c r="AFU1362" s="402"/>
      <c r="AFV1362" s="402"/>
      <c r="AFW1362" s="402"/>
      <c r="AFX1362" s="402"/>
      <c r="AFY1362" s="402"/>
      <c r="AFZ1362" s="402"/>
      <c r="AGA1362" s="402"/>
      <c r="AGB1362" s="402"/>
      <c r="AGC1362" s="402"/>
      <c r="AGD1362" s="402"/>
      <c r="AGE1362" s="402"/>
      <c r="AGF1362" s="402"/>
      <c r="AGG1362" s="402"/>
      <c r="AGH1362" s="402"/>
      <c r="AGI1362" s="402"/>
      <c r="AGJ1362" s="402"/>
      <c r="AGK1362" s="402"/>
      <c r="AGL1362" s="402"/>
      <c r="AGM1362" s="402"/>
      <c r="AGN1362" s="402"/>
      <c r="AGO1362" s="402"/>
      <c r="AGP1362" s="402"/>
      <c r="AGQ1362" s="402"/>
      <c r="AGR1362" s="402"/>
      <c r="AGS1362" s="402"/>
      <c r="AGT1362" s="402"/>
      <c r="AGU1362" s="402"/>
      <c r="AGV1362" s="402"/>
      <c r="AGW1362" s="402"/>
      <c r="AGX1362" s="402"/>
      <c r="AGY1362" s="402"/>
      <c r="AGZ1362" s="402"/>
      <c r="AHA1362" s="402"/>
      <c r="AHB1362" s="402"/>
      <c r="AHC1362" s="402"/>
      <c r="AHD1362" s="402"/>
      <c r="AHE1362" s="402"/>
      <c r="AHF1362" s="402"/>
      <c r="AHG1362" s="402"/>
      <c r="AHH1362" s="402"/>
      <c r="AHI1362" s="402"/>
      <c r="AHJ1362" s="402"/>
      <c r="AHK1362" s="402"/>
      <c r="AHL1362" s="402"/>
      <c r="AHM1362" s="402"/>
      <c r="AHN1362" s="402"/>
      <c r="AHO1362" s="402"/>
      <c r="AHP1362" s="402"/>
      <c r="AHQ1362" s="402"/>
      <c r="AHR1362" s="402"/>
      <c r="AHS1362" s="402"/>
      <c r="AHT1362" s="402"/>
      <c r="AHU1362" s="402"/>
      <c r="AHV1362" s="402"/>
      <c r="AHW1362" s="402"/>
      <c r="AHX1362" s="402"/>
      <c r="AHY1362" s="402"/>
      <c r="AHZ1362" s="402"/>
      <c r="AIA1362" s="402"/>
      <c r="AIB1362" s="402"/>
      <c r="AIC1362" s="402"/>
      <c r="AID1362" s="402"/>
      <c r="AIE1362" s="402"/>
      <c r="AIF1362" s="402"/>
      <c r="AIG1362" s="402"/>
      <c r="AIH1362" s="402"/>
      <c r="AII1362" s="402"/>
      <c r="AIJ1362" s="402"/>
      <c r="AIK1362" s="402"/>
      <c r="AIL1362" s="402"/>
      <c r="AIM1362" s="402"/>
      <c r="AIN1362" s="402"/>
      <c r="AIO1362" s="402"/>
      <c r="AIP1362" s="402"/>
      <c r="AIQ1362" s="402"/>
      <c r="AIR1362" s="402"/>
      <c r="AIS1362" s="402"/>
      <c r="AIT1362" s="402"/>
      <c r="AIU1362" s="402"/>
      <c r="AIV1362" s="402"/>
      <c r="AIW1362" s="402"/>
      <c r="AIX1362" s="402"/>
      <c r="AIY1362" s="402"/>
      <c r="AIZ1362" s="402"/>
      <c r="AJA1362" s="402"/>
      <c r="AJB1362" s="402"/>
      <c r="AJC1362" s="402"/>
      <c r="AJD1362" s="402"/>
      <c r="AJE1362" s="402"/>
      <c r="AJF1362" s="402"/>
      <c r="AJG1362" s="402"/>
      <c r="AJH1362" s="402"/>
      <c r="AJI1362" s="402"/>
      <c r="AJJ1362" s="402"/>
      <c r="AJK1362" s="402"/>
      <c r="AJL1362" s="402"/>
      <c r="AJM1362" s="402"/>
      <c r="AJN1362" s="402"/>
      <c r="AJO1362" s="402"/>
      <c r="AJP1362" s="402"/>
      <c r="AJQ1362" s="402"/>
      <c r="AJR1362" s="402"/>
      <c r="AJS1362" s="402"/>
      <c r="AJT1362" s="402"/>
      <c r="AJU1362" s="402"/>
      <c r="AJV1362" s="402"/>
      <c r="AJW1362" s="402"/>
      <c r="AJX1362" s="402"/>
      <c r="AJY1362" s="402"/>
      <c r="AJZ1362" s="402"/>
      <c r="AKA1362" s="402"/>
      <c r="AKB1362" s="402"/>
      <c r="AKC1362" s="402"/>
      <c r="AKD1362" s="402"/>
      <c r="AKE1362" s="402"/>
      <c r="AKF1362" s="402"/>
      <c r="AKG1362" s="402"/>
      <c r="AKH1362" s="402"/>
      <c r="AKI1362" s="402"/>
      <c r="AKJ1362" s="402"/>
      <c r="AKK1362" s="402"/>
      <c r="AKL1362" s="402"/>
      <c r="AKM1362" s="402"/>
      <c r="AKN1362" s="402"/>
      <c r="AKO1362" s="402"/>
      <c r="AKP1362" s="402"/>
      <c r="AKQ1362" s="402"/>
      <c r="AKR1362" s="402"/>
      <c r="AKS1362" s="402"/>
      <c r="AKT1362" s="402"/>
      <c r="AKU1362" s="402"/>
      <c r="AKV1362" s="402"/>
      <c r="AKW1362" s="402"/>
      <c r="AKX1362" s="402"/>
      <c r="AKY1362" s="402"/>
      <c r="AKZ1362" s="402"/>
      <c r="ALA1362" s="402"/>
      <c r="ALB1362" s="402"/>
      <c r="ALC1362" s="402"/>
      <c r="ALD1362" s="402"/>
      <c r="ALE1362" s="402"/>
      <c r="ALF1362" s="402"/>
      <c r="ALG1362" s="402"/>
      <c r="ALH1362" s="402"/>
      <c r="ALI1362" s="402"/>
      <c r="ALJ1362" s="402"/>
      <c r="ALK1362" s="402"/>
      <c r="ALL1362" s="402"/>
      <c r="ALM1362" s="402"/>
      <c r="ALN1362" s="402"/>
      <c r="ALO1362" s="402"/>
      <c r="ALP1362" s="402"/>
      <c r="ALQ1362" s="402"/>
      <c r="ALR1362" s="402"/>
      <c r="ALS1362" s="402"/>
      <c r="ALT1362" s="402"/>
      <c r="ALU1362" s="402"/>
      <c r="ALV1362" s="402"/>
      <c r="ALW1362" s="402"/>
      <c r="ALX1362" s="402"/>
      <c r="ALY1362" s="402"/>
      <c r="ALZ1362" s="402"/>
      <c r="AMA1362" s="402"/>
      <c r="AMB1362" s="402"/>
      <c r="AMC1362" s="402"/>
      <c r="AMD1362" s="402"/>
      <c r="AME1362" s="402"/>
      <c r="AMF1362" s="402"/>
      <c r="AMG1362" s="402"/>
      <c r="AMH1362" s="402"/>
      <c r="AMI1362" s="402"/>
      <c r="AMJ1362" s="402"/>
      <c r="AMK1362" s="402"/>
      <c r="AML1362" s="402"/>
      <c r="AMM1362" s="402"/>
      <c r="AMN1362" s="402"/>
      <c r="AMO1362" s="402"/>
      <c r="AMP1362" s="402"/>
      <c r="AMQ1362" s="402"/>
      <c r="AMR1362" s="402"/>
      <c r="AMS1362" s="402"/>
      <c r="AMT1362" s="402"/>
      <c r="AMU1362" s="402"/>
      <c r="AMV1362" s="402"/>
      <c r="AMW1362" s="402"/>
      <c r="AMX1362" s="402"/>
      <c r="AMY1362" s="402"/>
      <c r="AMZ1362" s="402"/>
      <c r="ANA1362" s="402"/>
      <c r="ANB1362" s="402"/>
      <c r="ANC1362" s="402"/>
      <c r="AND1362" s="402"/>
      <c r="ANE1362" s="402"/>
      <c r="ANF1362" s="402"/>
      <c r="ANG1362" s="402"/>
      <c r="ANH1362" s="402"/>
      <c r="ANI1362" s="402"/>
      <c r="ANJ1362" s="402"/>
      <c r="ANK1362" s="402"/>
      <c r="ANL1362" s="402"/>
      <c r="ANM1362" s="402"/>
      <c r="ANN1362" s="402"/>
      <c r="ANO1362" s="402"/>
      <c r="ANP1362" s="402"/>
      <c r="ANQ1362" s="402"/>
      <c r="ANR1362" s="402"/>
      <c r="ANS1362" s="402"/>
      <c r="ANT1362" s="402"/>
      <c r="ANU1362" s="402"/>
      <c r="ANV1362" s="402"/>
      <c r="ANW1362" s="402"/>
      <c r="ANX1362" s="402"/>
      <c r="ANY1362" s="402"/>
      <c r="ANZ1362" s="402"/>
      <c r="AOA1362" s="402"/>
      <c r="AOB1362" s="402"/>
      <c r="AOC1362" s="402"/>
      <c r="AOD1362" s="402"/>
      <c r="AOE1362" s="402"/>
      <c r="AOF1362" s="402"/>
      <c r="AOG1362" s="402"/>
      <c r="AOH1362" s="402"/>
      <c r="AOI1362" s="402"/>
      <c r="AOJ1362" s="402"/>
      <c r="AOK1362" s="402"/>
      <c r="AOL1362" s="402"/>
      <c r="AOM1362" s="402"/>
      <c r="AON1362" s="402"/>
      <c r="AOO1362" s="402"/>
      <c r="AOP1362" s="402"/>
      <c r="AOQ1362" s="402"/>
      <c r="AOR1362" s="402"/>
      <c r="AOS1362" s="402"/>
      <c r="AOT1362" s="402"/>
      <c r="AOU1362" s="402"/>
      <c r="AOV1362" s="402"/>
      <c r="AOW1362" s="402"/>
      <c r="AOX1362" s="402"/>
      <c r="AOY1362" s="402"/>
      <c r="AOZ1362" s="402"/>
      <c r="APA1362" s="402"/>
      <c r="APB1362" s="402"/>
      <c r="APC1362" s="402"/>
      <c r="APD1362" s="402"/>
      <c r="APE1362" s="402"/>
      <c r="APF1362" s="402"/>
      <c r="APG1362" s="402"/>
      <c r="APH1362" s="402"/>
      <c r="API1362" s="402"/>
      <c r="APJ1362" s="402"/>
      <c r="APK1362" s="402"/>
      <c r="APL1362" s="402"/>
      <c r="APM1362" s="402"/>
      <c r="APN1362" s="402"/>
      <c r="APO1362" s="402"/>
      <c r="APP1362" s="402"/>
      <c r="APQ1362" s="402"/>
      <c r="APR1362" s="402"/>
      <c r="APS1362" s="402"/>
      <c r="APT1362" s="402"/>
      <c r="APU1362" s="402"/>
      <c r="APV1362" s="402"/>
      <c r="APW1362" s="402"/>
      <c r="APX1362" s="402"/>
      <c r="APY1362" s="402"/>
      <c r="APZ1362" s="402"/>
      <c r="AQA1362" s="402"/>
      <c r="AQB1362" s="402"/>
      <c r="AQC1362" s="402"/>
      <c r="AQD1362" s="402"/>
      <c r="AQE1362" s="402"/>
      <c r="AQF1362" s="402"/>
      <c r="AQG1362" s="402"/>
      <c r="AQH1362" s="402"/>
      <c r="AQI1362" s="402"/>
      <c r="AQJ1362" s="402"/>
      <c r="AQK1362" s="402"/>
      <c r="AQL1362" s="402"/>
      <c r="AQM1362" s="402"/>
      <c r="AQN1362" s="402"/>
      <c r="AQO1362" s="402"/>
      <c r="AQP1362" s="402"/>
      <c r="AQQ1362" s="402"/>
      <c r="AQR1362" s="402"/>
      <c r="AQS1362" s="402"/>
      <c r="AQT1362" s="402"/>
      <c r="AQU1362" s="402"/>
      <c r="AQV1362" s="402"/>
      <c r="AQW1362" s="402"/>
      <c r="AQX1362" s="402"/>
      <c r="AQY1362" s="402"/>
      <c r="AQZ1362" s="402"/>
      <c r="ARA1362" s="402"/>
      <c r="ARB1362" s="402"/>
      <c r="ARC1362" s="402"/>
      <c r="ARD1362" s="402"/>
      <c r="ARE1362" s="402"/>
      <c r="ARF1362" s="402"/>
      <c r="ARG1362" s="402"/>
      <c r="ARH1362" s="402"/>
      <c r="ARI1362" s="402"/>
      <c r="ARJ1362" s="402"/>
      <c r="ARK1362" s="402"/>
      <c r="ARL1362" s="402"/>
      <c r="ARM1362" s="402"/>
      <c r="ARN1362" s="402"/>
      <c r="ARO1362" s="402"/>
      <c r="ARP1362" s="402"/>
      <c r="ARQ1362" s="402"/>
      <c r="ARR1362" s="402"/>
      <c r="ARS1362" s="402"/>
      <c r="ART1362" s="402"/>
      <c r="ARU1362" s="402"/>
      <c r="ARV1362" s="402"/>
      <c r="ARW1362" s="402"/>
      <c r="ARX1362" s="402"/>
      <c r="ARY1362" s="402"/>
      <c r="ARZ1362" s="402"/>
      <c r="ASA1362" s="402"/>
      <c r="ASB1362" s="402"/>
      <c r="ASC1362" s="402"/>
      <c r="ASD1362" s="402"/>
      <c r="ASE1362" s="402"/>
      <c r="ASF1362" s="402"/>
      <c r="ASG1362" s="402"/>
      <c r="ASH1362" s="402"/>
      <c r="ASI1362" s="402"/>
      <c r="ASJ1362" s="402"/>
      <c r="ASK1362" s="402"/>
      <c r="ASL1362" s="402"/>
      <c r="ASM1362" s="402"/>
      <c r="ASN1362" s="402"/>
      <c r="ASO1362" s="402"/>
      <c r="ASP1362" s="402"/>
      <c r="ASQ1362" s="402"/>
      <c r="ASR1362" s="402"/>
      <c r="ASS1362" s="402"/>
      <c r="AST1362" s="402"/>
      <c r="ASU1362" s="402"/>
      <c r="ASV1362" s="402"/>
      <c r="ASW1362" s="402"/>
      <c r="ASX1362" s="402"/>
      <c r="ASY1362" s="402"/>
      <c r="ASZ1362" s="402"/>
      <c r="ATA1362" s="402"/>
      <c r="ATB1362" s="402"/>
      <c r="ATC1362" s="402"/>
      <c r="ATD1362" s="402"/>
      <c r="ATE1362" s="402"/>
      <c r="ATF1362" s="402"/>
      <c r="ATG1362" s="402"/>
      <c r="ATH1362" s="402"/>
      <c r="ATI1362" s="402"/>
      <c r="ATJ1362" s="402"/>
      <c r="ATK1362" s="402"/>
      <c r="ATL1362" s="402"/>
      <c r="ATM1362" s="402"/>
      <c r="ATN1362" s="402"/>
      <c r="ATO1362" s="402"/>
      <c r="ATP1362" s="402"/>
      <c r="ATQ1362" s="402"/>
      <c r="ATR1362" s="402"/>
      <c r="ATS1362" s="402"/>
      <c r="ATT1362" s="402"/>
      <c r="ATU1362" s="402"/>
      <c r="ATV1362" s="402"/>
      <c r="ATW1362" s="402"/>
      <c r="ATX1362" s="402"/>
      <c r="ATY1362" s="402"/>
      <c r="ATZ1362" s="402"/>
      <c r="AUA1362" s="402"/>
      <c r="AUB1362" s="402"/>
      <c r="AUC1362" s="402"/>
      <c r="AUD1362" s="402"/>
      <c r="AUE1362" s="402"/>
      <c r="AUF1362" s="402"/>
      <c r="AUG1362" s="402"/>
      <c r="AUH1362" s="402"/>
      <c r="AUI1362" s="402"/>
      <c r="AUJ1362" s="402"/>
      <c r="AUK1362" s="402"/>
      <c r="AUL1362" s="402"/>
      <c r="AUM1362" s="402"/>
      <c r="AUN1362" s="402"/>
      <c r="AUO1362" s="402"/>
      <c r="AUP1362" s="402"/>
      <c r="AUQ1362" s="402"/>
      <c r="AUR1362" s="402"/>
      <c r="AUS1362" s="402"/>
      <c r="AUT1362" s="402"/>
      <c r="AUU1362" s="402"/>
      <c r="AUV1362" s="402"/>
      <c r="AUW1362" s="402"/>
      <c r="AUX1362" s="402"/>
      <c r="AUY1362" s="402"/>
      <c r="AUZ1362" s="402"/>
      <c r="AVA1362" s="402"/>
      <c r="AVB1362" s="402"/>
      <c r="AVC1362" s="402"/>
      <c r="AVD1362" s="402"/>
      <c r="AVE1362" s="402"/>
      <c r="AVF1362" s="402"/>
      <c r="AVG1362" s="402"/>
      <c r="AVH1362" s="402"/>
      <c r="AVI1362" s="402"/>
      <c r="AVJ1362" s="402"/>
      <c r="AVK1362" s="402"/>
    </row>
    <row r="1363" spans="1:1259" s="442" customFormat="1" ht="15" customHeight="1">
      <c r="A1363" s="403"/>
      <c r="B1363" s="403"/>
      <c r="C1363" s="403"/>
      <c r="D1363" s="443" t="s">
        <v>2480</v>
      </c>
      <c r="E1363" s="432" t="s">
        <v>2406</v>
      </c>
      <c r="F1363" s="432"/>
      <c r="G1363" s="432"/>
      <c r="H1363" s="451">
        <v>11</v>
      </c>
      <c r="I1363" s="427" t="s">
        <v>1498</v>
      </c>
      <c r="J1363" s="433"/>
      <c r="K1363" s="434" t="s">
        <v>3757</v>
      </c>
      <c r="L1363" s="432" t="s">
        <v>2509</v>
      </c>
      <c r="M1363" s="435">
        <v>44550</v>
      </c>
      <c r="N1363" s="435">
        <v>44715</v>
      </c>
      <c r="O1363" s="435"/>
      <c r="P1363" s="433"/>
      <c r="Q1363" s="433"/>
      <c r="R1363" s="433"/>
      <c r="S1363" s="432" t="s">
        <v>1940</v>
      </c>
      <c r="T1363" s="432">
        <v>60</v>
      </c>
      <c r="U1363" s="432"/>
      <c r="V1363" s="432" t="s">
        <v>973</v>
      </c>
      <c r="W1363" s="432">
        <v>400</v>
      </c>
      <c r="X1363" s="436">
        <v>480</v>
      </c>
      <c r="Y1363" s="422">
        <f t="shared" si="166"/>
        <v>192000</v>
      </c>
      <c r="Z1363" s="437">
        <v>0.53</v>
      </c>
      <c r="AA1363" s="423">
        <f t="shared" si="167"/>
        <v>101760</v>
      </c>
      <c r="AB1363" s="411"/>
      <c r="AC1363" s="412">
        <f t="shared" si="168"/>
        <v>0</v>
      </c>
      <c r="AD1363" s="439"/>
      <c r="AE1363" s="438"/>
      <c r="AF1363" s="424">
        <f t="shared" si="169"/>
        <v>101760</v>
      </c>
      <c r="AG1363" s="432" t="s">
        <v>1069</v>
      </c>
      <c r="AH1363" s="432"/>
      <c r="AI1363" s="434">
        <v>60</v>
      </c>
      <c r="AJ1363" s="432" t="s">
        <v>2508</v>
      </c>
      <c r="AK1363" s="440" t="s">
        <v>1136</v>
      </c>
      <c r="AL1363" s="432">
        <v>75007</v>
      </c>
      <c r="AM1363" s="432" t="s">
        <v>52</v>
      </c>
      <c r="AN1363" s="432"/>
      <c r="AO1363" s="432"/>
      <c r="AP1363" s="441"/>
      <c r="AQ1363" s="441" t="s">
        <v>37</v>
      </c>
      <c r="AR1363" s="441"/>
      <c r="AS1363" s="426" t="s">
        <v>1142</v>
      </c>
      <c r="AT1363" s="426" t="s">
        <v>1073</v>
      </c>
      <c r="AU1363" s="426" t="s">
        <v>1073</v>
      </c>
      <c r="AV1363" s="437">
        <v>0.53</v>
      </c>
      <c r="AW1363" s="402"/>
      <c r="AX1363" s="402"/>
      <c r="AY1363" s="402"/>
      <c r="AZ1363" s="402"/>
      <c r="BA1363" s="402"/>
      <c r="BB1363" s="402"/>
      <c r="BC1363" s="402"/>
      <c r="BD1363" s="402"/>
      <c r="BE1363" s="402"/>
      <c r="BF1363" s="402"/>
      <c r="BG1363" s="402"/>
      <c r="BH1363" s="402"/>
      <c r="BI1363" s="402"/>
      <c r="BJ1363" s="402"/>
      <c r="BK1363" s="402"/>
      <c r="BL1363" s="402"/>
      <c r="BM1363" s="402"/>
      <c r="BN1363" s="402"/>
      <c r="BO1363" s="402"/>
      <c r="BP1363" s="402"/>
      <c r="BQ1363" s="402"/>
      <c r="BR1363" s="402"/>
      <c r="BS1363" s="402"/>
      <c r="BT1363" s="402"/>
      <c r="BU1363" s="402"/>
      <c r="BV1363" s="402"/>
      <c r="BW1363" s="402"/>
      <c r="BX1363" s="402"/>
      <c r="BY1363" s="402"/>
      <c r="BZ1363" s="402"/>
      <c r="CA1363" s="402"/>
      <c r="CB1363" s="402"/>
      <c r="CC1363" s="402"/>
      <c r="CD1363" s="402"/>
      <c r="CE1363" s="402"/>
      <c r="CF1363" s="402"/>
      <c r="CG1363" s="402"/>
      <c r="CH1363" s="402"/>
      <c r="CI1363" s="402"/>
      <c r="CJ1363" s="402"/>
      <c r="CK1363" s="402"/>
      <c r="CL1363" s="402"/>
      <c r="CM1363" s="402"/>
      <c r="CN1363" s="402"/>
      <c r="CO1363" s="402"/>
      <c r="CP1363" s="402"/>
      <c r="CQ1363" s="402"/>
      <c r="CR1363" s="402"/>
      <c r="CS1363" s="402"/>
      <c r="CT1363" s="402"/>
      <c r="CU1363" s="402"/>
      <c r="CV1363" s="402"/>
      <c r="CW1363" s="402"/>
      <c r="CX1363" s="402"/>
      <c r="CY1363" s="402"/>
      <c r="CZ1363" s="402"/>
      <c r="DA1363" s="402"/>
      <c r="DB1363" s="402"/>
      <c r="DC1363" s="402"/>
      <c r="DD1363" s="402"/>
      <c r="DE1363" s="402"/>
      <c r="DF1363" s="402"/>
      <c r="DG1363" s="402"/>
      <c r="DH1363" s="402"/>
      <c r="DI1363" s="402"/>
      <c r="DJ1363" s="402"/>
      <c r="DK1363" s="402"/>
      <c r="DL1363" s="402"/>
      <c r="DM1363" s="402"/>
      <c r="DN1363" s="402"/>
      <c r="DO1363" s="402"/>
      <c r="DP1363" s="402"/>
      <c r="DQ1363" s="402"/>
      <c r="DR1363" s="402"/>
      <c r="DS1363" s="402"/>
      <c r="DT1363" s="402"/>
      <c r="DU1363" s="402"/>
      <c r="DV1363" s="402"/>
      <c r="DW1363" s="402"/>
      <c r="DX1363" s="402"/>
      <c r="DY1363" s="402"/>
      <c r="DZ1363" s="402"/>
      <c r="EA1363" s="402"/>
      <c r="EB1363" s="402"/>
      <c r="EC1363" s="402"/>
      <c r="ED1363" s="402"/>
      <c r="EE1363" s="402"/>
      <c r="EF1363" s="402"/>
      <c r="EG1363" s="402"/>
      <c r="EH1363" s="402"/>
      <c r="EI1363" s="402"/>
      <c r="EJ1363" s="402"/>
      <c r="EK1363" s="402"/>
      <c r="EL1363" s="402"/>
      <c r="EM1363" s="402"/>
      <c r="EN1363" s="402"/>
      <c r="EO1363" s="402"/>
      <c r="EP1363" s="402"/>
      <c r="EQ1363" s="402"/>
      <c r="ER1363" s="402"/>
      <c r="ES1363" s="402"/>
      <c r="ET1363" s="402"/>
      <c r="EU1363" s="402"/>
      <c r="EV1363" s="402"/>
      <c r="EW1363" s="402"/>
      <c r="EX1363" s="402"/>
      <c r="EY1363" s="402"/>
      <c r="EZ1363" s="402"/>
      <c r="FA1363" s="402"/>
      <c r="FB1363" s="402"/>
      <c r="FC1363" s="402"/>
      <c r="FD1363" s="402"/>
      <c r="FE1363" s="402"/>
      <c r="FF1363" s="402"/>
      <c r="FG1363" s="402"/>
      <c r="FH1363" s="402"/>
      <c r="FI1363" s="402"/>
      <c r="FJ1363" s="402"/>
      <c r="FK1363" s="402"/>
      <c r="FL1363" s="402"/>
      <c r="FM1363" s="402"/>
      <c r="FN1363" s="402"/>
      <c r="FO1363" s="402"/>
      <c r="FP1363" s="402"/>
      <c r="FQ1363" s="402"/>
      <c r="FR1363" s="402"/>
      <c r="FS1363" s="402"/>
      <c r="FT1363" s="402"/>
      <c r="FU1363" s="402"/>
      <c r="FV1363" s="402"/>
      <c r="FW1363" s="402"/>
      <c r="FX1363" s="402"/>
      <c r="FY1363" s="402"/>
      <c r="FZ1363" s="402"/>
      <c r="GA1363" s="402"/>
      <c r="GB1363" s="402"/>
      <c r="GC1363" s="402"/>
      <c r="GD1363" s="402"/>
      <c r="GE1363" s="402"/>
      <c r="GF1363" s="402"/>
      <c r="GG1363" s="402"/>
      <c r="GH1363" s="402"/>
      <c r="GI1363" s="402"/>
      <c r="GJ1363" s="402"/>
      <c r="GK1363" s="402"/>
      <c r="GL1363" s="402"/>
      <c r="GM1363" s="402"/>
      <c r="GN1363" s="402"/>
      <c r="GO1363" s="402"/>
      <c r="GP1363" s="402"/>
      <c r="GQ1363" s="402"/>
      <c r="GR1363" s="402"/>
      <c r="GS1363" s="402"/>
      <c r="GT1363" s="402"/>
      <c r="GU1363" s="402"/>
      <c r="GV1363" s="402"/>
      <c r="GW1363" s="402"/>
      <c r="GX1363" s="402"/>
      <c r="GY1363" s="402"/>
      <c r="GZ1363" s="402"/>
      <c r="HA1363" s="402"/>
      <c r="HB1363" s="402"/>
      <c r="HC1363" s="402"/>
      <c r="HD1363" s="402"/>
      <c r="HE1363" s="402"/>
      <c r="HF1363" s="402"/>
      <c r="HG1363" s="402"/>
      <c r="HH1363" s="402"/>
      <c r="HI1363" s="402"/>
      <c r="HJ1363" s="402"/>
      <c r="HK1363" s="402"/>
      <c r="HL1363" s="402"/>
      <c r="HM1363" s="402"/>
      <c r="HN1363" s="402"/>
      <c r="HO1363" s="402"/>
      <c r="HP1363" s="402"/>
      <c r="HQ1363" s="402"/>
      <c r="HR1363" s="402"/>
      <c r="HS1363" s="402"/>
      <c r="HT1363" s="402"/>
      <c r="HU1363" s="402"/>
      <c r="HV1363" s="402"/>
      <c r="HW1363" s="402"/>
      <c r="HX1363" s="402"/>
      <c r="HY1363" s="402"/>
      <c r="HZ1363" s="402"/>
      <c r="IA1363" s="402"/>
      <c r="IB1363" s="402"/>
      <c r="IC1363" s="402"/>
      <c r="ID1363" s="402"/>
      <c r="IE1363" s="402"/>
      <c r="IF1363" s="402"/>
      <c r="IG1363" s="402"/>
      <c r="IH1363" s="402"/>
      <c r="II1363" s="402"/>
      <c r="IJ1363" s="402"/>
      <c r="IK1363" s="402"/>
      <c r="IL1363" s="402"/>
      <c r="IM1363" s="402"/>
      <c r="IN1363" s="402"/>
      <c r="IO1363" s="402"/>
      <c r="IP1363" s="402"/>
      <c r="IQ1363" s="402"/>
      <c r="IR1363" s="402"/>
      <c r="IS1363" s="402"/>
      <c r="IT1363" s="402"/>
      <c r="IU1363" s="402"/>
      <c r="IV1363" s="402"/>
      <c r="IW1363" s="402"/>
      <c r="IX1363" s="402"/>
      <c r="IY1363" s="402"/>
      <c r="IZ1363" s="402"/>
      <c r="JA1363" s="402"/>
      <c r="JB1363" s="402"/>
      <c r="JC1363" s="402"/>
      <c r="JD1363" s="402"/>
      <c r="JE1363" s="402"/>
      <c r="JF1363" s="402"/>
      <c r="JG1363" s="402"/>
      <c r="JH1363" s="402"/>
      <c r="JI1363" s="402"/>
      <c r="JJ1363" s="402"/>
      <c r="JK1363" s="402"/>
      <c r="JL1363" s="402"/>
      <c r="JM1363" s="402"/>
      <c r="JN1363" s="402"/>
      <c r="JO1363" s="402"/>
      <c r="JP1363" s="402"/>
      <c r="JQ1363" s="402"/>
      <c r="JR1363" s="402"/>
      <c r="JS1363" s="402"/>
      <c r="JT1363" s="402"/>
      <c r="JU1363" s="402"/>
      <c r="JV1363" s="402"/>
      <c r="JW1363" s="402"/>
      <c r="JX1363" s="402"/>
      <c r="JY1363" s="402"/>
      <c r="JZ1363" s="402"/>
      <c r="KA1363" s="402"/>
      <c r="KB1363" s="402"/>
      <c r="KC1363" s="402"/>
      <c r="KD1363" s="402"/>
      <c r="KE1363" s="402"/>
      <c r="KF1363" s="402"/>
      <c r="KG1363" s="402"/>
      <c r="KH1363" s="402"/>
      <c r="KI1363" s="402"/>
      <c r="KJ1363" s="402"/>
      <c r="KK1363" s="402"/>
      <c r="KL1363" s="402"/>
      <c r="KM1363" s="402"/>
      <c r="KN1363" s="402"/>
      <c r="KO1363" s="402"/>
      <c r="KP1363" s="402"/>
      <c r="KQ1363" s="402"/>
      <c r="KR1363" s="402"/>
      <c r="KS1363" s="402"/>
      <c r="KT1363" s="402"/>
      <c r="KU1363" s="402"/>
      <c r="KV1363" s="402"/>
      <c r="KW1363" s="402"/>
      <c r="KX1363" s="402"/>
      <c r="KY1363" s="402"/>
      <c r="KZ1363" s="402"/>
      <c r="LA1363" s="402"/>
      <c r="LB1363" s="402"/>
      <c r="LC1363" s="402"/>
      <c r="LD1363" s="402"/>
      <c r="LE1363" s="402"/>
      <c r="LF1363" s="402"/>
      <c r="LG1363" s="402"/>
      <c r="LH1363" s="402"/>
      <c r="LI1363" s="402"/>
      <c r="LJ1363" s="402"/>
      <c r="LK1363" s="402"/>
      <c r="LL1363" s="402"/>
      <c r="LM1363" s="402"/>
      <c r="LN1363" s="402"/>
      <c r="LO1363" s="402"/>
      <c r="LP1363" s="402"/>
      <c r="LQ1363" s="402"/>
      <c r="LR1363" s="402"/>
      <c r="LS1363" s="402"/>
      <c r="LT1363" s="402"/>
      <c r="LU1363" s="402"/>
      <c r="LV1363" s="402"/>
      <c r="LW1363" s="402"/>
      <c r="LX1363" s="402"/>
      <c r="LY1363" s="402"/>
      <c r="LZ1363" s="402"/>
      <c r="MA1363" s="402"/>
      <c r="MB1363" s="402"/>
      <c r="MC1363" s="402"/>
      <c r="MD1363" s="402"/>
      <c r="ME1363" s="402"/>
      <c r="MF1363" s="402"/>
      <c r="MG1363" s="402"/>
      <c r="MH1363" s="402"/>
      <c r="MI1363" s="402"/>
      <c r="MJ1363" s="402"/>
      <c r="MK1363" s="402"/>
      <c r="ML1363" s="402"/>
      <c r="MM1363" s="402"/>
      <c r="MN1363" s="402"/>
      <c r="MO1363" s="402"/>
      <c r="MP1363" s="402"/>
      <c r="MQ1363" s="402"/>
      <c r="MR1363" s="402"/>
      <c r="MS1363" s="402"/>
      <c r="MT1363" s="402"/>
      <c r="MU1363" s="402"/>
      <c r="MV1363" s="402"/>
      <c r="MW1363" s="402"/>
      <c r="MX1363" s="402"/>
      <c r="MY1363" s="402"/>
      <c r="MZ1363" s="402"/>
      <c r="NA1363" s="402"/>
      <c r="NB1363" s="402"/>
      <c r="NC1363" s="402"/>
      <c r="ND1363" s="402"/>
      <c r="NE1363" s="402"/>
      <c r="NF1363" s="402"/>
      <c r="NG1363" s="402"/>
      <c r="NH1363" s="402"/>
      <c r="NI1363" s="402"/>
      <c r="NJ1363" s="402"/>
      <c r="NK1363" s="402"/>
      <c r="NL1363" s="402"/>
      <c r="NM1363" s="402"/>
      <c r="NN1363" s="402"/>
      <c r="NO1363" s="402"/>
      <c r="NP1363" s="402"/>
      <c r="NQ1363" s="402"/>
      <c r="NR1363" s="402"/>
      <c r="NS1363" s="402"/>
      <c r="NT1363" s="402"/>
      <c r="NU1363" s="402"/>
      <c r="NV1363" s="402"/>
      <c r="NW1363" s="402"/>
      <c r="NX1363" s="402"/>
      <c r="NY1363" s="402"/>
      <c r="NZ1363" s="402"/>
      <c r="OA1363" s="402"/>
      <c r="OB1363" s="402"/>
      <c r="OC1363" s="402"/>
      <c r="OD1363" s="402"/>
      <c r="OE1363" s="402"/>
      <c r="OF1363" s="402"/>
      <c r="OG1363" s="402"/>
      <c r="OH1363" s="402"/>
      <c r="OI1363" s="402"/>
      <c r="OJ1363" s="402"/>
      <c r="OK1363" s="402"/>
      <c r="OL1363" s="402"/>
      <c r="OM1363" s="402"/>
      <c r="ON1363" s="402"/>
      <c r="OO1363" s="402"/>
      <c r="OP1363" s="402"/>
      <c r="OQ1363" s="402"/>
      <c r="OR1363" s="402"/>
      <c r="OS1363" s="402"/>
      <c r="OT1363" s="402"/>
      <c r="OU1363" s="402"/>
      <c r="OV1363" s="402"/>
      <c r="OW1363" s="402"/>
      <c r="OX1363" s="402"/>
      <c r="OY1363" s="402"/>
      <c r="OZ1363" s="402"/>
      <c r="PA1363" s="402"/>
      <c r="PB1363" s="402"/>
      <c r="PC1363" s="402"/>
      <c r="PD1363" s="402"/>
      <c r="PE1363" s="402"/>
      <c r="PF1363" s="402"/>
      <c r="PG1363" s="402"/>
      <c r="PH1363" s="402"/>
      <c r="PI1363" s="402"/>
      <c r="PJ1363" s="402"/>
      <c r="PK1363" s="402"/>
      <c r="PL1363" s="402"/>
      <c r="PM1363" s="402"/>
      <c r="PN1363" s="402"/>
      <c r="PO1363" s="402"/>
      <c r="PP1363" s="402"/>
      <c r="PQ1363" s="402"/>
      <c r="PR1363" s="402"/>
      <c r="PS1363" s="402"/>
      <c r="PT1363" s="402"/>
      <c r="PU1363" s="402"/>
      <c r="PV1363" s="402"/>
      <c r="PW1363" s="402"/>
      <c r="PX1363" s="402"/>
      <c r="PY1363" s="402"/>
      <c r="PZ1363" s="402"/>
      <c r="QA1363" s="402"/>
      <c r="QB1363" s="402"/>
      <c r="QC1363" s="402"/>
      <c r="QD1363" s="402"/>
      <c r="QE1363" s="402"/>
      <c r="QF1363" s="402"/>
      <c r="QG1363" s="402"/>
      <c r="QH1363" s="402"/>
      <c r="QI1363" s="402"/>
      <c r="QJ1363" s="402"/>
      <c r="QK1363" s="402"/>
      <c r="QL1363" s="402"/>
      <c r="QM1363" s="402"/>
      <c r="QN1363" s="402"/>
      <c r="QO1363" s="402"/>
      <c r="QP1363" s="402"/>
      <c r="QQ1363" s="402"/>
      <c r="QR1363" s="402"/>
      <c r="QS1363" s="402"/>
      <c r="QT1363" s="402"/>
      <c r="QU1363" s="402"/>
      <c r="QV1363" s="402"/>
      <c r="QW1363" s="402"/>
      <c r="QX1363" s="402"/>
      <c r="QY1363" s="402"/>
      <c r="QZ1363" s="402"/>
      <c r="RA1363" s="402"/>
      <c r="RB1363" s="402"/>
      <c r="RC1363" s="402"/>
      <c r="RD1363" s="402"/>
      <c r="RE1363" s="402"/>
      <c r="RF1363" s="402"/>
      <c r="RG1363" s="402"/>
      <c r="RH1363" s="402"/>
      <c r="RI1363" s="402"/>
      <c r="RJ1363" s="402"/>
      <c r="RK1363" s="402"/>
      <c r="RL1363" s="402"/>
      <c r="RM1363" s="402"/>
      <c r="RN1363" s="402"/>
      <c r="RO1363" s="402"/>
      <c r="RP1363" s="402"/>
      <c r="RQ1363" s="402"/>
      <c r="RR1363" s="402"/>
      <c r="RS1363" s="402"/>
      <c r="RT1363" s="402"/>
      <c r="RU1363" s="402"/>
      <c r="RV1363" s="402"/>
      <c r="RW1363" s="402"/>
      <c r="RX1363" s="402"/>
      <c r="RY1363" s="402"/>
      <c r="RZ1363" s="402"/>
      <c r="SA1363" s="402"/>
      <c r="SB1363" s="402"/>
      <c r="SC1363" s="402"/>
      <c r="SD1363" s="402"/>
      <c r="SE1363" s="402"/>
      <c r="SF1363" s="402"/>
      <c r="SG1363" s="402"/>
      <c r="SH1363" s="402"/>
      <c r="SI1363" s="402"/>
      <c r="SJ1363" s="402"/>
      <c r="SK1363" s="402"/>
      <c r="SL1363" s="402"/>
      <c r="SM1363" s="402"/>
      <c r="SN1363" s="402"/>
      <c r="SO1363" s="402"/>
      <c r="SP1363" s="402"/>
      <c r="SQ1363" s="402"/>
      <c r="SR1363" s="402"/>
      <c r="SS1363" s="402"/>
      <c r="ST1363" s="402"/>
      <c r="SU1363" s="402"/>
      <c r="SV1363" s="402"/>
      <c r="SW1363" s="402"/>
      <c r="SX1363" s="402"/>
      <c r="SY1363" s="402"/>
      <c r="SZ1363" s="402"/>
      <c r="TA1363" s="402"/>
      <c r="TB1363" s="402"/>
      <c r="TC1363" s="402"/>
      <c r="TD1363" s="402"/>
      <c r="TE1363" s="402"/>
      <c r="TF1363" s="402"/>
      <c r="TG1363" s="402"/>
      <c r="TH1363" s="402"/>
      <c r="TI1363" s="402"/>
      <c r="TJ1363" s="402"/>
      <c r="TK1363" s="402"/>
      <c r="TL1363" s="402"/>
      <c r="TM1363" s="402"/>
      <c r="TN1363" s="402"/>
      <c r="TO1363" s="402"/>
      <c r="TP1363" s="402"/>
      <c r="TQ1363" s="402"/>
      <c r="TR1363" s="402"/>
      <c r="TS1363" s="402"/>
      <c r="TT1363" s="402"/>
      <c r="TU1363" s="402"/>
      <c r="TV1363" s="402"/>
      <c r="TW1363" s="402"/>
      <c r="TX1363" s="402"/>
      <c r="TY1363" s="402"/>
      <c r="TZ1363" s="402"/>
      <c r="UA1363" s="402"/>
      <c r="UB1363" s="402"/>
      <c r="UC1363" s="402"/>
      <c r="UD1363" s="402"/>
      <c r="UE1363" s="402"/>
      <c r="UF1363" s="402"/>
      <c r="UG1363" s="402"/>
      <c r="UH1363" s="402"/>
      <c r="UI1363" s="402"/>
      <c r="UJ1363" s="402"/>
      <c r="UK1363" s="402"/>
      <c r="UL1363" s="402"/>
      <c r="UM1363" s="402"/>
      <c r="UN1363" s="402"/>
      <c r="UO1363" s="402"/>
      <c r="UP1363" s="402"/>
      <c r="UQ1363" s="402"/>
      <c r="UR1363" s="402"/>
      <c r="US1363" s="402"/>
      <c r="UT1363" s="402"/>
      <c r="UU1363" s="402"/>
      <c r="UV1363" s="402"/>
      <c r="UW1363" s="402"/>
      <c r="UX1363" s="402"/>
      <c r="UY1363" s="402"/>
      <c r="UZ1363" s="402"/>
      <c r="VA1363" s="402"/>
      <c r="VB1363" s="402"/>
      <c r="VC1363" s="402"/>
      <c r="VD1363" s="402"/>
      <c r="VE1363" s="402"/>
      <c r="VF1363" s="402"/>
      <c r="VG1363" s="402"/>
      <c r="VH1363" s="402"/>
      <c r="VI1363" s="402"/>
      <c r="VJ1363" s="402"/>
      <c r="VK1363" s="402"/>
      <c r="VL1363" s="402"/>
      <c r="VM1363" s="402"/>
      <c r="VN1363" s="402"/>
      <c r="VO1363" s="402"/>
      <c r="VP1363" s="402"/>
      <c r="VQ1363" s="402"/>
      <c r="VR1363" s="402"/>
      <c r="VS1363" s="402"/>
      <c r="VT1363" s="402"/>
      <c r="VU1363" s="402"/>
      <c r="VV1363" s="402"/>
      <c r="VW1363" s="402"/>
      <c r="VX1363" s="402"/>
      <c r="VY1363" s="402"/>
      <c r="VZ1363" s="402"/>
      <c r="WA1363" s="402"/>
      <c r="WB1363" s="402"/>
      <c r="WC1363" s="402"/>
      <c r="WD1363" s="402"/>
      <c r="WE1363" s="402"/>
      <c r="WF1363" s="402"/>
      <c r="WG1363" s="402"/>
      <c r="WH1363" s="402"/>
      <c r="WI1363" s="402"/>
      <c r="WJ1363" s="402"/>
      <c r="WK1363" s="402"/>
      <c r="WL1363" s="402"/>
      <c r="WM1363" s="402"/>
      <c r="WN1363" s="402"/>
      <c r="WO1363" s="402"/>
      <c r="WP1363" s="402"/>
      <c r="WQ1363" s="402"/>
      <c r="WR1363" s="402"/>
      <c r="WS1363" s="402"/>
      <c r="WT1363" s="402"/>
      <c r="WU1363" s="402"/>
      <c r="WV1363" s="402"/>
      <c r="WW1363" s="402"/>
      <c r="WX1363" s="402"/>
      <c r="WY1363" s="402"/>
      <c r="WZ1363" s="402"/>
      <c r="XA1363" s="402"/>
      <c r="XB1363" s="402"/>
      <c r="XC1363" s="402"/>
      <c r="XD1363" s="402"/>
      <c r="XE1363" s="402"/>
      <c r="XF1363" s="402"/>
      <c r="XG1363" s="402"/>
      <c r="XH1363" s="402"/>
      <c r="XI1363" s="402"/>
      <c r="XJ1363" s="402"/>
      <c r="XK1363" s="402"/>
      <c r="XL1363" s="402"/>
      <c r="XM1363" s="402"/>
      <c r="XN1363" s="402"/>
      <c r="XO1363" s="402"/>
      <c r="XP1363" s="402"/>
      <c r="XQ1363" s="402"/>
      <c r="XR1363" s="402"/>
      <c r="XS1363" s="402"/>
      <c r="XT1363" s="402"/>
      <c r="XU1363" s="402"/>
      <c r="XV1363" s="402"/>
      <c r="XW1363" s="402"/>
      <c r="XX1363" s="402"/>
      <c r="XY1363" s="402"/>
      <c r="XZ1363" s="402"/>
      <c r="YA1363" s="402"/>
      <c r="YB1363" s="402"/>
      <c r="YC1363" s="402"/>
      <c r="YD1363" s="402"/>
      <c r="YE1363" s="402"/>
      <c r="YF1363" s="402"/>
      <c r="YG1363" s="402"/>
      <c r="YH1363" s="402"/>
      <c r="YI1363" s="402"/>
      <c r="YJ1363" s="402"/>
      <c r="YK1363" s="402"/>
      <c r="YL1363" s="402"/>
      <c r="YM1363" s="402"/>
      <c r="YN1363" s="402"/>
      <c r="YO1363" s="402"/>
      <c r="YP1363" s="402"/>
      <c r="YQ1363" s="402"/>
      <c r="YR1363" s="402"/>
      <c r="YS1363" s="402"/>
      <c r="YT1363" s="402"/>
      <c r="YU1363" s="402"/>
      <c r="YV1363" s="402"/>
      <c r="YW1363" s="402"/>
      <c r="YX1363" s="402"/>
      <c r="YY1363" s="402"/>
      <c r="YZ1363" s="402"/>
      <c r="ZA1363" s="402"/>
      <c r="ZB1363" s="402"/>
      <c r="ZC1363" s="402"/>
      <c r="ZD1363" s="402"/>
      <c r="ZE1363" s="402"/>
      <c r="ZF1363" s="402"/>
      <c r="ZG1363" s="402"/>
      <c r="ZH1363" s="402"/>
      <c r="ZI1363" s="402"/>
      <c r="ZJ1363" s="402"/>
      <c r="ZK1363" s="402"/>
      <c r="ZL1363" s="402"/>
      <c r="ZM1363" s="402"/>
      <c r="ZN1363" s="402"/>
      <c r="ZO1363" s="402"/>
      <c r="ZP1363" s="402"/>
      <c r="ZQ1363" s="402"/>
      <c r="ZR1363" s="402"/>
      <c r="ZS1363" s="402"/>
      <c r="ZT1363" s="402"/>
      <c r="ZU1363" s="402"/>
      <c r="ZV1363" s="402"/>
      <c r="ZW1363" s="402"/>
      <c r="ZX1363" s="402"/>
      <c r="ZY1363" s="402"/>
      <c r="ZZ1363" s="402"/>
      <c r="AAA1363" s="402"/>
      <c r="AAB1363" s="402"/>
      <c r="AAC1363" s="402"/>
      <c r="AAD1363" s="402"/>
      <c r="AAE1363" s="402"/>
      <c r="AAF1363" s="402"/>
      <c r="AAG1363" s="402"/>
      <c r="AAH1363" s="402"/>
      <c r="AAI1363" s="402"/>
      <c r="AAJ1363" s="402"/>
      <c r="AAK1363" s="402"/>
      <c r="AAL1363" s="402"/>
      <c r="AAM1363" s="402"/>
      <c r="AAN1363" s="402"/>
      <c r="AAO1363" s="402"/>
      <c r="AAP1363" s="402"/>
      <c r="AAQ1363" s="402"/>
      <c r="AAR1363" s="402"/>
      <c r="AAS1363" s="402"/>
      <c r="AAT1363" s="402"/>
      <c r="AAU1363" s="402"/>
      <c r="AAV1363" s="402"/>
      <c r="AAW1363" s="402"/>
      <c r="AAX1363" s="402"/>
      <c r="AAY1363" s="402"/>
      <c r="AAZ1363" s="402"/>
      <c r="ABA1363" s="402"/>
      <c r="ABB1363" s="402"/>
      <c r="ABC1363" s="402"/>
      <c r="ABD1363" s="402"/>
      <c r="ABE1363" s="402"/>
      <c r="ABF1363" s="402"/>
      <c r="ABG1363" s="402"/>
      <c r="ABH1363" s="402"/>
      <c r="ABI1363" s="402"/>
      <c r="ABJ1363" s="402"/>
      <c r="ABK1363" s="402"/>
      <c r="ABL1363" s="402"/>
      <c r="ABM1363" s="402"/>
      <c r="ABN1363" s="402"/>
      <c r="ABO1363" s="402"/>
      <c r="ABP1363" s="402"/>
      <c r="ABQ1363" s="402"/>
      <c r="ABR1363" s="402"/>
      <c r="ABS1363" s="402"/>
      <c r="ABT1363" s="402"/>
      <c r="ABU1363" s="402"/>
      <c r="ABV1363" s="402"/>
      <c r="ABW1363" s="402"/>
      <c r="ABX1363" s="402"/>
      <c r="ABY1363" s="402"/>
      <c r="ABZ1363" s="402"/>
      <c r="ACA1363" s="402"/>
      <c r="ACB1363" s="402"/>
      <c r="ACC1363" s="402"/>
      <c r="ACD1363" s="402"/>
      <c r="ACE1363" s="402"/>
      <c r="ACF1363" s="402"/>
      <c r="ACG1363" s="402"/>
      <c r="ACH1363" s="402"/>
      <c r="ACI1363" s="402"/>
      <c r="ACJ1363" s="402"/>
      <c r="ACK1363" s="402"/>
      <c r="ACL1363" s="402"/>
      <c r="ACM1363" s="402"/>
      <c r="ACN1363" s="402"/>
      <c r="ACO1363" s="402"/>
      <c r="ACP1363" s="402"/>
      <c r="ACQ1363" s="402"/>
      <c r="ACR1363" s="402"/>
      <c r="ACS1363" s="402"/>
      <c r="ACT1363" s="402"/>
      <c r="ACU1363" s="402"/>
      <c r="ACV1363" s="402"/>
      <c r="ACW1363" s="402"/>
      <c r="ACX1363" s="402"/>
      <c r="ACY1363" s="402"/>
      <c r="ACZ1363" s="402"/>
      <c r="ADA1363" s="402"/>
      <c r="ADB1363" s="402"/>
      <c r="ADC1363" s="402"/>
      <c r="ADD1363" s="402"/>
      <c r="ADE1363" s="402"/>
      <c r="ADF1363" s="402"/>
      <c r="ADG1363" s="402"/>
      <c r="ADH1363" s="402"/>
      <c r="ADI1363" s="402"/>
      <c r="ADJ1363" s="402"/>
      <c r="ADK1363" s="402"/>
      <c r="ADL1363" s="402"/>
      <c r="ADM1363" s="402"/>
      <c r="ADN1363" s="402"/>
      <c r="ADO1363" s="402"/>
      <c r="ADP1363" s="402"/>
      <c r="ADQ1363" s="402"/>
      <c r="ADR1363" s="402"/>
      <c r="ADS1363" s="402"/>
      <c r="ADT1363" s="402"/>
      <c r="ADU1363" s="402"/>
      <c r="ADV1363" s="402"/>
      <c r="ADW1363" s="402"/>
      <c r="ADX1363" s="402"/>
      <c r="ADY1363" s="402"/>
      <c r="ADZ1363" s="402"/>
      <c r="AEA1363" s="402"/>
      <c r="AEB1363" s="402"/>
      <c r="AEC1363" s="402"/>
      <c r="AED1363" s="402"/>
      <c r="AEE1363" s="402"/>
      <c r="AEF1363" s="402"/>
      <c r="AEG1363" s="402"/>
      <c r="AEH1363" s="402"/>
      <c r="AEI1363" s="402"/>
      <c r="AEJ1363" s="402"/>
      <c r="AEK1363" s="402"/>
      <c r="AEL1363" s="402"/>
      <c r="AEM1363" s="402"/>
      <c r="AEN1363" s="402"/>
      <c r="AEO1363" s="402"/>
      <c r="AEP1363" s="402"/>
      <c r="AEQ1363" s="402"/>
      <c r="AER1363" s="402"/>
      <c r="AES1363" s="402"/>
      <c r="AET1363" s="402"/>
      <c r="AEU1363" s="402"/>
      <c r="AEV1363" s="402"/>
      <c r="AEW1363" s="402"/>
      <c r="AEX1363" s="402"/>
      <c r="AEY1363" s="402"/>
      <c r="AEZ1363" s="402"/>
      <c r="AFA1363" s="402"/>
      <c r="AFB1363" s="402"/>
      <c r="AFC1363" s="402"/>
      <c r="AFD1363" s="402"/>
      <c r="AFE1363" s="402"/>
      <c r="AFF1363" s="402"/>
      <c r="AFG1363" s="402"/>
      <c r="AFH1363" s="402"/>
      <c r="AFI1363" s="402"/>
      <c r="AFJ1363" s="402"/>
      <c r="AFK1363" s="402"/>
      <c r="AFL1363" s="402"/>
      <c r="AFM1363" s="402"/>
      <c r="AFN1363" s="402"/>
      <c r="AFO1363" s="402"/>
      <c r="AFP1363" s="402"/>
      <c r="AFQ1363" s="402"/>
      <c r="AFR1363" s="402"/>
      <c r="AFS1363" s="402"/>
      <c r="AFT1363" s="402"/>
      <c r="AFU1363" s="402"/>
      <c r="AFV1363" s="402"/>
      <c r="AFW1363" s="402"/>
      <c r="AFX1363" s="402"/>
      <c r="AFY1363" s="402"/>
      <c r="AFZ1363" s="402"/>
      <c r="AGA1363" s="402"/>
      <c r="AGB1363" s="402"/>
      <c r="AGC1363" s="402"/>
      <c r="AGD1363" s="402"/>
      <c r="AGE1363" s="402"/>
      <c r="AGF1363" s="402"/>
      <c r="AGG1363" s="402"/>
      <c r="AGH1363" s="402"/>
      <c r="AGI1363" s="402"/>
      <c r="AGJ1363" s="402"/>
      <c r="AGK1363" s="402"/>
      <c r="AGL1363" s="402"/>
      <c r="AGM1363" s="402"/>
      <c r="AGN1363" s="402"/>
      <c r="AGO1363" s="402"/>
      <c r="AGP1363" s="402"/>
      <c r="AGQ1363" s="402"/>
      <c r="AGR1363" s="402"/>
      <c r="AGS1363" s="402"/>
      <c r="AGT1363" s="402"/>
      <c r="AGU1363" s="402"/>
      <c r="AGV1363" s="402"/>
      <c r="AGW1363" s="402"/>
      <c r="AGX1363" s="402"/>
      <c r="AGY1363" s="402"/>
      <c r="AGZ1363" s="402"/>
      <c r="AHA1363" s="402"/>
      <c r="AHB1363" s="402"/>
      <c r="AHC1363" s="402"/>
      <c r="AHD1363" s="402"/>
      <c r="AHE1363" s="402"/>
      <c r="AHF1363" s="402"/>
      <c r="AHG1363" s="402"/>
      <c r="AHH1363" s="402"/>
      <c r="AHI1363" s="402"/>
      <c r="AHJ1363" s="402"/>
      <c r="AHK1363" s="402"/>
      <c r="AHL1363" s="402"/>
      <c r="AHM1363" s="402"/>
      <c r="AHN1363" s="402"/>
      <c r="AHO1363" s="402"/>
      <c r="AHP1363" s="402"/>
      <c r="AHQ1363" s="402"/>
      <c r="AHR1363" s="402"/>
      <c r="AHS1363" s="402"/>
      <c r="AHT1363" s="402"/>
      <c r="AHU1363" s="402"/>
      <c r="AHV1363" s="402"/>
      <c r="AHW1363" s="402"/>
      <c r="AHX1363" s="402"/>
      <c r="AHY1363" s="402"/>
      <c r="AHZ1363" s="402"/>
      <c r="AIA1363" s="402"/>
      <c r="AIB1363" s="402"/>
      <c r="AIC1363" s="402"/>
      <c r="AID1363" s="402"/>
      <c r="AIE1363" s="402"/>
      <c r="AIF1363" s="402"/>
      <c r="AIG1363" s="402"/>
      <c r="AIH1363" s="402"/>
      <c r="AII1363" s="402"/>
      <c r="AIJ1363" s="402"/>
      <c r="AIK1363" s="402"/>
      <c r="AIL1363" s="402"/>
      <c r="AIM1363" s="402"/>
      <c r="AIN1363" s="402"/>
      <c r="AIO1363" s="402"/>
      <c r="AIP1363" s="402"/>
      <c r="AIQ1363" s="402"/>
      <c r="AIR1363" s="402"/>
      <c r="AIS1363" s="402"/>
      <c r="AIT1363" s="402"/>
      <c r="AIU1363" s="402"/>
      <c r="AIV1363" s="402"/>
      <c r="AIW1363" s="402"/>
      <c r="AIX1363" s="402"/>
      <c r="AIY1363" s="402"/>
      <c r="AIZ1363" s="402"/>
      <c r="AJA1363" s="402"/>
      <c r="AJB1363" s="402"/>
      <c r="AJC1363" s="402"/>
      <c r="AJD1363" s="402"/>
      <c r="AJE1363" s="402"/>
      <c r="AJF1363" s="402"/>
      <c r="AJG1363" s="402"/>
      <c r="AJH1363" s="402"/>
      <c r="AJI1363" s="402"/>
      <c r="AJJ1363" s="402"/>
      <c r="AJK1363" s="402"/>
      <c r="AJL1363" s="402"/>
      <c r="AJM1363" s="402"/>
      <c r="AJN1363" s="402"/>
      <c r="AJO1363" s="402"/>
      <c r="AJP1363" s="402"/>
      <c r="AJQ1363" s="402"/>
      <c r="AJR1363" s="402"/>
      <c r="AJS1363" s="402"/>
      <c r="AJT1363" s="402"/>
      <c r="AJU1363" s="402"/>
      <c r="AJV1363" s="402"/>
      <c r="AJW1363" s="402"/>
      <c r="AJX1363" s="402"/>
      <c r="AJY1363" s="402"/>
      <c r="AJZ1363" s="402"/>
      <c r="AKA1363" s="402"/>
      <c r="AKB1363" s="402"/>
      <c r="AKC1363" s="402"/>
      <c r="AKD1363" s="402"/>
      <c r="AKE1363" s="402"/>
      <c r="AKF1363" s="402"/>
      <c r="AKG1363" s="402"/>
      <c r="AKH1363" s="402"/>
      <c r="AKI1363" s="402"/>
      <c r="AKJ1363" s="402"/>
      <c r="AKK1363" s="402"/>
      <c r="AKL1363" s="402"/>
      <c r="AKM1363" s="402"/>
      <c r="AKN1363" s="402"/>
      <c r="AKO1363" s="402"/>
      <c r="AKP1363" s="402"/>
      <c r="AKQ1363" s="402"/>
      <c r="AKR1363" s="402"/>
      <c r="AKS1363" s="402"/>
      <c r="AKT1363" s="402"/>
      <c r="AKU1363" s="402"/>
      <c r="AKV1363" s="402"/>
      <c r="AKW1363" s="402"/>
      <c r="AKX1363" s="402"/>
      <c r="AKY1363" s="402"/>
      <c r="AKZ1363" s="402"/>
      <c r="ALA1363" s="402"/>
      <c r="ALB1363" s="402"/>
      <c r="ALC1363" s="402"/>
      <c r="ALD1363" s="402"/>
      <c r="ALE1363" s="402"/>
      <c r="ALF1363" s="402"/>
      <c r="ALG1363" s="402"/>
      <c r="ALH1363" s="402"/>
      <c r="ALI1363" s="402"/>
      <c r="ALJ1363" s="402"/>
      <c r="ALK1363" s="402"/>
      <c r="ALL1363" s="402"/>
      <c r="ALM1363" s="402"/>
      <c r="ALN1363" s="402"/>
      <c r="ALO1363" s="402"/>
      <c r="ALP1363" s="402"/>
      <c r="ALQ1363" s="402"/>
      <c r="ALR1363" s="402"/>
      <c r="ALS1363" s="402"/>
      <c r="ALT1363" s="402"/>
      <c r="ALU1363" s="402"/>
      <c r="ALV1363" s="402"/>
      <c r="ALW1363" s="402"/>
      <c r="ALX1363" s="402"/>
      <c r="ALY1363" s="402"/>
      <c r="ALZ1363" s="402"/>
      <c r="AMA1363" s="402"/>
      <c r="AMB1363" s="402"/>
      <c r="AMC1363" s="402"/>
      <c r="AMD1363" s="402"/>
      <c r="AME1363" s="402"/>
      <c r="AMF1363" s="402"/>
      <c r="AMG1363" s="402"/>
      <c r="AMH1363" s="402"/>
      <c r="AMI1363" s="402"/>
      <c r="AMJ1363" s="402"/>
      <c r="AMK1363" s="402"/>
      <c r="AML1363" s="402"/>
      <c r="AMM1363" s="402"/>
      <c r="AMN1363" s="402"/>
      <c r="AMO1363" s="402"/>
      <c r="AMP1363" s="402"/>
      <c r="AMQ1363" s="402"/>
      <c r="AMR1363" s="402"/>
      <c r="AMS1363" s="402"/>
      <c r="AMT1363" s="402"/>
      <c r="AMU1363" s="402"/>
      <c r="AMV1363" s="402"/>
      <c r="AMW1363" s="402"/>
      <c r="AMX1363" s="402"/>
      <c r="AMY1363" s="402"/>
      <c r="AMZ1363" s="402"/>
      <c r="ANA1363" s="402"/>
      <c r="ANB1363" s="402"/>
      <c r="ANC1363" s="402"/>
      <c r="AND1363" s="402"/>
      <c r="ANE1363" s="402"/>
      <c r="ANF1363" s="402"/>
      <c r="ANG1363" s="402"/>
      <c r="ANH1363" s="402"/>
      <c r="ANI1363" s="402"/>
      <c r="ANJ1363" s="402"/>
      <c r="ANK1363" s="402"/>
      <c r="ANL1363" s="402"/>
      <c r="ANM1363" s="402"/>
      <c r="ANN1363" s="402"/>
      <c r="ANO1363" s="402"/>
      <c r="ANP1363" s="402"/>
      <c r="ANQ1363" s="402"/>
      <c r="ANR1363" s="402"/>
      <c r="ANS1363" s="402"/>
      <c r="ANT1363" s="402"/>
      <c r="ANU1363" s="402"/>
      <c r="ANV1363" s="402"/>
      <c r="ANW1363" s="402"/>
      <c r="ANX1363" s="402"/>
      <c r="ANY1363" s="402"/>
      <c r="ANZ1363" s="402"/>
      <c r="AOA1363" s="402"/>
      <c r="AOB1363" s="402"/>
      <c r="AOC1363" s="402"/>
      <c r="AOD1363" s="402"/>
      <c r="AOE1363" s="402"/>
      <c r="AOF1363" s="402"/>
      <c r="AOG1363" s="402"/>
      <c r="AOH1363" s="402"/>
      <c r="AOI1363" s="402"/>
      <c r="AOJ1363" s="402"/>
      <c r="AOK1363" s="402"/>
      <c r="AOL1363" s="402"/>
      <c r="AOM1363" s="402"/>
      <c r="AON1363" s="402"/>
      <c r="AOO1363" s="402"/>
      <c r="AOP1363" s="402"/>
      <c r="AOQ1363" s="402"/>
      <c r="AOR1363" s="402"/>
      <c r="AOS1363" s="402"/>
      <c r="AOT1363" s="402"/>
      <c r="AOU1363" s="402"/>
      <c r="AOV1363" s="402"/>
      <c r="AOW1363" s="402"/>
      <c r="AOX1363" s="402"/>
      <c r="AOY1363" s="402"/>
      <c r="AOZ1363" s="402"/>
      <c r="APA1363" s="402"/>
      <c r="APB1363" s="402"/>
      <c r="APC1363" s="402"/>
      <c r="APD1363" s="402"/>
      <c r="APE1363" s="402"/>
      <c r="APF1363" s="402"/>
      <c r="APG1363" s="402"/>
      <c r="APH1363" s="402"/>
      <c r="API1363" s="402"/>
      <c r="APJ1363" s="402"/>
      <c r="APK1363" s="402"/>
      <c r="APL1363" s="402"/>
      <c r="APM1363" s="402"/>
      <c r="APN1363" s="402"/>
      <c r="APO1363" s="402"/>
      <c r="APP1363" s="402"/>
      <c r="APQ1363" s="402"/>
      <c r="APR1363" s="402"/>
      <c r="APS1363" s="402"/>
      <c r="APT1363" s="402"/>
      <c r="APU1363" s="402"/>
      <c r="APV1363" s="402"/>
      <c r="APW1363" s="402"/>
      <c r="APX1363" s="402"/>
      <c r="APY1363" s="402"/>
      <c r="APZ1363" s="402"/>
      <c r="AQA1363" s="402"/>
      <c r="AQB1363" s="402"/>
      <c r="AQC1363" s="402"/>
      <c r="AQD1363" s="402"/>
      <c r="AQE1363" s="402"/>
      <c r="AQF1363" s="402"/>
      <c r="AQG1363" s="402"/>
      <c r="AQH1363" s="402"/>
      <c r="AQI1363" s="402"/>
      <c r="AQJ1363" s="402"/>
      <c r="AQK1363" s="402"/>
      <c r="AQL1363" s="402"/>
      <c r="AQM1363" s="402"/>
      <c r="AQN1363" s="402"/>
      <c r="AQO1363" s="402"/>
      <c r="AQP1363" s="402"/>
      <c r="AQQ1363" s="402"/>
      <c r="AQR1363" s="402"/>
      <c r="AQS1363" s="402"/>
      <c r="AQT1363" s="402"/>
      <c r="AQU1363" s="402"/>
      <c r="AQV1363" s="402"/>
      <c r="AQW1363" s="402"/>
      <c r="AQX1363" s="402"/>
      <c r="AQY1363" s="402"/>
      <c r="AQZ1363" s="402"/>
      <c r="ARA1363" s="402"/>
      <c r="ARB1363" s="402"/>
      <c r="ARC1363" s="402"/>
      <c r="ARD1363" s="402"/>
      <c r="ARE1363" s="402"/>
      <c r="ARF1363" s="402"/>
      <c r="ARG1363" s="402"/>
      <c r="ARH1363" s="402"/>
      <c r="ARI1363" s="402"/>
      <c r="ARJ1363" s="402"/>
      <c r="ARK1363" s="402"/>
      <c r="ARL1363" s="402"/>
      <c r="ARM1363" s="402"/>
      <c r="ARN1363" s="402"/>
      <c r="ARO1363" s="402"/>
      <c r="ARP1363" s="402"/>
      <c r="ARQ1363" s="402"/>
      <c r="ARR1363" s="402"/>
      <c r="ARS1363" s="402"/>
      <c r="ART1363" s="402"/>
      <c r="ARU1363" s="402"/>
      <c r="ARV1363" s="402"/>
      <c r="ARW1363" s="402"/>
      <c r="ARX1363" s="402"/>
      <c r="ARY1363" s="402"/>
      <c r="ARZ1363" s="402"/>
      <c r="ASA1363" s="402"/>
      <c r="ASB1363" s="402"/>
      <c r="ASC1363" s="402"/>
      <c r="ASD1363" s="402"/>
      <c r="ASE1363" s="402"/>
      <c r="ASF1363" s="402"/>
      <c r="ASG1363" s="402"/>
      <c r="ASH1363" s="402"/>
      <c r="ASI1363" s="402"/>
      <c r="ASJ1363" s="402"/>
      <c r="ASK1363" s="402"/>
      <c r="ASL1363" s="402"/>
      <c r="ASM1363" s="402"/>
      <c r="ASN1363" s="402"/>
      <c r="ASO1363" s="402"/>
      <c r="ASP1363" s="402"/>
      <c r="ASQ1363" s="402"/>
      <c r="ASR1363" s="402"/>
      <c r="ASS1363" s="402"/>
      <c r="AST1363" s="402"/>
      <c r="ASU1363" s="402"/>
      <c r="ASV1363" s="402"/>
      <c r="ASW1363" s="402"/>
      <c r="ASX1363" s="402"/>
      <c r="ASY1363" s="402"/>
      <c r="ASZ1363" s="402"/>
      <c r="ATA1363" s="402"/>
      <c r="ATB1363" s="402"/>
      <c r="ATC1363" s="402"/>
      <c r="ATD1363" s="402"/>
      <c r="ATE1363" s="402"/>
      <c r="ATF1363" s="402"/>
      <c r="ATG1363" s="402"/>
      <c r="ATH1363" s="402"/>
      <c r="ATI1363" s="402"/>
      <c r="ATJ1363" s="402"/>
      <c r="ATK1363" s="402"/>
      <c r="ATL1363" s="402"/>
      <c r="ATM1363" s="402"/>
      <c r="ATN1363" s="402"/>
      <c r="ATO1363" s="402"/>
      <c r="ATP1363" s="402"/>
      <c r="ATQ1363" s="402"/>
      <c r="ATR1363" s="402"/>
      <c r="ATS1363" s="402"/>
      <c r="ATT1363" s="402"/>
      <c r="ATU1363" s="402"/>
      <c r="ATV1363" s="402"/>
      <c r="ATW1363" s="402"/>
      <c r="ATX1363" s="402"/>
      <c r="ATY1363" s="402"/>
      <c r="ATZ1363" s="402"/>
      <c r="AUA1363" s="402"/>
      <c r="AUB1363" s="402"/>
      <c r="AUC1363" s="402"/>
      <c r="AUD1363" s="402"/>
      <c r="AUE1363" s="402"/>
      <c r="AUF1363" s="402"/>
      <c r="AUG1363" s="402"/>
      <c r="AUH1363" s="402"/>
      <c r="AUI1363" s="402"/>
      <c r="AUJ1363" s="402"/>
      <c r="AUK1363" s="402"/>
      <c r="AUL1363" s="402"/>
      <c r="AUM1363" s="402"/>
      <c r="AUN1363" s="402"/>
      <c r="AUO1363" s="402"/>
      <c r="AUP1363" s="402"/>
      <c r="AUQ1363" s="402"/>
      <c r="AUR1363" s="402"/>
      <c r="AUS1363" s="402"/>
      <c r="AUT1363" s="402"/>
      <c r="AUU1363" s="402"/>
      <c r="AUV1363" s="402"/>
      <c r="AUW1363" s="402"/>
      <c r="AUX1363" s="402"/>
      <c r="AUY1363" s="402"/>
      <c r="AUZ1363" s="402"/>
      <c r="AVA1363" s="402"/>
      <c r="AVB1363" s="402"/>
      <c r="AVC1363" s="402"/>
      <c r="AVD1363" s="402"/>
      <c r="AVE1363" s="402"/>
      <c r="AVF1363" s="402"/>
      <c r="AVG1363" s="402"/>
      <c r="AVH1363" s="402"/>
      <c r="AVI1363" s="402"/>
      <c r="AVJ1363" s="402"/>
      <c r="AVK1363" s="402"/>
    </row>
    <row r="1364" spans="1:1259" s="442" customFormat="1" ht="15" customHeight="1">
      <c r="A1364" s="403"/>
      <c r="B1364" s="403"/>
      <c r="C1364" s="403"/>
      <c r="D1364" s="443" t="s">
        <v>2480</v>
      </c>
      <c r="E1364" s="443" t="s">
        <v>2406</v>
      </c>
      <c r="F1364" s="432"/>
      <c r="G1364" s="432"/>
      <c r="H1364" s="451">
        <v>11</v>
      </c>
      <c r="I1364" s="427" t="s">
        <v>1498</v>
      </c>
      <c r="J1364" s="433"/>
      <c r="K1364" s="433" t="s">
        <v>3758</v>
      </c>
      <c r="L1364" s="433" t="s">
        <v>2509</v>
      </c>
      <c r="M1364" s="433">
        <v>44550</v>
      </c>
      <c r="N1364" s="433">
        <v>44652</v>
      </c>
      <c r="O1364" s="435"/>
      <c r="P1364" s="433"/>
      <c r="Q1364" s="433"/>
      <c r="R1364" s="433"/>
      <c r="S1364" s="432" t="s">
        <v>1940</v>
      </c>
      <c r="T1364" s="432">
        <v>60</v>
      </c>
      <c r="U1364" s="432"/>
      <c r="V1364" s="432" t="s">
        <v>973</v>
      </c>
      <c r="W1364" s="432">
        <v>400</v>
      </c>
      <c r="X1364" s="436">
        <v>480</v>
      </c>
      <c r="Y1364" s="422">
        <f t="shared" si="166"/>
        <v>192000</v>
      </c>
      <c r="Z1364" s="437">
        <v>0.53</v>
      </c>
      <c r="AA1364" s="423">
        <f t="shared" si="167"/>
        <v>101760</v>
      </c>
      <c r="AB1364" s="411"/>
      <c r="AC1364" s="412">
        <f t="shared" si="168"/>
        <v>0</v>
      </c>
      <c r="AD1364" s="439"/>
      <c r="AE1364" s="438"/>
      <c r="AF1364" s="424">
        <f t="shared" si="169"/>
        <v>101760</v>
      </c>
      <c r="AG1364" s="432" t="s">
        <v>1069</v>
      </c>
      <c r="AH1364" s="432"/>
      <c r="AI1364" s="434">
        <v>60</v>
      </c>
      <c r="AJ1364" s="432" t="s">
        <v>1323</v>
      </c>
      <c r="AK1364" s="440" t="s">
        <v>1136</v>
      </c>
      <c r="AL1364" s="432">
        <v>77092</v>
      </c>
      <c r="AM1364" s="432" t="s">
        <v>52</v>
      </c>
      <c r="AN1364" s="432"/>
      <c r="AO1364" s="432"/>
      <c r="AP1364" s="441"/>
      <c r="AQ1364" s="441" t="s">
        <v>37</v>
      </c>
      <c r="AR1364" s="441"/>
      <c r="AS1364" s="426" t="s">
        <v>1142</v>
      </c>
      <c r="AT1364" s="426" t="s">
        <v>1073</v>
      </c>
      <c r="AU1364" s="426" t="s">
        <v>1073</v>
      </c>
      <c r="AV1364" s="437">
        <v>0.53</v>
      </c>
      <c r="AW1364" s="402"/>
      <c r="AX1364" s="402"/>
      <c r="AY1364" s="402"/>
      <c r="AZ1364" s="402"/>
      <c r="BA1364" s="402"/>
      <c r="BB1364" s="402"/>
      <c r="BC1364" s="402"/>
      <c r="BD1364" s="402"/>
      <c r="BE1364" s="402"/>
      <c r="BF1364" s="402"/>
      <c r="BG1364" s="402"/>
      <c r="BH1364" s="402"/>
      <c r="BI1364" s="402"/>
      <c r="BJ1364" s="402"/>
      <c r="BK1364" s="402"/>
      <c r="BL1364" s="402"/>
      <c r="BM1364" s="402"/>
      <c r="BN1364" s="402"/>
      <c r="BO1364" s="402"/>
      <c r="BP1364" s="402"/>
      <c r="BQ1364" s="402"/>
      <c r="BR1364" s="402"/>
      <c r="BS1364" s="402"/>
      <c r="BT1364" s="402"/>
      <c r="BU1364" s="402"/>
      <c r="BV1364" s="402"/>
      <c r="BW1364" s="402"/>
      <c r="BX1364" s="402"/>
      <c r="BY1364" s="402"/>
      <c r="BZ1364" s="402"/>
      <c r="CA1364" s="402"/>
      <c r="CB1364" s="402"/>
      <c r="CC1364" s="402"/>
      <c r="CD1364" s="402"/>
      <c r="CE1364" s="402"/>
      <c r="CF1364" s="402"/>
      <c r="CG1364" s="402"/>
      <c r="CH1364" s="402"/>
      <c r="CI1364" s="402"/>
      <c r="CJ1364" s="402"/>
      <c r="CK1364" s="402"/>
      <c r="CL1364" s="402"/>
      <c r="CM1364" s="402"/>
      <c r="CN1364" s="402"/>
      <c r="CO1364" s="402"/>
      <c r="CP1364" s="402"/>
      <c r="CQ1364" s="402"/>
      <c r="CR1364" s="402"/>
      <c r="CS1364" s="402"/>
      <c r="CT1364" s="402"/>
      <c r="CU1364" s="402"/>
      <c r="CV1364" s="402"/>
      <c r="CW1364" s="402"/>
      <c r="CX1364" s="402"/>
      <c r="CY1364" s="402"/>
      <c r="CZ1364" s="402"/>
      <c r="DA1364" s="402"/>
      <c r="DB1364" s="402"/>
      <c r="DC1364" s="402"/>
      <c r="DD1364" s="402"/>
      <c r="DE1364" s="402"/>
      <c r="DF1364" s="402"/>
      <c r="DG1364" s="402"/>
      <c r="DH1364" s="402"/>
      <c r="DI1364" s="402"/>
      <c r="DJ1364" s="402"/>
      <c r="DK1364" s="402"/>
      <c r="DL1364" s="402"/>
      <c r="DM1364" s="402"/>
      <c r="DN1364" s="402"/>
      <c r="DO1364" s="402"/>
      <c r="DP1364" s="402"/>
      <c r="DQ1364" s="402"/>
      <c r="DR1364" s="402"/>
      <c r="DS1364" s="402"/>
      <c r="DT1364" s="402"/>
      <c r="DU1364" s="402"/>
      <c r="DV1364" s="402"/>
      <c r="DW1364" s="402"/>
      <c r="DX1364" s="402"/>
      <c r="DY1364" s="402"/>
      <c r="DZ1364" s="402"/>
      <c r="EA1364" s="402"/>
      <c r="EB1364" s="402"/>
      <c r="EC1364" s="402"/>
      <c r="ED1364" s="402"/>
      <c r="EE1364" s="402"/>
      <c r="EF1364" s="402"/>
      <c r="EG1364" s="402"/>
      <c r="EH1364" s="402"/>
      <c r="EI1364" s="402"/>
      <c r="EJ1364" s="402"/>
      <c r="EK1364" s="402"/>
      <c r="EL1364" s="402"/>
      <c r="EM1364" s="402"/>
      <c r="EN1364" s="402"/>
      <c r="EO1364" s="402"/>
      <c r="EP1364" s="402"/>
      <c r="EQ1364" s="402"/>
      <c r="ER1364" s="402"/>
      <c r="ES1364" s="402"/>
      <c r="ET1364" s="402"/>
      <c r="EU1364" s="402"/>
      <c r="EV1364" s="402"/>
      <c r="EW1364" s="402"/>
      <c r="EX1364" s="402"/>
      <c r="EY1364" s="402"/>
      <c r="EZ1364" s="402"/>
      <c r="FA1364" s="402"/>
      <c r="FB1364" s="402"/>
      <c r="FC1364" s="402"/>
      <c r="FD1364" s="402"/>
      <c r="FE1364" s="402"/>
      <c r="FF1364" s="402"/>
      <c r="FG1364" s="402"/>
      <c r="FH1364" s="402"/>
      <c r="FI1364" s="402"/>
      <c r="FJ1364" s="402"/>
      <c r="FK1364" s="402"/>
      <c r="FL1364" s="402"/>
      <c r="FM1364" s="402"/>
      <c r="FN1364" s="402"/>
      <c r="FO1364" s="402"/>
      <c r="FP1364" s="402"/>
      <c r="FQ1364" s="402"/>
      <c r="FR1364" s="402"/>
      <c r="FS1364" s="402"/>
      <c r="FT1364" s="402"/>
      <c r="FU1364" s="402"/>
      <c r="FV1364" s="402"/>
      <c r="FW1364" s="402"/>
      <c r="FX1364" s="402"/>
      <c r="FY1364" s="402"/>
      <c r="FZ1364" s="402"/>
      <c r="GA1364" s="402"/>
      <c r="GB1364" s="402"/>
      <c r="GC1364" s="402"/>
      <c r="GD1364" s="402"/>
      <c r="GE1364" s="402"/>
      <c r="GF1364" s="402"/>
      <c r="GG1364" s="402"/>
      <c r="GH1364" s="402"/>
      <c r="GI1364" s="402"/>
      <c r="GJ1364" s="402"/>
      <c r="GK1364" s="402"/>
      <c r="GL1364" s="402"/>
      <c r="GM1364" s="402"/>
      <c r="GN1364" s="402"/>
      <c r="GO1364" s="402"/>
      <c r="GP1364" s="402"/>
      <c r="GQ1364" s="402"/>
      <c r="GR1364" s="402"/>
      <c r="GS1364" s="402"/>
      <c r="GT1364" s="402"/>
      <c r="GU1364" s="402"/>
      <c r="GV1364" s="402"/>
      <c r="GW1364" s="402"/>
      <c r="GX1364" s="402"/>
      <c r="GY1364" s="402"/>
      <c r="GZ1364" s="402"/>
      <c r="HA1364" s="402"/>
      <c r="HB1364" s="402"/>
      <c r="HC1364" s="402"/>
      <c r="HD1364" s="402"/>
      <c r="HE1364" s="402"/>
      <c r="HF1364" s="402"/>
      <c r="HG1364" s="402"/>
      <c r="HH1364" s="402"/>
      <c r="HI1364" s="402"/>
      <c r="HJ1364" s="402"/>
      <c r="HK1364" s="402"/>
      <c r="HL1364" s="402"/>
      <c r="HM1364" s="402"/>
      <c r="HN1364" s="402"/>
      <c r="HO1364" s="402"/>
      <c r="HP1364" s="402"/>
      <c r="HQ1364" s="402"/>
      <c r="HR1364" s="402"/>
      <c r="HS1364" s="402"/>
      <c r="HT1364" s="402"/>
      <c r="HU1364" s="402"/>
      <c r="HV1364" s="402"/>
      <c r="HW1364" s="402"/>
      <c r="HX1364" s="402"/>
      <c r="HY1364" s="402"/>
      <c r="HZ1364" s="402"/>
      <c r="IA1364" s="402"/>
      <c r="IB1364" s="402"/>
      <c r="IC1364" s="402"/>
      <c r="ID1364" s="402"/>
      <c r="IE1364" s="402"/>
      <c r="IF1364" s="402"/>
      <c r="IG1364" s="402"/>
      <c r="IH1364" s="402"/>
      <c r="II1364" s="402"/>
      <c r="IJ1364" s="402"/>
      <c r="IK1364" s="402"/>
      <c r="IL1364" s="402"/>
      <c r="IM1364" s="402"/>
      <c r="IN1364" s="402"/>
      <c r="IO1364" s="402"/>
      <c r="IP1364" s="402"/>
      <c r="IQ1364" s="402"/>
      <c r="IR1364" s="402"/>
      <c r="IS1364" s="402"/>
      <c r="IT1364" s="402"/>
      <c r="IU1364" s="402"/>
      <c r="IV1364" s="402"/>
      <c r="IW1364" s="402"/>
      <c r="IX1364" s="402"/>
      <c r="IY1364" s="402"/>
      <c r="IZ1364" s="402"/>
      <c r="JA1364" s="402"/>
      <c r="JB1364" s="402"/>
      <c r="JC1364" s="402"/>
      <c r="JD1364" s="402"/>
      <c r="JE1364" s="402"/>
      <c r="JF1364" s="402"/>
      <c r="JG1364" s="402"/>
      <c r="JH1364" s="402"/>
      <c r="JI1364" s="402"/>
      <c r="JJ1364" s="402"/>
      <c r="JK1364" s="402"/>
      <c r="JL1364" s="402"/>
      <c r="JM1364" s="402"/>
      <c r="JN1364" s="402"/>
      <c r="JO1364" s="402"/>
      <c r="JP1364" s="402"/>
      <c r="JQ1364" s="402"/>
      <c r="JR1364" s="402"/>
      <c r="JS1364" s="402"/>
      <c r="JT1364" s="402"/>
      <c r="JU1364" s="402"/>
      <c r="JV1364" s="402"/>
      <c r="JW1364" s="402"/>
      <c r="JX1364" s="402"/>
      <c r="JY1364" s="402"/>
      <c r="JZ1364" s="402"/>
      <c r="KA1364" s="402"/>
      <c r="KB1364" s="402"/>
      <c r="KC1364" s="402"/>
      <c r="KD1364" s="402"/>
      <c r="KE1364" s="402"/>
      <c r="KF1364" s="402"/>
      <c r="KG1364" s="402"/>
      <c r="KH1364" s="402"/>
      <c r="KI1364" s="402"/>
      <c r="KJ1364" s="402"/>
      <c r="KK1364" s="402"/>
      <c r="KL1364" s="402"/>
      <c r="KM1364" s="402"/>
      <c r="KN1364" s="402"/>
      <c r="KO1364" s="402"/>
      <c r="KP1364" s="402"/>
      <c r="KQ1364" s="402"/>
      <c r="KR1364" s="402"/>
      <c r="KS1364" s="402"/>
      <c r="KT1364" s="402"/>
      <c r="KU1364" s="402"/>
      <c r="KV1364" s="402"/>
      <c r="KW1364" s="402"/>
      <c r="KX1364" s="402"/>
      <c r="KY1364" s="402"/>
      <c r="KZ1364" s="402"/>
      <c r="LA1364" s="402"/>
      <c r="LB1364" s="402"/>
      <c r="LC1364" s="402"/>
      <c r="LD1364" s="402"/>
      <c r="LE1364" s="402"/>
      <c r="LF1364" s="402"/>
      <c r="LG1364" s="402"/>
      <c r="LH1364" s="402"/>
      <c r="LI1364" s="402"/>
      <c r="LJ1364" s="402"/>
      <c r="LK1364" s="402"/>
      <c r="LL1364" s="402"/>
      <c r="LM1364" s="402"/>
      <c r="LN1364" s="402"/>
      <c r="LO1364" s="402"/>
      <c r="LP1364" s="402"/>
      <c r="LQ1364" s="402"/>
      <c r="LR1364" s="402"/>
      <c r="LS1364" s="402"/>
      <c r="LT1364" s="402"/>
      <c r="LU1364" s="402"/>
      <c r="LV1364" s="402"/>
      <c r="LW1364" s="402"/>
      <c r="LX1364" s="402"/>
      <c r="LY1364" s="402"/>
      <c r="LZ1364" s="402"/>
      <c r="MA1364" s="402"/>
      <c r="MB1364" s="402"/>
      <c r="MC1364" s="402"/>
      <c r="MD1364" s="402"/>
      <c r="ME1364" s="402"/>
      <c r="MF1364" s="402"/>
      <c r="MG1364" s="402"/>
      <c r="MH1364" s="402"/>
      <c r="MI1364" s="402"/>
      <c r="MJ1364" s="402"/>
      <c r="MK1364" s="402"/>
      <c r="ML1364" s="402"/>
      <c r="MM1364" s="402"/>
      <c r="MN1364" s="402"/>
      <c r="MO1364" s="402"/>
      <c r="MP1364" s="402"/>
      <c r="MQ1364" s="402"/>
      <c r="MR1364" s="402"/>
      <c r="MS1364" s="402"/>
      <c r="MT1364" s="402"/>
      <c r="MU1364" s="402"/>
      <c r="MV1364" s="402"/>
      <c r="MW1364" s="402"/>
      <c r="MX1364" s="402"/>
      <c r="MY1364" s="402"/>
      <c r="MZ1364" s="402"/>
      <c r="NA1364" s="402"/>
      <c r="NB1364" s="402"/>
      <c r="NC1364" s="402"/>
      <c r="ND1364" s="402"/>
      <c r="NE1364" s="402"/>
      <c r="NF1364" s="402"/>
      <c r="NG1364" s="402"/>
      <c r="NH1364" s="402"/>
      <c r="NI1364" s="402"/>
      <c r="NJ1364" s="402"/>
      <c r="NK1364" s="402"/>
      <c r="NL1364" s="402"/>
      <c r="NM1364" s="402"/>
      <c r="NN1364" s="402"/>
      <c r="NO1364" s="402"/>
      <c r="NP1364" s="402"/>
      <c r="NQ1364" s="402"/>
      <c r="NR1364" s="402"/>
      <c r="NS1364" s="402"/>
      <c r="NT1364" s="402"/>
      <c r="NU1364" s="402"/>
      <c r="NV1364" s="402"/>
      <c r="NW1364" s="402"/>
      <c r="NX1364" s="402"/>
      <c r="NY1364" s="402"/>
      <c r="NZ1364" s="402"/>
      <c r="OA1364" s="402"/>
      <c r="OB1364" s="402"/>
      <c r="OC1364" s="402"/>
      <c r="OD1364" s="402"/>
      <c r="OE1364" s="402"/>
      <c r="OF1364" s="402"/>
      <c r="OG1364" s="402"/>
      <c r="OH1364" s="402"/>
      <c r="OI1364" s="402"/>
      <c r="OJ1364" s="402"/>
      <c r="OK1364" s="402"/>
      <c r="OL1364" s="402"/>
      <c r="OM1364" s="402"/>
      <c r="ON1364" s="402"/>
      <c r="OO1364" s="402"/>
      <c r="OP1364" s="402"/>
      <c r="OQ1364" s="402"/>
      <c r="OR1364" s="402"/>
      <c r="OS1364" s="402"/>
      <c r="OT1364" s="402"/>
      <c r="OU1364" s="402"/>
      <c r="OV1364" s="402"/>
      <c r="OW1364" s="402"/>
      <c r="OX1364" s="402"/>
      <c r="OY1364" s="402"/>
      <c r="OZ1364" s="402"/>
      <c r="PA1364" s="402"/>
      <c r="PB1364" s="402"/>
      <c r="PC1364" s="402"/>
      <c r="PD1364" s="402"/>
      <c r="PE1364" s="402"/>
      <c r="PF1364" s="402"/>
      <c r="PG1364" s="402"/>
      <c r="PH1364" s="402"/>
      <c r="PI1364" s="402"/>
      <c r="PJ1364" s="402"/>
      <c r="PK1364" s="402"/>
      <c r="PL1364" s="402"/>
      <c r="PM1364" s="402"/>
      <c r="PN1364" s="402"/>
      <c r="PO1364" s="402"/>
      <c r="PP1364" s="402"/>
      <c r="PQ1364" s="402"/>
      <c r="PR1364" s="402"/>
      <c r="PS1364" s="402"/>
      <c r="PT1364" s="402"/>
      <c r="PU1364" s="402"/>
      <c r="PV1364" s="402"/>
      <c r="PW1364" s="402"/>
      <c r="PX1364" s="402"/>
      <c r="PY1364" s="402"/>
      <c r="PZ1364" s="402"/>
      <c r="QA1364" s="402"/>
      <c r="QB1364" s="402"/>
      <c r="QC1364" s="402"/>
      <c r="QD1364" s="402"/>
      <c r="QE1364" s="402"/>
      <c r="QF1364" s="402"/>
      <c r="QG1364" s="402"/>
      <c r="QH1364" s="402"/>
      <c r="QI1364" s="402"/>
      <c r="QJ1364" s="402"/>
      <c r="QK1364" s="402"/>
      <c r="QL1364" s="402"/>
      <c r="QM1364" s="402"/>
      <c r="QN1364" s="402"/>
      <c r="QO1364" s="402"/>
      <c r="QP1364" s="402"/>
      <c r="QQ1364" s="402"/>
      <c r="QR1364" s="402"/>
      <c r="QS1364" s="402"/>
      <c r="QT1364" s="402"/>
      <c r="QU1364" s="402"/>
      <c r="QV1364" s="402"/>
      <c r="QW1364" s="402"/>
      <c r="QX1364" s="402"/>
      <c r="QY1364" s="402"/>
      <c r="QZ1364" s="402"/>
      <c r="RA1364" s="402"/>
      <c r="RB1364" s="402"/>
      <c r="RC1364" s="402"/>
      <c r="RD1364" s="402"/>
      <c r="RE1364" s="402"/>
      <c r="RF1364" s="402"/>
      <c r="RG1364" s="402"/>
      <c r="RH1364" s="402"/>
      <c r="RI1364" s="402"/>
      <c r="RJ1364" s="402"/>
      <c r="RK1364" s="402"/>
      <c r="RL1364" s="402"/>
      <c r="RM1364" s="402"/>
      <c r="RN1364" s="402"/>
      <c r="RO1364" s="402"/>
      <c r="RP1364" s="402"/>
      <c r="RQ1364" s="402"/>
      <c r="RR1364" s="402"/>
      <c r="RS1364" s="402"/>
      <c r="RT1364" s="402"/>
      <c r="RU1364" s="402"/>
      <c r="RV1364" s="402"/>
      <c r="RW1364" s="402"/>
      <c r="RX1364" s="402"/>
      <c r="RY1364" s="402"/>
      <c r="RZ1364" s="402"/>
      <c r="SA1364" s="402"/>
      <c r="SB1364" s="402"/>
      <c r="SC1364" s="402"/>
      <c r="SD1364" s="402"/>
      <c r="SE1364" s="402"/>
      <c r="SF1364" s="402"/>
      <c r="SG1364" s="402"/>
      <c r="SH1364" s="402"/>
      <c r="SI1364" s="402"/>
      <c r="SJ1364" s="402"/>
      <c r="SK1364" s="402"/>
      <c r="SL1364" s="402"/>
      <c r="SM1364" s="402"/>
      <c r="SN1364" s="402"/>
      <c r="SO1364" s="402"/>
      <c r="SP1364" s="402"/>
      <c r="SQ1364" s="402"/>
      <c r="SR1364" s="402"/>
      <c r="SS1364" s="402"/>
      <c r="ST1364" s="402"/>
      <c r="SU1364" s="402"/>
      <c r="SV1364" s="402"/>
      <c r="SW1364" s="402"/>
      <c r="SX1364" s="402"/>
      <c r="SY1364" s="402"/>
      <c r="SZ1364" s="402"/>
      <c r="TA1364" s="402"/>
      <c r="TB1364" s="402"/>
      <c r="TC1364" s="402"/>
      <c r="TD1364" s="402"/>
      <c r="TE1364" s="402"/>
      <c r="TF1364" s="402"/>
      <c r="TG1364" s="402"/>
      <c r="TH1364" s="402"/>
      <c r="TI1364" s="402"/>
      <c r="TJ1364" s="402"/>
      <c r="TK1364" s="402"/>
      <c r="TL1364" s="402"/>
      <c r="TM1364" s="402"/>
      <c r="TN1364" s="402"/>
      <c r="TO1364" s="402"/>
      <c r="TP1364" s="402"/>
      <c r="TQ1364" s="402"/>
      <c r="TR1364" s="402"/>
      <c r="TS1364" s="402"/>
      <c r="TT1364" s="402"/>
      <c r="TU1364" s="402"/>
      <c r="TV1364" s="402"/>
      <c r="TW1364" s="402"/>
      <c r="TX1364" s="402"/>
      <c r="TY1364" s="402"/>
      <c r="TZ1364" s="402"/>
      <c r="UA1364" s="402"/>
      <c r="UB1364" s="402"/>
      <c r="UC1364" s="402"/>
      <c r="UD1364" s="402"/>
      <c r="UE1364" s="402"/>
      <c r="UF1364" s="402"/>
      <c r="UG1364" s="402"/>
      <c r="UH1364" s="402"/>
      <c r="UI1364" s="402"/>
      <c r="UJ1364" s="402"/>
      <c r="UK1364" s="402"/>
      <c r="UL1364" s="402"/>
      <c r="UM1364" s="402"/>
      <c r="UN1364" s="402"/>
      <c r="UO1364" s="402"/>
      <c r="UP1364" s="402"/>
      <c r="UQ1364" s="402"/>
      <c r="UR1364" s="402"/>
      <c r="US1364" s="402"/>
      <c r="UT1364" s="402"/>
      <c r="UU1364" s="402"/>
      <c r="UV1364" s="402"/>
      <c r="UW1364" s="402"/>
      <c r="UX1364" s="402"/>
      <c r="UY1364" s="402"/>
      <c r="UZ1364" s="402"/>
      <c r="VA1364" s="402"/>
      <c r="VB1364" s="402"/>
      <c r="VC1364" s="402"/>
      <c r="VD1364" s="402"/>
      <c r="VE1364" s="402"/>
      <c r="VF1364" s="402"/>
      <c r="VG1364" s="402"/>
      <c r="VH1364" s="402"/>
      <c r="VI1364" s="402"/>
      <c r="VJ1364" s="402"/>
      <c r="VK1364" s="402"/>
      <c r="VL1364" s="402"/>
      <c r="VM1364" s="402"/>
      <c r="VN1364" s="402"/>
      <c r="VO1364" s="402"/>
      <c r="VP1364" s="402"/>
      <c r="VQ1364" s="402"/>
      <c r="VR1364" s="402"/>
      <c r="VS1364" s="402"/>
      <c r="VT1364" s="402"/>
      <c r="VU1364" s="402"/>
      <c r="VV1364" s="402"/>
      <c r="VW1364" s="402"/>
      <c r="VX1364" s="402"/>
      <c r="VY1364" s="402"/>
      <c r="VZ1364" s="402"/>
      <c r="WA1364" s="402"/>
      <c r="WB1364" s="402"/>
      <c r="WC1364" s="402"/>
      <c r="WD1364" s="402"/>
      <c r="WE1364" s="402"/>
      <c r="WF1364" s="402"/>
      <c r="WG1364" s="402"/>
      <c r="WH1364" s="402"/>
      <c r="WI1364" s="402"/>
      <c r="WJ1364" s="402"/>
      <c r="WK1364" s="402"/>
      <c r="WL1364" s="402"/>
      <c r="WM1364" s="402"/>
      <c r="WN1364" s="402"/>
      <c r="WO1364" s="402"/>
      <c r="WP1364" s="402"/>
      <c r="WQ1364" s="402"/>
      <c r="WR1364" s="402"/>
      <c r="WS1364" s="402"/>
      <c r="WT1364" s="402"/>
      <c r="WU1364" s="402"/>
      <c r="WV1364" s="402"/>
      <c r="WW1364" s="402"/>
      <c r="WX1364" s="402"/>
      <c r="WY1364" s="402"/>
      <c r="WZ1364" s="402"/>
      <c r="XA1364" s="402"/>
      <c r="XB1364" s="402"/>
      <c r="XC1364" s="402"/>
      <c r="XD1364" s="402"/>
      <c r="XE1364" s="402"/>
      <c r="XF1364" s="402"/>
      <c r="XG1364" s="402"/>
      <c r="XH1364" s="402"/>
      <c r="XI1364" s="402"/>
      <c r="XJ1364" s="402"/>
      <c r="XK1364" s="402"/>
      <c r="XL1364" s="402"/>
      <c r="XM1364" s="402"/>
      <c r="XN1364" s="402"/>
      <c r="XO1364" s="402"/>
      <c r="XP1364" s="402"/>
      <c r="XQ1364" s="402"/>
      <c r="XR1364" s="402"/>
      <c r="XS1364" s="402"/>
      <c r="XT1364" s="402"/>
      <c r="XU1364" s="402"/>
      <c r="XV1364" s="402"/>
      <c r="XW1364" s="402"/>
      <c r="XX1364" s="402"/>
      <c r="XY1364" s="402"/>
      <c r="XZ1364" s="402"/>
      <c r="YA1364" s="402"/>
      <c r="YB1364" s="402"/>
      <c r="YC1364" s="402"/>
      <c r="YD1364" s="402"/>
      <c r="YE1364" s="402"/>
      <c r="YF1364" s="402"/>
      <c r="YG1364" s="402"/>
      <c r="YH1364" s="402"/>
      <c r="YI1364" s="402"/>
      <c r="YJ1364" s="402"/>
      <c r="YK1364" s="402"/>
      <c r="YL1364" s="402"/>
      <c r="YM1364" s="402"/>
      <c r="YN1364" s="402"/>
      <c r="YO1364" s="402"/>
      <c r="YP1364" s="402"/>
      <c r="YQ1364" s="402"/>
      <c r="YR1364" s="402"/>
      <c r="YS1364" s="402"/>
      <c r="YT1364" s="402"/>
      <c r="YU1364" s="402"/>
      <c r="YV1364" s="402"/>
      <c r="YW1364" s="402"/>
      <c r="YX1364" s="402"/>
      <c r="YY1364" s="402"/>
      <c r="YZ1364" s="402"/>
      <c r="ZA1364" s="402"/>
      <c r="ZB1364" s="402"/>
      <c r="ZC1364" s="402"/>
      <c r="ZD1364" s="402"/>
      <c r="ZE1364" s="402"/>
      <c r="ZF1364" s="402"/>
      <c r="ZG1364" s="402"/>
      <c r="ZH1364" s="402"/>
      <c r="ZI1364" s="402"/>
      <c r="ZJ1364" s="402"/>
      <c r="ZK1364" s="402"/>
      <c r="ZL1364" s="402"/>
      <c r="ZM1364" s="402"/>
      <c r="ZN1364" s="402"/>
      <c r="ZO1364" s="402"/>
      <c r="ZP1364" s="402"/>
      <c r="ZQ1364" s="402"/>
      <c r="ZR1364" s="402"/>
      <c r="ZS1364" s="402"/>
      <c r="ZT1364" s="402"/>
      <c r="ZU1364" s="402"/>
      <c r="ZV1364" s="402"/>
      <c r="ZW1364" s="402"/>
      <c r="ZX1364" s="402"/>
      <c r="ZY1364" s="402"/>
      <c r="ZZ1364" s="402"/>
      <c r="AAA1364" s="402"/>
      <c r="AAB1364" s="402"/>
      <c r="AAC1364" s="402"/>
      <c r="AAD1364" s="402"/>
      <c r="AAE1364" s="402"/>
      <c r="AAF1364" s="402"/>
      <c r="AAG1364" s="402"/>
      <c r="AAH1364" s="402"/>
      <c r="AAI1364" s="402"/>
      <c r="AAJ1364" s="402"/>
      <c r="AAK1364" s="402"/>
      <c r="AAL1364" s="402"/>
      <c r="AAM1364" s="402"/>
      <c r="AAN1364" s="402"/>
      <c r="AAO1364" s="402"/>
      <c r="AAP1364" s="402"/>
      <c r="AAQ1364" s="402"/>
      <c r="AAR1364" s="402"/>
      <c r="AAS1364" s="402"/>
      <c r="AAT1364" s="402"/>
      <c r="AAU1364" s="402"/>
      <c r="AAV1364" s="402"/>
      <c r="AAW1364" s="402"/>
      <c r="AAX1364" s="402"/>
      <c r="AAY1364" s="402"/>
      <c r="AAZ1364" s="402"/>
      <c r="ABA1364" s="402"/>
      <c r="ABB1364" s="402"/>
      <c r="ABC1364" s="402"/>
      <c r="ABD1364" s="402"/>
      <c r="ABE1364" s="402"/>
      <c r="ABF1364" s="402"/>
      <c r="ABG1364" s="402"/>
      <c r="ABH1364" s="402"/>
      <c r="ABI1364" s="402"/>
      <c r="ABJ1364" s="402"/>
      <c r="ABK1364" s="402"/>
      <c r="ABL1364" s="402"/>
      <c r="ABM1364" s="402"/>
      <c r="ABN1364" s="402"/>
      <c r="ABO1364" s="402"/>
      <c r="ABP1364" s="402"/>
      <c r="ABQ1364" s="402"/>
      <c r="ABR1364" s="402"/>
      <c r="ABS1364" s="402"/>
      <c r="ABT1364" s="402"/>
      <c r="ABU1364" s="402"/>
      <c r="ABV1364" s="402"/>
      <c r="ABW1364" s="402"/>
      <c r="ABX1364" s="402"/>
      <c r="ABY1364" s="402"/>
      <c r="ABZ1364" s="402"/>
      <c r="ACA1364" s="402"/>
      <c r="ACB1364" s="402"/>
      <c r="ACC1364" s="402"/>
      <c r="ACD1364" s="402"/>
      <c r="ACE1364" s="402"/>
      <c r="ACF1364" s="402"/>
      <c r="ACG1364" s="402"/>
      <c r="ACH1364" s="402"/>
      <c r="ACI1364" s="402"/>
      <c r="ACJ1364" s="402"/>
      <c r="ACK1364" s="402"/>
      <c r="ACL1364" s="402"/>
      <c r="ACM1364" s="402"/>
      <c r="ACN1364" s="402"/>
      <c r="ACO1364" s="402"/>
      <c r="ACP1364" s="402"/>
      <c r="ACQ1364" s="402"/>
      <c r="ACR1364" s="402"/>
      <c r="ACS1364" s="402"/>
      <c r="ACT1364" s="402"/>
      <c r="ACU1364" s="402"/>
      <c r="ACV1364" s="402"/>
      <c r="ACW1364" s="402"/>
      <c r="ACX1364" s="402"/>
      <c r="ACY1364" s="402"/>
      <c r="ACZ1364" s="402"/>
      <c r="ADA1364" s="402"/>
      <c r="ADB1364" s="402"/>
      <c r="ADC1364" s="402"/>
      <c r="ADD1364" s="402"/>
      <c r="ADE1364" s="402"/>
      <c r="ADF1364" s="402"/>
      <c r="ADG1364" s="402"/>
      <c r="ADH1364" s="402"/>
      <c r="ADI1364" s="402"/>
      <c r="ADJ1364" s="402"/>
      <c r="ADK1364" s="402"/>
      <c r="ADL1364" s="402"/>
      <c r="ADM1364" s="402"/>
      <c r="ADN1364" s="402"/>
      <c r="ADO1364" s="402"/>
      <c r="ADP1364" s="402"/>
      <c r="ADQ1364" s="402"/>
      <c r="ADR1364" s="402"/>
      <c r="ADS1364" s="402"/>
      <c r="ADT1364" s="402"/>
      <c r="ADU1364" s="402"/>
      <c r="ADV1364" s="402"/>
      <c r="ADW1364" s="402"/>
      <c r="ADX1364" s="402"/>
      <c r="ADY1364" s="402"/>
      <c r="ADZ1364" s="402"/>
      <c r="AEA1364" s="402"/>
      <c r="AEB1364" s="402"/>
      <c r="AEC1364" s="402"/>
      <c r="AED1364" s="402"/>
      <c r="AEE1364" s="402"/>
      <c r="AEF1364" s="402"/>
      <c r="AEG1364" s="402"/>
      <c r="AEH1364" s="402"/>
      <c r="AEI1364" s="402"/>
      <c r="AEJ1364" s="402"/>
      <c r="AEK1364" s="402"/>
      <c r="AEL1364" s="402"/>
      <c r="AEM1364" s="402"/>
      <c r="AEN1364" s="402"/>
      <c r="AEO1364" s="402"/>
      <c r="AEP1364" s="402"/>
      <c r="AEQ1364" s="402"/>
      <c r="AER1364" s="402"/>
      <c r="AES1364" s="402"/>
      <c r="AET1364" s="402"/>
      <c r="AEU1364" s="402"/>
      <c r="AEV1364" s="402"/>
      <c r="AEW1364" s="402"/>
      <c r="AEX1364" s="402"/>
      <c r="AEY1364" s="402"/>
      <c r="AEZ1364" s="402"/>
      <c r="AFA1364" s="402"/>
      <c r="AFB1364" s="402"/>
      <c r="AFC1364" s="402"/>
      <c r="AFD1364" s="402"/>
      <c r="AFE1364" s="402"/>
      <c r="AFF1364" s="402"/>
      <c r="AFG1364" s="402"/>
      <c r="AFH1364" s="402"/>
      <c r="AFI1364" s="402"/>
      <c r="AFJ1364" s="402"/>
      <c r="AFK1364" s="402"/>
      <c r="AFL1364" s="402"/>
      <c r="AFM1364" s="402"/>
      <c r="AFN1364" s="402"/>
      <c r="AFO1364" s="402"/>
      <c r="AFP1364" s="402"/>
      <c r="AFQ1364" s="402"/>
      <c r="AFR1364" s="402"/>
      <c r="AFS1364" s="402"/>
      <c r="AFT1364" s="402"/>
      <c r="AFU1364" s="402"/>
      <c r="AFV1364" s="402"/>
      <c r="AFW1364" s="402"/>
      <c r="AFX1364" s="402"/>
      <c r="AFY1364" s="402"/>
      <c r="AFZ1364" s="402"/>
      <c r="AGA1364" s="402"/>
      <c r="AGB1364" s="402"/>
      <c r="AGC1364" s="402"/>
      <c r="AGD1364" s="402"/>
      <c r="AGE1364" s="402"/>
      <c r="AGF1364" s="402"/>
      <c r="AGG1364" s="402"/>
      <c r="AGH1364" s="402"/>
      <c r="AGI1364" s="402"/>
      <c r="AGJ1364" s="402"/>
      <c r="AGK1364" s="402"/>
      <c r="AGL1364" s="402"/>
      <c r="AGM1364" s="402"/>
      <c r="AGN1364" s="402"/>
      <c r="AGO1364" s="402"/>
      <c r="AGP1364" s="402"/>
      <c r="AGQ1364" s="402"/>
      <c r="AGR1364" s="402"/>
      <c r="AGS1364" s="402"/>
      <c r="AGT1364" s="402"/>
      <c r="AGU1364" s="402"/>
      <c r="AGV1364" s="402"/>
      <c r="AGW1364" s="402"/>
      <c r="AGX1364" s="402"/>
      <c r="AGY1364" s="402"/>
      <c r="AGZ1364" s="402"/>
      <c r="AHA1364" s="402"/>
      <c r="AHB1364" s="402"/>
      <c r="AHC1364" s="402"/>
      <c r="AHD1364" s="402"/>
      <c r="AHE1364" s="402"/>
      <c r="AHF1364" s="402"/>
      <c r="AHG1364" s="402"/>
      <c r="AHH1364" s="402"/>
      <c r="AHI1364" s="402"/>
      <c r="AHJ1364" s="402"/>
      <c r="AHK1364" s="402"/>
      <c r="AHL1364" s="402"/>
      <c r="AHM1364" s="402"/>
      <c r="AHN1364" s="402"/>
      <c r="AHO1364" s="402"/>
      <c r="AHP1364" s="402"/>
      <c r="AHQ1364" s="402"/>
      <c r="AHR1364" s="402"/>
      <c r="AHS1364" s="402"/>
      <c r="AHT1364" s="402"/>
      <c r="AHU1364" s="402"/>
      <c r="AHV1364" s="402"/>
      <c r="AHW1364" s="402"/>
      <c r="AHX1364" s="402"/>
      <c r="AHY1364" s="402"/>
      <c r="AHZ1364" s="402"/>
      <c r="AIA1364" s="402"/>
      <c r="AIB1364" s="402"/>
      <c r="AIC1364" s="402"/>
      <c r="AID1364" s="402"/>
      <c r="AIE1364" s="402"/>
      <c r="AIF1364" s="402"/>
      <c r="AIG1364" s="402"/>
      <c r="AIH1364" s="402"/>
      <c r="AII1364" s="402"/>
      <c r="AIJ1364" s="402"/>
      <c r="AIK1364" s="402"/>
      <c r="AIL1364" s="402"/>
      <c r="AIM1364" s="402"/>
      <c r="AIN1364" s="402"/>
      <c r="AIO1364" s="402"/>
      <c r="AIP1364" s="402"/>
      <c r="AIQ1364" s="402"/>
      <c r="AIR1364" s="402"/>
      <c r="AIS1364" s="402"/>
      <c r="AIT1364" s="402"/>
      <c r="AIU1364" s="402"/>
      <c r="AIV1364" s="402"/>
      <c r="AIW1364" s="402"/>
      <c r="AIX1364" s="402"/>
      <c r="AIY1364" s="402"/>
      <c r="AIZ1364" s="402"/>
      <c r="AJA1364" s="402"/>
      <c r="AJB1364" s="402"/>
      <c r="AJC1364" s="402"/>
      <c r="AJD1364" s="402"/>
      <c r="AJE1364" s="402"/>
      <c r="AJF1364" s="402"/>
      <c r="AJG1364" s="402"/>
      <c r="AJH1364" s="402"/>
      <c r="AJI1364" s="402"/>
      <c r="AJJ1364" s="402"/>
      <c r="AJK1364" s="402"/>
      <c r="AJL1364" s="402"/>
      <c r="AJM1364" s="402"/>
      <c r="AJN1364" s="402"/>
      <c r="AJO1364" s="402"/>
      <c r="AJP1364" s="402"/>
      <c r="AJQ1364" s="402"/>
      <c r="AJR1364" s="402"/>
      <c r="AJS1364" s="402"/>
      <c r="AJT1364" s="402"/>
      <c r="AJU1364" s="402"/>
      <c r="AJV1364" s="402"/>
      <c r="AJW1364" s="402"/>
      <c r="AJX1364" s="402"/>
      <c r="AJY1364" s="402"/>
      <c r="AJZ1364" s="402"/>
      <c r="AKA1364" s="402"/>
      <c r="AKB1364" s="402"/>
      <c r="AKC1364" s="402"/>
      <c r="AKD1364" s="402"/>
      <c r="AKE1364" s="402"/>
      <c r="AKF1364" s="402"/>
      <c r="AKG1364" s="402"/>
      <c r="AKH1364" s="402"/>
      <c r="AKI1364" s="402"/>
      <c r="AKJ1364" s="402"/>
      <c r="AKK1364" s="402"/>
      <c r="AKL1364" s="402"/>
      <c r="AKM1364" s="402"/>
      <c r="AKN1364" s="402"/>
      <c r="AKO1364" s="402"/>
      <c r="AKP1364" s="402"/>
      <c r="AKQ1364" s="402"/>
      <c r="AKR1364" s="402"/>
      <c r="AKS1364" s="402"/>
      <c r="AKT1364" s="402"/>
      <c r="AKU1364" s="402"/>
      <c r="AKV1364" s="402"/>
      <c r="AKW1364" s="402"/>
      <c r="AKX1364" s="402"/>
      <c r="AKY1364" s="402"/>
      <c r="AKZ1364" s="402"/>
      <c r="ALA1364" s="402"/>
      <c r="ALB1364" s="402"/>
      <c r="ALC1364" s="402"/>
      <c r="ALD1364" s="402"/>
      <c r="ALE1364" s="402"/>
      <c r="ALF1364" s="402"/>
      <c r="ALG1364" s="402"/>
      <c r="ALH1364" s="402"/>
      <c r="ALI1364" s="402"/>
      <c r="ALJ1364" s="402"/>
      <c r="ALK1364" s="402"/>
      <c r="ALL1364" s="402"/>
      <c r="ALM1364" s="402"/>
      <c r="ALN1364" s="402"/>
      <c r="ALO1364" s="402"/>
      <c r="ALP1364" s="402"/>
      <c r="ALQ1364" s="402"/>
      <c r="ALR1364" s="402"/>
      <c r="ALS1364" s="402"/>
      <c r="ALT1364" s="402"/>
      <c r="ALU1364" s="402"/>
      <c r="ALV1364" s="402"/>
      <c r="ALW1364" s="402"/>
      <c r="ALX1364" s="402"/>
      <c r="ALY1364" s="402"/>
      <c r="ALZ1364" s="402"/>
      <c r="AMA1364" s="402"/>
      <c r="AMB1364" s="402"/>
      <c r="AMC1364" s="402"/>
      <c r="AMD1364" s="402"/>
      <c r="AME1364" s="402"/>
      <c r="AMF1364" s="402"/>
      <c r="AMG1364" s="402"/>
      <c r="AMH1364" s="402"/>
      <c r="AMI1364" s="402"/>
      <c r="AMJ1364" s="402"/>
      <c r="AMK1364" s="402"/>
      <c r="AML1364" s="402"/>
      <c r="AMM1364" s="402"/>
      <c r="AMN1364" s="402"/>
      <c r="AMO1364" s="402"/>
      <c r="AMP1364" s="402"/>
      <c r="AMQ1364" s="402"/>
      <c r="AMR1364" s="402"/>
      <c r="AMS1364" s="402"/>
      <c r="AMT1364" s="402"/>
      <c r="AMU1364" s="402"/>
      <c r="AMV1364" s="402"/>
      <c r="AMW1364" s="402"/>
      <c r="AMX1364" s="402"/>
      <c r="AMY1364" s="402"/>
      <c r="AMZ1364" s="402"/>
      <c r="ANA1364" s="402"/>
      <c r="ANB1364" s="402"/>
      <c r="ANC1364" s="402"/>
      <c r="AND1364" s="402"/>
      <c r="ANE1364" s="402"/>
      <c r="ANF1364" s="402"/>
      <c r="ANG1364" s="402"/>
      <c r="ANH1364" s="402"/>
      <c r="ANI1364" s="402"/>
      <c r="ANJ1364" s="402"/>
      <c r="ANK1364" s="402"/>
      <c r="ANL1364" s="402"/>
      <c r="ANM1364" s="402"/>
      <c r="ANN1364" s="402"/>
      <c r="ANO1364" s="402"/>
      <c r="ANP1364" s="402"/>
      <c r="ANQ1364" s="402"/>
      <c r="ANR1364" s="402"/>
      <c r="ANS1364" s="402"/>
      <c r="ANT1364" s="402"/>
      <c r="ANU1364" s="402"/>
      <c r="ANV1364" s="402"/>
      <c r="ANW1364" s="402"/>
      <c r="ANX1364" s="402"/>
      <c r="ANY1364" s="402"/>
      <c r="ANZ1364" s="402"/>
      <c r="AOA1364" s="402"/>
      <c r="AOB1364" s="402"/>
      <c r="AOC1364" s="402"/>
      <c r="AOD1364" s="402"/>
      <c r="AOE1364" s="402"/>
      <c r="AOF1364" s="402"/>
      <c r="AOG1364" s="402"/>
      <c r="AOH1364" s="402"/>
      <c r="AOI1364" s="402"/>
      <c r="AOJ1364" s="402"/>
      <c r="AOK1364" s="402"/>
      <c r="AOL1364" s="402"/>
      <c r="AOM1364" s="402"/>
      <c r="AON1364" s="402"/>
      <c r="AOO1364" s="402"/>
      <c r="AOP1364" s="402"/>
      <c r="AOQ1364" s="402"/>
      <c r="AOR1364" s="402"/>
      <c r="AOS1364" s="402"/>
      <c r="AOT1364" s="402"/>
      <c r="AOU1364" s="402"/>
      <c r="AOV1364" s="402"/>
      <c r="AOW1364" s="402"/>
      <c r="AOX1364" s="402"/>
      <c r="AOY1364" s="402"/>
      <c r="AOZ1364" s="402"/>
      <c r="APA1364" s="402"/>
      <c r="APB1364" s="402"/>
      <c r="APC1364" s="402"/>
      <c r="APD1364" s="402"/>
      <c r="APE1364" s="402"/>
      <c r="APF1364" s="402"/>
      <c r="APG1364" s="402"/>
      <c r="APH1364" s="402"/>
      <c r="API1364" s="402"/>
      <c r="APJ1364" s="402"/>
      <c r="APK1364" s="402"/>
      <c r="APL1364" s="402"/>
      <c r="APM1364" s="402"/>
      <c r="APN1364" s="402"/>
      <c r="APO1364" s="402"/>
      <c r="APP1364" s="402"/>
      <c r="APQ1364" s="402"/>
      <c r="APR1364" s="402"/>
      <c r="APS1364" s="402"/>
      <c r="APT1364" s="402"/>
      <c r="APU1364" s="402"/>
      <c r="APV1364" s="402"/>
      <c r="APW1364" s="402"/>
      <c r="APX1364" s="402"/>
      <c r="APY1364" s="402"/>
      <c r="APZ1364" s="402"/>
      <c r="AQA1364" s="402"/>
      <c r="AQB1364" s="402"/>
      <c r="AQC1364" s="402"/>
      <c r="AQD1364" s="402"/>
      <c r="AQE1364" s="402"/>
      <c r="AQF1364" s="402"/>
      <c r="AQG1364" s="402"/>
      <c r="AQH1364" s="402"/>
      <c r="AQI1364" s="402"/>
      <c r="AQJ1364" s="402"/>
      <c r="AQK1364" s="402"/>
      <c r="AQL1364" s="402"/>
      <c r="AQM1364" s="402"/>
      <c r="AQN1364" s="402"/>
      <c r="AQO1364" s="402"/>
      <c r="AQP1364" s="402"/>
      <c r="AQQ1364" s="402"/>
      <c r="AQR1364" s="402"/>
      <c r="AQS1364" s="402"/>
      <c r="AQT1364" s="402"/>
      <c r="AQU1364" s="402"/>
      <c r="AQV1364" s="402"/>
      <c r="AQW1364" s="402"/>
      <c r="AQX1364" s="402"/>
      <c r="AQY1364" s="402"/>
      <c r="AQZ1364" s="402"/>
      <c r="ARA1364" s="402"/>
      <c r="ARB1364" s="402"/>
      <c r="ARC1364" s="402"/>
      <c r="ARD1364" s="402"/>
      <c r="ARE1364" s="402"/>
      <c r="ARF1364" s="402"/>
      <c r="ARG1364" s="402"/>
      <c r="ARH1364" s="402"/>
      <c r="ARI1364" s="402"/>
      <c r="ARJ1364" s="402"/>
      <c r="ARK1364" s="402"/>
      <c r="ARL1364" s="402"/>
      <c r="ARM1364" s="402"/>
      <c r="ARN1364" s="402"/>
      <c r="ARO1364" s="402"/>
      <c r="ARP1364" s="402"/>
      <c r="ARQ1364" s="402"/>
      <c r="ARR1364" s="402"/>
      <c r="ARS1364" s="402"/>
      <c r="ART1364" s="402"/>
      <c r="ARU1364" s="402"/>
      <c r="ARV1364" s="402"/>
      <c r="ARW1364" s="402"/>
      <c r="ARX1364" s="402"/>
      <c r="ARY1364" s="402"/>
      <c r="ARZ1364" s="402"/>
      <c r="ASA1364" s="402"/>
      <c r="ASB1364" s="402"/>
      <c r="ASC1364" s="402"/>
      <c r="ASD1364" s="402"/>
      <c r="ASE1364" s="402"/>
      <c r="ASF1364" s="402"/>
      <c r="ASG1364" s="402"/>
      <c r="ASH1364" s="402"/>
      <c r="ASI1364" s="402"/>
      <c r="ASJ1364" s="402"/>
      <c r="ASK1364" s="402"/>
      <c r="ASL1364" s="402"/>
      <c r="ASM1364" s="402"/>
      <c r="ASN1364" s="402"/>
      <c r="ASO1364" s="402"/>
      <c r="ASP1364" s="402"/>
      <c r="ASQ1364" s="402"/>
      <c r="ASR1364" s="402"/>
      <c r="ASS1364" s="402"/>
      <c r="AST1364" s="402"/>
      <c r="ASU1364" s="402"/>
      <c r="ASV1364" s="402"/>
      <c r="ASW1364" s="402"/>
      <c r="ASX1364" s="402"/>
      <c r="ASY1364" s="402"/>
      <c r="ASZ1364" s="402"/>
      <c r="ATA1364" s="402"/>
      <c r="ATB1364" s="402"/>
      <c r="ATC1364" s="402"/>
      <c r="ATD1364" s="402"/>
      <c r="ATE1364" s="402"/>
      <c r="ATF1364" s="402"/>
      <c r="ATG1364" s="402"/>
      <c r="ATH1364" s="402"/>
      <c r="ATI1364" s="402"/>
      <c r="ATJ1364" s="402"/>
      <c r="ATK1364" s="402"/>
      <c r="ATL1364" s="402"/>
      <c r="ATM1364" s="402"/>
      <c r="ATN1364" s="402"/>
      <c r="ATO1364" s="402"/>
      <c r="ATP1364" s="402"/>
      <c r="ATQ1364" s="402"/>
      <c r="ATR1364" s="402"/>
      <c r="ATS1364" s="402"/>
      <c r="ATT1364" s="402"/>
      <c r="ATU1364" s="402"/>
      <c r="ATV1364" s="402"/>
      <c r="ATW1364" s="402"/>
      <c r="ATX1364" s="402"/>
      <c r="ATY1364" s="402"/>
      <c r="ATZ1364" s="402"/>
      <c r="AUA1364" s="402"/>
      <c r="AUB1364" s="402"/>
      <c r="AUC1364" s="402"/>
      <c r="AUD1364" s="402"/>
      <c r="AUE1364" s="402"/>
      <c r="AUF1364" s="402"/>
      <c r="AUG1364" s="402"/>
      <c r="AUH1364" s="402"/>
      <c r="AUI1364" s="402"/>
      <c r="AUJ1364" s="402"/>
      <c r="AUK1364" s="402"/>
      <c r="AUL1364" s="402"/>
      <c r="AUM1364" s="402"/>
      <c r="AUN1364" s="402"/>
      <c r="AUO1364" s="402"/>
      <c r="AUP1364" s="402"/>
      <c r="AUQ1364" s="402"/>
      <c r="AUR1364" s="402"/>
      <c r="AUS1364" s="402"/>
      <c r="AUT1364" s="402"/>
      <c r="AUU1364" s="402"/>
      <c r="AUV1364" s="402"/>
      <c r="AUW1364" s="402"/>
      <c r="AUX1364" s="402"/>
      <c r="AUY1364" s="402"/>
      <c r="AUZ1364" s="402"/>
      <c r="AVA1364" s="402"/>
      <c r="AVB1364" s="402"/>
      <c r="AVC1364" s="402"/>
      <c r="AVD1364" s="402"/>
      <c r="AVE1364" s="402"/>
      <c r="AVF1364" s="402"/>
      <c r="AVG1364" s="402"/>
      <c r="AVH1364" s="402"/>
      <c r="AVI1364" s="402"/>
      <c r="AVJ1364" s="402"/>
      <c r="AVK1364" s="402"/>
    </row>
    <row r="1365" spans="1:1259" s="442" customFormat="1" ht="15" customHeight="1">
      <c r="A1365" s="403"/>
      <c r="B1365" s="403"/>
      <c r="C1365" s="403"/>
      <c r="D1365" s="443" t="s">
        <v>2480</v>
      </c>
      <c r="E1365" s="443" t="s">
        <v>2406</v>
      </c>
      <c r="F1365" s="432"/>
      <c r="G1365" s="432"/>
      <c r="H1365" s="451">
        <v>11</v>
      </c>
      <c r="I1365" s="427" t="s">
        <v>1498</v>
      </c>
      <c r="J1365" s="433"/>
      <c r="K1365" s="433" t="s">
        <v>3759</v>
      </c>
      <c r="L1365" s="433" t="s">
        <v>2509</v>
      </c>
      <c r="M1365" s="433">
        <v>44550</v>
      </c>
      <c r="N1365" s="433">
        <v>44687</v>
      </c>
      <c r="O1365" s="435"/>
      <c r="P1365" s="433"/>
      <c r="Q1365" s="433"/>
      <c r="R1365" s="433"/>
      <c r="S1365" s="432" t="s">
        <v>1940</v>
      </c>
      <c r="T1365" s="432">
        <v>60</v>
      </c>
      <c r="U1365" s="432"/>
      <c r="V1365" s="432" t="s">
        <v>973</v>
      </c>
      <c r="W1365" s="432">
        <v>400</v>
      </c>
      <c r="X1365" s="436">
        <v>480</v>
      </c>
      <c r="Y1365" s="422">
        <f t="shared" si="166"/>
        <v>192000</v>
      </c>
      <c r="Z1365" s="437">
        <v>0.53</v>
      </c>
      <c r="AA1365" s="423">
        <f t="shared" si="167"/>
        <v>101760</v>
      </c>
      <c r="AB1365" s="411"/>
      <c r="AC1365" s="412">
        <f t="shared" si="168"/>
        <v>0</v>
      </c>
      <c r="AD1365" s="439"/>
      <c r="AE1365" s="438"/>
      <c r="AF1365" s="424">
        <f t="shared" si="169"/>
        <v>101760</v>
      </c>
      <c r="AG1365" s="432" t="s">
        <v>1069</v>
      </c>
      <c r="AH1365" s="432"/>
      <c r="AI1365" s="434">
        <v>60</v>
      </c>
      <c r="AJ1365" s="432" t="s">
        <v>1323</v>
      </c>
      <c r="AK1365" s="440" t="s">
        <v>1136</v>
      </c>
      <c r="AL1365" s="432">
        <v>77092</v>
      </c>
      <c r="AM1365" s="432" t="s">
        <v>52</v>
      </c>
      <c r="AN1365" s="432"/>
      <c r="AO1365" s="432"/>
      <c r="AP1365" s="441"/>
      <c r="AQ1365" s="441" t="s">
        <v>37</v>
      </c>
      <c r="AR1365" s="441"/>
      <c r="AS1365" s="426" t="s">
        <v>1142</v>
      </c>
      <c r="AT1365" s="426" t="s">
        <v>1073</v>
      </c>
      <c r="AU1365" s="426" t="s">
        <v>1073</v>
      </c>
      <c r="AV1365" s="437">
        <v>0.53</v>
      </c>
      <c r="AW1365" s="402"/>
      <c r="AX1365" s="402"/>
      <c r="AY1365" s="402"/>
      <c r="AZ1365" s="402"/>
      <c r="BA1365" s="402"/>
      <c r="BB1365" s="402"/>
      <c r="BC1365" s="402"/>
      <c r="BD1365" s="402"/>
      <c r="BE1365" s="402"/>
      <c r="BF1365" s="402"/>
      <c r="BG1365" s="402"/>
      <c r="BH1365" s="402"/>
      <c r="BI1365" s="402"/>
      <c r="BJ1365" s="402"/>
      <c r="BK1365" s="402"/>
      <c r="BL1365" s="402"/>
      <c r="BM1365" s="402"/>
      <c r="BN1365" s="402"/>
      <c r="BO1365" s="402"/>
      <c r="BP1365" s="402"/>
      <c r="BQ1365" s="402"/>
      <c r="BR1365" s="402"/>
      <c r="BS1365" s="402"/>
      <c r="BT1365" s="402"/>
      <c r="BU1365" s="402"/>
      <c r="BV1365" s="402"/>
      <c r="BW1365" s="402"/>
      <c r="BX1365" s="402"/>
      <c r="BY1365" s="402"/>
      <c r="BZ1365" s="402"/>
      <c r="CA1365" s="402"/>
      <c r="CB1365" s="402"/>
      <c r="CC1365" s="402"/>
      <c r="CD1365" s="402"/>
      <c r="CE1365" s="402"/>
      <c r="CF1365" s="402"/>
      <c r="CG1365" s="402"/>
      <c r="CH1365" s="402"/>
      <c r="CI1365" s="402"/>
      <c r="CJ1365" s="402"/>
      <c r="CK1365" s="402"/>
      <c r="CL1365" s="402"/>
      <c r="CM1365" s="402"/>
      <c r="CN1365" s="402"/>
      <c r="CO1365" s="402"/>
      <c r="CP1365" s="402"/>
      <c r="CQ1365" s="402"/>
      <c r="CR1365" s="402"/>
      <c r="CS1365" s="402"/>
      <c r="CT1365" s="402"/>
      <c r="CU1365" s="402"/>
      <c r="CV1365" s="402"/>
      <c r="CW1365" s="402"/>
      <c r="CX1365" s="402"/>
      <c r="CY1365" s="402"/>
      <c r="CZ1365" s="402"/>
      <c r="DA1365" s="402"/>
      <c r="DB1365" s="402"/>
      <c r="DC1365" s="402"/>
      <c r="DD1365" s="402"/>
      <c r="DE1365" s="402"/>
      <c r="DF1365" s="402"/>
      <c r="DG1365" s="402"/>
      <c r="DH1365" s="402"/>
      <c r="DI1365" s="402"/>
      <c r="DJ1365" s="402"/>
      <c r="DK1365" s="402"/>
      <c r="DL1365" s="402"/>
      <c r="DM1365" s="402"/>
      <c r="DN1365" s="402"/>
      <c r="DO1365" s="402"/>
      <c r="DP1365" s="402"/>
      <c r="DQ1365" s="402"/>
      <c r="DR1365" s="402"/>
      <c r="DS1365" s="402"/>
      <c r="DT1365" s="402"/>
      <c r="DU1365" s="402"/>
      <c r="DV1365" s="402"/>
      <c r="DW1365" s="402"/>
      <c r="DX1365" s="402"/>
      <c r="DY1365" s="402"/>
      <c r="DZ1365" s="402"/>
      <c r="EA1365" s="402"/>
      <c r="EB1365" s="402"/>
      <c r="EC1365" s="402"/>
      <c r="ED1365" s="402"/>
      <c r="EE1365" s="402"/>
      <c r="EF1365" s="402"/>
      <c r="EG1365" s="402"/>
      <c r="EH1365" s="402"/>
      <c r="EI1365" s="402"/>
      <c r="EJ1365" s="402"/>
      <c r="EK1365" s="402"/>
      <c r="EL1365" s="402"/>
      <c r="EM1365" s="402"/>
      <c r="EN1365" s="402"/>
      <c r="EO1365" s="402"/>
      <c r="EP1365" s="402"/>
      <c r="EQ1365" s="402"/>
      <c r="ER1365" s="402"/>
      <c r="ES1365" s="402"/>
      <c r="ET1365" s="402"/>
      <c r="EU1365" s="402"/>
      <c r="EV1365" s="402"/>
      <c r="EW1365" s="402"/>
      <c r="EX1365" s="402"/>
      <c r="EY1365" s="402"/>
      <c r="EZ1365" s="402"/>
      <c r="FA1365" s="402"/>
      <c r="FB1365" s="402"/>
      <c r="FC1365" s="402"/>
      <c r="FD1365" s="402"/>
      <c r="FE1365" s="402"/>
      <c r="FF1365" s="402"/>
      <c r="FG1365" s="402"/>
      <c r="FH1365" s="402"/>
      <c r="FI1365" s="402"/>
      <c r="FJ1365" s="402"/>
      <c r="FK1365" s="402"/>
      <c r="FL1365" s="402"/>
      <c r="FM1365" s="402"/>
      <c r="FN1365" s="402"/>
      <c r="FO1365" s="402"/>
      <c r="FP1365" s="402"/>
      <c r="FQ1365" s="402"/>
      <c r="FR1365" s="402"/>
      <c r="FS1365" s="402"/>
      <c r="FT1365" s="402"/>
      <c r="FU1365" s="402"/>
      <c r="FV1365" s="402"/>
      <c r="FW1365" s="402"/>
      <c r="FX1365" s="402"/>
      <c r="FY1365" s="402"/>
      <c r="FZ1365" s="402"/>
      <c r="GA1365" s="402"/>
      <c r="GB1365" s="402"/>
      <c r="GC1365" s="402"/>
      <c r="GD1365" s="402"/>
      <c r="GE1365" s="402"/>
      <c r="GF1365" s="402"/>
      <c r="GG1365" s="402"/>
      <c r="GH1365" s="402"/>
      <c r="GI1365" s="402"/>
      <c r="GJ1365" s="402"/>
      <c r="GK1365" s="402"/>
      <c r="GL1365" s="402"/>
      <c r="GM1365" s="402"/>
      <c r="GN1365" s="402"/>
      <c r="GO1365" s="402"/>
      <c r="GP1365" s="402"/>
      <c r="GQ1365" s="402"/>
      <c r="GR1365" s="402"/>
      <c r="GS1365" s="402"/>
      <c r="GT1365" s="402"/>
      <c r="GU1365" s="402"/>
      <c r="GV1365" s="402"/>
      <c r="GW1365" s="402"/>
      <c r="GX1365" s="402"/>
      <c r="GY1365" s="402"/>
      <c r="GZ1365" s="402"/>
      <c r="HA1365" s="402"/>
      <c r="HB1365" s="402"/>
      <c r="HC1365" s="402"/>
      <c r="HD1365" s="402"/>
      <c r="HE1365" s="402"/>
      <c r="HF1365" s="402"/>
      <c r="HG1365" s="402"/>
      <c r="HH1365" s="402"/>
      <c r="HI1365" s="402"/>
      <c r="HJ1365" s="402"/>
      <c r="HK1365" s="402"/>
      <c r="HL1365" s="402"/>
      <c r="HM1365" s="402"/>
      <c r="HN1365" s="402"/>
      <c r="HO1365" s="402"/>
      <c r="HP1365" s="402"/>
      <c r="HQ1365" s="402"/>
      <c r="HR1365" s="402"/>
      <c r="HS1365" s="402"/>
      <c r="HT1365" s="402"/>
      <c r="HU1365" s="402"/>
      <c r="HV1365" s="402"/>
      <c r="HW1365" s="402"/>
      <c r="HX1365" s="402"/>
      <c r="HY1365" s="402"/>
      <c r="HZ1365" s="402"/>
      <c r="IA1365" s="402"/>
      <c r="IB1365" s="402"/>
      <c r="IC1365" s="402"/>
      <c r="ID1365" s="402"/>
      <c r="IE1365" s="402"/>
      <c r="IF1365" s="402"/>
      <c r="IG1365" s="402"/>
      <c r="IH1365" s="402"/>
      <c r="II1365" s="402"/>
      <c r="IJ1365" s="402"/>
      <c r="IK1365" s="402"/>
      <c r="IL1365" s="402"/>
      <c r="IM1365" s="402"/>
      <c r="IN1365" s="402"/>
      <c r="IO1365" s="402"/>
      <c r="IP1365" s="402"/>
      <c r="IQ1365" s="402"/>
      <c r="IR1365" s="402"/>
      <c r="IS1365" s="402"/>
      <c r="IT1365" s="402"/>
      <c r="IU1365" s="402"/>
      <c r="IV1365" s="402"/>
      <c r="IW1365" s="402"/>
      <c r="IX1365" s="402"/>
      <c r="IY1365" s="402"/>
      <c r="IZ1365" s="402"/>
      <c r="JA1365" s="402"/>
      <c r="JB1365" s="402"/>
      <c r="JC1365" s="402"/>
      <c r="JD1365" s="402"/>
      <c r="JE1365" s="402"/>
      <c r="JF1365" s="402"/>
      <c r="JG1365" s="402"/>
      <c r="JH1365" s="402"/>
      <c r="JI1365" s="402"/>
      <c r="JJ1365" s="402"/>
      <c r="JK1365" s="402"/>
      <c r="JL1365" s="402"/>
      <c r="JM1365" s="402"/>
      <c r="JN1365" s="402"/>
      <c r="JO1365" s="402"/>
      <c r="JP1365" s="402"/>
      <c r="JQ1365" s="402"/>
      <c r="JR1365" s="402"/>
      <c r="JS1365" s="402"/>
      <c r="JT1365" s="402"/>
      <c r="JU1365" s="402"/>
      <c r="JV1365" s="402"/>
      <c r="JW1365" s="402"/>
      <c r="JX1365" s="402"/>
      <c r="JY1365" s="402"/>
      <c r="JZ1365" s="402"/>
      <c r="KA1365" s="402"/>
      <c r="KB1365" s="402"/>
      <c r="KC1365" s="402"/>
      <c r="KD1365" s="402"/>
      <c r="KE1365" s="402"/>
      <c r="KF1365" s="402"/>
      <c r="KG1365" s="402"/>
      <c r="KH1365" s="402"/>
      <c r="KI1365" s="402"/>
      <c r="KJ1365" s="402"/>
      <c r="KK1365" s="402"/>
      <c r="KL1365" s="402"/>
      <c r="KM1365" s="402"/>
      <c r="KN1365" s="402"/>
      <c r="KO1365" s="402"/>
      <c r="KP1365" s="402"/>
      <c r="KQ1365" s="402"/>
      <c r="KR1365" s="402"/>
      <c r="KS1365" s="402"/>
      <c r="KT1365" s="402"/>
      <c r="KU1365" s="402"/>
      <c r="KV1365" s="402"/>
      <c r="KW1365" s="402"/>
      <c r="KX1365" s="402"/>
      <c r="KY1365" s="402"/>
      <c r="KZ1365" s="402"/>
      <c r="LA1365" s="402"/>
      <c r="LB1365" s="402"/>
      <c r="LC1365" s="402"/>
      <c r="LD1365" s="402"/>
      <c r="LE1365" s="402"/>
      <c r="LF1365" s="402"/>
      <c r="LG1365" s="402"/>
      <c r="LH1365" s="402"/>
      <c r="LI1365" s="402"/>
      <c r="LJ1365" s="402"/>
      <c r="LK1365" s="402"/>
      <c r="LL1365" s="402"/>
      <c r="LM1365" s="402"/>
      <c r="LN1365" s="402"/>
      <c r="LO1365" s="402"/>
      <c r="LP1365" s="402"/>
      <c r="LQ1365" s="402"/>
      <c r="LR1365" s="402"/>
      <c r="LS1365" s="402"/>
      <c r="LT1365" s="402"/>
      <c r="LU1365" s="402"/>
      <c r="LV1365" s="402"/>
      <c r="LW1365" s="402"/>
      <c r="LX1365" s="402"/>
      <c r="LY1365" s="402"/>
      <c r="LZ1365" s="402"/>
      <c r="MA1365" s="402"/>
      <c r="MB1365" s="402"/>
      <c r="MC1365" s="402"/>
      <c r="MD1365" s="402"/>
      <c r="ME1365" s="402"/>
      <c r="MF1365" s="402"/>
      <c r="MG1365" s="402"/>
      <c r="MH1365" s="402"/>
      <c r="MI1365" s="402"/>
      <c r="MJ1365" s="402"/>
      <c r="MK1365" s="402"/>
      <c r="ML1365" s="402"/>
      <c r="MM1365" s="402"/>
      <c r="MN1365" s="402"/>
      <c r="MO1365" s="402"/>
      <c r="MP1365" s="402"/>
      <c r="MQ1365" s="402"/>
      <c r="MR1365" s="402"/>
      <c r="MS1365" s="402"/>
      <c r="MT1365" s="402"/>
      <c r="MU1365" s="402"/>
      <c r="MV1365" s="402"/>
      <c r="MW1365" s="402"/>
      <c r="MX1365" s="402"/>
      <c r="MY1365" s="402"/>
      <c r="MZ1365" s="402"/>
      <c r="NA1365" s="402"/>
      <c r="NB1365" s="402"/>
      <c r="NC1365" s="402"/>
      <c r="ND1365" s="402"/>
      <c r="NE1365" s="402"/>
      <c r="NF1365" s="402"/>
      <c r="NG1365" s="402"/>
      <c r="NH1365" s="402"/>
      <c r="NI1365" s="402"/>
      <c r="NJ1365" s="402"/>
      <c r="NK1365" s="402"/>
      <c r="NL1365" s="402"/>
      <c r="NM1365" s="402"/>
      <c r="NN1365" s="402"/>
      <c r="NO1365" s="402"/>
      <c r="NP1365" s="402"/>
      <c r="NQ1365" s="402"/>
      <c r="NR1365" s="402"/>
      <c r="NS1365" s="402"/>
      <c r="NT1365" s="402"/>
      <c r="NU1365" s="402"/>
      <c r="NV1365" s="402"/>
      <c r="NW1365" s="402"/>
      <c r="NX1365" s="402"/>
      <c r="NY1365" s="402"/>
      <c r="NZ1365" s="402"/>
      <c r="OA1365" s="402"/>
      <c r="OB1365" s="402"/>
      <c r="OC1365" s="402"/>
      <c r="OD1365" s="402"/>
      <c r="OE1365" s="402"/>
      <c r="OF1365" s="402"/>
      <c r="OG1365" s="402"/>
      <c r="OH1365" s="402"/>
      <c r="OI1365" s="402"/>
      <c r="OJ1365" s="402"/>
      <c r="OK1365" s="402"/>
      <c r="OL1365" s="402"/>
      <c r="OM1365" s="402"/>
      <c r="ON1365" s="402"/>
      <c r="OO1365" s="402"/>
      <c r="OP1365" s="402"/>
      <c r="OQ1365" s="402"/>
      <c r="OR1365" s="402"/>
      <c r="OS1365" s="402"/>
      <c r="OT1365" s="402"/>
      <c r="OU1365" s="402"/>
      <c r="OV1365" s="402"/>
      <c r="OW1365" s="402"/>
      <c r="OX1365" s="402"/>
      <c r="OY1365" s="402"/>
      <c r="OZ1365" s="402"/>
      <c r="PA1365" s="402"/>
      <c r="PB1365" s="402"/>
      <c r="PC1365" s="402"/>
      <c r="PD1365" s="402"/>
      <c r="PE1365" s="402"/>
      <c r="PF1365" s="402"/>
      <c r="PG1365" s="402"/>
      <c r="PH1365" s="402"/>
      <c r="PI1365" s="402"/>
      <c r="PJ1365" s="402"/>
      <c r="PK1365" s="402"/>
      <c r="PL1365" s="402"/>
      <c r="PM1365" s="402"/>
      <c r="PN1365" s="402"/>
      <c r="PO1365" s="402"/>
      <c r="PP1365" s="402"/>
      <c r="PQ1365" s="402"/>
      <c r="PR1365" s="402"/>
      <c r="PS1365" s="402"/>
      <c r="PT1365" s="402"/>
      <c r="PU1365" s="402"/>
      <c r="PV1365" s="402"/>
      <c r="PW1365" s="402"/>
      <c r="PX1365" s="402"/>
      <c r="PY1365" s="402"/>
      <c r="PZ1365" s="402"/>
      <c r="QA1365" s="402"/>
      <c r="QB1365" s="402"/>
      <c r="QC1365" s="402"/>
      <c r="QD1365" s="402"/>
      <c r="QE1365" s="402"/>
      <c r="QF1365" s="402"/>
      <c r="QG1365" s="402"/>
      <c r="QH1365" s="402"/>
      <c r="QI1365" s="402"/>
      <c r="QJ1365" s="402"/>
      <c r="QK1365" s="402"/>
      <c r="QL1365" s="402"/>
      <c r="QM1365" s="402"/>
      <c r="QN1365" s="402"/>
      <c r="QO1365" s="402"/>
      <c r="QP1365" s="402"/>
      <c r="QQ1365" s="402"/>
      <c r="QR1365" s="402"/>
      <c r="QS1365" s="402"/>
      <c r="QT1365" s="402"/>
      <c r="QU1365" s="402"/>
      <c r="QV1365" s="402"/>
      <c r="QW1365" s="402"/>
      <c r="QX1365" s="402"/>
      <c r="QY1365" s="402"/>
      <c r="QZ1365" s="402"/>
      <c r="RA1365" s="402"/>
      <c r="RB1365" s="402"/>
      <c r="RC1365" s="402"/>
      <c r="RD1365" s="402"/>
      <c r="RE1365" s="402"/>
      <c r="RF1365" s="402"/>
      <c r="RG1365" s="402"/>
      <c r="RH1365" s="402"/>
      <c r="RI1365" s="402"/>
      <c r="RJ1365" s="402"/>
      <c r="RK1365" s="402"/>
      <c r="RL1365" s="402"/>
      <c r="RM1365" s="402"/>
      <c r="RN1365" s="402"/>
      <c r="RO1365" s="402"/>
      <c r="RP1365" s="402"/>
      <c r="RQ1365" s="402"/>
      <c r="RR1365" s="402"/>
      <c r="RS1365" s="402"/>
      <c r="RT1365" s="402"/>
      <c r="RU1365" s="402"/>
      <c r="RV1365" s="402"/>
      <c r="RW1365" s="402"/>
      <c r="RX1365" s="402"/>
      <c r="RY1365" s="402"/>
      <c r="RZ1365" s="402"/>
      <c r="SA1365" s="402"/>
      <c r="SB1365" s="402"/>
      <c r="SC1365" s="402"/>
      <c r="SD1365" s="402"/>
      <c r="SE1365" s="402"/>
      <c r="SF1365" s="402"/>
      <c r="SG1365" s="402"/>
      <c r="SH1365" s="402"/>
      <c r="SI1365" s="402"/>
      <c r="SJ1365" s="402"/>
      <c r="SK1365" s="402"/>
      <c r="SL1365" s="402"/>
      <c r="SM1365" s="402"/>
      <c r="SN1365" s="402"/>
      <c r="SO1365" s="402"/>
      <c r="SP1365" s="402"/>
      <c r="SQ1365" s="402"/>
      <c r="SR1365" s="402"/>
      <c r="SS1365" s="402"/>
      <c r="ST1365" s="402"/>
      <c r="SU1365" s="402"/>
      <c r="SV1365" s="402"/>
      <c r="SW1365" s="402"/>
      <c r="SX1365" s="402"/>
      <c r="SY1365" s="402"/>
      <c r="SZ1365" s="402"/>
      <c r="TA1365" s="402"/>
      <c r="TB1365" s="402"/>
      <c r="TC1365" s="402"/>
      <c r="TD1365" s="402"/>
      <c r="TE1365" s="402"/>
      <c r="TF1365" s="402"/>
      <c r="TG1365" s="402"/>
      <c r="TH1365" s="402"/>
      <c r="TI1365" s="402"/>
      <c r="TJ1365" s="402"/>
      <c r="TK1365" s="402"/>
      <c r="TL1365" s="402"/>
      <c r="TM1365" s="402"/>
      <c r="TN1365" s="402"/>
      <c r="TO1365" s="402"/>
      <c r="TP1365" s="402"/>
      <c r="TQ1365" s="402"/>
      <c r="TR1365" s="402"/>
      <c r="TS1365" s="402"/>
      <c r="TT1365" s="402"/>
      <c r="TU1365" s="402"/>
      <c r="TV1365" s="402"/>
      <c r="TW1365" s="402"/>
      <c r="TX1365" s="402"/>
      <c r="TY1365" s="402"/>
      <c r="TZ1365" s="402"/>
      <c r="UA1365" s="402"/>
      <c r="UB1365" s="402"/>
      <c r="UC1365" s="402"/>
      <c r="UD1365" s="402"/>
      <c r="UE1365" s="402"/>
      <c r="UF1365" s="402"/>
      <c r="UG1365" s="402"/>
      <c r="UH1365" s="402"/>
      <c r="UI1365" s="402"/>
      <c r="UJ1365" s="402"/>
      <c r="UK1365" s="402"/>
      <c r="UL1365" s="402"/>
      <c r="UM1365" s="402"/>
      <c r="UN1365" s="402"/>
      <c r="UO1365" s="402"/>
      <c r="UP1365" s="402"/>
      <c r="UQ1365" s="402"/>
      <c r="UR1365" s="402"/>
      <c r="US1365" s="402"/>
      <c r="UT1365" s="402"/>
      <c r="UU1365" s="402"/>
      <c r="UV1365" s="402"/>
      <c r="UW1365" s="402"/>
      <c r="UX1365" s="402"/>
      <c r="UY1365" s="402"/>
      <c r="UZ1365" s="402"/>
      <c r="VA1365" s="402"/>
      <c r="VB1365" s="402"/>
      <c r="VC1365" s="402"/>
      <c r="VD1365" s="402"/>
      <c r="VE1365" s="402"/>
      <c r="VF1365" s="402"/>
      <c r="VG1365" s="402"/>
      <c r="VH1365" s="402"/>
      <c r="VI1365" s="402"/>
      <c r="VJ1365" s="402"/>
      <c r="VK1365" s="402"/>
      <c r="VL1365" s="402"/>
      <c r="VM1365" s="402"/>
      <c r="VN1365" s="402"/>
      <c r="VO1365" s="402"/>
      <c r="VP1365" s="402"/>
      <c r="VQ1365" s="402"/>
      <c r="VR1365" s="402"/>
      <c r="VS1365" s="402"/>
      <c r="VT1365" s="402"/>
      <c r="VU1365" s="402"/>
      <c r="VV1365" s="402"/>
      <c r="VW1365" s="402"/>
      <c r="VX1365" s="402"/>
      <c r="VY1365" s="402"/>
      <c r="VZ1365" s="402"/>
      <c r="WA1365" s="402"/>
      <c r="WB1365" s="402"/>
      <c r="WC1365" s="402"/>
      <c r="WD1365" s="402"/>
      <c r="WE1365" s="402"/>
      <c r="WF1365" s="402"/>
      <c r="WG1365" s="402"/>
      <c r="WH1365" s="402"/>
      <c r="WI1365" s="402"/>
      <c r="WJ1365" s="402"/>
      <c r="WK1365" s="402"/>
      <c r="WL1365" s="402"/>
      <c r="WM1365" s="402"/>
      <c r="WN1365" s="402"/>
      <c r="WO1365" s="402"/>
      <c r="WP1365" s="402"/>
      <c r="WQ1365" s="402"/>
      <c r="WR1365" s="402"/>
      <c r="WS1365" s="402"/>
      <c r="WT1365" s="402"/>
      <c r="WU1365" s="402"/>
      <c r="WV1365" s="402"/>
      <c r="WW1365" s="402"/>
      <c r="WX1365" s="402"/>
      <c r="WY1365" s="402"/>
      <c r="WZ1365" s="402"/>
      <c r="XA1365" s="402"/>
      <c r="XB1365" s="402"/>
      <c r="XC1365" s="402"/>
      <c r="XD1365" s="402"/>
      <c r="XE1365" s="402"/>
      <c r="XF1365" s="402"/>
      <c r="XG1365" s="402"/>
      <c r="XH1365" s="402"/>
      <c r="XI1365" s="402"/>
      <c r="XJ1365" s="402"/>
      <c r="XK1365" s="402"/>
      <c r="XL1365" s="402"/>
      <c r="XM1365" s="402"/>
      <c r="XN1365" s="402"/>
      <c r="XO1365" s="402"/>
      <c r="XP1365" s="402"/>
      <c r="XQ1365" s="402"/>
      <c r="XR1365" s="402"/>
      <c r="XS1365" s="402"/>
      <c r="XT1365" s="402"/>
      <c r="XU1365" s="402"/>
      <c r="XV1365" s="402"/>
      <c r="XW1365" s="402"/>
      <c r="XX1365" s="402"/>
      <c r="XY1365" s="402"/>
      <c r="XZ1365" s="402"/>
      <c r="YA1365" s="402"/>
      <c r="YB1365" s="402"/>
      <c r="YC1365" s="402"/>
      <c r="YD1365" s="402"/>
      <c r="YE1365" s="402"/>
      <c r="YF1365" s="402"/>
      <c r="YG1365" s="402"/>
      <c r="YH1365" s="402"/>
      <c r="YI1365" s="402"/>
      <c r="YJ1365" s="402"/>
      <c r="YK1365" s="402"/>
      <c r="YL1365" s="402"/>
      <c r="YM1365" s="402"/>
      <c r="YN1365" s="402"/>
      <c r="YO1365" s="402"/>
      <c r="YP1365" s="402"/>
      <c r="YQ1365" s="402"/>
      <c r="YR1365" s="402"/>
      <c r="YS1365" s="402"/>
      <c r="YT1365" s="402"/>
      <c r="YU1365" s="402"/>
      <c r="YV1365" s="402"/>
      <c r="YW1365" s="402"/>
      <c r="YX1365" s="402"/>
      <c r="YY1365" s="402"/>
      <c r="YZ1365" s="402"/>
      <c r="ZA1365" s="402"/>
      <c r="ZB1365" s="402"/>
      <c r="ZC1365" s="402"/>
      <c r="ZD1365" s="402"/>
      <c r="ZE1365" s="402"/>
      <c r="ZF1365" s="402"/>
      <c r="ZG1365" s="402"/>
      <c r="ZH1365" s="402"/>
      <c r="ZI1365" s="402"/>
      <c r="ZJ1365" s="402"/>
      <c r="ZK1365" s="402"/>
      <c r="ZL1365" s="402"/>
      <c r="ZM1365" s="402"/>
      <c r="ZN1365" s="402"/>
      <c r="ZO1365" s="402"/>
      <c r="ZP1365" s="402"/>
      <c r="ZQ1365" s="402"/>
      <c r="ZR1365" s="402"/>
      <c r="ZS1365" s="402"/>
      <c r="ZT1365" s="402"/>
      <c r="ZU1365" s="402"/>
      <c r="ZV1365" s="402"/>
      <c r="ZW1365" s="402"/>
      <c r="ZX1365" s="402"/>
      <c r="ZY1365" s="402"/>
      <c r="ZZ1365" s="402"/>
      <c r="AAA1365" s="402"/>
      <c r="AAB1365" s="402"/>
      <c r="AAC1365" s="402"/>
      <c r="AAD1365" s="402"/>
      <c r="AAE1365" s="402"/>
      <c r="AAF1365" s="402"/>
      <c r="AAG1365" s="402"/>
      <c r="AAH1365" s="402"/>
      <c r="AAI1365" s="402"/>
      <c r="AAJ1365" s="402"/>
      <c r="AAK1365" s="402"/>
      <c r="AAL1365" s="402"/>
      <c r="AAM1365" s="402"/>
      <c r="AAN1365" s="402"/>
      <c r="AAO1365" s="402"/>
      <c r="AAP1365" s="402"/>
      <c r="AAQ1365" s="402"/>
      <c r="AAR1365" s="402"/>
      <c r="AAS1365" s="402"/>
      <c r="AAT1365" s="402"/>
      <c r="AAU1365" s="402"/>
      <c r="AAV1365" s="402"/>
      <c r="AAW1365" s="402"/>
      <c r="AAX1365" s="402"/>
      <c r="AAY1365" s="402"/>
      <c r="AAZ1365" s="402"/>
      <c r="ABA1365" s="402"/>
      <c r="ABB1365" s="402"/>
      <c r="ABC1365" s="402"/>
      <c r="ABD1365" s="402"/>
      <c r="ABE1365" s="402"/>
      <c r="ABF1365" s="402"/>
      <c r="ABG1365" s="402"/>
      <c r="ABH1365" s="402"/>
      <c r="ABI1365" s="402"/>
      <c r="ABJ1365" s="402"/>
      <c r="ABK1365" s="402"/>
      <c r="ABL1365" s="402"/>
      <c r="ABM1365" s="402"/>
      <c r="ABN1365" s="402"/>
      <c r="ABO1365" s="402"/>
      <c r="ABP1365" s="402"/>
      <c r="ABQ1365" s="402"/>
      <c r="ABR1365" s="402"/>
      <c r="ABS1365" s="402"/>
      <c r="ABT1365" s="402"/>
      <c r="ABU1365" s="402"/>
      <c r="ABV1365" s="402"/>
      <c r="ABW1365" s="402"/>
      <c r="ABX1365" s="402"/>
      <c r="ABY1365" s="402"/>
      <c r="ABZ1365" s="402"/>
      <c r="ACA1365" s="402"/>
      <c r="ACB1365" s="402"/>
      <c r="ACC1365" s="402"/>
      <c r="ACD1365" s="402"/>
      <c r="ACE1365" s="402"/>
      <c r="ACF1365" s="402"/>
      <c r="ACG1365" s="402"/>
      <c r="ACH1365" s="402"/>
      <c r="ACI1365" s="402"/>
      <c r="ACJ1365" s="402"/>
      <c r="ACK1365" s="402"/>
      <c r="ACL1365" s="402"/>
      <c r="ACM1365" s="402"/>
      <c r="ACN1365" s="402"/>
      <c r="ACO1365" s="402"/>
      <c r="ACP1365" s="402"/>
      <c r="ACQ1365" s="402"/>
      <c r="ACR1365" s="402"/>
      <c r="ACS1365" s="402"/>
      <c r="ACT1365" s="402"/>
      <c r="ACU1365" s="402"/>
      <c r="ACV1365" s="402"/>
      <c r="ACW1365" s="402"/>
      <c r="ACX1365" s="402"/>
      <c r="ACY1365" s="402"/>
      <c r="ACZ1365" s="402"/>
      <c r="ADA1365" s="402"/>
      <c r="ADB1365" s="402"/>
      <c r="ADC1365" s="402"/>
      <c r="ADD1365" s="402"/>
      <c r="ADE1365" s="402"/>
      <c r="ADF1365" s="402"/>
      <c r="ADG1365" s="402"/>
      <c r="ADH1365" s="402"/>
      <c r="ADI1365" s="402"/>
      <c r="ADJ1365" s="402"/>
      <c r="ADK1365" s="402"/>
      <c r="ADL1365" s="402"/>
      <c r="ADM1365" s="402"/>
      <c r="ADN1365" s="402"/>
      <c r="ADO1365" s="402"/>
      <c r="ADP1365" s="402"/>
      <c r="ADQ1365" s="402"/>
      <c r="ADR1365" s="402"/>
      <c r="ADS1365" s="402"/>
      <c r="ADT1365" s="402"/>
      <c r="ADU1365" s="402"/>
      <c r="ADV1365" s="402"/>
      <c r="ADW1365" s="402"/>
      <c r="ADX1365" s="402"/>
      <c r="ADY1365" s="402"/>
      <c r="ADZ1365" s="402"/>
      <c r="AEA1365" s="402"/>
      <c r="AEB1365" s="402"/>
      <c r="AEC1365" s="402"/>
      <c r="AED1365" s="402"/>
      <c r="AEE1365" s="402"/>
      <c r="AEF1365" s="402"/>
      <c r="AEG1365" s="402"/>
      <c r="AEH1365" s="402"/>
      <c r="AEI1365" s="402"/>
      <c r="AEJ1365" s="402"/>
      <c r="AEK1365" s="402"/>
      <c r="AEL1365" s="402"/>
      <c r="AEM1365" s="402"/>
      <c r="AEN1365" s="402"/>
      <c r="AEO1365" s="402"/>
      <c r="AEP1365" s="402"/>
      <c r="AEQ1365" s="402"/>
      <c r="AER1365" s="402"/>
      <c r="AES1365" s="402"/>
      <c r="AET1365" s="402"/>
      <c r="AEU1365" s="402"/>
      <c r="AEV1365" s="402"/>
      <c r="AEW1365" s="402"/>
      <c r="AEX1365" s="402"/>
      <c r="AEY1365" s="402"/>
      <c r="AEZ1365" s="402"/>
      <c r="AFA1365" s="402"/>
      <c r="AFB1365" s="402"/>
      <c r="AFC1365" s="402"/>
      <c r="AFD1365" s="402"/>
      <c r="AFE1365" s="402"/>
      <c r="AFF1365" s="402"/>
      <c r="AFG1365" s="402"/>
      <c r="AFH1365" s="402"/>
      <c r="AFI1365" s="402"/>
      <c r="AFJ1365" s="402"/>
      <c r="AFK1365" s="402"/>
      <c r="AFL1365" s="402"/>
      <c r="AFM1365" s="402"/>
      <c r="AFN1365" s="402"/>
      <c r="AFO1365" s="402"/>
      <c r="AFP1365" s="402"/>
      <c r="AFQ1365" s="402"/>
      <c r="AFR1365" s="402"/>
      <c r="AFS1365" s="402"/>
      <c r="AFT1365" s="402"/>
      <c r="AFU1365" s="402"/>
      <c r="AFV1365" s="402"/>
      <c r="AFW1365" s="402"/>
      <c r="AFX1365" s="402"/>
      <c r="AFY1365" s="402"/>
      <c r="AFZ1365" s="402"/>
      <c r="AGA1365" s="402"/>
      <c r="AGB1365" s="402"/>
      <c r="AGC1365" s="402"/>
      <c r="AGD1365" s="402"/>
      <c r="AGE1365" s="402"/>
      <c r="AGF1365" s="402"/>
      <c r="AGG1365" s="402"/>
      <c r="AGH1365" s="402"/>
      <c r="AGI1365" s="402"/>
      <c r="AGJ1365" s="402"/>
      <c r="AGK1365" s="402"/>
      <c r="AGL1365" s="402"/>
      <c r="AGM1365" s="402"/>
      <c r="AGN1365" s="402"/>
      <c r="AGO1365" s="402"/>
      <c r="AGP1365" s="402"/>
      <c r="AGQ1365" s="402"/>
      <c r="AGR1365" s="402"/>
      <c r="AGS1365" s="402"/>
      <c r="AGT1365" s="402"/>
      <c r="AGU1365" s="402"/>
      <c r="AGV1365" s="402"/>
      <c r="AGW1365" s="402"/>
      <c r="AGX1365" s="402"/>
      <c r="AGY1365" s="402"/>
      <c r="AGZ1365" s="402"/>
      <c r="AHA1365" s="402"/>
      <c r="AHB1365" s="402"/>
      <c r="AHC1365" s="402"/>
      <c r="AHD1365" s="402"/>
      <c r="AHE1365" s="402"/>
      <c r="AHF1365" s="402"/>
      <c r="AHG1365" s="402"/>
      <c r="AHH1365" s="402"/>
      <c r="AHI1365" s="402"/>
      <c r="AHJ1365" s="402"/>
      <c r="AHK1365" s="402"/>
      <c r="AHL1365" s="402"/>
      <c r="AHM1365" s="402"/>
      <c r="AHN1365" s="402"/>
      <c r="AHO1365" s="402"/>
      <c r="AHP1365" s="402"/>
      <c r="AHQ1365" s="402"/>
      <c r="AHR1365" s="402"/>
      <c r="AHS1365" s="402"/>
      <c r="AHT1365" s="402"/>
      <c r="AHU1365" s="402"/>
      <c r="AHV1365" s="402"/>
      <c r="AHW1365" s="402"/>
      <c r="AHX1365" s="402"/>
      <c r="AHY1365" s="402"/>
      <c r="AHZ1365" s="402"/>
      <c r="AIA1365" s="402"/>
      <c r="AIB1365" s="402"/>
      <c r="AIC1365" s="402"/>
      <c r="AID1365" s="402"/>
      <c r="AIE1365" s="402"/>
      <c r="AIF1365" s="402"/>
      <c r="AIG1365" s="402"/>
      <c r="AIH1365" s="402"/>
      <c r="AII1365" s="402"/>
      <c r="AIJ1365" s="402"/>
      <c r="AIK1365" s="402"/>
      <c r="AIL1365" s="402"/>
      <c r="AIM1365" s="402"/>
      <c r="AIN1365" s="402"/>
      <c r="AIO1365" s="402"/>
      <c r="AIP1365" s="402"/>
      <c r="AIQ1365" s="402"/>
      <c r="AIR1365" s="402"/>
      <c r="AIS1365" s="402"/>
      <c r="AIT1365" s="402"/>
      <c r="AIU1365" s="402"/>
      <c r="AIV1365" s="402"/>
      <c r="AIW1365" s="402"/>
      <c r="AIX1365" s="402"/>
      <c r="AIY1365" s="402"/>
      <c r="AIZ1365" s="402"/>
      <c r="AJA1365" s="402"/>
      <c r="AJB1365" s="402"/>
      <c r="AJC1365" s="402"/>
      <c r="AJD1365" s="402"/>
      <c r="AJE1365" s="402"/>
      <c r="AJF1365" s="402"/>
      <c r="AJG1365" s="402"/>
      <c r="AJH1365" s="402"/>
      <c r="AJI1365" s="402"/>
      <c r="AJJ1365" s="402"/>
      <c r="AJK1365" s="402"/>
      <c r="AJL1365" s="402"/>
      <c r="AJM1365" s="402"/>
      <c r="AJN1365" s="402"/>
      <c r="AJO1365" s="402"/>
      <c r="AJP1365" s="402"/>
      <c r="AJQ1365" s="402"/>
      <c r="AJR1365" s="402"/>
      <c r="AJS1365" s="402"/>
      <c r="AJT1365" s="402"/>
      <c r="AJU1365" s="402"/>
      <c r="AJV1365" s="402"/>
      <c r="AJW1365" s="402"/>
      <c r="AJX1365" s="402"/>
      <c r="AJY1365" s="402"/>
      <c r="AJZ1365" s="402"/>
      <c r="AKA1365" s="402"/>
      <c r="AKB1365" s="402"/>
      <c r="AKC1365" s="402"/>
      <c r="AKD1365" s="402"/>
      <c r="AKE1365" s="402"/>
      <c r="AKF1365" s="402"/>
      <c r="AKG1365" s="402"/>
      <c r="AKH1365" s="402"/>
      <c r="AKI1365" s="402"/>
      <c r="AKJ1365" s="402"/>
      <c r="AKK1365" s="402"/>
      <c r="AKL1365" s="402"/>
      <c r="AKM1365" s="402"/>
      <c r="AKN1365" s="402"/>
      <c r="AKO1365" s="402"/>
      <c r="AKP1365" s="402"/>
      <c r="AKQ1365" s="402"/>
      <c r="AKR1365" s="402"/>
      <c r="AKS1365" s="402"/>
      <c r="AKT1365" s="402"/>
      <c r="AKU1365" s="402"/>
      <c r="AKV1365" s="402"/>
      <c r="AKW1365" s="402"/>
      <c r="AKX1365" s="402"/>
      <c r="AKY1365" s="402"/>
      <c r="AKZ1365" s="402"/>
      <c r="ALA1365" s="402"/>
      <c r="ALB1365" s="402"/>
      <c r="ALC1365" s="402"/>
      <c r="ALD1365" s="402"/>
      <c r="ALE1365" s="402"/>
      <c r="ALF1365" s="402"/>
      <c r="ALG1365" s="402"/>
      <c r="ALH1365" s="402"/>
      <c r="ALI1365" s="402"/>
      <c r="ALJ1365" s="402"/>
      <c r="ALK1365" s="402"/>
      <c r="ALL1365" s="402"/>
      <c r="ALM1365" s="402"/>
      <c r="ALN1365" s="402"/>
      <c r="ALO1365" s="402"/>
      <c r="ALP1365" s="402"/>
      <c r="ALQ1365" s="402"/>
      <c r="ALR1365" s="402"/>
      <c r="ALS1365" s="402"/>
      <c r="ALT1365" s="402"/>
      <c r="ALU1365" s="402"/>
      <c r="ALV1365" s="402"/>
      <c r="ALW1365" s="402"/>
      <c r="ALX1365" s="402"/>
      <c r="ALY1365" s="402"/>
      <c r="ALZ1365" s="402"/>
      <c r="AMA1365" s="402"/>
      <c r="AMB1365" s="402"/>
      <c r="AMC1365" s="402"/>
      <c r="AMD1365" s="402"/>
      <c r="AME1365" s="402"/>
      <c r="AMF1365" s="402"/>
      <c r="AMG1365" s="402"/>
      <c r="AMH1365" s="402"/>
      <c r="AMI1365" s="402"/>
      <c r="AMJ1365" s="402"/>
      <c r="AMK1365" s="402"/>
      <c r="AML1365" s="402"/>
      <c r="AMM1365" s="402"/>
      <c r="AMN1365" s="402"/>
      <c r="AMO1365" s="402"/>
      <c r="AMP1365" s="402"/>
      <c r="AMQ1365" s="402"/>
      <c r="AMR1365" s="402"/>
      <c r="AMS1365" s="402"/>
      <c r="AMT1365" s="402"/>
      <c r="AMU1365" s="402"/>
      <c r="AMV1365" s="402"/>
      <c r="AMW1365" s="402"/>
      <c r="AMX1365" s="402"/>
      <c r="AMY1365" s="402"/>
      <c r="AMZ1365" s="402"/>
      <c r="ANA1365" s="402"/>
      <c r="ANB1365" s="402"/>
      <c r="ANC1365" s="402"/>
      <c r="AND1365" s="402"/>
      <c r="ANE1365" s="402"/>
      <c r="ANF1365" s="402"/>
      <c r="ANG1365" s="402"/>
      <c r="ANH1365" s="402"/>
      <c r="ANI1365" s="402"/>
      <c r="ANJ1365" s="402"/>
      <c r="ANK1365" s="402"/>
      <c r="ANL1365" s="402"/>
      <c r="ANM1365" s="402"/>
      <c r="ANN1365" s="402"/>
      <c r="ANO1365" s="402"/>
      <c r="ANP1365" s="402"/>
      <c r="ANQ1365" s="402"/>
      <c r="ANR1365" s="402"/>
      <c r="ANS1365" s="402"/>
      <c r="ANT1365" s="402"/>
      <c r="ANU1365" s="402"/>
      <c r="ANV1365" s="402"/>
      <c r="ANW1365" s="402"/>
      <c r="ANX1365" s="402"/>
      <c r="ANY1365" s="402"/>
      <c r="ANZ1365" s="402"/>
      <c r="AOA1365" s="402"/>
      <c r="AOB1365" s="402"/>
      <c r="AOC1365" s="402"/>
      <c r="AOD1365" s="402"/>
      <c r="AOE1365" s="402"/>
      <c r="AOF1365" s="402"/>
      <c r="AOG1365" s="402"/>
      <c r="AOH1365" s="402"/>
      <c r="AOI1365" s="402"/>
      <c r="AOJ1365" s="402"/>
      <c r="AOK1365" s="402"/>
      <c r="AOL1365" s="402"/>
      <c r="AOM1365" s="402"/>
      <c r="AON1365" s="402"/>
      <c r="AOO1365" s="402"/>
      <c r="AOP1365" s="402"/>
      <c r="AOQ1365" s="402"/>
      <c r="AOR1365" s="402"/>
      <c r="AOS1365" s="402"/>
      <c r="AOT1365" s="402"/>
      <c r="AOU1365" s="402"/>
      <c r="AOV1365" s="402"/>
      <c r="AOW1365" s="402"/>
      <c r="AOX1365" s="402"/>
      <c r="AOY1365" s="402"/>
      <c r="AOZ1365" s="402"/>
      <c r="APA1365" s="402"/>
      <c r="APB1365" s="402"/>
      <c r="APC1365" s="402"/>
      <c r="APD1365" s="402"/>
      <c r="APE1365" s="402"/>
      <c r="APF1365" s="402"/>
      <c r="APG1365" s="402"/>
      <c r="APH1365" s="402"/>
      <c r="API1365" s="402"/>
      <c r="APJ1365" s="402"/>
      <c r="APK1365" s="402"/>
      <c r="APL1365" s="402"/>
      <c r="APM1365" s="402"/>
      <c r="APN1365" s="402"/>
      <c r="APO1365" s="402"/>
      <c r="APP1365" s="402"/>
      <c r="APQ1365" s="402"/>
      <c r="APR1365" s="402"/>
      <c r="APS1365" s="402"/>
      <c r="APT1365" s="402"/>
      <c r="APU1365" s="402"/>
      <c r="APV1365" s="402"/>
      <c r="APW1365" s="402"/>
      <c r="APX1365" s="402"/>
      <c r="APY1365" s="402"/>
      <c r="APZ1365" s="402"/>
      <c r="AQA1365" s="402"/>
      <c r="AQB1365" s="402"/>
      <c r="AQC1365" s="402"/>
      <c r="AQD1365" s="402"/>
      <c r="AQE1365" s="402"/>
      <c r="AQF1365" s="402"/>
      <c r="AQG1365" s="402"/>
      <c r="AQH1365" s="402"/>
      <c r="AQI1365" s="402"/>
      <c r="AQJ1365" s="402"/>
      <c r="AQK1365" s="402"/>
      <c r="AQL1365" s="402"/>
      <c r="AQM1365" s="402"/>
      <c r="AQN1365" s="402"/>
      <c r="AQO1365" s="402"/>
      <c r="AQP1365" s="402"/>
      <c r="AQQ1365" s="402"/>
      <c r="AQR1365" s="402"/>
      <c r="AQS1365" s="402"/>
      <c r="AQT1365" s="402"/>
      <c r="AQU1365" s="402"/>
      <c r="AQV1365" s="402"/>
      <c r="AQW1365" s="402"/>
      <c r="AQX1365" s="402"/>
      <c r="AQY1365" s="402"/>
      <c r="AQZ1365" s="402"/>
      <c r="ARA1365" s="402"/>
      <c r="ARB1365" s="402"/>
      <c r="ARC1365" s="402"/>
      <c r="ARD1365" s="402"/>
      <c r="ARE1365" s="402"/>
      <c r="ARF1365" s="402"/>
      <c r="ARG1365" s="402"/>
      <c r="ARH1365" s="402"/>
      <c r="ARI1365" s="402"/>
      <c r="ARJ1365" s="402"/>
      <c r="ARK1365" s="402"/>
      <c r="ARL1365" s="402"/>
      <c r="ARM1365" s="402"/>
      <c r="ARN1365" s="402"/>
      <c r="ARO1365" s="402"/>
      <c r="ARP1365" s="402"/>
      <c r="ARQ1365" s="402"/>
      <c r="ARR1365" s="402"/>
      <c r="ARS1365" s="402"/>
      <c r="ART1365" s="402"/>
      <c r="ARU1365" s="402"/>
      <c r="ARV1365" s="402"/>
      <c r="ARW1365" s="402"/>
      <c r="ARX1365" s="402"/>
      <c r="ARY1365" s="402"/>
      <c r="ARZ1365" s="402"/>
      <c r="ASA1365" s="402"/>
      <c r="ASB1365" s="402"/>
      <c r="ASC1365" s="402"/>
      <c r="ASD1365" s="402"/>
      <c r="ASE1365" s="402"/>
      <c r="ASF1365" s="402"/>
      <c r="ASG1365" s="402"/>
      <c r="ASH1365" s="402"/>
      <c r="ASI1365" s="402"/>
      <c r="ASJ1365" s="402"/>
      <c r="ASK1365" s="402"/>
      <c r="ASL1365" s="402"/>
      <c r="ASM1365" s="402"/>
      <c r="ASN1365" s="402"/>
      <c r="ASO1365" s="402"/>
      <c r="ASP1365" s="402"/>
      <c r="ASQ1365" s="402"/>
      <c r="ASR1365" s="402"/>
      <c r="ASS1365" s="402"/>
      <c r="AST1365" s="402"/>
      <c r="ASU1365" s="402"/>
      <c r="ASV1365" s="402"/>
      <c r="ASW1365" s="402"/>
      <c r="ASX1365" s="402"/>
      <c r="ASY1365" s="402"/>
      <c r="ASZ1365" s="402"/>
      <c r="ATA1365" s="402"/>
      <c r="ATB1365" s="402"/>
      <c r="ATC1365" s="402"/>
      <c r="ATD1365" s="402"/>
      <c r="ATE1365" s="402"/>
      <c r="ATF1365" s="402"/>
      <c r="ATG1365" s="402"/>
      <c r="ATH1365" s="402"/>
      <c r="ATI1365" s="402"/>
      <c r="ATJ1365" s="402"/>
      <c r="ATK1365" s="402"/>
      <c r="ATL1365" s="402"/>
      <c r="ATM1365" s="402"/>
      <c r="ATN1365" s="402"/>
      <c r="ATO1365" s="402"/>
      <c r="ATP1365" s="402"/>
      <c r="ATQ1365" s="402"/>
      <c r="ATR1365" s="402"/>
      <c r="ATS1365" s="402"/>
      <c r="ATT1365" s="402"/>
      <c r="ATU1365" s="402"/>
      <c r="ATV1365" s="402"/>
      <c r="ATW1365" s="402"/>
      <c r="ATX1365" s="402"/>
      <c r="ATY1365" s="402"/>
      <c r="ATZ1365" s="402"/>
      <c r="AUA1365" s="402"/>
      <c r="AUB1365" s="402"/>
      <c r="AUC1365" s="402"/>
      <c r="AUD1365" s="402"/>
      <c r="AUE1365" s="402"/>
      <c r="AUF1365" s="402"/>
      <c r="AUG1365" s="402"/>
      <c r="AUH1365" s="402"/>
      <c r="AUI1365" s="402"/>
      <c r="AUJ1365" s="402"/>
      <c r="AUK1365" s="402"/>
      <c r="AUL1365" s="402"/>
      <c r="AUM1365" s="402"/>
      <c r="AUN1365" s="402"/>
      <c r="AUO1365" s="402"/>
      <c r="AUP1365" s="402"/>
      <c r="AUQ1365" s="402"/>
      <c r="AUR1365" s="402"/>
      <c r="AUS1365" s="402"/>
      <c r="AUT1365" s="402"/>
      <c r="AUU1365" s="402"/>
      <c r="AUV1365" s="402"/>
      <c r="AUW1365" s="402"/>
      <c r="AUX1365" s="402"/>
      <c r="AUY1365" s="402"/>
      <c r="AUZ1365" s="402"/>
      <c r="AVA1365" s="402"/>
      <c r="AVB1365" s="402"/>
      <c r="AVC1365" s="402"/>
      <c r="AVD1365" s="402"/>
      <c r="AVE1365" s="402"/>
      <c r="AVF1365" s="402"/>
      <c r="AVG1365" s="402"/>
      <c r="AVH1365" s="402"/>
      <c r="AVI1365" s="402"/>
      <c r="AVJ1365" s="402"/>
      <c r="AVK1365" s="402"/>
    </row>
    <row r="1366" spans="1:1259" s="442" customFormat="1" ht="15" customHeight="1">
      <c r="A1366" s="403"/>
      <c r="B1366" s="403"/>
      <c r="C1366" s="403"/>
      <c r="D1366" s="443" t="s">
        <v>2480</v>
      </c>
      <c r="E1366" s="443" t="s">
        <v>2406</v>
      </c>
      <c r="F1366" s="432"/>
      <c r="G1366" s="432"/>
      <c r="H1366" s="451">
        <v>11</v>
      </c>
      <c r="I1366" s="427" t="s">
        <v>1498</v>
      </c>
      <c r="J1366" s="433"/>
      <c r="K1366" s="433" t="s">
        <v>3760</v>
      </c>
      <c r="L1366" s="433" t="s">
        <v>2509</v>
      </c>
      <c r="M1366" s="433">
        <v>44550</v>
      </c>
      <c r="N1366" s="433">
        <v>44715</v>
      </c>
      <c r="O1366" s="435"/>
      <c r="P1366" s="433"/>
      <c r="Q1366" s="433"/>
      <c r="R1366" s="433"/>
      <c r="S1366" s="432" t="s">
        <v>1940</v>
      </c>
      <c r="T1366" s="432">
        <v>60</v>
      </c>
      <c r="U1366" s="432"/>
      <c r="V1366" s="432" t="s">
        <v>973</v>
      </c>
      <c r="W1366" s="432">
        <v>400</v>
      </c>
      <c r="X1366" s="436">
        <v>480</v>
      </c>
      <c r="Y1366" s="422">
        <f t="shared" si="166"/>
        <v>192000</v>
      </c>
      <c r="Z1366" s="437">
        <v>0.53</v>
      </c>
      <c r="AA1366" s="423">
        <f t="shared" si="167"/>
        <v>101760</v>
      </c>
      <c r="AB1366" s="411"/>
      <c r="AC1366" s="412">
        <f t="shared" si="168"/>
        <v>0</v>
      </c>
      <c r="AD1366" s="439"/>
      <c r="AE1366" s="438"/>
      <c r="AF1366" s="424">
        <f t="shared" si="169"/>
        <v>101760</v>
      </c>
      <c r="AG1366" s="432" t="s">
        <v>1069</v>
      </c>
      <c r="AH1366" s="432"/>
      <c r="AI1366" s="434">
        <v>60</v>
      </c>
      <c r="AJ1366" s="432" t="s">
        <v>1323</v>
      </c>
      <c r="AK1366" s="440" t="s">
        <v>1136</v>
      </c>
      <c r="AL1366" s="432">
        <v>77092</v>
      </c>
      <c r="AM1366" s="432" t="s">
        <v>52</v>
      </c>
      <c r="AN1366" s="432"/>
      <c r="AO1366" s="432"/>
      <c r="AP1366" s="441"/>
      <c r="AQ1366" s="441" t="s">
        <v>37</v>
      </c>
      <c r="AR1366" s="441"/>
      <c r="AS1366" s="426" t="s">
        <v>1142</v>
      </c>
      <c r="AT1366" s="426" t="s">
        <v>1073</v>
      </c>
      <c r="AU1366" s="426" t="s">
        <v>1073</v>
      </c>
      <c r="AV1366" s="437">
        <v>0.53</v>
      </c>
      <c r="AW1366" s="402"/>
      <c r="AX1366" s="402"/>
      <c r="AY1366" s="402"/>
      <c r="AZ1366" s="402"/>
      <c r="BA1366" s="402"/>
      <c r="BB1366" s="402"/>
      <c r="BC1366" s="402"/>
      <c r="BD1366" s="402"/>
      <c r="BE1366" s="402"/>
      <c r="BF1366" s="402"/>
      <c r="BG1366" s="402"/>
      <c r="BH1366" s="402"/>
      <c r="BI1366" s="402"/>
      <c r="BJ1366" s="402"/>
      <c r="BK1366" s="402"/>
      <c r="BL1366" s="402"/>
      <c r="BM1366" s="402"/>
      <c r="BN1366" s="402"/>
      <c r="BO1366" s="402"/>
      <c r="BP1366" s="402"/>
      <c r="BQ1366" s="402"/>
      <c r="BR1366" s="402"/>
      <c r="BS1366" s="402"/>
      <c r="BT1366" s="402"/>
      <c r="BU1366" s="402"/>
      <c r="BV1366" s="402"/>
      <c r="BW1366" s="402"/>
      <c r="BX1366" s="402"/>
      <c r="BY1366" s="402"/>
      <c r="BZ1366" s="402"/>
      <c r="CA1366" s="402"/>
      <c r="CB1366" s="402"/>
      <c r="CC1366" s="402"/>
      <c r="CD1366" s="402"/>
      <c r="CE1366" s="402"/>
      <c r="CF1366" s="402"/>
      <c r="CG1366" s="402"/>
      <c r="CH1366" s="402"/>
      <c r="CI1366" s="402"/>
      <c r="CJ1366" s="402"/>
      <c r="CK1366" s="402"/>
      <c r="CL1366" s="402"/>
      <c r="CM1366" s="402"/>
      <c r="CN1366" s="402"/>
      <c r="CO1366" s="402"/>
      <c r="CP1366" s="402"/>
      <c r="CQ1366" s="402"/>
      <c r="CR1366" s="402"/>
      <c r="CS1366" s="402"/>
      <c r="CT1366" s="402"/>
      <c r="CU1366" s="402"/>
      <c r="CV1366" s="402"/>
      <c r="CW1366" s="402"/>
      <c r="CX1366" s="402"/>
      <c r="CY1366" s="402"/>
      <c r="CZ1366" s="402"/>
      <c r="DA1366" s="402"/>
      <c r="DB1366" s="402"/>
      <c r="DC1366" s="402"/>
      <c r="DD1366" s="402"/>
      <c r="DE1366" s="402"/>
      <c r="DF1366" s="402"/>
      <c r="DG1366" s="402"/>
      <c r="DH1366" s="402"/>
      <c r="DI1366" s="402"/>
      <c r="DJ1366" s="402"/>
      <c r="DK1366" s="402"/>
      <c r="DL1366" s="402"/>
      <c r="DM1366" s="402"/>
      <c r="DN1366" s="402"/>
      <c r="DO1366" s="402"/>
      <c r="DP1366" s="402"/>
      <c r="DQ1366" s="402"/>
      <c r="DR1366" s="402"/>
      <c r="DS1366" s="402"/>
      <c r="DT1366" s="402"/>
      <c r="DU1366" s="402"/>
      <c r="DV1366" s="402"/>
      <c r="DW1366" s="402"/>
      <c r="DX1366" s="402"/>
      <c r="DY1366" s="402"/>
      <c r="DZ1366" s="402"/>
      <c r="EA1366" s="402"/>
      <c r="EB1366" s="402"/>
      <c r="EC1366" s="402"/>
      <c r="ED1366" s="402"/>
      <c r="EE1366" s="402"/>
      <c r="EF1366" s="402"/>
      <c r="EG1366" s="402"/>
      <c r="EH1366" s="402"/>
      <c r="EI1366" s="402"/>
      <c r="EJ1366" s="402"/>
      <c r="EK1366" s="402"/>
      <c r="EL1366" s="402"/>
      <c r="EM1366" s="402"/>
      <c r="EN1366" s="402"/>
      <c r="EO1366" s="402"/>
      <c r="EP1366" s="402"/>
      <c r="EQ1366" s="402"/>
      <c r="ER1366" s="402"/>
      <c r="ES1366" s="402"/>
      <c r="ET1366" s="402"/>
      <c r="EU1366" s="402"/>
      <c r="EV1366" s="402"/>
      <c r="EW1366" s="402"/>
      <c r="EX1366" s="402"/>
      <c r="EY1366" s="402"/>
      <c r="EZ1366" s="402"/>
      <c r="FA1366" s="402"/>
      <c r="FB1366" s="402"/>
      <c r="FC1366" s="402"/>
      <c r="FD1366" s="402"/>
      <c r="FE1366" s="402"/>
      <c r="FF1366" s="402"/>
      <c r="FG1366" s="402"/>
      <c r="FH1366" s="402"/>
      <c r="FI1366" s="402"/>
      <c r="FJ1366" s="402"/>
      <c r="FK1366" s="402"/>
      <c r="FL1366" s="402"/>
      <c r="FM1366" s="402"/>
      <c r="FN1366" s="402"/>
      <c r="FO1366" s="402"/>
      <c r="FP1366" s="402"/>
      <c r="FQ1366" s="402"/>
      <c r="FR1366" s="402"/>
      <c r="FS1366" s="402"/>
      <c r="FT1366" s="402"/>
      <c r="FU1366" s="402"/>
      <c r="FV1366" s="402"/>
      <c r="FW1366" s="402"/>
      <c r="FX1366" s="402"/>
      <c r="FY1366" s="402"/>
      <c r="FZ1366" s="402"/>
      <c r="GA1366" s="402"/>
      <c r="GB1366" s="402"/>
      <c r="GC1366" s="402"/>
      <c r="GD1366" s="402"/>
      <c r="GE1366" s="402"/>
      <c r="GF1366" s="402"/>
      <c r="GG1366" s="402"/>
      <c r="GH1366" s="402"/>
      <c r="GI1366" s="402"/>
      <c r="GJ1366" s="402"/>
      <c r="GK1366" s="402"/>
      <c r="GL1366" s="402"/>
      <c r="GM1366" s="402"/>
      <c r="GN1366" s="402"/>
      <c r="GO1366" s="402"/>
      <c r="GP1366" s="402"/>
      <c r="GQ1366" s="402"/>
      <c r="GR1366" s="402"/>
      <c r="GS1366" s="402"/>
      <c r="GT1366" s="402"/>
      <c r="GU1366" s="402"/>
      <c r="GV1366" s="402"/>
      <c r="GW1366" s="402"/>
      <c r="GX1366" s="402"/>
      <c r="GY1366" s="402"/>
      <c r="GZ1366" s="402"/>
      <c r="HA1366" s="402"/>
      <c r="HB1366" s="402"/>
      <c r="HC1366" s="402"/>
      <c r="HD1366" s="402"/>
      <c r="HE1366" s="402"/>
      <c r="HF1366" s="402"/>
      <c r="HG1366" s="402"/>
      <c r="HH1366" s="402"/>
      <c r="HI1366" s="402"/>
      <c r="HJ1366" s="402"/>
      <c r="HK1366" s="402"/>
      <c r="HL1366" s="402"/>
      <c r="HM1366" s="402"/>
      <c r="HN1366" s="402"/>
      <c r="HO1366" s="402"/>
      <c r="HP1366" s="402"/>
      <c r="HQ1366" s="402"/>
      <c r="HR1366" s="402"/>
      <c r="HS1366" s="402"/>
      <c r="HT1366" s="402"/>
      <c r="HU1366" s="402"/>
      <c r="HV1366" s="402"/>
      <c r="HW1366" s="402"/>
      <c r="HX1366" s="402"/>
      <c r="HY1366" s="402"/>
      <c r="HZ1366" s="402"/>
      <c r="IA1366" s="402"/>
      <c r="IB1366" s="402"/>
      <c r="IC1366" s="402"/>
      <c r="ID1366" s="402"/>
      <c r="IE1366" s="402"/>
      <c r="IF1366" s="402"/>
      <c r="IG1366" s="402"/>
      <c r="IH1366" s="402"/>
      <c r="II1366" s="402"/>
      <c r="IJ1366" s="402"/>
      <c r="IK1366" s="402"/>
      <c r="IL1366" s="402"/>
      <c r="IM1366" s="402"/>
      <c r="IN1366" s="402"/>
      <c r="IO1366" s="402"/>
      <c r="IP1366" s="402"/>
      <c r="IQ1366" s="402"/>
      <c r="IR1366" s="402"/>
      <c r="IS1366" s="402"/>
      <c r="IT1366" s="402"/>
      <c r="IU1366" s="402"/>
      <c r="IV1366" s="402"/>
      <c r="IW1366" s="402"/>
      <c r="IX1366" s="402"/>
      <c r="IY1366" s="402"/>
      <c r="IZ1366" s="402"/>
      <c r="JA1366" s="402"/>
      <c r="JB1366" s="402"/>
      <c r="JC1366" s="402"/>
      <c r="JD1366" s="402"/>
      <c r="JE1366" s="402"/>
      <c r="JF1366" s="402"/>
      <c r="JG1366" s="402"/>
      <c r="JH1366" s="402"/>
      <c r="JI1366" s="402"/>
      <c r="JJ1366" s="402"/>
      <c r="JK1366" s="402"/>
      <c r="JL1366" s="402"/>
      <c r="JM1366" s="402"/>
      <c r="JN1366" s="402"/>
      <c r="JO1366" s="402"/>
      <c r="JP1366" s="402"/>
      <c r="JQ1366" s="402"/>
      <c r="JR1366" s="402"/>
      <c r="JS1366" s="402"/>
      <c r="JT1366" s="402"/>
      <c r="JU1366" s="402"/>
      <c r="JV1366" s="402"/>
      <c r="JW1366" s="402"/>
      <c r="JX1366" s="402"/>
      <c r="JY1366" s="402"/>
      <c r="JZ1366" s="402"/>
      <c r="KA1366" s="402"/>
      <c r="KB1366" s="402"/>
      <c r="KC1366" s="402"/>
      <c r="KD1366" s="402"/>
      <c r="KE1366" s="402"/>
      <c r="KF1366" s="402"/>
      <c r="KG1366" s="402"/>
      <c r="KH1366" s="402"/>
      <c r="KI1366" s="402"/>
      <c r="KJ1366" s="402"/>
      <c r="KK1366" s="402"/>
      <c r="KL1366" s="402"/>
      <c r="KM1366" s="402"/>
      <c r="KN1366" s="402"/>
      <c r="KO1366" s="402"/>
      <c r="KP1366" s="402"/>
      <c r="KQ1366" s="402"/>
      <c r="KR1366" s="402"/>
      <c r="KS1366" s="402"/>
      <c r="KT1366" s="402"/>
      <c r="KU1366" s="402"/>
      <c r="KV1366" s="402"/>
      <c r="KW1366" s="402"/>
      <c r="KX1366" s="402"/>
      <c r="KY1366" s="402"/>
      <c r="KZ1366" s="402"/>
      <c r="LA1366" s="402"/>
      <c r="LB1366" s="402"/>
      <c r="LC1366" s="402"/>
      <c r="LD1366" s="402"/>
      <c r="LE1366" s="402"/>
      <c r="LF1366" s="402"/>
      <c r="LG1366" s="402"/>
      <c r="LH1366" s="402"/>
      <c r="LI1366" s="402"/>
      <c r="LJ1366" s="402"/>
      <c r="LK1366" s="402"/>
      <c r="LL1366" s="402"/>
      <c r="LM1366" s="402"/>
      <c r="LN1366" s="402"/>
      <c r="LO1366" s="402"/>
      <c r="LP1366" s="402"/>
      <c r="LQ1366" s="402"/>
      <c r="LR1366" s="402"/>
      <c r="LS1366" s="402"/>
      <c r="LT1366" s="402"/>
      <c r="LU1366" s="402"/>
      <c r="LV1366" s="402"/>
      <c r="LW1366" s="402"/>
      <c r="LX1366" s="402"/>
      <c r="LY1366" s="402"/>
      <c r="LZ1366" s="402"/>
      <c r="MA1366" s="402"/>
      <c r="MB1366" s="402"/>
      <c r="MC1366" s="402"/>
      <c r="MD1366" s="402"/>
      <c r="ME1366" s="402"/>
      <c r="MF1366" s="402"/>
      <c r="MG1366" s="402"/>
      <c r="MH1366" s="402"/>
      <c r="MI1366" s="402"/>
      <c r="MJ1366" s="402"/>
      <c r="MK1366" s="402"/>
      <c r="ML1366" s="402"/>
      <c r="MM1366" s="402"/>
      <c r="MN1366" s="402"/>
      <c r="MO1366" s="402"/>
      <c r="MP1366" s="402"/>
      <c r="MQ1366" s="402"/>
      <c r="MR1366" s="402"/>
      <c r="MS1366" s="402"/>
      <c r="MT1366" s="402"/>
      <c r="MU1366" s="402"/>
      <c r="MV1366" s="402"/>
      <c r="MW1366" s="402"/>
      <c r="MX1366" s="402"/>
      <c r="MY1366" s="402"/>
      <c r="MZ1366" s="402"/>
      <c r="NA1366" s="402"/>
      <c r="NB1366" s="402"/>
      <c r="NC1366" s="402"/>
      <c r="ND1366" s="402"/>
      <c r="NE1366" s="402"/>
      <c r="NF1366" s="402"/>
      <c r="NG1366" s="402"/>
      <c r="NH1366" s="402"/>
      <c r="NI1366" s="402"/>
      <c r="NJ1366" s="402"/>
      <c r="NK1366" s="402"/>
      <c r="NL1366" s="402"/>
      <c r="NM1366" s="402"/>
      <c r="NN1366" s="402"/>
      <c r="NO1366" s="402"/>
      <c r="NP1366" s="402"/>
      <c r="NQ1366" s="402"/>
      <c r="NR1366" s="402"/>
      <c r="NS1366" s="402"/>
      <c r="NT1366" s="402"/>
      <c r="NU1366" s="402"/>
      <c r="NV1366" s="402"/>
      <c r="NW1366" s="402"/>
      <c r="NX1366" s="402"/>
      <c r="NY1366" s="402"/>
      <c r="NZ1366" s="402"/>
      <c r="OA1366" s="402"/>
      <c r="OB1366" s="402"/>
      <c r="OC1366" s="402"/>
      <c r="OD1366" s="402"/>
      <c r="OE1366" s="402"/>
      <c r="OF1366" s="402"/>
      <c r="OG1366" s="402"/>
      <c r="OH1366" s="402"/>
      <c r="OI1366" s="402"/>
      <c r="OJ1366" s="402"/>
      <c r="OK1366" s="402"/>
      <c r="OL1366" s="402"/>
      <c r="OM1366" s="402"/>
      <c r="ON1366" s="402"/>
      <c r="OO1366" s="402"/>
      <c r="OP1366" s="402"/>
      <c r="OQ1366" s="402"/>
      <c r="OR1366" s="402"/>
      <c r="OS1366" s="402"/>
      <c r="OT1366" s="402"/>
      <c r="OU1366" s="402"/>
      <c r="OV1366" s="402"/>
      <c r="OW1366" s="402"/>
      <c r="OX1366" s="402"/>
      <c r="OY1366" s="402"/>
      <c r="OZ1366" s="402"/>
      <c r="PA1366" s="402"/>
      <c r="PB1366" s="402"/>
      <c r="PC1366" s="402"/>
      <c r="PD1366" s="402"/>
      <c r="PE1366" s="402"/>
      <c r="PF1366" s="402"/>
      <c r="PG1366" s="402"/>
      <c r="PH1366" s="402"/>
      <c r="PI1366" s="402"/>
      <c r="PJ1366" s="402"/>
      <c r="PK1366" s="402"/>
      <c r="PL1366" s="402"/>
      <c r="PM1366" s="402"/>
      <c r="PN1366" s="402"/>
      <c r="PO1366" s="402"/>
      <c r="PP1366" s="402"/>
      <c r="PQ1366" s="402"/>
      <c r="PR1366" s="402"/>
      <c r="PS1366" s="402"/>
      <c r="PT1366" s="402"/>
      <c r="PU1366" s="402"/>
      <c r="PV1366" s="402"/>
      <c r="PW1366" s="402"/>
      <c r="PX1366" s="402"/>
      <c r="PY1366" s="402"/>
      <c r="PZ1366" s="402"/>
      <c r="QA1366" s="402"/>
      <c r="QB1366" s="402"/>
      <c r="QC1366" s="402"/>
      <c r="QD1366" s="402"/>
      <c r="QE1366" s="402"/>
      <c r="QF1366" s="402"/>
      <c r="QG1366" s="402"/>
      <c r="QH1366" s="402"/>
      <c r="QI1366" s="402"/>
      <c r="QJ1366" s="402"/>
      <c r="QK1366" s="402"/>
      <c r="QL1366" s="402"/>
      <c r="QM1366" s="402"/>
      <c r="QN1366" s="402"/>
      <c r="QO1366" s="402"/>
      <c r="QP1366" s="402"/>
      <c r="QQ1366" s="402"/>
      <c r="QR1366" s="402"/>
      <c r="QS1366" s="402"/>
      <c r="QT1366" s="402"/>
      <c r="QU1366" s="402"/>
      <c r="QV1366" s="402"/>
      <c r="QW1366" s="402"/>
      <c r="QX1366" s="402"/>
      <c r="QY1366" s="402"/>
      <c r="QZ1366" s="402"/>
      <c r="RA1366" s="402"/>
      <c r="RB1366" s="402"/>
      <c r="RC1366" s="402"/>
      <c r="RD1366" s="402"/>
      <c r="RE1366" s="402"/>
      <c r="RF1366" s="402"/>
      <c r="RG1366" s="402"/>
      <c r="RH1366" s="402"/>
      <c r="RI1366" s="402"/>
      <c r="RJ1366" s="402"/>
      <c r="RK1366" s="402"/>
      <c r="RL1366" s="402"/>
      <c r="RM1366" s="402"/>
      <c r="RN1366" s="402"/>
      <c r="RO1366" s="402"/>
      <c r="RP1366" s="402"/>
      <c r="RQ1366" s="402"/>
      <c r="RR1366" s="402"/>
      <c r="RS1366" s="402"/>
      <c r="RT1366" s="402"/>
      <c r="RU1366" s="402"/>
      <c r="RV1366" s="402"/>
      <c r="RW1366" s="402"/>
      <c r="RX1366" s="402"/>
      <c r="RY1366" s="402"/>
      <c r="RZ1366" s="402"/>
      <c r="SA1366" s="402"/>
      <c r="SB1366" s="402"/>
      <c r="SC1366" s="402"/>
      <c r="SD1366" s="402"/>
      <c r="SE1366" s="402"/>
      <c r="SF1366" s="402"/>
      <c r="SG1366" s="402"/>
      <c r="SH1366" s="402"/>
      <c r="SI1366" s="402"/>
      <c r="SJ1366" s="402"/>
      <c r="SK1366" s="402"/>
      <c r="SL1366" s="402"/>
      <c r="SM1366" s="402"/>
      <c r="SN1366" s="402"/>
      <c r="SO1366" s="402"/>
      <c r="SP1366" s="402"/>
      <c r="SQ1366" s="402"/>
      <c r="SR1366" s="402"/>
      <c r="SS1366" s="402"/>
      <c r="ST1366" s="402"/>
      <c r="SU1366" s="402"/>
      <c r="SV1366" s="402"/>
      <c r="SW1366" s="402"/>
      <c r="SX1366" s="402"/>
      <c r="SY1366" s="402"/>
      <c r="SZ1366" s="402"/>
      <c r="TA1366" s="402"/>
      <c r="TB1366" s="402"/>
      <c r="TC1366" s="402"/>
      <c r="TD1366" s="402"/>
      <c r="TE1366" s="402"/>
      <c r="TF1366" s="402"/>
      <c r="TG1366" s="402"/>
      <c r="TH1366" s="402"/>
      <c r="TI1366" s="402"/>
      <c r="TJ1366" s="402"/>
      <c r="TK1366" s="402"/>
      <c r="TL1366" s="402"/>
      <c r="TM1366" s="402"/>
      <c r="TN1366" s="402"/>
      <c r="TO1366" s="402"/>
      <c r="TP1366" s="402"/>
      <c r="TQ1366" s="402"/>
      <c r="TR1366" s="402"/>
      <c r="TS1366" s="402"/>
      <c r="TT1366" s="402"/>
      <c r="TU1366" s="402"/>
      <c r="TV1366" s="402"/>
      <c r="TW1366" s="402"/>
      <c r="TX1366" s="402"/>
      <c r="TY1366" s="402"/>
      <c r="TZ1366" s="402"/>
      <c r="UA1366" s="402"/>
      <c r="UB1366" s="402"/>
      <c r="UC1366" s="402"/>
      <c r="UD1366" s="402"/>
      <c r="UE1366" s="402"/>
      <c r="UF1366" s="402"/>
      <c r="UG1366" s="402"/>
      <c r="UH1366" s="402"/>
      <c r="UI1366" s="402"/>
      <c r="UJ1366" s="402"/>
      <c r="UK1366" s="402"/>
      <c r="UL1366" s="402"/>
      <c r="UM1366" s="402"/>
      <c r="UN1366" s="402"/>
      <c r="UO1366" s="402"/>
      <c r="UP1366" s="402"/>
      <c r="UQ1366" s="402"/>
      <c r="UR1366" s="402"/>
      <c r="US1366" s="402"/>
      <c r="UT1366" s="402"/>
      <c r="UU1366" s="402"/>
      <c r="UV1366" s="402"/>
      <c r="UW1366" s="402"/>
      <c r="UX1366" s="402"/>
      <c r="UY1366" s="402"/>
      <c r="UZ1366" s="402"/>
      <c r="VA1366" s="402"/>
      <c r="VB1366" s="402"/>
      <c r="VC1366" s="402"/>
      <c r="VD1366" s="402"/>
      <c r="VE1366" s="402"/>
      <c r="VF1366" s="402"/>
      <c r="VG1366" s="402"/>
      <c r="VH1366" s="402"/>
      <c r="VI1366" s="402"/>
      <c r="VJ1366" s="402"/>
      <c r="VK1366" s="402"/>
      <c r="VL1366" s="402"/>
      <c r="VM1366" s="402"/>
      <c r="VN1366" s="402"/>
      <c r="VO1366" s="402"/>
      <c r="VP1366" s="402"/>
      <c r="VQ1366" s="402"/>
      <c r="VR1366" s="402"/>
      <c r="VS1366" s="402"/>
      <c r="VT1366" s="402"/>
      <c r="VU1366" s="402"/>
      <c r="VV1366" s="402"/>
      <c r="VW1366" s="402"/>
      <c r="VX1366" s="402"/>
      <c r="VY1366" s="402"/>
      <c r="VZ1366" s="402"/>
      <c r="WA1366" s="402"/>
      <c r="WB1366" s="402"/>
      <c r="WC1366" s="402"/>
      <c r="WD1366" s="402"/>
      <c r="WE1366" s="402"/>
      <c r="WF1366" s="402"/>
      <c r="WG1366" s="402"/>
      <c r="WH1366" s="402"/>
      <c r="WI1366" s="402"/>
      <c r="WJ1366" s="402"/>
      <c r="WK1366" s="402"/>
      <c r="WL1366" s="402"/>
      <c r="WM1366" s="402"/>
      <c r="WN1366" s="402"/>
      <c r="WO1366" s="402"/>
      <c r="WP1366" s="402"/>
      <c r="WQ1366" s="402"/>
      <c r="WR1366" s="402"/>
      <c r="WS1366" s="402"/>
      <c r="WT1366" s="402"/>
      <c r="WU1366" s="402"/>
      <c r="WV1366" s="402"/>
      <c r="WW1366" s="402"/>
      <c r="WX1366" s="402"/>
      <c r="WY1366" s="402"/>
      <c r="WZ1366" s="402"/>
      <c r="XA1366" s="402"/>
      <c r="XB1366" s="402"/>
      <c r="XC1366" s="402"/>
      <c r="XD1366" s="402"/>
      <c r="XE1366" s="402"/>
      <c r="XF1366" s="402"/>
      <c r="XG1366" s="402"/>
      <c r="XH1366" s="402"/>
      <c r="XI1366" s="402"/>
      <c r="XJ1366" s="402"/>
      <c r="XK1366" s="402"/>
      <c r="XL1366" s="402"/>
      <c r="XM1366" s="402"/>
      <c r="XN1366" s="402"/>
      <c r="XO1366" s="402"/>
      <c r="XP1366" s="402"/>
      <c r="XQ1366" s="402"/>
      <c r="XR1366" s="402"/>
      <c r="XS1366" s="402"/>
      <c r="XT1366" s="402"/>
      <c r="XU1366" s="402"/>
      <c r="XV1366" s="402"/>
      <c r="XW1366" s="402"/>
      <c r="XX1366" s="402"/>
      <c r="XY1366" s="402"/>
      <c r="XZ1366" s="402"/>
      <c r="YA1366" s="402"/>
      <c r="YB1366" s="402"/>
      <c r="YC1366" s="402"/>
      <c r="YD1366" s="402"/>
      <c r="YE1366" s="402"/>
      <c r="YF1366" s="402"/>
      <c r="YG1366" s="402"/>
      <c r="YH1366" s="402"/>
      <c r="YI1366" s="402"/>
      <c r="YJ1366" s="402"/>
      <c r="YK1366" s="402"/>
      <c r="YL1366" s="402"/>
      <c r="YM1366" s="402"/>
      <c r="YN1366" s="402"/>
      <c r="YO1366" s="402"/>
      <c r="YP1366" s="402"/>
      <c r="YQ1366" s="402"/>
      <c r="YR1366" s="402"/>
      <c r="YS1366" s="402"/>
      <c r="YT1366" s="402"/>
      <c r="YU1366" s="402"/>
      <c r="YV1366" s="402"/>
      <c r="YW1366" s="402"/>
      <c r="YX1366" s="402"/>
      <c r="YY1366" s="402"/>
      <c r="YZ1366" s="402"/>
      <c r="ZA1366" s="402"/>
      <c r="ZB1366" s="402"/>
      <c r="ZC1366" s="402"/>
      <c r="ZD1366" s="402"/>
      <c r="ZE1366" s="402"/>
      <c r="ZF1366" s="402"/>
      <c r="ZG1366" s="402"/>
      <c r="ZH1366" s="402"/>
      <c r="ZI1366" s="402"/>
      <c r="ZJ1366" s="402"/>
      <c r="ZK1366" s="402"/>
      <c r="ZL1366" s="402"/>
      <c r="ZM1366" s="402"/>
      <c r="ZN1366" s="402"/>
      <c r="ZO1366" s="402"/>
      <c r="ZP1366" s="402"/>
      <c r="ZQ1366" s="402"/>
      <c r="ZR1366" s="402"/>
      <c r="ZS1366" s="402"/>
      <c r="ZT1366" s="402"/>
      <c r="ZU1366" s="402"/>
      <c r="ZV1366" s="402"/>
      <c r="ZW1366" s="402"/>
      <c r="ZX1366" s="402"/>
      <c r="ZY1366" s="402"/>
      <c r="ZZ1366" s="402"/>
      <c r="AAA1366" s="402"/>
      <c r="AAB1366" s="402"/>
      <c r="AAC1366" s="402"/>
      <c r="AAD1366" s="402"/>
      <c r="AAE1366" s="402"/>
      <c r="AAF1366" s="402"/>
      <c r="AAG1366" s="402"/>
      <c r="AAH1366" s="402"/>
      <c r="AAI1366" s="402"/>
      <c r="AAJ1366" s="402"/>
      <c r="AAK1366" s="402"/>
      <c r="AAL1366" s="402"/>
      <c r="AAM1366" s="402"/>
      <c r="AAN1366" s="402"/>
      <c r="AAO1366" s="402"/>
      <c r="AAP1366" s="402"/>
      <c r="AAQ1366" s="402"/>
      <c r="AAR1366" s="402"/>
      <c r="AAS1366" s="402"/>
      <c r="AAT1366" s="402"/>
      <c r="AAU1366" s="402"/>
      <c r="AAV1366" s="402"/>
      <c r="AAW1366" s="402"/>
      <c r="AAX1366" s="402"/>
      <c r="AAY1366" s="402"/>
      <c r="AAZ1366" s="402"/>
      <c r="ABA1366" s="402"/>
      <c r="ABB1366" s="402"/>
      <c r="ABC1366" s="402"/>
      <c r="ABD1366" s="402"/>
      <c r="ABE1366" s="402"/>
      <c r="ABF1366" s="402"/>
      <c r="ABG1366" s="402"/>
      <c r="ABH1366" s="402"/>
      <c r="ABI1366" s="402"/>
      <c r="ABJ1366" s="402"/>
      <c r="ABK1366" s="402"/>
      <c r="ABL1366" s="402"/>
      <c r="ABM1366" s="402"/>
      <c r="ABN1366" s="402"/>
      <c r="ABO1366" s="402"/>
      <c r="ABP1366" s="402"/>
      <c r="ABQ1366" s="402"/>
      <c r="ABR1366" s="402"/>
      <c r="ABS1366" s="402"/>
      <c r="ABT1366" s="402"/>
      <c r="ABU1366" s="402"/>
      <c r="ABV1366" s="402"/>
      <c r="ABW1366" s="402"/>
      <c r="ABX1366" s="402"/>
      <c r="ABY1366" s="402"/>
      <c r="ABZ1366" s="402"/>
      <c r="ACA1366" s="402"/>
      <c r="ACB1366" s="402"/>
      <c r="ACC1366" s="402"/>
      <c r="ACD1366" s="402"/>
      <c r="ACE1366" s="402"/>
      <c r="ACF1366" s="402"/>
      <c r="ACG1366" s="402"/>
      <c r="ACH1366" s="402"/>
      <c r="ACI1366" s="402"/>
      <c r="ACJ1366" s="402"/>
      <c r="ACK1366" s="402"/>
      <c r="ACL1366" s="402"/>
      <c r="ACM1366" s="402"/>
      <c r="ACN1366" s="402"/>
      <c r="ACO1366" s="402"/>
      <c r="ACP1366" s="402"/>
      <c r="ACQ1366" s="402"/>
      <c r="ACR1366" s="402"/>
      <c r="ACS1366" s="402"/>
      <c r="ACT1366" s="402"/>
      <c r="ACU1366" s="402"/>
      <c r="ACV1366" s="402"/>
      <c r="ACW1366" s="402"/>
      <c r="ACX1366" s="402"/>
      <c r="ACY1366" s="402"/>
      <c r="ACZ1366" s="402"/>
      <c r="ADA1366" s="402"/>
      <c r="ADB1366" s="402"/>
      <c r="ADC1366" s="402"/>
      <c r="ADD1366" s="402"/>
      <c r="ADE1366" s="402"/>
      <c r="ADF1366" s="402"/>
      <c r="ADG1366" s="402"/>
      <c r="ADH1366" s="402"/>
      <c r="ADI1366" s="402"/>
      <c r="ADJ1366" s="402"/>
      <c r="ADK1366" s="402"/>
      <c r="ADL1366" s="402"/>
      <c r="ADM1366" s="402"/>
      <c r="ADN1366" s="402"/>
      <c r="ADO1366" s="402"/>
      <c r="ADP1366" s="402"/>
      <c r="ADQ1366" s="402"/>
      <c r="ADR1366" s="402"/>
      <c r="ADS1366" s="402"/>
      <c r="ADT1366" s="402"/>
      <c r="ADU1366" s="402"/>
      <c r="ADV1366" s="402"/>
      <c r="ADW1366" s="402"/>
      <c r="ADX1366" s="402"/>
      <c r="ADY1366" s="402"/>
      <c r="ADZ1366" s="402"/>
      <c r="AEA1366" s="402"/>
      <c r="AEB1366" s="402"/>
      <c r="AEC1366" s="402"/>
      <c r="AED1366" s="402"/>
      <c r="AEE1366" s="402"/>
      <c r="AEF1366" s="402"/>
      <c r="AEG1366" s="402"/>
      <c r="AEH1366" s="402"/>
      <c r="AEI1366" s="402"/>
      <c r="AEJ1366" s="402"/>
      <c r="AEK1366" s="402"/>
      <c r="AEL1366" s="402"/>
      <c r="AEM1366" s="402"/>
      <c r="AEN1366" s="402"/>
      <c r="AEO1366" s="402"/>
      <c r="AEP1366" s="402"/>
      <c r="AEQ1366" s="402"/>
      <c r="AER1366" s="402"/>
      <c r="AES1366" s="402"/>
      <c r="AET1366" s="402"/>
      <c r="AEU1366" s="402"/>
      <c r="AEV1366" s="402"/>
      <c r="AEW1366" s="402"/>
      <c r="AEX1366" s="402"/>
      <c r="AEY1366" s="402"/>
      <c r="AEZ1366" s="402"/>
      <c r="AFA1366" s="402"/>
      <c r="AFB1366" s="402"/>
      <c r="AFC1366" s="402"/>
      <c r="AFD1366" s="402"/>
      <c r="AFE1366" s="402"/>
      <c r="AFF1366" s="402"/>
      <c r="AFG1366" s="402"/>
      <c r="AFH1366" s="402"/>
      <c r="AFI1366" s="402"/>
      <c r="AFJ1366" s="402"/>
      <c r="AFK1366" s="402"/>
      <c r="AFL1366" s="402"/>
      <c r="AFM1366" s="402"/>
      <c r="AFN1366" s="402"/>
      <c r="AFO1366" s="402"/>
      <c r="AFP1366" s="402"/>
      <c r="AFQ1366" s="402"/>
      <c r="AFR1366" s="402"/>
      <c r="AFS1366" s="402"/>
      <c r="AFT1366" s="402"/>
      <c r="AFU1366" s="402"/>
      <c r="AFV1366" s="402"/>
      <c r="AFW1366" s="402"/>
      <c r="AFX1366" s="402"/>
      <c r="AFY1366" s="402"/>
      <c r="AFZ1366" s="402"/>
      <c r="AGA1366" s="402"/>
      <c r="AGB1366" s="402"/>
      <c r="AGC1366" s="402"/>
      <c r="AGD1366" s="402"/>
      <c r="AGE1366" s="402"/>
      <c r="AGF1366" s="402"/>
      <c r="AGG1366" s="402"/>
      <c r="AGH1366" s="402"/>
      <c r="AGI1366" s="402"/>
      <c r="AGJ1366" s="402"/>
      <c r="AGK1366" s="402"/>
      <c r="AGL1366" s="402"/>
      <c r="AGM1366" s="402"/>
      <c r="AGN1366" s="402"/>
      <c r="AGO1366" s="402"/>
      <c r="AGP1366" s="402"/>
      <c r="AGQ1366" s="402"/>
      <c r="AGR1366" s="402"/>
      <c r="AGS1366" s="402"/>
      <c r="AGT1366" s="402"/>
      <c r="AGU1366" s="402"/>
      <c r="AGV1366" s="402"/>
      <c r="AGW1366" s="402"/>
      <c r="AGX1366" s="402"/>
      <c r="AGY1366" s="402"/>
      <c r="AGZ1366" s="402"/>
      <c r="AHA1366" s="402"/>
      <c r="AHB1366" s="402"/>
      <c r="AHC1366" s="402"/>
      <c r="AHD1366" s="402"/>
      <c r="AHE1366" s="402"/>
      <c r="AHF1366" s="402"/>
      <c r="AHG1366" s="402"/>
      <c r="AHH1366" s="402"/>
      <c r="AHI1366" s="402"/>
      <c r="AHJ1366" s="402"/>
      <c r="AHK1366" s="402"/>
      <c r="AHL1366" s="402"/>
      <c r="AHM1366" s="402"/>
      <c r="AHN1366" s="402"/>
      <c r="AHO1366" s="402"/>
      <c r="AHP1366" s="402"/>
      <c r="AHQ1366" s="402"/>
      <c r="AHR1366" s="402"/>
      <c r="AHS1366" s="402"/>
      <c r="AHT1366" s="402"/>
      <c r="AHU1366" s="402"/>
      <c r="AHV1366" s="402"/>
      <c r="AHW1366" s="402"/>
      <c r="AHX1366" s="402"/>
      <c r="AHY1366" s="402"/>
      <c r="AHZ1366" s="402"/>
      <c r="AIA1366" s="402"/>
      <c r="AIB1366" s="402"/>
      <c r="AIC1366" s="402"/>
      <c r="AID1366" s="402"/>
      <c r="AIE1366" s="402"/>
      <c r="AIF1366" s="402"/>
      <c r="AIG1366" s="402"/>
      <c r="AIH1366" s="402"/>
      <c r="AII1366" s="402"/>
      <c r="AIJ1366" s="402"/>
      <c r="AIK1366" s="402"/>
      <c r="AIL1366" s="402"/>
      <c r="AIM1366" s="402"/>
      <c r="AIN1366" s="402"/>
      <c r="AIO1366" s="402"/>
      <c r="AIP1366" s="402"/>
      <c r="AIQ1366" s="402"/>
      <c r="AIR1366" s="402"/>
      <c r="AIS1366" s="402"/>
      <c r="AIT1366" s="402"/>
      <c r="AIU1366" s="402"/>
      <c r="AIV1366" s="402"/>
      <c r="AIW1366" s="402"/>
      <c r="AIX1366" s="402"/>
      <c r="AIY1366" s="402"/>
      <c r="AIZ1366" s="402"/>
      <c r="AJA1366" s="402"/>
      <c r="AJB1366" s="402"/>
      <c r="AJC1366" s="402"/>
      <c r="AJD1366" s="402"/>
      <c r="AJE1366" s="402"/>
      <c r="AJF1366" s="402"/>
      <c r="AJG1366" s="402"/>
      <c r="AJH1366" s="402"/>
      <c r="AJI1366" s="402"/>
      <c r="AJJ1366" s="402"/>
      <c r="AJK1366" s="402"/>
      <c r="AJL1366" s="402"/>
      <c r="AJM1366" s="402"/>
      <c r="AJN1366" s="402"/>
      <c r="AJO1366" s="402"/>
      <c r="AJP1366" s="402"/>
      <c r="AJQ1366" s="402"/>
      <c r="AJR1366" s="402"/>
      <c r="AJS1366" s="402"/>
      <c r="AJT1366" s="402"/>
      <c r="AJU1366" s="402"/>
      <c r="AJV1366" s="402"/>
      <c r="AJW1366" s="402"/>
      <c r="AJX1366" s="402"/>
      <c r="AJY1366" s="402"/>
      <c r="AJZ1366" s="402"/>
      <c r="AKA1366" s="402"/>
      <c r="AKB1366" s="402"/>
      <c r="AKC1366" s="402"/>
      <c r="AKD1366" s="402"/>
      <c r="AKE1366" s="402"/>
      <c r="AKF1366" s="402"/>
      <c r="AKG1366" s="402"/>
      <c r="AKH1366" s="402"/>
      <c r="AKI1366" s="402"/>
      <c r="AKJ1366" s="402"/>
      <c r="AKK1366" s="402"/>
      <c r="AKL1366" s="402"/>
      <c r="AKM1366" s="402"/>
      <c r="AKN1366" s="402"/>
      <c r="AKO1366" s="402"/>
      <c r="AKP1366" s="402"/>
      <c r="AKQ1366" s="402"/>
      <c r="AKR1366" s="402"/>
      <c r="AKS1366" s="402"/>
      <c r="AKT1366" s="402"/>
      <c r="AKU1366" s="402"/>
      <c r="AKV1366" s="402"/>
      <c r="AKW1366" s="402"/>
      <c r="AKX1366" s="402"/>
      <c r="AKY1366" s="402"/>
      <c r="AKZ1366" s="402"/>
      <c r="ALA1366" s="402"/>
      <c r="ALB1366" s="402"/>
      <c r="ALC1366" s="402"/>
      <c r="ALD1366" s="402"/>
      <c r="ALE1366" s="402"/>
      <c r="ALF1366" s="402"/>
      <c r="ALG1366" s="402"/>
      <c r="ALH1366" s="402"/>
      <c r="ALI1366" s="402"/>
      <c r="ALJ1366" s="402"/>
      <c r="ALK1366" s="402"/>
      <c r="ALL1366" s="402"/>
      <c r="ALM1366" s="402"/>
      <c r="ALN1366" s="402"/>
      <c r="ALO1366" s="402"/>
      <c r="ALP1366" s="402"/>
      <c r="ALQ1366" s="402"/>
      <c r="ALR1366" s="402"/>
      <c r="ALS1366" s="402"/>
      <c r="ALT1366" s="402"/>
      <c r="ALU1366" s="402"/>
      <c r="ALV1366" s="402"/>
      <c r="ALW1366" s="402"/>
      <c r="ALX1366" s="402"/>
      <c r="ALY1366" s="402"/>
      <c r="ALZ1366" s="402"/>
      <c r="AMA1366" s="402"/>
      <c r="AMB1366" s="402"/>
      <c r="AMC1366" s="402"/>
      <c r="AMD1366" s="402"/>
      <c r="AME1366" s="402"/>
      <c r="AMF1366" s="402"/>
      <c r="AMG1366" s="402"/>
      <c r="AMH1366" s="402"/>
      <c r="AMI1366" s="402"/>
      <c r="AMJ1366" s="402"/>
      <c r="AMK1366" s="402"/>
      <c r="AML1366" s="402"/>
      <c r="AMM1366" s="402"/>
      <c r="AMN1366" s="402"/>
      <c r="AMO1366" s="402"/>
      <c r="AMP1366" s="402"/>
      <c r="AMQ1366" s="402"/>
      <c r="AMR1366" s="402"/>
      <c r="AMS1366" s="402"/>
      <c r="AMT1366" s="402"/>
      <c r="AMU1366" s="402"/>
      <c r="AMV1366" s="402"/>
      <c r="AMW1366" s="402"/>
      <c r="AMX1366" s="402"/>
      <c r="AMY1366" s="402"/>
      <c r="AMZ1366" s="402"/>
      <c r="ANA1366" s="402"/>
      <c r="ANB1366" s="402"/>
      <c r="ANC1366" s="402"/>
      <c r="AND1366" s="402"/>
      <c r="ANE1366" s="402"/>
      <c r="ANF1366" s="402"/>
      <c r="ANG1366" s="402"/>
      <c r="ANH1366" s="402"/>
      <c r="ANI1366" s="402"/>
      <c r="ANJ1366" s="402"/>
      <c r="ANK1366" s="402"/>
      <c r="ANL1366" s="402"/>
      <c r="ANM1366" s="402"/>
      <c r="ANN1366" s="402"/>
      <c r="ANO1366" s="402"/>
      <c r="ANP1366" s="402"/>
      <c r="ANQ1366" s="402"/>
      <c r="ANR1366" s="402"/>
      <c r="ANS1366" s="402"/>
      <c r="ANT1366" s="402"/>
      <c r="ANU1366" s="402"/>
      <c r="ANV1366" s="402"/>
      <c r="ANW1366" s="402"/>
      <c r="ANX1366" s="402"/>
      <c r="ANY1366" s="402"/>
      <c r="ANZ1366" s="402"/>
      <c r="AOA1366" s="402"/>
      <c r="AOB1366" s="402"/>
      <c r="AOC1366" s="402"/>
      <c r="AOD1366" s="402"/>
      <c r="AOE1366" s="402"/>
      <c r="AOF1366" s="402"/>
      <c r="AOG1366" s="402"/>
      <c r="AOH1366" s="402"/>
      <c r="AOI1366" s="402"/>
      <c r="AOJ1366" s="402"/>
      <c r="AOK1366" s="402"/>
      <c r="AOL1366" s="402"/>
      <c r="AOM1366" s="402"/>
      <c r="AON1366" s="402"/>
      <c r="AOO1366" s="402"/>
      <c r="AOP1366" s="402"/>
      <c r="AOQ1366" s="402"/>
      <c r="AOR1366" s="402"/>
      <c r="AOS1366" s="402"/>
      <c r="AOT1366" s="402"/>
      <c r="AOU1366" s="402"/>
      <c r="AOV1366" s="402"/>
      <c r="AOW1366" s="402"/>
      <c r="AOX1366" s="402"/>
      <c r="AOY1366" s="402"/>
      <c r="AOZ1366" s="402"/>
      <c r="APA1366" s="402"/>
      <c r="APB1366" s="402"/>
      <c r="APC1366" s="402"/>
      <c r="APD1366" s="402"/>
      <c r="APE1366" s="402"/>
      <c r="APF1366" s="402"/>
      <c r="APG1366" s="402"/>
      <c r="APH1366" s="402"/>
      <c r="API1366" s="402"/>
      <c r="APJ1366" s="402"/>
      <c r="APK1366" s="402"/>
      <c r="APL1366" s="402"/>
      <c r="APM1366" s="402"/>
      <c r="APN1366" s="402"/>
      <c r="APO1366" s="402"/>
      <c r="APP1366" s="402"/>
      <c r="APQ1366" s="402"/>
      <c r="APR1366" s="402"/>
      <c r="APS1366" s="402"/>
      <c r="APT1366" s="402"/>
      <c r="APU1366" s="402"/>
      <c r="APV1366" s="402"/>
      <c r="APW1366" s="402"/>
      <c r="APX1366" s="402"/>
      <c r="APY1366" s="402"/>
      <c r="APZ1366" s="402"/>
      <c r="AQA1366" s="402"/>
      <c r="AQB1366" s="402"/>
      <c r="AQC1366" s="402"/>
      <c r="AQD1366" s="402"/>
      <c r="AQE1366" s="402"/>
      <c r="AQF1366" s="402"/>
      <c r="AQG1366" s="402"/>
      <c r="AQH1366" s="402"/>
      <c r="AQI1366" s="402"/>
      <c r="AQJ1366" s="402"/>
      <c r="AQK1366" s="402"/>
      <c r="AQL1366" s="402"/>
      <c r="AQM1366" s="402"/>
      <c r="AQN1366" s="402"/>
      <c r="AQO1366" s="402"/>
      <c r="AQP1366" s="402"/>
      <c r="AQQ1366" s="402"/>
      <c r="AQR1366" s="402"/>
      <c r="AQS1366" s="402"/>
      <c r="AQT1366" s="402"/>
      <c r="AQU1366" s="402"/>
      <c r="AQV1366" s="402"/>
      <c r="AQW1366" s="402"/>
      <c r="AQX1366" s="402"/>
      <c r="AQY1366" s="402"/>
      <c r="AQZ1366" s="402"/>
      <c r="ARA1366" s="402"/>
      <c r="ARB1366" s="402"/>
      <c r="ARC1366" s="402"/>
      <c r="ARD1366" s="402"/>
      <c r="ARE1366" s="402"/>
      <c r="ARF1366" s="402"/>
      <c r="ARG1366" s="402"/>
      <c r="ARH1366" s="402"/>
      <c r="ARI1366" s="402"/>
      <c r="ARJ1366" s="402"/>
      <c r="ARK1366" s="402"/>
      <c r="ARL1366" s="402"/>
      <c r="ARM1366" s="402"/>
      <c r="ARN1366" s="402"/>
      <c r="ARO1366" s="402"/>
      <c r="ARP1366" s="402"/>
      <c r="ARQ1366" s="402"/>
      <c r="ARR1366" s="402"/>
      <c r="ARS1366" s="402"/>
      <c r="ART1366" s="402"/>
      <c r="ARU1366" s="402"/>
      <c r="ARV1366" s="402"/>
      <c r="ARW1366" s="402"/>
      <c r="ARX1366" s="402"/>
      <c r="ARY1366" s="402"/>
      <c r="ARZ1366" s="402"/>
      <c r="ASA1366" s="402"/>
      <c r="ASB1366" s="402"/>
      <c r="ASC1366" s="402"/>
      <c r="ASD1366" s="402"/>
      <c r="ASE1366" s="402"/>
      <c r="ASF1366" s="402"/>
      <c r="ASG1366" s="402"/>
      <c r="ASH1366" s="402"/>
      <c r="ASI1366" s="402"/>
      <c r="ASJ1366" s="402"/>
      <c r="ASK1366" s="402"/>
      <c r="ASL1366" s="402"/>
      <c r="ASM1366" s="402"/>
      <c r="ASN1366" s="402"/>
      <c r="ASO1366" s="402"/>
      <c r="ASP1366" s="402"/>
      <c r="ASQ1366" s="402"/>
      <c r="ASR1366" s="402"/>
      <c r="ASS1366" s="402"/>
      <c r="AST1366" s="402"/>
      <c r="ASU1366" s="402"/>
      <c r="ASV1366" s="402"/>
      <c r="ASW1366" s="402"/>
      <c r="ASX1366" s="402"/>
      <c r="ASY1366" s="402"/>
      <c r="ASZ1366" s="402"/>
      <c r="ATA1366" s="402"/>
      <c r="ATB1366" s="402"/>
      <c r="ATC1366" s="402"/>
      <c r="ATD1366" s="402"/>
      <c r="ATE1366" s="402"/>
      <c r="ATF1366" s="402"/>
      <c r="ATG1366" s="402"/>
      <c r="ATH1366" s="402"/>
      <c r="ATI1366" s="402"/>
      <c r="ATJ1366" s="402"/>
      <c r="ATK1366" s="402"/>
      <c r="ATL1366" s="402"/>
      <c r="ATM1366" s="402"/>
      <c r="ATN1366" s="402"/>
      <c r="ATO1366" s="402"/>
      <c r="ATP1366" s="402"/>
      <c r="ATQ1366" s="402"/>
      <c r="ATR1366" s="402"/>
      <c r="ATS1366" s="402"/>
      <c r="ATT1366" s="402"/>
      <c r="ATU1366" s="402"/>
      <c r="ATV1366" s="402"/>
      <c r="ATW1366" s="402"/>
      <c r="ATX1366" s="402"/>
      <c r="ATY1366" s="402"/>
      <c r="ATZ1366" s="402"/>
      <c r="AUA1366" s="402"/>
      <c r="AUB1366" s="402"/>
      <c r="AUC1366" s="402"/>
      <c r="AUD1366" s="402"/>
      <c r="AUE1366" s="402"/>
      <c r="AUF1366" s="402"/>
      <c r="AUG1366" s="402"/>
      <c r="AUH1366" s="402"/>
      <c r="AUI1366" s="402"/>
      <c r="AUJ1366" s="402"/>
      <c r="AUK1366" s="402"/>
      <c r="AUL1366" s="402"/>
      <c r="AUM1366" s="402"/>
      <c r="AUN1366" s="402"/>
      <c r="AUO1366" s="402"/>
      <c r="AUP1366" s="402"/>
      <c r="AUQ1366" s="402"/>
      <c r="AUR1366" s="402"/>
      <c r="AUS1366" s="402"/>
      <c r="AUT1366" s="402"/>
      <c r="AUU1366" s="402"/>
      <c r="AUV1366" s="402"/>
      <c r="AUW1366" s="402"/>
      <c r="AUX1366" s="402"/>
      <c r="AUY1366" s="402"/>
      <c r="AUZ1366" s="402"/>
      <c r="AVA1366" s="402"/>
      <c r="AVB1366" s="402"/>
      <c r="AVC1366" s="402"/>
      <c r="AVD1366" s="402"/>
      <c r="AVE1366" s="402"/>
      <c r="AVF1366" s="402"/>
      <c r="AVG1366" s="402"/>
      <c r="AVH1366" s="402"/>
      <c r="AVI1366" s="402"/>
      <c r="AVJ1366" s="402"/>
      <c r="AVK1366" s="402"/>
    </row>
    <row r="1367" spans="1:1259" s="442" customFormat="1" ht="15" customHeight="1">
      <c r="A1367" s="403"/>
      <c r="B1367" s="403"/>
      <c r="C1367" s="403"/>
      <c r="D1367" s="443" t="s">
        <v>2480</v>
      </c>
      <c r="E1367" s="443" t="s">
        <v>2406</v>
      </c>
      <c r="F1367" s="432"/>
      <c r="G1367" s="432"/>
      <c r="H1367" s="451">
        <v>11</v>
      </c>
      <c r="I1367" s="427" t="s">
        <v>1498</v>
      </c>
      <c r="J1367" s="433"/>
      <c r="K1367" s="433" t="s">
        <v>3761</v>
      </c>
      <c r="L1367" s="433" t="s">
        <v>2509</v>
      </c>
      <c r="M1367" s="433">
        <v>44550</v>
      </c>
      <c r="N1367" s="433">
        <v>44652</v>
      </c>
      <c r="O1367" s="435"/>
      <c r="P1367" s="433"/>
      <c r="Q1367" s="433"/>
      <c r="R1367" s="433"/>
      <c r="S1367" s="432" t="s">
        <v>1940</v>
      </c>
      <c r="T1367" s="432">
        <v>60</v>
      </c>
      <c r="U1367" s="432"/>
      <c r="V1367" s="432" t="s">
        <v>973</v>
      </c>
      <c r="W1367" s="432">
        <v>400</v>
      </c>
      <c r="X1367" s="436">
        <v>480</v>
      </c>
      <c r="Y1367" s="422">
        <f t="shared" si="166"/>
        <v>192000</v>
      </c>
      <c r="Z1367" s="437">
        <v>0.53</v>
      </c>
      <c r="AA1367" s="423">
        <f t="shared" si="167"/>
        <v>101760</v>
      </c>
      <c r="AB1367" s="411"/>
      <c r="AC1367" s="412">
        <f t="shared" si="168"/>
        <v>0</v>
      </c>
      <c r="AD1367" s="439"/>
      <c r="AE1367" s="438"/>
      <c r="AF1367" s="424">
        <f t="shared" si="169"/>
        <v>101760</v>
      </c>
      <c r="AG1367" s="432" t="s">
        <v>1069</v>
      </c>
      <c r="AH1367" s="432"/>
      <c r="AI1367" s="434">
        <v>60</v>
      </c>
      <c r="AJ1367" s="432" t="s">
        <v>2624</v>
      </c>
      <c r="AK1367" s="440" t="s">
        <v>1136</v>
      </c>
      <c r="AL1367" s="432">
        <v>73128</v>
      </c>
      <c r="AM1367" s="432" t="s">
        <v>52</v>
      </c>
      <c r="AN1367" s="432"/>
      <c r="AO1367" s="432"/>
      <c r="AP1367" s="441"/>
      <c r="AQ1367" s="441" t="s">
        <v>37</v>
      </c>
      <c r="AR1367" s="441"/>
      <c r="AS1367" s="426" t="s">
        <v>1142</v>
      </c>
      <c r="AT1367" s="426" t="s">
        <v>1073</v>
      </c>
      <c r="AU1367" s="426" t="s">
        <v>1073</v>
      </c>
      <c r="AV1367" s="437">
        <v>0.53</v>
      </c>
      <c r="AW1367" s="402"/>
      <c r="AX1367" s="402"/>
      <c r="AY1367" s="402"/>
      <c r="AZ1367" s="402"/>
      <c r="BA1367" s="402"/>
      <c r="BB1367" s="402"/>
      <c r="BC1367" s="402"/>
      <c r="BD1367" s="402"/>
      <c r="BE1367" s="402"/>
      <c r="BF1367" s="402"/>
      <c r="BG1367" s="402"/>
      <c r="BH1367" s="402"/>
      <c r="BI1367" s="402"/>
      <c r="BJ1367" s="402"/>
      <c r="BK1367" s="402"/>
      <c r="BL1367" s="402"/>
      <c r="BM1367" s="402"/>
      <c r="BN1367" s="402"/>
      <c r="BO1367" s="402"/>
      <c r="BP1367" s="402"/>
      <c r="BQ1367" s="402"/>
      <c r="BR1367" s="402"/>
      <c r="BS1367" s="402"/>
      <c r="BT1367" s="402"/>
      <c r="BU1367" s="402"/>
      <c r="BV1367" s="402"/>
      <c r="BW1367" s="402"/>
      <c r="BX1367" s="402"/>
      <c r="BY1367" s="402"/>
      <c r="BZ1367" s="402"/>
      <c r="CA1367" s="402"/>
      <c r="CB1367" s="402"/>
      <c r="CC1367" s="402"/>
      <c r="CD1367" s="402"/>
      <c r="CE1367" s="402"/>
      <c r="CF1367" s="402"/>
      <c r="CG1367" s="402"/>
      <c r="CH1367" s="402"/>
      <c r="CI1367" s="402"/>
      <c r="CJ1367" s="402"/>
      <c r="CK1367" s="402"/>
      <c r="CL1367" s="402"/>
      <c r="CM1367" s="402"/>
      <c r="CN1367" s="402"/>
      <c r="CO1367" s="402"/>
      <c r="CP1367" s="402"/>
      <c r="CQ1367" s="402"/>
      <c r="CR1367" s="402"/>
      <c r="CS1367" s="402"/>
      <c r="CT1367" s="402"/>
      <c r="CU1367" s="402"/>
      <c r="CV1367" s="402"/>
      <c r="CW1367" s="402"/>
      <c r="CX1367" s="402"/>
      <c r="CY1367" s="402"/>
      <c r="CZ1367" s="402"/>
      <c r="DA1367" s="402"/>
      <c r="DB1367" s="402"/>
      <c r="DC1367" s="402"/>
      <c r="DD1367" s="402"/>
      <c r="DE1367" s="402"/>
      <c r="DF1367" s="402"/>
      <c r="DG1367" s="402"/>
      <c r="DH1367" s="402"/>
      <c r="DI1367" s="402"/>
      <c r="DJ1367" s="402"/>
      <c r="DK1367" s="402"/>
      <c r="DL1367" s="402"/>
      <c r="DM1367" s="402"/>
      <c r="DN1367" s="402"/>
      <c r="DO1367" s="402"/>
      <c r="DP1367" s="402"/>
      <c r="DQ1367" s="402"/>
      <c r="DR1367" s="402"/>
      <c r="DS1367" s="402"/>
      <c r="DT1367" s="402"/>
      <c r="DU1367" s="402"/>
      <c r="DV1367" s="402"/>
      <c r="DW1367" s="402"/>
      <c r="DX1367" s="402"/>
      <c r="DY1367" s="402"/>
      <c r="DZ1367" s="402"/>
      <c r="EA1367" s="402"/>
      <c r="EB1367" s="402"/>
      <c r="EC1367" s="402"/>
      <c r="ED1367" s="402"/>
      <c r="EE1367" s="402"/>
      <c r="EF1367" s="402"/>
      <c r="EG1367" s="402"/>
      <c r="EH1367" s="402"/>
      <c r="EI1367" s="402"/>
      <c r="EJ1367" s="402"/>
      <c r="EK1367" s="402"/>
      <c r="EL1367" s="402"/>
      <c r="EM1367" s="402"/>
      <c r="EN1367" s="402"/>
      <c r="EO1367" s="402"/>
      <c r="EP1367" s="402"/>
      <c r="EQ1367" s="402"/>
      <c r="ER1367" s="402"/>
      <c r="ES1367" s="402"/>
      <c r="ET1367" s="402"/>
      <c r="EU1367" s="402"/>
      <c r="EV1367" s="402"/>
      <c r="EW1367" s="402"/>
      <c r="EX1367" s="402"/>
      <c r="EY1367" s="402"/>
      <c r="EZ1367" s="402"/>
      <c r="FA1367" s="402"/>
      <c r="FB1367" s="402"/>
      <c r="FC1367" s="402"/>
      <c r="FD1367" s="402"/>
      <c r="FE1367" s="402"/>
      <c r="FF1367" s="402"/>
      <c r="FG1367" s="402"/>
      <c r="FH1367" s="402"/>
      <c r="FI1367" s="402"/>
      <c r="FJ1367" s="402"/>
      <c r="FK1367" s="402"/>
      <c r="FL1367" s="402"/>
      <c r="FM1367" s="402"/>
      <c r="FN1367" s="402"/>
      <c r="FO1367" s="402"/>
      <c r="FP1367" s="402"/>
      <c r="FQ1367" s="402"/>
      <c r="FR1367" s="402"/>
      <c r="FS1367" s="402"/>
      <c r="FT1367" s="402"/>
      <c r="FU1367" s="402"/>
      <c r="FV1367" s="402"/>
      <c r="FW1367" s="402"/>
      <c r="FX1367" s="402"/>
      <c r="FY1367" s="402"/>
      <c r="FZ1367" s="402"/>
      <c r="GA1367" s="402"/>
      <c r="GB1367" s="402"/>
      <c r="GC1367" s="402"/>
      <c r="GD1367" s="402"/>
      <c r="GE1367" s="402"/>
      <c r="GF1367" s="402"/>
      <c r="GG1367" s="402"/>
      <c r="GH1367" s="402"/>
      <c r="GI1367" s="402"/>
      <c r="GJ1367" s="402"/>
      <c r="GK1367" s="402"/>
      <c r="GL1367" s="402"/>
      <c r="GM1367" s="402"/>
      <c r="GN1367" s="402"/>
      <c r="GO1367" s="402"/>
      <c r="GP1367" s="402"/>
      <c r="GQ1367" s="402"/>
      <c r="GR1367" s="402"/>
      <c r="GS1367" s="402"/>
      <c r="GT1367" s="402"/>
      <c r="GU1367" s="402"/>
      <c r="GV1367" s="402"/>
      <c r="GW1367" s="402"/>
      <c r="GX1367" s="402"/>
      <c r="GY1367" s="402"/>
      <c r="GZ1367" s="402"/>
      <c r="HA1367" s="402"/>
      <c r="HB1367" s="402"/>
      <c r="HC1367" s="402"/>
      <c r="HD1367" s="402"/>
      <c r="HE1367" s="402"/>
      <c r="HF1367" s="402"/>
      <c r="HG1367" s="402"/>
      <c r="HH1367" s="402"/>
      <c r="HI1367" s="402"/>
      <c r="HJ1367" s="402"/>
      <c r="HK1367" s="402"/>
      <c r="HL1367" s="402"/>
      <c r="HM1367" s="402"/>
      <c r="HN1367" s="402"/>
      <c r="HO1367" s="402"/>
      <c r="HP1367" s="402"/>
      <c r="HQ1367" s="402"/>
      <c r="HR1367" s="402"/>
      <c r="HS1367" s="402"/>
      <c r="HT1367" s="402"/>
      <c r="HU1367" s="402"/>
      <c r="HV1367" s="402"/>
      <c r="HW1367" s="402"/>
      <c r="HX1367" s="402"/>
      <c r="HY1367" s="402"/>
      <c r="HZ1367" s="402"/>
      <c r="IA1367" s="402"/>
      <c r="IB1367" s="402"/>
      <c r="IC1367" s="402"/>
      <c r="ID1367" s="402"/>
      <c r="IE1367" s="402"/>
      <c r="IF1367" s="402"/>
      <c r="IG1367" s="402"/>
      <c r="IH1367" s="402"/>
      <c r="II1367" s="402"/>
      <c r="IJ1367" s="402"/>
      <c r="IK1367" s="402"/>
      <c r="IL1367" s="402"/>
      <c r="IM1367" s="402"/>
      <c r="IN1367" s="402"/>
      <c r="IO1367" s="402"/>
      <c r="IP1367" s="402"/>
      <c r="IQ1367" s="402"/>
      <c r="IR1367" s="402"/>
      <c r="IS1367" s="402"/>
      <c r="IT1367" s="402"/>
      <c r="IU1367" s="402"/>
      <c r="IV1367" s="402"/>
      <c r="IW1367" s="402"/>
      <c r="IX1367" s="402"/>
      <c r="IY1367" s="402"/>
      <c r="IZ1367" s="402"/>
      <c r="JA1367" s="402"/>
      <c r="JB1367" s="402"/>
      <c r="JC1367" s="402"/>
      <c r="JD1367" s="402"/>
      <c r="JE1367" s="402"/>
      <c r="JF1367" s="402"/>
      <c r="JG1367" s="402"/>
      <c r="JH1367" s="402"/>
      <c r="JI1367" s="402"/>
      <c r="JJ1367" s="402"/>
      <c r="JK1367" s="402"/>
      <c r="JL1367" s="402"/>
      <c r="JM1367" s="402"/>
      <c r="JN1367" s="402"/>
      <c r="JO1367" s="402"/>
      <c r="JP1367" s="402"/>
      <c r="JQ1367" s="402"/>
      <c r="JR1367" s="402"/>
      <c r="JS1367" s="402"/>
      <c r="JT1367" s="402"/>
      <c r="JU1367" s="402"/>
      <c r="JV1367" s="402"/>
      <c r="JW1367" s="402"/>
      <c r="JX1367" s="402"/>
      <c r="JY1367" s="402"/>
      <c r="JZ1367" s="402"/>
      <c r="KA1367" s="402"/>
      <c r="KB1367" s="402"/>
      <c r="KC1367" s="402"/>
      <c r="KD1367" s="402"/>
      <c r="KE1367" s="402"/>
      <c r="KF1367" s="402"/>
      <c r="KG1367" s="402"/>
      <c r="KH1367" s="402"/>
      <c r="KI1367" s="402"/>
      <c r="KJ1367" s="402"/>
      <c r="KK1367" s="402"/>
      <c r="KL1367" s="402"/>
      <c r="KM1367" s="402"/>
      <c r="KN1367" s="402"/>
      <c r="KO1367" s="402"/>
      <c r="KP1367" s="402"/>
      <c r="KQ1367" s="402"/>
      <c r="KR1367" s="402"/>
      <c r="KS1367" s="402"/>
      <c r="KT1367" s="402"/>
      <c r="KU1367" s="402"/>
      <c r="KV1367" s="402"/>
      <c r="KW1367" s="402"/>
      <c r="KX1367" s="402"/>
      <c r="KY1367" s="402"/>
      <c r="KZ1367" s="402"/>
      <c r="LA1367" s="402"/>
      <c r="LB1367" s="402"/>
      <c r="LC1367" s="402"/>
      <c r="LD1367" s="402"/>
      <c r="LE1367" s="402"/>
      <c r="LF1367" s="402"/>
      <c r="LG1367" s="402"/>
      <c r="LH1367" s="402"/>
      <c r="LI1367" s="402"/>
      <c r="LJ1367" s="402"/>
      <c r="LK1367" s="402"/>
      <c r="LL1367" s="402"/>
      <c r="LM1367" s="402"/>
      <c r="LN1367" s="402"/>
      <c r="LO1367" s="402"/>
      <c r="LP1367" s="402"/>
      <c r="LQ1367" s="402"/>
      <c r="LR1367" s="402"/>
      <c r="LS1367" s="402"/>
      <c r="LT1367" s="402"/>
      <c r="LU1367" s="402"/>
      <c r="LV1367" s="402"/>
      <c r="LW1367" s="402"/>
      <c r="LX1367" s="402"/>
      <c r="LY1367" s="402"/>
      <c r="LZ1367" s="402"/>
      <c r="MA1367" s="402"/>
      <c r="MB1367" s="402"/>
      <c r="MC1367" s="402"/>
      <c r="MD1367" s="402"/>
      <c r="ME1367" s="402"/>
      <c r="MF1367" s="402"/>
      <c r="MG1367" s="402"/>
      <c r="MH1367" s="402"/>
      <c r="MI1367" s="402"/>
      <c r="MJ1367" s="402"/>
      <c r="MK1367" s="402"/>
      <c r="ML1367" s="402"/>
      <c r="MM1367" s="402"/>
      <c r="MN1367" s="402"/>
      <c r="MO1367" s="402"/>
      <c r="MP1367" s="402"/>
      <c r="MQ1367" s="402"/>
      <c r="MR1367" s="402"/>
      <c r="MS1367" s="402"/>
      <c r="MT1367" s="402"/>
      <c r="MU1367" s="402"/>
      <c r="MV1367" s="402"/>
      <c r="MW1367" s="402"/>
      <c r="MX1367" s="402"/>
      <c r="MY1367" s="402"/>
      <c r="MZ1367" s="402"/>
      <c r="NA1367" s="402"/>
      <c r="NB1367" s="402"/>
      <c r="NC1367" s="402"/>
      <c r="ND1367" s="402"/>
      <c r="NE1367" s="402"/>
      <c r="NF1367" s="402"/>
      <c r="NG1367" s="402"/>
      <c r="NH1367" s="402"/>
      <c r="NI1367" s="402"/>
      <c r="NJ1367" s="402"/>
      <c r="NK1367" s="402"/>
      <c r="NL1367" s="402"/>
      <c r="NM1367" s="402"/>
      <c r="NN1367" s="402"/>
      <c r="NO1367" s="402"/>
      <c r="NP1367" s="402"/>
      <c r="NQ1367" s="402"/>
      <c r="NR1367" s="402"/>
      <c r="NS1367" s="402"/>
      <c r="NT1367" s="402"/>
      <c r="NU1367" s="402"/>
      <c r="NV1367" s="402"/>
      <c r="NW1367" s="402"/>
      <c r="NX1367" s="402"/>
      <c r="NY1367" s="402"/>
      <c r="NZ1367" s="402"/>
      <c r="OA1367" s="402"/>
      <c r="OB1367" s="402"/>
      <c r="OC1367" s="402"/>
      <c r="OD1367" s="402"/>
      <c r="OE1367" s="402"/>
      <c r="OF1367" s="402"/>
      <c r="OG1367" s="402"/>
      <c r="OH1367" s="402"/>
      <c r="OI1367" s="402"/>
      <c r="OJ1367" s="402"/>
      <c r="OK1367" s="402"/>
      <c r="OL1367" s="402"/>
      <c r="OM1367" s="402"/>
      <c r="ON1367" s="402"/>
      <c r="OO1367" s="402"/>
      <c r="OP1367" s="402"/>
      <c r="OQ1367" s="402"/>
      <c r="OR1367" s="402"/>
      <c r="OS1367" s="402"/>
      <c r="OT1367" s="402"/>
      <c r="OU1367" s="402"/>
      <c r="OV1367" s="402"/>
      <c r="OW1367" s="402"/>
      <c r="OX1367" s="402"/>
      <c r="OY1367" s="402"/>
      <c r="OZ1367" s="402"/>
      <c r="PA1367" s="402"/>
      <c r="PB1367" s="402"/>
      <c r="PC1367" s="402"/>
      <c r="PD1367" s="402"/>
      <c r="PE1367" s="402"/>
      <c r="PF1367" s="402"/>
      <c r="PG1367" s="402"/>
      <c r="PH1367" s="402"/>
      <c r="PI1367" s="402"/>
      <c r="PJ1367" s="402"/>
      <c r="PK1367" s="402"/>
      <c r="PL1367" s="402"/>
      <c r="PM1367" s="402"/>
      <c r="PN1367" s="402"/>
      <c r="PO1367" s="402"/>
      <c r="PP1367" s="402"/>
      <c r="PQ1367" s="402"/>
      <c r="PR1367" s="402"/>
      <c r="PS1367" s="402"/>
      <c r="PT1367" s="402"/>
      <c r="PU1367" s="402"/>
      <c r="PV1367" s="402"/>
      <c r="PW1367" s="402"/>
      <c r="PX1367" s="402"/>
      <c r="PY1367" s="402"/>
      <c r="PZ1367" s="402"/>
      <c r="QA1367" s="402"/>
      <c r="QB1367" s="402"/>
      <c r="QC1367" s="402"/>
      <c r="QD1367" s="402"/>
      <c r="QE1367" s="402"/>
      <c r="QF1367" s="402"/>
      <c r="QG1367" s="402"/>
      <c r="QH1367" s="402"/>
      <c r="QI1367" s="402"/>
      <c r="QJ1367" s="402"/>
      <c r="QK1367" s="402"/>
      <c r="QL1367" s="402"/>
      <c r="QM1367" s="402"/>
      <c r="QN1367" s="402"/>
      <c r="QO1367" s="402"/>
      <c r="QP1367" s="402"/>
      <c r="QQ1367" s="402"/>
      <c r="QR1367" s="402"/>
      <c r="QS1367" s="402"/>
      <c r="QT1367" s="402"/>
      <c r="QU1367" s="402"/>
      <c r="QV1367" s="402"/>
      <c r="QW1367" s="402"/>
      <c r="QX1367" s="402"/>
      <c r="QY1367" s="402"/>
      <c r="QZ1367" s="402"/>
      <c r="RA1367" s="402"/>
      <c r="RB1367" s="402"/>
      <c r="RC1367" s="402"/>
      <c r="RD1367" s="402"/>
      <c r="RE1367" s="402"/>
      <c r="RF1367" s="402"/>
      <c r="RG1367" s="402"/>
      <c r="RH1367" s="402"/>
      <c r="RI1367" s="402"/>
      <c r="RJ1367" s="402"/>
      <c r="RK1367" s="402"/>
      <c r="RL1367" s="402"/>
      <c r="RM1367" s="402"/>
      <c r="RN1367" s="402"/>
      <c r="RO1367" s="402"/>
      <c r="RP1367" s="402"/>
      <c r="RQ1367" s="402"/>
      <c r="RR1367" s="402"/>
      <c r="RS1367" s="402"/>
      <c r="RT1367" s="402"/>
      <c r="RU1367" s="402"/>
      <c r="RV1367" s="402"/>
      <c r="RW1367" s="402"/>
      <c r="RX1367" s="402"/>
      <c r="RY1367" s="402"/>
      <c r="RZ1367" s="402"/>
      <c r="SA1367" s="402"/>
      <c r="SB1367" s="402"/>
      <c r="SC1367" s="402"/>
      <c r="SD1367" s="402"/>
      <c r="SE1367" s="402"/>
      <c r="SF1367" s="402"/>
      <c r="SG1367" s="402"/>
      <c r="SH1367" s="402"/>
      <c r="SI1367" s="402"/>
      <c r="SJ1367" s="402"/>
      <c r="SK1367" s="402"/>
      <c r="SL1367" s="402"/>
      <c r="SM1367" s="402"/>
      <c r="SN1367" s="402"/>
      <c r="SO1367" s="402"/>
      <c r="SP1367" s="402"/>
      <c r="SQ1367" s="402"/>
      <c r="SR1367" s="402"/>
      <c r="SS1367" s="402"/>
      <c r="ST1367" s="402"/>
      <c r="SU1367" s="402"/>
      <c r="SV1367" s="402"/>
      <c r="SW1367" s="402"/>
      <c r="SX1367" s="402"/>
      <c r="SY1367" s="402"/>
      <c r="SZ1367" s="402"/>
      <c r="TA1367" s="402"/>
      <c r="TB1367" s="402"/>
      <c r="TC1367" s="402"/>
      <c r="TD1367" s="402"/>
      <c r="TE1367" s="402"/>
      <c r="TF1367" s="402"/>
      <c r="TG1367" s="402"/>
      <c r="TH1367" s="402"/>
      <c r="TI1367" s="402"/>
      <c r="TJ1367" s="402"/>
      <c r="TK1367" s="402"/>
      <c r="TL1367" s="402"/>
      <c r="TM1367" s="402"/>
      <c r="TN1367" s="402"/>
      <c r="TO1367" s="402"/>
      <c r="TP1367" s="402"/>
      <c r="TQ1367" s="402"/>
      <c r="TR1367" s="402"/>
      <c r="TS1367" s="402"/>
      <c r="TT1367" s="402"/>
      <c r="TU1367" s="402"/>
      <c r="TV1367" s="402"/>
      <c r="TW1367" s="402"/>
      <c r="TX1367" s="402"/>
      <c r="TY1367" s="402"/>
      <c r="TZ1367" s="402"/>
      <c r="UA1367" s="402"/>
      <c r="UB1367" s="402"/>
      <c r="UC1367" s="402"/>
      <c r="UD1367" s="402"/>
      <c r="UE1367" s="402"/>
      <c r="UF1367" s="402"/>
      <c r="UG1367" s="402"/>
      <c r="UH1367" s="402"/>
      <c r="UI1367" s="402"/>
      <c r="UJ1367" s="402"/>
      <c r="UK1367" s="402"/>
      <c r="UL1367" s="402"/>
      <c r="UM1367" s="402"/>
      <c r="UN1367" s="402"/>
      <c r="UO1367" s="402"/>
      <c r="UP1367" s="402"/>
      <c r="UQ1367" s="402"/>
      <c r="UR1367" s="402"/>
      <c r="US1367" s="402"/>
      <c r="UT1367" s="402"/>
      <c r="UU1367" s="402"/>
      <c r="UV1367" s="402"/>
      <c r="UW1367" s="402"/>
      <c r="UX1367" s="402"/>
      <c r="UY1367" s="402"/>
      <c r="UZ1367" s="402"/>
      <c r="VA1367" s="402"/>
      <c r="VB1367" s="402"/>
      <c r="VC1367" s="402"/>
      <c r="VD1367" s="402"/>
      <c r="VE1367" s="402"/>
      <c r="VF1367" s="402"/>
      <c r="VG1367" s="402"/>
      <c r="VH1367" s="402"/>
      <c r="VI1367" s="402"/>
      <c r="VJ1367" s="402"/>
      <c r="VK1367" s="402"/>
      <c r="VL1367" s="402"/>
      <c r="VM1367" s="402"/>
      <c r="VN1367" s="402"/>
      <c r="VO1367" s="402"/>
      <c r="VP1367" s="402"/>
      <c r="VQ1367" s="402"/>
      <c r="VR1367" s="402"/>
      <c r="VS1367" s="402"/>
      <c r="VT1367" s="402"/>
      <c r="VU1367" s="402"/>
      <c r="VV1367" s="402"/>
      <c r="VW1367" s="402"/>
      <c r="VX1367" s="402"/>
      <c r="VY1367" s="402"/>
      <c r="VZ1367" s="402"/>
      <c r="WA1367" s="402"/>
      <c r="WB1367" s="402"/>
      <c r="WC1367" s="402"/>
      <c r="WD1367" s="402"/>
      <c r="WE1367" s="402"/>
      <c r="WF1367" s="402"/>
      <c r="WG1367" s="402"/>
      <c r="WH1367" s="402"/>
      <c r="WI1367" s="402"/>
      <c r="WJ1367" s="402"/>
      <c r="WK1367" s="402"/>
      <c r="WL1367" s="402"/>
      <c r="WM1367" s="402"/>
      <c r="WN1367" s="402"/>
      <c r="WO1367" s="402"/>
      <c r="WP1367" s="402"/>
      <c r="WQ1367" s="402"/>
      <c r="WR1367" s="402"/>
      <c r="WS1367" s="402"/>
      <c r="WT1367" s="402"/>
      <c r="WU1367" s="402"/>
      <c r="WV1367" s="402"/>
      <c r="WW1367" s="402"/>
      <c r="WX1367" s="402"/>
      <c r="WY1367" s="402"/>
      <c r="WZ1367" s="402"/>
      <c r="XA1367" s="402"/>
      <c r="XB1367" s="402"/>
      <c r="XC1367" s="402"/>
      <c r="XD1367" s="402"/>
      <c r="XE1367" s="402"/>
      <c r="XF1367" s="402"/>
      <c r="XG1367" s="402"/>
      <c r="XH1367" s="402"/>
      <c r="XI1367" s="402"/>
      <c r="XJ1367" s="402"/>
      <c r="XK1367" s="402"/>
      <c r="XL1367" s="402"/>
      <c r="XM1367" s="402"/>
      <c r="XN1367" s="402"/>
      <c r="XO1367" s="402"/>
      <c r="XP1367" s="402"/>
      <c r="XQ1367" s="402"/>
      <c r="XR1367" s="402"/>
      <c r="XS1367" s="402"/>
      <c r="XT1367" s="402"/>
      <c r="XU1367" s="402"/>
      <c r="XV1367" s="402"/>
      <c r="XW1367" s="402"/>
      <c r="XX1367" s="402"/>
      <c r="XY1367" s="402"/>
      <c r="XZ1367" s="402"/>
      <c r="YA1367" s="402"/>
      <c r="YB1367" s="402"/>
      <c r="YC1367" s="402"/>
      <c r="YD1367" s="402"/>
      <c r="YE1367" s="402"/>
      <c r="YF1367" s="402"/>
      <c r="YG1367" s="402"/>
      <c r="YH1367" s="402"/>
      <c r="YI1367" s="402"/>
      <c r="YJ1367" s="402"/>
      <c r="YK1367" s="402"/>
      <c r="YL1367" s="402"/>
      <c r="YM1367" s="402"/>
      <c r="YN1367" s="402"/>
      <c r="YO1367" s="402"/>
      <c r="YP1367" s="402"/>
      <c r="YQ1367" s="402"/>
      <c r="YR1367" s="402"/>
      <c r="YS1367" s="402"/>
      <c r="YT1367" s="402"/>
      <c r="YU1367" s="402"/>
      <c r="YV1367" s="402"/>
      <c r="YW1367" s="402"/>
      <c r="YX1367" s="402"/>
      <c r="YY1367" s="402"/>
      <c r="YZ1367" s="402"/>
      <c r="ZA1367" s="402"/>
      <c r="ZB1367" s="402"/>
      <c r="ZC1367" s="402"/>
      <c r="ZD1367" s="402"/>
      <c r="ZE1367" s="402"/>
      <c r="ZF1367" s="402"/>
      <c r="ZG1367" s="402"/>
      <c r="ZH1367" s="402"/>
      <c r="ZI1367" s="402"/>
      <c r="ZJ1367" s="402"/>
      <c r="ZK1367" s="402"/>
      <c r="ZL1367" s="402"/>
      <c r="ZM1367" s="402"/>
      <c r="ZN1367" s="402"/>
      <c r="ZO1367" s="402"/>
      <c r="ZP1367" s="402"/>
      <c r="ZQ1367" s="402"/>
      <c r="ZR1367" s="402"/>
      <c r="ZS1367" s="402"/>
      <c r="ZT1367" s="402"/>
      <c r="ZU1367" s="402"/>
      <c r="ZV1367" s="402"/>
      <c r="ZW1367" s="402"/>
      <c r="ZX1367" s="402"/>
      <c r="ZY1367" s="402"/>
      <c r="ZZ1367" s="402"/>
      <c r="AAA1367" s="402"/>
      <c r="AAB1367" s="402"/>
      <c r="AAC1367" s="402"/>
      <c r="AAD1367" s="402"/>
      <c r="AAE1367" s="402"/>
      <c r="AAF1367" s="402"/>
      <c r="AAG1367" s="402"/>
      <c r="AAH1367" s="402"/>
      <c r="AAI1367" s="402"/>
      <c r="AAJ1367" s="402"/>
      <c r="AAK1367" s="402"/>
      <c r="AAL1367" s="402"/>
      <c r="AAM1367" s="402"/>
      <c r="AAN1367" s="402"/>
      <c r="AAO1367" s="402"/>
      <c r="AAP1367" s="402"/>
      <c r="AAQ1367" s="402"/>
      <c r="AAR1367" s="402"/>
      <c r="AAS1367" s="402"/>
      <c r="AAT1367" s="402"/>
      <c r="AAU1367" s="402"/>
      <c r="AAV1367" s="402"/>
      <c r="AAW1367" s="402"/>
      <c r="AAX1367" s="402"/>
      <c r="AAY1367" s="402"/>
      <c r="AAZ1367" s="402"/>
      <c r="ABA1367" s="402"/>
      <c r="ABB1367" s="402"/>
      <c r="ABC1367" s="402"/>
      <c r="ABD1367" s="402"/>
      <c r="ABE1367" s="402"/>
      <c r="ABF1367" s="402"/>
      <c r="ABG1367" s="402"/>
      <c r="ABH1367" s="402"/>
      <c r="ABI1367" s="402"/>
      <c r="ABJ1367" s="402"/>
      <c r="ABK1367" s="402"/>
      <c r="ABL1367" s="402"/>
      <c r="ABM1367" s="402"/>
      <c r="ABN1367" s="402"/>
      <c r="ABO1367" s="402"/>
      <c r="ABP1367" s="402"/>
      <c r="ABQ1367" s="402"/>
      <c r="ABR1367" s="402"/>
      <c r="ABS1367" s="402"/>
      <c r="ABT1367" s="402"/>
      <c r="ABU1367" s="402"/>
      <c r="ABV1367" s="402"/>
      <c r="ABW1367" s="402"/>
      <c r="ABX1367" s="402"/>
      <c r="ABY1367" s="402"/>
      <c r="ABZ1367" s="402"/>
      <c r="ACA1367" s="402"/>
      <c r="ACB1367" s="402"/>
      <c r="ACC1367" s="402"/>
      <c r="ACD1367" s="402"/>
      <c r="ACE1367" s="402"/>
      <c r="ACF1367" s="402"/>
      <c r="ACG1367" s="402"/>
      <c r="ACH1367" s="402"/>
      <c r="ACI1367" s="402"/>
      <c r="ACJ1367" s="402"/>
      <c r="ACK1367" s="402"/>
      <c r="ACL1367" s="402"/>
      <c r="ACM1367" s="402"/>
      <c r="ACN1367" s="402"/>
      <c r="ACO1367" s="402"/>
      <c r="ACP1367" s="402"/>
      <c r="ACQ1367" s="402"/>
      <c r="ACR1367" s="402"/>
      <c r="ACS1367" s="402"/>
      <c r="ACT1367" s="402"/>
      <c r="ACU1367" s="402"/>
      <c r="ACV1367" s="402"/>
      <c r="ACW1367" s="402"/>
      <c r="ACX1367" s="402"/>
      <c r="ACY1367" s="402"/>
      <c r="ACZ1367" s="402"/>
      <c r="ADA1367" s="402"/>
      <c r="ADB1367" s="402"/>
      <c r="ADC1367" s="402"/>
      <c r="ADD1367" s="402"/>
      <c r="ADE1367" s="402"/>
      <c r="ADF1367" s="402"/>
      <c r="ADG1367" s="402"/>
      <c r="ADH1367" s="402"/>
      <c r="ADI1367" s="402"/>
      <c r="ADJ1367" s="402"/>
      <c r="ADK1367" s="402"/>
      <c r="ADL1367" s="402"/>
      <c r="ADM1367" s="402"/>
      <c r="ADN1367" s="402"/>
      <c r="ADO1367" s="402"/>
      <c r="ADP1367" s="402"/>
      <c r="ADQ1367" s="402"/>
      <c r="ADR1367" s="402"/>
      <c r="ADS1367" s="402"/>
      <c r="ADT1367" s="402"/>
      <c r="ADU1367" s="402"/>
      <c r="ADV1367" s="402"/>
      <c r="ADW1367" s="402"/>
      <c r="ADX1367" s="402"/>
      <c r="ADY1367" s="402"/>
      <c r="ADZ1367" s="402"/>
      <c r="AEA1367" s="402"/>
      <c r="AEB1367" s="402"/>
      <c r="AEC1367" s="402"/>
      <c r="AED1367" s="402"/>
      <c r="AEE1367" s="402"/>
      <c r="AEF1367" s="402"/>
      <c r="AEG1367" s="402"/>
      <c r="AEH1367" s="402"/>
      <c r="AEI1367" s="402"/>
      <c r="AEJ1367" s="402"/>
      <c r="AEK1367" s="402"/>
      <c r="AEL1367" s="402"/>
      <c r="AEM1367" s="402"/>
      <c r="AEN1367" s="402"/>
      <c r="AEO1367" s="402"/>
      <c r="AEP1367" s="402"/>
      <c r="AEQ1367" s="402"/>
      <c r="AER1367" s="402"/>
      <c r="AES1367" s="402"/>
      <c r="AET1367" s="402"/>
      <c r="AEU1367" s="402"/>
      <c r="AEV1367" s="402"/>
      <c r="AEW1367" s="402"/>
      <c r="AEX1367" s="402"/>
      <c r="AEY1367" s="402"/>
      <c r="AEZ1367" s="402"/>
      <c r="AFA1367" s="402"/>
      <c r="AFB1367" s="402"/>
      <c r="AFC1367" s="402"/>
      <c r="AFD1367" s="402"/>
      <c r="AFE1367" s="402"/>
      <c r="AFF1367" s="402"/>
      <c r="AFG1367" s="402"/>
      <c r="AFH1367" s="402"/>
      <c r="AFI1367" s="402"/>
      <c r="AFJ1367" s="402"/>
      <c r="AFK1367" s="402"/>
      <c r="AFL1367" s="402"/>
      <c r="AFM1367" s="402"/>
      <c r="AFN1367" s="402"/>
      <c r="AFO1367" s="402"/>
      <c r="AFP1367" s="402"/>
      <c r="AFQ1367" s="402"/>
      <c r="AFR1367" s="402"/>
      <c r="AFS1367" s="402"/>
      <c r="AFT1367" s="402"/>
      <c r="AFU1367" s="402"/>
      <c r="AFV1367" s="402"/>
      <c r="AFW1367" s="402"/>
      <c r="AFX1367" s="402"/>
      <c r="AFY1367" s="402"/>
      <c r="AFZ1367" s="402"/>
      <c r="AGA1367" s="402"/>
      <c r="AGB1367" s="402"/>
      <c r="AGC1367" s="402"/>
      <c r="AGD1367" s="402"/>
      <c r="AGE1367" s="402"/>
      <c r="AGF1367" s="402"/>
      <c r="AGG1367" s="402"/>
      <c r="AGH1367" s="402"/>
      <c r="AGI1367" s="402"/>
      <c r="AGJ1367" s="402"/>
      <c r="AGK1367" s="402"/>
      <c r="AGL1367" s="402"/>
      <c r="AGM1367" s="402"/>
      <c r="AGN1367" s="402"/>
      <c r="AGO1367" s="402"/>
      <c r="AGP1367" s="402"/>
      <c r="AGQ1367" s="402"/>
      <c r="AGR1367" s="402"/>
      <c r="AGS1367" s="402"/>
      <c r="AGT1367" s="402"/>
      <c r="AGU1367" s="402"/>
      <c r="AGV1367" s="402"/>
      <c r="AGW1367" s="402"/>
      <c r="AGX1367" s="402"/>
      <c r="AGY1367" s="402"/>
      <c r="AGZ1367" s="402"/>
      <c r="AHA1367" s="402"/>
      <c r="AHB1367" s="402"/>
      <c r="AHC1367" s="402"/>
      <c r="AHD1367" s="402"/>
      <c r="AHE1367" s="402"/>
      <c r="AHF1367" s="402"/>
      <c r="AHG1367" s="402"/>
      <c r="AHH1367" s="402"/>
      <c r="AHI1367" s="402"/>
      <c r="AHJ1367" s="402"/>
      <c r="AHK1367" s="402"/>
      <c r="AHL1367" s="402"/>
      <c r="AHM1367" s="402"/>
      <c r="AHN1367" s="402"/>
      <c r="AHO1367" s="402"/>
      <c r="AHP1367" s="402"/>
      <c r="AHQ1367" s="402"/>
      <c r="AHR1367" s="402"/>
      <c r="AHS1367" s="402"/>
      <c r="AHT1367" s="402"/>
      <c r="AHU1367" s="402"/>
      <c r="AHV1367" s="402"/>
      <c r="AHW1367" s="402"/>
      <c r="AHX1367" s="402"/>
      <c r="AHY1367" s="402"/>
      <c r="AHZ1367" s="402"/>
      <c r="AIA1367" s="402"/>
      <c r="AIB1367" s="402"/>
      <c r="AIC1367" s="402"/>
      <c r="AID1367" s="402"/>
      <c r="AIE1367" s="402"/>
      <c r="AIF1367" s="402"/>
      <c r="AIG1367" s="402"/>
      <c r="AIH1367" s="402"/>
      <c r="AII1367" s="402"/>
      <c r="AIJ1367" s="402"/>
      <c r="AIK1367" s="402"/>
      <c r="AIL1367" s="402"/>
      <c r="AIM1367" s="402"/>
      <c r="AIN1367" s="402"/>
      <c r="AIO1367" s="402"/>
      <c r="AIP1367" s="402"/>
      <c r="AIQ1367" s="402"/>
      <c r="AIR1367" s="402"/>
      <c r="AIS1367" s="402"/>
      <c r="AIT1367" s="402"/>
      <c r="AIU1367" s="402"/>
      <c r="AIV1367" s="402"/>
      <c r="AIW1367" s="402"/>
      <c r="AIX1367" s="402"/>
      <c r="AIY1367" s="402"/>
      <c r="AIZ1367" s="402"/>
      <c r="AJA1367" s="402"/>
      <c r="AJB1367" s="402"/>
      <c r="AJC1367" s="402"/>
      <c r="AJD1367" s="402"/>
      <c r="AJE1367" s="402"/>
      <c r="AJF1367" s="402"/>
      <c r="AJG1367" s="402"/>
      <c r="AJH1367" s="402"/>
      <c r="AJI1367" s="402"/>
      <c r="AJJ1367" s="402"/>
      <c r="AJK1367" s="402"/>
      <c r="AJL1367" s="402"/>
      <c r="AJM1367" s="402"/>
      <c r="AJN1367" s="402"/>
      <c r="AJO1367" s="402"/>
      <c r="AJP1367" s="402"/>
      <c r="AJQ1367" s="402"/>
      <c r="AJR1367" s="402"/>
      <c r="AJS1367" s="402"/>
      <c r="AJT1367" s="402"/>
      <c r="AJU1367" s="402"/>
      <c r="AJV1367" s="402"/>
      <c r="AJW1367" s="402"/>
      <c r="AJX1367" s="402"/>
      <c r="AJY1367" s="402"/>
      <c r="AJZ1367" s="402"/>
      <c r="AKA1367" s="402"/>
      <c r="AKB1367" s="402"/>
      <c r="AKC1367" s="402"/>
      <c r="AKD1367" s="402"/>
      <c r="AKE1367" s="402"/>
      <c r="AKF1367" s="402"/>
      <c r="AKG1367" s="402"/>
      <c r="AKH1367" s="402"/>
      <c r="AKI1367" s="402"/>
      <c r="AKJ1367" s="402"/>
      <c r="AKK1367" s="402"/>
      <c r="AKL1367" s="402"/>
      <c r="AKM1367" s="402"/>
      <c r="AKN1367" s="402"/>
      <c r="AKO1367" s="402"/>
      <c r="AKP1367" s="402"/>
      <c r="AKQ1367" s="402"/>
      <c r="AKR1367" s="402"/>
      <c r="AKS1367" s="402"/>
      <c r="AKT1367" s="402"/>
      <c r="AKU1367" s="402"/>
      <c r="AKV1367" s="402"/>
      <c r="AKW1367" s="402"/>
      <c r="AKX1367" s="402"/>
      <c r="AKY1367" s="402"/>
      <c r="AKZ1367" s="402"/>
      <c r="ALA1367" s="402"/>
      <c r="ALB1367" s="402"/>
      <c r="ALC1367" s="402"/>
      <c r="ALD1367" s="402"/>
      <c r="ALE1367" s="402"/>
      <c r="ALF1367" s="402"/>
      <c r="ALG1367" s="402"/>
      <c r="ALH1367" s="402"/>
      <c r="ALI1367" s="402"/>
      <c r="ALJ1367" s="402"/>
      <c r="ALK1367" s="402"/>
      <c r="ALL1367" s="402"/>
      <c r="ALM1367" s="402"/>
      <c r="ALN1367" s="402"/>
      <c r="ALO1367" s="402"/>
      <c r="ALP1367" s="402"/>
      <c r="ALQ1367" s="402"/>
      <c r="ALR1367" s="402"/>
      <c r="ALS1367" s="402"/>
      <c r="ALT1367" s="402"/>
      <c r="ALU1367" s="402"/>
      <c r="ALV1367" s="402"/>
      <c r="ALW1367" s="402"/>
      <c r="ALX1367" s="402"/>
      <c r="ALY1367" s="402"/>
      <c r="ALZ1367" s="402"/>
      <c r="AMA1367" s="402"/>
      <c r="AMB1367" s="402"/>
      <c r="AMC1367" s="402"/>
      <c r="AMD1367" s="402"/>
      <c r="AME1367" s="402"/>
      <c r="AMF1367" s="402"/>
      <c r="AMG1367" s="402"/>
      <c r="AMH1367" s="402"/>
      <c r="AMI1367" s="402"/>
      <c r="AMJ1367" s="402"/>
      <c r="AMK1367" s="402"/>
      <c r="AML1367" s="402"/>
      <c r="AMM1367" s="402"/>
      <c r="AMN1367" s="402"/>
      <c r="AMO1367" s="402"/>
      <c r="AMP1367" s="402"/>
      <c r="AMQ1367" s="402"/>
      <c r="AMR1367" s="402"/>
      <c r="AMS1367" s="402"/>
      <c r="AMT1367" s="402"/>
      <c r="AMU1367" s="402"/>
      <c r="AMV1367" s="402"/>
      <c r="AMW1367" s="402"/>
      <c r="AMX1367" s="402"/>
      <c r="AMY1367" s="402"/>
      <c r="AMZ1367" s="402"/>
      <c r="ANA1367" s="402"/>
      <c r="ANB1367" s="402"/>
      <c r="ANC1367" s="402"/>
      <c r="AND1367" s="402"/>
      <c r="ANE1367" s="402"/>
      <c r="ANF1367" s="402"/>
      <c r="ANG1367" s="402"/>
      <c r="ANH1367" s="402"/>
      <c r="ANI1367" s="402"/>
      <c r="ANJ1367" s="402"/>
      <c r="ANK1367" s="402"/>
      <c r="ANL1367" s="402"/>
      <c r="ANM1367" s="402"/>
      <c r="ANN1367" s="402"/>
      <c r="ANO1367" s="402"/>
      <c r="ANP1367" s="402"/>
      <c r="ANQ1367" s="402"/>
      <c r="ANR1367" s="402"/>
      <c r="ANS1367" s="402"/>
      <c r="ANT1367" s="402"/>
      <c r="ANU1367" s="402"/>
      <c r="ANV1367" s="402"/>
      <c r="ANW1367" s="402"/>
      <c r="ANX1367" s="402"/>
      <c r="ANY1367" s="402"/>
      <c r="ANZ1367" s="402"/>
      <c r="AOA1367" s="402"/>
      <c r="AOB1367" s="402"/>
      <c r="AOC1367" s="402"/>
      <c r="AOD1367" s="402"/>
      <c r="AOE1367" s="402"/>
      <c r="AOF1367" s="402"/>
      <c r="AOG1367" s="402"/>
      <c r="AOH1367" s="402"/>
      <c r="AOI1367" s="402"/>
      <c r="AOJ1367" s="402"/>
      <c r="AOK1367" s="402"/>
      <c r="AOL1367" s="402"/>
      <c r="AOM1367" s="402"/>
      <c r="AON1367" s="402"/>
      <c r="AOO1367" s="402"/>
      <c r="AOP1367" s="402"/>
      <c r="AOQ1367" s="402"/>
      <c r="AOR1367" s="402"/>
      <c r="AOS1367" s="402"/>
      <c r="AOT1367" s="402"/>
      <c r="AOU1367" s="402"/>
      <c r="AOV1367" s="402"/>
      <c r="AOW1367" s="402"/>
      <c r="AOX1367" s="402"/>
      <c r="AOY1367" s="402"/>
      <c r="AOZ1367" s="402"/>
      <c r="APA1367" s="402"/>
      <c r="APB1367" s="402"/>
      <c r="APC1367" s="402"/>
      <c r="APD1367" s="402"/>
      <c r="APE1367" s="402"/>
      <c r="APF1367" s="402"/>
      <c r="APG1367" s="402"/>
      <c r="APH1367" s="402"/>
      <c r="API1367" s="402"/>
      <c r="APJ1367" s="402"/>
      <c r="APK1367" s="402"/>
      <c r="APL1367" s="402"/>
      <c r="APM1367" s="402"/>
      <c r="APN1367" s="402"/>
      <c r="APO1367" s="402"/>
      <c r="APP1367" s="402"/>
      <c r="APQ1367" s="402"/>
      <c r="APR1367" s="402"/>
      <c r="APS1367" s="402"/>
      <c r="APT1367" s="402"/>
      <c r="APU1367" s="402"/>
      <c r="APV1367" s="402"/>
      <c r="APW1367" s="402"/>
      <c r="APX1367" s="402"/>
      <c r="APY1367" s="402"/>
      <c r="APZ1367" s="402"/>
      <c r="AQA1367" s="402"/>
      <c r="AQB1367" s="402"/>
      <c r="AQC1367" s="402"/>
      <c r="AQD1367" s="402"/>
      <c r="AQE1367" s="402"/>
      <c r="AQF1367" s="402"/>
      <c r="AQG1367" s="402"/>
      <c r="AQH1367" s="402"/>
      <c r="AQI1367" s="402"/>
      <c r="AQJ1367" s="402"/>
      <c r="AQK1367" s="402"/>
      <c r="AQL1367" s="402"/>
      <c r="AQM1367" s="402"/>
      <c r="AQN1367" s="402"/>
      <c r="AQO1367" s="402"/>
      <c r="AQP1367" s="402"/>
      <c r="AQQ1367" s="402"/>
      <c r="AQR1367" s="402"/>
      <c r="AQS1367" s="402"/>
      <c r="AQT1367" s="402"/>
      <c r="AQU1367" s="402"/>
      <c r="AQV1367" s="402"/>
      <c r="AQW1367" s="402"/>
      <c r="AQX1367" s="402"/>
      <c r="AQY1367" s="402"/>
      <c r="AQZ1367" s="402"/>
      <c r="ARA1367" s="402"/>
      <c r="ARB1367" s="402"/>
      <c r="ARC1367" s="402"/>
      <c r="ARD1367" s="402"/>
      <c r="ARE1367" s="402"/>
      <c r="ARF1367" s="402"/>
      <c r="ARG1367" s="402"/>
      <c r="ARH1367" s="402"/>
      <c r="ARI1367" s="402"/>
      <c r="ARJ1367" s="402"/>
      <c r="ARK1367" s="402"/>
      <c r="ARL1367" s="402"/>
      <c r="ARM1367" s="402"/>
      <c r="ARN1367" s="402"/>
      <c r="ARO1367" s="402"/>
      <c r="ARP1367" s="402"/>
      <c r="ARQ1367" s="402"/>
      <c r="ARR1367" s="402"/>
      <c r="ARS1367" s="402"/>
      <c r="ART1367" s="402"/>
      <c r="ARU1367" s="402"/>
      <c r="ARV1367" s="402"/>
      <c r="ARW1367" s="402"/>
      <c r="ARX1367" s="402"/>
      <c r="ARY1367" s="402"/>
      <c r="ARZ1367" s="402"/>
      <c r="ASA1367" s="402"/>
      <c r="ASB1367" s="402"/>
      <c r="ASC1367" s="402"/>
      <c r="ASD1367" s="402"/>
      <c r="ASE1367" s="402"/>
      <c r="ASF1367" s="402"/>
      <c r="ASG1367" s="402"/>
      <c r="ASH1367" s="402"/>
      <c r="ASI1367" s="402"/>
      <c r="ASJ1367" s="402"/>
      <c r="ASK1367" s="402"/>
      <c r="ASL1367" s="402"/>
      <c r="ASM1367" s="402"/>
      <c r="ASN1367" s="402"/>
      <c r="ASO1367" s="402"/>
      <c r="ASP1367" s="402"/>
      <c r="ASQ1367" s="402"/>
      <c r="ASR1367" s="402"/>
      <c r="ASS1367" s="402"/>
      <c r="AST1367" s="402"/>
      <c r="ASU1367" s="402"/>
      <c r="ASV1367" s="402"/>
      <c r="ASW1367" s="402"/>
      <c r="ASX1367" s="402"/>
      <c r="ASY1367" s="402"/>
      <c r="ASZ1367" s="402"/>
      <c r="ATA1367" s="402"/>
      <c r="ATB1367" s="402"/>
      <c r="ATC1367" s="402"/>
      <c r="ATD1367" s="402"/>
      <c r="ATE1367" s="402"/>
      <c r="ATF1367" s="402"/>
      <c r="ATG1367" s="402"/>
      <c r="ATH1367" s="402"/>
      <c r="ATI1367" s="402"/>
      <c r="ATJ1367" s="402"/>
      <c r="ATK1367" s="402"/>
      <c r="ATL1367" s="402"/>
      <c r="ATM1367" s="402"/>
      <c r="ATN1367" s="402"/>
      <c r="ATO1367" s="402"/>
      <c r="ATP1367" s="402"/>
      <c r="ATQ1367" s="402"/>
      <c r="ATR1367" s="402"/>
      <c r="ATS1367" s="402"/>
      <c r="ATT1367" s="402"/>
      <c r="ATU1367" s="402"/>
      <c r="ATV1367" s="402"/>
      <c r="ATW1367" s="402"/>
      <c r="ATX1367" s="402"/>
      <c r="ATY1367" s="402"/>
      <c r="ATZ1367" s="402"/>
      <c r="AUA1367" s="402"/>
      <c r="AUB1367" s="402"/>
      <c r="AUC1367" s="402"/>
      <c r="AUD1367" s="402"/>
      <c r="AUE1367" s="402"/>
      <c r="AUF1367" s="402"/>
      <c r="AUG1367" s="402"/>
      <c r="AUH1367" s="402"/>
      <c r="AUI1367" s="402"/>
      <c r="AUJ1367" s="402"/>
      <c r="AUK1367" s="402"/>
      <c r="AUL1367" s="402"/>
      <c r="AUM1367" s="402"/>
      <c r="AUN1367" s="402"/>
      <c r="AUO1367" s="402"/>
      <c r="AUP1367" s="402"/>
      <c r="AUQ1367" s="402"/>
      <c r="AUR1367" s="402"/>
      <c r="AUS1367" s="402"/>
      <c r="AUT1367" s="402"/>
      <c r="AUU1367" s="402"/>
      <c r="AUV1367" s="402"/>
      <c r="AUW1367" s="402"/>
      <c r="AUX1367" s="402"/>
      <c r="AUY1367" s="402"/>
      <c r="AUZ1367" s="402"/>
      <c r="AVA1367" s="402"/>
      <c r="AVB1367" s="402"/>
      <c r="AVC1367" s="402"/>
      <c r="AVD1367" s="402"/>
      <c r="AVE1367" s="402"/>
      <c r="AVF1367" s="402"/>
      <c r="AVG1367" s="402"/>
      <c r="AVH1367" s="402"/>
      <c r="AVI1367" s="402"/>
      <c r="AVJ1367" s="402"/>
      <c r="AVK1367" s="402"/>
    </row>
    <row r="1368" spans="1:1259" s="442" customFormat="1" ht="15" customHeight="1">
      <c r="A1368" s="403"/>
      <c r="B1368" s="403"/>
      <c r="C1368" s="403"/>
      <c r="D1368" s="443" t="s">
        <v>2480</v>
      </c>
      <c r="E1368" s="443" t="s">
        <v>2406</v>
      </c>
      <c r="F1368" s="432"/>
      <c r="G1368" s="432"/>
      <c r="H1368" s="451">
        <v>12</v>
      </c>
      <c r="I1368" s="427" t="s">
        <v>1498</v>
      </c>
      <c r="J1368" s="433"/>
      <c r="K1368" s="433" t="s">
        <v>3762</v>
      </c>
      <c r="L1368" s="433" t="s">
        <v>2509</v>
      </c>
      <c r="M1368" s="433">
        <v>44550</v>
      </c>
      <c r="N1368" s="433">
        <v>44687</v>
      </c>
      <c r="O1368" s="435"/>
      <c r="P1368" s="433"/>
      <c r="Q1368" s="433"/>
      <c r="R1368" s="433"/>
      <c r="S1368" s="432" t="s">
        <v>1940</v>
      </c>
      <c r="T1368" s="432">
        <v>60</v>
      </c>
      <c r="U1368" s="432"/>
      <c r="V1368" s="432" t="s">
        <v>973</v>
      </c>
      <c r="W1368" s="432">
        <v>400</v>
      </c>
      <c r="X1368" s="436">
        <v>480</v>
      </c>
      <c r="Y1368" s="422">
        <f t="shared" si="166"/>
        <v>192000</v>
      </c>
      <c r="Z1368" s="437">
        <v>0.53</v>
      </c>
      <c r="AA1368" s="423">
        <f t="shared" si="167"/>
        <v>101760</v>
      </c>
      <c r="AB1368" s="411"/>
      <c r="AC1368" s="412">
        <f t="shared" si="168"/>
        <v>0</v>
      </c>
      <c r="AD1368" s="439"/>
      <c r="AE1368" s="438"/>
      <c r="AF1368" s="424">
        <f t="shared" si="169"/>
        <v>101760</v>
      </c>
      <c r="AG1368" s="432" t="s">
        <v>1069</v>
      </c>
      <c r="AH1368" s="432"/>
      <c r="AI1368" s="434">
        <v>60</v>
      </c>
      <c r="AJ1368" s="432" t="s">
        <v>2624</v>
      </c>
      <c r="AK1368" s="440" t="s">
        <v>1136</v>
      </c>
      <c r="AL1368" s="432">
        <v>73128</v>
      </c>
      <c r="AM1368" s="432" t="s">
        <v>52</v>
      </c>
      <c r="AN1368" s="432"/>
      <c r="AO1368" s="432"/>
      <c r="AP1368" s="441"/>
      <c r="AQ1368" s="441" t="s">
        <v>37</v>
      </c>
      <c r="AR1368" s="441"/>
      <c r="AS1368" s="426" t="s">
        <v>1142</v>
      </c>
      <c r="AT1368" s="426" t="s">
        <v>1073</v>
      </c>
      <c r="AU1368" s="426" t="s">
        <v>1073</v>
      </c>
      <c r="AV1368" s="437">
        <v>0.53</v>
      </c>
      <c r="AW1368" s="402"/>
      <c r="AX1368" s="402"/>
      <c r="AY1368" s="402"/>
      <c r="AZ1368" s="402"/>
      <c r="BA1368" s="402"/>
      <c r="BB1368" s="402"/>
      <c r="BC1368" s="402"/>
      <c r="BD1368" s="402"/>
      <c r="BE1368" s="402"/>
      <c r="BF1368" s="402"/>
      <c r="BG1368" s="402"/>
      <c r="BH1368" s="402"/>
      <c r="BI1368" s="402"/>
      <c r="BJ1368" s="402"/>
      <c r="BK1368" s="402"/>
      <c r="BL1368" s="402"/>
      <c r="BM1368" s="402"/>
      <c r="BN1368" s="402"/>
      <c r="BO1368" s="402"/>
      <c r="BP1368" s="402"/>
      <c r="BQ1368" s="402"/>
      <c r="BR1368" s="402"/>
      <c r="BS1368" s="402"/>
      <c r="BT1368" s="402"/>
      <c r="BU1368" s="402"/>
      <c r="BV1368" s="402"/>
      <c r="BW1368" s="402"/>
      <c r="BX1368" s="402"/>
      <c r="BY1368" s="402"/>
      <c r="BZ1368" s="402"/>
      <c r="CA1368" s="402"/>
      <c r="CB1368" s="402"/>
      <c r="CC1368" s="402"/>
      <c r="CD1368" s="402"/>
      <c r="CE1368" s="402"/>
      <c r="CF1368" s="402"/>
      <c r="CG1368" s="402"/>
      <c r="CH1368" s="402"/>
      <c r="CI1368" s="402"/>
      <c r="CJ1368" s="402"/>
      <c r="CK1368" s="402"/>
      <c r="CL1368" s="402"/>
      <c r="CM1368" s="402"/>
      <c r="CN1368" s="402"/>
      <c r="CO1368" s="402"/>
      <c r="CP1368" s="402"/>
      <c r="CQ1368" s="402"/>
      <c r="CR1368" s="402"/>
      <c r="CS1368" s="402"/>
      <c r="CT1368" s="402"/>
      <c r="CU1368" s="402"/>
      <c r="CV1368" s="402"/>
      <c r="CW1368" s="402"/>
      <c r="CX1368" s="402"/>
      <c r="CY1368" s="402"/>
      <c r="CZ1368" s="402"/>
      <c r="DA1368" s="402"/>
      <c r="DB1368" s="402"/>
      <c r="DC1368" s="402"/>
      <c r="DD1368" s="402"/>
      <c r="DE1368" s="402"/>
      <c r="DF1368" s="402"/>
      <c r="DG1368" s="402"/>
      <c r="DH1368" s="402"/>
      <c r="DI1368" s="402"/>
      <c r="DJ1368" s="402"/>
      <c r="DK1368" s="402"/>
      <c r="DL1368" s="402"/>
      <c r="DM1368" s="402"/>
      <c r="DN1368" s="402"/>
      <c r="DO1368" s="402"/>
      <c r="DP1368" s="402"/>
      <c r="DQ1368" s="402"/>
      <c r="DR1368" s="402"/>
      <c r="DS1368" s="402"/>
      <c r="DT1368" s="402"/>
      <c r="DU1368" s="402"/>
      <c r="DV1368" s="402"/>
      <c r="DW1368" s="402"/>
      <c r="DX1368" s="402"/>
      <c r="DY1368" s="402"/>
      <c r="DZ1368" s="402"/>
      <c r="EA1368" s="402"/>
      <c r="EB1368" s="402"/>
      <c r="EC1368" s="402"/>
      <c r="ED1368" s="402"/>
      <c r="EE1368" s="402"/>
      <c r="EF1368" s="402"/>
      <c r="EG1368" s="402"/>
      <c r="EH1368" s="402"/>
      <c r="EI1368" s="402"/>
      <c r="EJ1368" s="402"/>
      <c r="EK1368" s="402"/>
      <c r="EL1368" s="402"/>
      <c r="EM1368" s="402"/>
      <c r="EN1368" s="402"/>
      <c r="EO1368" s="402"/>
      <c r="EP1368" s="402"/>
      <c r="EQ1368" s="402"/>
      <c r="ER1368" s="402"/>
      <c r="ES1368" s="402"/>
      <c r="ET1368" s="402"/>
      <c r="EU1368" s="402"/>
      <c r="EV1368" s="402"/>
      <c r="EW1368" s="402"/>
      <c r="EX1368" s="402"/>
      <c r="EY1368" s="402"/>
      <c r="EZ1368" s="402"/>
      <c r="FA1368" s="402"/>
      <c r="FB1368" s="402"/>
      <c r="FC1368" s="402"/>
      <c r="FD1368" s="402"/>
      <c r="FE1368" s="402"/>
      <c r="FF1368" s="402"/>
      <c r="FG1368" s="402"/>
      <c r="FH1368" s="402"/>
      <c r="FI1368" s="402"/>
      <c r="FJ1368" s="402"/>
      <c r="FK1368" s="402"/>
      <c r="FL1368" s="402"/>
      <c r="FM1368" s="402"/>
      <c r="FN1368" s="402"/>
      <c r="FO1368" s="402"/>
      <c r="FP1368" s="402"/>
      <c r="FQ1368" s="402"/>
      <c r="FR1368" s="402"/>
      <c r="FS1368" s="402"/>
      <c r="FT1368" s="402"/>
      <c r="FU1368" s="402"/>
      <c r="FV1368" s="402"/>
      <c r="FW1368" s="402"/>
      <c r="FX1368" s="402"/>
      <c r="FY1368" s="402"/>
      <c r="FZ1368" s="402"/>
      <c r="GA1368" s="402"/>
      <c r="GB1368" s="402"/>
      <c r="GC1368" s="402"/>
      <c r="GD1368" s="402"/>
      <c r="GE1368" s="402"/>
      <c r="GF1368" s="402"/>
      <c r="GG1368" s="402"/>
      <c r="GH1368" s="402"/>
      <c r="GI1368" s="402"/>
      <c r="GJ1368" s="402"/>
      <c r="GK1368" s="402"/>
      <c r="GL1368" s="402"/>
      <c r="GM1368" s="402"/>
      <c r="GN1368" s="402"/>
      <c r="GO1368" s="402"/>
      <c r="GP1368" s="402"/>
      <c r="GQ1368" s="402"/>
      <c r="GR1368" s="402"/>
      <c r="GS1368" s="402"/>
      <c r="GT1368" s="402"/>
      <c r="GU1368" s="402"/>
      <c r="GV1368" s="402"/>
      <c r="GW1368" s="402"/>
      <c r="GX1368" s="402"/>
      <c r="GY1368" s="402"/>
      <c r="GZ1368" s="402"/>
      <c r="HA1368" s="402"/>
      <c r="HB1368" s="402"/>
      <c r="HC1368" s="402"/>
      <c r="HD1368" s="402"/>
      <c r="HE1368" s="402"/>
      <c r="HF1368" s="402"/>
      <c r="HG1368" s="402"/>
      <c r="HH1368" s="402"/>
      <c r="HI1368" s="402"/>
      <c r="HJ1368" s="402"/>
      <c r="HK1368" s="402"/>
      <c r="HL1368" s="402"/>
      <c r="HM1368" s="402"/>
      <c r="HN1368" s="402"/>
      <c r="HO1368" s="402"/>
      <c r="HP1368" s="402"/>
      <c r="HQ1368" s="402"/>
      <c r="HR1368" s="402"/>
      <c r="HS1368" s="402"/>
      <c r="HT1368" s="402"/>
      <c r="HU1368" s="402"/>
      <c r="HV1368" s="402"/>
      <c r="HW1368" s="402"/>
      <c r="HX1368" s="402"/>
      <c r="HY1368" s="402"/>
      <c r="HZ1368" s="402"/>
      <c r="IA1368" s="402"/>
      <c r="IB1368" s="402"/>
      <c r="IC1368" s="402"/>
      <c r="ID1368" s="402"/>
      <c r="IE1368" s="402"/>
      <c r="IF1368" s="402"/>
      <c r="IG1368" s="402"/>
      <c r="IH1368" s="402"/>
      <c r="II1368" s="402"/>
      <c r="IJ1368" s="402"/>
      <c r="IK1368" s="402"/>
      <c r="IL1368" s="402"/>
      <c r="IM1368" s="402"/>
      <c r="IN1368" s="402"/>
      <c r="IO1368" s="402"/>
      <c r="IP1368" s="402"/>
      <c r="IQ1368" s="402"/>
      <c r="IR1368" s="402"/>
      <c r="IS1368" s="402"/>
      <c r="IT1368" s="402"/>
      <c r="IU1368" s="402"/>
      <c r="IV1368" s="402"/>
      <c r="IW1368" s="402"/>
      <c r="IX1368" s="402"/>
      <c r="IY1368" s="402"/>
      <c r="IZ1368" s="402"/>
      <c r="JA1368" s="402"/>
      <c r="JB1368" s="402"/>
      <c r="JC1368" s="402"/>
      <c r="JD1368" s="402"/>
      <c r="JE1368" s="402"/>
      <c r="JF1368" s="402"/>
      <c r="JG1368" s="402"/>
      <c r="JH1368" s="402"/>
      <c r="JI1368" s="402"/>
      <c r="JJ1368" s="402"/>
      <c r="JK1368" s="402"/>
      <c r="JL1368" s="402"/>
      <c r="JM1368" s="402"/>
      <c r="JN1368" s="402"/>
      <c r="JO1368" s="402"/>
      <c r="JP1368" s="402"/>
      <c r="JQ1368" s="402"/>
      <c r="JR1368" s="402"/>
      <c r="JS1368" s="402"/>
      <c r="JT1368" s="402"/>
      <c r="JU1368" s="402"/>
      <c r="JV1368" s="402"/>
      <c r="JW1368" s="402"/>
      <c r="JX1368" s="402"/>
      <c r="JY1368" s="402"/>
      <c r="JZ1368" s="402"/>
      <c r="KA1368" s="402"/>
      <c r="KB1368" s="402"/>
      <c r="KC1368" s="402"/>
      <c r="KD1368" s="402"/>
      <c r="KE1368" s="402"/>
      <c r="KF1368" s="402"/>
      <c r="KG1368" s="402"/>
      <c r="KH1368" s="402"/>
      <c r="KI1368" s="402"/>
      <c r="KJ1368" s="402"/>
      <c r="KK1368" s="402"/>
      <c r="KL1368" s="402"/>
      <c r="KM1368" s="402"/>
      <c r="KN1368" s="402"/>
      <c r="KO1368" s="402"/>
      <c r="KP1368" s="402"/>
      <c r="KQ1368" s="402"/>
      <c r="KR1368" s="402"/>
      <c r="KS1368" s="402"/>
      <c r="KT1368" s="402"/>
      <c r="KU1368" s="402"/>
      <c r="KV1368" s="402"/>
      <c r="KW1368" s="402"/>
      <c r="KX1368" s="402"/>
      <c r="KY1368" s="402"/>
      <c r="KZ1368" s="402"/>
      <c r="LA1368" s="402"/>
      <c r="LB1368" s="402"/>
      <c r="LC1368" s="402"/>
      <c r="LD1368" s="402"/>
      <c r="LE1368" s="402"/>
      <c r="LF1368" s="402"/>
      <c r="LG1368" s="402"/>
      <c r="LH1368" s="402"/>
      <c r="LI1368" s="402"/>
      <c r="LJ1368" s="402"/>
      <c r="LK1368" s="402"/>
      <c r="LL1368" s="402"/>
      <c r="LM1368" s="402"/>
      <c r="LN1368" s="402"/>
      <c r="LO1368" s="402"/>
      <c r="LP1368" s="402"/>
      <c r="LQ1368" s="402"/>
      <c r="LR1368" s="402"/>
      <c r="LS1368" s="402"/>
      <c r="LT1368" s="402"/>
      <c r="LU1368" s="402"/>
      <c r="LV1368" s="402"/>
      <c r="LW1368" s="402"/>
      <c r="LX1368" s="402"/>
      <c r="LY1368" s="402"/>
      <c r="LZ1368" s="402"/>
      <c r="MA1368" s="402"/>
      <c r="MB1368" s="402"/>
      <c r="MC1368" s="402"/>
      <c r="MD1368" s="402"/>
      <c r="ME1368" s="402"/>
      <c r="MF1368" s="402"/>
      <c r="MG1368" s="402"/>
      <c r="MH1368" s="402"/>
      <c r="MI1368" s="402"/>
      <c r="MJ1368" s="402"/>
      <c r="MK1368" s="402"/>
      <c r="ML1368" s="402"/>
      <c r="MM1368" s="402"/>
      <c r="MN1368" s="402"/>
      <c r="MO1368" s="402"/>
      <c r="MP1368" s="402"/>
      <c r="MQ1368" s="402"/>
      <c r="MR1368" s="402"/>
      <c r="MS1368" s="402"/>
      <c r="MT1368" s="402"/>
      <c r="MU1368" s="402"/>
      <c r="MV1368" s="402"/>
      <c r="MW1368" s="402"/>
      <c r="MX1368" s="402"/>
      <c r="MY1368" s="402"/>
      <c r="MZ1368" s="402"/>
      <c r="NA1368" s="402"/>
      <c r="NB1368" s="402"/>
      <c r="NC1368" s="402"/>
      <c r="ND1368" s="402"/>
      <c r="NE1368" s="402"/>
      <c r="NF1368" s="402"/>
      <c r="NG1368" s="402"/>
      <c r="NH1368" s="402"/>
      <c r="NI1368" s="402"/>
      <c r="NJ1368" s="402"/>
      <c r="NK1368" s="402"/>
      <c r="NL1368" s="402"/>
      <c r="NM1368" s="402"/>
      <c r="NN1368" s="402"/>
      <c r="NO1368" s="402"/>
      <c r="NP1368" s="402"/>
      <c r="NQ1368" s="402"/>
      <c r="NR1368" s="402"/>
      <c r="NS1368" s="402"/>
      <c r="NT1368" s="402"/>
      <c r="NU1368" s="402"/>
      <c r="NV1368" s="402"/>
      <c r="NW1368" s="402"/>
      <c r="NX1368" s="402"/>
      <c r="NY1368" s="402"/>
      <c r="NZ1368" s="402"/>
      <c r="OA1368" s="402"/>
      <c r="OB1368" s="402"/>
      <c r="OC1368" s="402"/>
      <c r="OD1368" s="402"/>
      <c r="OE1368" s="402"/>
      <c r="OF1368" s="402"/>
      <c r="OG1368" s="402"/>
      <c r="OH1368" s="402"/>
      <c r="OI1368" s="402"/>
      <c r="OJ1368" s="402"/>
      <c r="OK1368" s="402"/>
      <c r="OL1368" s="402"/>
      <c r="OM1368" s="402"/>
      <c r="ON1368" s="402"/>
      <c r="OO1368" s="402"/>
      <c r="OP1368" s="402"/>
      <c r="OQ1368" s="402"/>
      <c r="OR1368" s="402"/>
      <c r="OS1368" s="402"/>
      <c r="OT1368" s="402"/>
      <c r="OU1368" s="402"/>
      <c r="OV1368" s="402"/>
      <c r="OW1368" s="402"/>
      <c r="OX1368" s="402"/>
      <c r="OY1368" s="402"/>
      <c r="OZ1368" s="402"/>
      <c r="PA1368" s="402"/>
      <c r="PB1368" s="402"/>
      <c r="PC1368" s="402"/>
      <c r="PD1368" s="402"/>
      <c r="PE1368" s="402"/>
      <c r="PF1368" s="402"/>
      <c r="PG1368" s="402"/>
      <c r="PH1368" s="402"/>
      <c r="PI1368" s="402"/>
      <c r="PJ1368" s="402"/>
      <c r="PK1368" s="402"/>
      <c r="PL1368" s="402"/>
      <c r="PM1368" s="402"/>
      <c r="PN1368" s="402"/>
      <c r="PO1368" s="402"/>
      <c r="PP1368" s="402"/>
      <c r="PQ1368" s="402"/>
      <c r="PR1368" s="402"/>
      <c r="PS1368" s="402"/>
      <c r="PT1368" s="402"/>
      <c r="PU1368" s="402"/>
      <c r="PV1368" s="402"/>
      <c r="PW1368" s="402"/>
      <c r="PX1368" s="402"/>
      <c r="PY1368" s="402"/>
      <c r="PZ1368" s="402"/>
      <c r="QA1368" s="402"/>
      <c r="QB1368" s="402"/>
      <c r="QC1368" s="402"/>
      <c r="QD1368" s="402"/>
      <c r="QE1368" s="402"/>
      <c r="QF1368" s="402"/>
      <c r="QG1368" s="402"/>
      <c r="QH1368" s="402"/>
      <c r="QI1368" s="402"/>
      <c r="QJ1368" s="402"/>
      <c r="QK1368" s="402"/>
      <c r="QL1368" s="402"/>
      <c r="QM1368" s="402"/>
      <c r="QN1368" s="402"/>
      <c r="QO1368" s="402"/>
      <c r="QP1368" s="402"/>
      <c r="QQ1368" s="402"/>
      <c r="QR1368" s="402"/>
      <c r="QS1368" s="402"/>
      <c r="QT1368" s="402"/>
      <c r="QU1368" s="402"/>
      <c r="QV1368" s="402"/>
      <c r="QW1368" s="402"/>
      <c r="QX1368" s="402"/>
      <c r="QY1368" s="402"/>
      <c r="QZ1368" s="402"/>
      <c r="RA1368" s="402"/>
      <c r="RB1368" s="402"/>
      <c r="RC1368" s="402"/>
      <c r="RD1368" s="402"/>
      <c r="RE1368" s="402"/>
      <c r="RF1368" s="402"/>
      <c r="RG1368" s="402"/>
      <c r="RH1368" s="402"/>
      <c r="RI1368" s="402"/>
      <c r="RJ1368" s="402"/>
      <c r="RK1368" s="402"/>
      <c r="RL1368" s="402"/>
      <c r="RM1368" s="402"/>
      <c r="RN1368" s="402"/>
      <c r="RO1368" s="402"/>
      <c r="RP1368" s="402"/>
      <c r="RQ1368" s="402"/>
      <c r="RR1368" s="402"/>
      <c r="RS1368" s="402"/>
      <c r="RT1368" s="402"/>
      <c r="RU1368" s="402"/>
      <c r="RV1368" s="402"/>
      <c r="RW1368" s="402"/>
      <c r="RX1368" s="402"/>
      <c r="RY1368" s="402"/>
      <c r="RZ1368" s="402"/>
      <c r="SA1368" s="402"/>
      <c r="SB1368" s="402"/>
      <c r="SC1368" s="402"/>
      <c r="SD1368" s="402"/>
      <c r="SE1368" s="402"/>
      <c r="SF1368" s="402"/>
      <c r="SG1368" s="402"/>
      <c r="SH1368" s="402"/>
      <c r="SI1368" s="402"/>
      <c r="SJ1368" s="402"/>
      <c r="SK1368" s="402"/>
      <c r="SL1368" s="402"/>
      <c r="SM1368" s="402"/>
      <c r="SN1368" s="402"/>
      <c r="SO1368" s="402"/>
      <c r="SP1368" s="402"/>
      <c r="SQ1368" s="402"/>
      <c r="SR1368" s="402"/>
      <c r="SS1368" s="402"/>
      <c r="ST1368" s="402"/>
      <c r="SU1368" s="402"/>
      <c r="SV1368" s="402"/>
      <c r="SW1368" s="402"/>
      <c r="SX1368" s="402"/>
      <c r="SY1368" s="402"/>
      <c r="SZ1368" s="402"/>
      <c r="TA1368" s="402"/>
      <c r="TB1368" s="402"/>
      <c r="TC1368" s="402"/>
      <c r="TD1368" s="402"/>
      <c r="TE1368" s="402"/>
      <c r="TF1368" s="402"/>
      <c r="TG1368" s="402"/>
      <c r="TH1368" s="402"/>
      <c r="TI1368" s="402"/>
      <c r="TJ1368" s="402"/>
      <c r="TK1368" s="402"/>
      <c r="TL1368" s="402"/>
      <c r="TM1368" s="402"/>
      <c r="TN1368" s="402"/>
      <c r="TO1368" s="402"/>
      <c r="TP1368" s="402"/>
      <c r="TQ1368" s="402"/>
      <c r="TR1368" s="402"/>
      <c r="TS1368" s="402"/>
      <c r="TT1368" s="402"/>
      <c r="TU1368" s="402"/>
      <c r="TV1368" s="402"/>
      <c r="TW1368" s="402"/>
      <c r="TX1368" s="402"/>
      <c r="TY1368" s="402"/>
      <c r="TZ1368" s="402"/>
      <c r="UA1368" s="402"/>
      <c r="UB1368" s="402"/>
      <c r="UC1368" s="402"/>
      <c r="UD1368" s="402"/>
      <c r="UE1368" s="402"/>
      <c r="UF1368" s="402"/>
      <c r="UG1368" s="402"/>
      <c r="UH1368" s="402"/>
      <c r="UI1368" s="402"/>
      <c r="UJ1368" s="402"/>
      <c r="UK1368" s="402"/>
      <c r="UL1368" s="402"/>
      <c r="UM1368" s="402"/>
      <c r="UN1368" s="402"/>
      <c r="UO1368" s="402"/>
      <c r="UP1368" s="402"/>
      <c r="UQ1368" s="402"/>
      <c r="UR1368" s="402"/>
      <c r="US1368" s="402"/>
      <c r="UT1368" s="402"/>
      <c r="UU1368" s="402"/>
      <c r="UV1368" s="402"/>
      <c r="UW1368" s="402"/>
      <c r="UX1368" s="402"/>
      <c r="UY1368" s="402"/>
      <c r="UZ1368" s="402"/>
      <c r="VA1368" s="402"/>
      <c r="VB1368" s="402"/>
      <c r="VC1368" s="402"/>
      <c r="VD1368" s="402"/>
      <c r="VE1368" s="402"/>
      <c r="VF1368" s="402"/>
      <c r="VG1368" s="402"/>
      <c r="VH1368" s="402"/>
      <c r="VI1368" s="402"/>
      <c r="VJ1368" s="402"/>
      <c r="VK1368" s="402"/>
      <c r="VL1368" s="402"/>
      <c r="VM1368" s="402"/>
      <c r="VN1368" s="402"/>
      <c r="VO1368" s="402"/>
      <c r="VP1368" s="402"/>
      <c r="VQ1368" s="402"/>
      <c r="VR1368" s="402"/>
      <c r="VS1368" s="402"/>
      <c r="VT1368" s="402"/>
      <c r="VU1368" s="402"/>
      <c r="VV1368" s="402"/>
      <c r="VW1368" s="402"/>
      <c r="VX1368" s="402"/>
      <c r="VY1368" s="402"/>
      <c r="VZ1368" s="402"/>
      <c r="WA1368" s="402"/>
      <c r="WB1368" s="402"/>
      <c r="WC1368" s="402"/>
      <c r="WD1368" s="402"/>
      <c r="WE1368" s="402"/>
      <c r="WF1368" s="402"/>
      <c r="WG1368" s="402"/>
      <c r="WH1368" s="402"/>
      <c r="WI1368" s="402"/>
      <c r="WJ1368" s="402"/>
      <c r="WK1368" s="402"/>
      <c r="WL1368" s="402"/>
      <c r="WM1368" s="402"/>
      <c r="WN1368" s="402"/>
      <c r="WO1368" s="402"/>
      <c r="WP1368" s="402"/>
      <c r="WQ1368" s="402"/>
      <c r="WR1368" s="402"/>
      <c r="WS1368" s="402"/>
      <c r="WT1368" s="402"/>
      <c r="WU1368" s="402"/>
      <c r="WV1368" s="402"/>
      <c r="WW1368" s="402"/>
      <c r="WX1368" s="402"/>
      <c r="WY1368" s="402"/>
      <c r="WZ1368" s="402"/>
      <c r="XA1368" s="402"/>
      <c r="XB1368" s="402"/>
      <c r="XC1368" s="402"/>
      <c r="XD1368" s="402"/>
      <c r="XE1368" s="402"/>
      <c r="XF1368" s="402"/>
      <c r="XG1368" s="402"/>
      <c r="XH1368" s="402"/>
      <c r="XI1368" s="402"/>
      <c r="XJ1368" s="402"/>
      <c r="XK1368" s="402"/>
      <c r="XL1368" s="402"/>
      <c r="XM1368" s="402"/>
      <c r="XN1368" s="402"/>
      <c r="XO1368" s="402"/>
      <c r="XP1368" s="402"/>
      <c r="XQ1368" s="402"/>
      <c r="XR1368" s="402"/>
      <c r="XS1368" s="402"/>
      <c r="XT1368" s="402"/>
      <c r="XU1368" s="402"/>
      <c r="XV1368" s="402"/>
      <c r="XW1368" s="402"/>
      <c r="XX1368" s="402"/>
      <c r="XY1368" s="402"/>
      <c r="XZ1368" s="402"/>
      <c r="YA1368" s="402"/>
      <c r="YB1368" s="402"/>
      <c r="YC1368" s="402"/>
      <c r="YD1368" s="402"/>
      <c r="YE1368" s="402"/>
      <c r="YF1368" s="402"/>
      <c r="YG1368" s="402"/>
      <c r="YH1368" s="402"/>
      <c r="YI1368" s="402"/>
      <c r="YJ1368" s="402"/>
      <c r="YK1368" s="402"/>
      <c r="YL1368" s="402"/>
      <c r="YM1368" s="402"/>
      <c r="YN1368" s="402"/>
      <c r="YO1368" s="402"/>
      <c r="YP1368" s="402"/>
      <c r="YQ1368" s="402"/>
      <c r="YR1368" s="402"/>
      <c r="YS1368" s="402"/>
      <c r="YT1368" s="402"/>
      <c r="YU1368" s="402"/>
      <c r="YV1368" s="402"/>
      <c r="YW1368" s="402"/>
      <c r="YX1368" s="402"/>
      <c r="YY1368" s="402"/>
      <c r="YZ1368" s="402"/>
      <c r="ZA1368" s="402"/>
      <c r="ZB1368" s="402"/>
      <c r="ZC1368" s="402"/>
      <c r="ZD1368" s="402"/>
      <c r="ZE1368" s="402"/>
      <c r="ZF1368" s="402"/>
      <c r="ZG1368" s="402"/>
      <c r="ZH1368" s="402"/>
      <c r="ZI1368" s="402"/>
      <c r="ZJ1368" s="402"/>
      <c r="ZK1368" s="402"/>
      <c r="ZL1368" s="402"/>
      <c r="ZM1368" s="402"/>
      <c r="ZN1368" s="402"/>
      <c r="ZO1368" s="402"/>
      <c r="ZP1368" s="402"/>
      <c r="ZQ1368" s="402"/>
      <c r="ZR1368" s="402"/>
      <c r="ZS1368" s="402"/>
      <c r="ZT1368" s="402"/>
      <c r="ZU1368" s="402"/>
      <c r="ZV1368" s="402"/>
      <c r="ZW1368" s="402"/>
      <c r="ZX1368" s="402"/>
      <c r="ZY1368" s="402"/>
      <c r="ZZ1368" s="402"/>
      <c r="AAA1368" s="402"/>
      <c r="AAB1368" s="402"/>
      <c r="AAC1368" s="402"/>
      <c r="AAD1368" s="402"/>
      <c r="AAE1368" s="402"/>
      <c r="AAF1368" s="402"/>
      <c r="AAG1368" s="402"/>
      <c r="AAH1368" s="402"/>
      <c r="AAI1368" s="402"/>
      <c r="AAJ1368" s="402"/>
      <c r="AAK1368" s="402"/>
      <c r="AAL1368" s="402"/>
      <c r="AAM1368" s="402"/>
      <c r="AAN1368" s="402"/>
      <c r="AAO1368" s="402"/>
      <c r="AAP1368" s="402"/>
      <c r="AAQ1368" s="402"/>
      <c r="AAR1368" s="402"/>
      <c r="AAS1368" s="402"/>
      <c r="AAT1368" s="402"/>
      <c r="AAU1368" s="402"/>
      <c r="AAV1368" s="402"/>
      <c r="AAW1368" s="402"/>
      <c r="AAX1368" s="402"/>
      <c r="AAY1368" s="402"/>
      <c r="AAZ1368" s="402"/>
      <c r="ABA1368" s="402"/>
      <c r="ABB1368" s="402"/>
      <c r="ABC1368" s="402"/>
      <c r="ABD1368" s="402"/>
      <c r="ABE1368" s="402"/>
      <c r="ABF1368" s="402"/>
      <c r="ABG1368" s="402"/>
      <c r="ABH1368" s="402"/>
      <c r="ABI1368" s="402"/>
      <c r="ABJ1368" s="402"/>
      <c r="ABK1368" s="402"/>
      <c r="ABL1368" s="402"/>
      <c r="ABM1368" s="402"/>
      <c r="ABN1368" s="402"/>
      <c r="ABO1368" s="402"/>
      <c r="ABP1368" s="402"/>
      <c r="ABQ1368" s="402"/>
      <c r="ABR1368" s="402"/>
      <c r="ABS1368" s="402"/>
      <c r="ABT1368" s="402"/>
      <c r="ABU1368" s="402"/>
      <c r="ABV1368" s="402"/>
      <c r="ABW1368" s="402"/>
      <c r="ABX1368" s="402"/>
      <c r="ABY1368" s="402"/>
      <c r="ABZ1368" s="402"/>
      <c r="ACA1368" s="402"/>
      <c r="ACB1368" s="402"/>
      <c r="ACC1368" s="402"/>
      <c r="ACD1368" s="402"/>
      <c r="ACE1368" s="402"/>
      <c r="ACF1368" s="402"/>
      <c r="ACG1368" s="402"/>
      <c r="ACH1368" s="402"/>
      <c r="ACI1368" s="402"/>
      <c r="ACJ1368" s="402"/>
      <c r="ACK1368" s="402"/>
      <c r="ACL1368" s="402"/>
      <c r="ACM1368" s="402"/>
      <c r="ACN1368" s="402"/>
      <c r="ACO1368" s="402"/>
      <c r="ACP1368" s="402"/>
      <c r="ACQ1368" s="402"/>
      <c r="ACR1368" s="402"/>
      <c r="ACS1368" s="402"/>
      <c r="ACT1368" s="402"/>
      <c r="ACU1368" s="402"/>
      <c r="ACV1368" s="402"/>
      <c r="ACW1368" s="402"/>
      <c r="ACX1368" s="402"/>
      <c r="ACY1368" s="402"/>
      <c r="ACZ1368" s="402"/>
      <c r="ADA1368" s="402"/>
      <c r="ADB1368" s="402"/>
      <c r="ADC1368" s="402"/>
      <c r="ADD1368" s="402"/>
      <c r="ADE1368" s="402"/>
      <c r="ADF1368" s="402"/>
      <c r="ADG1368" s="402"/>
      <c r="ADH1368" s="402"/>
      <c r="ADI1368" s="402"/>
      <c r="ADJ1368" s="402"/>
      <c r="ADK1368" s="402"/>
      <c r="ADL1368" s="402"/>
      <c r="ADM1368" s="402"/>
      <c r="ADN1368" s="402"/>
      <c r="ADO1368" s="402"/>
      <c r="ADP1368" s="402"/>
      <c r="ADQ1368" s="402"/>
      <c r="ADR1368" s="402"/>
      <c r="ADS1368" s="402"/>
      <c r="ADT1368" s="402"/>
      <c r="ADU1368" s="402"/>
      <c r="ADV1368" s="402"/>
      <c r="ADW1368" s="402"/>
      <c r="ADX1368" s="402"/>
      <c r="ADY1368" s="402"/>
      <c r="ADZ1368" s="402"/>
      <c r="AEA1368" s="402"/>
      <c r="AEB1368" s="402"/>
      <c r="AEC1368" s="402"/>
      <c r="AED1368" s="402"/>
      <c r="AEE1368" s="402"/>
      <c r="AEF1368" s="402"/>
      <c r="AEG1368" s="402"/>
      <c r="AEH1368" s="402"/>
      <c r="AEI1368" s="402"/>
      <c r="AEJ1368" s="402"/>
      <c r="AEK1368" s="402"/>
      <c r="AEL1368" s="402"/>
      <c r="AEM1368" s="402"/>
      <c r="AEN1368" s="402"/>
      <c r="AEO1368" s="402"/>
      <c r="AEP1368" s="402"/>
      <c r="AEQ1368" s="402"/>
      <c r="AER1368" s="402"/>
      <c r="AES1368" s="402"/>
      <c r="AET1368" s="402"/>
      <c r="AEU1368" s="402"/>
      <c r="AEV1368" s="402"/>
      <c r="AEW1368" s="402"/>
      <c r="AEX1368" s="402"/>
      <c r="AEY1368" s="402"/>
      <c r="AEZ1368" s="402"/>
      <c r="AFA1368" s="402"/>
      <c r="AFB1368" s="402"/>
      <c r="AFC1368" s="402"/>
      <c r="AFD1368" s="402"/>
      <c r="AFE1368" s="402"/>
      <c r="AFF1368" s="402"/>
      <c r="AFG1368" s="402"/>
      <c r="AFH1368" s="402"/>
      <c r="AFI1368" s="402"/>
      <c r="AFJ1368" s="402"/>
      <c r="AFK1368" s="402"/>
      <c r="AFL1368" s="402"/>
      <c r="AFM1368" s="402"/>
      <c r="AFN1368" s="402"/>
      <c r="AFO1368" s="402"/>
      <c r="AFP1368" s="402"/>
      <c r="AFQ1368" s="402"/>
      <c r="AFR1368" s="402"/>
      <c r="AFS1368" s="402"/>
      <c r="AFT1368" s="402"/>
      <c r="AFU1368" s="402"/>
      <c r="AFV1368" s="402"/>
      <c r="AFW1368" s="402"/>
      <c r="AFX1368" s="402"/>
      <c r="AFY1368" s="402"/>
      <c r="AFZ1368" s="402"/>
      <c r="AGA1368" s="402"/>
      <c r="AGB1368" s="402"/>
      <c r="AGC1368" s="402"/>
      <c r="AGD1368" s="402"/>
      <c r="AGE1368" s="402"/>
      <c r="AGF1368" s="402"/>
      <c r="AGG1368" s="402"/>
      <c r="AGH1368" s="402"/>
      <c r="AGI1368" s="402"/>
      <c r="AGJ1368" s="402"/>
      <c r="AGK1368" s="402"/>
      <c r="AGL1368" s="402"/>
      <c r="AGM1368" s="402"/>
      <c r="AGN1368" s="402"/>
      <c r="AGO1368" s="402"/>
      <c r="AGP1368" s="402"/>
      <c r="AGQ1368" s="402"/>
      <c r="AGR1368" s="402"/>
      <c r="AGS1368" s="402"/>
      <c r="AGT1368" s="402"/>
      <c r="AGU1368" s="402"/>
      <c r="AGV1368" s="402"/>
      <c r="AGW1368" s="402"/>
      <c r="AGX1368" s="402"/>
      <c r="AGY1368" s="402"/>
      <c r="AGZ1368" s="402"/>
      <c r="AHA1368" s="402"/>
      <c r="AHB1368" s="402"/>
      <c r="AHC1368" s="402"/>
      <c r="AHD1368" s="402"/>
      <c r="AHE1368" s="402"/>
      <c r="AHF1368" s="402"/>
      <c r="AHG1368" s="402"/>
      <c r="AHH1368" s="402"/>
      <c r="AHI1368" s="402"/>
      <c r="AHJ1368" s="402"/>
      <c r="AHK1368" s="402"/>
      <c r="AHL1368" s="402"/>
      <c r="AHM1368" s="402"/>
      <c r="AHN1368" s="402"/>
      <c r="AHO1368" s="402"/>
      <c r="AHP1368" s="402"/>
      <c r="AHQ1368" s="402"/>
      <c r="AHR1368" s="402"/>
      <c r="AHS1368" s="402"/>
      <c r="AHT1368" s="402"/>
      <c r="AHU1368" s="402"/>
      <c r="AHV1368" s="402"/>
      <c r="AHW1368" s="402"/>
      <c r="AHX1368" s="402"/>
      <c r="AHY1368" s="402"/>
      <c r="AHZ1368" s="402"/>
      <c r="AIA1368" s="402"/>
      <c r="AIB1368" s="402"/>
      <c r="AIC1368" s="402"/>
      <c r="AID1368" s="402"/>
      <c r="AIE1368" s="402"/>
      <c r="AIF1368" s="402"/>
      <c r="AIG1368" s="402"/>
      <c r="AIH1368" s="402"/>
      <c r="AII1368" s="402"/>
      <c r="AIJ1368" s="402"/>
      <c r="AIK1368" s="402"/>
      <c r="AIL1368" s="402"/>
      <c r="AIM1368" s="402"/>
      <c r="AIN1368" s="402"/>
      <c r="AIO1368" s="402"/>
      <c r="AIP1368" s="402"/>
      <c r="AIQ1368" s="402"/>
      <c r="AIR1368" s="402"/>
      <c r="AIS1368" s="402"/>
      <c r="AIT1368" s="402"/>
      <c r="AIU1368" s="402"/>
      <c r="AIV1368" s="402"/>
      <c r="AIW1368" s="402"/>
      <c r="AIX1368" s="402"/>
      <c r="AIY1368" s="402"/>
      <c r="AIZ1368" s="402"/>
      <c r="AJA1368" s="402"/>
      <c r="AJB1368" s="402"/>
      <c r="AJC1368" s="402"/>
      <c r="AJD1368" s="402"/>
      <c r="AJE1368" s="402"/>
      <c r="AJF1368" s="402"/>
      <c r="AJG1368" s="402"/>
      <c r="AJH1368" s="402"/>
      <c r="AJI1368" s="402"/>
      <c r="AJJ1368" s="402"/>
      <c r="AJK1368" s="402"/>
      <c r="AJL1368" s="402"/>
      <c r="AJM1368" s="402"/>
      <c r="AJN1368" s="402"/>
      <c r="AJO1368" s="402"/>
      <c r="AJP1368" s="402"/>
      <c r="AJQ1368" s="402"/>
      <c r="AJR1368" s="402"/>
      <c r="AJS1368" s="402"/>
      <c r="AJT1368" s="402"/>
      <c r="AJU1368" s="402"/>
      <c r="AJV1368" s="402"/>
      <c r="AJW1368" s="402"/>
      <c r="AJX1368" s="402"/>
      <c r="AJY1368" s="402"/>
      <c r="AJZ1368" s="402"/>
      <c r="AKA1368" s="402"/>
      <c r="AKB1368" s="402"/>
      <c r="AKC1368" s="402"/>
      <c r="AKD1368" s="402"/>
      <c r="AKE1368" s="402"/>
      <c r="AKF1368" s="402"/>
      <c r="AKG1368" s="402"/>
      <c r="AKH1368" s="402"/>
      <c r="AKI1368" s="402"/>
      <c r="AKJ1368" s="402"/>
      <c r="AKK1368" s="402"/>
      <c r="AKL1368" s="402"/>
      <c r="AKM1368" s="402"/>
      <c r="AKN1368" s="402"/>
      <c r="AKO1368" s="402"/>
      <c r="AKP1368" s="402"/>
      <c r="AKQ1368" s="402"/>
      <c r="AKR1368" s="402"/>
      <c r="AKS1368" s="402"/>
      <c r="AKT1368" s="402"/>
      <c r="AKU1368" s="402"/>
      <c r="AKV1368" s="402"/>
      <c r="AKW1368" s="402"/>
      <c r="AKX1368" s="402"/>
      <c r="AKY1368" s="402"/>
      <c r="AKZ1368" s="402"/>
      <c r="ALA1368" s="402"/>
      <c r="ALB1368" s="402"/>
      <c r="ALC1368" s="402"/>
      <c r="ALD1368" s="402"/>
      <c r="ALE1368" s="402"/>
      <c r="ALF1368" s="402"/>
      <c r="ALG1368" s="402"/>
      <c r="ALH1368" s="402"/>
      <c r="ALI1368" s="402"/>
      <c r="ALJ1368" s="402"/>
      <c r="ALK1368" s="402"/>
      <c r="ALL1368" s="402"/>
      <c r="ALM1368" s="402"/>
      <c r="ALN1368" s="402"/>
      <c r="ALO1368" s="402"/>
      <c r="ALP1368" s="402"/>
      <c r="ALQ1368" s="402"/>
      <c r="ALR1368" s="402"/>
      <c r="ALS1368" s="402"/>
      <c r="ALT1368" s="402"/>
      <c r="ALU1368" s="402"/>
      <c r="ALV1368" s="402"/>
      <c r="ALW1368" s="402"/>
      <c r="ALX1368" s="402"/>
      <c r="ALY1368" s="402"/>
      <c r="ALZ1368" s="402"/>
      <c r="AMA1368" s="402"/>
      <c r="AMB1368" s="402"/>
      <c r="AMC1368" s="402"/>
      <c r="AMD1368" s="402"/>
      <c r="AME1368" s="402"/>
      <c r="AMF1368" s="402"/>
      <c r="AMG1368" s="402"/>
      <c r="AMH1368" s="402"/>
      <c r="AMI1368" s="402"/>
      <c r="AMJ1368" s="402"/>
      <c r="AMK1368" s="402"/>
      <c r="AML1368" s="402"/>
      <c r="AMM1368" s="402"/>
      <c r="AMN1368" s="402"/>
      <c r="AMO1368" s="402"/>
      <c r="AMP1368" s="402"/>
      <c r="AMQ1368" s="402"/>
      <c r="AMR1368" s="402"/>
      <c r="AMS1368" s="402"/>
      <c r="AMT1368" s="402"/>
      <c r="AMU1368" s="402"/>
      <c r="AMV1368" s="402"/>
      <c r="AMW1368" s="402"/>
      <c r="AMX1368" s="402"/>
      <c r="AMY1368" s="402"/>
      <c r="AMZ1368" s="402"/>
      <c r="ANA1368" s="402"/>
      <c r="ANB1368" s="402"/>
      <c r="ANC1368" s="402"/>
      <c r="AND1368" s="402"/>
      <c r="ANE1368" s="402"/>
      <c r="ANF1368" s="402"/>
      <c r="ANG1368" s="402"/>
      <c r="ANH1368" s="402"/>
      <c r="ANI1368" s="402"/>
      <c r="ANJ1368" s="402"/>
      <c r="ANK1368" s="402"/>
      <c r="ANL1368" s="402"/>
      <c r="ANM1368" s="402"/>
      <c r="ANN1368" s="402"/>
      <c r="ANO1368" s="402"/>
      <c r="ANP1368" s="402"/>
      <c r="ANQ1368" s="402"/>
      <c r="ANR1368" s="402"/>
      <c r="ANS1368" s="402"/>
      <c r="ANT1368" s="402"/>
      <c r="ANU1368" s="402"/>
      <c r="ANV1368" s="402"/>
      <c r="ANW1368" s="402"/>
      <c r="ANX1368" s="402"/>
      <c r="ANY1368" s="402"/>
      <c r="ANZ1368" s="402"/>
      <c r="AOA1368" s="402"/>
      <c r="AOB1368" s="402"/>
      <c r="AOC1368" s="402"/>
      <c r="AOD1368" s="402"/>
      <c r="AOE1368" s="402"/>
      <c r="AOF1368" s="402"/>
      <c r="AOG1368" s="402"/>
      <c r="AOH1368" s="402"/>
      <c r="AOI1368" s="402"/>
      <c r="AOJ1368" s="402"/>
      <c r="AOK1368" s="402"/>
      <c r="AOL1368" s="402"/>
      <c r="AOM1368" s="402"/>
      <c r="AON1368" s="402"/>
      <c r="AOO1368" s="402"/>
      <c r="AOP1368" s="402"/>
      <c r="AOQ1368" s="402"/>
      <c r="AOR1368" s="402"/>
      <c r="AOS1368" s="402"/>
      <c r="AOT1368" s="402"/>
      <c r="AOU1368" s="402"/>
      <c r="AOV1368" s="402"/>
      <c r="AOW1368" s="402"/>
      <c r="AOX1368" s="402"/>
      <c r="AOY1368" s="402"/>
      <c r="AOZ1368" s="402"/>
      <c r="APA1368" s="402"/>
      <c r="APB1368" s="402"/>
      <c r="APC1368" s="402"/>
      <c r="APD1368" s="402"/>
      <c r="APE1368" s="402"/>
      <c r="APF1368" s="402"/>
      <c r="APG1368" s="402"/>
      <c r="APH1368" s="402"/>
      <c r="API1368" s="402"/>
      <c r="APJ1368" s="402"/>
      <c r="APK1368" s="402"/>
      <c r="APL1368" s="402"/>
      <c r="APM1368" s="402"/>
      <c r="APN1368" s="402"/>
      <c r="APO1368" s="402"/>
      <c r="APP1368" s="402"/>
      <c r="APQ1368" s="402"/>
      <c r="APR1368" s="402"/>
      <c r="APS1368" s="402"/>
      <c r="APT1368" s="402"/>
      <c r="APU1368" s="402"/>
      <c r="APV1368" s="402"/>
      <c r="APW1368" s="402"/>
      <c r="APX1368" s="402"/>
      <c r="APY1368" s="402"/>
      <c r="APZ1368" s="402"/>
      <c r="AQA1368" s="402"/>
      <c r="AQB1368" s="402"/>
      <c r="AQC1368" s="402"/>
      <c r="AQD1368" s="402"/>
      <c r="AQE1368" s="402"/>
      <c r="AQF1368" s="402"/>
      <c r="AQG1368" s="402"/>
      <c r="AQH1368" s="402"/>
      <c r="AQI1368" s="402"/>
      <c r="AQJ1368" s="402"/>
      <c r="AQK1368" s="402"/>
      <c r="AQL1368" s="402"/>
      <c r="AQM1368" s="402"/>
      <c r="AQN1368" s="402"/>
      <c r="AQO1368" s="402"/>
      <c r="AQP1368" s="402"/>
      <c r="AQQ1368" s="402"/>
      <c r="AQR1368" s="402"/>
      <c r="AQS1368" s="402"/>
      <c r="AQT1368" s="402"/>
      <c r="AQU1368" s="402"/>
      <c r="AQV1368" s="402"/>
      <c r="AQW1368" s="402"/>
      <c r="AQX1368" s="402"/>
      <c r="AQY1368" s="402"/>
      <c r="AQZ1368" s="402"/>
      <c r="ARA1368" s="402"/>
      <c r="ARB1368" s="402"/>
      <c r="ARC1368" s="402"/>
      <c r="ARD1368" s="402"/>
      <c r="ARE1368" s="402"/>
      <c r="ARF1368" s="402"/>
      <c r="ARG1368" s="402"/>
      <c r="ARH1368" s="402"/>
      <c r="ARI1368" s="402"/>
      <c r="ARJ1368" s="402"/>
      <c r="ARK1368" s="402"/>
      <c r="ARL1368" s="402"/>
      <c r="ARM1368" s="402"/>
      <c r="ARN1368" s="402"/>
      <c r="ARO1368" s="402"/>
      <c r="ARP1368" s="402"/>
      <c r="ARQ1368" s="402"/>
      <c r="ARR1368" s="402"/>
      <c r="ARS1368" s="402"/>
      <c r="ART1368" s="402"/>
      <c r="ARU1368" s="402"/>
      <c r="ARV1368" s="402"/>
      <c r="ARW1368" s="402"/>
      <c r="ARX1368" s="402"/>
      <c r="ARY1368" s="402"/>
      <c r="ARZ1368" s="402"/>
      <c r="ASA1368" s="402"/>
      <c r="ASB1368" s="402"/>
      <c r="ASC1368" s="402"/>
      <c r="ASD1368" s="402"/>
      <c r="ASE1368" s="402"/>
      <c r="ASF1368" s="402"/>
      <c r="ASG1368" s="402"/>
      <c r="ASH1368" s="402"/>
      <c r="ASI1368" s="402"/>
      <c r="ASJ1368" s="402"/>
      <c r="ASK1368" s="402"/>
      <c r="ASL1368" s="402"/>
      <c r="ASM1368" s="402"/>
      <c r="ASN1368" s="402"/>
      <c r="ASO1368" s="402"/>
      <c r="ASP1368" s="402"/>
      <c r="ASQ1368" s="402"/>
      <c r="ASR1368" s="402"/>
      <c r="ASS1368" s="402"/>
      <c r="AST1368" s="402"/>
      <c r="ASU1368" s="402"/>
      <c r="ASV1368" s="402"/>
      <c r="ASW1368" s="402"/>
      <c r="ASX1368" s="402"/>
      <c r="ASY1368" s="402"/>
      <c r="ASZ1368" s="402"/>
      <c r="ATA1368" s="402"/>
      <c r="ATB1368" s="402"/>
      <c r="ATC1368" s="402"/>
      <c r="ATD1368" s="402"/>
      <c r="ATE1368" s="402"/>
      <c r="ATF1368" s="402"/>
      <c r="ATG1368" s="402"/>
      <c r="ATH1368" s="402"/>
      <c r="ATI1368" s="402"/>
      <c r="ATJ1368" s="402"/>
      <c r="ATK1368" s="402"/>
      <c r="ATL1368" s="402"/>
      <c r="ATM1368" s="402"/>
      <c r="ATN1368" s="402"/>
      <c r="ATO1368" s="402"/>
      <c r="ATP1368" s="402"/>
      <c r="ATQ1368" s="402"/>
      <c r="ATR1368" s="402"/>
      <c r="ATS1368" s="402"/>
      <c r="ATT1368" s="402"/>
      <c r="ATU1368" s="402"/>
      <c r="ATV1368" s="402"/>
      <c r="ATW1368" s="402"/>
      <c r="ATX1368" s="402"/>
      <c r="ATY1368" s="402"/>
      <c r="ATZ1368" s="402"/>
      <c r="AUA1368" s="402"/>
      <c r="AUB1368" s="402"/>
      <c r="AUC1368" s="402"/>
      <c r="AUD1368" s="402"/>
      <c r="AUE1368" s="402"/>
      <c r="AUF1368" s="402"/>
      <c r="AUG1368" s="402"/>
      <c r="AUH1368" s="402"/>
      <c r="AUI1368" s="402"/>
      <c r="AUJ1368" s="402"/>
      <c r="AUK1368" s="402"/>
      <c r="AUL1368" s="402"/>
      <c r="AUM1368" s="402"/>
      <c r="AUN1368" s="402"/>
      <c r="AUO1368" s="402"/>
      <c r="AUP1368" s="402"/>
      <c r="AUQ1368" s="402"/>
      <c r="AUR1368" s="402"/>
      <c r="AUS1368" s="402"/>
      <c r="AUT1368" s="402"/>
      <c r="AUU1368" s="402"/>
      <c r="AUV1368" s="402"/>
      <c r="AUW1368" s="402"/>
      <c r="AUX1368" s="402"/>
      <c r="AUY1368" s="402"/>
      <c r="AUZ1368" s="402"/>
      <c r="AVA1368" s="402"/>
      <c r="AVB1368" s="402"/>
      <c r="AVC1368" s="402"/>
      <c r="AVD1368" s="402"/>
      <c r="AVE1368" s="402"/>
      <c r="AVF1368" s="402"/>
      <c r="AVG1368" s="402"/>
      <c r="AVH1368" s="402"/>
      <c r="AVI1368" s="402"/>
      <c r="AVJ1368" s="402"/>
      <c r="AVK1368" s="402"/>
    </row>
    <row r="1369" spans="1:1259" s="442" customFormat="1" ht="15" customHeight="1">
      <c r="A1369" s="403"/>
      <c r="B1369" s="403"/>
      <c r="C1369" s="403"/>
      <c r="D1369" s="443" t="s">
        <v>2480</v>
      </c>
      <c r="E1369" s="443" t="s">
        <v>2406</v>
      </c>
      <c r="F1369" s="432"/>
      <c r="G1369" s="432"/>
      <c r="H1369" s="451">
        <v>12</v>
      </c>
      <c r="I1369" s="427" t="s">
        <v>1498</v>
      </c>
      <c r="J1369" s="433"/>
      <c r="K1369" s="433" t="s">
        <v>3763</v>
      </c>
      <c r="L1369" s="433" t="s">
        <v>2509</v>
      </c>
      <c r="M1369" s="433">
        <v>44550</v>
      </c>
      <c r="N1369" s="433">
        <v>44715</v>
      </c>
      <c r="O1369" s="435"/>
      <c r="P1369" s="433"/>
      <c r="Q1369" s="433"/>
      <c r="R1369" s="433"/>
      <c r="S1369" s="432" t="s">
        <v>1940</v>
      </c>
      <c r="T1369" s="432">
        <v>60</v>
      </c>
      <c r="U1369" s="432"/>
      <c r="V1369" s="432" t="s">
        <v>973</v>
      </c>
      <c r="W1369" s="432">
        <v>400</v>
      </c>
      <c r="X1369" s="436">
        <v>480</v>
      </c>
      <c r="Y1369" s="422">
        <f t="shared" si="166"/>
        <v>192000</v>
      </c>
      <c r="Z1369" s="437">
        <v>0.53</v>
      </c>
      <c r="AA1369" s="423">
        <f t="shared" si="167"/>
        <v>101760</v>
      </c>
      <c r="AB1369" s="411"/>
      <c r="AC1369" s="412">
        <f t="shared" si="168"/>
        <v>0</v>
      </c>
      <c r="AD1369" s="439"/>
      <c r="AE1369" s="438"/>
      <c r="AF1369" s="424">
        <f t="shared" si="169"/>
        <v>101760</v>
      </c>
      <c r="AG1369" s="432" t="s">
        <v>1069</v>
      </c>
      <c r="AH1369" s="432"/>
      <c r="AI1369" s="434">
        <v>60</v>
      </c>
      <c r="AJ1369" s="432" t="s">
        <v>2624</v>
      </c>
      <c r="AK1369" s="440" t="s">
        <v>1136</v>
      </c>
      <c r="AL1369" s="432">
        <v>73128</v>
      </c>
      <c r="AM1369" s="432" t="s">
        <v>52</v>
      </c>
      <c r="AN1369" s="432"/>
      <c r="AO1369" s="432"/>
      <c r="AP1369" s="441"/>
      <c r="AQ1369" s="441" t="s">
        <v>37</v>
      </c>
      <c r="AR1369" s="441"/>
      <c r="AS1369" s="426" t="s">
        <v>1142</v>
      </c>
      <c r="AT1369" s="426" t="s">
        <v>1073</v>
      </c>
      <c r="AU1369" s="426" t="s">
        <v>1073</v>
      </c>
      <c r="AV1369" s="437">
        <v>0.53</v>
      </c>
      <c r="AW1369" s="402"/>
      <c r="AX1369" s="402"/>
      <c r="AY1369" s="402"/>
      <c r="AZ1369" s="402"/>
      <c r="BA1369" s="402"/>
      <c r="BB1369" s="402"/>
      <c r="BC1369" s="402"/>
      <c r="BD1369" s="402"/>
      <c r="BE1369" s="402"/>
      <c r="BF1369" s="402"/>
      <c r="BG1369" s="402"/>
      <c r="BH1369" s="402"/>
      <c r="BI1369" s="402"/>
      <c r="BJ1369" s="402"/>
      <c r="BK1369" s="402"/>
      <c r="BL1369" s="402"/>
      <c r="BM1369" s="402"/>
      <c r="BN1369" s="402"/>
      <c r="BO1369" s="402"/>
      <c r="BP1369" s="402"/>
      <c r="BQ1369" s="402"/>
      <c r="BR1369" s="402"/>
      <c r="BS1369" s="402"/>
      <c r="BT1369" s="402"/>
      <c r="BU1369" s="402"/>
      <c r="BV1369" s="402"/>
      <c r="BW1369" s="402"/>
      <c r="BX1369" s="402"/>
      <c r="BY1369" s="402"/>
      <c r="BZ1369" s="402"/>
      <c r="CA1369" s="402"/>
      <c r="CB1369" s="402"/>
      <c r="CC1369" s="402"/>
      <c r="CD1369" s="402"/>
      <c r="CE1369" s="402"/>
      <c r="CF1369" s="402"/>
      <c r="CG1369" s="402"/>
      <c r="CH1369" s="402"/>
      <c r="CI1369" s="402"/>
      <c r="CJ1369" s="402"/>
      <c r="CK1369" s="402"/>
      <c r="CL1369" s="402"/>
      <c r="CM1369" s="402"/>
      <c r="CN1369" s="402"/>
      <c r="CO1369" s="402"/>
      <c r="CP1369" s="402"/>
      <c r="CQ1369" s="402"/>
      <c r="CR1369" s="402"/>
      <c r="CS1369" s="402"/>
      <c r="CT1369" s="402"/>
      <c r="CU1369" s="402"/>
      <c r="CV1369" s="402"/>
      <c r="CW1369" s="402"/>
      <c r="CX1369" s="402"/>
      <c r="CY1369" s="402"/>
      <c r="CZ1369" s="402"/>
      <c r="DA1369" s="402"/>
      <c r="DB1369" s="402"/>
      <c r="DC1369" s="402"/>
      <c r="DD1369" s="402"/>
      <c r="DE1369" s="402"/>
      <c r="DF1369" s="402"/>
      <c r="DG1369" s="402"/>
      <c r="DH1369" s="402"/>
      <c r="DI1369" s="402"/>
      <c r="DJ1369" s="402"/>
      <c r="DK1369" s="402"/>
      <c r="DL1369" s="402"/>
      <c r="DM1369" s="402"/>
      <c r="DN1369" s="402"/>
      <c r="DO1369" s="402"/>
      <c r="DP1369" s="402"/>
      <c r="DQ1369" s="402"/>
      <c r="DR1369" s="402"/>
      <c r="DS1369" s="402"/>
      <c r="DT1369" s="402"/>
      <c r="DU1369" s="402"/>
      <c r="DV1369" s="402"/>
      <c r="DW1369" s="402"/>
      <c r="DX1369" s="402"/>
      <c r="DY1369" s="402"/>
      <c r="DZ1369" s="402"/>
      <c r="EA1369" s="402"/>
      <c r="EB1369" s="402"/>
      <c r="EC1369" s="402"/>
      <c r="ED1369" s="402"/>
      <c r="EE1369" s="402"/>
      <c r="EF1369" s="402"/>
      <c r="EG1369" s="402"/>
      <c r="EH1369" s="402"/>
      <c r="EI1369" s="402"/>
      <c r="EJ1369" s="402"/>
      <c r="EK1369" s="402"/>
      <c r="EL1369" s="402"/>
      <c r="EM1369" s="402"/>
      <c r="EN1369" s="402"/>
      <c r="EO1369" s="402"/>
      <c r="EP1369" s="402"/>
      <c r="EQ1369" s="402"/>
      <c r="ER1369" s="402"/>
      <c r="ES1369" s="402"/>
      <c r="ET1369" s="402"/>
      <c r="EU1369" s="402"/>
      <c r="EV1369" s="402"/>
      <c r="EW1369" s="402"/>
      <c r="EX1369" s="402"/>
      <c r="EY1369" s="402"/>
      <c r="EZ1369" s="402"/>
      <c r="FA1369" s="402"/>
      <c r="FB1369" s="402"/>
      <c r="FC1369" s="402"/>
      <c r="FD1369" s="402"/>
      <c r="FE1369" s="402"/>
      <c r="FF1369" s="402"/>
      <c r="FG1369" s="402"/>
      <c r="FH1369" s="402"/>
      <c r="FI1369" s="402"/>
      <c r="FJ1369" s="402"/>
      <c r="FK1369" s="402"/>
      <c r="FL1369" s="402"/>
      <c r="FM1369" s="402"/>
      <c r="FN1369" s="402"/>
      <c r="FO1369" s="402"/>
      <c r="FP1369" s="402"/>
      <c r="FQ1369" s="402"/>
      <c r="FR1369" s="402"/>
      <c r="FS1369" s="402"/>
      <c r="FT1369" s="402"/>
      <c r="FU1369" s="402"/>
      <c r="FV1369" s="402"/>
      <c r="FW1369" s="402"/>
      <c r="FX1369" s="402"/>
      <c r="FY1369" s="402"/>
      <c r="FZ1369" s="402"/>
      <c r="GA1369" s="402"/>
      <c r="GB1369" s="402"/>
      <c r="GC1369" s="402"/>
      <c r="GD1369" s="402"/>
      <c r="GE1369" s="402"/>
      <c r="GF1369" s="402"/>
      <c r="GG1369" s="402"/>
      <c r="GH1369" s="402"/>
      <c r="GI1369" s="402"/>
      <c r="GJ1369" s="402"/>
      <c r="GK1369" s="402"/>
      <c r="GL1369" s="402"/>
      <c r="GM1369" s="402"/>
      <c r="GN1369" s="402"/>
      <c r="GO1369" s="402"/>
      <c r="GP1369" s="402"/>
      <c r="GQ1369" s="402"/>
      <c r="GR1369" s="402"/>
      <c r="GS1369" s="402"/>
      <c r="GT1369" s="402"/>
      <c r="GU1369" s="402"/>
      <c r="GV1369" s="402"/>
      <c r="GW1369" s="402"/>
      <c r="GX1369" s="402"/>
      <c r="GY1369" s="402"/>
      <c r="GZ1369" s="402"/>
      <c r="HA1369" s="402"/>
      <c r="HB1369" s="402"/>
      <c r="HC1369" s="402"/>
      <c r="HD1369" s="402"/>
      <c r="HE1369" s="402"/>
      <c r="HF1369" s="402"/>
      <c r="HG1369" s="402"/>
      <c r="HH1369" s="402"/>
      <c r="HI1369" s="402"/>
      <c r="HJ1369" s="402"/>
      <c r="HK1369" s="402"/>
      <c r="HL1369" s="402"/>
      <c r="HM1369" s="402"/>
      <c r="HN1369" s="402"/>
      <c r="HO1369" s="402"/>
      <c r="HP1369" s="402"/>
      <c r="HQ1369" s="402"/>
      <c r="HR1369" s="402"/>
      <c r="HS1369" s="402"/>
      <c r="HT1369" s="402"/>
      <c r="HU1369" s="402"/>
      <c r="HV1369" s="402"/>
      <c r="HW1369" s="402"/>
      <c r="HX1369" s="402"/>
      <c r="HY1369" s="402"/>
      <c r="HZ1369" s="402"/>
      <c r="IA1369" s="402"/>
      <c r="IB1369" s="402"/>
      <c r="IC1369" s="402"/>
      <c r="ID1369" s="402"/>
      <c r="IE1369" s="402"/>
      <c r="IF1369" s="402"/>
      <c r="IG1369" s="402"/>
      <c r="IH1369" s="402"/>
      <c r="II1369" s="402"/>
      <c r="IJ1369" s="402"/>
      <c r="IK1369" s="402"/>
      <c r="IL1369" s="402"/>
      <c r="IM1369" s="402"/>
      <c r="IN1369" s="402"/>
      <c r="IO1369" s="402"/>
      <c r="IP1369" s="402"/>
      <c r="IQ1369" s="402"/>
      <c r="IR1369" s="402"/>
      <c r="IS1369" s="402"/>
      <c r="IT1369" s="402"/>
      <c r="IU1369" s="402"/>
      <c r="IV1369" s="402"/>
      <c r="IW1369" s="402"/>
      <c r="IX1369" s="402"/>
      <c r="IY1369" s="402"/>
      <c r="IZ1369" s="402"/>
      <c r="JA1369" s="402"/>
      <c r="JB1369" s="402"/>
      <c r="JC1369" s="402"/>
      <c r="JD1369" s="402"/>
      <c r="JE1369" s="402"/>
      <c r="JF1369" s="402"/>
      <c r="JG1369" s="402"/>
      <c r="JH1369" s="402"/>
      <c r="JI1369" s="402"/>
      <c r="JJ1369" s="402"/>
      <c r="JK1369" s="402"/>
      <c r="JL1369" s="402"/>
      <c r="JM1369" s="402"/>
      <c r="JN1369" s="402"/>
      <c r="JO1369" s="402"/>
      <c r="JP1369" s="402"/>
      <c r="JQ1369" s="402"/>
      <c r="JR1369" s="402"/>
      <c r="JS1369" s="402"/>
      <c r="JT1369" s="402"/>
      <c r="JU1369" s="402"/>
      <c r="JV1369" s="402"/>
      <c r="JW1369" s="402"/>
      <c r="JX1369" s="402"/>
      <c r="JY1369" s="402"/>
      <c r="JZ1369" s="402"/>
      <c r="KA1369" s="402"/>
      <c r="KB1369" s="402"/>
      <c r="KC1369" s="402"/>
      <c r="KD1369" s="402"/>
      <c r="KE1369" s="402"/>
      <c r="KF1369" s="402"/>
      <c r="KG1369" s="402"/>
      <c r="KH1369" s="402"/>
      <c r="KI1369" s="402"/>
      <c r="KJ1369" s="402"/>
      <c r="KK1369" s="402"/>
      <c r="KL1369" s="402"/>
      <c r="KM1369" s="402"/>
      <c r="KN1369" s="402"/>
      <c r="KO1369" s="402"/>
      <c r="KP1369" s="402"/>
      <c r="KQ1369" s="402"/>
      <c r="KR1369" s="402"/>
      <c r="KS1369" s="402"/>
      <c r="KT1369" s="402"/>
      <c r="KU1369" s="402"/>
      <c r="KV1369" s="402"/>
      <c r="KW1369" s="402"/>
      <c r="KX1369" s="402"/>
      <c r="KY1369" s="402"/>
      <c r="KZ1369" s="402"/>
      <c r="LA1369" s="402"/>
      <c r="LB1369" s="402"/>
      <c r="LC1369" s="402"/>
      <c r="LD1369" s="402"/>
      <c r="LE1369" s="402"/>
      <c r="LF1369" s="402"/>
      <c r="LG1369" s="402"/>
      <c r="LH1369" s="402"/>
      <c r="LI1369" s="402"/>
      <c r="LJ1369" s="402"/>
      <c r="LK1369" s="402"/>
      <c r="LL1369" s="402"/>
      <c r="LM1369" s="402"/>
      <c r="LN1369" s="402"/>
      <c r="LO1369" s="402"/>
      <c r="LP1369" s="402"/>
      <c r="LQ1369" s="402"/>
      <c r="LR1369" s="402"/>
      <c r="LS1369" s="402"/>
      <c r="LT1369" s="402"/>
      <c r="LU1369" s="402"/>
      <c r="LV1369" s="402"/>
      <c r="LW1369" s="402"/>
      <c r="LX1369" s="402"/>
      <c r="LY1369" s="402"/>
      <c r="LZ1369" s="402"/>
      <c r="MA1369" s="402"/>
      <c r="MB1369" s="402"/>
      <c r="MC1369" s="402"/>
      <c r="MD1369" s="402"/>
      <c r="ME1369" s="402"/>
      <c r="MF1369" s="402"/>
      <c r="MG1369" s="402"/>
      <c r="MH1369" s="402"/>
      <c r="MI1369" s="402"/>
      <c r="MJ1369" s="402"/>
      <c r="MK1369" s="402"/>
      <c r="ML1369" s="402"/>
      <c r="MM1369" s="402"/>
      <c r="MN1369" s="402"/>
      <c r="MO1369" s="402"/>
      <c r="MP1369" s="402"/>
      <c r="MQ1369" s="402"/>
      <c r="MR1369" s="402"/>
      <c r="MS1369" s="402"/>
      <c r="MT1369" s="402"/>
      <c r="MU1369" s="402"/>
      <c r="MV1369" s="402"/>
      <c r="MW1369" s="402"/>
      <c r="MX1369" s="402"/>
      <c r="MY1369" s="402"/>
      <c r="MZ1369" s="402"/>
      <c r="NA1369" s="402"/>
      <c r="NB1369" s="402"/>
      <c r="NC1369" s="402"/>
      <c r="ND1369" s="402"/>
      <c r="NE1369" s="402"/>
      <c r="NF1369" s="402"/>
      <c r="NG1369" s="402"/>
      <c r="NH1369" s="402"/>
      <c r="NI1369" s="402"/>
      <c r="NJ1369" s="402"/>
      <c r="NK1369" s="402"/>
      <c r="NL1369" s="402"/>
      <c r="NM1369" s="402"/>
      <c r="NN1369" s="402"/>
      <c r="NO1369" s="402"/>
      <c r="NP1369" s="402"/>
      <c r="NQ1369" s="402"/>
      <c r="NR1369" s="402"/>
      <c r="NS1369" s="402"/>
      <c r="NT1369" s="402"/>
      <c r="NU1369" s="402"/>
      <c r="NV1369" s="402"/>
      <c r="NW1369" s="402"/>
      <c r="NX1369" s="402"/>
      <c r="NY1369" s="402"/>
      <c r="NZ1369" s="402"/>
      <c r="OA1369" s="402"/>
      <c r="OB1369" s="402"/>
      <c r="OC1369" s="402"/>
      <c r="OD1369" s="402"/>
      <c r="OE1369" s="402"/>
      <c r="OF1369" s="402"/>
      <c r="OG1369" s="402"/>
      <c r="OH1369" s="402"/>
      <c r="OI1369" s="402"/>
      <c r="OJ1369" s="402"/>
      <c r="OK1369" s="402"/>
      <c r="OL1369" s="402"/>
      <c r="OM1369" s="402"/>
      <c r="ON1369" s="402"/>
      <c r="OO1369" s="402"/>
      <c r="OP1369" s="402"/>
      <c r="OQ1369" s="402"/>
      <c r="OR1369" s="402"/>
      <c r="OS1369" s="402"/>
      <c r="OT1369" s="402"/>
      <c r="OU1369" s="402"/>
      <c r="OV1369" s="402"/>
      <c r="OW1369" s="402"/>
      <c r="OX1369" s="402"/>
      <c r="OY1369" s="402"/>
      <c r="OZ1369" s="402"/>
      <c r="PA1369" s="402"/>
      <c r="PB1369" s="402"/>
      <c r="PC1369" s="402"/>
      <c r="PD1369" s="402"/>
      <c r="PE1369" s="402"/>
      <c r="PF1369" s="402"/>
      <c r="PG1369" s="402"/>
      <c r="PH1369" s="402"/>
      <c r="PI1369" s="402"/>
      <c r="PJ1369" s="402"/>
      <c r="PK1369" s="402"/>
      <c r="PL1369" s="402"/>
      <c r="PM1369" s="402"/>
      <c r="PN1369" s="402"/>
      <c r="PO1369" s="402"/>
      <c r="PP1369" s="402"/>
      <c r="PQ1369" s="402"/>
      <c r="PR1369" s="402"/>
      <c r="PS1369" s="402"/>
      <c r="PT1369" s="402"/>
      <c r="PU1369" s="402"/>
      <c r="PV1369" s="402"/>
      <c r="PW1369" s="402"/>
      <c r="PX1369" s="402"/>
      <c r="PY1369" s="402"/>
      <c r="PZ1369" s="402"/>
      <c r="QA1369" s="402"/>
      <c r="QB1369" s="402"/>
      <c r="QC1369" s="402"/>
      <c r="QD1369" s="402"/>
      <c r="QE1369" s="402"/>
      <c r="QF1369" s="402"/>
      <c r="QG1369" s="402"/>
      <c r="QH1369" s="402"/>
      <c r="QI1369" s="402"/>
      <c r="QJ1369" s="402"/>
      <c r="QK1369" s="402"/>
      <c r="QL1369" s="402"/>
      <c r="QM1369" s="402"/>
      <c r="QN1369" s="402"/>
      <c r="QO1369" s="402"/>
      <c r="QP1369" s="402"/>
      <c r="QQ1369" s="402"/>
      <c r="QR1369" s="402"/>
      <c r="QS1369" s="402"/>
      <c r="QT1369" s="402"/>
      <c r="QU1369" s="402"/>
      <c r="QV1369" s="402"/>
      <c r="QW1369" s="402"/>
      <c r="QX1369" s="402"/>
      <c r="QY1369" s="402"/>
      <c r="QZ1369" s="402"/>
      <c r="RA1369" s="402"/>
      <c r="RB1369" s="402"/>
      <c r="RC1369" s="402"/>
      <c r="RD1369" s="402"/>
      <c r="RE1369" s="402"/>
      <c r="RF1369" s="402"/>
      <c r="RG1369" s="402"/>
      <c r="RH1369" s="402"/>
      <c r="RI1369" s="402"/>
      <c r="RJ1369" s="402"/>
      <c r="RK1369" s="402"/>
      <c r="RL1369" s="402"/>
      <c r="RM1369" s="402"/>
      <c r="RN1369" s="402"/>
      <c r="RO1369" s="402"/>
      <c r="RP1369" s="402"/>
      <c r="RQ1369" s="402"/>
      <c r="RR1369" s="402"/>
      <c r="RS1369" s="402"/>
      <c r="RT1369" s="402"/>
      <c r="RU1369" s="402"/>
      <c r="RV1369" s="402"/>
      <c r="RW1369" s="402"/>
      <c r="RX1369" s="402"/>
      <c r="RY1369" s="402"/>
      <c r="RZ1369" s="402"/>
      <c r="SA1369" s="402"/>
      <c r="SB1369" s="402"/>
      <c r="SC1369" s="402"/>
      <c r="SD1369" s="402"/>
      <c r="SE1369" s="402"/>
      <c r="SF1369" s="402"/>
      <c r="SG1369" s="402"/>
      <c r="SH1369" s="402"/>
      <c r="SI1369" s="402"/>
      <c r="SJ1369" s="402"/>
      <c r="SK1369" s="402"/>
      <c r="SL1369" s="402"/>
      <c r="SM1369" s="402"/>
      <c r="SN1369" s="402"/>
      <c r="SO1369" s="402"/>
      <c r="SP1369" s="402"/>
      <c r="SQ1369" s="402"/>
      <c r="SR1369" s="402"/>
      <c r="SS1369" s="402"/>
      <c r="ST1369" s="402"/>
      <c r="SU1369" s="402"/>
      <c r="SV1369" s="402"/>
      <c r="SW1369" s="402"/>
      <c r="SX1369" s="402"/>
      <c r="SY1369" s="402"/>
      <c r="SZ1369" s="402"/>
      <c r="TA1369" s="402"/>
      <c r="TB1369" s="402"/>
      <c r="TC1369" s="402"/>
      <c r="TD1369" s="402"/>
      <c r="TE1369" s="402"/>
      <c r="TF1369" s="402"/>
      <c r="TG1369" s="402"/>
      <c r="TH1369" s="402"/>
      <c r="TI1369" s="402"/>
      <c r="TJ1369" s="402"/>
      <c r="TK1369" s="402"/>
      <c r="TL1369" s="402"/>
      <c r="TM1369" s="402"/>
      <c r="TN1369" s="402"/>
      <c r="TO1369" s="402"/>
      <c r="TP1369" s="402"/>
      <c r="TQ1369" s="402"/>
      <c r="TR1369" s="402"/>
      <c r="TS1369" s="402"/>
      <c r="TT1369" s="402"/>
      <c r="TU1369" s="402"/>
      <c r="TV1369" s="402"/>
      <c r="TW1369" s="402"/>
      <c r="TX1369" s="402"/>
      <c r="TY1369" s="402"/>
      <c r="TZ1369" s="402"/>
      <c r="UA1369" s="402"/>
      <c r="UB1369" s="402"/>
      <c r="UC1369" s="402"/>
      <c r="UD1369" s="402"/>
      <c r="UE1369" s="402"/>
      <c r="UF1369" s="402"/>
      <c r="UG1369" s="402"/>
      <c r="UH1369" s="402"/>
      <c r="UI1369" s="402"/>
      <c r="UJ1369" s="402"/>
      <c r="UK1369" s="402"/>
      <c r="UL1369" s="402"/>
      <c r="UM1369" s="402"/>
      <c r="UN1369" s="402"/>
      <c r="UO1369" s="402"/>
      <c r="UP1369" s="402"/>
      <c r="UQ1369" s="402"/>
      <c r="UR1369" s="402"/>
      <c r="US1369" s="402"/>
      <c r="UT1369" s="402"/>
      <c r="UU1369" s="402"/>
      <c r="UV1369" s="402"/>
      <c r="UW1369" s="402"/>
      <c r="UX1369" s="402"/>
      <c r="UY1369" s="402"/>
      <c r="UZ1369" s="402"/>
      <c r="VA1369" s="402"/>
      <c r="VB1369" s="402"/>
      <c r="VC1369" s="402"/>
      <c r="VD1369" s="402"/>
      <c r="VE1369" s="402"/>
      <c r="VF1369" s="402"/>
      <c r="VG1369" s="402"/>
      <c r="VH1369" s="402"/>
      <c r="VI1369" s="402"/>
      <c r="VJ1369" s="402"/>
      <c r="VK1369" s="402"/>
      <c r="VL1369" s="402"/>
      <c r="VM1369" s="402"/>
      <c r="VN1369" s="402"/>
      <c r="VO1369" s="402"/>
      <c r="VP1369" s="402"/>
      <c r="VQ1369" s="402"/>
      <c r="VR1369" s="402"/>
      <c r="VS1369" s="402"/>
      <c r="VT1369" s="402"/>
      <c r="VU1369" s="402"/>
      <c r="VV1369" s="402"/>
      <c r="VW1369" s="402"/>
      <c r="VX1369" s="402"/>
      <c r="VY1369" s="402"/>
      <c r="VZ1369" s="402"/>
      <c r="WA1369" s="402"/>
      <c r="WB1369" s="402"/>
      <c r="WC1369" s="402"/>
      <c r="WD1369" s="402"/>
      <c r="WE1369" s="402"/>
      <c r="WF1369" s="402"/>
      <c r="WG1369" s="402"/>
      <c r="WH1369" s="402"/>
      <c r="WI1369" s="402"/>
      <c r="WJ1369" s="402"/>
      <c r="WK1369" s="402"/>
      <c r="WL1369" s="402"/>
      <c r="WM1369" s="402"/>
      <c r="WN1369" s="402"/>
      <c r="WO1369" s="402"/>
      <c r="WP1369" s="402"/>
      <c r="WQ1369" s="402"/>
      <c r="WR1369" s="402"/>
      <c r="WS1369" s="402"/>
      <c r="WT1369" s="402"/>
      <c r="WU1369" s="402"/>
      <c r="WV1369" s="402"/>
      <c r="WW1369" s="402"/>
      <c r="WX1369" s="402"/>
      <c r="WY1369" s="402"/>
      <c r="WZ1369" s="402"/>
      <c r="XA1369" s="402"/>
      <c r="XB1369" s="402"/>
      <c r="XC1369" s="402"/>
      <c r="XD1369" s="402"/>
      <c r="XE1369" s="402"/>
      <c r="XF1369" s="402"/>
      <c r="XG1369" s="402"/>
      <c r="XH1369" s="402"/>
      <c r="XI1369" s="402"/>
      <c r="XJ1369" s="402"/>
      <c r="XK1369" s="402"/>
      <c r="XL1369" s="402"/>
      <c r="XM1369" s="402"/>
      <c r="XN1369" s="402"/>
      <c r="XO1369" s="402"/>
      <c r="XP1369" s="402"/>
      <c r="XQ1369" s="402"/>
      <c r="XR1369" s="402"/>
      <c r="XS1369" s="402"/>
      <c r="XT1369" s="402"/>
      <c r="XU1369" s="402"/>
      <c r="XV1369" s="402"/>
      <c r="XW1369" s="402"/>
      <c r="XX1369" s="402"/>
      <c r="XY1369" s="402"/>
      <c r="XZ1369" s="402"/>
      <c r="YA1369" s="402"/>
      <c r="YB1369" s="402"/>
      <c r="YC1369" s="402"/>
      <c r="YD1369" s="402"/>
      <c r="YE1369" s="402"/>
      <c r="YF1369" s="402"/>
      <c r="YG1369" s="402"/>
      <c r="YH1369" s="402"/>
      <c r="YI1369" s="402"/>
      <c r="YJ1369" s="402"/>
      <c r="YK1369" s="402"/>
      <c r="YL1369" s="402"/>
      <c r="YM1369" s="402"/>
      <c r="YN1369" s="402"/>
      <c r="YO1369" s="402"/>
      <c r="YP1369" s="402"/>
      <c r="YQ1369" s="402"/>
      <c r="YR1369" s="402"/>
      <c r="YS1369" s="402"/>
      <c r="YT1369" s="402"/>
      <c r="YU1369" s="402"/>
      <c r="YV1369" s="402"/>
      <c r="YW1369" s="402"/>
      <c r="YX1369" s="402"/>
      <c r="YY1369" s="402"/>
      <c r="YZ1369" s="402"/>
      <c r="ZA1369" s="402"/>
      <c r="ZB1369" s="402"/>
      <c r="ZC1369" s="402"/>
      <c r="ZD1369" s="402"/>
      <c r="ZE1369" s="402"/>
      <c r="ZF1369" s="402"/>
      <c r="ZG1369" s="402"/>
      <c r="ZH1369" s="402"/>
      <c r="ZI1369" s="402"/>
      <c r="ZJ1369" s="402"/>
      <c r="ZK1369" s="402"/>
      <c r="ZL1369" s="402"/>
      <c r="ZM1369" s="402"/>
      <c r="ZN1369" s="402"/>
      <c r="ZO1369" s="402"/>
      <c r="ZP1369" s="402"/>
      <c r="ZQ1369" s="402"/>
      <c r="ZR1369" s="402"/>
      <c r="ZS1369" s="402"/>
      <c r="ZT1369" s="402"/>
      <c r="ZU1369" s="402"/>
      <c r="ZV1369" s="402"/>
      <c r="ZW1369" s="402"/>
      <c r="ZX1369" s="402"/>
      <c r="ZY1369" s="402"/>
      <c r="ZZ1369" s="402"/>
      <c r="AAA1369" s="402"/>
      <c r="AAB1369" s="402"/>
      <c r="AAC1369" s="402"/>
      <c r="AAD1369" s="402"/>
      <c r="AAE1369" s="402"/>
      <c r="AAF1369" s="402"/>
      <c r="AAG1369" s="402"/>
      <c r="AAH1369" s="402"/>
      <c r="AAI1369" s="402"/>
      <c r="AAJ1369" s="402"/>
      <c r="AAK1369" s="402"/>
      <c r="AAL1369" s="402"/>
      <c r="AAM1369" s="402"/>
      <c r="AAN1369" s="402"/>
      <c r="AAO1369" s="402"/>
      <c r="AAP1369" s="402"/>
      <c r="AAQ1369" s="402"/>
      <c r="AAR1369" s="402"/>
      <c r="AAS1369" s="402"/>
      <c r="AAT1369" s="402"/>
      <c r="AAU1369" s="402"/>
      <c r="AAV1369" s="402"/>
      <c r="AAW1369" s="402"/>
      <c r="AAX1369" s="402"/>
      <c r="AAY1369" s="402"/>
      <c r="AAZ1369" s="402"/>
      <c r="ABA1369" s="402"/>
      <c r="ABB1369" s="402"/>
      <c r="ABC1369" s="402"/>
      <c r="ABD1369" s="402"/>
      <c r="ABE1369" s="402"/>
      <c r="ABF1369" s="402"/>
      <c r="ABG1369" s="402"/>
      <c r="ABH1369" s="402"/>
      <c r="ABI1369" s="402"/>
      <c r="ABJ1369" s="402"/>
      <c r="ABK1369" s="402"/>
      <c r="ABL1369" s="402"/>
      <c r="ABM1369" s="402"/>
      <c r="ABN1369" s="402"/>
      <c r="ABO1369" s="402"/>
      <c r="ABP1369" s="402"/>
      <c r="ABQ1369" s="402"/>
      <c r="ABR1369" s="402"/>
      <c r="ABS1369" s="402"/>
      <c r="ABT1369" s="402"/>
      <c r="ABU1369" s="402"/>
      <c r="ABV1369" s="402"/>
      <c r="ABW1369" s="402"/>
      <c r="ABX1369" s="402"/>
      <c r="ABY1369" s="402"/>
      <c r="ABZ1369" s="402"/>
      <c r="ACA1369" s="402"/>
      <c r="ACB1369" s="402"/>
      <c r="ACC1369" s="402"/>
      <c r="ACD1369" s="402"/>
      <c r="ACE1369" s="402"/>
      <c r="ACF1369" s="402"/>
      <c r="ACG1369" s="402"/>
      <c r="ACH1369" s="402"/>
      <c r="ACI1369" s="402"/>
      <c r="ACJ1369" s="402"/>
      <c r="ACK1369" s="402"/>
      <c r="ACL1369" s="402"/>
      <c r="ACM1369" s="402"/>
      <c r="ACN1369" s="402"/>
      <c r="ACO1369" s="402"/>
      <c r="ACP1369" s="402"/>
      <c r="ACQ1369" s="402"/>
      <c r="ACR1369" s="402"/>
      <c r="ACS1369" s="402"/>
      <c r="ACT1369" s="402"/>
      <c r="ACU1369" s="402"/>
      <c r="ACV1369" s="402"/>
      <c r="ACW1369" s="402"/>
      <c r="ACX1369" s="402"/>
      <c r="ACY1369" s="402"/>
      <c r="ACZ1369" s="402"/>
      <c r="ADA1369" s="402"/>
      <c r="ADB1369" s="402"/>
      <c r="ADC1369" s="402"/>
      <c r="ADD1369" s="402"/>
      <c r="ADE1369" s="402"/>
      <c r="ADF1369" s="402"/>
      <c r="ADG1369" s="402"/>
      <c r="ADH1369" s="402"/>
      <c r="ADI1369" s="402"/>
      <c r="ADJ1369" s="402"/>
      <c r="ADK1369" s="402"/>
      <c r="ADL1369" s="402"/>
      <c r="ADM1369" s="402"/>
      <c r="ADN1369" s="402"/>
      <c r="ADO1369" s="402"/>
      <c r="ADP1369" s="402"/>
      <c r="ADQ1369" s="402"/>
      <c r="ADR1369" s="402"/>
      <c r="ADS1369" s="402"/>
      <c r="ADT1369" s="402"/>
      <c r="ADU1369" s="402"/>
      <c r="ADV1369" s="402"/>
      <c r="ADW1369" s="402"/>
      <c r="ADX1369" s="402"/>
      <c r="ADY1369" s="402"/>
      <c r="ADZ1369" s="402"/>
      <c r="AEA1369" s="402"/>
      <c r="AEB1369" s="402"/>
      <c r="AEC1369" s="402"/>
      <c r="AED1369" s="402"/>
      <c r="AEE1369" s="402"/>
      <c r="AEF1369" s="402"/>
      <c r="AEG1369" s="402"/>
      <c r="AEH1369" s="402"/>
      <c r="AEI1369" s="402"/>
      <c r="AEJ1369" s="402"/>
      <c r="AEK1369" s="402"/>
      <c r="AEL1369" s="402"/>
      <c r="AEM1369" s="402"/>
      <c r="AEN1369" s="402"/>
      <c r="AEO1369" s="402"/>
      <c r="AEP1369" s="402"/>
      <c r="AEQ1369" s="402"/>
      <c r="AER1369" s="402"/>
      <c r="AES1369" s="402"/>
      <c r="AET1369" s="402"/>
      <c r="AEU1369" s="402"/>
      <c r="AEV1369" s="402"/>
      <c r="AEW1369" s="402"/>
      <c r="AEX1369" s="402"/>
      <c r="AEY1369" s="402"/>
      <c r="AEZ1369" s="402"/>
      <c r="AFA1369" s="402"/>
      <c r="AFB1369" s="402"/>
      <c r="AFC1369" s="402"/>
      <c r="AFD1369" s="402"/>
      <c r="AFE1369" s="402"/>
      <c r="AFF1369" s="402"/>
      <c r="AFG1369" s="402"/>
      <c r="AFH1369" s="402"/>
      <c r="AFI1369" s="402"/>
      <c r="AFJ1369" s="402"/>
      <c r="AFK1369" s="402"/>
      <c r="AFL1369" s="402"/>
      <c r="AFM1369" s="402"/>
      <c r="AFN1369" s="402"/>
      <c r="AFO1369" s="402"/>
      <c r="AFP1369" s="402"/>
      <c r="AFQ1369" s="402"/>
      <c r="AFR1369" s="402"/>
      <c r="AFS1369" s="402"/>
      <c r="AFT1369" s="402"/>
      <c r="AFU1369" s="402"/>
      <c r="AFV1369" s="402"/>
      <c r="AFW1369" s="402"/>
      <c r="AFX1369" s="402"/>
      <c r="AFY1369" s="402"/>
      <c r="AFZ1369" s="402"/>
      <c r="AGA1369" s="402"/>
      <c r="AGB1369" s="402"/>
      <c r="AGC1369" s="402"/>
      <c r="AGD1369" s="402"/>
      <c r="AGE1369" s="402"/>
      <c r="AGF1369" s="402"/>
      <c r="AGG1369" s="402"/>
      <c r="AGH1369" s="402"/>
      <c r="AGI1369" s="402"/>
      <c r="AGJ1369" s="402"/>
      <c r="AGK1369" s="402"/>
      <c r="AGL1369" s="402"/>
      <c r="AGM1369" s="402"/>
      <c r="AGN1369" s="402"/>
      <c r="AGO1369" s="402"/>
      <c r="AGP1369" s="402"/>
      <c r="AGQ1369" s="402"/>
      <c r="AGR1369" s="402"/>
      <c r="AGS1369" s="402"/>
      <c r="AGT1369" s="402"/>
      <c r="AGU1369" s="402"/>
      <c r="AGV1369" s="402"/>
      <c r="AGW1369" s="402"/>
      <c r="AGX1369" s="402"/>
      <c r="AGY1369" s="402"/>
      <c r="AGZ1369" s="402"/>
      <c r="AHA1369" s="402"/>
      <c r="AHB1369" s="402"/>
      <c r="AHC1369" s="402"/>
      <c r="AHD1369" s="402"/>
      <c r="AHE1369" s="402"/>
      <c r="AHF1369" s="402"/>
      <c r="AHG1369" s="402"/>
      <c r="AHH1369" s="402"/>
      <c r="AHI1369" s="402"/>
      <c r="AHJ1369" s="402"/>
      <c r="AHK1369" s="402"/>
      <c r="AHL1369" s="402"/>
      <c r="AHM1369" s="402"/>
      <c r="AHN1369" s="402"/>
      <c r="AHO1369" s="402"/>
      <c r="AHP1369" s="402"/>
      <c r="AHQ1369" s="402"/>
      <c r="AHR1369" s="402"/>
      <c r="AHS1369" s="402"/>
      <c r="AHT1369" s="402"/>
      <c r="AHU1369" s="402"/>
      <c r="AHV1369" s="402"/>
      <c r="AHW1369" s="402"/>
      <c r="AHX1369" s="402"/>
      <c r="AHY1369" s="402"/>
      <c r="AHZ1369" s="402"/>
      <c r="AIA1369" s="402"/>
      <c r="AIB1369" s="402"/>
      <c r="AIC1369" s="402"/>
      <c r="AID1369" s="402"/>
      <c r="AIE1369" s="402"/>
      <c r="AIF1369" s="402"/>
      <c r="AIG1369" s="402"/>
      <c r="AIH1369" s="402"/>
      <c r="AII1369" s="402"/>
      <c r="AIJ1369" s="402"/>
      <c r="AIK1369" s="402"/>
      <c r="AIL1369" s="402"/>
      <c r="AIM1369" s="402"/>
      <c r="AIN1369" s="402"/>
      <c r="AIO1369" s="402"/>
      <c r="AIP1369" s="402"/>
      <c r="AIQ1369" s="402"/>
      <c r="AIR1369" s="402"/>
      <c r="AIS1369" s="402"/>
      <c r="AIT1369" s="402"/>
      <c r="AIU1369" s="402"/>
      <c r="AIV1369" s="402"/>
      <c r="AIW1369" s="402"/>
      <c r="AIX1369" s="402"/>
      <c r="AIY1369" s="402"/>
      <c r="AIZ1369" s="402"/>
      <c r="AJA1369" s="402"/>
      <c r="AJB1369" s="402"/>
      <c r="AJC1369" s="402"/>
      <c r="AJD1369" s="402"/>
      <c r="AJE1369" s="402"/>
      <c r="AJF1369" s="402"/>
      <c r="AJG1369" s="402"/>
      <c r="AJH1369" s="402"/>
      <c r="AJI1369" s="402"/>
      <c r="AJJ1369" s="402"/>
      <c r="AJK1369" s="402"/>
      <c r="AJL1369" s="402"/>
      <c r="AJM1369" s="402"/>
      <c r="AJN1369" s="402"/>
      <c r="AJO1369" s="402"/>
      <c r="AJP1369" s="402"/>
      <c r="AJQ1369" s="402"/>
      <c r="AJR1369" s="402"/>
      <c r="AJS1369" s="402"/>
      <c r="AJT1369" s="402"/>
      <c r="AJU1369" s="402"/>
      <c r="AJV1369" s="402"/>
      <c r="AJW1369" s="402"/>
      <c r="AJX1369" s="402"/>
      <c r="AJY1369" s="402"/>
      <c r="AJZ1369" s="402"/>
      <c r="AKA1369" s="402"/>
      <c r="AKB1369" s="402"/>
      <c r="AKC1369" s="402"/>
      <c r="AKD1369" s="402"/>
      <c r="AKE1369" s="402"/>
      <c r="AKF1369" s="402"/>
      <c r="AKG1369" s="402"/>
      <c r="AKH1369" s="402"/>
      <c r="AKI1369" s="402"/>
      <c r="AKJ1369" s="402"/>
      <c r="AKK1369" s="402"/>
      <c r="AKL1369" s="402"/>
      <c r="AKM1369" s="402"/>
      <c r="AKN1369" s="402"/>
      <c r="AKO1369" s="402"/>
      <c r="AKP1369" s="402"/>
      <c r="AKQ1369" s="402"/>
      <c r="AKR1369" s="402"/>
      <c r="AKS1369" s="402"/>
      <c r="AKT1369" s="402"/>
      <c r="AKU1369" s="402"/>
      <c r="AKV1369" s="402"/>
      <c r="AKW1369" s="402"/>
      <c r="AKX1369" s="402"/>
      <c r="AKY1369" s="402"/>
      <c r="AKZ1369" s="402"/>
      <c r="ALA1369" s="402"/>
      <c r="ALB1369" s="402"/>
      <c r="ALC1369" s="402"/>
      <c r="ALD1369" s="402"/>
      <c r="ALE1369" s="402"/>
      <c r="ALF1369" s="402"/>
      <c r="ALG1369" s="402"/>
      <c r="ALH1369" s="402"/>
      <c r="ALI1369" s="402"/>
      <c r="ALJ1369" s="402"/>
      <c r="ALK1369" s="402"/>
      <c r="ALL1369" s="402"/>
      <c r="ALM1369" s="402"/>
      <c r="ALN1369" s="402"/>
      <c r="ALO1369" s="402"/>
      <c r="ALP1369" s="402"/>
      <c r="ALQ1369" s="402"/>
      <c r="ALR1369" s="402"/>
      <c r="ALS1369" s="402"/>
      <c r="ALT1369" s="402"/>
      <c r="ALU1369" s="402"/>
      <c r="ALV1369" s="402"/>
      <c r="ALW1369" s="402"/>
      <c r="ALX1369" s="402"/>
      <c r="ALY1369" s="402"/>
      <c r="ALZ1369" s="402"/>
      <c r="AMA1369" s="402"/>
      <c r="AMB1369" s="402"/>
      <c r="AMC1369" s="402"/>
      <c r="AMD1369" s="402"/>
      <c r="AME1369" s="402"/>
      <c r="AMF1369" s="402"/>
      <c r="AMG1369" s="402"/>
      <c r="AMH1369" s="402"/>
      <c r="AMI1369" s="402"/>
      <c r="AMJ1369" s="402"/>
      <c r="AMK1369" s="402"/>
      <c r="AML1369" s="402"/>
      <c r="AMM1369" s="402"/>
      <c r="AMN1369" s="402"/>
      <c r="AMO1369" s="402"/>
      <c r="AMP1369" s="402"/>
      <c r="AMQ1369" s="402"/>
      <c r="AMR1369" s="402"/>
      <c r="AMS1369" s="402"/>
      <c r="AMT1369" s="402"/>
      <c r="AMU1369" s="402"/>
      <c r="AMV1369" s="402"/>
      <c r="AMW1369" s="402"/>
      <c r="AMX1369" s="402"/>
      <c r="AMY1369" s="402"/>
      <c r="AMZ1369" s="402"/>
      <c r="ANA1369" s="402"/>
      <c r="ANB1369" s="402"/>
      <c r="ANC1369" s="402"/>
      <c r="AND1369" s="402"/>
      <c r="ANE1369" s="402"/>
      <c r="ANF1369" s="402"/>
      <c r="ANG1369" s="402"/>
      <c r="ANH1369" s="402"/>
      <c r="ANI1369" s="402"/>
      <c r="ANJ1369" s="402"/>
      <c r="ANK1369" s="402"/>
      <c r="ANL1369" s="402"/>
      <c r="ANM1369" s="402"/>
      <c r="ANN1369" s="402"/>
      <c r="ANO1369" s="402"/>
      <c r="ANP1369" s="402"/>
      <c r="ANQ1369" s="402"/>
      <c r="ANR1369" s="402"/>
      <c r="ANS1369" s="402"/>
      <c r="ANT1369" s="402"/>
      <c r="ANU1369" s="402"/>
      <c r="ANV1369" s="402"/>
      <c r="ANW1369" s="402"/>
      <c r="ANX1369" s="402"/>
      <c r="ANY1369" s="402"/>
      <c r="ANZ1369" s="402"/>
      <c r="AOA1369" s="402"/>
      <c r="AOB1369" s="402"/>
      <c r="AOC1369" s="402"/>
      <c r="AOD1369" s="402"/>
      <c r="AOE1369" s="402"/>
      <c r="AOF1369" s="402"/>
      <c r="AOG1369" s="402"/>
      <c r="AOH1369" s="402"/>
      <c r="AOI1369" s="402"/>
      <c r="AOJ1369" s="402"/>
      <c r="AOK1369" s="402"/>
      <c r="AOL1369" s="402"/>
      <c r="AOM1369" s="402"/>
      <c r="AON1369" s="402"/>
      <c r="AOO1369" s="402"/>
      <c r="AOP1369" s="402"/>
      <c r="AOQ1369" s="402"/>
      <c r="AOR1369" s="402"/>
      <c r="AOS1369" s="402"/>
      <c r="AOT1369" s="402"/>
      <c r="AOU1369" s="402"/>
      <c r="AOV1369" s="402"/>
      <c r="AOW1369" s="402"/>
      <c r="AOX1369" s="402"/>
      <c r="AOY1369" s="402"/>
      <c r="AOZ1369" s="402"/>
      <c r="APA1369" s="402"/>
      <c r="APB1369" s="402"/>
      <c r="APC1369" s="402"/>
      <c r="APD1369" s="402"/>
      <c r="APE1369" s="402"/>
      <c r="APF1369" s="402"/>
      <c r="APG1369" s="402"/>
      <c r="APH1369" s="402"/>
      <c r="API1369" s="402"/>
      <c r="APJ1369" s="402"/>
      <c r="APK1369" s="402"/>
      <c r="APL1369" s="402"/>
      <c r="APM1369" s="402"/>
      <c r="APN1369" s="402"/>
      <c r="APO1369" s="402"/>
      <c r="APP1369" s="402"/>
      <c r="APQ1369" s="402"/>
      <c r="APR1369" s="402"/>
      <c r="APS1369" s="402"/>
      <c r="APT1369" s="402"/>
      <c r="APU1369" s="402"/>
      <c r="APV1369" s="402"/>
      <c r="APW1369" s="402"/>
      <c r="APX1369" s="402"/>
      <c r="APY1369" s="402"/>
      <c r="APZ1369" s="402"/>
      <c r="AQA1369" s="402"/>
      <c r="AQB1369" s="402"/>
      <c r="AQC1369" s="402"/>
      <c r="AQD1369" s="402"/>
      <c r="AQE1369" s="402"/>
      <c r="AQF1369" s="402"/>
      <c r="AQG1369" s="402"/>
      <c r="AQH1369" s="402"/>
      <c r="AQI1369" s="402"/>
      <c r="AQJ1369" s="402"/>
      <c r="AQK1369" s="402"/>
      <c r="AQL1369" s="402"/>
      <c r="AQM1369" s="402"/>
      <c r="AQN1369" s="402"/>
      <c r="AQO1369" s="402"/>
      <c r="AQP1369" s="402"/>
      <c r="AQQ1369" s="402"/>
      <c r="AQR1369" s="402"/>
      <c r="AQS1369" s="402"/>
      <c r="AQT1369" s="402"/>
      <c r="AQU1369" s="402"/>
      <c r="AQV1369" s="402"/>
      <c r="AQW1369" s="402"/>
      <c r="AQX1369" s="402"/>
      <c r="AQY1369" s="402"/>
      <c r="AQZ1369" s="402"/>
      <c r="ARA1369" s="402"/>
      <c r="ARB1369" s="402"/>
      <c r="ARC1369" s="402"/>
      <c r="ARD1369" s="402"/>
      <c r="ARE1369" s="402"/>
      <c r="ARF1369" s="402"/>
      <c r="ARG1369" s="402"/>
      <c r="ARH1369" s="402"/>
      <c r="ARI1369" s="402"/>
      <c r="ARJ1369" s="402"/>
      <c r="ARK1369" s="402"/>
      <c r="ARL1369" s="402"/>
      <c r="ARM1369" s="402"/>
      <c r="ARN1369" s="402"/>
      <c r="ARO1369" s="402"/>
      <c r="ARP1369" s="402"/>
      <c r="ARQ1369" s="402"/>
      <c r="ARR1369" s="402"/>
      <c r="ARS1369" s="402"/>
      <c r="ART1369" s="402"/>
      <c r="ARU1369" s="402"/>
      <c r="ARV1369" s="402"/>
      <c r="ARW1369" s="402"/>
      <c r="ARX1369" s="402"/>
      <c r="ARY1369" s="402"/>
      <c r="ARZ1369" s="402"/>
      <c r="ASA1369" s="402"/>
      <c r="ASB1369" s="402"/>
      <c r="ASC1369" s="402"/>
      <c r="ASD1369" s="402"/>
      <c r="ASE1369" s="402"/>
      <c r="ASF1369" s="402"/>
      <c r="ASG1369" s="402"/>
      <c r="ASH1369" s="402"/>
      <c r="ASI1369" s="402"/>
      <c r="ASJ1369" s="402"/>
      <c r="ASK1369" s="402"/>
      <c r="ASL1369" s="402"/>
      <c r="ASM1369" s="402"/>
      <c r="ASN1369" s="402"/>
      <c r="ASO1369" s="402"/>
      <c r="ASP1369" s="402"/>
      <c r="ASQ1369" s="402"/>
      <c r="ASR1369" s="402"/>
      <c r="ASS1369" s="402"/>
      <c r="AST1369" s="402"/>
      <c r="ASU1369" s="402"/>
      <c r="ASV1369" s="402"/>
      <c r="ASW1369" s="402"/>
      <c r="ASX1369" s="402"/>
      <c r="ASY1369" s="402"/>
      <c r="ASZ1369" s="402"/>
      <c r="ATA1369" s="402"/>
      <c r="ATB1369" s="402"/>
      <c r="ATC1369" s="402"/>
      <c r="ATD1369" s="402"/>
      <c r="ATE1369" s="402"/>
      <c r="ATF1369" s="402"/>
      <c r="ATG1369" s="402"/>
      <c r="ATH1369" s="402"/>
      <c r="ATI1369" s="402"/>
      <c r="ATJ1369" s="402"/>
      <c r="ATK1369" s="402"/>
      <c r="ATL1369" s="402"/>
      <c r="ATM1369" s="402"/>
      <c r="ATN1369" s="402"/>
      <c r="ATO1369" s="402"/>
      <c r="ATP1369" s="402"/>
      <c r="ATQ1369" s="402"/>
      <c r="ATR1369" s="402"/>
      <c r="ATS1369" s="402"/>
      <c r="ATT1369" s="402"/>
      <c r="ATU1369" s="402"/>
      <c r="ATV1369" s="402"/>
      <c r="ATW1369" s="402"/>
      <c r="ATX1369" s="402"/>
      <c r="ATY1369" s="402"/>
      <c r="ATZ1369" s="402"/>
      <c r="AUA1369" s="402"/>
      <c r="AUB1369" s="402"/>
      <c r="AUC1369" s="402"/>
      <c r="AUD1369" s="402"/>
      <c r="AUE1369" s="402"/>
      <c r="AUF1369" s="402"/>
      <c r="AUG1369" s="402"/>
      <c r="AUH1369" s="402"/>
      <c r="AUI1369" s="402"/>
      <c r="AUJ1369" s="402"/>
      <c r="AUK1369" s="402"/>
      <c r="AUL1369" s="402"/>
      <c r="AUM1369" s="402"/>
      <c r="AUN1369" s="402"/>
      <c r="AUO1369" s="402"/>
      <c r="AUP1369" s="402"/>
      <c r="AUQ1369" s="402"/>
      <c r="AUR1369" s="402"/>
      <c r="AUS1369" s="402"/>
      <c r="AUT1369" s="402"/>
      <c r="AUU1369" s="402"/>
      <c r="AUV1369" s="402"/>
      <c r="AUW1369" s="402"/>
      <c r="AUX1369" s="402"/>
      <c r="AUY1369" s="402"/>
      <c r="AUZ1369" s="402"/>
      <c r="AVA1369" s="402"/>
      <c r="AVB1369" s="402"/>
      <c r="AVC1369" s="402"/>
      <c r="AVD1369" s="402"/>
      <c r="AVE1369" s="402"/>
      <c r="AVF1369" s="402"/>
      <c r="AVG1369" s="402"/>
      <c r="AVH1369" s="402"/>
      <c r="AVI1369" s="402"/>
      <c r="AVJ1369" s="402"/>
      <c r="AVK1369" s="402"/>
    </row>
    <row r="1370" spans="1:1259" s="442" customFormat="1" ht="15" customHeight="1">
      <c r="A1370" s="403"/>
      <c r="B1370" s="403"/>
      <c r="C1370" s="403"/>
      <c r="D1370" s="443" t="s">
        <v>2480</v>
      </c>
      <c r="E1370" s="443" t="s">
        <v>2406</v>
      </c>
      <c r="F1370" s="432"/>
      <c r="G1370" s="432"/>
      <c r="H1370" s="432"/>
      <c r="I1370" s="427" t="s">
        <v>1498</v>
      </c>
      <c r="J1370" s="433"/>
      <c r="K1370" s="433" t="s">
        <v>2734</v>
      </c>
      <c r="L1370" s="433" t="s">
        <v>2509</v>
      </c>
      <c r="M1370" s="433">
        <v>44551</v>
      </c>
      <c r="N1370" s="433">
        <v>44652</v>
      </c>
      <c r="O1370" s="435"/>
      <c r="P1370" s="433"/>
      <c r="Q1370" s="433"/>
      <c r="R1370" s="433"/>
      <c r="S1370" s="432" t="s">
        <v>1940</v>
      </c>
      <c r="T1370" s="432">
        <v>60</v>
      </c>
      <c r="U1370" s="432"/>
      <c r="V1370" s="432" t="s">
        <v>1557</v>
      </c>
      <c r="W1370" s="432">
        <v>360</v>
      </c>
      <c r="X1370" s="436">
        <v>640</v>
      </c>
      <c r="Y1370" s="422">
        <f t="shared" si="166"/>
        <v>230400</v>
      </c>
      <c r="Z1370" s="437">
        <v>0.505</v>
      </c>
      <c r="AA1370" s="423">
        <f t="shared" si="167"/>
        <v>116352</v>
      </c>
      <c r="AB1370" s="411"/>
      <c r="AC1370" s="412">
        <f t="shared" si="168"/>
        <v>0</v>
      </c>
      <c r="AD1370" s="439"/>
      <c r="AE1370" s="438"/>
      <c r="AF1370" s="424">
        <f t="shared" si="169"/>
        <v>116352</v>
      </c>
      <c r="AG1370" s="432" t="s">
        <v>1069</v>
      </c>
      <c r="AH1370" s="432"/>
      <c r="AI1370" s="434">
        <v>60</v>
      </c>
      <c r="AJ1370" s="432" t="s">
        <v>1454</v>
      </c>
      <c r="AK1370" s="440" t="s">
        <v>1136</v>
      </c>
      <c r="AL1370" s="432">
        <v>78744</v>
      </c>
      <c r="AM1370" s="432" t="s">
        <v>52</v>
      </c>
      <c r="AN1370" s="432"/>
      <c r="AO1370" s="432"/>
      <c r="AP1370" s="441"/>
      <c r="AQ1370" s="441" t="s">
        <v>37</v>
      </c>
      <c r="AR1370" s="441"/>
      <c r="AS1370" s="426" t="s">
        <v>1142</v>
      </c>
      <c r="AT1370" s="426" t="s">
        <v>1073</v>
      </c>
      <c r="AU1370" s="426" t="s">
        <v>1073</v>
      </c>
      <c r="AV1370" s="437">
        <v>0.505</v>
      </c>
      <c r="AW1370" s="402"/>
      <c r="AX1370" s="402"/>
      <c r="AY1370" s="402"/>
      <c r="AZ1370" s="402"/>
      <c r="BA1370" s="402"/>
      <c r="BB1370" s="402"/>
      <c r="BC1370" s="402"/>
      <c r="BD1370" s="402"/>
      <c r="BE1370" s="402"/>
      <c r="BF1370" s="402"/>
      <c r="BG1370" s="402"/>
      <c r="BH1370" s="402"/>
      <c r="BI1370" s="402"/>
      <c r="BJ1370" s="402"/>
      <c r="BK1370" s="402"/>
      <c r="BL1370" s="402"/>
      <c r="BM1370" s="402"/>
      <c r="BN1370" s="402"/>
      <c r="BO1370" s="402"/>
      <c r="BP1370" s="402"/>
      <c r="BQ1370" s="402"/>
      <c r="BR1370" s="402"/>
      <c r="BS1370" s="402"/>
      <c r="BT1370" s="402"/>
      <c r="BU1370" s="402"/>
      <c r="BV1370" s="402"/>
      <c r="BW1370" s="402"/>
      <c r="BX1370" s="402"/>
      <c r="BY1370" s="402"/>
      <c r="BZ1370" s="402"/>
      <c r="CA1370" s="402"/>
      <c r="CB1370" s="402"/>
      <c r="CC1370" s="402"/>
      <c r="CD1370" s="402"/>
      <c r="CE1370" s="402"/>
      <c r="CF1370" s="402"/>
      <c r="CG1370" s="402"/>
      <c r="CH1370" s="402"/>
      <c r="CI1370" s="402"/>
      <c r="CJ1370" s="402"/>
      <c r="CK1370" s="402"/>
      <c r="CL1370" s="402"/>
      <c r="CM1370" s="402"/>
      <c r="CN1370" s="402"/>
      <c r="CO1370" s="402"/>
      <c r="CP1370" s="402"/>
      <c r="CQ1370" s="402"/>
      <c r="CR1370" s="402"/>
      <c r="CS1370" s="402"/>
      <c r="CT1370" s="402"/>
      <c r="CU1370" s="402"/>
      <c r="CV1370" s="402"/>
      <c r="CW1370" s="402"/>
      <c r="CX1370" s="402"/>
      <c r="CY1370" s="402"/>
      <c r="CZ1370" s="402"/>
      <c r="DA1370" s="402"/>
      <c r="DB1370" s="402"/>
      <c r="DC1370" s="402"/>
      <c r="DD1370" s="402"/>
      <c r="DE1370" s="402"/>
      <c r="DF1370" s="402"/>
      <c r="DG1370" s="402"/>
      <c r="DH1370" s="402"/>
      <c r="DI1370" s="402"/>
      <c r="DJ1370" s="402"/>
      <c r="DK1370" s="402"/>
      <c r="DL1370" s="402"/>
      <c r="DM1370" s="402"/>
      <c r="DN1370" s="402"/>
      <c r="DO1370" s="402"/>
      <c r="DP1370" s="402"/>
      <c r="DQ1370" s="402"/>
      <c r="DR1370" s="402"/>
      <c r="DS1370" s="402"/>
      <c r="DT1370" s="402"/>
      <c r="DU1370" s="402"/>
      <c r="DV1370" s="402"/>
      <c r="DW1370" s="402"/>
      <c r="DX1370" s="402"/>
      <c r="DY1370" s="402"/>
      <c r="DZ1370" s="402"/>
      <c r="EA1370" s="402"/>
      <c r="EB1370" s="402"/>
      <c r="EC1370" s="402"/>
      <c r="ED1370" s="402"/>
      <c r="EE1370" s="402"/>
      <c r="EF1370" s="402"/>
      <c r="EG1370" s="402"/>
      <c r="EH1370" s="402"/>
      <c r="EI1370" s="402"/>
      <c r="EJ1370" s="402"/>
      <c r="EK1370" s="402"/>
      <c r="EL1370" s="402"/>
      <c r="EM1370" s="402"/>
      <c r="EN1370" s="402"/>
      <c r="EO1370" s="402"/>
      <c r="EP1370" s="402"/>
      <c r="EQ1370" s="402"/>
      <c r="ER1370" s="402"/>
      <c r="ES1370" s="402"/>
      <c r="ET1370" s="402"/>
      <c r="EU1370" s="402"/>
      <c r="EV1370" s="402"/>
      <c r="EW1370" s="402"/>
      <c r="EX1370" s="402"/>
      <c r="EY1370" s="402"/>
      <c r="EZ1370" s="402"/>
      <c r="FA1370" s="402"/>
      <c r="FB1370" s="402"/>
      <c r="FC1370" s="402"/>
      <c r="FD1370" s="402"/>
      <c r="FE1370" s="402"/>
      <c r="FF1370" s="402"/>
      <c r="FG1370" s="402"/>
      <c r="FH1370" s="402"/>
      <c r="FI1370" s="402"/>
      <c r="FJ1370" s="402"/>
      <c r="FK1370" s="402"/>
      <c r="FL1370" s="402"/>
      <c r="FM1370" s="402"/>
      <c r="FN1370" s="402"/>
      <c r="FO1370" s="402"/>
      <c r="FP1370" s="402"/>
      <c r="FQ1370" s="402"/>
      <c r="FR1370" s="402"/>
      <c r="FS1370" s="402"/>
      <c r="FT1370" s="402"/>
      <c r="FU1370" s="402"/>
      <c r="FV1370" s="402"/>
      <c r="FW1370" s="402"/>
      <c r="FX1370" s="402"/>
      <c r="FY1370" s="402"/>
      <c r="FZ1370" s="402"/>
      <c r="GA1370" s="402"/>
      <c r="GB1370" s="402"/>
      <c r="GC1370" s="402"/>
      <c r="GD1370" s="402"/>
      <c r="GE1370" s="402"/>
      <c r="GF1370" s="402"/>
      <c r="GG1370" s="402"/>
      <c r="GH1370" s="402"/>
      <c r="GI1370" s="402"/>
      <c r="GJ1370" s="402"/>
      <c r="GK1370" s="402"/>
      <c r="GL1370" s="402"/>
      <c r="GM1370" s="402"/>
      <c r="GN1370" s="402"/>
      <c r="GO1370" s="402"/>
      <c r="GP1370" s="402"/>
      <c r="GQ1370" s="402"/>
      <c r="GR1370" s="402"/>
      <c r="GS1370" s="402"/>
      <c r="GT1370" s="402"/>
      <c r="GU1370" s="402"/>
      <c r="GV1370" s="402"/>
      <c r="GW1370" s="402"/>
      <c r="GX1370" s="402"/>
      <c r="GY1370" s="402"/>
      <c r="GZ1370" s="402"/>
      <c r="HA1370" s="402"/>
      <c r="HB1370" s="402"/>
      <c r="HC1370" s="402"/>
      <c r="HD1370" s="402"/>
      <c r="HE1370" s="402"/>
      <c r="HF1370" s="402"/>
      <c r="HG1370" s="402"/>
      <c r="HH1370" s="402"/>
      <c r="HI1370" s="402"/>
      <c r="HJ1370" s="402"/>
      <c r="HK1370" s="402"/>
      <c r="HL1370" s="402"/>
      <c r="HM1370" s="402"/>
      <c r="HN1370" s="402"/>
      <c r="HO1370" s="402"/>
      <c r="HP1370" s="402"/>
      <c r="HQ1370" s="402"/>
      <c r="HR1370" s="402"/>
      <c r="HS1370" s="402"/>
      <c r="HT1370" s="402"/>
      <c r="HU1370" s="402"/>
      <c r="HV1370" s="402"/>
      <c r="HW1370" s="402"/>
      <c r="HX1370" s="402"/>
      <c r="HY1370" s="402"/>
      <c r="HZ1370" s="402"/>
      <c r="IA1370" s="402"/>
      <c r="IB1370" s="402"/>
      <c r="IC1370" s="402"/>
      <c r="ID1370" s="402"/>
      <c r="IE1370" s="402"/>
      <c r="IF1370" s="402"/>
      <c r="IG1370" s="402"/>
      <c r="IH1370" s="402"/>
      <c r="II1370" s="402"/>
      <c r="IJ1370" s="402"/>
      <c r="IK1370" s="402"/>
      <c r="IL1370" s="402"/>
      <c r="IM1370" s="402"/>
      <c r="IN1370" s="402"/>
      <c r="IO1370" s="402"/>
      <c r="IP1370" s="402"/>
      <c r="IQ1370" s="402"/>
      <c r="IR1370" s="402"/>
      <c r="IS1370" s="402"/>
      <c r="IT1370" s="402"/>
      <c r="IU1370" s="402"/>
      <c r="IV1370" s="402"/>
      <c r="IW1370" s="402"/>
      <c r="IX1370" s="402"/>
      <c r="IY1370" s="402"/>
      <c r="IZ1370" s="402"/>
      <c r="JA1370" s="402"/>
      <c r="JB1370" s="402"/>
      <c r="JC1370" s="402"/>
      <c r="JD1370" s="402"/>
      <c r="JE1370" s="402"/>
      <c r="JF1370" s="402"/>
      <c r="JG1370" s="402"/>
      <c r="JH1370" s="402"/>
      <c r="JI1370" s="402"/>
      <c r="JJ1370" s="402"/>
      <c r="JK1370" s="402"/>
      <c r="JL1370" s="402"/>
      <c r="JM1370" s="402"/>
      <c r="JN1370" s="402"/>
      <c r="JO1370" s="402"/>
      <c r="JP1370" s="402"/>
      <c r="JQ1370" s="402"/>
      <c r="JR1370" s="402"/>
      <c r="JS1370" s="402"/>
      <c r="JT1370" s="402"/>
      <c r="JU1370" s="402"/>
      <c r="JV1370" s="402"/>
      <c r="JW1370" s="402"/>
      <c r="JX1370" s="402"/>
      <c r="JY1370" s="402"/>
      <c r="JZ1370" s="402"/>
      <c r="KA1370" s="402"/>
      <c r="KB1370" s="402"/>
      <c r="KC1370" s="402"/>
      <c r="KD1370" s="402"/>
      <c r="KE1370" s="402"/>
      <c r="KF1370" s="402"/>
      <c r="KG1370" s="402"/>
      <c r="KH1370" s="402"/>
      <c r="KI1370" s="402"/>
      <c r="KJ1370" s="402"/>
      <c r="KK1370" s="402"/>
      <c r="KL1370" s="402"/>
      <c r="KM1370" s="402"/>
      <c r="KN1370" s="402"/>
      <c r="KO1370" s="402"/>
      <c r="KP1370" s="402"/>
      <c r="KQ1370" s="402"/>
      <c r="KR1370" s="402"/>
      <c r="KS1370" s="402"/>
      <c r="KT1370" s="402"/>
      <c r="KU1370" s="402"/>
      <c r="KV1370" s="402"/>
      <c r="KW1370" s="402"/>
      <c r="KX1370" s="402"/>
      <c r="KY1370" s="402"/>
      <c r="KZ1370" s="402"/>
      <c r="LA1370" s="402"/>
      <c r="LB1370" s="402"/>
      <c r="LC1370" s="402"/>
      <c r="LD1370" s="402"/>
      <c r="LE1370" s="402"/>
      <c r="LF1370" s="402"/>
      <c r="LG1370" s="402"/>
      <c r="LH1370" s="402"/>
      <c r="LI1370" s="402"/>
      <c r="LJ1370" s="402"/>
      <c r="LK1370" s="402"/>
      <c r="LL1370" s="402"/>
      <c r="LM1370" s="402"/>
      <c r="LN1370" s="402"/>
      <c r="LO1370" s="402"/>
      <c r="LP1370" s="402"/>
      <c r="LQ1370" s="402"/>
      <c r="LR1370" s="402"/>
      <c r="LS1370" s="402"/>
      <c r="LT1370" s="402"/>
      <c r="LU1370" s="402"/>
      <c r="LV1370" s="402"/>
      <c r="LW1370" s="402"/>
      <c r="LX1370" s="402"/>
      <c r="LY1370" s="402"/>
      <c r="LZ1370" s="402"/>
      <c r="MA1370" s="402"/>
      <c r="MB1370" s="402"/>
      <c r="MC1370" s="402"/>
      <c r="MD1370" s="402"/>
      <c r="ME1370" s="402"/>
      <c r="MF1370" s="402"/>
      <c r="MG1370" s="402"/>
      <c r="MH1370" s="402"/>
      <c r="MI1370" s="402"/>
      <c r="MJ1370" s="402"/>
      <c r="MK1370" s="402"/>
      <c r="ML1370" s="402"/>
      <c r="MM1370" s="402"/>
      <c r="MN1370" s="402"/>
      <c r="MO1370" s="402"/>
      <c r="MP1370" s="402"/>
      <c r="MQ1370" s="402"/>
      <c r="MR1370" s="402"/>
      <c r="MS1370" s="402"/>
      <c r="MT1370" s="402"/>
      <c r="MU1370" s="402"/>
      <c r="MV1370" s="402"/>
      <c r="MW1370" s="402"/>
      <c r="MX1370" s="402"/>
      <c r="MY1370" s="402"/>
      <c r="MZ1370" s="402"/>
      <c r="NA1370" s="402"/>
      <c r="NB1370" s="402"/>
      <c r="NC1370" s="402"/>
      <c r="ND1370" s="402"/>
      <c r="NE1370" s="402"/>
      <c r="NF1370" s="402"/>
      <c r="NG1370" s="402"/>
      <c r="NH1370" s="402"/>
      <c r="NI1370" s="402"/>
      <c r="NJ1370" s="402"/>
      <c r="NK1370" s="402"/>
      <c r="NL1370" s="402"/>
      <c r="NM1370" s="402"/>
      <c r="NN1370" s="402"/>
      <c r="NO1370" s="402"/>
      <c r="NP1370" s="402"/>
      <c r="NQ1370" s="402"/>
      <c r="NR1370" s="402"/>
      <c r="NS1370" s="402"/>
      <c r="NT1370" s="402"/>
      <c r="NU1370" s="402"/>
      <c r="NV1370" s="402"/>
      <c r="NW1370" s="402"/>
      <c r="NX1370" s="402"/>
      <c r="NY1370" s="402"/>
      <c r="NZ1370" s="402"/>
      <c r="OA1370" s="402"/>
      <c r="OB1370" s="402"/>
      <c r="OC1370" s="402"/>
      <c r="OD1370" s="402"/>
      <c r="OE1370" s="402"/>
      <c r="OF1370" s="402"/>
      <c r="OG1370" s="402"/>
      <c r="OH1370" s="402"/>
      <c r="OI1370" s="402"/>
      <c r="OJ1370" s="402"/>
      <c r="OK1370" s="402"/>
      <c r="OL1370" s="402"/>
      <c r="OM1370" s="402"/>
      <c r="ON1370" s="402"/>
      <c r="OO1370" s="402"/>
      <c r="OP1370" s="402"/>
      <c r="OQ1370" s="402"/>
      <c r="OR1370" s="402"/>
      <c r="OS1370" s="402"/>
      <c r="OT1370" s="402"/>
      <c r="OU1370" s="402"/>
      <c r="OV1370" s="402"/>
      <c r="OW1370" s="402"/>
      <c r="OX1370" s="402"/>
      <c r="OY1370" s="402"/>
      <c r="OZ1370" s="402"/>
      <c r="PA1370" s="402"/>
      <c r="PB1370" s="402"/>
      <c r="PC1370" s="402"/>
      <c r="PD1370" s="402"/>
      <c r="PE1370" s="402"/>
      <c r="PF1370" s="402"/>
      <c r="PG1370" s="402"/>
      <c r="PH1370" s="402"/>
      <c r="PI1370" s="402"/>
      <c r="PJ1370" s="402"/>
      <c r="PK1370" s="402"/>
      <c r="PL1370" s="402"/>
      <c r="PM1370" s="402"/>
      <c r="PN1370" s="402"/>
      <c r="PO1370" s="402"/>
      <c r="PP1370" s="402"/>
      <c r="PQ1370" s="402"/>
      <c r="PR1370" s="402"/>
      <c r="PS1370" s="402"/>
      <c r="PT1370" s="402"/>
      <c r="PU1370" s="402"/>
      <c r="PV1370" s="402"/>
      <c r="PW1370" s="402"/>
      <c r="PX1370" s="402"/>
      <c r="PY1370" s="402"/>
      <c r="PZ1370" s="402"/>
      <c r="QA1370" s="402"/>
      <c r="QB1370" s="402"/>
      <c r="QC1370" s="402"/>
      <c r="QD1370" s="402"/>
      <c r="QE1370" s="402"/>
      <c r="QF1370" s="402"/>
      <c r="QG1370" s="402"/>
      <c r="QH1370" s="402"/>
      <c r="QI1370" s="402"/>
      <c r="QJ1370" s="402"/>
      <c r="QK1370" s="402"/>
      <c r="QL1370" s="402"/>
      <c r="QM1370" s="402"/>
      <c r="QN1370" s="402"/>
      <c r="QO1370" s="402"/>
      <c r="QP1370" s="402"/>
      <c r="QQ1370" s="402"/>
      <c r="QR1370" s="402"/>
      <c r="QS1370" s="402"/>
      <c r="QT1370" s="402"/>
      <c r="QU1370" s="402"/>
      <c r="QV1370" s="402"/>
      <c r="QW1370" s="402"/>
      <c r="QX1370" s="402"/>
      <c r="QY1370" s="402"/>
      <c r="QZ1370" s="402"/>
      <c r="RA1370" s="402"/>
      <c r="RB1370" s="402"/>
      <c r="RC1370" s="402"/>
      <c r="RD1370" s="402"/>
      <c r="RE1370" s="402"/>
      <c r="RF1370" s="402"/>
      <c r="RG1370" s="402"/>
      <c r="RH1370" s="402"/>
      <c r="RI1370" s="402"/>
      <c r="RJ1370" s="402"/>
      <c r="RK1370" s="402"/>
      <c r="RL1370" s="402"/>
      <c r="RM1370" s="402"/>
      <c r="RN1370" s="402"/>
      <c r="RO1370" s="402"/>
      <c r="RP1370" s="402"/>
      <c r="RQ1370" s="402"/>
      <c r="RR1370" s="402"/>
      <c r="RS1370" s="402"/>
      <c r="RT1370" s="402"/>
      <c r="RU1370" s="402"/>
      <c r="RV1370" s="402"/>
      <c r="RW1370" s="402"/>
      <c r="RX1370" s="402"/>
      <c r="RY1370" s="402"/>
      <c r="RZ1370" s="402"/>
      <c r="SA1370" s="402"/>
      <c r="SB1370" s="402"/>
      <c r="SC1370" s="402"/>
      <c r="SD1370" s="402"/>
      <c r="SE1370" s="402"/>
      <c r="SF1370" s="402"/>
      <c r="SG1370" s="402"/>
      <c r="SH1370" s="402"/>
      <c r="SI1370" s="402"/>
      <c r="SJ1370" s="402"/>
      <c r="SK1370" s="402"/>
      <c r="SL1370" s="402"/>
      <c r="SM1370" s="402"/>
      <c r="SN1370" s="402"/>
      <c r="SO1370" s="402"/>
      <c r="SP1370" s="402"/>
      <c r="SQ1370" s="402"/>
      <c r="SR1370" s="402"/>
      <c r="SS1370" s="402"/>
      <c r="ST1370" s="402"/>
      <c r="SU1370" s="402"/>
      <c r="SV1370" s="402"/>
      <c r="SW1370" s="402"/>
      <c r="SX1370" s="402"/>
      <c r="SY1370" s="402"/>
      <c r="SZ1370" s="402"/>
      <c r="TA1370" s="402"/>
      <c r="TB1370" s="402"/>
      <c r="TC1370" s="402"/>
      <c r="TD1370" s="402"/>
      <c r="TE1370" s="402"/>
      <c r="TF1370" s="402"/>
      <c r="TG1370" s="402"/>
      <c r="TH1370" s="402"/>
      <c r="TI1370" s="402"/>
      <c r="TJ1370" s="402"/>
      <c r="TK1370" s="402"/>
      <c r="TL1370" s="402"/>
      <c r="TM1370" s="402"/>
      <c r="TN1370" s="402"/>
      <c r="TO1370" s="402"/>
      <c r="TP1370" s="402"/>
      <c r="TQ1370" s="402"/>
      <c r="TR1370" s="402"/>
      <c r="TS1370" s="402"/>
      <c r="TT1370" s="402"/>
      <c r="TU1370" s="402"/>
      <c r="TV1370" s="402"/>
      <c r="TW1370" s="402"/>
      <c r="TX1370" s="402"/>
      <c r="TY1370" s="402"/>
      <c r="TZ1370" s="402"/>
      <c r="UA1370" s="402"/>
      <c r="UB1370" s="402"/>
      <c r="UC1370" s="402"/>
      <c r="UD1370" s="402"/>
      <c r="UE1370" s="402"/>
      <c r="UF1370" s="402"/>
      <c r="UG1370" s="402"/>
      <c r="UH1370" s="402"/>
      <c r="UI1370" s="402"/>
      <c r="UJ1370" s="402"/>
      <c r="UK1370" s="402"/>
      <c r="UL1370" s="402"/>
      <c r="UM1370" s="402"/>
      <c r="UN1370" s="402"/>
      <c r="UO1370" s="402"/>
      <c r="UP1370" s="402"/>
      <c r="UQ1370" s="402"/>
      <c r="UR1370" s="402"/>
      <c r="US1370" s="402"/>
      <c r="UT1370" s="402"/>
      <c r="UU1370" s="402"/>
      <c r="UV1370" s="402"/>
      <c r="UW1370" s="402"/>
      <c r="UX1370" s="402"/>
      <c r="UY1370" s="402"/>
      <c r="UZ1370" s="402"/>
      <c r="VA1370" s="402"/>
      <c r="VB1370" s="402"/>
      <c r="VC1370" s="402"/>
      <c r="VD1370" s="402"/>
      <c r="VE1370" s="402"/>
      <c r="VF1370" s="402"/>
      <c r="VG1370" s="402"/>
      <c r="VH1370" s="402"/>
      <c r="VI1370" s="402"/>
      <c r="VJ1370" s="402"/>
      <c r="VK1370" s="402"/>
      <c r="VL1370" s="402"/>
      <c r="VM1370" s="402"/>
      <c r="VN1370" s="402"/>
      <c r="VO1370" s="402"/>
      <c r="VP1370" s="402"/>
      <c r="VQ1370" s="402"/>
      <c r="VR1370" s="402"/>
      <c r="VS1370" s="402"/>
      <c r="VT1370" s="402"/>
      <c r="VU1370" s="402"/>
      <c r="VV1370" s="402"/>
      <c r="VW1370" s="402"/>
      <c r="VX1370" s="402"/>
      <c r="VY1370" s="402"/>
      <c r="VZ1370" s="402"/>
      <c r="WA1370" s="402"/>
      <c r="WB1370" s="402"/>
      <c r="WC1370" s="402"/>
      <c r="WD1370" s="402"/>
      <c r="WE1370" s="402"/>
      <c r="WF1370" s="402"/>
      <c r="WG1370" s="402"/>
      <c r="WH1370" s="402"/>
      <c r="WI1370" s="402"/>
      <c r="WJ1370" s="402"/>
      <c r="WK1370" s="402"/>
      <c r="WL1370" s="402"/>
      <c r="WM1370" s="402"/>
      <c r="WN1370" s="402"/>
      <c r="WO1370" s="402"/>
      <c r="WP1370" s="402"/>
      <c r="WQ1370" s="402"/>
      <c r="WR1370" s="402"/>
      <c r="WS1370" s="402"/>
      <c r="WT1370" s="402"/>
      <c r="WU1370" s="402"/>
      <c r="WV1370" s="402"/>
      <c r="WW1370" s="402"/>
      <c r="WX1370" s="402"/>
      <c r="WY1370" s="402"/>
      <c r="WZ1370" s="402"/>
      <c r="XA1370" s="402"/>
      <c r="XB1370" s="402"/>
      <c r="XC1370" s="402"/>
      <c r="XD1370" s="402"/>
      <c r="XE1370" s="402"/>
      <c r="XF1370" s="402"/>
      <c r="XG1370" s="402"/>
      <c r="XH1370" s="402"/>
      <c r="XI1370" s="402"/>
      <c r="XJ1370" s="402"/>
      <c r="XK1370" s="402"/>
      <c r="XL1370" s="402"/>
      <c r="XM1370" s="402"/>
      <c r="XN1370" s="402"/>
      <c r="XO1370" s="402"/>
      <c r="XP1370" s="402"/>
      <c r="XQ1370" s="402"/>
      <c r="XR1370" s="402"/>
      <c r="XS1370" s="402"/>
      <c r="XT1370" s="402"/>
      <c r="XU1370" s="402"/>
      <c r="XV1370" s="402"/>
      <c r="XW1370" s="402"/>
      <c r="XX1370" s="402"/>
      <c r="XY1370" s="402"/>
      <c r="XZ1370" s="402"/>
      <c r="YA1370" s="402"/>
      <c r="YB1370" s="402"/>
      <c r="YC1370" s="402"/>
      <c r="YD1370" s="402"/>
      <c r="YE1370" s="402"/>
      <c r="YF1370" s="402"/>
      <c r="YG1370" s="402"/>
      <c r="YH1370" s="402"/>
      <c r="YI1370" s="402"/>
      <c r="YJ1370" s="402"/>
      <c r="YK1370" s="402"/>
      <c r="YL1370" s="402"/>
      <c r="YM1370" s="402"/>
      <c r="YN1370" s="402"/>
      <c r="YO1370" s="402"/>
      <c r="YP1370" s="402"/>
      <c r="YQ1370" s="402"/>
      <c r="YR1370" s="402"/>
      <c r="YS1370" s="402"/>
      <c r="YT1370" s="402"/>
      <c r="YU1370" s="402"/>
      <c r="YV1370" s="402"/>
      <c r="YW1370" s="402"/>
      <c r="YX1370" s="402"/>
      <c r="YY1370" s="402"/>
      <c r="YZ1370" s="402"/>
      <c r="ZA1370" s="402"/>
      <c r="ZB1370" s="402"/>
      <c r="ZC1370" s="402"/>
      <c r="ZD1370" s="402"/>
      <c r="ZE1370" s="402"/>
      <c r="ZF1370" s="402"/>
      <c r="ZG1370" s="402"/>
      <c r="ZH1370" s="402"/>
      <c r="ZI1370" s="402"/>
      <c r="ZJ1370" s="402"/>
      <c r="ZK1370" s="402"/>
      <c r="ZL1370" s="402"/>
      <c r="ZM1370" s="402"/>
      <c r="ZN1370" s="402"/>
      <c r="ZO1370" s="402"/>
      <c r="ZP1370" s="402"/>
      <c r="ZQ1370" s="402"/>
      <c r="ZR1370" s="402"/>
      <c r="ZS1370" s="402"/>
      <c r="ZT1370" s="402"/>
      <c r="ZU1370" s="402"/>
      <c r="ZV1370" s="402"/>
      <c r="ZW1370" s="402"/>
      <c r="ZX1370" s="402"/>
      <c r="ZY1370" s="402"/>
      <c r="ZZ1370" s="402"/>
      <c r="AAA1370" s="402"/>
      <c r="AAB1370" s="402"/>
      <c r="AAC1370" s="402"/>
      <c r="AAD1370" s="402"/>
      <c r="AAE1370" s="402"/>
      <c r="AAF1370" s="402"/>
      <c r="AAG1370" s="402"/>
      <c r="AAH1370" s="402"/>
      <c r="AAI1370" s="402"/>
      <c r="AAJ1370" s="402"/>
      <c r="AAK1370" s="402"/>
      <c r="AAL1370" s="402"/>
      <c r="AAM1370" s="402"/>
      <c r="AAN1370" s="402"/>
      <c r="AAO1370" s="402"/>
      <c r="AAP1370" s="402"/>
      <c r="AAQ1370" s="402"/>
      <c r="AAR1370" s="402"/>
      <c r="AAS1370" s="402"/>
      <c r="AAT1370" s="402"/>
      <c r="AAU1370" s="402"/>
      <c r="AAV1370" s="402"/>
      <c r="AAW1370" s="402"/>
      <c r="AAX1370" s="402"/>
      <c r="AAY1370" s="402"/>
      <c r="AAZ1370" s="402"/>
      <c r="ABA1370" s="402"/>
      <c r="ABB1370" s="402"/>
      <c r="ABC1370" s="402"/>
      <c r="ABD1370" s="402"/>
      <c r="ABE1370" s="402"/>
      <c r="ABF1370" s="402"/>
      <c r="ABG1370" s="402"/>
      <c r="ABH1370" s="402"/>
      <c r="ABI1370" s="402"/>
      <c r="ABJ1370" s="402"/>
      <c r="ABK1370" s="402"/>
      <c r="ABL1370" s="402"/>
      <c r="ABM1370" s="402"/>
      <c r="ABN1370" s="402"/>
      <c r="ABO1370" s="402"/>
      <c r="ABP1370" s="402"/>
      <c r="ABQ1370" s="402"/>
      <c r="ABR1370" s="402"/>
      <c r="ABS1370" s="402"/>
      <c r="ABT1370" s="402"/>
      <c r="ABU1370" s="402"/>
      <c r="ABV1370" s="402"/>
      <c r="ABW1370" s="402"/>
      <c r="ABX1370" s="402"/>
      <c r="ABY1370" s="402"/>
      <c r="ABZ1370" s="402"/>
      <c r="ACA1370" s="402"/>
      <c r="ACB1370" s="402"/>
      <c r="ACC1370" s="402"/>
      <c r="ACD1370" s="402"/>
      <c r="ACE1370" s="402"/>
      <c r="ACF1370" s="402"/>
      <c r="ACG1370" s="402"/>
      <c r="ACH1370" s="402"/>
      <c r="ACI1370" s="402"/>
      <c r="ACJ1370" s="402"/>
      <c r="ACK1370" s="402"/>
      <c r="ACL1370" s="402"/>
      <c r="ACM1370" s="402"/>
      <c r="ACN1370" s="402"/>
      <c r="ACO1370" s="402"/>
      <c r="ACP1370" s="402"/>
      <c r="ACQ1370" s="402"/>
      <c r="ACR1370" s="402"/>
      <c r="ACS1370" s="402"/>
      <c r="ACT1370" s="402"/>
      <c r="ACU1370" s="402"/>
      <c r="ACV1370" s="402"/>
      <c r="ACW1370" s="402"/>
      <c r="ACX1370" s="402"/>
      <c r="ACY1370" s="402"/>
      <c r="ACZ1370" s="402"/>
      <c r="ADA1370" s="402"/>
      <c r="ADB1370" s="402"/>
      <c r="ADC1370" s="402"/>
      <c r="ADD1370" s="402"/>
      <c r="ADE1370" s="402"/>
      <c r="ADF1370" s="402"/>
      <c r="ADG1370" s="402"/>
      <c r="ADH1370" s="402"/>
      <c r="ADI1370" s="402"/>
      <c r="ADJ1370" s="402"/>
      <c r="ADK1370" s="402"/>
      <c r="ADL1370" s="402"/>
      <c r="ADM1370" s="402"/>
      <c r="ADN1370" s="402"/>
      <c r="ADO1370" s="402"/>
      <c r="ADP1370" s="402"/>
      <c r="ADQ1370" s="402"/>
      <c r="ADR1370" s="402"/>
      <c r="ADS1370" s="402"/>
      <c r="ADT1370" s="402"/>
      <c r="ADU1370" s="402"/>
      <c r="ADV1370" s="402"/>
      <c r="ADW1370" s="402"/>
      <c r="ADX1370" s="402"/>
      <c r="ADY1370" s="402"/>
      <c r="ADZ1370" s="402"/>
      <c r="AEA1370" s="402"/>
      <c r="AEB1370" s="402"/>
      <c r="AEC1370" s="402"/>
      <c r="AED1370" s="402"/>
      <c r="AEE1370" s="402"/>
      <c r="AEF1370" s="402"/>
      <c r="AEG1370" s="402"/>
      <c r="AEH1370" s="402"/>
      <c r="AEI1370" s="402"/>
      <c r="AEJ1370" s="402"/>
      <c r="AEK1370" s="402"/>
      <c r="AEL1370" s="402"/>
      <c r="AEM1370" s="402"/>
      <c r="AEN1370" s="402"/>
      <c r="AEO1370" s="402"/>
      <c r="AEP1370" s="402"/>
      <c r="AEQ1370" s="402"/>
      <c r="AER1370" s="402"/>
      <c r="AES1370" s="402"/>
      <c r="AET1370" s="402"/>
      <c r="AEU1370" s="402"/>
      <c r="AEV1370" s="402"/>
      <c r="AEW1370" s="402"/>
      <c r="AEX1370" s="402"/>
      <c r="AEY1370" s="402"/>
      <c r="AEZ1370" s="402"/>
      <c r="AFA1370" s="402"/>
      <c r="AFB1370" s="402"/>
      <c r="AFC1370" s="402"/>
      <c r="AFD1370" s="402"/>
      <c r="AFE1370" s="402"/>
      <c r="AFF1370" s="402"/>
      <c r="AFG1370" s="402"/>
      <c r="AFH1370" s="402"/>
      <c r="AFI1370" s="402"/>
      <c r="AFJ1370" s="402"/>
      <c r="AFK1370" s="402"/>
      <c r="AFL1370" s="402"/>
      <c r="AFM1370" s="402"/>
      <c r="AFN1370" s="402"/>
      <c r="AFO1370" s="402"/>
      <c r="AFP1370" s="402"/>
      <c r="AFQ1370" s="402"/>
      <c r="AFR1370" s="402"/>
      <c r="AFS1370" s="402"/>
      <c r="AFT1370" s="402"/>
      <c r="AFU1370" s="402"/>
      <c r="AFV1370" s="402"/>
      <c r="AFW1370" s="402"/>
      <c r="AFX1370" s="402"/>
      <c r="AFY1370" s="402"/>
      <c r="AFZ1370" s="402"/>
      <c r="AGA1370" s="402"/>
      <c r="AGB1370" s="402"/>
      <c r="AGC1370" s="402"/>
      <c r="AGD1370" s="402"/>
      <c r="AGE1370" s="402"/>
      <c r="AGF1370" s="402"/>
      <c r="AGG1370" s="402"/>
      <c r="AGH1370" s="402"/>
      <c r="AGI1370" s="402"/>
      <c r="AGJ1370" s="402"/>
      <c r="AGK1370" s="402"/>
      <c r="AGL1370" s="402"/>
      <c r="AGM1370" s="402"/>
      <c r="AGN1370" s="402"/>
      <c r="AGO1370" s="402"/>
      <c r="AGP1370" s="402"/>
      <c r="AGQ1370" s="402"/>
      <c r="AGR1370" s="402"/>
      <c r="AGS1370" s="402"/>
      <c r="AGT1370" s="402"/>
      <c r="AGU1370" s="402"/>
      <c r="AGV1370" s="402"/>
      <c r="AGW1370" s="402"/>
      <c r="AGX1370" s="402"/>
      <c r="AGY1370" s="402"/>
      <c r="AGZ1370" s="402"/>
      <c r="AHA1370" s="402"/>
      <c r="AHB1370" s="402"/>
      <c r="AHC1370" s="402"/>
      <c r="AHD1370" s="402"/>
      <c r="AHE1370" s="402"/>
      <c r="AHF1370" s="402"/>
      <c r="AHG1370" s="402"/>
      <c r="AHH1370" s="402"/>
      <c r="AHI1370" s="402"/>
      <c r="AHJ1370" s="402"/>
      <c r="AHK1370" s="402"/>
      <c r="AHL1370" s="402"/>
      <c r="AHM1370" s="402"/>
      <c r="AHN1370" s="402"/>
      <c r="AHO1370" s="402"/>
      <c r="AHP1370" s="402"/>
      <c r="AHQ1370" s="402"/>
      <c r="AHR1370" s="402"/>
      <c r="AHS1370" s="402"/>
      <c r="AHT1370" s="402"/>
      <c r="AHU1370" s="402"/>
      <c r="AHV1370" s="402"/>
      <c r="AHW1370" s="402"/>
      <c r="AHX1370" s="402"/>
      <c r="AHY1370" s="402"/>
      <c r="AHZ1370" s="402"/>
      <c r="AIA1370" s="402"/>
      <c r="AIB1370" s="402"/>
      <c r="AIC1370" s="402"/>
      <c r="AID1370" s="402"/>
      <c r="AIE1370" s="402"/>
      <c r="AIF1370" s="402"/>
      <c r="AIG1370" s="402"/>
      <c r="AIH1370" s="402"/>
      <c r="AII1370" s="402"/>
      <c r="AIJ1370" s="402"/>
      <c r="AIK1370" s="402"/>
      <c r="AIL1370" s="402"/>
      <c r="AIM1370" s="402"/>
      <c r="AIN1370" s="402"/>
      <c r="AIO1370" s="402"/>
      <c r="AIP1370" s="402"/>
      <c r="AIQ1370" s="402"/>
      <c r="AIR1370" s="402"/>
      <c r="AIS1370" s="402"/>
      <c r="AIT1370" s="402"/>
      <c r="AIU1370" s="402"/>
      <c r="AIV1370" s="402"/>
      <c r="AIW1370" s="402"/>
      <c r="AIX1370" s="402"/>
      <c r="AIY1370" s="402"/>
      <c r="AIZ1370" s="402"/>
      <c r="AJA1370" s="402"/>
      <c r="AJB1370" s="402"/>
      <c r="AJC1370" s="402"/>
      <c r="AJD1370" s="402"/>
      <c r="AJE1370" s="402"/>
      <c r="AJF1370" s="402"/>
      <c r="AJG1370" s="402"/>
      <c r="AJH1370" s="402"/>
      <c r="AJI1370" s="402"/>
      <c r="AJJ1370" s="402"/>
      <c r="AJK1370" s="402"/>
      <c r="AJL1370" s="402"/>
      <c r="AJM1370" s="402"/>
      <c r="AJN1370" s="402"/>
      <c r="AJO1370" s="402"/>
      <c r="AJP1370" s="402"/>
      <c r="AJQ1370" s="402"/>
      <c r="AJR1370" s="402"/>
      <c r="AJS1370" s="402"/>
      <c r="AJT1370" s="402"/>
      <c r="AJU1370" s="402"/>
      <c r="AJV1370" s="402"/>
      <c r="AJW1370" s="402"/>
      <c r="AJX1370" s="402"/>
      <c r="AJY1370" s="402"/>
      <c r="AJZ1370" s="402"/>
      <c r="AKA1370" s="402"/>
      <c r="AKB1370" s="402"/>
      <c r="AKC1370" s="402"/>
      <c r="AKD1370" s="402"/>
      <c r="AKE1370" s="402"/>
      <c r="AKF1370" s="402"/>
      <c r="AKG1370" s="402"/>
      <c r="AKH1370" s="402"/>
      <c r="AKI1370" s="402"/>
      <c r="AKJ1370" s="402"/>
      <c r="AKK1370" s="402"/>
      <c r="AKL1370" s="402"/>
      <c r="AKM1370" s="402"/>
      <c r="AKN1370" s="402"/>
      <c r="AKO1370" s="402"/>
      <c r="AKP1370" s="402"/>
      <c r="AKQ1370" s="402"/>
      <c r="AKR1370" s="402"/>
      <c r="AKS1370" s="402"/>
      <c r="AKT1370" s="402"/>
      <c r="AKU1370" s="402"/>
      <c r="AKV1370" s="402"/>
      <c r="AKW1370" s="402"/>
      <c r="AKX1370" s="402"/>
      <c r="AKY1370" s="402"/>
      <c r="AKZ1370" s="402"/>
      <c r="ALA1370" s="402"/>
      <c r="ALB1370" s="402"/>
      <c r="ALC1370" s="402"/>
      <c r="ALD1370" s="402"/>
      <c r="ALE1370" s="402"/>
      <c r="ALF1370" s="402"/>
      <c r="ALG1370" s="402"/>
      <c r="ALH1370" s="402"/>
      <c r="ALI1370" s="402"/>
      <c r="ALJ1370" s="402"/>
      <c r="ALK1370" s="402"/>
      <c r="ALL1370" s="402"/>
      <c r="ALM1370" s="402"/>
      <c r="ALN1370" s="402"/>
      <c r="ALO1370" s="402"/>
      <c r="ALP1370" s="402"/>
      <c r="ALQ1370" s="402"/>
      <c r="ALR1370" s="402"/>
      <c r="ALS1370" s="402"/>
      <c r="ALT1370" s="402"/>
      <c r="ALU1370" s="402"/>
      <c r="ALV1370" s="402"/>
      <c r="ALW1370" s="402"/>
      <c r="ALX1370" s="402"/>
      <c r="ALY1370" s="402"/>
      <c r="ALZ1370" s="402"/>
      <c r="AMA1370" s="402"/>
      <c r="AMB1370" s="402"/>
      <c r="AMC1370" s="402"/>
      <c r="AMD1370" s="402"/>
      <c r="AME1370" s="402"/>
      <c r="AMF1370" s="402"/>
      <c r="AMG1370" s="402"/>
      <c r="AMH1370" s="402"/>
      <c r="AMI1370" s="402"/>
      <c r="AMJ1370" s="402"/>
      <c r="AMK1370" s="402"/>
      <c r="AML1370" s="402"/>
      <c r="AMM1370" s="402"/>
      <c r="AMN1370" s="402"/>
      <c r="AMO1370" s="402"/>
      <c r="AMP1370" s="402"/>
      <c r="AMQ1370" s="402"/>
      <c r="AMR1370" s="402"/>
      <c r="AMS1370" s="402"/>
      <c r="AMT1370" s="402"/>
      <c r="AMU1370" s="402"/>
      <c r="AMV1370" s="402"/>
      <c r="AMW1370" s="402"/>
      <c r="AMX1370" s="402"/>
      <c r="AMY1370" s="402"/>
      <c r="AMZ1370" s="402"/>
      <c r="ANA1370" s="402"/>
      <c r="ANB1370" s="402"/>
      <c r="ANC1370" s="402"/>
      <c r="AND1370" s="402"/>
      <c r="ANE1370" s="402"/>
      <c r="ANF1370" s="402"/>
      <c r="ANG1370" s="402"/>
      <c r="ANH1370" s="402"/>
      <c r="ANI1370" s="402"/>
      <c r="ANJ1370" s="402"/>
      <c r="ANK1370" s="402"/>
      <c r="ANL1370" s="402"/>
      <c r="ANM1370" s="402"/>
      <c r="ANN1370" s="402"/>
      <c r="ANO1370" s="402"/>
      <c r="ANP1370" s="402"/>
      <c r="ANQ1370" s="402"/>
      <c r="ANR1370" s="402"/>
      <c r="ANS1370" s="402"/>
      <c r="ANT1370" s="402"/>
      <c r="ANU1370" s="402"/>
      <c r="ANV1370" s="402"/>
      <c r="ANW1370" s="402"/>
      <c r="ANX1370" s="402"/>
      <c r="ANY1370" s="402"/>
      <c r="ANZ1370" s="402"/>
      <c r="AOA1370" s="402"/>
      <c r="AOB1370" s="402"/>
      <c r="AOC1370" s="402"/>
      <c r="AOD1370" s="402"/>
      <c r="AOE1370" s="402"/>
      <c r="AOF1370" s="402"/>
      <c r="AOG1370" s="402"/>
      <c r="AOH1370" s="402"/>
      <c r="AOI1370" s="402"/>
      <c r="AOJ1370" s="402"/>
      <c r="AOK1370" s="402"/>
      <c r="AOL1370" s="402"/>
      <c r="AOM1370" s="402"/>
      <c r="AON1370" s="402"/>
      <c r="AOO1370" s="402"/>
      <c r="AOP1370" s="402"/>
      <c r="AOQ1370" s="402"/>
      <c r="AOR1370" s="402"/>
      <c r="AOS1370" s="402"/>
      <c r="AOT1370" s="402"/>
      <c r="AOU1370" s="402"/>
      <c r="AOV1370" s="402"/>
      <c r="AOW1370" s="402"/>
      <c r="AOX1370" s="402"/>
      <c r="AOY1370" s="402"/>
      <c r="AOZ1370" s="402"/>
      <c r="APA1370" s="402"/>
      <c r="APB1370" s="402"/>
      <c r="APC1370" s="402"/>
      <c r="APD1370" s="402"/>
      <c r="APE1370" s="402"/>
      <c r="APF1370" s="402"/>
      <c r="APG1370" s="402"/>
      <c r="APH1370" s="402"/>
      <c r="API1370" s="402"/>
      <c r="APJ1370" s="402"/>
      <c r="APK1370" s="402"/>
      <c r="APL1370" s="402"/>
      <c r="APM1370" s="402"/>
      <c r="APN1370" s="402"/>
      <c r="APO1370" s="402"/>
      <c r="APP1370" s="402"/>
      <c r="APQ1370" s="402"/>
      <c r="APR1370" s="402"/>
      <c r="APS1370" s="402"/>
      <c r="APT1370" s="402"/>
      <c r="APU1370" s="402"/>
      <c r="APV1370" s="402"/>
      <c r="APW1370" s="402"/>
      <c r="APX1370" s="402"/>
      <c r="APY1370" s="402"/>
      <c r="APZ1370" s="402"/>
      <c r="AQA1370" s="402"/>
      <c r="AQB1370" s="402"/>
      <c r="AQC1370" s="402"/>
      <c r="AQD1370" s="402"/>
      <c r="AQE1370" s="402"/>
      <c r="AQF1370" s="402"/>
      <c r="AQG1370" s="402"/>
      <c r="AQH1370" s="402"/>
      <c r="AQI1370" s="402"/>
      <c r="AQJ1370" s="402"/>
      <c r="AQK1370" s="402"/>
      <c r="AQL1370" s="402"/>
      <c r="AQM1370" s="402"/>
      <c r="AQN1370" s="402"/>
      <c r="AQO1370" s="402"/>
      <c r="AQP1370" s="402"/>
      <c r="AQQ1370" s="402"/>
      <c r="AQR1370" s="402"/>
      <c r="AQS1370" s="402"/>
      <c r="AQT1370" s="402"/>
      <c r="AQU1370" s="402"/>
      <c r="AQV1370" s="402"/>
      <c r="AQW1370" s="402"/>
      <c r="AQX1370" s="402"/>
      <c r="AQY1370" s="402"/>
      <c r="AQZ1370" s="402"/>
      <c r="ARA1370" s="402"/>
      <c r="ARB1370" s="402"/>
      <c r="ARC1370" s="402"/>
      <c r="ARD1370" s="402"/>
      <c r="ARE1370" s="402"/>
      <c r="ARF1370" s="402"/>
      <c r="ARG1370" s="402"/>
      <c r="ARH1370" s="402"/>
      <c r="ARI1370" s="402"/>
      <c r="ARJ1370" s="402"/>
      <c r="ARK1370" s="402"/>
      <c r="ARL1370" s="402"/>
      <c r="ARM1370" s="402"/>
      <c r="ARN1370" s="402"/>
      <c r="ARO1370" s="402"/>
      <c r="ARP1370" s="402"/>
      <c r="ARQ1370" s="402"/>
      <c r="ARR1370" s="402"/>
      <c r="ARS1370" s="402"/>
      <c r="ART1370" s="402"/>
      <c r="ARU1370" s="402"/>
      <c r="ARV1370" s="402"/>
      <c r="ARW1370" s="402"/>
      <c r="ARX1370" s="402"/>
      <c r="ARY1370" s="402"/>
      <c r="ARZ1370" s="402"/>
      <c r="ASA1370" s="402"/>
      <c r="ASB1370" s="402"/>
      <c r="ASC1370" s="402"/>
      <c r="ASD1370" s="402"/>
      <c r="ASE1370" s="402"/>
      <c r="ASF1370" s="402"/>
      <c r="ASG1370" s="402"/>
      <c r="ASH1370" s="402"/>
      <c r="ASI1370" s="402"/>
      <c r="ASJ1370" s="402"/>
      <c r="ASK1370" s="402"/>
      <c r="ASL1370" s="402"/>
      <c r="ASM1370" s="402"/>
      <c r="ASN1370" s="402"/>
      <c r="ASO1370" s="402"/>
      <c r="ASP1370" s="402"/>
      <c r="ASQ1370" s="402"/>
      <c r="ASR1370" s="402"/>
      <c r="ASS1370" s="402"/>
      <c r="AST1370" s="402"/>
      <c r="ASU1370" s="402"/>
      <c r="ASV1370" s="402"/>
      <c r="ASW1370" s="402"/>
      <c r="ASX1370" s="402"/>
      <c r="ASY1370" s="402"/>
      <c r="ASZ1370" s="402"/>
      <c r="ATA1370" s="402"/>
      <c r="ATB1370" s="402"/>
      <c r="ATC1370" s="402"/>
      <c r="ATD1370" s="402"/>
      <c r="ATE1370" s="402"/>
      <c r="ATF1370" s="402"/>
      <c r="ATG1370" s="402"/>
      <c r="ATH1370" s="402"/>
      <c r="ATI1370" s="402"/>
      <c r="ATJ1370" s="402"/>
      <c r="ATK1370" s="402"/>
      <c r="ATL1370" s="402"/>
      <c r="ATM1370" s="402"/>
      <c r="ATN1370" s="402"/>
      <c r="ATO1370" s="402"/>
      <c r="ATP1370" s="402"/>
      <c r="ATQ1370" s="402"/>
      <c r="ATR1370" s="402"/>
      <c r="ATS1370" s="402"/>
      <c r="ATT1370" s="402"/>
      <c r="ATU1370" s="402"/>
      <c r="ATV1370" s="402"/>
      <c r="ATW1370" s="402"/>
      <c r="ATX1370" s="402"/>
      <c r="ATY1370" s="402"/>
      <c r="ATZ1370" s="402"/>
      <c r="AUA1370" s="402"/>
      <c r="AUB1370" s="402"/>
      <c r="AUC1370" s="402"/>
      <c r="AUD1370" s="402"/>
      <c r="AUE1370" s="402"/>
      <c r="AUF1370" s="402"/>
      <c r="AUG1370" s="402"/>
      <c r="AUH1370" s="402"/>
      <c r="AUI1370" s="402"/>
      <c r="AUJ1370" s="402"/>
      <c r="AUK1370" s="402"/>
      <c r="AUL1370" s="402"/>
      <c r="AUM1370" s="402"/>
      <c r="AUN1370" s="402"/>
      <c r="AUO1370" s="402"/>
      <c r="AUP1370" s="402"/>
      <c r="AUQ1370" s="402"/>
      <c r="AUR1370" s="402"/>
      <c r="AUS1370" s="402"/>
      <c r="AUT1370" s="402"/>
      <c r="AUU1370" s="402"/>
      <c r="AUV1370" s="402"/>
      <c r="AUW1370" s="402"/>
      <c r="AUX1370" s="402"/>
      <c r="AUY1370" s="402"/>
      <c r="AUZ1370" s="402"/>
      <c r="AVA1370" s="402"/>
      <c r="AVB1370" s="402"/>
      <c r="AVC1370" s="402"/>
      <c r="AVD1370" s="402"/>
      <c r="AVE1370" s="402"/>
      <c r="AVF1370" s="402"/>
      <c r="AVG1370" s="402"/>
      <c r="AVH1370" s="402"/>
      <c r="AVI1370" s="402"/>
      <c r="AVJ1370" s="402"/>
      <c r="AVK1370" s="402"/>
    </row>
    <row r="1371" spans="1:1259" s="402" customFormat="1" ht="15" customHeight="1">
      <c r="A1371" s="403"/>
      <c r="B1371" s="403"/>
      <c r="C1371" s="403"/>
      <c r="D1371" s="443" t="s">
        <v>2480</v>
      </c>
      <c r="E1371" s="443" t="s">
        <v>2406</v>
      </c>
      <c r="F1371" s="432"/>
      <c r="G1371" s="432"/>
      <c r="H1371" s="432"/>
      <c r="I1371" s="427" t="s">
        <v>1498</v>
      </c>
      <c r="J1371" s="433"/>
      <c r="K1371" s="433" t="s">
        <v>3764</v>
      </c>
      <c r="L1371" s="433" t="s">
        <v>2509</v>
      </c>
      <c r="M1371" s="433">
        <v>44551</v>
      </c>
      <c r="N1371" s="433">
        <v>44624</v>
      </c>
      <c r="O1371" s="435"/>
      <c r="P1371" s="433"/>
      <c r="Q1371" s="433"/>
      <c r="R1371" s="433"/>
      <c r="S1371" s="432" t="s">
        <v>1940</v>
      </c>
      <c r="T1371" s="432">
        <v>60</v>
      </c>
      <c r="U1371" s="432"/>
      <c r="V1371" s="432" t="s">
        <v>1557</v>
      </c>
      <c r="W1371" s="432">
        <v>360</v>
      </c>
      <c r="X1371" s="436">
        <v>320</v>
      </c>
      <c r="Y1371" s="422">
        <f t="shared" si="166"/>
        <v>115200</v>
      </c>
      <c r="Z1371" s="437">
        <v>0.505</v>
      </c>
      <c r="AA1371" s="423">
        <f t="shared" si="167"/>
        <v>58176</v>
      </c>
      <c r="AB1371" s="411"/>
      <c r="AC1371" s="412">
        <f t="shared" si="168"/>
        <v>0</v>
      </c>
      <c r="AD1371" s="439"/>
      <c r="AE1371" s="438"/>
      <c r="AF1371" s="424">
        <f t="shared" si="169"/>
        <v>58176</v>
      </c>
      <c r="AG1371" s="432" t="s">
        <v>1069</v>
      </c>
      <c r="AH1371" s="432"/>
      <c r="AI1371" s="434">
        <v>60</v>
      </c>
      <c r="AJ1371" s="432" t="s">
        <v>3765</v>
      </c>
      <c r="AK1371" s="440" t="s">
        <v>1136</v>
      </c>
      <c r="AL1371" s="432">
        <v>79706</v>
      </c>
      <c r="AM1371" s="432" t="s">
        <v>52</v>
      </c>
      <c r="AN1371" s="432"/>
      <c r="AO1371" s="432"/>
      <c r="AP1371" s="441"/>
      <c r="AQ1371" s="441" t="s">
        <v>37</v>
      </c>
      <c r="AR1371" s="441"/>
      <c r="AS1371" s="426" t="s">
        <v>1142</v>
      </c>
      <c r="AT1371" s="426" t="s">
        <v>1073</v>
      </c>
      <c r="AU1371" s="426" t="s">
        <v>1073</v>
      </c>
      <c r="AV1371" s="437">
        <v>0.505</v>
      </c>
    </row>
    <row r="1372" spans="1:1259" s="402" customFormat="1" ht="15" customHeight="1">
      <c r="A1372" s="403"/>
      <c r="B1372" s="403"/>
      <c r="C1372" s="403"/>
      <c r="D1372" s="443" t="s">
        <v>2480</v>
      </c>
      <c r="E1372" s="443" t="s">
        <v>2406</v>
      </c>
      <c r="F1372" s="432"/>
      <c r="G1372" s="432"/>
      <c r="H1372" s="432"/>
      <c r="I1372" s="427" t="s">
        <v>1498</v>
      </c>
      <c r="J1372" s="433"/>
      <c r="K1372" s="433" t="s">
        <v>3766</v>
      </c>
      <c r="L1372" s="433" t="s">
        <v>2509</v>
      </c>
      <c r="M1372" s="433">
        <v>44551</v>
      </c>
      <c r="N1372" s="433">
        <v>44687</v>
      </c>
      <c r="O1372" s="435"/>
      <c r="P1372" s="433"/>
      <c r="Q1372" s="433"/>
      <c r="R1372" s="433"/>
      <c r="S1372" s="432" t="s">
        <v>1940</v>
      </c>
      <c r="T1372" s="432">
        <v>60</v>
      </c>
      <c r="U1372" s="432"/>
      <c r="V1372" s="432" t="s">
        <v>1557</v>
      </c>
      <c r="W1372" s="432">
        <v>360</v>
      </c>
      <c r="X1372" s="436">
        <v>320</v>
      </c>
      <c r="Y1372" s="422">
        <f t="shared" si="166"/>
        <v>115200</v>
      </c>
      <c r="Z1372" s="437">
        <v>0.505</v>
      </c>
      <c r="AA1372" s="423">
        <f t="shared" si="167"/>
        <v>58176</v>
      </c>
      <c r="AB1372" s="411"/>
      <c r="AC1372" s="412">
        <f t="shared" si="168"/>
        <v>0</v>
      </c>
      <c r="AD1372" s="439"/>
      <c r="AE1372" s="438"/>
      <c r="AF1372" s="424">
        <f t="shared" si="169"/>
        <v>58176</v>
      </c>
      <c r="AG1372" s="432" t="s">
        <v>1069</v>
      </c>
      <c r="AH1372" s="432"/>
      <c r="AI1372" s="434">
        <v>60</v>
      </c>
      <c r="AJ1372" s="432" t="s">
        <v>3765</v>
      </c>
      <c r="AK1372" s="440" t="s">
        <v>1136</v>
      </c>
      <c r="AL1372" s="432">
        <v>79706</v>
      </c>
      <c r="AM1372" s="432" t="s">
        <v>52</v>
      </c>
      <c r="AN1372" s="432"/>
      <c r="AO1372" s="432"/>
      <c r="AP1372" s="441"/>
      <c r="AQ1372" s="441" t="s">
        <v>37</v>
      </c>
      <c r="AR1372" s="441"/>
      <c r="AS1372" s="426" t="s">
        <v>1142</v>
      </c>
      <c r="AT1372" s="426" t="s">
        <v>1073</v>
      </c>
      <c r="AU1372" s="426" t="s">
        <v>1073</v>
      </c>
      <c r="AV1372" s="437">
        <v>0.505</v>
      </c>
    </row>
    <row r="1373" spans="1:1259" s="402" customFormat="1" ht="15" customHeight="1">
      <c r="A1373" s="403"/>
      <c r="B1373" s="403"/>
      <c r="C1373" s="403"/>
      <c r="D1373" s="443" t="s">
        <v>2480</v>
      </c>
      <c r="E1373" s="443" t="s">
        <v>2406</v>
      </c>
      <c r="F1373" s="432"/>
      <c r="G1373" s="432"/>
      <c r="H1373" s="432"/>
      <c r="I1373" s="427" t="s">
        <v>1498</v>
      </c>
      <c r="J1373" s="433"/>
      <c r="K1373" s="433" t="s">
        <v>3767</v>
      </c>
      <c r="L1373" s="433" t="s">
        <v>2509</v>
      </c>
      <c r="M1373" s="433">
        <v>44551</v>
      </c>
      <c r="N1373" s="433">
        <v>44687</v>
      </c>
      <c r="O1373" s="435"/>
      <c r="P1373" s="433"/>
      <c r="Q1373" s="433"/>
      <c r="R1373" s="433"/>
      <c r="S1373" s="432" t="s">
        <v>1940</v>
      </c>
      <c r="T1373" s="432">
        <v>60</v>
      </c>
      <c r="U1373" s="432"/>
      <c r="V1373" s="432" t="s">
        <v>1557</v>
      </c>
      <c r="W1373" s="432">
        <v>360</v>
      </c>
      <c r="X1373" s="436">
        <v>640</v>
      </c>
      <c r="Y1373" s="422">
        <f t="shared" si="166"/>
        <v>230400</v>
      </c>
      <c r="Z1373" s="437">
        <v>0.505</v>
      </c>
      <c r="AA1373" s="423">
        <f t="shared" si="167"/>
        <v>116352</v>
      </c>
      <c r="AB1373" s="411"/>
      <c r="AC1373" s="412">
        <f t="shared" si="168"/>
        <v>0</v>
      </c>
      <c r="AD1373" s="439"/>
      <c r="AE1373" s="438"/>
      <c r="AF1373" s="424">
        <f t="shared" si="169"/>
        <v>116352</v>
      </c>
      <c r="AG1373" s="432" t="s">
        <v>1069</v>
      </c>
      <c r="AH1373" s="432"/>
      <c r="AI1373" s="434">
        <v>60</v>
      </c>
      <c r="AJ1373" s="432" t="s">
        <v>1454</v>
      </c>
      <c r="AK1373" s="440" t="s">
        <v>1136</v>
      </c>
      <c r="AL1373" s="432">
        <v>78744</v>
      </c>
      <c r="AM1373" s="432" t="s">
        <v>52</v>
      </c>
      <c r="AN1373" s="432"/>
      <c r="AO1373" s="432"/>
      <c r="AP1373" s="441"/>
      <c r="AQ1373" s="441" t="s">
        <v>37</v>
      </c>
      <c r="AR1373" s="441"/>
      <c r="AS1373" s="426" t="s">
        <v>1142</v>
      </c>
      <c r="AT1373" s="426" t="s">
        <v>1073</v>
      </c>
      <c r="AU1373" s="426" t="s">
        <v>1073</v>
      </c>
      <c r="AV1373" s="437">
        <v>0.505</v>
      </c>
    </row>
    <row r="1374" spans="1:1259" s="402" customFormat="1" ht="15" customHeight="1">
      <c r="A1374" s="403"/>
      <c r="B1374" s="403"/>
      <c r="C1374" s="403"/>
      <c r="D1374" s="443" t="s">
        <v>2480</v>
      </c>
      <c r="E1374" s="443" t="s">
        <v>2406</v>
      </c>
      <c r="F1374" s="432"/>
      <c r="G1374" s="432"/>
      <c r="H1374" s="432"/>
      <c r="I1374" s="427" t="s">
        <v>1498</v>
      </c>
      <c r="J1374" s="433"/>
      <c r="K1374" s="433" t="s">
        <v>3768</v>
      </c>
      <c r="L1374" s="433" t="s">
        <v>2509</v>
      </c>
      <c r="M1374" s="433">
        <v>44551</v>
      </c>
      <c r="N1374" s="433">
        <v>44715</v>
      </c>
      <c r="O1374" s="435"/>
      <c r="P1374" s="433"/>
      <c r="Q1374" s="433"/>
      <c r="R1374" s="433"/>
      <c r="S1374" s="432" t="s">
        <v>1940</v>
      </c>
      <c r="T1374" s="432">
        <v>60</v>
      </c>
      <c r="U1374" s="432"/>
      <c r="V1374" s="432" t="s">
        <v>1557</v>
      </c>
      <c r="W1374" s="432">
        <v>360</v>
      </c>
      <c r="X1374" s="436">
        <v>640</v>
      </c>
      <c r="Y1374" s="422">
        <f t="shared" si="166"/>
        <v>230400</v>
      </c>
      <c r="Z1374" s="437">
        <v>0.505</v>
      </c>
      <c r="AA1374" s="423">
        <f t="shared" si="167"/>
        <v>116352</v>
      </c>
      <c r="AB1374" s="411"/>
      <c r="AC1374" s="412">
        <f t="shared" si="168"/>
        <v>0</v>
      </c>
      <c r="AD1374" s="439"/>
      <c r="AE1374" s="438"/>
      <c r="AF1374" s="424">
        <f t="shared" si="169"/>
        <v>116352</v>
      </c>
      <c r="AG1374" s="432" t="s">
        <v>1069</v>
      </c>
      <c r="AH1374" s="432"/>
      <c r="AI1374" s="434">
        <v>60</v>
      </c>
      <c r="AJ1374" s="432" t="s">
        <v>1454</v>
      </c>
      <c r="AK1374" s="440" t="s">
        <v>1136</v>
      </c>
      <c r="AL1374" s="432">
        <v>78744</v>
      </c>
      <c r="AM1374" s="432" t="s">
        <v>52</v>
      </c>
      <c r="AN1374" s="432"/>
      <c r="AO1374" s="432"/>
      <c r="AP1374" s="441"/>
      <c r="AQ1374" s="441" t="s">
        <v>37</v>
      </c>
      <c r="AR1374" s="441"/>
      <c r="AS1374" s="426" t="s">
        <v>1142</v>
      </c>
      <c r="AT1374" s="426" t="s">
        <v>1073</v>
      </c>
      <c r="AU1374" s="426" t="s">
        <v>1073</v>
      </c>
      <c r="AV1374" s="437">
        <v>0.505</v>
      </c>
    </row>
    <row r="1375" spans="1:1259" s="402" customFormat="1" ht="15" customHeight="1">
      <c r="A1375" s="403"/>
      <c r="B1375" s="445">
        <v>44568</v>
      </c>
      <c r="C1375" s="403"/>
      <c r="D1375" s="443" t="s">
        <v>2480</v>
      </c>
      <c r="E1375" s="432" t="s">
        <v>2406</v>
      </c>
      <c r="F1375" s="432"/>
      <c r="G1375" s="432"/>
      <c r="H1375" s="432"/>
      <c r="I1375" s="427" t="s">
        <v>1498</v>
      </c>
      <c r="J1375" s="433"/>
      <c r="K1375" s="432" t="s">
        <v>3769</v>
      </c>
      <c r="L1375" s="432" t="s">
        <v>2506</v>
      </c>
      <c r="M1375" s="435">
        <v>44567</v>
      </c>
      <c r="N1375" s="435">
        <v>44743</v>
      </c>
      <c r="O1375" s="435"/>
      <c r="P1375" s="433"/>
      <c r="Q1375" s="433"/>
      <c r="R1375" s="433"/>
      <c r="S1375" s="432" t="s">
        <v>1940</v>
      </c>
      <c r="T1375" s="432">
        <v>60</v>
      </c>
      <c r="U1375" s="432"/>
      <c r="V1375" s="432" t="s">
        <v>986</v>
      </c>
      <c r="W1375" s="432">
        <v>360</v>
      </c>
      <c r="X1375" s="436">
        <v>640</v>
      </c>
      <c r="Y1375" s="422">
        <f t="shared" si="166"/>
        <v>230400</v>
      </c>
      <c r="Z1375" s="437">
        <v>0.505</v>
      </c>
      <c r="AA1375" s="423">
        <f t="shared" si="167"/>
        <v>116352</v>
      </c>
      <c r="AB1375" s="423"/>
      <c r="AC1375" s="394">
        <f t="shared" si="168"/>
        <v>0</v>
      </c>
      <c r="AD1375" s="421"/>
      <c r="AE1375" s="413"/>
      <c r="AF1375" s="462">
        <f t="shared" si="169"/>
        <v>116352</v>
      </c>
      <c r="AG1375" s="432" t="s">
        <v>1069</v>
      </c>
      <c r="AH1375" s="405"/>
      <c r="AI1375" s="434" t="s">
        <v>1962</v>
      </c>
      <c r="AJ1375" s="432" t="s">
        <v>3770</v>
      </c>
      <c r="AK1375" s="440" t="s">
        <v>1136</v>
      </c>
      <c r="AL1375" s="432">
        <v>75019</v>
      </c>
      <c r="AM1375" s="432" t="s">
        <v>52</v>
      </c>
      <c r="AN1375" s="432"/>
      <c r="AO1375" s="432"/>
      <c r="AP1375" s="441"/>
      <c r="AQ1375" s="441" t="s">
        <v>37</v>
      </c>
      <c r="AR1375" s="441"/>
      <c r="AS1375" s="426"/>
      <c r="AT1375" s="426"/>
      <c r="AU1375" s="403"/>
      <c r="AV1375" s="437">
        <v>0.505</v>
      </c>
    </row>
    <row r="1376" spans="1:1259" s="402" customFormat="1" ht="15" customHeight="1">
      <c r="A1376" s="403"/>
      <c r="B1376" s="445">
        <v>44568</v>
      </c>
      <c r="C1376" s="403"/>
      <c r="D1376" s="443" t="s">
        <v>2480</v>
      </c>
      <c r="E1376" s="432" t="s">
        <v>2406</v>
      </c>
      <c r="F1376" s="432"/>
      <c r="G1376" s="432"/>
      <c r="H1376" s="432"/>
      <c r="I1376" s="427" t="s">
        <v>1498</v>
      </c>
      <c r="J1376" s="433"/>
      <c r="K1376" s="432" t="s">
        <v>3771</v>
      </c>
      <c r="L1376" s="432" t="s">
        <v>2506</v>
      </c>
      <c r="M1376" s="435">
        <v>44567</v>
      </c>
      <c r="N1376" s="435">
        <v>44778</v>
      </c>
      <c r="O1376" s="435"/>
      <c r="P1376" s="433"/>
      <c r="Q1376" s="433"/>
      <c r="R1376" s="433"/>
      <c r="S1376" s="432" t="s">
        <v>1940</v>
      </c>
      <c r="T1376" s="432">
        <v>60</v>
      </c>
      <c r="U1376" s="432"/>
      <c r="V1376" s="432" t="s">
        <v>986</v>
      </c>
      <c r="W1376" s="432">
        <v>360</v>
      </c>
      <c r="X1376" s="436">
        <v>640</v>
      </c>
      <c r="Y1376" s="422">
        <f t="shared" si="166"/>
        <v>230400</v>
      </c>
      <c r="Z1376" s="437">
        <v>0.505</v>
      </c>
      <c r="AA1376" s="423">
        <f t="shared" si="167"/>
        <v>116352</v>
      </c>
      <c r="AB1376" s="423"/>
      <c r="AC1376" s="394">
        <f t="shared" si="168"/>
        <v>0</v>
      </c>
      <c r="AD1376" s="421"/>
      <c r="AE1376" s="413"/>
      <c r="AF1376" s="462">
        <f t="shared" si="169"/>
        <v>116352</v>
      </c>
      <c r="AG1376" s="432" t="s">
        <v>1069</v>
      </c>
      <c r="AH1376" s="405"/>
      <c r="AI1376" s="434" t="s">
        <v>1962</v>
      </c>
      <c r="AJ1376" s="432" t="s">
        <v>3770</v>
      </c>
      <c r="AK1376" s="440" t="s">
        <v>1136</v>
      </c>
      <c r="AL1376" s="432">
        <v>75019</v>
      </c>
      <c r="AM1376" s="432" t="s">
        <v>52</v>
      </c>
      <c r="AN1376" s="432"/>
      <c r="AO1376" s="432"/>
      <c r="AP1376" s="441"/>
      <c r="AQ1376" s="441" t="s">
        <v>37</v>
      </c>
      <c r="AR1376" s="441"/>
      <c r="AS1376" s="426"/>
      <c r="AT1376" s="426"/>
      <c r="AU1376" s="403"/>
      <c r="AV1376" s="437">
        <v>0.505</v>
      </c>
    </row>
    <row r="1377" spans="1:48" s="402" customFormat="1" ht="15" customHeight="1">
      <c r="A1377" s="403"/>
      <c r="B1377" s="445">
        <v>44568</v>
      </c>
      <c r="C1377" s="403"/>
      <c r="D1377" s="443" t="s">
        <v>2480</v>
      </c>
      <c r="E1377" s="432" t="s">
        <v>2406</v>
      </c>
      <c r="F1377" s="432"/>
      <c r="G1377" s="432"/>
      <c r="H1377" s="432"/>
      <c r="I1377" s="427" t="s">
        <v>1498</v>
      </c>
      <c r="J1377" s="433"/>
      <c r="K1377" s="432" t="s">
        <v>3772</v>
      </c>
      <c r="L1377" s="432" t="s">
        <v>2506</v>
      </c>
      <c r="M1377" s="435">
        <v>44567</v>
      </c>
      <c r="N1377" s="435">
        <v>44806</v>
      </c>
      <c r="O1377" s="435"/>
      <c r="P1377" s="433"/>
      <c r="Q1377" s="433"/>
      <c r="R1377" s="433"/>
      <c r="S1377" s="432" t="s">
        <v>1940</v>
      </c>
      <c r="T1377" s="432">
        <v>60</v>
      </c>
      <c r="U1377" s="432"/>
      <c r="V1377" s="432" t="s">
        <v>986</v>
      </c>
      <c r="W1377" s="432">
        <v>360</v>
      </c>
      <c r="X1377" s="436">
        <v>640</v>
      </c>
      <c r="Y1377" s="422">
        <f t="shared" si="166"/>
        <v>230400</v>
      </c>
      <c r="Z1377" s="437">
        <v>0.505</v>
      </c>
      <c r="AA1377" s="423">
        <f t="shared" si="167"/>
        <v>116352</v>
      </c>
      <c r="AB1377" s="423"/>
      <c r="AC1377" s="394">
        <f t="shared" si="168"/>
        <v>0</v>
      </c>
      <c r="AD1377" s="421"/>
      <c r="AE1377" s="413"/>
      <c r="AF1377" s="462">
        <f t="shared" si="169"/>
        <v>116352</v>
      </c>
      <c r="AG1377" s="432" t="s">
        <v>1069</v>
      </c>
      <c r="AH1377" s="405"/>
      <c r="AI1377" s="434" t="s">
        <v>1962</v>
      </c>
      <c r="AJ1377" s="432" t="s">
        <v>3770</v>
      </c>
      <c r="AK1377" s="440" t="s">
        <v>1136</v>
      </c>
      <c r="AL1377" s="432">
        <v>75019</v>
      </c>
      <c r="AM1377" s="432" t="s">
        <v>52</v>
      </c>
      <c r="AN1377" s="432"/>
      <c r="AO1377" s="432"/>
      <c r="AP1377" s="441"/>
      <c r="AQ1377" s="441" t="s">
        <v>37</v>
      </c>
      <c r="AR1377" s="441"/>
      <c r="AS1377" s="426"/>
      <c r="AT1377" s="426"/>
      <c r="AU1377" s="403"/>
      <c r="AV1377" s="437">
        <v>0.505</v>
      </c>
    </row>
    <row r="1378" spans="1:48" s="402" customFormat="1" ht="15" customHeight="1">
      <c r="A1378" s="403"/>
      <c r="B1378" s="445">
        <v>44568</v>
      </c>
      <c r="C1378" s="403"/>
      <c r="D1378" s="443" t="s">
        <v>2480</v>
      </c>
      <c r="E1378" s="432" t="s">
        <v>2406</v>
      </c>
      <c r="F1378" s="432"/>
      <c r="G1378" s="432"/>
      <c r="H1378" s="432"/>
      <c r="I1378" s="427" t="s">
        <v>1498</v>
      </c>
      <c r="J1378" s="433"/>
      <c r="K1378" s="432" t="s">
        <v>3773</v>
      </c>
      <c r="L1378" s="432" t="s">
        <v>2506</v>
      </c>
      <c r="M1378" s="435">
        <v>44567</v>
      </c>
      <c r="N1378" s="435">
        <v>44837</v>
      </c>
      <c r="O1378" s="435"/>
      <c r="P1378" s="433"/>
      <c r="Q1378" s="433"/>
      <c r="R1378" s="433"/>
      <c r="S1378" s="432" t="s">
        <v>1940</v>
      </c>
      <c r="T1378" s="432">
        <v>60</v>
      </c>
      <c r="U1378" s="432"/>
      <c r="V1378" s="432" t="s">
        <v>986</v>
      </c>
      <c r="W1378" s="432">
        <v>360</v>
      </c>
      <c r="X1378" s="436">
        <v>640</v>
      </c>
      <c r="Y1378" s="422">
        <f t="shared" si="166"/>
        <v>230400</v>
      </c>
      <c r="Z1378" s="437">
        <v>0.505</v>
      </c>
      <c r="AA1378" s="423">
        <f t="shared" si="167"/>
        <v>116352</v>
      </c>
      <c r="AB1378" s="423"/>
      <c r="AC1378" s="394">
        <f t="shared" si="168"/>
        <v>0</v>
      </c>
      <c r="AD1378" s="421"/>
      <c r="AE1378" s="413"/>
      <c r="AF1378" s="462">
        <f t="shared" si="169"/>
        <v>116352</v>
      </c>
      <c r="AG1378" s="432" t="s">
        <v>1069</v>
      </c>
      <c r="AH1378" s="405"/>
      <c r="AI1378" s="434" t="s">
        <v>1962</v>
      </c>
      <c r="AJ1378" s="432" t="s">
        <v>3770</v>
      </c>
      <c r="AK1378" s="440" t="s">
        <v>1136</v>
      </c>
      <c r="AL1378" s="432">
        <v>75019</v>
      </c>
      <c r="AM1378" s="432" t="s">
        <v>52</v>
      </c>
      <c r="AN1378" s="432"/>
      <c r="AO1378" s="432"/>
      <c r="AP1378" s="441"/>
      <c r="AQ1378" s="441" t="s">
        <v>37</v>
      </c>
      <c r="AR1378" s="441"/>
      <c r="AS1378" s="426"/>
      <c r="AT1378" s="426"/>
      <c r="AU1378" s="403"/>
      <c r="AV1378" s="437">
        <v>0.505</v>
      </c>
    </row>
    <row r="1379" spans="1:48" s="402" customFormat="1" ht="15" customHeight="1">
      <c r="A1379" s="403"/>
      <c r="B1379" s="445">
        <v>44568</v>
      </c>
      <c r="C1379" s="403"/>
      <c r="D1379" s="443" t="s">
        <v>2480</v>
      </c>
      <c r="E1379" s="432" t="s">
        <v>2406</v>
      </c>
      <c r="F1379" s="432"/>
      <c r="G1379" s="432"/>
      <c r="H1379" s="432"/>
      <c r="I1379" s="427" t="s">
        <v>1498</v>
      </c>
      <c r="J1379" s="433"/>
      <c r="K1379" s="432" t="s">
        <v>3774</v>
      </c>
      <c r="L1379" s="432" t="s">
        <v>2506</v>
      </c>
      <c r="M1379" s="435">
        <v>44567</v>
      </c>
      <c r="N1379" s="435">
        <v>44869</v>
      </c>
      <c r="O1379" s="435"/>
      <c r="P1379" s="433"/>
      <c r="Q1379" s="433"/>
      <c r="R1379" s="433"/>
      <c r="S1379" s="432" t="s">
        <v>1940</v>
      </c>
      <c r="T1379" s="432">
        <v>60</v>
      </c>
      <c r="U1379" s="432"/>
      <c r="V1379" s="432" t="s">
        <v>986</v>
      </c>
      <c r="W1379" s="432">
        <v>360</v>
      </c>
      <c r="X1379" s="436">
        <v>640</v>
      </c>
      <c r="Y1379" s="422">
        <f t="shared" si="166"/>
        <v>230400</v>
      </c>
      <c r="Z1379" s="437">
        <v>0.505</v>
      </c>
      <c r="AA1379" s="423">
        <f t="shared" si="167"/>
        <v>116352</v>
      </c>
      <c r="AB1379" s="423"/>
      <c r="AC1379" s="394">
        <f t="shared" si="168"/>
        <v>0</v>
      </c>
      <c r="AD1379" s="421"/>
      <c r="AE1379" s="413"/>
      <c r="AF1379" s="462">
        <f t="shared" si="169"/>
        <v>116352</v>
      </c>
      <c r="AG1379" s="432" t="s">
        <v>1069</v>
      </c>
      <c r="AH1379" s="405"/>
      <c r="AI1379" s="434" t="s">
        <v>1962</v>
      </c>
      <c r="AJ1379" s="432" t="s">
        <v>3770</v>
      </c>
      <c r="AK1379" s="440" t="s">
        <v>1136</v>
      </c>
      <c r="AL1379" s="432">
        <v>75019</v>
      </c>
      <c r="AM1379" s="432" t="s">
        <v>52</v>
      </c>
      <c r="AN1379" s="432"/>
      <c r="AO1379" s="432"/>
      <c r="AP1379" s="441"/>
      <c r="AQ1379" s="441" t="s">
        <v>37</v>
      </c>
      <c r="AR1379" s="441"/>
      <c r="AS1379" s="426"/>
      <c r="AT1379" s="426"/>
      <c r="AU1379" s="403"/>
      <c r="AV1379" s="437">
        <v>0.505</v>
      </c>
    </row>
    <row r="1380" spans="1:48" s="402" customFormat="1" ht="15" customHeight="1">
      <c r="A1380" s="403"/>
      <c r="B1380" s="445">
        <v>44568</v>
      </c>
      <c r="C1380" s="403"/>
      <c r="D1380" s="443" t="s">
        <v>2480</v>
      </c>
      <c r="E1380" s="432" t="s">
        <v>2406</v>
      </c>
      <c r="F1380" s="432"/>
      <c r="G1380" s="432"/>
      <c r="H1380" s="432"/>
      <c r="I1380" s="427" t="s">
        <v>1498</v>
      </c>
      <c r="J1380" s="433"/>
      <c r="K1380" s="432" t="s">
        <v>3775</v>
      </c>
      <c r="L1380" s="432" t="s">
        <v>2506</v>
      </c>
      <c r="M1380" s="435">
        <v>44567</v>
      </c>
      <c r="N1380" s="435">
        <v>44896</v>
      </c>
      <c r="O1380" s="435"/>
      <c r="P1380" s="433"/>
      <c r="Q1380" s="433"/>
      <c r="R1380" s="433"/>
      <c r="S1380" s="432" t="s">
        <v>1940</v>
      </c>
      <c r="T1380" s="432">
        <v>60</v>
      </c>
      <c r="U1380" s="432"/>
      <c r="V1380" s="432" t="s">
        <v>986</v>
      </c>
      <c r="W1380" s="432">
        <v>360</v>
      </c>
      <c r="X1380" s="436">
        <v>640</v>
      </c>
      <c r="Y1380" s="422">
        <f t="shared" si="166"/>
        <v>230400</v>
      </c>
      <c r="Z1380" s="437">
        <v>0.505</v>
      </c>
      <c r="AA1380" s="423">
        <f t="shared" si="167"/>
        <v>116352</v>
      </c>
      <c r="AB1380" s="423"/>
      <c r="AC1380" s="394">
        <f t="shared" si="168"/>
        <v>0</v>
      </c>
      <c r="AD1380" s="421"/>
      <c r="AE1380" s="413"/>
      <c r="AF1380" s="462">
        <f t="shared" si="169"/>
        <v>116352</v>
      </c>
      <c r="AG1380" s="432" t="s">
        <v>1069</v>
      </c>
      <c r="AH1380" s="405"/>
      <c r="AI1380" s="434" t="s">
        <v>1962</v>
      </c>
      <c r="AJ1380" s="432" t="s">
        <v>3770</v>
      </c>
      <c r="AK1380" s="440" t="s">
        <v>1136</v>
      </c>
      <c r="AL1380" s="432">
        <v>75019</v>
      </c>
      <c r="AM1380" s="432" t="s">
        <v>52</v>
      </c>
      <c r="AN1380" s="432"/>
      <c r="AO1380" s="432"/>
      <c r="AP1380" s="441"/>
      <c r="AQ1380" s="441" t="s">
        <v>37</v>
      </c>
      <c r="AR1380" s="441"/>
      <c r="AS1380" s="426"/>
      <c r="AT1380" s="426"/>
      <c r="AU1380" s="403"/>
      <c r="AV1380" s="437">
        <v>0.505</v>
      </c>
    </row>
    <row r="1381" spans="1:48" s="402" customFormat="1" ht="15" customHeight="1">
      <c r="A1381" s="403"/>
      <c r="B1381" s="445">
        <v>44568</v>
      </c>
      <c r="C1381" s="403"/>
      <c r="D1381" s="443" t="s">
        <v>2480</v>
      </c>
      <c r="E1381" s="432" t="s">
        <v>2406</v>
      </c>
      <c r="F1381" s="432"/>
      <c r="G1381" s="432"/>
      <c r="H1381" s="432"/>
      <c r="I1381" s="427" t="s">
        <v>1498</v>
      </c>
      <c r="J1381" s="433"/>
      <c r="K1381" s="434" t="s">
        <v>3776</v>
      </c>
      <c r="L1381" s="432" t="s">
        <v>2509</v>
      </c>
      <c r="M1381" s="435">
        <v>44568</v>
      </c>
      <c r="N1381" s="435">
        <v>44746</v>
      </c>
      <c r="O1381" s="435"/>
      <c r="P1381" s="433"/>
      <c r="Q1381" s="433"/>
      <c r="R1381" s="433"/>
      <c r="S1381" s="432" t="s">
        <v>1940</v>
      </c>
      <c r="T1381" s="432">
        <v>60</v>
      </c>
      <c r="U1381" s="432"/>
      <c r="V1381" s="432" t="s">
        <v>986</v>
      </c>
      <c r="W1381" s="432">
        <v>360</v>
      </c>
      <c r="X1381" s="436">
        <v>640</v>
      </c>
      <c r="Y1381" s="422">
        <f t="shared" si="166"/>
        <v>230400</v>
      </c>
      <c r="Z1381" s="437">
        <v>0.505</v>
      </c>
      <c r="AA1381" s="423">
        <f t="shared" si="167"/>
        <v>116352</v>
      </c>
      <c r="AB1381" s="411"/>
      <c r="AC1381" s="412">
        <f t="shared" si="168"/>
        <v>0</v>
      </c>
      <c r="AD1381" s="439"/>
      <c r="AE1381" s="438"/>
      <c r="AF1381" s="424">
        <f t="shared" si="169"/>
        <v>116352</v>
      </c>
      <c r="AG1381" s="432" t="s">
        <v>1069</v>
      </c>
      <c r="AH1381" s="432"/>
      <c r="AI1381" s="434">
        <v>60</v>
      </c>
      <c r="AJ1381" s="432" t="s">
        <v>1454</v>
      </c>
      <c r="AK1381" s="440" t="s">
        <v>1136</v>
      </c>
      <c r="AL1381" s="432">
        <v>78744</v>
      </c>
      <c r="AM1381" s="432" t="s">
        <v>52</v>
      </c>
      <c r="AN1381" s="432"/>
      <c r="AO1381" s="432"/>
      <c r="AP1381" s="441"/>
      <c r="AQ1381" s="441" t="s">
        <v>37</v>
      </c>
      <c r="AR1381" s="441"/>
      <c r="AS1381" s="426" t="s">
        <v>1142</v>
      </c>
      <c r="AT1381" s="426" t="s">
        <v>1073</v>
      </c>
      <c r="AU1381" s="426" t="s">
        <v>1073</v>
      </c>
      <c r="AV1381" s="437">
        <v>0.505</v>
      </c>
    </row>
    <row r="1382" spans="1:48" s="402" customFormat="1" ht="15" customHeight="1">
      <c r="A1382" s="403"/>
      <c r="B1382" s="445">
        <v>44568</v>
      </c>
      <c r="C1382" s="403"/>
      <c r="D1382" s="443" t="s">
        <v>2480</v>
      </c>
      <c r="E1382" s="432" t="s">
        <v>2406</v>
      </c>
      <c r="F1382" s="432"/>
      <c r="G1382" s="432"/>
      <c r="H1382" s="432"/>
      <c r="I1382" s="427" t="s">
        <v>1498</v>
      </c>
      <c r="J1382" s="433"/>
      <c r="K1382" s="434" t="s">
        <v>3777</v>
      </c>
      <c r="L1382" s="432" t="s">
        <v>2509</v>
      </c>
      <c r="M1382" s="435">
        <v>44568</v>
      </c>
      <c r="N1382" s="435">
        <v>44778</v>
      </c>
      <c r="O1382" s="435"/>
      <c r="P1382" s="433"/>
      <c r="Q1382" s="433"/>
      <c r="R1382" s="433"/>
      <c r="S1382" s="432" t="s">
        <v>1940</v>
      </c>
      <c r="T1382" s="432">
        <v>60</v>
      </c>
      <c r="U1382" s="432"/>
      <c r="V1382" s="432" t="s">
        <v>986</v>
      </c>
      <c r="W1382" s="432">
        <v>360</v>
      </c>
      <c r="X1382" s="436">
        <v>640</v>
      </c>
      <c r="Y1382" s="422">
        <f t="shared" si="166"/>
        <v>230400</v>
      </c>
      <c r="Z1382" s="437">
        <v>0.505</v>
      </c>
      <c r="AA1382" s="423">
        <f t="shared" si="167"/>
        <v>116352</v>
      </c>
      <c r="AB1382" s="411"/>
      <c r="AC1382" s="412">
        <f t="shared" si="168"/>
        <v>0</v>
      </c>
      <c r="AD1382" s="439"/>
      <c r="AE1382" s="438"/>
      <c r="AF1382" s="424">
        <f t="shared" si="169"/>
        <v>116352</v>
      </c>
      <c r="AG1382" s="432" t="s">
        <v>1069</v>
      </c>
      <c r="AH1382" s="432"/>
      <c r="AI1382" s="434">
        <v>60</v>
      </c>
      <c r="AJ1382" s="432" t="s">
        <v>1454</v>
      </c>
      <c r="AK1382" s="440" t="s">
        <v>1136</v>
      </c>
      <c r="AL1382" s="432">
        <v>78744</v>
      </c>
      <c r="AM1382" s="432" t="s">
        <v>52</v>
      </c>
      <c r="AN1382" s="432"/>
      <c r="AO1382" s="432"/>
      <c r="AP1382" s="441"/>
      <c r="AQ1382" s="441" t="s">
        <v>37</v>
      </c>
      <c r="AR1382" s="441"/>
      <c r="AS1382" s="426" t="s">
        <v>1142</v>
      </c>
      <c r="AT1382" s="426" t="s">
        <v>1073</v>
      </c>
      <c r="AU1382" s="426" t="s">
        <v>1073</v>
      </c>
      <c r="AV1382" s="437">
        <v>0.505</v>
      </c>
    </row>
    <row r="1383" spans="1:48" s="402" customFormat="1" ht="15" customHeight="1">
      <c r="A1383" s="403"/>
      <c r="B1383" s="445">
        <v>44568</v>
      </c>
      <c r="C1383" s="403"/>
      <c r="D1383" s="443" t="s">
        <v>2480</v>
      </c>
      <c r="E1383" s="432" t="s">
        <v>2406</v>
      </c>
      <c r="F1383" s="432"/>
      <c r="G1383" s="432"/>
      <c r="H1383" s="432"/>
      <c r="I1383" s="427" t="s">
        <v>1498</v>
      </c>
      <c r="J1383" s="433"/>
      <c r="K1383" s="434" t="s">
        <v>3778</v>
      </c>
      <c r="L1383" s="432" t="s">
        <v>2509</v>
      </c>
      <c r="M1383" s="435">
        <v>44568</v>
      </c>
      <c r="N1383" s="435">
        <v>44806</v>
      </c>
      <c r="O1383" s="435"/>
      <c r="P1383" s="433"/>
      <c r="Q1383" s="433"/>
      <c r="R1383" s="433"/>
      <c r="S1383" s="432" t="s">
        <v>1940</v>
      </c>
      <c r="T1383" s="432">
        <v>60</v>
      </c>
      <c r="U1383" s="432"/>
      <c r="V1383" s="432" t="s">
        <v>986</v>
      </c>
      <c r="W1383" s="432">
        <v>360</v>
      </c>
      <c r="X1383" s="436">
        <v>640</v>
      </c>
      <c r="Y1383" s="422">
        <f t="shared" si="166"/>
        <v>230400</v>
      </c>
      <c r="Z1383" s="437">
        <v>0.505</v>
      </c>
      <c r="AA1383" s="423">
        <f t="shared" si="167"/>
        <v>116352</v>
      </c>
      <c r="AB1383" s="411"/>
      <c r="AC1383" s="412">
        <f t="shared" si="168"/>
        <v>0</v>
      </c>
      <c r="AD1383" s="439"/>
      <c r="AE1383" s="438"/>
      <c r="AF1383" s="424">
        <f t="shared" si="169"/>
        <v>116352</v>
      </c>
      <c r="AG1383" s="432" t="s">
        <v>1069</v>
      </c>
      <c r="AH1383" s="432"/>
      <c r="AI1383" s="434">
        <v>60</v>
      </c>
      <c r="AJ1383" s="432" t="s">
        <v>1454</v>
      </c>
      <c r="AK1383" s="440" t="s">
        <v>1136</v>
      </c>
      <c r="AL1383" s="432">
        <v>78744</v>
      </c>
      <c r="AM1383" s="432" t="s">
        <v>52</v>
      </c>
      <c r="AN1383" s="432"/>
      <c r="AO1383" s="432"/>
      <c r="AP1383" s="441"/>
      <c r="AQ1383" s="441" t="s">
        <v>37</v>
      </c>
      <c r="AR1383" s="441"/>
      <c r="AS1383" s="426" t="s">
        <v>1142</v>
      </c>
      <c r="AT1383" s="426" t="s">
        <v>1073</v>
      </c>
      <c r="AU1383" s="426" t="s">
        <v>1073</v>
      </c>
      <c r="AV1383" s="437">
        <v>0.505</v>
      </c>
    </row>
    <row r="1384" spans="1:48" s="402" customFormat="1" ht="15" customHeight="1">
      <c r="A1384" s="403"/>
      <c r="B1384" s="445">
        <v>44568</v>
      </c>
      <c r="C1384" s="403"/>
      <c r="D1384" s="443" t="s">
        <v>2480</v>
      </c>
      <c r="E1384" s="432" t="s">
        <v>2406</v>
      </c>
      <c r="F1384" s="432"/>
      <c r="G1384" s="432"/>
      <c r="H1384" s="432"/>
      <c r="I1384" s="427" t="s">
        <v>1498</v>
      </c>
      <c r="J1384" s="433"/>
      <c r="K1384" s="434" t="s">
        <v>3779</v>
      </c>
      <c r="L1384" s="432" t="s">
        <v>2509</v>
      </c>
      <c r="M1384" s="435">
        <v>44568</v>
      </c>
      <c r="N1384" s="435">
        <v>44837</v>
      </c>
      <c r="O1384" s="435"/>
      <c r="P1384" s="433"/>
      <c r="Q1384" s="433"/>
      <c r="R1384" s="433"/>
      <c r="S1384" s="432" t="s">
        <v>1940</v>
      </c>
      <c r="T1384" s="432">
        <v>60</v>
      </c>
      <c r="U1384" s="432"/>
      <c r="V1384" s="432" t="s">
        <v>986</v>
      </c>
      <c r="W1384" s="432">
        <v>360</v>
      </c>
      <c r="X1384" s="436">
        <v>640</v>
      </c>
      <c r="Y1384" s="422">
        <f t="shared" si="166"/>
        <v>230400</v>
      </c>
      <c r="Z1384" s="437">
        <v>0.505</v>
      </c>
      <c r="AA1384" s="423">
        <f t="shared" si="167"/>
        <v>116352</v>
      </c>
      <c r="AB1384" s="411"/>
      <c r="AC1384" s="412">
        <f t="shared" si="168"/>
        <v>0</v>
      </c>
      <c r="AD1384" s="439"/>
      <c r="AE1384" s="438"/>
      <c r="AF1384" s="424">
        <f t="shared" si="169"/>
        <v>116352</v>
      </c>
      <c r="AG1384" s="432" t="s">
        <v>1069</v>
      </c>
      <c r="AH1384" s="432"/>
      <c r="AI1384" s="434">
        <v>60</v>
      </c>
      <c r="AJ1384" s="432" t="s">
        <v>1454</v>
      </c>
      <c r="AK1384" s="440" t="s">
        <v>1136</v>
      </c>
      <c r="AL1384" s="432">
        <v>78744</v>
      </c>
      <c r="AM1384" s="432" t="s">
        <v>52</v>
      </c>
      <c r="AN1384" s="432"/>
      <c r="AO1384" s="432"/>
      <c r="AP1384" s="441"/>
      <c r="AQ1384" s="441" t="s">
        <v>37</v>
      </c>
      <c r="AR1384" s="441"/>
      <c r="AS1384" s="426" t="s">
        <v>1142</v>
      </c>
      <c r="AT1384" s="426" t="s">
        <v>1073</v>
      </c>
      <c r="AU1384" s="426" t="s">
        <v>1073</v>
      </c>
      <c r="AV1384" s="437">
        <v>0.505</v>
      </c>
    </row>
    <row r="1385" spans="1:48" s="402" customFormat="1" ht="15" customHeight="1">
      <c r="A1385" s="403"/>
      <c r="B1385" s="445">
        <v>44568</v>
      </c>
      <c r="C1385" s="403"/>
      <c r="D1385" s="443" t="s">
        <v>2480</v>
      </c>
      <c r="E1385" s="432" t="s">
        <v>2406</v>
      </c>
      <c r="F1385" s="432"/>
      <c r="G1385" s="432"/>
      <c r="H1385" s="432"/>
      <c r="I1385" s="427" t="s">
        <v>1498</v>
      </c>
      <c r="J1385" s="433"/>
      <c r="K1385" s="434" t="s">
        <v>3780</v>
      </c>
      <c r="L1385" s="432" t="s">
        <v>2509</v>
      </c>
      <c r="M1385" s="435">
        <v>44568</v>
      </c>
      <c r="N1385" s="435">
        <v>44897</v>
      </c>
      <c r="O1385" s="435"/>
      <c r="P1385" s="433"/>
      <c r="Q1385" s="433"/>
      <c r="R1385" s="433"/>
      <c r="S1385" s="432" t="s">
        <v>1940</v>
      </c>
      <c r="T1385" s="432">
        <v>60</v>
      </c>
      <c r="U1385" s="432"/>
      <c r="V1385" s="432" t="s">
        <v>986</v>
      </c>
      <c r="W1385" s="432">
        <v>360</v>
      </c>
      <c r="X1385" s="436">
        <v>640</v>
      </c>
      <c r="Y1385" s="422">
        <f t="shared" si="166"/>
        <v>230400</v>
      </c>
      <c r="Z1385" s="437">
        <v>0.505</v>
      </c>
      <c r="AA1385" s="423">
        <f t="shared" si="167"/>
        <v>116352</v>
      </c>
      <c r="AB1385" s="411"/>
      <c r="AC1385" s="412">
        <f t="shared" si="168"/>
        <v>0</v>
      </c>
      <c r="AD1385" s="439"/>
      <c r="AE1385" s="438"/>
      <c r="AF1385" s="424">
        <f t="shared" si="169"/>
        <v>116352</v>
      </c>
      <c r="AG1385" s="432" t="s">
        <v>1069</v>
      </c>
      <c r="AH1385" s="432"/>
      <c r="AI1385" s="434">
        <v>60</v>
      </c>
      <c r="AJ1385" s="432" t="s">
        <v>1454</v>
      </c>
      <c r="AK1385" s="440" t="s">
        <v>1136</v>
      </c>
      <c r="AL1385" s="432">
        <v>78744</v>
      </c>
      <c r="AM1385" s="432" t="s">
        <v>52</v>
      </c>
      <c r="AN1385" s="432"/>
      <c r="AO1385" s="432"/>
      <c r="AP1385" s="441"/>
      <c r="AQ1385" s="441" t="s">
        <v>37</v>
      </c>
      <c r="AR1385" s="441"/>
      <c r="AS1385" s="426" t="s">
        <v>1142</v>
      </c>
      <c r="AT1385" s="426" t="s">
        <v>1073</v>
      </c>
      <c r="AU1385" s="426" t="s">
        <v>1073</v>
      </c>
      <c r="AV1385" s="437">
        <v>0.505</v>
      </c>
    </row>
    <row r="1386" spans="1:48" s="402" customFormat="1" ht="15" customHeight="1">
      <c r="A1386" s="403"/>
      <c r="B1386" s="445">
        <v>44568</v>
      </c>
      <c r="C1386" s="403"/>
      <c r="D1386" s="443" t="s">
        <v>2480</v>
      </c>
      <c r="E1386" s="432" t="s">
        <v>2406</v>
      </c>
      <c r="F1386" s="432"/>
      <c r="G1386" s="432"/>
      <c r="H1386" s="432"/>
      <c r="I1386" s="427" t="s">
        <v>1498</v>
      </c>
      <c r="J1386" s="433"/>
      <c r="K1386" s="434" t="s">
        <v>3781</v>
      </c>
      <c r="L1386" s="432" t="s">
        <v>2509</v>
      </c>
      <c r="M1386" s="435">
        <v>44568</v>
      </c>
      <c r="N1386" s="435">
        <v>44869</v>
      </c>
      <c r="O1386" s="435"/>
      <c r="P1386" s="433"/>
      <c r="Q1386" s="433"/>
      <c r="R1386" s="433"/>
      <c r="S1386" s="432" t="s">
        <v>1940</v>
      </c>
      <c r="T1386" s="432">
        <v>60</v>
      </c>
      <c r="U1386" s="432"/>
      <c r="V1386" s="432" t="s">
        <v>986</v>
      </c>
      <c r="W1386" s="432">
        <v>360</v>
      </c>
      <c r="X1386" s="436">
        <v>640</v>
      </c>
      <c r="Y1386" s="422">
        <f t="shared" si="166"/>
        <v>230400</v>
      </c>
      <c r="Z1386" s="437">
        <v>0.505</v>
      </c>
      <c r="AA1386" s="423">
        <f t="shared" si="167"/>
        <v>116352</v>
      </c>
      <c r="AB1386" s="411"/>
      <c r="AC1386" s="412">
        <f t="shared" si="168"/>
        <v>0</v>
      </c>
      <c r="AD1386" s="439"/>
      <c r="AE1386" s="438"/>
      <c r="AF1386" s="424">
        <f t="shared" si="169"/>
        <v>116352</v>
      </c>
      <c r="AG1386" s="432" t="s">
        <v>1069</v>
      </c>
      <c r="AH1386" s="432"/>
      <c r="AI1386" s="434">
        <v>60</v>
      </c>
      <c r="AJ1386" s="432" t="s">
        <v>1454</v>
      </c>
      <c r="AK1386" s="440" t="s">
        <v>1136</v>
      </c>
      <c r="AL1386" s="432">
        <v>78744</v>
      </c>
      <c r="AM1386" s="432" t="s">
        <v>52</v>
      </c>
      <c r="AN1386" s="432"/>
      <c r="AO1386" s="432"/>
      <c r="AP1386" s="441"/>
      <c r="AQ1386" s="441" t="s">
        <v>37</v>
      </c>
      <c r="AR1386" s="441"/>
      <c r="AS1386" s="426" t="s">
        <v>1142</v>
      </c>
      <c r="AT1386" s="426" t="s">
        <v>1073</v>
      </c>
      <c r="AU1386" s="426" t="s">
        <v>1073</v>
      </c>
      <c r="AV1386" s="437">
        <v>0.505</v>
      </c>
    </row>
    <row r="1387" spans="1:48" s="402" customFormat="1" ht="15" customHeight="1">
      <c r="A1387" s="403"/>
      <c r="B1387" s="445">
        <v>44595</v>
      </c>
      <c r="C1387" s="445"/>
      <c r="D1387" s="443" t="s">
        <v>2480</v>
      </c>
      <c r="E1387" s="432" t="s">
        <v>2406</v>
      </c>
      <c r="F1387" s="432"/>
      <c r="G1387" s="432"/>
      <c r="H1387" s="432"/>
      <c r="I1387" s="432" t="s">
        <v>1498</v>
      </c>
      <c r="J1387" s="444"/>
      <c r="K1387" s="432" t="s">
        <v>3782</v>
      </c>
      <c r="L1387" s="432" t="s">
        <v>2506</v>
      </c>
      <c r="M1387" s="435">
        <v>44593</v>
      </c>
      <c r="N1387" s="435">
        <v>44743</v>
      </c>
      <c r="O1387" s="435"/>
      <c r="P1387" s="433"/>
      <c r="Q1387" s="433"/>
      <c r="R1387" s="433"/>
      <c r="S1387" s="432" t="s">
        <v>1940</v>
      </c>
      <c r="T1387" s="432">
        <v>60</v>
      </c>
      <c r="U1387" s="432"/>
      <c r="V1387" s="432" t="s">
        <v>986</v>
      </c>
      <c r="W1387" s="432">
        <v>360</v>
      </c>
      <c r="X1387" s="436">
        <v>320</v>
      </c>
      <c r="Y1387" s="422">
        <f t="shared" si="166"/>
        <v>115200</v>
      </c>
      <c r="Z1387" s="409">
        <v>0.505</v>
      </c>
      <c r="AA1387" s="423">
        <f t="shared" si="167"/>
        <v>58176</v>
      </c>
      <c r="AB1387" s="411"/>
      <c r="AC1387" s="412">
        <f t="shared" si="168"/>
        <v>0</v>
      </c>
      <c r="AD1387" s="421"/>
      <c r="AE1387" s="413"/>
      <c r="AF1387" s="424">
        <f t="shared" si="169"/>
        <v>58176</v>
      </c>
      <c r="AG1387" s="405" t="s">
        <v>1069</v>
      </c>
      <c r="AH1387" s="405"/>
      <c r="AI1387" s="414">
        <v>60</v>
      </c>
      <c r="AJ1387" s="405" t="s">
        <v>1323</v>
      </c>
      <c r="AK1387" s="425" t="s">
        <v>1136</v>
      </c>
      <c r="AL1387" s="405">
        <v>77092</v>
      </c>
      <c r="AM1387" s="405" t="s">
        <v>52</v>
      </c>
      <c r="AN1387" s="405"/>
      <c r="AO1387" s="405"/>
      <c r="AP1387" s="417"/>
      <c r="AQ1387" s="417" t="s">
        <v>37</v>
      </c>
      <c r="AR1387" s="417"/>
      <c r="AS1387" s="426"/>
      <c r="AT1387" s="426"/>
      <c r="AU1387" s="426"/>
      <c r="AV1387" s="409">
        <v>0.80577777777000004</v>
      </c>
    </row>
    <row r="1388" spans="1:48" s="402" customFormat="1" ht="15" customHeight="1">
      <c r="A1388" s="403"/>
      <c r="B1388" s="445">
        <v>44595</v>
      </c>
      <c r="C1388" s="445"/>
      <c r="D1388" s="443" t="s">
        <v>2480</v>
      </c>
      <c r="E1388" s="432" t="s">
        <v>2406</v>
      </c>
      <c r="F1388" s="432"/>
      <c r="G1388" s="432"/>
      <c r="H1388" s="432"/>
      <c r="I1388" s="432" t="s">
        <v>1498</v>
      </c>
      <c r="J1388" s="444"/>
      <c r="K1388" s="432" t="s">
        <v>3783</v>
      </c>
      <c r="L1388" s="432" t="s">
        <v>2506</v>
      </c>
      <c r="M1388" s="435">
        <v>44593</v>
      </c>
      <c r="N1388" s="435">
        <v>44778</v>
      </c>
      <c r="O1388" s="435"/>
      <c r="P1388" s="433"/>
      <c r="Q1388" s="433"/>
      <c r="R1388" s="433"/>
      <c r="S1388" s="432" t="s">
        <v>1940</v>
      </c>
      <c r="T1388" s="432">
        <v>60</v>
      </c>
      <c r="U1388" s="432"/>
      <c r="V1388" s="432" t="s">
        <v>986</v>
      </c>
      <c r="W1388" s="432">
        <v>360</v>
      </c>
      <c r="X1388" s="436">
        <v>320</v>
      </c>
      <c r="Y1388" s="422">
        <f t="shared" si="166"/>
        <v>115200</v>
      </c>
      <c r="Z1388" s="409">
        <v>0.505</v>
      </c>
      <c r="AA1388" s="423">
        <f t="shared" si="167"/>
        <v>58176</v>
      </c>
      <c r="AB1388" s="411"/>
      <c r="AC1388" s="412">
        <f t="shared" si="168"/>
        <v>0</v>
      </c>
      <c r="AD1388" s="421"/>
      <c r="AE1388" s="413"/>
      <c r="AF1388" s="424">
        <f t="shared" si="169"/>
        <v>58176</v>
      </c>
      <c r="AG1388" s="405" t="s">
        <v>1069</v>
      </c>
      <c r="AH1388" s="405"/>
      <c r="AI1388" s="414">
        <v>60</v>
      </c>
      <c r="AJ1388" s="405" t="s">
        <v>1323</v>
      </c>
      <c r="AK1388" s="425" t="s">
        <v>1136</v>
      </c>
      <c r="AL1388" s="405">
        <v>77092</v>
      </c>
      <c r="AM1388" s="405" t="s">
        <v>52</v>
      </c>
      <c r="AN1388" s="405"/>
      <c r="AO1388" s="405"/>
      <c r="AP1388" s="417"/>
      <c r="AQ1388" s="417" t="s">
        <v>37</v>
      </c>
      <c r="AR1388" s="417"/>
      <c r="AS1388" s="426"/>
      <c r="AT1388" s="426"/>
      <c r="AU1388" s="426"/>
      <c r="AV1388" s="409">
        <v>0.80577777777000004</v>
      </c>
    </row>
    <row r="1389" spans="1:48" s="402" customFormat="1" ht="15" customHeight="1">
      <c r="A1389" s="403"/>
      <c r="B1389" s="445">
        <v>44595</v>
      </c>
      <c r="C1389" s="445"/>
      <c r="D1389" s="443" t="s">
        <v>2480</v>
      </c>
      <c r="E1389" s="432" t="s">
        <v>2406</v>
      </c>
      <c r="F1389" s="432"/>
      <c r="G1389" s="432"/>
      <c r="H1389" s="432"/>
      <c r="I1389" s="432" t="s">
        <v>1498</v>
      </c>
      <c r="J1389" s="444"/>
      <c r="K1389" s="432" t="s">
        <v>3784</v>
      </c>
      <c r="L1389" s="432" t="s">
        <v>2506</v>
      </c>
      <c r="M1389" s="435">
        <v>44593</v>
      </c>
      <c r="N1389" s="435">
        <v>44806</v>
      </c>
      <c r="O1389" s="435"/>
      <c r="P1389" s="433"/>
      <c r="Q1389" s="433"/>
      <c r="R1389" s="433"/>
      <c r="S1389" s="432" t="s">
        <v>1940</v>
      </c>
      <c r="T1389" s="432">
        <v>60</v>
      </c>
      <c r="U1389" s="432"/>
      <c r="V1389" s="432" t="s">
        <v>986</v>
      </c>
      <c r="W1389" s="432">
        <v>360</v>
      </c>
      <c r="X1389" s="436">
        <v>320</v>
      </c>
      <c r="Y1389" s="422">
        <f t="shared" si="166"/>
        <v>115200</v>
      </c>
      <c r="Z1389" s="409">
        <v>0.505</v>
      </c>
      <c r="AA1389" s="423">
        <f t="shared" si="167"/>
        <v>58176</v>
      </c>
      <c r="AB1389" s="411"/>
      <c r="AC1389" s="412">
        <f t="shared" si="168"/>
        <v>0</v>
      </c>
      <c r="AD1389" s="421"/>
      <c r="AE1389" s="413"/>
      <c r="AF1389" s="424">
        <f t="shared" si="169"/>
        <v>58176</v>
      </c>
      <c r="AG1389" s="405" t="s">
        <v>1069</v>
      </c>
      <c r="AH1389" s="405"/>
      <c r="AI1389" s="414">
        <v>60</v>
      </c>
      <c r="AJ1389" s="405" t="s">
        <v>1323</v>
      </c>
      <c r="AK1389" s="425" t="s">
        <v>1136</v>
      </c>
      <c r="AL1389" s="405">
        <v>77092</v>
      </c>
      <c r="AM1389" s="405" t="s">
        <v>52</v>
      </c>
      <c r="AN1389" s="405"/>
      <c r="AO1389" s="405"/>
      <c r="AP1389" s="417"/>
      <c r="AQ1389" s="417" t="s">
        <v>37</v>
      </c>
      <c r="AR1389" s="417"/>
      <c r="AS1389" s="426"/>
      <c r="AT1389" s="426"/>
      <c r="AU1389" s="426"/>
      <c r="AV1389" s="409">
        <v>0.80577777777000004</v>
      </c>
    </row>
    <row r="1390" spans="1:48" s="402" customFormat="1" ht="15" customHeight="1">
      <c r="A1390" s="403"/>
      <c r="B1390" s="445">
        <v>44595</v>
      </c>
      <c r="C1390" s="445"/>
      <c r="D1390" s="443" t="s">
        <v>2480</v>
      </c>
      <c r="E1390" s="432" t="s">
        <v>2406</v>
      </c>
      <c r="F1390" s="432"/>
      <c r="G1390" s="432"/>
      <c r="H1390" s="432"/>
      <c r="I1390" s="432" t="s">
        <v>1498</v>
      </c>
      <c r="J1390" s="444"/>
      <c r="K1390" s="432" t="s">
        <v>3785</v>
      </c>
      <c r="L1390" s="432" t="s">
        <v>2506</v>
      </c>
      <c r="M1390" s="435">
        <v>44593</v>
      </c>
      <c r="N1390" s="435">
        <v>44743</v>
      </c>
      <c r="O1390" s="435"/>
      <c r="P1390" s="433"/>
      <c r="Q1390" s="433"/>
      <c r="R1390" s="433"/>
      <c r="S1390" s="432" t="s">
        <v>1940</v>
      </c>
      <c r="T1390" s="432">
        <v>60</v>
      </c>
      <c r="U1390" s="432"/>
      <c r="V1390" s="432" t="s">
        <v>986</v>
      </c>
      <c r="W1390" s="432">
        <v>360</v>
      </c>
      <c r="X1390" s="436">
        <v>320</v>
      </c>
      <c r="Y1390" s="422">
        <f t="shared" si="166"/>
        <v>115200</v>
      </c>
      <c r="Z1390" s="409">
        <v>0.505</v>
      </c>
      <c r="AA1390" s="423">
        <f t="shared" si="167"/>
        <v>58176</v>
      </c>
      <c r="AB1390" s="411"/>
      <c r="AC1390" s="412">
        <f t="shared" si="168"/>
        <v>0</v>
      </c>
      <c r="AD1390" s="421"/>
      <c r="AE1390" s="413"/>
      <c r="AF1390" s="424">
        <f t="shared" si="169"/>
        <v>58176</v>
      </c>
      <c r="AG1390" s="405" t="s">
        <v>1069</v>
      </c>
      <c r="AH1390" s="405"/>
      <c r="AI1390" s="414">
        <v>60</v>
      </c>
      <c r="AJ1390" s="405" t="s">
        <v>2659</v>
      </c>
      <c r="AK1390" s="425" t="s">
        <v>2660</v>
      </c>
      <c r="AL1390" s="405">
        <v>70087</v>
      </c>
      <c r="AM1390" s="405" t="s">
        <v>52</v>
      </c>
      <c r="AN1390" s="405"/>
      <c r="AO1390" s="405"/>
      <c r="AP1390" s="417"/>
      <c r="AQ1390" s="417" t="s">
        <v>37</v>
      </c>
      <c r="AR1390" s="417"/>
      <c r="AS1390" s="426"/>
      <c r="AT1390" s="426"/>
      <c r="AU1390" s="426"/>
      <c r="AV1390" s="409">
        <v>0.80577777777000004</v>
      </c>
    </row>
    <row r="1391" spans="1:48" s="402" customFormat="1" ht="15" customHeight="1">
      <c r="A1391" s="403"/>
      <c r="B1391" s="445">
        <v>44595</v>
      </c>
      <c r="C1391" s="445"/>
      <c r="D1391" s="443" t="s">
        <v>2480</v>
      </c>
      <c r="E1391" s="432" t="s">
        <v>2406</v>
      </c>
      <c r="F1391" s="432"/>
      <c r="G1391" s="432"/>
      <c r="H1391" s="432"/>
      <c r="I1391" s="432" t="s">
        <v>1498</v>
      </c>
      <c r="J1391" s="444"/>
      <c r="K1391" s="432" t="s">
        <v>3786</v>
      </c>
      <c r="L1391" s="432" t="s">
        <v>2506</v>
      </c>
      <c r="M1391" s="435">
        <v>44593</v>
      </c>
      <c r="N1391" s="435">
        <v>44778</v>
      </c>
      <c r="O1391" s="435"/>
      <c r="P1391" s="433"/>
      <c r="Q1391" s="433"/>
      <c r="R1391" s="433"/>
      <c r="S1391" s="432" t="s">
        <v>1940</v>
      </c>
      <c r="T1391" s="432">
        <v>60</v>
      </c>
      <c r="U1391" s="432"/>
      <c r="V1391" s="432" t="s">
        <v>986</v>
      </c>
      <c r="W1391" s="432">
        <v>360</v>
      </c>
      <c r="X1391" s="436">
        <v>320</v>
      </c>
      <c r="Y1391" s="422">
        <f t="shared" si="166"/>
        <v>115200</v>
      </c>
      <c r="Z1391" s="409">
        <v>0.505</v>
      </c>
      <c r="AA1391" s="423">
        <f t="shared" si="167"/>
        <v>58176</v>
      </c>
      <c r="AB1391" s="411"/>
      <c r="AC1391" s="412">
        <f t="shared" si="168"/>
        <v>0</v>
      </c>
      <c r="AD1391" s="421"/>
      <c r="AE1391" s="413"/>
      <c r="AF1391" s="424">
        <f t="shared" si="169"/>
        <v>58176</v>
      </c>
      <c r="AG1391" s="405" t="s">
        <v>1069</v>
      </c>
      <c r="AH1391" s="405"/>
      <c r="AI1391" s="414">
        <v>60</v>
      </c>
      <c r="AJ1391" s="405" t="s">
        <v>2659</v>
      </c>
      <c r="AK1391" s="425" t="s">
        <v>2660</v>
      </c>
      <c r="AL1391" s="405">
        <v>70087</v>
      </c>
      <c r="AM1391" s="405" t="s">
        <v>52</v>
      </c>
      <c r="AN1391" s="405"/>
      <c r="AO1391" s="405"/>
      <c r="AP1391" s="417"/>
      <c r="AQ1391" s="417" t="s">
        <v>37</v>
      </c>
      <c r="AR1391" s="417"/>
      <c r="AS1391" s="426"/>
      <c r="AT1391" s="426"/>
      <c r="AU1391" s="426"/>
      <c r="AV1391" s="409">
        <v>0.80577777777000004</v>
      </c>
    </row>
    <row r="1392" spans="1:48" s="402" customFormat="1" ht="15" customHeight="1">
      <c r="A1392" s="403"/>
      <c r="B1392" s="445">
        <v>44595</v>
      </c>
      <c r="C1392" s="445"/>
      <c r="D1392" s="443" t="s">
        <v>2480</v>
      </c>
      <c r="E1392" s="432" t="s">
        <v>2406</v>
      </c>
      <c r="F1392" s="432"/>
      <c r="G1392" s="432"/>
      <c r="H1392" s="432"/>
      <c r="I1392" s="432" t="s">
        <v>1498</v>
      </c>
      <c r="J1392" s="444"/>
      <c r="K1392" s="432" t="s">
        <v>3787</v>
      </c>
      <c r="L1392" s="432" t="s">
        <v>2506</v>
      </c>
      <c r="M1392" s="435">
        <v>44593</v>
      </c>
      <c r="N1392" s="435">
        <v>44806</v>
      </c>
      <c r="O1392" s="435"/>
      <c r="P1392" s="433"/>
      <c r="Q1392" s="433"/>
      <c r="R1392" s="433"/>
      <c r="S1392" s="432" t="s">
        <v>1940</v>
      </c>
      <c r="T1392" s="432">
        <v>60</v>
      </c>
      <c r="U1392" s="432"/>
      <c r="V1392" s="432" t="s">
        <v>986</v>
      </c>
      <c r="W1392" s="432">
        <v>360</v>
      </c>
      <c r="X1392" s="436">
        <v>320</v>
      </c>
      <c r="Y1392" s="422">
        <f t="shared" si="166"/>
        <v>115200</v>
      </c>
      <c r="Z1392" s="409">
        <v>0.505</v>
      </c>
      <c r="AA1392" s="423">
        <f t="shared" si="167"/>
        <v>58176</v>
      </c>
      <c r="AB1392" s="411"/>
      <c r="AC1392" s="412">
        <f t="shared" si="168"/>
        <v>0</v>
      </c>
      <c r="AD1392" s="421"/>
      <c r="AE1392" s="413"/>
      <c r="AF1392" s="424">
        <f t="shared" si="169"/>
        <v>58176</v>
      </c>
      <c r="AG1392" s="405" t="s">
        <v>1069</v>
      </c>
      <c r="AH1392" s="405"/>
      <c r="AI1392" s="414">
        <v>60</v>
      </c>
      <c r="AJ1392" s="405" t="s">
        <v>2659</v>
      </c>
      <c r="AK1392" s="425" t="s">
        <v>2660</v>
      </c>
      <c r="AL1392" s="405">
        <v>70087</v>
      </c>
      <c r="AM1392" s="405" t="s">
        <v>52</v>
      </c>
      <c r="AN1392" s="405"/>
      <c r="AO1392" s="405"/>
      <c r="AP1392" s="417"/>
      <c r="AQ1392" s="417" t="s">
        <v>37</v>
      </c>
      <c r="AR1392" s="417"/>
      <c r="AS1392" s="426"/>
      <c r="AT1392" s="426"/>
      <c r="AU1392" s="426"/>
      <c r="AV1392" s="409">
        <v>0.80577777777000004</v>
      </c>
    </row>
    <row r="1393" spans="1:48" s="402" customFormat="1" ht="15" customHeight="1">
      <c r="A1393" s="403"/>
      <c r="B1393" s="403"/>
      <c r="C1393" s="403"/>
      <c r="D1393" s="443" t="s">
        <v>2480</v>
      </c>
      <c r="E1393" s="432" t="s">
        <v>2544</v>
      </c>
      <c r="F1393" s="432"/>
      <c r="G1393" s="432"/>
      <c r="H1393" s="432"/>
      <c r="I1393" s="432" t="s">
        <v>1498</v>
      </c>
      <c r="J1393" s="444"/>
      <c r="K1393" s="434" t="s">
        <v>3788</v>
      </c>
      <c r="L1393" s="432" t="s">
        <v>2549</v>
      </c>
      <c r="M1393" s="435">
        <v>44594</v>
      </c>
      <c r="N1393" s="435">
        <v>44655</v>
      </c>
      <c r="O1393" s="435"/>
      <c r="P1393" s="433"/>
      <c r="Q1393" s="433"/>
      <c r="R1393" s="433"/>
      <c r="S1393" s="432" t="s">
        <v>1443</v>
      </c>
      <c r="T1393" s="432">
        <v>60</v>
      </c>
      <c r="U1393" s="432"/>
      <c r="V1393" s="432" t="s">
        <v>986</v>
      </c>
      <c r="W1393" s="432">
        <v>360</v>
      </c>
      <c r="X1393" s="436">
        <v>3584</v>
      </c>
      <c r="Y1393" s="422">
        <f t="shared" si="166"/>
        <v>1290240</v>
      </c>
      <c r="Z1393" s="409">
        <v>0.505</v>
      </c>
      <c r="AA1393" s="423">
        <f t="shared" si="167"/>
        <v>651571.19999999995</v>
      </c>
      <c r="AB1393" s="411"/>
      <c r="AC1393" s="412">
        <f t="shared" si="168"/>
        <v>0</v>
      </c>
      <c r="AD1393" s="421"/>
      <c r="AE1393" s="413"/>
      <c r="AF1393" s="424">
        <f t="shared" si="169"/>
        <v>651571.19999999995</v>
      </c>
      <c r="AG1393" s="405" t="s">
        <v>1069</v>
      </c>
      <c r="AH1393" s="405"/>
      <c r="AI1393" s="414">
        <v>60</v>
      </c>
      <c r="AJ1393" s="405" t="s">
        <v>2510</v>
      </c>
      <c r="AK1393" s="425" t="s">
        <v>50</v>
      </c>
      <c r="AL1393" s="405">
        <v>92841</v>
      </c>
      <c r="AM1393" s="405" t="s">
        <v>52</v>
      </c>
      <c r="AN1393" s="405"/>
      <c r="AO1393" s="405"/>
      <c r="AP1393" s="417"/>
      <c r="AQ1393" s="417" t="s">
        <v>37</v>
      </c>
      <c r="AR1393" s="417"/>
      <c r="AS1393" s="426"/>
      <c r="AT1393" s="426"/>
      <c r="AU1393" s="426"/>
      <c r="AV1393" s="409">
        <v>0.80577777777000004</v>
      </c>
    </row>
    <row r="1394" spans="1:48" s="402" customFormat="1" ht="15" customHeight="1">
      <c r="A1394" s="403"/>
      <c r="B1394" s="403"/>
      <c r="C1394" s="403"/>
      <c r="D1394" s="443" t="s">
        <v>2480</v>
      </c>
      <c r="E1394" s="432" t="s">
        <v>2544</v>
      </c>
      <c r="F1394" s="432"/>
      <c r="G1394" s="432"/>
      <c r="H1394" s="451">
        <v>12</v>
      </c>
      <c r="I1394" s="432" t="s">
        <v>1498</v>
      </c>
      <c r="J1394" s="444"/>
      <c r="K1394" s="434" t="s">
        <v>3788</v>
      </c>
      <c r="L1394" s="432" t="s">
        <v>2549</v>
      </c>
      <c r="M1394" s="435">
        <v>44594</v>
      </c>
      <c r="N1394" s="435">
        <v>44655</v>
      </c>
      <c r="O1394" s="435"/>
      <c r="P1394" s="433"/>
      <c r="Q1394" s="433"/>
      <c r="R1394" s="433"/>
      <c r="S1394" s="432" t="s">
        <v>1443</v>
      </c>
      <c r="T1394" s="432">
        <v>60</v>
      </c>
      <c r="U1394" s="432"/>
      <c r="V1394" s="432" t="s">
        <v>973</v>
      </c>
      <c r="W1394" s="432">
        <v>400</v>
      </c>
      <c r="X1394" s="436">
        <v>768</v>
      </c>
      <c r="Y1394" s="422">
        <f t="shared" ref="Y1394:Y1457" si="171">X1394*W1394</f>
        <v>307200</v>
      </c>
      <c r="Z1394" s="409">
        <v>0.52500000000000002</v>
      </c>
      <c r="AA1394" s="423">
        <f t="shared" ref="AA1394:AA1457" si="172">Z1394*Y1394</f>
        <v>161280</v>
      </c>
      <c r="AB1394" s="411"/>
      <c r="AC1394" s="412">
        <f t="shared" ref="AC1394:AC1457" si="173">AB1394*Y1394</f>
        <v>0</v>
      </c>
      <c r="AD1394" s="421"/>
      <c r="AE1394" s="413"/>
      <c r="AF1394" s="424">
        <f t="shared" ref="AF1394:AF1457" si="174">AE1394+AD1394+AA1394</f>
        <v>161280</v>
      </c>
      <c r="AG1394" s="405" t="s">
        <v>1069</v>
      </c>
      <c r="AH1394" s="405"/>
      <c r="AI1394" s="414">
        <v>60</v>
      </c>
      <c r="AJ1394" s="405" t="s">
        <v>2510</v>
      </c>
      <c r="AK1394" s="425" t="s">
        <v>50</v>
      </c>
      <c r="AL1394" s="405">
        <v>92841</v>
      </c>
      <c r="AM1394" s="405" t="s">
        <v>52</v>
      </c>
      <c r="AN1394" s="405"/>
      <c r="AO1394" s="405"/>
      <c r="AP1394" s="417"/>
      <c r="AQ1394" s="417" t="s">
        <v>37</v>
      </c>
      <c r="AR1394" s="417"/>
      <c r="AS1394" s="426"/>
      <c r="AT1394" s="426"/>
      <c r="AU1394" s="426"/>
      <c r="AV1394" s="409">
        <v>0.80577777777000004</v>
      </c>
    </row>
    <row r="1395" spans="1:48" s="402" customFormat="1" ht="15" customHeight="1">
      <c r="A1395" s="403"/>
      <c r="B1395" s="403"/>
      <c r="C1395" s="403"/>
      <c r="D1395" s="443" t="s">
        <v>2480</v>
      </c>
      <c r="E1395" s="432" t="s">
        <v>2544</v>
      </c>
      <c r="F1395" s="432"/>
      <c r="G1395" s="432"/>
      <c r="H1395" s="432"/>
      <c r="I1395" s="432" t="s">
        <v>1498</v>
      </c>
      <c r="J1395" s="444"/>
      <c r="K1395" s="434" t="s">
        <v>3789</v>
      </c>
      <c r="L1395" s="432" t="s">
        <v>2549</v>
      </c>
      <c r="M1395" s="435">
        <v>44594</v>
      </c>
      <c r="N1395" s="435">
        <v>44690</v>
      </c>
      <c r="O1395" s="435"/>
      <c r="P1395" s="433"/>
      <c r="Q1395" s="433"/>
      <c r="R1395" s="433"/>
      <c r="S1395" s="432" t="s">
        <v>1443</v>
      </c>
      <c r="T1395" s="432">
        <v>60</v>
      </c>
      <c r="U1395" s="432"/>
      <c r="V1395" s="432" t="s">
        <v>986</v>
      </c>
      <c r="W1395" s="432">
        <v>360</v>
      </c>
      <c r="X1395" s="436">
        <v>2688</v>
      </c>
      <c r="Y1395" s="422">
        <f t="shared" si="171"/>
        <v>967680</v>
      </c>
      <c r="Z1395" s="409">
        <v>0.505</v>
      </c>
      <c r="AA1395" s="423">
        <f t="shared" si="172"/>
        <v>488678.40000000002</v>
      </c>
      <c r="AB1395" s="411"/>
      <c r="AC1395" s="412">
        <f t="shared" si="173"/>
        <v>0</v>
      </c>
      <c r="AD1395" s="421"/>
      <c r="AE1395" s="413"/>
      <c r="AF1395" s="424">
        <f t="shared" si="174"/>
        <v>488678.40000000002</v>
      </c>
      <c r="AG1395" s="405" t="s">
        <v>1069</v>
      </c>
      <c r="AH1395" s="405"/>
      <c r="AI1395" s="414">
        <v>60</v>
      </c>
      <c r="AJ1395" s="405" t="s">
        <v>2510</v>
      </c>
      <c r="AK1395" s="425" t="s">
        <v>50</v>
      </c>
      <c r="AL1395" s="405">
        <v>92841</v>
      </c>
      <c r="AM1395" s="405" t="s">
        <v>52</v>
      </c>
      <c r="AN1395" s="405"/>
      <c r="AO1395" s="405"/>
      <c r="AP1395" s="417"/>
      <c r="AQ1395" s="417" t="s">
        <v>37</v>
      </c>
      <c r="AR1395" s="417"/>
      <c r="AS1395" s="426"/>
      <c r="AT1395" s="426"/>
      <c r="AU1395" s="426"/>
      <c r="AV1395" s="409">
        <v>0.80577777777000004</v>
      </c>
    </row>
    <row r="1396" spans="1:48" s="402" customFormat="1" ht="15" customHeight="1">
      <c r="A1396" s="403"/>
      <c r="B1396" s="403"/>
      <c r="C1396" s="403"/>
      <c r="D1396" s="443" t="s">
        <v>2480</v>
      </c>
      <c r="E1396" s="432" t="s">
        <v>2544</v>
      </c>
      <c r="F1396" s="432"/>
      <c r="G1396" s="432"/>
      <c r="H1396" s="451">
        <v>8</v>
      </c>
      <c r="I1396" s="432" t="s">
        <v>1498</v>
      </c>
      <c r="J1396" s="444"/>
      <c r="K1396" s="434" t="s">
        <v>3789</v>
      </c>
      <c r="L1396" s="432" t="s">
        <v>2549</v>
      </c>
      <c r="M1396" s="435">
        <v>44594</v>
      </c>
      <c r="N1396" s="435">
        <v>44690</v>
      </c>
      <c r="O1396" s="435"/>
      <c r="P1396" s="433"/>
      <c r="Q1396" s="433"/>
      <c r="R1396" s="433"/>
      <c r="S1396" s="432" t="s">
        <v>1443</v>
      </c>
      <c r="T1396" s="432">
        <v>60</v>
      </c>
      <c r="U1396" s="432"/>
      <c r="V1396" s="432" t="s">
        <v>973</v>
      </c>
      <c r="W1396" s="432">
        <v>400</v>
      </c>
      <c r="X1396" s="436">
        <v>768</v>
      </c>
      <c r="Y1396" s="422">
        <f t="shared" si="171"/>
        <v>307200</v>
      </c>
      <c r="Z1396" s="409">
        <v>0.52500000000000002</v>
      </c>
      <c r="AA1396" s="423">
        <f t="shared" si="172"/>
        <v>161280</v>
      </c>
      <c r="AB1396" s="411"/>
      <c r="AC1396" s="412">
        <f t="shared" si="173"/>
        <v>0</v>
      </c>
      <c r="AD1396" s="421"/>
      <c r="AE1396" s="413"/>
      <c r="AF1396" s="424">
        <f t="shared" si="174"/>
        <v>161280</v>
      </c>
      <c r="AG1396" s="405" t="s">
        <v>1069</v>
      </c>
      <c r="AH1396" s="405"/>
      <c r="AI1396" s="414">
        <v>60</v>
      </c>
      <c r="AJ1396" s="405" t="s">
        <v>2510</v>
      </c>
      <c r="AK1396" s="425" t="s">
        <v>50</v>
      </c>
      <c r="AL1396" s="405">
        <v>92841</v>
      </c>
      <c r="AM1396" s="405" t="s">
        <v>52</v>
      </c>
      <c r="AN1396" s="405"/>
      <c r="AO1396" s="405"/>
      <c r="AP1396" s="417"/>
      <c r="AQ1396" s="417" t="s">
        <v>37</v>
      </c>
      <c r="AR1396" s="417"/>
      <c r="AS1396" s="426"/>
      <c r="AT1396" s="426"/>
      <c r="AU1396" s="426"/>
      <c r="AV1396" s="409">
        <v>0.80577777777000004</v>
      </c>
    </row>
    <row r="1397" spans="1:48" s="402" customFormat="1" ht="15" customHeight="1">
      <c r="A1397" s="403"/>
      <c r="B1397" s="403"/>
      <c r="C1397" s="403"/>
      <c r="D1397" s="443" t="s">
        <v>2480</v>
      </c>
      <c r="E1397" s="432" t="s">
        <v>2544</v>
      </c>
      <c r="F1397" s="432"/>
      <c r="G1397" s="432"/>
      <c r="H1397" s="432"/>
      <c r="I1397" s="432" t="s">
        <v>1498</v>
      </c>
      <c r="J1397" s="444"/>
      <c r="K1397" s="434" t="s">
        <v>3790</v>
      </c>
      <c r="L1397" s="432" t="s">
        <v>2549</v>
      </c>
      <c r="M1397" s="435">
        <v>44594</v>
      </c>
      <c r="N1397" s="435">
        <v>44718</v>
      </c>
      <c r="O1397" s="435"/>
      <c r="P1397" s="433"/>
      <c r="Q1397" s="433"/>
      <c r="R1397" s="433"/>
      <c r="S1397" s="432" t="s">
        <v>1443</v>
      </c>
      <c r="T1397" s="432">
        <v>60</v>
      </c>
      <c r="U1397" s="432"/>
      <c r="V1397" s="432" t="s">
        <v>986</v>
      </c>
      <c r="W1397" s="432">
        <v>360</v>
      </c>
      <c r="X1397" s="436">
        <v>2688</v>
      </c>
      <c r="Y1397" s="422">
        <f t="shared" si="171"/>
        <v>967680</v>
      </c>
      <c r="Z1397" s="409">
        <v>0.505</v>
      </c>
      <c r="AA1397" s="423">
        <f t="shared" si="172"/>
        <v>488678.40000000002</v>
      </c>
      <c r="AB1397" s="411"/>
      <c r="AC1397" s="412">
        <f t="shared" si="173"/>
        <v>0</v>
      </c>
      <c r="AD1397" s="421"/>
      <c r="AE1397" s="413"/>
      <c r="AF1397" s="424">
        <f t="shared" si="174"/>
        <v>488678.40000000002</v>
      </c>
      <c r="AG1397" s="405" t="s">
        <v>1069</v>
      </c>
      <c r="AH1397" s="405"/>
      <c r="AI1397" s="414">
        <v>60</v>
      </c>
      <c r="AJ1397" s="405" t="s">
        <v>2510</v>
      </c>
      <c r="AK1397" s="425" t="s">
        <v>50</v>
      </c>
      <c r="AL1397" s="405">
        <v>92841</v>
      </c>
      <c r="AM1397" s="405" t="s">
        <v>52</v>
      </c>
      <c r="AN1397" s="405"/>
      <c r="AO1397" s="405"/>
      <c r="AP1397" s="417"/>
      <c r="AQ1397" s="417" t="s">
        <v>37</v>
      </c>
      <c r="AR1397" s="417"/>
      <c r="AS1397" s="426"/>
      <c r="AT1397" s="426"/>
      <c r="AU1397" s="426"/>
      <c r="AV1397" s="409">
        <v>0.80577777777000004</v>
      </c>
    </row>
    <row r="1398" spans="1:48" s="402" customFormat="1" ht="15" customHeight="1">
      <c r="A1398" s="403"/>
      <c r="B1398" s="403"/>
      <c r="C1398" s="403"/>
      <c r="D1398" s="443" t="s">
        <v>2480</v>
      </c>
      <c r="E1398" s="432" t="s">
        <v>2544</v>
      </c>
      <c r="F1398" s="432"/>
      <c r="G1398" s="432"/>
      <c r="H1398" s="432"/>
      <c r="I1398" s="432" t="s">
        <v>1498</v>
      </c>
      <c r="J1398" s="444"/>
      <c r="K1398" s="434" t="s">
        <v>3790</v>
      </c>
      <c r="L1398" s="432" t="s">
        <v>2549</v>
      </c>
      <c r="M1398" s="435">
        <v>44594</v>
      </c>
      <c r="N1398" s="435">
        <v>44718</v>
      </c>
      <c r="O1398" s="435"/>
      <c r="P1398" s="433"/>
      <c r="Q1398" s="433"/>
      <c r="R1398" s="433"/>
      <c r="S1398" s="432" t="s">
        <v>1443</v>
      </c>
      <c r="T1398" s="432">
        <v>60</v>
      </c>
      <c r="U1398" s="432"/>
      <c r="V1398" s="432" t="s">
        <v>973</v>
      </c>
      <c r="W1398" s="432">
        <v>400</v>
      </c>
      <c r="X1398" s="436">
        <v>768</v>
      </c>
      <c r="Y1398" s="422">
        <f t="shared" si="171"/>
        <v>307200</v>
      </c>
      <c r="Z1398" s="409">
        <v>0.52500000000000002</v>
      </c>
      <c r="AA1398" s="423">
        <f t="shared" si="172"/>
        <v>161280</v>
      </c>
      <c r="AB1398" s="411"/>
      <c r="AC1398" s="412">
        <f t="shared" si="173"/>
        <v>0</v>
      </c>
      <c r="AD1398" s="421"/>
      <c r="AE1398" s="413"/>
      <c r="AF1398" s="424">
        <f t="shared" si="174"/>
        <v>161280</v>
      </c>
      <c r="AG1398" s="405" t="s">
        <v>1069</v>
      </c>
      <c r="AH1398" s="405"/>
      <c r="AI1398" s="414">
        <v>60</v>
      </c>
      <c r="AJ1398" s="405" t="s">
        <v>2510</v>
      </c>
      <c r="AK1398" s="425" t="s">
        <v>50</v>
      </c>
      <c r="AL1398" s="405">
        <v>92841</v>
      </c>
      <c r="AM1398" s="405" t="s">
        <v>52</v>
      </c>
      <c r="AN1398" s="405"/>
      <c r="AO1398" s="405"/>
      <c r="AP1398" s="417"/>
      <c r="AQ1398" s="417" t="s">
        <v>37</v>
      </c>
      <c r="AR1398" s="417"/>
      <c r="AS1398" s="426"/>
      <c r="AT1398" s="426"/>
      <c r="AU1398" s="426"/>
      <c r="AV1398" s="409">
        <v>0.80577777777000004</v>
      </c>
    </row>
    <row r="1399" spans="1:48" s="402" customFormat="1" ht="15" customHeight="1">
      <c r="A1399" s="403"/>
      <c r="B1399" s="403"/>
      <c r="C1399" s="403"/>
      <c r="D1399" s="443" t="s">
        <v>2480</v>
      </c>
      <c r="E1399" s="432" t="s">
        <v>2544</v>
      </c>
      <c r="F1399" s="432"/>
      <c r="G1399" s="432"/>
      <c r="H1399" s="432"/>
      <c r="I1399" s="432" t="s">
        <v>1498</v>
      </c>
      <c r="J1399" s="444"/>
      <c r="K1399" s="434" t="s">
        <v>3793</v>
      </c>
      <c r="L1399" s="432" t="s">
        <v>2549</v>
      </c>
      <c r="M1399" s="435">
        <v>44594</v>
      </c>
      <c r="N1399" s="435">
        <v>44690</v>
      </c>
      <c r="O1399" s="435"/>
      <c r="P1399" s="433"/>
      <c r="Q1399" s="433"/>
      <c r="R1399" s="433"/>
      <c r="S1399" s="432" t="s">
        <v>1443</v>
      </c>
      <c r="T1399" s="432">
        <v>60</v>
      </c>
      <c r="U1399" s="432"/>
      <c r="V1399" s="432" t="s">
        <v>986</v>
      </c>
      <c r="W1399" s="432">
        <v>360</v>
      </c>
      <c r="X1399" s="436">
        <v>2688</v>
      </c>
      <c r="Y1399" s="422">
        <f t="shared" si="171"/>
        <v>967680</v>
      </c>
      <c r="Z1399" s="409">
        <v>0.505</v>
      </c>
      <c r="AA1399" s="423">
        <f t="shared" si="172"/>
        <v>488678.40000000002</v>
      </c>
      <c r="AB1399" s="411"/>
      <c r="AC1399" s="412">
        <f t="shared" si="173"/>
        <v>0</v>
      </c>
      <c r="AD1399" s="421"/>
      <c r="AE1399" s="413"/>
      <c r="AF1399" s="424">
        <f t="shared" si="174"/>
        <v>488678.40000000002</v>
      </c>
      <c r="AG1399" s="405" t="s">
        <v>1069</v>
      </c>
      <c r="AH1399" s="405"/>
      <c r="AI1399" s="414">
        <v>60</v>
      </c>
      <c r="AJ1399" s="405" t="s">
        <v>1448</v>
      </c>
      <c r="AK1399" s="425" t="s">
        <v>50</v>
      </c>
      <c r="AL1399" s="405">
        <v>94544</v>
      </c>
      <c r="AM1399" s="405" t="s">
        <v>52</v>
      </c>
      <c r="AN1399" s="405"/>
      <c r="AO1399" s="405"/>
      <c r="AP1399" s="417"/>
      <c r="AQ1399" s="417" t="s">
        <v>37</v>
      </c>
      <c r="AR1399" s="417"/>
      <c r="AS1399" s="426"/>
      <c r="AT1399" s="426"/>
      <c r="AU1399" s="426"/>
      <c r="AV1399" s="409">
        <v>0.80577777777000004</v>
      </c>
    </row>
    <row r="1400" spans="1:48" s="402" customFormat="1" ht="15" customHeight="1">
      <c r="A1400" s="403"/>
      <c r="B1400" s="403"/>
      <c r="C1400" s="403"/>
      <c r="D1400" s="443" t="s">
        <v>2480</v>
      </c>
      <c r="E1400" s="432" t="s">
        <v>2544</v>
      </c>
      <c r="F1400" s="432"/>
      <c r="G1400" s="432"/>
      <c r="H1400" s="432"/>
      <c r="I1400" s="432" t="s">
        <v>1498</v>
      </c>
      <c r="J1400" s="444"/>
      <c r="K1400" s="434" t="s">
        <v>3793</v>
      </c>
      <c r="L1400" s="432" t="s">
        <v>2549</v>
      </c>
      <c r="M1400" s="435">
        <v>44594</v>
      </c>
      <c r="N1400" s="435">
        <v>44690</v>
      </c>
      <c r="O1400" s="435"/>
      <c r="P1400" s="433"/>
      <c r="Q1400" s="433"/>
      <c r="R1400" s="433"/>
      <c r="S1400" s="432" t="s">
        <v>1443</v>
      </c>
      <c r="T1400" s="432">
        <v>60</v>
      </c>
      <c r="U1400" s="432"/>
      <c r="V1400" s="432" t="s">
        <v>973</v>
      </c>
      <c r="W1400" s="432">
        <v>400</v>
      </c>
      <c r="X1400" s="436">
        <v>768</v>
      </c>
      <c r="Y1400" s="422">
        <f t="shared" si="171"/>
        <v>307200</v>
      </c>
      <c r="Z1400" s="409">
        <v>0.52500000000000002</v>
      </c>
      <c r="AA1400" s="423">
        <f t="shared" si="172"/>
        <v>161280</v>
      </c>
      <c r="AB1400" s="411"/>
      <c r="AC1400" s="412">
        <f t="shared" si="173"/>
        <v>0</v>
      </c>
      <c r="AD1400" s="421"/>
      <c r="AE1400" s="413"/>
      <c r="AF1400" s="424">
        <f t="shared" si="174"/>
        <v>161280</v>
      </c>
      <c r="AG1400" s="405" t="s">
        <v>1069</v>
      </c>
      <c r="AH1400" s="405"/>
      <c r="AI1400" s="414">
        <v>60</v>
      </c>
      <c r="AJ1400" s="405" t="s">
        <v>1448</v>
      </c>
      <c r="AK1400" s="425" t="s">
        <v>50</v>
      </c>
      <c r="AL1400" s="405">
        <v>94544</v>
      </c>
      <c r="AM1400" s="405" t="s">
        <v>52</v>
      </c>
      <c r="AN1400" s="405"/>
      <c r="AO1400" s="405"/>
      <c r="AP1400" s="417"/>
      <c r="AQ1400" s="417" t="s">
        <v>37</v>
      </c>
      <c r="AR1400" s="417"/>
      <c r="AS1400" s="426"/>
      <c r="AT1400" s="426"/>
      <c r="AU1400" s="426"/>
      <c r="AV1400" s="409">
        <v>0.80577777777000004</v>
      </c>
    </row>
    <row r="1401" spans="1:48" s="402" customFormat="1" ht="15" customHeight="1">
      <c r="A1401" s="403"/>
      <c r="B1401" s="403"/>
      <c r="C1401" s="403"/>
      <c r="D1401" s="443" t="s">
        <v>2480</v>
      </c>
      <c r="E1401" s="432" t="s">
        <v>2544</v>
      </c>
      <c r="F1401" s="432"/>
      <c r="G1401" s="432"/>
      <c r="H1401" s="432"/>
      <c r="I1401" s="432" t="s">
        <v>1498</v>
      </c>
      <c r="J1401" s="444"/>
      <c r="K1401" s="434" t="s">
        <v>2721</v>
      </c>
      <c r="L1401" s="432" t="s">
        <v>2549</v>
      </c>
      <c r="M1401" s="435">
        <v>44594</v>
      </c>
      <c r="N1401" s="435">
        <v>44718</v>
      </c>
      <c r="O1401" s="435"/>
      <c r="P1401" s="433"/>
      <c r="Q1401" s="433"/>
      <c r="R1401" s="433"/>
      <c r="S1401" s="432" t="s">
        <v>1443</v>
      </c>
      <c r="T1401" s="432">
        <v>60</v>
      </c>
      <c r="U1401" s="432"/>
      <c r="V1401" s="432" t="s">
        <v>986</v>
      </c>
      <c r="W1401" s="432">
        <v>360</v>
      </c>
      <c r="X1401" s="436">
        <v>2688</v>
      </c>
      <c r="Y1401" s="422">
        <f t="shared" si="171"/>
        <v>967680</v>
      </c>
      <c r="Z1401" s="409">
        <v>0.505</v>
      </c>
      <c r="AA1401" s="423">
        <f t="shared" si="172"/>
        <v>488678.40000000002</v>
      </c>
      <c r="AB1401" s="411"/>
      <c r="AC1401" s="412">
        <f t="shared" si="173"/>
        <v>0</v>
      </c>
      <c r="AD1401" s="421"/>
      <c r="AE1401" s="413"/>
      <c r="AF1401" s="424">
        <f t="shared" si="174"/>
        <v>488678.40000000002</v>
      </c>
      <c r="AG1401" s="405" t="s">
        <v>1069</v>
      </c>
      <c r="AH1401" s="405"/>
      <c r="AI1401" s="414">
        <v>60</v>
      </c>
      <c r="AJ1401" s="405" t="s">
        <v>1448</v>
      </c>
      <c r="AK1401" s="425" t="s">
        <v>50</v>
      </c>
      <c r="AL1401" s="405">
        <v>94544</v>
      </c>
      <c r="AM1401" s="405" t="s">
        <v>52</v>
      </c>
      <c r="AN1401" s="405"/>
      <c r="AO1401" s="405"/>
      <c r="AP1401" s="417"/>
      <c r="AQ1401" s="417" t="s">
        <v>37</v>
      </c>
      <c r="AR1401" s="417"/>
      <c r="AS1401" s="426"/>
      <c r="AT1401" s="426"/>
      <c r="AU1401" s="426"/>
      <c r="AV1401" s="409">
        <v>0.80577777777000004</v>
      </c>
    </row>
    <row r="1402" spans="1:48" s="402" customFormat="1" ht="15" customHeight="1">
      <c r="A1402" s="403"/>
      <c r="B1402" s="445">
        <v>44622</v>
      </c>
      <c r="C1402" s="445"/>
      <c r="D1402" s="443" t="s">
        <v>2480</v>
      </c>
      <c r="E1402" s="432" t="s">
        <v>2544</v>
      </c>
      <c r="F1402" s="432"/>
      <c r="G1402" s="432">
        <v>2022</v>
      </c>
      <c r="H1402" s="432"/>
      <c r="I1402" s="432" t="s">
        <v>1498</v>
      </c>
      <c r="J1402" s="444"/>
      <c r="K1402" s="432" t="s">
        <v>3794</v>
      </c>
      <c r="L1402" s="432" t="s">
        <v>2506</v>
      </c>
      <c r="M1402" s="435">
        <v>44622</v>
      </c>
      <c r="N1402" s="435">
        <v>44743</v>
      </c>
      <c r="O1402" s="435"/>
      <c r="P1402" s="433"/>
      <c r="Q1402" s="433"/>
      <c r="R1402" s="433"/>
      <c r="S1402" s="432" t="s">
        <v>1940</v>
      </c>
      <c r="T1402" s="432">
        <v>60</v>
      </c>
      <c r="U1402" s="432"/>
      <c r="V1402" s="432" t="s">
        <v>973</v>
      </c>
      <c r="W1402" s="432">
        <v>400</v>
      </c>
      <c r="X1402" s="436">
        <v>416</v>
      </c>
      <c r="Y1402" s="422">
        <f t="shared" si="171"/>
        <v>166400</v>
      </c>
      <c r="Z1402" s="409">
        <v>0.53500000000000003</v>
      </c>
      <c r="AA1402" s="423">
        <f t="shared" si="172"/>
        <v>89024</v>
      </c>
      <c r="AB1402" s="411"/>
      <c r="AC1402" s="412">
        <f t="shared" si="173"/>
        <v>0</v>
      </c>
      <c r="AD1402" s="421"/>
      <c r="AE1402" s="413"/>
      <c r="AF1402" s="424">
        <f t="shared" si="174"/>
        <v>89024</v>
      </c>
      <c r="AG1402" s="405" t="s">
        <v>1069</v>
      </c>
      <c r="AH1402" s="405"/>
      <c r="AI1402" s="414">
        <v>60</v>
      </c>
      <c r="AJ1402" s="405" t="s">
        <v>2659</v>
      </c>
      <c r="AK1402" s="425" t="s">
        <v>2660</v>
      </c>
      <c r="AL1402" s="405">
        <v>70087</v>
      </c>
      <c r="AM1402" s="405" t="s">
        <v>52</v>
      </c>
      <c r="AN1402" s="405"/>
      <c r="AO1402" s="405"/>
      <c r="AP1402" s="417"/>
      <c r="AQ1402" s="417" t="s">
        <v>37</v>
      </c>
      <c r="AR1402" s="417" t="s">
        <v>3795</v>
      </c>
      <c r="AS1402" s="426"/>
      <c r="AT1402" s="426"/>
      <c r="AU1402" s="426"/>
      <c r="AV1402" s="409">
        <v>0.80577777777000004</v>
      </c>
    </row>
    <row r="1403" spans="1:48" s="402" customFormat="1" ht="15" customHeight="1">
      <c r="A1403" s="403"/>
      <c r="B1403" s="445">
        <v>44622</v>
      </c>
      <c r="C1403" s="445"/>
      <c r="D1403" s="443" t="s">
        <v>2480</v>
      </c>
      <c r="E1403" s="432" t="s">
        <v>2544</v>
      </c>
      <c r="F1403" s="432"/>
      <c r="G1403" s="432">
        <v>2022</v>
      </c>
      <c r="H1403" s="432"/>
      <c r="I1403" s="432" t="s">
        <v>1498</v>
      </c>
      <c r="J1403" s="444"/>
      <c r="K1403" s="432" t="s">
        <v>3796</v>
      </c>
      <c r="L1403" s="432" t="s">
        <v>2506</v>
      </c>
      <c r="M1403" s="435">
        <v>44622</v>
      </c>
      <c r="N1403" s="435">
        <v>44778</v>
      </c>
      <c r="O1403" s="435"/>
      <c r="P1403" s="433"/>
      <c r="Q1403" s="433"/>
      <c r="R1403" s="433"/>
      <c r="S1403" s="432" t="s">
        <v>1940</v>
      </c>
      <c r="T1403" s="432">
        <v>60</v>
      </c>
      <c r="U1403" s="432"/>
      <c r="V1403" s="432" t="s">
        <v>973</v>
      </c>
      <c r="W1403" s="432">
        <v>400</v>
      </c>
      <c r="X1403" s="436">
        <v>416</v>
      </c>
      <c r="Y1403" s="422">
        <f t="shared" si="171"/>
        <v>166400</v>
      </c>
      <c r="Z1403" s="409">
        <v>0.53500000000000003</v>
      </c>
      <c r="AA1403" s="423">
        <f t="shared" si="172"/>
        <v>89024</v>
      </c>
      <c r="AB1403" s="411"/>
      <c r="AC1403" s="412">
        <f t="shared" si="173"/>
        <v>0</v>
      </c>
      <c r="AD1403" s="421"/>
      <c r="AE1403" s="413"/>
      <c r="AF1403" s="424">
        <f t="shared" si="174"/>
        <v>89024</v>
      </c>
      <c r="AG1403" s="405" t="s">
        <v>1069</v>
      </c>
      <c r="AH1403" s="405"/>
      <c r="AI1403" s="414">
        <v>60</v>
      </c>
      <c r="AJ1403" s="405" t="s">
        <v>2659</v>
      </c>
      <c r="AK1403" s="425" t="s">
        <v>2660</v>
      </c>
      <c r="AL1403" s="405">
        <v>70087</v>
      </c>
      <c r="AM1403" s="405" t="s">
        <v>52</v>
      </c>
      <c r="AN1403" s="405"/>
      <c r="AO1403" s="405"/>
      <c r="AP1403" s="417"/>
      <c r="AQ1403" s="417" t="s">
        <v>37</v>
      </c>
      <c r="AR1403" s="417" t="s">
        <v>3795</v>
      </c>
      <c r="AS1403" s="426"/>
      <c r="AT1403" s="426"/>
      <c r="AU1403" s="426"/>
      <c r="AV1403" s="409">
        <v>0.80577777777000004</v>
      </c>
    </row>
    <row r="1404" spans="1:48" s="402" customFormat="1" ht="15" customHeight="1">
      <c r="A1404" s="403"/>
      <c r="B1404" s="445">
        <v>44622</v>
      </c>
      <c r="C1404" s="445"/>
      <c r="D1404" s="443" t="s">
        <v>2480</v>
      </c>
      <c r="E1404" s="432" t="s">
        <v>2544</v>
      </c>
      <c r="F1404" s="432"/>
      <c r="G1404" s="432">
        <v>2022</v>
      </c>
      <c r="H1404" s="432"/>
      <c r="I1404" s="432" t="s">
        <v>1498</v>
      </c>
      <c r="J1404" s="444"/>
      <c r="K1404" s="432" t="s">
        <v>3797</v>
      </c>
      <c r="L1404" s="432" t="s">
        <v>2506</v>
      </c>
      <c r="M1404" s="435">
        <v>44622</v>
      </c>
      <c r="N1404" s="435">
        <v>44622</v>
      </c>
      <c r="O1404" s="435"/>
      <c r="P1404" s="433"/>
      <c r="Q1404" s="433"/>
      <c r="R1404" s="433"/>
      <c r="S1404" s="432" t="s">
        <v>1940</v>
      </c>
      <c r="T1404" s="432">
        <v>60</v>
      </c>
      <c r="U1404" s="432"/>
      <c r="V1404" s="432" t="s">
        <v>973</v>
      </c>
      <c r="W1404" s="432">
        <v>400</v>
      </c>
      <c r="X1404" s="436">
        <v>416</v>
      </c>
      <c r="Y1404" s="422">
        <f t="shared" si="171"/>
        <v>166400</v>
      </c>
      <c r="Z1404" s="409">
        <v>0.53500000000000003</v>
      </c>
      <c r="AA1404" s="423">
        <f t="shared" si="172"/>
        <v>89024</v>
      </c>
      <c r="AB1404" s="411"/>
      <c r="AC1404" s="412">
        <f t="shared" si="173"/>
        <v>0</v>
      </c>
      <c r="AD1404" s="421"/>
      <c r="AE1404" s="413"/>
      <c r="AF1404" s="424">
        <f t="shared" si="174"/>
        <v>89024</v>
      </c>
      <c r="AG1404" s="405" t="s">
        <v>1069</v>
      </c>
      <c r="AH1404" s="405"/>
      <c r="AI1404" s="414">
        <v>60</v>
      </c>
      <c r="AJ1404" s="405" t="s">
        <v>2659</v>
      </c>
      <c r="AK1404" s="425" t="s">
        <v>2660</v>
      </c>
      <c r="AL1404" s="405">
        <v>70087</v>
      </c>
      <c r="AM1404" s="405" t="s">
        <v>52</v>
      </c>
      <c r="AN1404" s="405"/>
      <c r="AO1404" s="405"/>
      <c r="AP1404" s="417"/>
      <c r="AQ1404" s="417" t="s">
        <v>37</v>
      </c>
      <c r="AR1404" s="417" t="s">
        <v>3795</v>
      </c>
      <c r="AS1404" s="426"/>
      <c r="AT1404" s="426"/>
      <c r="AU1404" s="426"/>
      <c r="AV1404" s="409">
        <v>0.80577777777000004</v>
      </c>
    </row>
    <row r="1405" spans="1:48" s="402" customFormat="1" ht="15" customHeight="1">
      <c r="A1405" s="403"/>
      <c r="B1405" s="445">
        <v>44622</v>
      </c>
      <c r="C1405" s="445"/>
      <c r="D1405" s="443" t="s">
        <v>2480</v>
      </c>
      <c r="E1405" s="432" t="s">
        <v>2544</v>
      </c>
      <c r="F1405" s="432"/>
      <c r="G1405" s="432">
        <v>2022</v>
      </c>
      <c r="H1405" s="432"/>
      <c r="I1405" s="432" t="s">
        <v>1498</v>
      </c>
      <c r="J1405" s="444"/>
      <c r="K1405" s="432" t="s">
        <v>3798</v>
      </c>
      <c r="L1405" s="432" t="s">
        <v>2506</v>
      </c>
      <c r="M1405" s="435">
        <v>44622</v>
      </c>
      <c r="N1405" s="435">
        <v>44837</v>
      </c>
      <c r="O1405" s="435"/>
      <c r="P1405" s="433"/>
      <c r="Q1405" s="433"/>
      <c r="R1405" s="433"/>
      <c r="S1405" s="432" t="s">
        <v>1940</v>
      </c>
      <c r="T1405" s="432">
        <v>60</v>
      </c>
      <c r="U1405" s="432"/>
      <c r="V1405" s="432" t="s">
        <v>973</v>
      </c>
      <c r="W1405" s="432">
        <v>400</v>
      </c>
      <c r="X1405" s="436">
        <v>416</v>
      </c>
      <c r="Y1405" s="422">
        <f t="shared" si="171"/>
        <v>166400</v>
      </c>
      <c r="Z1405" s="409">
        <v>0.53500000000000003</v>
      </c>
      <c r="AA1405" s="423">
        <f t="shared" si="172"/>
        <v>89024</v>
      </c>
      <c r="AB1405" s="411"/>
      <c r="AC1405" s="412">
        <f t="shared" si="173"/>
        <v>0</v>
      </c>
      <c r="AD1405" s="421"/>
      <c r="AE1405" s="413"/>
      <c r="AF1405" s="424">
        <f t="shared" si="174"/>
        <v>89024</v>
      </c>
      <c r="AG1405" s="405" t="s">
        <v>1069</v>
      </c>
      <c r="AH1405" s="405"/>
      <c r="AI1405" s="414">
        <v>60</v>
      </c>
      <c r="AJ1405" s="405" t="s">
        <v>2659</v>
      </c>
      <c r="AK1405" s="425" t="s">
        <v>2660</v>
      </c>
      <c r="AL1405" s="405">
        <v>70087</v>
      </c>
      <c r="AM1405" s="405" t="s">
        <v>52</v>
      </c>
      <c r="AN1405" s="405"/>
      <c r="AO1405" s="405"/>
      <c r="AP1405" s="417"/>
      <c r="AQ1405" s="417" t="s">
        <v>37</v>
      </c>
      <c r="AR1405" s="417" t="s">
        <v>3795</v>
      </c>
      <c r="AS1405" s="426"/>
      <c r="AT1405" s="426"/>
      <c r="AU1405" s="426"/>
      <c r="AV1405" s="409">
        <v>0.80577777777000004</v>
      </c>
    </row>
    <row r="1406" spans="1:48" s="402" customFormat="1" ht="15" customHeight="1">
      <c r="A1406" s="403"/>
      <c r="B1406" s="445">
        <v>44622</v>
      </c>
      <c r="C1406" s="445"/>
      <c r="D1406" s="443" t="s">
        <v>2480</v>
      </c>
      <c r="E1406" s="432" t="s">
        <v>2544</v>
      </c>
      <c r="F1406" s="432"/>
      <c r="G1406" s="432">
        <v>2022</v>
      </c>
      <c r="H1406" s="432"/>
      <c r="I1406" s="432" t="s">
        <v>1498</v>
      </c>
      <c r="J1406" s="444"/>
      <c r="K1406" s="432" t="s">
        <v>3799</v>
      </c>
      <c r="L1406" s="432" t="s">
        <v>2506</v>
      </c>
      <c r="M1406" s="435">
        <v>44622</v>
      </c>
      <c r="N1406" s="435">
        <v>44869</v>
      </c>
      <c r="O1406" s="435"/>
      <c r="P1406" s="433"/>
      <c r="Q1406" s="433"/>
      <c r="R1406" s="433"/>
      <c r="S1406" s="432" t="s">
        <v>1940</v>
      </c>
      <c r="T1406" s="432">
        <v>60</v>
      </c>
      <c r="U1406" s="432"/>
      <c r="V1406" s="432" t="s">
        <v>973</v>
      </c>
      <c r="W1406" s="432">
        <v>400</v>
      </c>
      <c r="X1406" s="436">
        <v>416</v>
      </c>
      <c r="Y1406" s="422">
        <f t="shared" si="171"/>
        <v>166400</v>
      </c>
      <c r="Z1406" s="409">
        <v>0.53500000000000003</v>
      </c>
      <c r="AA1406" s="423">
        <f t="shared" si="172"/>
        <v>89024</v>
      </c>
      <c r="AB1406" s="411"/>
      <c r="AC1406" s="412">
        <f t="shared" si="173"/>
        <v>0</v>
      </c>
      <c r="AD1406" s="421"/>
      <c r="AE1406" s="413"/>
      <c r="AF1406" s="424">
        <f t="shared" si="174"/>
        <v>89024</v>
      </c>
      <c r="AG1406" s="405" t="s">
        <v>1069</v>
      </c>
      <c r="AH1406" s="405"/>
      <c r="AI1406" s="414">
        <v>60</v>
      </c>
      <c r="AJ1406" s="405" t="s">
        <v>2659</v>
      </c>
      <c r="AK1406" s="425" t="s">
        <v>2660</v>
      </c>
      <c r="AL1406" s="405">
        <v>70087</v>
      </c>
      <c r="AM1406" s="405" t="s">
        <v>52</v>
      </c>
      <c r="AN1406" s="405"/>
      <c r="AO1406" s="405"/>
      <c r="AP1406" s="417"/>
      <c r="AQ1406" s="417" t="s">
        <v>37</v>
      </c>
      <c r="AR1406" s="417" t="s">
        <v>3795</v>
      </c>
      <c r="AS1406" s="426"/>
      <c r="AT1406" s="426"/>
      <c r="AU1406" s="426"/>
      <c r="AV1406" s="409">
        <v>0.80577777777000004</v>
      </c>
    </row>
    <row r="1407" spans="1:48" s="402" customFormat="1" ht="15" customHeight="1">
      <c r="A1407" s="403"/>
      <c r="B1407" s="445">
        <v>44622</v>
      </c>
      <c r="C1407" s="445"/>
      <c r="D1407" s="443" t="s">
        <v>2480</v>
      </c>
      <c r="E1407" s="432" t="s">
        <v>2544</v>
      </c>
      <c r="F1407" s="432"/>
      <c r="G1407" s="432">
        <v>2022</v>
      </c>
      <c r="H1407" s="432"/>
      <c r="I1407" s="432" t="s">
        <v>1498</v>
      </c>
      <c r="J1407" s="444"/>
      <c r="K1407" s="432" t="s">
        <v>3800</v>
      </c>
      <c r="L1407" s="432" t="s">
        <v>2506</v>
      </c>
      <c r="M1407" s="435">
        <v>44622</v>
      </c>
      <c r="N1407" s="435">
        <v>44897</v>
      </c>
      <c r="O1407" s="435"/>
      <c r="P1407" s="433"/>
      <c r="Q1407" s="433"/>
      <c r="R1407" s="433"/>
      <c r="S1407" s="432" t="s">
        <v>1940</v>
      </c>
      <c r="T1407" s="432">
        <v>60</v>
      </c>
      <c r="U1407" s="432"/>
      <c r="V1407" s="432" t="s">
        <v>973</v>
      </c>
      <c r="W1407" s="432">
        <v>400</v>
      </c>
      <c r="X1407" s="436">
        <v>416</v>
      </c>
      <c r="Y1407" s="422">
        <f t="shared" si="171"/>
        <v>166400</v>
      </c>
      <c r="Z1407" s="409">
        <v>0.53500000000000003</v>
      </c>
      <c r="AA1407" s="423">
        <f t="shared" si="172"/>
        <v>89024</v>
      </c>
      <c r="AB1407" s="411"/>
      <c r="AC1407" s="412">
        <f t="shared" si="173"/>
        <v>0</v>
      </c>
      <c r="AD1407" s="421"/>
      <c r="AE1407" s="413"/>
      <c r="AF1407" s="424">
        <f t="shared" si="174"/>
        <v>89024</v>
      </c>
      <c r="AG1407" s="405" t="s">
        <v>1069</v>
      </c>
      <c r="AH1407" s="405"/>
      <c r="AI1407" s="414">
        <v>60</v>
      </c>
      <c r="AJ1407" s="405" t="s">
        <v>2659</v>
      </c>
      <c r="AK1407" s="425" t="s">
        <v>2660</v>
      </c>
      <c r="AL1407" s="405">
        <v>70087</v>
      </c>
      <c r="AM1407" s="405" t="s">
        <v>52</v>
      </c>
      <c r="AN1407" s="405"/>
      <c r="AO1407" s="405"/>
      <c r="AP1407" s="417"/>
      <c r="AQ1407" s="417" t="s">
        <v>37</v>
      </c>
      <c r="AR1407" s="417" t="s">
        <v>3795</v>
      </c>
      <c r="AS1407" s="426"/>
      <c r="AT1407" s="426"/>
      <c r="AU1407" s="426"/>
      <c r="AV1407" s="409">
        <v>0.80577777777000004</v>
      </c>
    </row>
    <row r="1408" spans="1:48" s="402" customFormat="1" ht="15" customHeight="1">
      <c r="A1408" s="403"/>
      <c r="B1408" s="445">
        <v>44622</v>
      </c>
      <c r="C1408" s="445"/>
      <c r="D1408" s="443" t="s">
        <v>2480</v>
      </c>
      <c r="E1408" s="432" t="s">
        <v>2544</v>
      </c>
      <c r="F1408" s="432"/>
      <c r="G1408" s="432">
        <v>2022</v>
      </c>
      <c r="H1408" s="432"/>
      <c r="I1408" s="432" t="s">
        <v>1498</v>
      </c>
      <c r="J1408" s="444"/>
      <c r="K1408" s="432" t="s">
        <v>3801</v>
      </c>
      <c r="L1408" s="432" t="s">
        <v>2506</v>
      </c>
      <c r="M1408" s="435">
        <v>44622</v>
      </c>
      <c r="N1408" s="435">
        <v>44743</v>
      </c>
      <c r="O1408" s="435"/>
      <c r="P1408" s="433"/>
      <c r="Q1408" s="433"/>
      <c r="R1408" s="433"/>
      <c r="S1408" s="432" t="s">
        <v>1940</v>
      </c>
      <c r="T1408" s="432">
        <v>60</v>
      </c>
      <c r="U1408" s="432"/>
      <c r="V1408" s="432" t="s">
        <v>973</v>
      </c>
      <c r="W1408" s="432">
        <v>400</v>
      </c>
      <c r="X1408" s="436">
        <v>416</v>
      </c>
      <c r="Y1408" s="422">
        <f t="shared" si="171"/>
        <v>166400</v>
      </c>
      <c r="Z1408" s="409">
        <v>0.53500000000000003</v>
      </c>
      <c r="AA1408" s="423">
        <f t="shared" si="172"/>
        <v>89024</v>
      </c>
      <c r="AB1408" s="411"/>
      <c r="AC1408" s="412">
        <f t="shared" si="173"/>
        <v>0</v>
      </c>
      <c r="AD1408" s="421"/>
      <c r="AE1408" s="413"/>
      <c r="AF1408" s="424">
        <f t="shared" si="174"/>
        <v>89024</v>
      </c>
      <c r="AG1408" s="405" t="s">
        <v>1069</v>
      </c>
      <c r="AH1408" s="405"/>
      <c r="AI1408" s="414">
        <v>60</v>
      </c>
      <c r="AJ1408" s="405" t="s">
        <v>1323</v>
      </c>
      <c r="AK1408" s="425" t="s">
        <v>1136</v>
      </c>
      <c r="AL1408" s="405">
        <v>77092</v>
      </c>
      <c r="AM1408" s="405" t="s">
        <v>52</v>
      </c>
      <c r="AN1408" s="405"/>
      <c r="AO1408" s="405"/>
      <c r="AP1408" s="417"/>
      <c r="AQ1408" s="417" t="s">
        <v>37</v>
      </c>
      <c r="AR1408" s="417" t="s">
        <v>3795</v>
      </c>
      <c r="AS1408" s="426"/>
      <c r="AT1408" s="426"/>
      <c r="AU1408" s="426"/>
      <c r="AV1408" s="409">
        <v>0.80577777777000004</v>
      </c>
    </row>
    <row r="1409" spans="1:48" s="402" customFormat="1" ht="15" customHeight="1">
      <c r="A1409" s="403"/>
      <c r="B1409" s="445">
        <v>44622</v>
      </c>
      <c r="C1409" s="445"/>
      <c r="D1409" s="443" t="s">
        <v>2480</v>
      </c>
      <c r="E1409" s="432" t="s">
        <v>2544</v>
      </c>
      <c r="F1409" s="432"/>
      <c r="G1409" s="432">
        <v>2022</v>
      </c>
      <c r="H1409" s="432"/>
      <c r="I1409" s="432" t="s">
        <v>1498</v>
      </c>
      <c r="J1409" s="444"/>
      <c r="K1409" s="432" t="s">
        <v>3802</v>
      </c>
      <c r="L1409" s="432" t="s">
        <v>2506</v>
      </c>
      <c r="M1409" s="435">
        <v>44622</v>
      </c>
      <c r="N1409" s="435">
        <v>44806</v>
      </c>
      <c r="O1409" s="435"/>
      <c r="P1409" s="433"/>
      <c r="Q1409" s="433"/>
      <c r="R1409" s="433"/>
      <c r="S1409" s="432" t="s">
        <v>1940</v>
      </c>
      <c r="T1409" s="432">
        <v>60</v>
      </c>
      <c r="U1409" s="432"/>
      <c r="V1409" s="432" t="s">
        <v>973</v>
      </c>
      <c r="W1409" s="432">
        <v>400</v>
      </c>
      <c r="X1409" s="436">
        <v>416</v>
      </c>
      <c r="Y1409" s="422">
        <f t="shared" si="171"/>
        <v>166400</v>
      </c>
      <c r="Z1409" s="409">
        <v>0.53500000000000003</v>
      </c>
      <c r="AA1409" s="423">
        <f t="shared" si="172"/>
        <v>89024</v>
      </c>
      <c r="AB1409" s="411"/>
      <c r="AC1409" s="412">
        <f t="shared" si="173"/>
        <v>0</v>
      </c>
      <c r="AD1409" s="421"/>
      <c r="AE1409" s="413"/>
      <c r="AF1409" s="424">
        <f t="shared" si="174"/>
        <v>89024</v>
      </c>
      <c r="AG1409" s="405" t="s">
        <v>1069</v>
      </c>
      <c r="AH1409" s="405"/>
      <c r="AI1409" s="414">
        <v>60</v>
      </c>
      <c r="AJ1409" s="405" t="s">
        <v>1323</v>
      </c>
      <c r="AK1409" s="425" t="s">
        <v>1136</v>
      </c>
      <c r="AL1409" s="405">
        <v>77092</v>
      </c>
      <c r="AM1409" s="405" t="s">
        <v>52</v>
      </c>
      <c r="AN1409" s="405"/>
      <c r="AO1409" s="405"/>
      <c r="AP1409" s="417"/>
      <c r="AQ1409" s="417" t="s">
        <v>37</v>
      </c>
      <c r="AR1409" s="417" t="s">
        <v>3795</v>
      </c>
      <c r="AS1409" s="426"/>
      <c r="AT1409" s="426"/>
      <c r="AU1409" s="426"/>
      <c r="AV1409" s="409">
        <v>0.80577777777000004</v>
      </c>
    </row>
    <row r="1410" spans="1:48" s="402" customFormat="1" ht="15" customHeight="1">
      <c r="A1410" s="403"/>
      <c r="B1410" s="445">
        <v>44622</v>
      </c>
      <c r="C1410" s="445"/>
      <c r="D1410" s="443" t="s">
        <v>2480</v>
      </c>
      <c r="E1410" s="432" t="s">
        <v>2544</v>
      </c>
      <c r="F1410" s="432"/>
      <c r="G1410" s="432">
        <v>2022</v>
      </c>
      <c r="H1410" s="432"/>
      <c r="I1410" s="432" t="s">
        <v>1498</v>
      </c>
      <c r="J1410" s="444"/>
      <c r="K1410" s="432" t="s">
        <v>3803</v>
      </c>
      <c r="L1410" s="432" t="s">
        <v>2506</v>
      </c>
      <c r="M1410" s="435">
        <v>44622</v>
      </c>
      <c r="N1410" s="435">
        <v>44869</v>
      </c>
      <c r="O1410" s="435"/>
      <c r="P1410" s="433"/>
      <c r="Q1410" s="433"/>
      <c r="R1410" s="433"/>
      <c r="S1410" s="432" t="s">
        <v>1940</v>
      </c>
      <c r="T1410" s="432">
        <v>60</v>
      </c>
      <c r="U1410" s="432"/>
      <c r="V1410" s="432" t="s">
        <v>973</v>
      </c>
      <c r="W1410" s="432">
        <v>400</v>
      </c>
      <c r="X1410" s="436">
        <v>416</v>
      </c>
      <c r="Y1410" s="408">
        <f t="shared" si="171"/>
        <v>166400</v>
      </c>
      <c r="Z1410" s="409">
        <v>0.53500000000000003</v>
      </c>
      <c r="AA1410" s="410">
        <f t="shared" si="172"/>
        <v>89024</v>
      </c>
      <c r="AB1410" s="411"/>
      <c r="AC1410" s="412">
        <f t="shared" si="173"/>
        <v>0</v>
      </c>
      <c r="AD1410" s="421"/>
      <c r="AE1410" s="413"/>
      <c r="AF1410" s="424">
        <f t="shared" si="174"/>
        <v>89024</v>
      </c>
      <c r="AG1410" s="405" t="s">
        <v>1069</v>
      </c>
      <c r="AH1410" s="405"/>
      <c r="AI1410" s="414">
        <v>60</v>
      </c>
      <c r="AJ1410" s="405" t="s">
        <v>1323</v>
      </c>
      <c r="AK1410" s="425" t="s">
        <v>1136</v>
      </c>
      <c r="AL1410" s="405">
        <v>77092</v>
      </c>
      <c r="AM1410" s="405" t="s">
        <v>52</v>
      </c>
      <c r="AN1410" s="405"/>
      <c r="AO1410" s="405"/>
      <c r="AP1410" s="417"/>
      <c r="AQ1410" s="417" t="s">
        <v>37</v>
      </c>
      <c r="AR1410" s="417" t="s">
        <v>3795</v>
      </c>
      <c r="AS1410" s="426"/>
      <c r="AT1410" s="426"/>
      <c r="AU1410" s="426"/>
      <c r="AV1410" s="409">
        <v>0.80577777777000004</v>
      </c>
    </row>
    <row r="1411" spans="1:48" s="402" customFormat="1" ht="15" customHeight="1">
      <c r="A1411" s="403"/>
      <c r="B1411" s="446">
        <v>44627</v>
      </c>
      <c r="C1411" s="403"/>
      <c r="D1411" s="443" t="s">
        <v>2480</v>
      </c>
      <c r="E1411" s="432" t="s">
        <v>2544</v>
      </c>
      <c r="F1411" s="432"/>
      <c r="G1411" s="432">
        <v>2022</v>
      </c>
      <c r="H1411" s="432">
        <v>10</v>
      </c>
      <c r="I1411" s="432" t="s">
        <v>1498</v>
      </c>
      <c r="J1411" s="444"/>
      <c r="K1411" s="434" t="s">
        <v>3804</v>
      </c>
      <c r="L1411" s="432" t="s">
        <v>2514</v>
      </c>
      <c r="M1411" s="435">
        <v>44620</v>
      </c>
      <c r="N1411" s="435">
        <v>44727</v>
      </c>
      <c r="O1411" s="435"/>
      <c r="P1411" s="433"/>
      <c r="Q1411" s="433"/>
      <c r="R1411" s="433"/>
      <c r="S1411" s="432" t="s">
        <v>1443</v>
      </c>
      <c r="T1411" s="432">
        <v>60</v>
      </c>
      <c r="U1411" s="432"/>
      <c r="V1411" s="432" t="s">
        <v>973</v>
      </c>
      <c r="W1411" s="432">
        <v>400</v>
      </c>
      <c r="X1411" s="436">
        <v>768</v>
      </c>
      <c r="Y1411" s="422">
        <f t="shared" si="171"/>
        <v>307200</v>
      </c>
      <c r="Z1411" s="409">
        <v>0.55500000000000005</v>
      </c>
      <c r="AA1411" s="423">
        <f t="shared" si="172"/>
        <v>170496.00000000003</v>
      </c>
      <c r="AB1411" s="411"/>
      <c r="AC1411" s="412">
        <f t="shared" si="173"/>
        <v>0</v>
      </c>
      <c r="AD1411" s="421"/>
      <c r="AE1411" s="413"/>
      <c r="AF1411" s="424">
        <f t="shared" si="174"/>
        <v>170496.00000000003</v>
      </c>
      <c r="AG1411" s="405" t="s">
        <v>1069</v>
      </c>
      <c r="AH1411" s="405"/>
      <c r="AI1411" s="414">
        <v>60</v>
      </c>
      <c r="AJ1411" s="405" t="s">
        <v>2517</v>
      </c>
      <c r="AK1411" s="425" t="s">
        <v>1599</v>
      </c>
      <c r="AL1411" s="405">
        <v>97005</v>
      </c>
      <c r="AM1411" s="405" t="s">
        <v>52</v>
      </c>
      <c r="AN1411" s="405"/>
      <c r="AO1411" s="405"/>
      <c r="AP1411" s="417"/>
      <c r="AQ1411" s="417" t="s">
        <v>37</v>
      </c>
      <c r="AR1411" s="417"/>
      <c r="AS1411" s="426"/>
      <c r="AT1411" s="426"/>
      <c r="AU1411" s="426"/>
      <c r="AV1411" s="409">
        <v>0.80577777777000004</v>
      </c>
    </row>
    <row r="1412" spans="1:48" s="402" customFormat="1" ht="15" customHeight="1">
      <c r="A1412" s="403"/>
      <c r="B1412" s="446">
        <v>44627</v>
      </c>
      <c r="C1412" s="403"/>
      <c r="D1412" s="443" t="s">
        <v>2480</v>
      </c>
      <c r="E1412" s="432" t="s">
        <v>2544</v>
      </c>
      <c r="F1412" s="432"/>
      <c r="G1412" s="432">
        <v>2022</v>
      </c>
      <c r="H1412" s="432">
        <v>9</v>
      </c>
      <c r="I1412" s="432" t="s">
        <v>1498</v>
      </c>
      <c r="J1412" s="444"/>
      <c r="K1412" s="434" t="s">
        <v>3805</v>
      </c>
      <c r="L1412" s="432" t="s">
        <v>2514</v>
      </c>
      <c r="M1412" s="435">
        <v>44620</v>
      </c>
      <c r="N1412" s="435">
        <v>44682</v>
      </c>
      <c r="O1412" s="435"/>
      <c r="P1412" s="433"/>
      <c r="Q1412" s="433"/>
      <c r="R1412" s="433"/>
      <c r="S1412" s="432" t="s">
        <v>1443</v>
      </c>
      <c r="T1412" s="432">
        <v>60</v>
      </c>
      <c r="U1412" s="432"/>
      <c r="V1412" s="432" t="s">
        <v>973</v>
      </c>
      <c r="W1412" s="432">
        <v>400</v>
      </c>
      <c r="X1412" s="436">
        <v>768</v>
      </c>
      <c r="Y1412" s="422">
        <f t="shared" si="171"/>
        <v>307200</v>
      </c>
      <c r="Z1412" s="409">
        <v>0.55500000000000005</v>
      </c>
      <c r="AA1412" s="423">
        <f t="shared" si="172"/>
        <v>170496.00000000003</v>
      </c>
      <c r="AB1412" s="411"/>
      <c r="AC1412" s="412">
        <f t="shared" si="173"/>
        <v>0</v>
      </c>
      <c r="AD1412" s="421"/>
      <c r="AE1412" s="413"/>
      <c r="AF1412" s="424">
        <f t="shared" si="174"/>
        <v>170496.00000000003</v>
      </c>
      <c r="AG1412" s="405" t="s">
        <v>1069</v>
      </c>
      <c r="AH1412" s="405"/>
      <c r="AI1412" s="414">
        <v>60</v>
      </c>
      <c r="AJ1412" s="405" t="s">
        <v>2517</v>
      </c>
      <c r="AK1412" s="425" t="s">
        <v>1599</v>
      </c>
      <c r="AL1412" s="405">
        <v>97005</v>
      </c>
      <c r="AM1412" s="405" t="s">
        <v>52</v>
      </c>
      <c r="AN1412" s="405"/>
      <c r="AO1412" s="405"/>
      <c r="AP1412" s="417"/>
      <c r="AQ1412" s="417" t="s">
        <v>37</v>
      </c>
      <c r="AR1412" s="417"/>
      <c r="AS1412" s="426"/>
      <c r="AT1412" s="426"/>
      <c r="AU1412" s="426"/>
      <c r="AV1412" s="409">
        <v>0.80577777777000004</v>
      </c>
    </row>
    <row r="1413" spans="1:48" s="402" customFormat="1" ht="15" customHeight="1">
      <c r="A1413" s="403"/>
      <c r="B1413" s="445">
        <v>44622</v>
      </c>
      <c r="C1413" s="403"/>
      <c r="D1413" s="443" t="s">
        <v>2480</v>
      </c>
      <c r="E1413" s="432" t="s">
        <v>2544</v>
      </c>
      <c r="F1413" s="432"/>
      <c r="G1413" s="432">
        <v>2022</v>
      </c>
      <c r="H1413" s="432"/>
      <c r="I1413" s="432" t="s">
        <v>1498</v>
      </c>
      <c r="J1413" s="444"/>
      <c r="K1413" s="434" t="s">
        <v>3806</v>
      </c>
      <c r="L1413" s="432" t="s">
        <v>2549</v>
      </c>
      <c r="M1413" s="435">
        <v>44622</v>
      </c>
      <c r="N1413" s="435">
        <v>44743</v>
      </c>
      <c r="O1413" s="435"/>
      <c r="P1413" s="433"/>
      <c r="Q1413" s="433"/>
      <c r="R1413" s="433"/>
      <c r="S1413" s="432" t="s">
        <v>1940</v>
      </c>
      <c r="T1413" s="432">
        <v>60</v>
      </c>
      <c r="U1413" s="432"/>
      <c r="V1413" s="432" t="s">
        <v>973</v>
      </c>
      <c r="W1413" s="432">
        <v>400</v>
      </c>
      <c r="X1413" s="436">
        <v>384</v>
      </c>
      <c r="Y1413" s="422">
        <f t="shared" si="171"/>
        <v>153600</v>
      </c>
      <c r="Z1413" s="409">
        <v>0.53500000000000003</v>
      </c>
      <c r="AA1413" s="423">
        <f t="shared" si="172"/>
        <v>82176</v>
      </c>
      <c r="AB1413" s="411"/>
      <c r="AC1413" s="412">
        <f t="shared" si="173"/>
        <v>0</v>
      </c>
      <c r="AD1413" s="421"/>
      <c r="AE1413" s="413"/>
      <c r="AF1413" s="424">
        <f t="shared" si="174"/>
        <v>82176</v>
      </c>
      <c r="AG1413" s="405" t="s">
        <v>1069</v>
      </c>
      <c r="AH1413" s="405"/>
      <c r="AI1413" s="414">
        <v>60</v>
      </c>
      <c r="AJ1413" s="405" t="s">
        <v>2624</v>
      </c>
      <c r="AK1413" s="425" t="s">
        <v>2625</v>
      </c>
      <c r="AL1413" s="405">
        <v>73128</v>
      </c>
      <c r="AM1413" s="405" t="s">
        <v>52</v>
      </c>
      <c r="AN1413" s="405"/>
      <c r="AO1413" s="405"/>
      <c r="AP1413" s="417"/>
      <c r="AQ1413" s="417" t="s">
        <v>37</v>
      </c>
      <c r="AR1413" s="417" t="s">
        <v>3795</v>
      </c>
      <c r="AS1413" s="426"/>
      <c r="AT1413" s="426"/>
      <c r="AU1413" s="426"/>
      <c r="AV1413" s="409">
        <v>0.80577777777000004</v>
      </c>
    </row>
    <row r="1414" spans="1:48" s="402" customFormat="1" ht="15" customHeight="1">
      <c r="A1414" s="403"/>
      <c r="B1414" s="445">
        <v>44622</v>
      </c>
      <c r="C1414" s="403"/>
      <c r="D1414" s="443" t="s">
        <v>2480</v>
      </c>
      <c r="E1414" s="432" t="s">
        <v>2544</v>
      </c>
      <c r="F1414" s="432"/>
      <c r="G1414" s="432">
        <v>2022</v>
      </c>
      <c r="H1414" s="432"/>
      <c r="I1414" s="432" t="s">
        <v>1498</v>
      </c>
      <c r="J1414" s="444"/>
      <c r="K1414" s="434" t="s">
        <v>3807</v>
      </c>
      <c r="L1414" s="432" t="s">
        <v>2549</v>
      </c>
      <c r="M1414" s="435">
        <v>44622</v>
      </c>
      <c r="N1414" s="435">
        <v>44806</v>
      </c>
      <c r="O1414" s="435"/>
      <c r="P1414" s="433"/>
      <c r="Q1414" s="433"/>
      <c r="R1414" s="433"/>
      <c r="S1414" s="432" t="s">
        <v>1940</v>
      </c>
      <c r="T1414" s="432">
        <v>60</v>
      </c>
      <c r="U1414" s="432"/>
      <c r="V1414" s="432" t="s">
        <v>973</v>
      </c>
      <c r="W1414" s="432">
        <v>400</v>
      </c>
      <c r="X1414" s="436">
        <v>384</v>
      </c>
      <c r="Y1414" s="422">
        <f t="shared" si="171"/>
        <v>153600</v>
      </c>
      <c r="Z1414" s="409">
        <v>0.53500000000000003</v>
      </c>
      <c r="AA1414" s="423">
        <f t="shared" si="172"/>
        <v>82176</v>
      </c>
      <c r="AB1414" s="411"/>
      <c r="AC1414" s="412">
        <f t="shared" si="173"/>
        <v>0</v>
      </c>
      <c r="AD1414" s="421"/>
      <c r="AE1414" s="413"/>
      <c r="AF1414" s="424">
        <f t="shared" si="174"/>
        <v>82176</v>
      </c>
      <c r="AG1414" s="405" t="s">
        <v>1069</v>
      </c>
      <c r="AH1414" s="405"/>
      <c r="AI1414" s="414">
        <v>60</v>
      </c>
      <c r="AJ1414" s="405" t="s">
        <v>2624</v>
      </c>
      <c r="AK1414" s="425" t="s">
        <v>2625</v>
      </c>
      <c r="AL1414" s="405">
        <v>73128</v>
      </c>
      <c r="AM1414" s="405" t="s">
        <v>52</v>
      </c>
      <c r="AN1414" s="405"/>
      <c r="AO1414" s="405"/>
      <c r="AP1414" s="417"/>
      <c r="AQ1414" s="417" t="s">
        <v>37</v>
      </c>
      <c r="AR1414" s="417" t="s">
        <v>3795</v>
      </c>
      <c r="AS1414" s="426"/>
      <c r="AT1414" s="426"/>
      <c r="AU1414" s="426"/>
      <c r="AV1414" s="409">
        <v>0.80577777777000004</v>
      </c>
    </row>
    <row r="1415" spans="1:48" s="402" customFormat="1" ht="15" customHeight="1">
      <c r="A1415" s="403"/>
      <c r="B1415" s="445">
        <v>44622</v>
      </c>
      <c r="C1415" s="403"/>
      <c r="D1415" s="443" t="s">
        <v>2480</v>
      </c>
      <c r="E1415" s="432" t="s">
        <v>2544</v>
      </c>
      <c r="F1415" s="432"/>
      <c r="G1415" s="432">
        <v>2022</v>
      </c>
      <c r="H1415" s="432"/>
      <c r="I1415" s="432" t="s">
        <v>1498</v>
      </c>
      <c r="J1415" s="444"/>
      <c r="K1415" s="434" t="s">
        <v>3808</v>
      </c>
      <c r="L1415" s="432" t="s">
        <v>2549</v>
      </c>
      <c r="M1415" s="435">
        <v>44622</v>
      </c>
      <c r="N1415" s="435">
        <v>44869</v>
      </c>
      <c r="O1415" s="435"/>
      <c r="P1415" s="433"/>
      <c r="Q1415" s="433"/>
      <c r="R1415" s="433"/>
      <c r="S1415" s="432" t="s">
        <v>1940</v>
      </c>
      <c r="T1415" s="432">
        <v>60</v>
      </c>
      <c r="U1415" s="432"/>
      <c r="V1415" s="432" t="s">
        <v>973</v>
      </c>
      <c r="W1415" s="432">
        <v>400</v>
      </c>
      <c r="X1415" s="436">
        <v>384</v>
      </c>
      <c r="Y1415" s="422">
        <f t="shared" si="171"/>
        <v>153600</v>
      </c>
      <c r="Z1415" s="409">
        <v>0.53500000000000003</v>
      </c>
      <c r="AA1415" s="423">
        <f t="shared" si="172"/>
        <v>82176</v>
      </c>
      <c r="AB1415" s="411"/>
      <c r="AC1415" s="412">
        <f t="shared" si="173"/>
        <v>0</v>
      </c>
      <c r="AD1415" s="421"/>
      <c r="AE1415" s="413"/>
      <c r="AF1415" s="424">
        <f t="shared" si="174"/>
        <v>82176</v>
      </c>
      <c r="AG1415" s="405" t="s">
        <v>1069</v>
      </c>
      <c r="AH1415" s="405"/>
      <c r="AI1415" s="414">
        <v>60</v>
      </c>
      <c r="AJ1415" s="405" t="s">
        <v>2624</v>
      </c>
      <c r="AK1415" s="425" t="s">
        <v>2625</v>
      </c>
      <c r="AL1415" s="405">
        <v>73128</v>
      </c>
      <c r="AM1415" s="405" t="s">
        <v>52</v>
      </c>
      <c r="AN1415" s="405"/>
      <c r="AO1415" s="405"/>
      <c r="AP1415" s="417"/>
      <c r="AQ1415" s="417" t="s">
        <v>37</v>
      </c>
      <c r="AR1415" s="417" t="s">
        <v>3795</v>
      </c>
      <c r="AS1415" s="426"/>
      <c r="AT1415" s="426"/>
      <c r="AU1415" s="426"/>
      <c r="AV1415" s="409">
        <v>0.80577777777000004</v>
      </c>
    </row>
    <row r="1416" spans="1:48" s="402" customFormat="1" ht="15" customHeight="1">
      <c r="A1416" s="403"/>
      <c r="B1416" s="445">
        <v>44622</v>
      </c>
      <c r="C1416" s="403"/>
      <c r="D1416" s="443" t="s">
        <v>2480</v>
      </c>
      <c r="E1416" s="432" t="s">
        <v>2544</v>
      </c>
      <c r="F1416" s="432"/>
      <c r="G1416" s="432">
        <v>2022</v>
      </c>
      <c r="H1416" s="432"/>
      <c r="I1416" s="432" t="s">
        <v>1498</v>
      </c>
      <c r="J1416" s="444"/>
      <c r="K1416" s="434" t="s">
        <v>3809</v>
      </c>
      <c r="L1416" s="432" t="s">
        <v>2549</v>
      </c>
      <c r="M1416" s="435">
        <v>44622</v>
      </c>
      <c r="N1416" s="435">
        <v>44743</v>
      </c>
      <c r="O1416" s="435"/>
      <c r="P1416" s="433"/>
      <c r="Q1416" s="433"/>
      <c r="R1416" s="433"/>
      <c r="S1416" s="432" t="s">
        <v>1940</v>
      </c>
      <c r="T1416" s="432">
        <v>60</v>
      </c>
      <c r="U1416" s="432"/>
      <c r="V1416" s="432" t="s">
        <v>973</v>
      </c>
      <c r="W1416" s="432">
        <v>400</v>
      </c>
      <c r="X1416" s="436">
        <v>384</v>
      </c>
      <c r="Y1416" s="422">
        <f t="shared" si="171"/>
        <v>153600</v>
      </c>
      <c r="Z1416" s="409">
        <v>0.53500000000000003</v>
      </c>
      <c r="AA1416" s="423">
        <f t="shared" si="172"/>
        <v>82176</v>
      </c>
      <c r="AB1416" s="411"/>
      <c r="AC1416" s="412">
        <f t="shared" si="173"/>
        <v>0</v>
      </c>
      <c r="AD1416" s="421"/>
      <c r="AE1416" s="413"/>
      <c r="AF1416" s="424">
        <f t="shared" si="174"/>
        <v>82176</v>
      </c>
      <c r="AG1416" s="405" t="s">
        <v>1069</v>
      </c>
      <c r="AH1416" s="405"/>
      <c r="AI1416" s="414">
        <v>60</v>
      </c>
      <c r="AJ1416" s="405" t="s">
        <v>2508</v>
      </c>
      <c r="AK1416" s="425" t="s">
        <v>1136</v>
      </c>
      <c r="AL1416" s="405">
        <v>75007</v>
      </c>
      <c r="AM1416" s="405" t="s">
        <v>52</v>
      </c>
      <c r="AN1416" s="405"/>
      <c r="AO1416" s="405"/>
      <c r="AP1416" s="417"/>
      <c r="AQ1416" s="417" t="s">
        <v>37</v>
      </c>
      <c r="AR1416" s="417" t="s">
        <v>3795</v>
      </c>
      <c r="AS1416" s="426"/>
      <c r="AT1416" s="426"/>
      <c r="AU1416" s="426"/>
      <c r="AV1416" s="409">
        <v>0.80577777777000004</v>
      </c>
    </row>
    <row r="1417" spans="1:48" s="402" customFormat="1" ht="15" customHeight="1">
      <c r="A1417" s="403"/>
      <c r="B1417" s="445">
        <v>44622</v>
      </c>
      <c r="C1417" s="403"/>
      <c r="D1417" s="443" t="s">
        <v>2480</v>
      </c>
      <c r="E1417" s="432" t="s">
        <v>2544</v>
      </c>
      <c r="F1417" s="432"/>
      <c r="G1417" s="432">
        <v>2022</v>
      </c>
      <c r="H1417" s="432"/>
      <c r="I1417" s="432" t="s">
        <v>1498</v>
      </c>
      <c r="J1417" s="444"/>
      <c r="K1417" s="434" t="s">
        <v>3810</v>
      </c>
      <c r="L1417" s="432" t="s">
        <v>2549</v>
      </c>
      <c r="M1417" s="435">
        <v>44622</v>
      </c>
      <c r="N1417" s="435">
        <v>44806</v>
      </c>
      <c r="O1417" s="435"/>
      <c r="P1417" s="433"/>
      <c r="Q1417" s="433"/>
      <c r="R1417" s="433"/>
      <c r="S1417" s="432" t="s">
        <v>1940</v>
      </c>
      <c r="T1417" s="432">
        <v>60</v>
      </c>
      <c r="U1417" s="432"/>
      <c r="V1417" s="432" t="s">
        <v>973</v>
      </c>
      <c r="W1417" s="432">
        <v>400</v>
      </c>
      <c r="X1417" s="436">
        <v>384</v>
      </c>
      <c r="Y1417" s="422">
        <f t="shared" si="171"/>
        <v>153600</v>
      </c>
      <c r="Z1417" s="409">
        <v>0.53500000000000003</v>
      </c>
      <c r="AA1417" s="423">
        <f t="shared" si="172"/>
        <v>82176</v>
      </c>
      <c r="AB1417" s="411"/>
      <c r="AC1417" s="412">
        <f t="shared" si="173"/>
        <v>0</v>
      </c>
      <c r="AD1417" s="421"/>
      <c r="AE1417" s="413"/>
      <c r="AF1417" s="424">
        <f t="shared" si="174"/>
        <v>82176</v>
      </c>
      <c r="AG1417" s="405" t="s">
        <v>1069</v>
      </c>
      <c r="AH1417" s="405"/>
      <c r="AI1417" s="414">
        <v>60</v>
      </c>
      <c r="AJ1417" s="405" t="s">
        <v>2508</v>
      </c>
      <c r="AK1417" s="425" t="s">
        <v>1136</v>
      </c>
      <c r="AL1417" s="405">
        <v>75007</v>
      </c>
      <c r="AM1417" s="405" t="s">
        <v>52</v>
      </c>
      <c r="AN1417" s="405"/>
      <c r="AO1417" s="405"/>
      <c r="AP1417" s="417"/>
      <c r="AQ1417" s="417" t="s">
        <v>37</v>
      </c>
      <c r="AR1417" s="417" t="s">
        <v>3795</v>
      </c>
      <c r="AS1417" s="426"/>
      <c r="AT1417" s="426"/>
      <c r="AU1417" s="426"/>
      <c r="AV1417" s="409">
        <v>0.80577777777000004</v>
      </c>
    </row>
    <row r="1418" spans="1:48" s="402" customFormat="1" ht="15" customHeight="1">
      <c r="A1418" s="403"/>
      <c r="B1418" s="445">
        <v>44622</v>
      </c>
      <c r="C1418" s="403"/>
      <c r="D1418" s="443" t="s">
        <v>2480</v>
      </c>
      <c r="E1418" s="432" t="s">
        <v>2544</v>
      </c>
      <c r="F1418" s="432"/>
      <c r="G1418" s="432">
        <v>2022</v>
      </c>
      <c r="H1418" s="432"/>
      <c r="I1418" s="432" t="s">
        <v>1498</v>
      </c>
      <c r="J1418" s="444"/>
      <c r="K1418" s="434" t="s">
        <v>3811</v>
      </c>
      <c r="L1418" s="432" t="s">
        <v>2549</v>
      </c>
      <c r="M1418" s="435">
        <v>44622</v>
      </c>
      <c r="N1418" s="435">
        <v>44869</v>
      </c>
      <c r="O1418" s="435"/>
      <c r="P1418" s="433"/>
      <c r="Q1418" s="433"/>
      <c r="R1418" s="433"/>
      <c r="S1418" s="432" t="s">
        <v>1940</v>
      </c>
      <c r="T1418" s="432">
        <v>60</v>
      </c>
      <c r="U1418" s="432"/>
      <c r="V1418" s="432" t="s">
        <v>973</v>
      </c>
      <c r="W1418" s="432">
        <v>400</v>
      </c>
      <c r="X1418" s="436">
        <v>384</v>
      </c>
      <c r="Y1418" s="422">
        <f t="shared" si="171"/>
        <v>153600</v>
      </c>
      <c r="Z1418" s="409">
        <v>0.53500000000000003</v>
      </c>
      <c r="AA1418" s="423">
        <f t="shared" si="172"/>
        <v>82176</v>
      </c>
      <c r="AB1418" s="411"/>
      <c r="AC1418" s="412">
        <f t="shared" si="173"/>
        <v>0</v>
      </c>
      <c r="AD1418" s="421"/>
      <c r="AE1418" s="413"/>
      <c r="AF1418" s="424">
        <f t="shared" si="174"/>
        <v>82176</v>
      </c>
      <c r="AG1418" s="405" t="s">
        <v>1069</v>
      </c>
      <c r="AH1418" s="405"/>
      <c r="AI1418" s="414">
        <v>60</v>
      </c>
      <c r="AJ1418" s="405" t="s">
        <v>2508</v>
      </c>
      <c r="AK1418" s="425" t="s">
        <v>1136</v>
      </c>
      <c r="AL1418" s="405">
        <v>75007</v>
      </c>
      <c r="AM1418" s="405" t="s">
        <v>52</v>
      </c>
      <c r="AN1418" s="405"/>
      <c r="AO1418" s="405"/>
      <c r="AP1418" s="417"/>
      <c r="AQ1418" s="417" t="s">
        <v>37</v>
      </c>
      <c r="AR1418" s="417" t="s">
        <v>3795</v>
      </c>
      <c r="AS1418" s="426"/>
      <c r="AT1418" s="426"/>
      <c r="AU1418" s="426"/>
      <c r="AV1418" s="409">
        <v>0.80577777777000004</v>
      </c>
    </row>
    <row r="1419" spans="1:48" s="402" customFormat="1" ht="15" customHeight="1">
      <c r="A1419" s="403"/>
      <c r="B1419" s="445">
        <v>44622</v>
      </c>
      <c r="C1419" s="403"/>
      <c r="D1419" s="443" t="s">
        <v>2480</v>
      </c>
      <c r="E1419" s="432" t="s">
        <v>2544</v>
      </c>
      <c r="F1419" s="432"/>
      <c r="G1419" s="432">
        <v>2022</v>
      </c>
      <c r="H1419" s="432"/>
      <c r="I1419" s="432" t="s">
        <v>1498</v>
      </c>
      <c r="J1419" s="444"/>
      <c r="K1419" s="434" t="s">
        <v>3812</v>
      </c>
      <c r="L1419" s="432" t="s">
        <v>2549</v>
      </c>
      <c r="M1419" s="435">
        <v>44622</v>
      </c>
      <c r="N1419" s="435">
        <v>44743</v>
      </c>
      <c r="O1419" s="435"/>
      <c r="P1419" s="433"/>
      <c r="Q1419" s="433"/>
      <c r="R1419" s="433"/>
      <c r="S1419" s="432" t="s">
        <v>1940</v>
      </c>
      <c r="T1419" s="432">
        <v>60</v>
      </c>
      <c r="U1419" s="432"/>
      <c r="V1419" s="432" t="s">
        <v>973</v>
      </c>
      <c r="W1419" s="432">
        <v>400</v>
      </c>
      <c r="X1419" s="436">
        <v>832</v>
      </c>
      <c r="Y1419" s="422">
        <f t="shared" si="171"/>
        <v>332800</v>
      </c>
      <c r="Z1419" s="409">
        <v>0.53500000000000003</v>
      </c>
      <c r="AA1419" s="423">
        <f t="shared" si="172"/>
        <v>178048</v>
      </c>
      <c r="AB1419" s="411"/>
      <c r="AC1419" s="412">
        <f t="shared" si="173"/>
        <v>0</v>
      </c>
      <c r="AD1419" s="421"/>
      <c r="AE1419" s="413"/>
      <c r="AF1419" s="424">
        <f t="shared" si="174"/>
        <v>178048</v>
      </c>
      <c r="AG1419" s="405" t="s">
        <v>1069</v>
      </c>
      <c r="AH1419" s="405"/>
      <c r="AI1419" s="414">
        <v>60</v>
      </c>
      <c r="AJ1419" s="405" t="s">
        <v>1454</v>
      </c>
      <c r="AK1419" s="425" t="s">
        <v>1136</v>
      </c>
      <c r="AL1419" s="405">
        <v>78744</v>
      </c>
      <c r="AM1419" s="405" t="s">
        <v>52</v>
      </c>
      <c r="AN1419" s="405"/>
      <c r="AO1419" s="405"/>
      <c r="AP1419" s="417"/>
      <c r="AQ1419" s="417" t="s">
        <v>37</v>
      </c>
      <c r="AR1419" s="417" t="s">
        <v>3795</v>
      </c>
      <c r="AS1419" s="426"/>
      <c r="AT1419" s="426"/>
      <c r="AU1419" s="426"/>
      <c r="AV1419" s="409">
        <v>0.80577777777000004</v>
      </c>
    </row>
    <row r="1420" spans="1:48" s="402" customFormat="1" ht="15" customHeight="1">
      <c r="A1420" s="403"/>
      <c r="B1420" s="445">
        <v>44622</v>
      </c>
      <c r="C1420" s="403"/>
      <c r="D1420" s="443" t="s">
        <v>2480</v>
      </c>
      <c r="E1420" s="432" t="s">
        <v>2544</v>
      </c>
      <c r="F1420" s="432"/>
      <c r="G1420" s="432">
        <v>2022</v>
      </c>
      <c r="H1420" s="432"/>
      <c r="I1420" s="432" t="s">
        <v>1498</v>
      </c>
      <c r="J1420" s="444"/>
      <c r="K1420" s="434" t="s">
        <v>3813</v>
      </c>
      <c r="L1420" s="432" t="s">
        <v>2549</v>
      </c>
      <c r="M1420" s="435">
        <v>44622</v>
      </c>
      <c r="N1420" s="435">
        <v>44778</v>
      </c>
      <c r="O1420" s="435"/>
      <c r="P1420" s="433"/>
      <c r="Q1420" s="433"/>
      <c r="R1420" s="433"/>
      <c r="S1420" s="432" t="s">
        <v>1940</v>
      </c>
      <c r="T1420" s="432">
        <v>60</v>
      </c>
      <c r="U1420" s="432"/>
      <c r="V1420" s="432" t="s">
        <v>973</v>
      </c>
      <c r="W1420" s="432">
        <v>400</v>
      </c>
      <c r="X1420" s="436">
        <v>832</v>
      </c>
      <c r="Y1420" s="422">
        <f t="shared" si="171"/>
        <v>332800</v>
      </c>
      <c r="Z1420" s="409">
        <v>0.53500000000000003</v>
      </c>
      <c r="AA1420" s="423">
        <f t="shared" si="172"/>
        <v>178048</v>
      </c>
      <c r="AB1420" s="411"/>
      <c r="AC1420" s="412">
        <f t="shared" si="173"/>
        <v>0</v>
      </c>
      <c r="AD1420" s="421"/>
      <c r="AE1420" s="413"/>
      <c r="AF1420" s="424">
        <f t="shared" si="174"/>
        <v>178048</v>
      </c>
      <c r="AG1420" s="405" t="s">
        <v>1069</v>
      </c>
      <c r="AH1420" s="405"/>
      <c r="AI1420" s="414">
        <v>60</v>
      </c>
      <c r="AJ1420" s="405" t="s">
        <v>1454</v>
      </c>
      <c r="AK1420" s="425" t="s">
        <v>1136</v>
      </c>
      <c r="AL1420" s="405">
        <v>78744</v>
      </c>
      <c r="AM1420" s="405" t="s">
        <v>52</v>
      </c>
      <c r="AN1420" s="405"/>
      <c r="AO1420" s="405"/>
      <c r="AP1420" s="417"/>
      <c r="AQ1420" s="417" t="s">
        <v>37</v>
      </c>
      <c r="AR1420" s="417" t="s">
        <v>3795</v>
      </c>
      <c r="AS1420" s="426"/>
      <c r="AT1420" s="426"/>
      <c r="AU1420" s="426"/>
      <c r="AV1420" s="409">
        <v>0.80577777777000004</v>
      </c>
    </row>
    <row r="1421" spans="1:48" s="402" customFormat="1" ht="15" customHeight="1">
      <c r="A1421" s="403"/>
      <c r="B1421" s="445">
        <v>44622</v>
      </c>
      <c r="C1421" s="403"/>
      <c r="D1421" s="443" t="s">
        <v>2480</v>
      </c>
      <c r="E1421" s="432" t="s">
        <v>2544</v>
      </c>
      <c r="F1421" s="432"/>
      <c r="G1421" s="432">
        <v>2022</v>
      </c>
      <c r="H1421" s="432"/>
      <c r="I1421" s="432" t="s">
        <v>1498</v>
      </c>
      <c r="J1421" s="444"/>
      <c r="K1421" s="434" t="s">
        <v>3814</v>
      </c>
      <c r="L1421" s="432" t="s">
        <v>2549</v>
      </c>
      <c r="M1421" s="435">
        <v>44622</v>
      </c>
      <c r="N1421" s="435">
        <v>44806</v>
      </c>
      <c r="O1421" s="435"/>
      <c r="P1421" s="433"/>
      <c r="Q1421" s="433"/>
      <c r="R1421" s="433"/>
      <c r="S1421" s="432" t="s">
        <v>1940</v>
      </c>
      <c r="T1421" s="432">
        <v>60</v>
      </c>
      <c r="U1421" s="432"/>
      <c r="V1421" s="432" t="s">
        <v>973</v>
      </c>
      <c r="W1421" s="432">
        <v>400</v>
      </c>
      <c r="X1421" s="436">
        <v>832</v>
      </c>
      <c r="Y1421" s="422">
        <f t="shared" si="171"/>
        <v>332800</v>
      </c>
      <c r="Z1421" s="409">
        <v>0.53500000000000003</v>
      </c>
      <c r="AA1421" s="423">
        <f t="shared" si="172"/>
        <v>178048</v>
      </c>
      <c r="AB1421" s="411"/>
      <c r="AC1421" s="412">
        <f t="shared" si="173"/>
        <v>0</v>
      </c>
      <c r="AD1421" s="421"/>
      <c r="AE1421" s="413"/>
      <c r="AF1421" s="424">
        <f t="shared" si="174"/>
        <v>178048</v>
      </c>
      <c r="AG1421" s="405" t="s">
        <v>1069</v>
      </c>
      <c r="AH1421" s="405"/>
      <c r="AI1421" s="414">
        <v>60</v>
      </c>
      <c r="AJ1421" s="405" t="s">
        <v>1454</v>
      </c>
      <c r="AK1421" s="425" t="s">
        <v>1136</v>
      </c>
      <c r="AL1421" s="405">
        <v>78744</v>
      </c>
      <c r="AM1421" s="405" t="s">
        <v>52</v>
      </c>
      <c r="AN1421" s="405"/>
      <c r="AO1421" s="405"/>
      <c r="AP1421" s="417"/>
      <c r="AQ1421" s="417" t="s">
        <v>37</v>
      </c>
      <c r="AR1421" s="417" t="s">
        <v>3795</v>
      </c>
      <c r="AS1421" s="426"/>
      <c r="AT1421" s="426"/>
      <c r="AU1421" s="426"/>
      <c r="AV1421" s="409">
        <v>0.80577777777000004</v>
      </c>
    </row>
    <row r="1422" spans="1:48" s="402" customFormat="1" ht="15" customHeight="1">
      <c r="A1422" s="403"/>
      <c r="B1422" s="445">
        <v>44622</v>
      </c>
      <c r="C1422" s="403"/>
      <c r="D1422" s="443" t="s">
        <v>2480</v>
      </c>
      <c r="E1422" s="432" t="s">
        <v>2544</v>
      </c>
      <c r="F1422" s="432"/>
      <c r="G1422" s="432">
        <v>2022</v>
      </c>
      <c r="H1422" s="432"/>
      <c r="I1422" s="432" t="s">
        <v>1498</v>
      </c>
      <c r="J1422" s="444"/>
      <c r="K1422" s="434" t="s">
        <v>3815</v>
      </c>
      <c r="L1422" s="432" t="s">
        <v>2549</v>
      </c>
      <c r="M1422" s="435">
        <v>44622</v>
      </c>
      <c r="N1422" s="435">
        <v>44837</v>
      </c>
      <c r="O1422" s="435"/>
      <c r="P1422" s="433"/>
      <c r="Q1422" s="433"/>
      <c r="R1422" s="433"/>
      <c r="S1422" s="432" t="s">
        <v>1940</v>
      </c>
      <c r="T1422" s="432">
        <v>60</v>
      </c>
      <c r="U1422" s="432"/>
      <c r="V1422" s="432" t="s">
        <v>973</v>
      </c>
      <c r="W1422" s="432">
        <v>400</v>
      </c>
      <c r="X1422" s="436">
        <v>832</v>
      </c>
      <c r="Y1422" s="422">
        <f t="shared" si="171"/>
        <v>332800</v>
      </c>
      <c r="Z1422" s="409">
        <v>0.53500000000000003</v>
      </c>
      <c r="AA1422" s="423">
        <f t="shared" si="172"/>
        <v>178048</v>
      </c>
      <c r="AB1422" s="411"/>
      <c r="AC1422" s="412">
        <f t="shared" si="173"/>
        <v>0</v>
      </c>
      <c r="AD1422" s="421"/>
      <c r="AE1422" s="413"/>
      <c r="AF1422" s="424">
        <f t="shared" si="174"/>
        <v>178048</v>
      </c>
      <c r="AG1422" s="405" t="s">
        <v>1069</v>
      </c>
      <c r="AH1422" s="405"/>
      <c r="AI1422" s="414">
        <v>60</v>
      </c>
      <c r="AJ1422" s="405" t="s">
        <v>1454</v>
      </c>
      <c r="AK1422" s="425" t="s">
        <v>1136</v>
      </c>
      <c r="AL1422" s="405">
        <v>78744</v>
      </c>
      <c r="AM1422" s="405" t="s">
        <v>52</v>
      </c>
      <c r="AN1422" s="405"/>
      <c r="AO1422" s="405"/>
      <c r="AP1422" s="417"/>
      <c r="AQ1422" s="417" t="s">
        <v>37</v>
      </c>
      <c r="AR1422" s="417" t="s">
        <v>3795</v>
      </c>
      <c r="AS1422" s="426"/>
      <c r="AT1422" s="426"/>
      <c r="AU1422" s="426"/>
      <c r="AV1422" s="409">
        <v>0.80577777777000004</v>
      </c>
    </row>
    <row r="1423" spans="1:48" s="402" customFormat="1" ht="15" customHeight="1">
      <c r="A1423" s="403"/>
      <c r="B1423" s="445">
        <v>44622</v>
      </c>
      <c r="C1423" s="403"/>
      <c r="D1423" s="443" t="s">
        <v>2480</v>
      </c>
      <c r="E1423" s="432" t="s">
        <v>2544</v>
      </c>
      <c r="F1423" s="432"/>
      <c r="G1423" s="432">
        <v>2022</v>
      </c>
      <c r="H1423" s="432"/>
      <c r="I1423" s="432" t="s">
        <v>1498</v>
      </c>
      <c r="J1423" s="444"/>
      <c r="K1423" s="434" t="s">
        <v>3816</v>
      </c>
      <c r="L1423" s="432" t="s">
        <v>2549</v>
      </c>
      <c r="M1423" s="435">
        <v>44622</v>
      </c>
      <c r="N1423" s="435">
        <v>44869</v>
      </c>
      <c r="O1423" s="435"/>
      <c r="P1423" s="433"/>
      <c r="Q1423" s="433"/>
      <c r="R1423" s="433"/>
      <c r="S1423" s="432" t="s">
        <v>1940</v>
      </c>
      <c r="T1423" s="432">
        <v>60</v>
      </c>
      <c r="U1423" s="432"/>
      <c r="V1423" s="432" t="s">
        <v>973</v>
      </c>
      <c r="W1423" s="432">
        <v>400</v>
      </c>
      <c r="X1423" s="436">
        <v>832</v>
      </c>
      <c r="Y1423" s="422">
        <f t="shared" si="171"/>
        <v>332800</v>
      </c>
      <c r="Z1423" s="409">
        <v>0.53500000000000003</v>
      </c>
      <c r="AA1423" s="423">
        <f t="shared" si="172"/>
        <v>178048</v>
      </c>
      <c r="AB1423" s="411"/>
      <c r="AC1423" s="412">
        <f t="shared" si="173"/>
        <v>0</v>
      </c>
      <c r="AD1423" s="421"/>
      <c r="AE1423" s="413"/>
      <c r="AF1423" s="424">
        <f t="shared" si="174"/>
        <v>178048</v>
      </c>
      <c r="AG1423" s="405" t="s">
        <v>1069</v>
      </c>
      <c r="AH1423" s="405"/>
      <c r="AI1423" s="414">
        <v>60</v>
      </c>
      <c r="AJ1423" s="405" t="s">
        <v>1454</v>
      </c>
      <c r="AK1423" s="425" t="s">
        <v>1136</v>
      </c>
      <c r="AL1423" s="405">
        <v>78744</v>
      </c>
      <c r="AM1423" s="405" t="s">
        <v>52</v>
      </c>
      <c r="AN1423" s="405"/>
      <c r="AO1423" s="405"/>
      <c r="AP1423" s="417"/>
      <c r="AQ1423" s="417" t="s">
        <v>37</v>
      </c>
      <c r="AR1423" s="417" t="s">
        <v>3795</v>
      </c>
      <c r="AS1423" s="426"/>
      <c r="AT1423" s="426"/>
      <c r="AU1423" s="426"/>
      <c r="AV1423" s="409">
        <v>0.80577777777000004</v>
      </c>
    </row>
    <row r="1424" spans="1:48" s="402" customFormat="1" ht="15" customHeight="1">
      <c r="A1424" s="403"/>
      <c r="B1424" s="445">
        <v>44655</v>
      </c>
      <c r="C1424" s="403"/>
      <c r="D1424" s="443" t="s">
        <v>2480</v>
      </c>
      <c r="E1424" s="432" t="s">
        <v>2544</v>
      </c>
      <c r="F1424" s="432"/>
      <c r="G1424" s="432">
        <v>2022</v>
      </c>
      <c r="H1424" s="432"/>
      <c r="I1424" s="432" t="s">
        <v>1498</v>
      </c>
      <c r="J1424" s="444"/>
      <c r="K1424" s="434" t="s">
        <v>3817</v>
      </c>
      <c r="L1424" s="432" t="s">
        <v>2549</v>
      </c>
      <c r="M1424" s="435">
        <v>44652</v>
      </c>
      <c r="N1424" s="435">
        <v>44746</v>
      </c>
      <c r="O1424" s="435"/>
      <c r="P1424" s="433"/>
      <c r="Q1424" s="433"/>
      <c r="R1424" s="433"/>
      <c r="S1424" s="432" t="s">
        <v>1443</v>
      </c>
      <c r="T1424" s="432">
        <v>60</v>
      </c>
      <c r="U1424" s="432"/>
      <c r="V1424" s="432" t="s">
        <v>986</v>
      </c>
      <c r="W1424" s="432">
        <v>360</v>
      </c>
      <c r="X1424" s="436">
        <v>768</v>
      </c>
      <c r="Y1424" s="422">
        <f t="shared" si="171"/>
        <v>276480</v>
      </c>
      <c r="Z1424" s="409">
        <v>0.53500000000000003</v>
      </c>
      <c r="AA1424" s="423">
        <f t="shared" si="172"/>
        <v>147916.80000000002</v>
      </c>
      <c r="AB1424" s="411"/>
      <c r="AC1424" s="412">
        <f t="shared" si="173"/>
        <v>0</v>
      </c>
      <c r="AD1424" s="421"/>
      <c r="AE1424" s="413"/>
      <c r="AF1424" s="424">
        <f t="shared" si="174"/>
        <v>147916.80000000002</v>
      </c>
      <c r="AG1424" s="405" t="s">
        <v>1069</v>
      </c>
      <c r="AH1424" s="405"/>
      <c r="AI1424" s="414">
        <v>60</v>
      </c>
      <c r="AJ1424" s="405" t="s">
        <v>2510</v>
      </c>
      <c r="AK1424" s="425" t="s">
        <v>50</v>
      </c>
      <c r="AL1424" s="405">
        <v>92841</v>
      </c>
      <c r="AM1424" s="405" t="s">
        <v>52</v>
      </c>
      <c r="AN1424" s="405"/>
      <c r="AO1424" s="405"/>
      <c r="AP1424" s="417"/>
      <c r="AQ1424" s="417" t="s">
        <v>37</v>
      </c>
      <c r="AR1424" s="417"/>
      <c r="AS1424" s="426"/>
      <c r="AT1424" s="426"/>
      <c r="AU1424" s="426"/>
      <c r="AV1424" s="409">
        <v>0.80577777777000004</v>
      </c>
    </row>
    <row r="1425" spans="1:48" s="402" customFormat="1" ht="15" customHeight="1">
      <c r="A1425" s="403"/>
      <c r="B1425" s="445">
        <v>44622</v>
      </c>
      <c r="C1425" s="403"/>
      <c r="D1425" s="443" t="s">
        <v>2480</v>
      </c>
      <c r="E1425" s="432" t="s">
        <v>2544</v>
      </c>
      <c r="F1425" s="432"/>
      <c r="G1425" s="432">
        <v>2022</v>
      </c>
      <c r="H1425" s="432"/>
      <c r="I1425" s="432" t="s">
        <v>1498</v>
      </c>
      <c r="J1425" s="444"/>
      <c r="K1425" s="434" t="s">
        <v>3818</v>
      </c>
      <c r="L1425" s="432" t="s">
        <v>2549</v>
      </c>
      <c r="M1425" s="435">
        <v>44622</v>
      </c>
      <c r="N1425" s="435">
        <v>44897</v>
      </c>
      <c r="O1425" s="435"/>
      <c r="P1425" s="433"/>
      <c r="Q1425" s="433"/>
      <c r="R1425" s="433"/>
      <c r="S1425" s="432" t="s">
        <v>1940</v>
      </c>
      <c r="T1425" s="432">
        <v>60</v>
      </c>
      <c r="U1425" s="432"/>
      <c r="V1425" s="432" t="s">
        <v>973</v>
      </c>
      <c r="W1425" s="432">
        <v>400</v>
      </c>
      <c r="X1425" s="436">
        <v>832</v>
      </c>
      <c r="Y1425" s="422">
        <f t="shared" si="171"/>
        <v>332800</v>
      </c>
      <c r="Z1425" s="409">
        <v>0.53500000000000003</v>
      </c>
      <c r="AA1425" s="423">
        <f t="shared" si="172"/>
        <v>178048</v>
      </c>
      <c r="AB1425" s="411"/>
      <c r="AC1425" s="412">
        <f t="shared" si="173"/>
        <v>0</v>
      </c>
      <c r="AD1425" s="421"/>
      <c r="AE1425" s="413"/>
      <c r="AF1425" s="424">
        <f t="shared" si="174"/>
        <v>178048</v>
      </c>
      <c r="AG1425" s="405" t="s">
        <v>1069</v>
      </c>
      <c r="AH1425" s="405"/>
      <c r="AI1425" s="414">
        <v>60</v>
      </c>
      <c r="AJ1425" s="405" t="s">
        <v>1454</v>
      </c>
      <c r="AK1425" s="425" t="s">
        <v>1136</v>
      </c>
      <c r="AL1425" s="405">
        <v>78744</v>
      </c>
      <c r="AM1425" s="405" t="s">
        <v>52</v>
      </c>
      <c r="AN1425" s="405"/>
      <c r="AO1425" s="405"/>
      <c r="AP1425" s="417"/>
      <c r="AQ1425" s="417" t="s">
        <v>37</v>
      </c>
      <c r="AR1425" s="417" t="s">
        <v>3795</v>
      </c>
      <c r="AS1425" s="426"/>
      <c r="AT1425" s="426"/>
      <c r="AU1425" s="426"/>
      <c r="AV1425" s="409">
        <v>0.80577777777000004</v>
      </c>
    </row>
    <row r="1426" spans="1:48" s="402" customFormat="1" ht="15" customHeight="1">
      <c r="A1426" s="403"/>
      <c r="B1426" s="445">
        <v>44655</v>
      </c>
      <c r="C1426" s="403"/>
      <c r="D1426" s="443" t="s">
        <v>2480</v>
      </c>
      <c r="E1426" s="432" t="s">
        <v>2544</v>
      </c>
      <c r="F1426" s="432"/>
      <c r="G1426" s="432">
        <v>2022</v>
      </c>
      <c r="H1426" s="432"/>
      <c r="I1426" s="432" t="s">
        <v>1498</v>
      </c>
      <c r="J1426" s="444"/>
      <c r="K1426" s="434" t="s">
        <v>3819</v>
      </c>
      <c r="L1426" s="432" t="s">
        <v>2549</v>
      </c>
      <c r="M1426" s="435">
        <v>44652</v>
      </c>
      <c r="N1426" s="435">
        <v>44774</v>
      </c>
      <c r="O1426" s="435"/>
      <c r="P1426" s="433"/>
      <c r="Q1426" s="433"/>
      <c r="R1426" s="433"/>
      <c r="S1426" s="432" t="s">
        <v>1443</v>
      </c>
      <c r="T1426" s="432">
        <v>60</v>
      </c>
      <c r="U1426" s="432"/>
      <c r="V1426" s="432" t="s">
        <v>986</v>
      </c>
      <c r="W1426" s="432">
        <v>360</v>
      </c>
      <c r="X1426" s="436">
        <v>768</v>
      </c>
      <c r="Y1426" s="422">
        <f t="shared" si="171"/>
        <v>276480</v>
      </c>
      <c r="Z1426" s="409">
        <v>0.53500000000000003</v>
      </c>
      <c r="AA1426" s="423">
        <f t="shared" si="172"/>
        <v>147916.80000000002</v>
      </c>
      <c r="AB1426" s="411"/>
      <c r="AC1426" s="412">
        <f t="shared" si="173"/>
        <v>0</v>
      </c>
      <c r="AD1426" s="421"/>
      <c r="AE1426" s="413"/>
      <c r="AF1426" s="424">
        <f t="shared" si="174"/>
        <v>147916.80000000002</v>
      </c>
      <c r="AG1426" s="405" t="s">
        <v>1069</v>
      </c>
      <c r="AH1426" s="405"/>
      <c r="AI1426" s="414">
        <v>60</v>
      </c>
      <c r="AJ1426" s="405" t="s">
        <v>2510</v>
      </c>
      <c r="AK1426" s="425" t="s">
        <v>50</v>
      </c>
      <c r="AL1426" s="405">
        <v>92841</v>
      </c>
      <c r="AM1426" s="405" t="s">
        <v>52</v>
      </c>
      <c r="AN1426" s="405"/>
      <c r="AO1426" s="405"/>
      <c r="AP1426" s="417"/>
      <c r="AQ1426" s="417" t="s">
        <v>37</v>
      </c>
      <c r="AR1426" s="417"/>
      <c r="AS1426" s="426"/>
      <c r="AT1426" s="426"/>
      <c r="AU1426" s="426"/>
      <c r="AV1426" s="409">
        <v>0.80577777777000004</v>
      </c>
    </row>
    <row r="1427" spans="1:48" s="402" customFormat="1" ht="15" customHeight="1">
      <c r="A1427" s="403"/>
      <c r="B1427" s="445">
        <v>44652</v>
      </c>
      <c r="C1427" s="467">
        <v>44671</v>
      </c>
      <c r="D1427" s="443" t="s">
        <v>2480</v>
      </c>
      <c r="E1427" s="432" t="s">
        <v>2544</v>
      </c>
      <c r="F1427" s="432"/>
      <c r="G1427" s="432">
        <v>2022</v>
      </c>
      <c r="H1427" s="432">
        <v>5</v>
      </c>
      <c r="I1427" s="432" t="s">
        <v>1498</v>
      </c>
      <c r="J1427" s="444"/>
      <c r="K1427" s="434" t="s">
        <v>3820</v>
      </c>
      <c r="L1427" s="432" t="s">
        <v>2549</v>
      </c>
      <c r="M1427" s="435">
        <v>44649</v>
      </c>
      <c r="N1427" s="435">
        <v>44690</v>
      </c>
      <c r="O1427" s="435"/>
      <c r="P1427" s="433"/>
      <c r="Q1427" s="433"/>
      <c r="R1427" s="433"/>
      <c r="S1427" s="432" t="s">
        <v>2541</v>
      </c>
      <c r="T1427" s="432">
        <v>60</v>
      </c>
      <c r="U1427" s="432"/>
      <c r="V1427" s="432" t="s">
        <v>973</v>
      </c>
      <c r="W1427" s="432">
        <v>400</v>
      </c>
      <c r="X1427" s="436">
        <v>768</v>
      </c>
      <c r="Y1427" s="422">
        <f t="shared" si="171"/>
        <v>307200</v>
      </c>
      <c r="Z1427" s="409">
        <v>0.52500000000000002</v>
      </c>
      <c r="AA1427" s="423">
        <f t="shared" si="172"/>
        <v>161280</v>
      </c>
      <c r="AB1427" s="411"/>
      <c r="AC1427" s="412">
        <f t="shared" si="173"/>
        <v>0</v>
      </c>
      <c r="AD1427" s="421"/>
      <c r="AE1427" s="413"/>
      <c r="AF1427" s="424">
        <f t="shared" si="174"/>
        <v>161280</v>
      </c>
      <c r="AG1427" s="405" t="s">
        <v>1069</v>
      </c>
      <c r="AH1427" s="405"/>
      <c r="AI1427" s="414">
        <v>60</v>
      </c>
      <c r="AJ1427" s="405" t="s">
        <v>1454</v>
      </c>
      <c r="AK1427" s="425" t="s">
        <v>1136</v>
      </c>
      <c r="AL1427" s="405">
        <v>78744</v>
      </c>
      <c r="AM1427" s="405" t="s">
        <v>52</v>
      </c>
      <c r="AN1427" s="405"/>
      <c r="AO1427" s="405"/>
      <c r="AP1427" s="417"/>
      <c r="AQ1427" s="417" t="s">
        <v>37</v>
      </c>
      <c r="AR1427" s="417" t="s">
        <v>3795</v>
      </c>
      <c r="AS1427" s="426"/>
      <c r="AT1427" s="426"/>
      <c r="AU1427" s="426"/>
      <c r="AV1427" s="409">
        <v>0.80577777777000004</v>
      </c>
    </row>
    <row r="1428" spans="1:48" s="402" customFormat="1" ht="15" customHeight="1">
      <c r="A1428" s="403"/>
      <c r="B1428" s="445">
        <v>44671</v>
      </c>
      <c r="C1428" s="403"/>
      <c r="D1428" s="443" t="s">
        <v>2480</v>
      </c>
      <c r="E1428" s="432" t="s">
        <v>2544</v>
      </c>
      <c r="F1428" s="432"/>
      <c r="G1428" s="432">
        <v>2022</v>
      </c>
      <c r="H1428" s="432"/>
      <c r="I1428" s="432" t="s">
        <v>1498</v>
      </c>
      <c r="J1428" s="444"/>
      <c r="K1428" s="434" t="s">
        <v>4212</v>
      </c>
      <c r="L1428" s="432" t="s">
        <v>2549</v>
      </c>
      <c r="M1428" s="435">
        <v>44670</v>
      </c>
      <c r="N1428" s="435">
        <v>44812</v>
      </c>
      <c r="O1428" s="435"/>
      <c r="P1428" s="433"/>
      <c r="Q1428" s="433"/>
      <c r="R1428" s="433"/>
      <c r="S1428" s="432" t="s">
        <v>2541</v>
      </c>
      <c r="T1428" s="432">
        <v>60</v>
      </c>
      <c r="U1428" s="432"/>
      <c r="V1428" s="432" t="s">
        <v>973</v>
      </c>
      <c r="W1428" s="432">
        <v>400</v>
      </c>
      <c r="X1428" s="436">
        <v>768</v>
      </c>
      <c r="Y1428" s="422">
        <f t="shared" si="171"/>
        <v>307200</v>
      </c>
      <c r="Z1428" s="409">
        <v>0.53</v>
      </c>
      <c r="AA1428" s="423">
        <f t="shared" si="172"/>
        <v>162816</v>
      </c>
      <c r="AB1428" s="411"/>
      <c r="AC1428" s="412">
        <f t="shared" si="173"/>
        <v>0</v>
      </c>
      <c r="AD1428" s="421"/>
      <c r="AE1428" s="413"/>
      <c r="AF1428" s="424">
        <f t="shared" si="174"/>
        <v>162816</v>
      </c>
      <c r="AG1428" s="405" t="s">
        <v>1069</v>
      </c>
      <c r="AH1428" s="405"/>
      <c r="AI1428" s="414">
        <v>60</v>
      </c>
      <c r="AJ1428" s="405" t="s">
        <v>1881</v>
      </c>
      <c r="AK1428" s="425" t="s">
        <v>1081</v>
      </c>
      <c r="AL1428" s="405">
        <v>32809</v>
      </c>
      <c r="AM1428" s="405" t="s">
        <v>52</v>
      </c>
      <c r="AN1428" s="405"/>
      <c r="AO1428" s="405"/>
      <c r="AP1428" s="417"/>
      <c r="AQ1428" s="417" t="s">
        <v>37</v>
      </c>
      <c r="AR1428" s="417" t="s">
        <v>3795</v>
      </c>
      <c r="AS1428" s="426"/>
      <c r="AT1428" s="426"/>
      <c r="AU1428" s="426"/>
      <c r="AV1428" s="409">
        <v>0.80577777777000004</v>
      </c>
    </row>
    <row r="1429" spans="1:48" s="402" customFormat="1" ht="15" customHeight="1">
      <c r="A1429" s="403"/>
      <c r="B1429" s="445">
        <v>44671</v>
      </c>
      <c r="C1429" s="403"/>
      <c r="D1429" s="443" t="s">
        <v>2480</v>
      </c>
      <c r="E1429" s="432" t="s">
        <v>2544</v>
      </c>
      <c r="F1429" s="432"/>
      <c r="G1429" s="432">
        <v>2022</v>
      </c>
      <c r="H1429" s="432"/>
      <c r="I1429" s="432" t="s">
        <v>1498</v>
      </c>
      <c r="J1429" s="444"/>
      <c r="K1429" s="434" t="s">
        <v>4213</v>
      </c>
      <c r="L1429" s="432" t="s">
        <v>2549</v>
      </c>
      <c r="M1429" s="435">
        <v>44670</v>
      </c>
      <c r="N1429" s="435">
        <v>44819</v>
      </c>
      <c r="O1429" s="435"/>
      <c r="P1429" s="433"/>
      <c r="Q1429" s="433"/>
      <c r="R1429" s="433"/>
      <c r="S1429" s="432" t="s">
        <v>2541</v>
      </c>
      <c r="T1429" s="432">
        <v>60</v>
      </c>
      <c r="U1429" s="432"/>
      <c r="V1429" s="432" t="s">
        <v>986</v>
      </c>
      <c r="W1429" s="432">
        <v>360</v>
      </c>
      <c r="X1429" s="436">
        <v>832</v>
      </c>
      <c r="Y1429" s="422">
        <f t="shared" si="171"/>
        <v>299520</v>
      </c>
      <c r="Z1429" s="409">
        <v>0.505</v>
      </c>
      <c r="AA1429" s="423">
        <f t="shared" si="172"/>
        <v>151257.60000000001</v>
      </c>
      <c r="AB1429" s="411"/>
      <c r="AC1429" s="412">
        <f t="shared" si="173"/>
        <v>0</v>
      </c>
      <c r="AD1429" s="421"/>
      <c r="AE1429" s="413"/>
      <c r="AF1429" s="424">
        <f t="shared" si="174"/>
        <v>151257.60000000001</v>
      </c>
      <c r="AG1429" s="405" t="s">
        <v>1069</v>
      </c>
      <c r="AH1429" s="405"/>
      <c r="AI1429" s="414">
        <v>60</v>
      </c>
      <c r="AJ1429" s="405" t="s">
        <v>1881</v>
      </c>
      <c r="AK1429" s="425" t="s">
        <v>1081</v>
      </c>
      <c r="AL1429" s="405">
        <v>32809</v>
      </c>
      <c r="AM1429" s="405" t="s">
        <v>52</v>
      </c>
      <c r="AN1429" s="405"/>
      <c r="AO1429" s="405"/>
      <c r="AP1429" s="417"/>
      <c r="AQ1429" s="417" t="s">
        <v>37</v>
      </c>
      <c r="AR1429" s="417" t="s">
        <v>3795</v>
      </c>
      <c r="AS1429" s="426"/>
      <c r="AT1429" s="426"/>
      <c r="AU1429" s="426"/>
      <c r="AV1429" s="409">
        <v>0.80577777777000004</v>
      </c>
    </row>
    <row r="1430" spans="1:48" s="402" customFormat="1" ht="15" customHeight="1">
      <c r="A1430" s="403"/>
      <c r="B1430" s="445">
        <v>44671</v>
      </c>
      <c r="C1430" s="403"/>
      <c r="D1430" s="443" t="s">
        <v>2480</v>
      </c>
      <c r="E1430" s="432" t="s">
        <v>2544</v>
      </c>
      <c r="F1430" s="432"/>
      <c r="G1430" s="432">
        <v>2022</v>
      </c>
      <c r="H1430" s="432"/>
      <c r="I1430" s="432" t="s">
        <v>1498</v>
      </c>
      <c r="J1430" s="444"/>
      <c r="K1430" s="434" t="s">
        <v>4214</v>
      </c>
      <c r="L1430" s="432" t="s">
        <v>2549</v>
      </c>
      <c r="M1430" s="435">
        <v>44670</v>
      </c>
      <c r="N1430" s="435">
        <v>44826</v>
      </c>
      <c r="O1430" s="435"/>
      <c r="P1430" s="433"/>
      <c r="Q1430" s="433"/>
      <c r="R1430" s="433"/>
      <c r="S1430" s="432" t="s">
        <v>2541</v>
      </c>
      <c r="T1430" s="432">
        <v>60</v>
      </c>
      <c r="U1430" s="432"/>
      <c r="V1430" s="432" t="s">
        <v>973</v>
      </c>
      <c r="W1430" s="432">
        <v>400</v>
      </c>
      <c r="X1430" s="436">
        <v>768</v>
      </c>
      <c r="Y1430" s="422">
        <f t="shared" si="171"/>
        <v>307200</v>
      </c>
      <c r="Z1430" s="409">
        <v>0.53</v>
      </c>
      <c r="AA1430" s="423">
        <f t="shared" si="172"/>
        <v>162816</v>
      </c>
      <c r="AB1430" s="411"/>
      <c r="AC1430" s="412">
        <f t="shared" si="173"/>
        <v>0</v>
      </c>
      <c r="AD1430" s="421"/>
      <c r="AE1430" s="413"/>
      <c r="AF1430" s="424">
        <f t="shared" si="174"/>
        <v>162816</v>
      </c>
      <c r="AG1430" s="405" t="s">
        <v>1069</v>
      </c>
      <c r="AH1430" s="405"/>
      <c r="AI1430" s="414">
        <v>60</v>
      </c>
      <c r="AJ1430" s="405" t="s">
        <v>1881</v>
      </c>
      <c r="AK1430" s="425" t="s">
        <v>1081</v>
      </c>
      <c r="AL1430" s="405">
        <v>32809</v>
      </c>
      <c r="AM1430" s="405" t="s">
        <v>52</v>
      </c>
      <c r="AN1430" s="405"/>
      <c r="AO1430" s="405"/>
      <c r="AP1430" s="417"/>
      <c r="AQ1430" s="417" t="s">
        <v>37</v>
      </c>
      <c r="AR1430" s="417" t="s">
        <v>3795</v>
      </c>
      <c r="AS1430" s="426"/>
      <c r="AT1430" s="426"/>
      <c r="AU1430" s="426"/>
      <c r="AV1430" s="409">
        <v>0.80577777777000004</v>
      </c>
    </row>
    <row r="1431" spans="1:48" s="402" customFormat="1" ht="15" customHeight="1">
      <c r="A1431" s="403"/>
      <c r="B1431" s="445">
        <v>44655</v>
      </c>
      <c r="C1431" s="403"/>
      <c r="D1431" s="443" t="s">
        <v>2480</v>
      </c>
      <c r="E1431" s="432" t="s">
        <v>2544</v>
      </c>
      <c r="F1431" s="432"/>
      <c r="G1431" s="432">
        <v>2022</v>
      </c>
      <c r="H1431" s="432"/>
      <c r="I1431" s="432" t="s">
        <v>1498</v>
      </c>
      <c r="J1431" s="444"/>
      <c r="K1431" s="434" t="s">
        <v>3823</v>
      </c>
      <c r="L1431" s="432" t="s">
        <v>2549</v>
      </c>
      <c r="M1431" s="435">
        <v>44652</v>
      </c>
      <c r="N1431" s="435">
        <v>44809</v>
      </c>
      <c r="O1431" s="435"/>
      <c r="P1431" s="433"/>
      <c r="Q1431" s="433"/>
      <c r="R1431" s="433"/>
      <c r="S1431" s="432" t="s">
        <v>1443</v>
      </c>
      <c r="T1431" s="432">
        <v>60</v>
      </c>
      <c r="U1431" s="432"/>
      <c r="V1431" s="432" t="s">
        <v>986</v>
      </c>
      <c r="W1431" s="432">
        <v>360</v>
      </c>
      <c r="X1431" s="436">
        <v>768</v>
      </c>
      <c r="Y1431" s="422">
        <f t="shared" si="171"/>
        <v>276480</v>
      </c>
      <c r="Z1431" s="409">
        <v>0.53500000000000003</v>
      </c>
      <c r="AA1431" s="423">
        <f t="shared" si="172"/>
        <v>147916.80000000002</v>
      </c>
      <c r="AB1431" s="411"/>
      <c r="AC1431" s="412">
        <f t="shared" si="173"/>
        <v>0</v>
      </c>
      <c r="AD1431" s="421"/>
      <c r="AE1431" s="413"/>
      <c r="AF1431" s="424">
        <f t="shared" si="174"/>
        <v>147916.80000000002</v>
      </c>
      <c r="AG1431" s="405" t="s">
        <v>1069</v>
      </c>
      <c r="AH1431" s="405"/>
      <c r="AI1431" s="414">
        <v>60</v>
      </c>
      <c r="AJ1431" s="405" t="s">
        <v>2510</v>
      </c>
      <c r="AK1431" s="425" t="s">
        <v>50</v>
      </c>
      <c r="AL1431" s="405">
        <v>92841</v>
      </c>
      <c r="AM1431" s="405" t="s">
        <v>52</v>
      </c>
      <c r="AN1431" s="405"/>
      <c r="AO1431" s="405"/>
      <c r="AP1431" s="417"/>
      <c r="AQ1431" s="417" t="s">
        <v>37</v>
      </c>
      <c r="AR1431" s="417"/>
      <c r="AS1431" s="426"/>
      <c r="AT1431" s="426"/>
      <c r="AU1431" s="426"/>
      <c r="AV1431" s="409">
        <v>0.80577777777000004</v>
      </c>
    </row>
    <row r="1432" spans="1:48" s="402" customFormat="1" ht="15" customHeight="1">
      <c r="A1432" s="403"/>
      <c r="B1432" s="446">
        <v>44649</v>
      </c>
      <c r="C1432" s="403"/>
      <c r="D1432" s="443" t="s">
        <v>2480</v>
      </c>
      <c r="E1432" s="432" t="s">
        <v>2406</v>
      </c>
      <c r="F1432" s="432"/>
      <c r="G1432" s="432">
        <v>2022</v>
      </c>
      <c r="H1432" s="432">
        <v>12</v>
      </c>
      <c r="I1432" s="432" t="s">
        <v>1498</v>
      </c>
      <c r="J1432" s="444"/>
      <c r="K1432" s="434" t="s">
        <v>3824</v>
      </c>
      <c r="L1432" s="432" t="s">
        <v>2514</v>
      </c>
      <c r="M1432" s="435">
        <v>44649</v>
      </c>
      <c r="N1432" s="435">
        <v>44713</v>
      </c>
      <c r="O1432" s="435"/>
      <c r="P1432" s="433"/>
      <c r="Q1432" s="433"/>
      <c r="R1432" s="433"/>
      <c r="S1432" s="432" t="s">
        <v>1443</v>
      </c>
      <c r="T1432" s="432">
        <v>60</v>
      </c>
      <c r="U1432" s="432"/>
      <c r="V1432" s="432" t="s">
        <v>973</v>
      </c>
      <c r="W1432" s="432">
        <v>400</v>
      </c>
      <c r="X1432" s="436">
        <v>768</v>
      </c>
      <c r="Y1432" s="422">
        <f t="shared" si="171"/>
        <v>307200</v>
      </c>
      <c r="Z1432" s="409">
        <v>0.55500000000000005</v>
      </c>
      <c r="AA1432" s="423">
        <f t="shared" si="172"/>
        <v>170496.00000000003</v>
      </c>
      <c r="AB1432" s="411"/>
      <c r="AC1432" s="412">
        <f t="shared" si="173"/>
        <v>0</v>
      </c>
      <c r="AD1432" s="421"/>
      <c r="AE1432" s="413"/>
      <c r="AF1432" s="424">
        <f t="shared" si="174"/>
        <v>170496.00000000003</v>
      </c>
      <c r="AG1432" s="405" t="s">
        <v>1069</v>
      </c>
      <c r="AH1432" s="405"/>
      <c r="AI1432" s="414">
        <v>60</v>
      </c>
      <c r="AJ1432" s="405" t="s">
        <v>2515</v>
      </c>
      <c r="AK1432" s="425" t="s">
        <v>50</v>
      </c>
      <c r="AL1432" s="405">
        <v>95363</v>
      </c>
      <c r="AM1432" s="405" t="s">
        <v>52</v>
      </c>
      <c r="AN1432" s="405"/>
      <c r="AO1432" s="405"/>
      <c r="AP1432" s="417"/>
      <c r="AQ1432" s="417" t="s">
        <v>37</v>
      </c>
      <c r="AR1432" s="417"/>
      <c r="AS1432" s="426"/>
      <c r="AT1432" s="426"/>
      <c r="AU1432" s="426"/>
      <c r="AV1432" s="409">
        <v>0.80577777777000004</v>
      </c>
    </row>
    <row r="1433" spans="1:48" s="402" customFormat="1" ht="15" customHeight="1">
      <c r="A1433" s="403"/>
      <c r="B1433" s="445">
        <v>44655</v>
      </c>
      <c r="C1433" s="403"/>
      <c r="D1433" s="443" t="s">
        <v>2480</v>
      </c>
      <c r="E1433" s="432" t="s">
        <v>2544</v>
      </c>
      <c r="F1433" s="432"/>
      <c r="G1433" s="432">
        <v>2022</v>
      </c>
      <c r="H1433" s="432"/>
      <c r="I1433" s="432" t="s">
        <v>1498</v>
      </c>
      <c r="J1433" s="444"/>
      <c r="K1433" s="434" t="s">
        <v>3825</v>
      </c>
      <c r="L1433" s="432" t="s">
        <v>2549</v>
      </c>
      <c r="M1433" s="435">
        <v>44652</v>
      </c>
      <c r="N1433" s="435">
        <v>44837</v>
      </c>
      <c r="O1433" s="435"/>
      <c r="P1433" s="433"/>
      <c r="Q1433" s="433"/>
      <c r="R1433" s="433"/>
      <c r="S1433" s="432" t="s">
        <v>1443</v>
      </c>
      <c r="T1433" s="432">
        <v>60</v>
      </c>
      <c r="U1433" s="432"/>
      <c r="V1433" s="432" t="s">
        <v>1557</v>
      </c>
      <c r="W1433" s="432">
        <v>360</v>
      </c>
      <c r="X1433" s="436">
        <v>768</v>
      </c>
      <c r="Y1433" s="422">
        <f t="shared" si="171"/>
        <v>276480</v>
      </c>
      <c r="Z1433" s="409">
        <v>0.53500000000000003</v>
      </c>
      <c r="AA1433" s="423">
        <f t="shared" si="172"/>
        <v>147916.80000000002</v>
      </c>
      <c r="AB1433" s="411"/>
      <c r="AC1433" s="412">
        <f t="shared" si="173"/>
        <v>0</v>
      </c>
      <c r="AD1433" s="421"/>
      <c r="AE1433" s="413"/>
      <c r="AF1433" s="424">
        <f t="shared" si="174"/>
        <v>147916.80000000002</v>
      </c>
      <c r="AG1433" s="405" t="s">
        <v>1069</v>
      </c>
      <c r="AH1433" s="405"/>
      <c r="AI1433" s="414">
        <v>60</v>
      </c>
      <c r="AJ1433" s="405" t="s">
        <v>2510</v>
      </c>
      <c r="AK1433" s="425" t="s">
        <v>50</v>
      </c>
      <c r="AL1433" s="405">
        <v>92841</v>
      </c>
      <c r="AM1433" s="405" t="s">
        <v>52</v>
      </c>
      <c r="AN1433" s="405"/>
      <c r="AO1433" s="405"/>
      <c r="AP1433" s="417"/>
      <c r="AQ1433" s="417" t="s">
        <v>37</v>
      </c>
      <c r="AR1433" s="417"/>
      <c r="AS1433" s="426"/>
      <c r="AT1433" s="426"/>
      <c r="AU1433" s="426"/>
      <c r="AV1433" s="409">
        <v>0.80577777777000004</v>
      </c>
    </row>
    <row r="1434" spans="1:48" s="402" customFormat="1" ht="15" customHeight="1">
      <c r="A1434" s="403"/>
      <c r="B1434" s="446">
        <v>44649</v>
      </c>
      <c r="C1434" s="403"/>
      <c r="D1434" s="443" t="s">
        <v>2480</v>
      </c>
      <c r="E1434" s="432" t="s">
        <v>2406</v>
      </c>
      <c r="F1434" s="432"/>
      <c r="G1434" s="432">
        <v>2022</v>
      </c>
      <c r="H1434" s="432"/>
      <c r="I1434" s="432" t="s">
        <v>1498</v>
      </c>
      <c r="J1434" s="444"/>
      <c r="K1434" s="434" t="s">
        <v>3826</v>
      </c>
      <c r="L1434" s="432" t="s">
        <v>2514</v>
      </c>
      <c r="M1434" s="435">
        <v>44649</v>
      </c>
      <c r="N1434" s="435">
        <v>44774</v>
      </c>
      <c r="O1434" s="435"/>
      <c r="P1434" s="433"/>
      <c r="Q1434" s="433"/>
      <c r="R1434" s="433"/>
      <c r="S1434" s="432" t="s">
        <v>1443</v>
      </c>
      <c r="T1434" s="432">
        <v>60</v>
      </c>
      <c r="U1434" s="432"/>
      <c r="V1434" s="432" t="s">
        <v>973</v>
      </c>
      <c r="W1434" s="432">
        <v>400</v>
      </c>
      <c r="X1434" s="436">
        <v>768</v>
      </c>
      <c r="Y1434" s="422">
        <f t="shared" si="171"/>
        <v>307200</v>
      </c>
      <c r="Z1434" s="409">
        <v>0.55500000000000005</v>
      </c>
      <c r="AA1434" s="423">
        <f t="shared" si="172"/>
        <v>170496.00000000003</v>
      </c>
      <c r="AB1434" s="411"/>
      <c r="AC1434" s="412">
        <f t="shared" si="173"/>
        <v>0</v>
      </c>
      <c r="AD1434" s="421"/>
      <c r="AE1434" s="413"/>
      <c r="AF1434" s="424">
        <f t="shared" si="174"/>
        <v>170496.00000000003</v>
      </c>
      <c r="AG1434" s="405" t="s">
        <v>1069</v>
      </c>
      <c r="AH1434" s="405"/>
      <c r="AI1434" s="414">
        <v>60</v>
      </c>
      <c r="AJ1434" s="405" t="s">
        <v>2515</v>
      </c>
      <c r="AK1434" s="425" t="s">
        <v>50</v>
      </c>
      <c r="AL1434" s="405">
        <v>95363</v>
      </c>
      <c r="AM1434" s="405" t="s">
        <v>52</v>
      </c>
      <c r="AN1434" s="405"/>
      <c r="AO1434" s="405"/>
      <c r="AP1434" s="417"/>
      <c r="AQ1434" s="417" t="s">
        <v>37</v>
      </c>
      <c r="AR1434" s="417"/>
      <c r="AS1434" s="426"/>
      <c r="AT1434" s="426"/>
      <c r="AU1434" s="426"/>
      <c r="AV1434" s="409">
        <v>0.80577777777000004</v>
      </c>
    </row>
    <row r="1435" spans="1:48" s="402" customFormat="1" ht="15" customHeight="1">
      <c r="A1435" s="403"/>
      <c r="B1435" s="445">
        <v>44655</v>
      </c>
      <c r="C1435" s="403"/>
      <c r="D1435" s="443" t="s">
        <v>2480</v>
      </c>
      <c r="E1435" s="432" t="s">
        <v>2544</v>
      </c>
      <c r="F1435" s="432"/>
      <c r="G1435" s="432">
        <v>2022</v>
      </c>
      <c r="H1435" s="432"/>
      <c r="I1435" s="432" t="s">
        <v>1498</v>
      </c>
      <c r="J1435" s="444"/>
      <c r="K1435" s="434" t="s">
        <v>3827</v>
      </c>
      <c r="L1435" s="432" t="s">
        <v>2549</v>
      </c>
      <c r="M1435" s="435">
        <v>44652</v>
      </c>
      <c r="N1435" s="435">
        <v>44866</v>
      </c>
      <c r="O1435" s="435"/>
      <c r="P1435" s="433"/>
      <c r="Q1435" s="433"/>
      <c r="R1435" s="433"/>
      <c r="S1435" s="432" t="s">
        <v>1443</v>
      </c>
      <c r="T1435" s="432">
        <v>60</v>
      </c>
      <c r="U1435" s="432"/>
      <c r="V1435" s="432" t="s">
        <v>986</v>
      </c>
      <c r="W1435" s="432">
        <v>360</v>
      </c>
      <c r="X1435" s="436">
        <v>768</v>
      </c>
      <c r="Y1435" s="422">
        <f t="shared" si="171"/>
        <v>276480</v>
      </c>
      <c r="Z1435" s="409">
        <v>0.53500000000000003</v>
      </c>
      <c r="AA1435" s="423">
        <f t="shared" si="172"/>
        <v>147916.80000000002</v>
      </c>
      <c r="AB1435" s="411"/>
      <c r="AC1435" s="412">
        <f t="shared" si="173"/>
        <v>0</v>
      </c>
      <c r="AD1435" s="421"/>
      <c r="AE1435" s="413"/>
      <c r="AF1435" s="424">
        <f t="shared" si="174"/>
        <v>147916.80000000002</v>
      </c>
      <c r="AG1435" s="405" t="s">
        <v>1069</v>
      </c>
      <c r="AH1435" s="405"/>
      <c r="AI1435" s="414">
        <v>60</v>
      </c>
      <c r="AJ1435" s="405" t="s">
        <v>2510</v>
      </c>
      <c r="AK1435" s="425" t="s">
        <v>50</v>
      </c>
      <c r="AL1435" s="405">
        <v>92841</v>
      </c>
      <c r="AM1435" s="405" t="s">
        <v>52</v>
      </c>
      <c r="AN1435" s="405"/>
      <c r="AO1435" s="405"/>
      <c r="AP1435" s="417"/>
      <c r="AQ1435" s="417" t="s">
        <v>37</v>
      </c>
      <c r="AR1435" s="417"/>
      <c r="AS1435" s="426"/>
      <c r="AT1435" s="426"/>
      <c r="AU1435" s="426"/>
      <c r="AV1435" s="409">
        <v>0.80577777777000004</v>
      </c>
    </row>
    <row r="1436" spans="1:48" s="402" customFormat="1" ht="15" customHeight="1">
      <c r="A1436" s="403"/>
      <c r="B1436" s="445">
        <v>44655</v>
      </c>
      <c r="C1436" s="403"/>
      <c r="D1436" s="443" t="s">
        <v>2480</v>
      </c>
      <c r="E1436" s="432" t="s">
        <v>2544</v>
      </c>
      <c r="F1436" s="432"/>
      <c r="G1436" s="432">
        <v>2022</v>
      </c>
      <c r="H1436" s="432"/>
      <c r="I1436" s="432" t="s">
        <v>1498</v>
      </c>
      <c r="J1436" s="444"/>
      <c r="K1436" s="434" t="s">
        <v>3817</v>
      </c>
      <c r="L1436" s="432" t="s">
        <v>2549</v>
      </c>
      <c r="M1436" s="435">
        <v>44652</v>
      </c>
      <c r="N1436" s="435">
        <v>44746</v>
      </c>
      <c r="O1436" s="435"/>
      <c r="P1436" s="433"/>
      <c r="Q1436" s="433"/>
      <c r="R1436" s="433"/>
      <c r="S1436" s="432" t="s">
        <v>1443</v>
      </c>
      <c r="T1436" s="432">
        <v>60</v>
      </c>
      <c r="U1436" s="432"/>
      <c r="V1436" s="432" t="s">
        <v>973</v>
      </c>
      <c r="W1436" s="432">
        <v>400</v>
      </c>
      <c r="X1436" s="436">
        <v>1536</v>
      </c>
      <c r="Y1436" s="422">
        <f t="shared" si="171"/>
        <v>614400</v>
      </c>
      <c r="Z1436" s="409">
        <v>0.55500000000000005</v>
      </c>
      <c r="AA1436" s="423">
        <f t="shared" si="172"/>
        <v>340992.00000000006</v>
      </c>
      <c r="AB1436" s="411"/>
      <c r="AC1436" s="412">
        <f t="shared" si="173"/>
        <v>0</v>
      </c>
      <c r="AD1436" s="421"/>
      <c r="AE1436" s="413"/>
      <c r="AF1436" s="424">
        <f t="shared" si="174"/>
        <v>340992.00000000006</v>
      </c>
      <c r="AG1436" s="405" t="s">
        <v>1069</v>
      </c>
      <c r="AH1436" s="405"/>
      <c r="AI1436" s="414">
        <v>60</v>
      </c>
      <c r="AJ1436" s="405" t="s">
        <v>2510</v>
      </c>
      <c r="AK1436" s="425" t="s">
        <v>50</v>
      </c>
      <c r="AL1436" s="405">
        <v>92841</v>
      </c>
      <c r="AM1436" s="405" t="s">
        <v>52</v>
      </c>
      <c r="AN1436" s="405"/>
      <c r="AO1436" s="405"/>
      <c r="AP1436" s="417"/>
      <c r="AQ1436" s="417" t="s">
        <v>37</v>
      </c>
      <c r="AR1436" s="417"/>
      <c r="AS1436" s="426"/>
      <c r="AT1436" s="426"/>
      <c r="AU1436" s="426"/>
      <c r="AV1436" s="409">
        <v>0.80577777777000004</v>
      </c>
    </row>
    <row r="1437" spans="1:48" s="402" customFormat="1" ht="15" customHeight="1">
      <c r="A1437" s="403"/>
      <c r="B1437" s="445">
        <v>44655</v>
      </c>
      <c r="C1437" s="403"/>
      <c r="D1437" s="443" t="s">
        <v>2480</v>
      </c>
      <c r="E1437" s="432" t="s">
        <v>2544</v>
      </c>
      <c r="F1437" s="432"/>
      <c r="G1437" s="432">
        <v>2022</v>
      </c>
      <c r="H1437" s="432"/>
      <c r="I1437" s="432" t="s">
        <v>1498</v>
      </c>
      <c r="J1437" s="444"/>
      <c r="K1437" s="434" t="s">
        <v>3828</v>
      </c>
      <c r="L1437" s="432" t="s">
        <v>2549</v>
      </c>
      <c r="M1437" s="435">
        <v>44652</v>
      </c>
      <c r="N1437" s="435">
        <v>44746</v>
      </c>
      <c r="O1437" s="435"/>
      <c r="P1437" s="433"/>
      <c r="Q1437" s="433"/>
      <c r="R1437" s="433"/>
      <c r="S1437" s="432" t="s">
        <v>1443</v>
      </c>
      <c r="T1437" s="432">
        <v>60</v>
      </c>
      <c r="U1437" s="432"/>
      <c r="V1437" s="432" t="s">
        <v>986</v>
      </c>
      <c r="W1437" s="432">
        <v>360</v>
      </c>
      <c r="X1437" s="436">
        <v>1536</v>
      </c>
      <c r="Y1437" s="422">
        <f t="shared" si="171"/>
        <v>552960</v>
      </c>
      <c r="Z1437" s="409">
        <v>0.53500000000000003</v>
      </c>
      <c r="AA1437" s="423">
        <f t="shared" si="172"/>
        <v>295833.60000000003</v>
      </c>
      <c r="AB1437" s="411"/>
      <c r="AC1437" s="412">
        <f t="shared" si="173"/>
        <v>0</v>
      </c>
      <c r="AD1437" s="421"/>
      <c r="AE1437" s="413"/>
      <c r="AF1437" s="424">
        <f t="shared" si="174"/>
        <v>295833.60000000003</v>
      </c>
      <c r="AG1437" s="405" t="s">
        <v>1069</v>
      </c>
      <c r="AH1437" s="405"/>
      <c r="AI1437" s="414">
        <v>60</v>
      </c>
      <c r="AJ1437" s="405" t="s">
        <v>1448</v>
      </c>
      <c r="AK1437" s="425" t="s">
        <v>50</v>
      </c>
      <c r="AL1437" s="405">
        <v>94544</v>
      </c>
      <c r="AM1437" s="405" t="s">
        <v>52</v>
      </c>
      <c r="AN1437" s="405"/>
      <c r="AO1437" s="405"/>
      <c r="AP1437" s="417"/>
      <c r="AQ1437" s="417" t="s">
        <v>37</v>
      </c>
      <c r="AR1437" s="405"/>
      <c r="AS1437" s="426"/>
      <c r="AT1437" s="426"/>
      <c r="AU1437" s="426"/>
      <c r="AV1437" s="409">
        <v>0.80577777777000004</v>
      </c>
    </row>
    <row r="1438" spans="1:48" s="402" customFormat="1" ht="15" customHeight="1">
      <c r="A1438" s="403"/>
      <c r="B1438" s="445">
        <v>44655</v>
      </c>
      <c r="C1438" s="403"/>
      <c r="D1438" s="443" t="s">
        <v>2480</v>
      </c>
      <c r="E1438" s="432" t="s">
        <v>2544</v>
      </c>
      <c r="F1438" s="432"/>
      <c r="G1438" s="432">
        <v>2022</v>
      </c>
      <c r="H1438" s="432"/>
      <c r="I1438" s="432" t="s">
        <v>1498</v>
      </c>
      <c r="J1438" s="444"/>
      <c r="K1438" s="434" t="s">
        <v>3819</v>
      </c>
      <c r="L1438" s="432" t="s">
        <v>2549</v>
      </c>
      <c r="M1438" s="435">
        <v>44652</v>
      </c>
      <c r="N1438" s="435">
        <v>44774</v>
      </c>
      <c r="O1438" s="435"/>
      <c r="P1438" s="433"/>
      <c r="Q1438" s="433"/>
      <c r="R1438" s="433"/>
      <c r="S1438" s="432" t="s">
        <v>1443</v>
      </c>
      <c r="T1438" s="432">
        <v>60</v>
      </c>
      <c r="U1438" s="432"/>
      <c r="V1438" s="432" t="s">
        <v>973</v>
      </c>
      <c r="W1438" s="432">
        <v>400</v>
      </c>
      <c r="X1438" s="436">
        <v>1536</v>
      </c>
      <c r="Y1438" s="422">
        <f t="shared" si="171"/>
        <v>614400</v>
      </c>
      <c r="Z1438" s="409">
        <v>0.55500000000000005</v>
      </c>
      <c r="AA1438" s="423">
        <f t="shared" si="172"/>
        <v>340992.00000000006</v>
      </c>
      <c r="AB1438" s="411"/>
      <c r="AC1438" s="412">
        <f t="shared" si="173"/>
        <v>0</v>
      </c>
      <c r="AD1438" s="421"/>
      <c r="AE1438" s="413"/>
      <c r="AF1438" s="424">
        <f t="shared" si="174"/>
        <v>340992.00000000006</v>
      </c>
      <c r="AG1438" s="405" t="s">
        <v>1069</v>
      </c>
      <c r="AH1438" s="405"/>
      <c r="AI1438" s="414">
        <v>60</v>
      </c>
      <c r="AJ1438" s="405" t="s">
        <v>2510</v>
      </c>
      <c r="AK1438" s="425" t="s">
        <v>50</v>
      </c>
      <c r="AL1438" s="405">
        <v>92841</v>
      </c>
      <c r="AM1438" s="405" t="s">
        <v>52</v>
      </c>
      <c r="AN1438" s="405"/>
      <c r="AO1438" s="405"/>
      <c r="AP1438" s="417"/>
      <c r="AQ1438" s="417" t="s">
        <v>37</v>
      </c>
      <c r="AR1438" s="417"/>
      <c r="AS1438" s="426"/>
      <c r="AT1438" s="426"/>
      <c r="AU1438" s="426"/>
      <c r="AV1438" s="409">
        <v>0.80577777777000004</v>
      </c>
    </row>
    <row r="1439" spans="1:48" s="402" customFormat="1" ht="15" customHeight="1">
      <c r="A1439" s="403"/>
      <c r="B1439" s="445">
        <v>44655</v>
      </c>
      <c r="C1439" s="403"/>
      <c r="D1439" s="443" t="s">
        <v>2480</v>
      </c>
      <c r="E1439" s="432" t="s">
        <v>2544</v>
      </c>
      <c r="F1439" s="432"/>
      <c r="G1439" s="432">
        <v>2022</v>
      </c>
      <c r="H1439" s="432"/>
      <c r="I1439" s="432" t="s">
        <v>1498</v>
      </c>
      <c r="J1439" s="444"/>
      <c r="K1439" s="434" t="s">
        <v>3829</v>
      </c>
      <c r="L1439" s="432" t="s">
        <v>2549</v>
      </c>
      <c r="M1439" s="435">
        <v>44652</v>
      </c>
      <c r="N1439" s="435">
        <v>44774</v>
      </c>
      <c r="O1439" s="435"/>
      <c r="P1439" s="433"/>
      <c r="Q1439" s="433"/>
      <c r="R1439" s="433"/>
      <c r="S1439" s="432" t="s">
        <v>1443</v>
      </c>
      <c r="T1439" s="432">
        <v>60</v>
      </c>
      <c r="U1439" s="432"/>
      <c r="V1439" s="432" t="s">
        <v>986</v>
      </c>
      <c r="W1439" s="432">
        <v>360</v>
      </c>
      <c r="X1439" s="436">
        <v>768</v>
      </c>
      <c r="Y1439" s="422">
        <f t="shared" si="171"/>
        <v>276480</v>
      </c>
      <c r="Z1439" s="409">
        <v>0.53500000000000003</v>
      </c>
      <c r="AA1439" s="423">
        <f t="shared" si="172"/>
        <v>147916.80000000002</v>
      </c>
      <c r="AB1439" s="411"/>
      <c r="AC1439" s="412">
        <f t="shared" si="173"/>
        <v>0</v>
      </c>
      <c r="AD1439" s="421"/>
      <c r="AE1439" s="413"/>
      <c r="AF1439" s="424">
        <f t="shared" si="174"/>
        <v>147916.80000000002</v>
      </c>
      <c r="AG1439" s="405" t="s">
        <v>1069</v>
      </c>
      <c r="AH1439" s="405"/>
      <c r="AI1439" s="414">
        <v>60</v>
      </c>
      <c r="AJ1439" s="405" t="s">
        <v>1448</v>
      </c>
      <c r="AK1439" s="425" t="s">
        <v>50</v>
      </c>
      <c r="AL1439" s="405">
        <v>94544</v>
      </c>
      <c r="AM1439" s="405" t="s">
        <v>52</v>
      </c>
      <c r="AN1439" s="405"/>
      <c r="AO1439" s="405"/>
      <c r="AP1439" s="417"/>
      <c r="AQ1439" s="417" t="s">
        <v>37</v>
      </c>
      <c r="AR1439" s="405"/>
      <c r="AS1439" s="426"/>
      <c r="AT1439" s="426"/>
      <c r="AU1439" s="426"/>
      <c r="AV1439" s="409">
        <v>0.80577777777000004</v>
      </c>
    </row>
    <row r="1440" spans="1:48" s="402" customFormat="1" ht="15" customHeight="1">
      <c r="A1440" s="403"/>
      <c r="B1440" s="445">
        <v>44655</v>
      </c>
      <c r="C1440" s="403"/>
      <c r="D1440" s="443" t="s">
        <v>2480</v>
      </c>
      <c r="E1440" s="432" t="s">
        <v>2544</v>
      </c>
      <c r="F1440" s="432"/>
      <c r="G1440" s="432">
        <v>2022</v>
      </c>
      <c r="H1440" s="432"/>
      <c r="I1440" s="432" t="s">
        <v>1498</v>
      </c>
      <c r="J1440" s="444"/>
      <c r="K1440" s="434" t="s">
        <v>3823</v>
      </c>
      <c r="L1440" s="432" t="s">
        <v>2549</v>
      </c>
      <c r="M1440" s="435">
        <v>44652</v>
      </c>
      <c r="N1440" s="435">
        <v>44809</v>
      </c>
      <c r="O1440" s="435"/>
      <c r="P1440" s="433"/>
      <c r="Q1440" s="433"/>
      <c r="R1440" s="433"/>
      <c r="S1440" s="432" t="s">
        <v>1443</v>
      </c>
      <c r="T1440" s="432">
        <v>60</v>
      </c>
      <c r="U1440" s="432"/>
      <c r="V1440" s="432" t="s">
        <v>973</v>
      </c>
      <c r="W1440" s="432">
        <v>400</v>
      </c>
      <c r="X1440" s="436">
        <v>1536</v>
      </c>
      <c r="Y1440" s="422">
        <f t="shared" si="171"/>
        <v>614400</v>
      </c>
      <c r="Z1440" s="409">
        <v>0.55500000000000005</v>
      </c>
      <c r="AA1440" s="423">
        <f t="shared" si="172"/>
        <v>340992.00000000006</v>
      </c>
      <c r="AB1440" s="411"/>
      <c r="AC1440" s="412">
        <f t="shared" si="173"/>
        <v>0</v>
      </c>
      <c r="AD1440" s="421"/>
      <c r="AE1440" s="413"/>
      <c r="AF1440" s="424">
        <f t="shared" si="174"/>
        <v>340992.00000000006</v>
      </c>
      <c r="AG1440" s="405" t="s">
        <v>1069</v>
      </c>
      <c r="AH1440" s="405"/>
      <c r="AI1440" s="414">
        <v>60</v>
      </c>
      <c r="AJ1440" s="405" t="s">
        <v>2510</v>
      </c>
      <c r="AK1440" s="425" t="s">
        <v>50</v>
      </c>
      <c r="AL1440" s="405">
        <v>92841</v>
      </c>
      <c r="AM1440" s="405" t="s">
        <v>52</v>
      </c>
      <c r="AN1440" s="405"/>
      <c r="AO1440" s="405"/>
      <c r="AP1440" s="417"/>
      <c r="AQ1440" s="417" t="s">
        <v>37</v>
      </c>
      <c r="AR1440" s="417"/>
      <c r="AS1440" s="426"/>
      <c r="AT1440" s="426"/>
      <c r="AU1440" s="426"/>
      <c r="AV1440" s="409">
        <v>0.80577777777000004</v>
      </c>
    </row>
    <row r="1441" spans="1:48" s="402" customFormat="1" ht="15" customHeight="1">
      <c r="A1441" s="403"/>
      <c r="B1441" s="445">
        <v>44655</v>
      </c>
      <c r="C1441" s="403"/>
      <c r="D1441" s="443" t="s">
        <v>2480</v>
      </c>
      <c r="E1441" s="432" t="s">
        <v>2544</v>
      </c>
      <c r="F1441" s="432"/>
      <c r="G1441" s="432">
        <v>2022</v>
      </c>
      <c r="H1441" s="432"/>
      <c r="I1441" s="432" t="s">
        <v>1498</v>
      </c>
      <c r="J1441" s="444"/>
      <c r="K1441" s="434" t="s">
        <v>3830</v>
      </c>
      <c r="L1441" s="432" t="s">
        <v>2549</v>
      </c>
      <c r="M1441" s="435">
        <v>44652</v>
      </c>
      <c r="N1441" s="435">
        <v>44809</v>
      </c>
      <c r="O1441" s="435"/>
      <c r="P1441" s="433"/>
      <c r="Q1441" s="433"/>
      <c r="R1441" s="433"/>
      <c r="S1441" s="432" t="s">
        <v>1443</v>
      </c>
      <c r="T1441" s="432">
        <v>60</v>
      </c>
      <c r="U1441" s="432"/>
      <c r="V1441" s="432" t="s">
        <v>986</v>
      </c>
      <c r="W1441" s="432">
        <v>360</v>
      </c>
      <c r="X1441" s="436">
        <v>768</v>
      </c>
      <c r="Y1441" s="422">
        <f t="shared" si="171"/>
        <v>276480</v>
      </c>
      <c r="Z1441" s="409">
        <v>0.53500000000000003</v>
      </c>
      <c r="AA1441" s="423">
        <f t="shared" si="172"/>
        <v>147916.80000000002</v>
      </c>
      <c r="AB1441" s="411"/>
      <c r="AC1441" s="412">
        <f t="shared" si="173"/>
        <v>0</v>
      </c>
      <c r="AD1441" s="421"/>
      <c r="AE1441" s="413"/>
      <c r="AF1441" s="424">
        <f t="shared" si="174"/>
        <v>147916.80000000002</v>
      </c>
      <c r="AG1441" s="405" t="s">
        <v>1069</v>
      </c>
      <c r="AH1441" s="405"/>
      <c r="AI1441" s="414">
        <v>60</v>
      </c>
      <c r="AJ1441" s="405" t="s">
        <v>1448</v>
      </c>
      <c r="AK1441" s="425" t="s">
        <v>50</v>
      </c>
      <c r="AL1441" s="405">
        <v>94544</v>
      </c>
      <c r="AM1441" s="405" t="s">
        <v>52</v>
      </c>
      <c r="AN1441" s="405"/>
      <c r="AO1441" s="405"/>
      <c r="AP1441" s="417"/>
      <c r="AQ1441" s="417" t="s">
        <v>37</v>
      </c>
      <c r="AR1441" s="405"/>
      <c r="AS1441" s="426"/>
      <c r="AT1441" s="426"/>
      <c r="AU1441" s="426"/>
      <c r="AV1441" s="409">
        <v>0.80577777777000004</v>
      </c>
    </row>
    <row r="1442" spans="1:48" s="402" customFormat="1" ht="15" customHeight="1">
      <c r="A1442" s="403"/>
      <c r="B1442" s="445">
        <v>44655</v>
      </c>
      <c r="C1442" s="403"/>
      <c r="D1442" s="443" t="s">
        <v>2480</v>
      </c>
      <c r="E1442" s="432" t="s">
        <v>2544</v>
      </c>
      <c r="F1442" s="432"/>
      <c r="G1442" s="432">
        <v>2022</v>
      </c>
      <c r="H1442" s="432"/>
      <c r="I1442" s="432" t="s">
        <v>1498</v>
      </c>
      <c r="J1442" s="444"/>
      <c r="K1442" s="434" t="s">
        <v>3825</v>
      </c>
      <c r="L1442" s="432" t="s">
        <v>2549</v>
      </c>
      <c r="M1442" s="435">
        <v>44652</v>
      </c>
      <c r="N1442" s="435">
        <v>44837</v>
      </c>
      <c r="O1442" s="435"/>
      <c r="P1442" s="433"/>
      <c r="Q1442" s="433"/>
      <c r="R1442" s="433"/>
      <c r="S1442" s="432" t="s">
        <v>1443</v>
      </c>
      <c r="T1442" s="432">
        <v>60</v>
      </c>
      <c r="U1442" s="432"/>
      <c r="V1442" s="432" t="s">
        <v>973</v>
      </c>
      <c r="W1442" s="432">
        <v>400</v>
      </c>
      <c r="X1442" s="436">
        <v>2304</v>
      </c>
      <c r="Y1442" s="422">
        <f t="shared" si="171"/>
        <v>921600</v>
      </c>
      <c r="Z1442" s="409">
        <v>0.55500000000000005</v>
      </c>
      <c r="AA1442" s="423">
        <f t="shared" si="172"/>
        <v>511488.00000000006</v>
      </c>
      <c r="AB1442" s="411"/>
      <c r="AC1442" s="412">
        <f t="shared" si="173"/>
        <v>0</v>
      </c>
      <c r="AD1442" s="421"/>
      <c r="AE1442" s="413"/>
      <c r="AF1442" s="424">
        <f t="shared" si="174"/>
        <v>511488.00000000006</v>
      </c>
      <c r="AG1442" s="405" t="s">
        <v>1069</v>
      </c>
      <c r="AH1442" s="405"/>
      <c r="AI1442" s="414">
        <v>60</v>
      </c>
      <c r="AJ1442" s="405" t="s">
        <v>2510</v>
      </c>
      <c r="AK1442" s="425" t="s">
        <v>50</v>
      </c>
      <c r="AL1442" s="405">
        <v>92841</v>
      </c>
      <c r="AM1442" s="405" t="s">
        <v>52</v>
      </c>
      <c r="AN1442" s="405"/>
      <c r="AO1442" s="405"/>
      <c r="AP1442" s="417"/>
      <c r="AQ1442" s="417" t="s">
        <v>37</v>
      </c>
      <c r="AR1442" s="417"/>
      <c r="AS1442" s="426"/>
      <c r="AT1442" s="426"/>
      <c r="AU1442" s="426"/>
      <c r="AV1442" s="409">
        <v>0.80577777777000004</v>
      </c>
    </row>
    <row r="1443" spans="1:48" s="402" customFormat="1" ht="15" customHeight="1">
      <c r="A1443" s="403"/>
      <c r="B1443" s="445">
        <v>44655</v>
      </c>
      <c r="C1443" s="403"/>
      <c r="D1443" s="443" t="s">
        <v>2480</v>
      </c>
      <c r="E1443" s="432" t="s">
        <v>2544</v>
      </c>
      <c r="F1443" s="432"/>
      <c r="G1443" s="432">
        <v>2022</v>
      </c>
      <c r="H1443" s="432"/>
      <c r="I1443" s="432" t="s">
        <v>1498</v>
      </c>
      <c r="J1443" s="444"/>
      <c r="K1443" s="434" t="s">
        <v>3831</v>
      </c>
      <c r="L1443" s="432" t="s">
        <v>2549</v>
      </c>
      <c r="M1443" s="435">
        <v>44652</v>
      </c>
      <c r="N1443" s="435">
        <v>44837</v>
      </c>
      <c r="O1443" s="435"/>
      <c r="P1443" s="433"/>
      <c r="Q1443" s="433"/>
      <c r="R1443" s="433"/>
      <c r="S1443" s="432" t="s">
        <v>1443</v>
      </c>
      <c r="T1443" s="432">
        <v>60</v>
      </c>
      <c r="U1443" s="432"/>
      <c r="V1443" s="432" t="s">
        <v>986</v>
      </c>
      <c r="W1443" s="432">
        <v>360</v>
      </c>
      <c r="X1443" s="436">
        <v>768</v>
      </c>
      <c r="Y1443" s="422">
        <f t="shared" si="171"/>
        <v>276480</v>
      </c>
      <c r="Z1443" s="409">
        <v>0.53500000000000003</v>
      </c>
      <c r="AA1443" s="423">
        <f t="shared" si="172"/>
        <v>147916.80000000002</v>
      </c>
      <c r="AB1443" s="411"/>
      <c r="AC1443" s="412">
        <f t="shared" si="173"/>
        <v>0</v>
      </c>
      <c r="AD1443" s="421"/>
      <c r="AE1443" s="413"/>
      <c r="AF1443" s="424">
        <f t="shared" si="174"/>
        <v>147916.80000000002</v>
      </c>
      <c r="AG1443" s="405" t="s">
        <v>1069</v>
      </c>
      <c r="AH1443" s="405"/>
      <c r="AI1443" s="414">
        <v>60</v>
      </c>
      <c r="AJ1443" s="405" t="s">
        <v>1448</v>
      </c>
      <c r="AK1443" s="425" t="s">
        <v>50</v>
      </c>
      <c r="AL1443" s="405">
        <v>94544</v>
      </c>
      <c r="AM1443" s="405" t="s">
        <v>52</v>
      </c>
      <c r="AN1443" s="405"/>
      <c r="AO1443" s="405"/>
      <c r="AP1443" s="417"/>
      <c r="AQ1443" s="417" t="s">
        <v>37</v>
      </c>
      <c r="AR1443" s="405"/>
      <c r="AS1443" s="426"/>
      <c r="AT1443" s="426"/>
      <c r="AU1443" s="426"/>
      <c r="AV1443" s="409">
        <v>0.80577777777000004</v>
      </c>
    </row>
    <row r="1444" spans="1:48" s="402" customFormat="1" ht="15" customHeight="1">
      <c r="A1444" s="403"/>
      <c r="B1444" s="445">
        <v>44655</v>
      </c>
      <c r="C1444" s="403"/>
      <c r="D1444" s="443" t="s">
        <v>2480</v>
      </c>
      <c r="E1444" s="432" t="s">
        <v>2544</v>
      </c>
      <c r="F1444" s="432"/>
      <c r="G1444" s="432">
        <v>2022</v>
      </c>
      <c r="H1444" s="432"/>
      <c r="I1444" s="432" t="s">
        <v>1498</v>
      </c>
      <c r="J1444" s="444"/>
      <c r="K1444" s="434" t="s">
        <v>3827</v>
      </c>
      <c r="L1444" s="432" t="s">
        <v>2549</v>
      </c>
      <c r="M1444" s="435">
        <v>44652</v>
      </c>
      <c r="N1444" s="435">
        <v>44866</v>
      </c>
      <c r="O1444" s="435"/>
      <c r="P1444" s="433"/>
      <c r="Q1444" s="433"/>
      <c r="R1444" s="433"/>
      <c r="S1444" s="432" t="s">
        <v>1443</v>
      </c>
      <c r="T1444" s="432">
        <v>60</v>
      </c>
      <c r="U1444" s="432"/>
      <c r="V1444" s="432" t="s">
        <v>973</v>
      </c>
      <c r="W1444" s="432">
        <v>400</v>
      </c>
      <c r="X1444" s="436">
        <v>1536</v>
      </c>
      <c r="Y1444" s="422">
        <f t="shared" si="171"/>
        <v>614400</v>
      </c>
      <c r="Z1444" s="409">
        <v>0.55500000000000005</v>
      </c>
      <c r="AA1444" s="423">
        <f t="shared" si="172"/>
        <v>340992.00000000006</v>
      </c>
      <c r="AB1444" s="411"/>
      <c r="AC1444" s="412">
        <f t="shared" si="173"/>
        <v>0</v>
      </c>
      <c r="AD1444" s="421"/>
      <c r="AE1444" s="413"/>
      <c r="AF1444" s="424">
        <f t="shared" si="174"/>
        <v>340992.00000000006</v>
      </c>
      <c r="AG1444" s="405" t="s">
        <v>1069</v>
      </c>
      <c r="AH1444" s="405"/>
      <c r="AI1444" s="414">
        <v>60</v>
      </c>
      <c r="AJ1444" s="405" t="s">
        <v>2510</v>
      </c>
      <c r="AK1444" s="425" t="s">
        <v>50</v>
      </c>
      <c r="AL1444" s="405">
        <v>92841</v>
      </c>
      <c r="AM1444" s="405" t="s">
        <v>52</v>
      </c>
      <c r="AN1444" s="405"/>
      <c r="AO1444" s="405"/>
      <c r="AP1444" s="417"/>
      <c r="AQ1444" s="417" t="s">
        <v>37</v>
      </c>
      <c r="AR1444" s="417"/>
      <c r="AS1444" s="426"/>
      <c r="AT1444" s="426"/>
      <c r="AU1444" s="426"/>
      <c r="AV1444" s="409">
        <v>0.80577777777000004</v>
      </c>
    </row>
    <row r="1445" spans="1:48" s="402" customFormat="1" ht="15" customHeight="1">
      <c r="A1445" s="403"/>
      <c r="B1445" s="445">
        <v>44655</v>
      </c>
      <c r="C1445" s="403"/>
      <c r="D1445" s="443" t="s">
        <v>2480</v>
      </c>
      <c r="E1445" s="432" t="s">
        <v>2544</v>
      </c>
      <c r="F1445" s="432"/>
      <c r="G1445" s="432">
        <v>2022</v>
      </c>
      <c r="H1445" s="432"/>
      <c r="I1445" s="432" t="s">
        <v>1498</v>
      </c>
      <c r="J1445" s="444"/>
      <c r="K1445" s="434" t="s">
        <v>3832</v>
      </c>
      <c r="L1445" s="432" t="s">
        <v>2549</v>
      </c>
      <c r="M1445" s="435">
        <v>44652</v>
      </c>
      <c r="N1445" s="435">
        <v>44866</v>
      </c>
      <c r="O1445" s="435"/>
      <c r="P1445" s="433"/>
      <c r="Q1445" s="433"/>
      <c r="R1445" s="433"/>
      <c r="S1445" s="432" t="s">
        <v>1443</v>
      </c>
      <c r="T1445" s="432">
        <v>60</v>
      </c>
      <c r="U1445" s="432"/>
      <c r="V1445" s="432" t="s">
        <v>986</v>
      </c>
      <c r="W1445" s="432">
        <v>360</v>
      </c>
      <c r="X1445" s="436">
        <v>1536</v>
      </c>
      <c r="Y1445" s="422">
        <f t="shared" si="171"/>
        <v>552960</v>
      </c>
      <c r="Z1445" s="409">
        <v>0.53500000000000003</v>
      </c>
      <c r="AA1445" s="423">
        <f t="shared" si="172"/>
        <v>295833.60000000003</v>
      </c>
      <c r="AB1445" s="411"/>
      <c r="AC1445" s="412">
        <f t="shared" si="173"/>
        <v>0</v>
      </c>
      <c r="AD1445" s="421"/>
      <c r="AE1445" s="413"/>
      <c r="AF1445" s="424">
        <f t="shared" si="174"/>
        <v>295833.60000000003</v>
      </c>
      <c r="AG1445" s="405" t="s">
        <v>1069</v>
      </c>
      <c r="AH1445" s="405"/>
      <c r="AI1445" s="414">
        <v>60</v>
      </c>
      <c r="AJ1445" s="405" t="s">
        <v>1448</v>
      </c>
      <c r="AK1445" s="425" t="s">
        <v>50</v>
      </c>
      <c r="AL1445" s="405">
        <v>94544</v>
      </c>
      <c r="AM1445" s="405" t="s">
        <v>52</v>
      </c>
      <c r="AN1445" s="405"/>
      <c r="AO1445" s="405"/>
      <c r="AP1445" s="417"/>
      <c r="AQ1445" s="417" t="s">
        <v>37</v>
      </c>
      <c r="AR1445" s="405"/>
      <c r="AS1445" s="426"/>
      <c r="AT1445" s="426"/>
      <c r="AU1445" s="426"/>
      <c r="AV1445" s="409">
        <v>0.80577777777000004</v>
      </c>
    </row>
    <row r="1446" spans="1:48" s="402" customFormat="1" ht="15" customHeight="1">
      <c r="A1446" s="403"/>
      <c r="B1446" s="445">
        <v>44655</v>
      </c>
      <c r="C1446" s="403"/>
      <c r="D1446" s="443" t="s">
        <v>2480</v>
      </c>
      <c r="E1446" s="432" t="s">
        <v>2544</v>
      </c>
      <c r="F1446" s="432"/>
      <c r="G1446" s="432">
        <v>2022</v>
      </c>
      <c r="H1446" s="432"/>
      <c r="I1446" s="432" t="s">
        <v>1498</v>
      </c>
      <c r="J1446" s="444"/>
      <c r="K1446" s="434" t="s">
        <v>3828</v>
      </c>
      <c r="L1446" s="432" t="s">
        <v>2549</v>
      </c>
      <c r="M1446" s="435">
        <v>44652</v>
      </c>
      <c r="N1446" s="435">
        <v>44746</v>
      </c>
      <c r="O1446" s="435"/>
      <c r="P1446" s="433"/>
      <c r="Q1446" s="433"/>
      <c r="R1446" s="433"/>
      <c r="S1446" s="432" t="s">
        <v>1443</v>
      </c>
      <c r="T1446" s="432">
        <v>60</v>
      </c>
      <c r="U1446" s="432"/>
      <c r="V1446" s="432" t="s">
        <v>973</v>
      </c>
      <c r="W1446" s="432">
        <v>400</v>
      </c>
      <c r="X1446" s="436">
        <v>1536</v>
      </c>
      <c r="Y1446" s="422">
        <f t="shared" si="171"/>
        <v>614400</v>
      </c>
      <c r="Z1446" s="409">
        <v>0.55500000000000005</v>
      </c>
      <c r="AA1446" s="423">
        <f t="shared" si="172"/>
        <v>340992.00000000006</v>
      </c>
      <c r="AB1446" s="411"/>
      <c r="AC1446" s="412">
        <f t="shared" si="173"/>
        <v>0</v>
      </c>
      <c r="AD1446" s="421"/>
      <c r="AE1446" s="413"/>
      <c r="AF1446" s="424">
        <f t="shared" si="174"/>
        <v>340992.00000000006</v>
      </c>
      <c r="AG1446" s="405" t="s">
        <v>1069</v>
      </c>
      <c r="AH1446" s="405"/>
      <c r="AI1446" s="414">
        <v>60</v>
      </c>
      <c r="AJ1446" s="405" t="s">
        <v>1448</v>
      </c>
      <c r="AK1446" s="425" t="s">
        <v>50</v>
      </c>
      <c r="AL1446" s="405">
        <v>94544</v>
      </c>
      <c r="AM1446" s="405" t="s">
        <v>52</v>
      </c>
      <c r="AN1446" s="405"/>
      <c r="AO1446" s="405"/>
      <c r="AP1446" s="417"/>
      <c r="AQ1446" s="417" t="s">
        <v>37</v>
      </c>
      <c r="AR1446" s="405"/>
      <c r="AS1446" s="426"/>
      <c r="AT1446" s="426"/>
      <c r="AU1446" s="426"/>
      <c r="AV1446" s="409">
        <v>0.80577777777000004</v>
      </c>
    </row>
    <row r="1447" spans="1:48" s="402" customFormat="1" ht="15" customHeight="1">
      <c r="A1447" s="403"/>
      <c r="B1447" s="445">
        <v>44655</v>
      </c>
      <c r="C1447" s="403"/>
      <c r="D1447" s="443" t="s">
        <v>2480</v>
      </c>
      <c r="E1447" s="432" t="s">
        <v>2544</v>
      </c>
      <c r="F1447" s="432"/>
      <c r="G1447" s="432">
        <v>2022</v>
      </c>
      <c r="H1447" s="432"/>
      <c r="I1447" s="432" t="s">
        <v>1498</v>
      </c>
      <c r="J1447" s="444"/>
      <c r="K1447" s="434" t="s">
        <v>3829</v>
      </c>
      <c r="L1447" s="432" t="s">
        <v>2549</v>
      </c>
      <c r="M1447" s="435">
        <v>44652</v>
      </c>
      <c r="N1447" s="435">
        <v>44774</v>
      </c>
      <c r="O1447" s="435"/>
      <c r="P1447" s="433"/>
      <c r="Q1447" s="433"/>
      <c r="R1447" s="433"/>
      <c r="S1447" s="432" t="s">
        <v>1443</v>
      </c>
      <c r="T1447" s="432">
        <v>60</v>
      </c>
      <c r="U1447" s="432"/>
      <c r="V1447" s="432" t="s">
        <v>973</v>
      </c>
      <c r="W1447" s="432">
        <v>400</v>
      </c>
      <c r="X1447" s="436">
        <v>1536</v>
      </c>
      <c r="Y1447" s="422">
        <f t="shared" si="171"/>
        <v>614400</v>
      </c>
      <c r="Z1447" s="409">
        <v>0.55500000000000005</v>
      </c>
      <c r="AA1447" s="423">
        <f t="shared" si="172"/>
        <v>340992.00000000006</v>
      </c>
      <c r="AB1447" s="411"/>
      <c r="AC1447" s="412">
        <f t="shared" si="173"/>
        <v>0</v>
      </c>
      <c r="AD1447" s="421"/>
      <c r="AE1447" s="413"/>
      <c r="AF1447" s="424">
        <f t="shared" si="174"/>
        <v>340992.00000000006</v>
      </c>
      <c r="AG1447" s="405" t="s">
        <v>1069</v>
      </c>
      <c r="AH1447" s="405"/>
      <c r="AI1447" s="414">
        <v>60</v>
      </c>
      <c r="AJ1447" s="405" t="s">
        <v>1448</v>
      </c>
      <c r="AK1447" s="425" t="s">
        <v>50</v>
      </c>
      <c r="AL1447" s="405">
        <v>94544</v>
      </c>
      <c r="AM1447" s="405" t="s">
        <v>52</v>
      </c>
      <c r="AN1447" s="405"/>
      <c r="AO1447" s="405"/>
      <c r="AP1447" s="417"/>
      <c r="AQ1447" s="417" t="s">
        <v>37</v>
      </c>
      <c r="AR1447" s="405"/>
      <c r="AS1447" s="426"/>
      <c r="AT1447" s="426"/>
      <c r="AU1447" s="426"/>
      <c r="AV1447" s="409">
        <v>0.80577777777000004</v>
      </c>
    </row>
    <row r="1448" spans="1:48" s="402" customFormat="1" ht="15" customHeight="1">
      <c r="A1448" s="403"/>
      <c r="B1448" s="445">
        <v>44655</v>
      </c>
      <c r="C1448" s="403"/>
      <c r="D1448" s="443" t="s">
        <v>2480</v>
      </c>
      <c r="E1448" s="432" t="s">
        <v>2544</v>
      </c>
      <c r="F1448" s="432"/>
      <c r="G1448" s="432">
        <v>2022</v>
      </c>
      <c r="H1448" s="432"/>
      <c r="I1448" s="432" t="s">
        <v>1498</v>
      </c>
      <c r="J1448" s="444"/>
      <c r="K1448" s="434" t="s">
        <v>3830</v>
      </c>
      <c r="L1448" s="432" t="s">
        <v>2549</v>
      </c>
      <c r="M1448" s="435">
        <v>44652</v>
      </c>
      <c r="N1448" s="435">
        <v>44809</v>
      </c>
      <c r="O1448" s="435"/>
      <c r="P1448" s="433"/>
      <c r="Q1448" s="433"/>
      <c r="R1448" s="433"/>
      <c r="S1448" s="432" t="s">
        <v>1443</v>
      </c>
      <c r="T1448" s="432">
        <v>60</v>
      </c>
      <c r="U1448" s="432"/>
      <c r="V1448" s="432" t="s">
        <v>973</v>
      </c>
      <c r="W1448" s="432">
        <v>400</v>
      </c>
      <c r="X1448" s="436">
        <v>768</v>
      </c>
      <c r="Y1448" s="422">
        <f t="shared" si="171"/>
        <v>307200</v>
      </c>
      <c r="Z1448" s="409">
        <v>0.55500000000000005</v>
      </c>
      <c r="AA1448" s="423">
        <f t="shared" si="172"/>
        <v>170496.00000000003</v>
      </c>
      <c r="AB1448" s="411"/>
      <c r="AC1448" s="412">
        <f t="shared" si="173"/>
        <v>0</v>
      </c>
      <c r="AD1448" s="421"/>
      <c r="AE1448" s="413"/>
      <c r="AF1448" s="424">
        <f t="shared" si="174"/>
        <v>170496.00000000003</v>
      </c>
      <c r="AG1448" s="405" t="s">
        <v>1069</v>
      </c>
      <c r="AH1448" s="405"/>
      <c r="AI1448" s="414">
        <v>60</v>
      </c>
      <c r="AJ1448" s="405" t="s">
        <v>1448</v>
      </c>
      <c r="AK1448" s="425" t="s">
        <v>50</v>
      </c>
      <c r="AL1448" s="405">
        <v>94544</v>
      </c>
      <c r="AM1448" s="405" t="s">
        <v>52</v>
      </c>
      <c r="AN1448" s="405"/>
      <c r="AO1448" s="405"/>
      <c r="AP1448" s="417"/>
      <c r="AQ1448" s="417" t="s">
        <v>37</v>
      </c>
      <c r="AR1448" s="405"/>
      <c r="AS1448" s="426"/>
      <c r="AT1448" s="426"/>
      <c r="AU1448" s="426"/>
      <c r="AV1448" s="409">
        <v>0.80577777777000004</v>
      </c>
    </row>
    <row r="1449" spans="1:48" s="402" customFormat="1" ht="15" customHeight="1">
      <c r="A1449" s="403"/>
      <c r="B1449" s="445">
        <v>44655</v>
      </c>
      <c r="C1449" s="403"/>
      <c r="D1449" s="443" t="s">
        <v>2480</v>
      </c>
      <c r="E1449" s="432" t="s">
        <v>2544</v>
      </c>
      <c r="F1449" s="432"/>
      <c r="G1449" s="432">
        <v>2022</v>
      </c>
      <c r="H1449" s="432"/>
      <c r="I1449" s="432" t="s">
        <v>1498</v>
      </c>
      <c r="J1449" s="444"/>
      <c r="K1449" s="434" t="s">
        <v>3831</v>
      </c>
      <c r="L1449" s="432" t="s">
        <v>2549</v>
      </c>
      <c r="M1449" s="435">
        <v>44652</v>
      </c>
      <c r="N1449" s="435">
        <v>44837</v>
      </c>
      <c r="O1449" s="435"/>
      <c r="P1449" s="433"/>
      <c r="Q1449" s="433"/>
      <c r="R1449" s="433"/>
      <c r="S1449" s="432" t="s">
        <v>1443</v>
      </c>
      <c r="T1449" s="432">
        <v>60</v>
      </c>
      <c r="U1449" s="432"/>
      <c r="V1449" s="432" t="s">
        <v>973</v>
      </c>
      <c r="W1449" s="432">
        <v>400</v>
      </c>
      <c r="X1449" s="436">
        <v>2304</v>
      </c>
      <c r="Y1449" s="422">
        <f t="shared" si="171"/>
        <v>921600</v>
      </c>
      <c r="Z1449" s="409">
        <v>0.55500000000000005</v>
      </c>
      <c r="AA1449" s="423">
        <f t="shared" si="172"/>
        <v>511488.00000000006</v>
      </c>
      <c r="AB1449" s="411"/>
      <c r="AC1449" s="412">
        <f t="shared" si="173"/>
        <v>0</v>
      </c>
      <c r="AD1449" s="421"/>
      <c r="AE1449" s="413"/>
      <c r="AF1449" s="424">
        <f t="shared" si="174"/>
        <v>511488.00000000006</v>
      </c>
      <c r="AG1449" s="405" t="s">
        <v>1069</v>
      </c>
      <c r="AH1449" s="405"/>
      <c r="AI1449" s="414">
        <v>60</v>
      </c>
      <c r="AJ1449" s="405" t="s">
        <v>1448</v>
      </c>
      <c r="AK1449" s="425" t="s">
        <v>50</v>
      </c>
      <c r="AL1449" s="405">
        <v>94544</v>
      </c>
      <c r="AM1449" s="405" t="s">
        <v>52</v>
      </c>
      <c r="AN1449" s="405"/>
      <c r="AO1449" s="405"/>
      <c r="AP1449" s="417"/>
      <c r="AQ1449" s="417" t="s">
        <v>37</v>
      </c>
      <c r="AR1449" s="405"/>
      <c r="AS1449" s="426"/>
      <c r="AT1449" s="426"/>
      <c r="AU1449" s="426"/>
      <c r="AV1449" s="409">
        <v>0.80577777777000004</v>
      </c>
    </row>
    <row r="1450" spans="1:48" s="402" customFormat="1" ht="15" customHeight="1">
      <c r="A1450" s="403"/>
      <c r="B1450" s="445">
        <v>44655</v>
      </c>
      <c r="C1450" s="403"/>
      <c r="D1450" s="443" t="s">
        <v>2480</v>
      </c>
      <c r="E1450" s="432" t="s">
        <v>2544</v>
      </c>
      <c r="F1450" s="432"/>
      <c r="G1450" s="432">
        <v>2022</v>
      </c>
      <c r="H1450" s="432"/>
      <c r="I1450" s="432" t="s">
        <v>1498</v>
      </c>
      <c r="J1450" s="444"/>
      <c r="K1450" s="434" t="s">
        <v>3832</v>
      </c>
      <c r="L1450" s="432" t="s">
        <v>2549</v>
      </c>
      <c r="M1450" s="435">
        <v>44652</v>
      </c>
      <c r="N1450" s="435">
        <v>44866</v>
      </c>
      <c r="O1450" s="435"/>
      <c r="P1450" s="433"/>
      <c r="Q1450" s="433"/>
      <c r="R1450" s="433"/>
      <c r="S1450" s="432" t="s">
        <v>1443</v>
      </c>
      <c r="T1450" s="432">
        <v>60</v>
      </c>
      <c r="U1450" s="432"/>
      <c r="V1450" s="432" t="s">
        <v>973</v>
      </c>
      <c r="W1450" s="432">
        <v>400</v>
      </c>
      <c r="X1450" s="436">
        <v>1536</v>
      </c>
      <c r="Y1450" s="422">
        <f t="shared" si="171"/>
        <v>614400</v>
      </c>
      <c r="Z1450" s="409">
        <v>0.55500000000000005</v>
      </c>
      <c r="AA1450" s="423">
        <f t="shared" si="172"/>
        <v>340992.00000000006</v>
      </c>
      <c r="AB1450" s="411"/>
      <c r="AC1450" s="412">
        <f t="shared" si="173"/>
        <v>0</v>
      </c>
      <c r="AD1450" s="421"/>
      <c r="AE1450" s="413"/>
      <c r="AF1450" s="424">
        <f t="shared" si="174"/>
        <v>340992.00000000006</v>
      </c>
      <c r="AG1450" s="405" t="s">
        <v>1069</v>
      </c>
      <c r="AH1450" s="405"/>
      <c r="AI1450" s="414">
        <v>60</v>
      </c>
      <c r="AJ1450" s="405" t="s">
        <v>1448</v>
      </c>
      <c r="AK1450" s="425" t="s">
        <v>50</v>
      </c>
      <c r="AL1450" s="405">
        <v>94544</v>
      </c>
      <c r="AM1450" s="405" t="s">
        <v>52</v>
      </c>
      <c r="AN1450" s="405"/>
      <c r="AO1450" s="405"/>
      <c r="AP1450" s="417"/>
      <c r="AQ1450" s="417" t="s">
        <v>37</v>
      </c>
      <c r="AR1450" s="405"/>
      <c r="AS1450" s="426"/>
      <c r="AT1450" s="426"/>
      <c r="AU1450" s="426"/>
      <c r="AV1450" s="409">
        <v>0.80577777777000004</v>
      </c>
    </row>
    <row r="1451" spans="1:48" s="402" customFormat="1" ht="15" customHeight="1">
      <c r="A1451" s="403"/>
      <c r="B1451" s="445">
        <v>44670</v>
      </c>
      <c r="C1451" s="403"/>
      <c r="D1451" s="443" t="s">
        <v>2480</v>
      </c>
      <c r="E1451" s="432" t="s">
        <v>2544</v>
      </c>
      <c r="F1451" s="432"/>
      <c r="G1451" s="432">
        <v>2022</v>
      </c>
      <c r="H1451" s="432"/>
      <c r="I1451" s="432" t="s">
        <v>1498</v>
      </c>
      <c r="J1451" s="444"/>
      <c r="K1451" s="434" t="s">
        <v>4090</v>
      </c>
      <c r="L1451" s="432" t="s">
        <v>2549</v>
      </c>
      <c r="M1451" s="435">
        <v>44669</v>
      </c>
      <c r="N1451" s="435">
        <v>44865</v>
      </c>
      <c r="O1451" s="435"/>
      <c r="P1451" s="433"/>
      <c r="Q1451" s="433"/>
      <c r="R1451" s="433"/>
      <c r="S1451" s="432" t="s">
        <v>1940</v>
      </c>
      <c r="T1451" s="432">
        <v>60</v>
      </c>
      <c r="U1451" s="432"/>
      <c r="V1451" s="432" t="s">
        <v>967</v>
      </c>
      <c r="W1451" s="432">
        <v>410</v>
      </c>
      <c r="X1451" s="436">
        <v>1920</v>
      </c>
      <c r="Y1451" s="422">
        <f t="shared" si="171"/>
        <v>787200</v>
      </c>
      <c r="Z1451" s="409">
        <v>0.55500000000000005</v>
      </c>
      <c r="AA1451" s="423">
        <f t="shared" si="172"/>
        <v>436896.00000000006</v>
      </c>
      <c r="AB1451" s="411"/>
      <c r="AC1451" s="412">
        <f t="shared" si="173"/>
        <v>0</v>
      </c>
      <c r="AD1451" s="421"/>
      <c r="AE1451" s="413"/>
      <c r="AF1451" s="424">
        <f t="shared" si="174"/>
        <v>436896.00000000006</v>
      </c>
      <c r="AG1451" s="405" t="s">
        <v>1069</v>
      </c>
      <c r="AH1451" s="405"/>
      <c r="AI1451" s="414">
        <v>60</v>
      </c>
      <c r="AJ1451" s="405" t="s">
        <v>1454</v>
      </c>
      <c r="AK1451" s="425" t="s">
        <v>1136</v>
      </c>
      <c r="AL1451" s="405">
        <v>78744</v>
      </c>
      <c r="AM1451" s="405" t="s">
        <v>52</v>
      </c>
      <c r="AN1451" s="405"/>
      <c r="AO1451" s="405"/>
      <c r="AP1451" s="417"/>
      <c r="AQ1451" s="417" t="s">
        <v>37</v>
      </c>
      <c r="AR1451" s="405"/>
      <c r="AS1451" s="426"/>
      <c r="AT1451" s="426"/>
      <c r="AU1451" s="426"/>
      <c r="AV1451" s="409">
        <v>0.80577777777000004</v>
      </c>
    </row>
    <row r="1452" spans="1:48" s="402" customFormat="1" ht="15" customHeight="1">
      <c r="A1452" s="403"/>
      <c r="B1452" s="445">
        <v>44672</v>
      </c>
      <c r="C1452" s="445"/>
      <c r="D1452" s="443" t="s">
        <v>2480</v>
      </c>
      <c r="E1452" s="432" t="s">
        <v>2406</v>
      </c>
      <c r="F1452" s="432"/>
      <c r="G1452" s="432">
        <v>2022</v>
      </c>
      <c r="H1452" s="432"/>
      <c r="I1452" s="432" t="s">
        <v>1498</v>
      </c>
      <c r="J1452" s="444"/>
      <c r="K1452" s="434" t="s">
        <v>4244</v>
      </c>
      <c r="L1452" s="432" t="s">
        <v>2549</v>
      </c>
      <c r="M1452" s="435">
        <v>44671</v>
      </c>
      <c r="N1452" s="435">
        <v>44840</v>
      </c>
      <c r="O1452" s="435"/>
      <c r="P1452" s="433"/>
      <c r="Q1452" s="433"/>
      <c r="R1452" s="433"/>
      <c r="S1452" s="432" t="s">
        <v>2541</v>
      </c>
      <c r="T1452" s="432">
        <v>60</v>
      </c>
      <c r="U1452" s="432"/>
      <c r="V1452" s="432" t="s">
        <v>973</v>
      </c>
      <c r="W1452" s="432">
        <v>400</v>
      </c>
      <c r="X1452" s="436">
        <v>768</v>
      </c>
      <c r="Y1452" s="422">
        <f>X1452*W1452</f>
        <v>307200</v>
      </c>
      <c r="Z1452" s="409">
        <v>0.53</v>
      </c>
      <c r="AA1452" s="423">
        <f>Z1452*Y1452</f>
        <v>162816</v>
      </c>
      <c r="AB1452" s="411"/>
      <c r="AC1452" s="412">
        <f>AB1452*Y1452</f>
        <v>0</v>
      </c>
      <c r="AD1452" s="421"/>
      <c r="AE1452" s="413"/>
      <c r="AF1452" s="424">
        <f>AE1452+AD1452+AA1452</f>
        <v>162816</v>
      </c>
      <c r="AG1452" s="405" t="s">
        <v>1069</v>
      </c>
      <c r="AH1452" s="405"/>
      <c r="AI1452" s="414">
        <v>60</v>
      </c>
      <c r="AJ1452" s="405" t="s">
        <v>1881</v>
      </c>
      <c r="AK1452" s="425" t="s">
        <v>1081</v>
      </c>
      <c r="AL1452" s="405">
        <v>32809</v>
      </c>
      <c r="AM1452" s="405" t="s">
        <v>52</v>
      </c>
      <c r="AN1452" s="405"/>
      <c r="AO1452" s="405"/>
      <c r="AP1452" s="417"/>
      <c r="AQ1452" s="417" t="s">
        <v>37</v>
      </c>
      <c r="AR1452" s="417"/>
      <c r="AS1452" s="426"/>
      <c r="AT1452" s="426"/>
      <c r="AU1452" s="426"/>
      <c r="AV1452" s="409">
        <v>0.80577777777000004</v>
      </c>
    </row>
    <row r="1453" spans="1:48" s="402" customFormat="1" ht="15" customHeight="1">
      <c r="A1453" s="403"/>
      <c r="B1453" s="445">
        <v>44672</v>
      </c>
      <c r="C1453" s="445"/>
      <c r="D1453" s="443" t="s">
        <v>2480</v>
      </c>
      <c r="E1453" s="432" t="s">
        <v>2406</v>
      </c>
      <c r="F1453" s="432"/>
      <c r="G1453" s="432">
        <v>2022</v>
      </c>
      <c r="H1453" s="432"/>
      <c r="I1453" s="432" t="s">
        <v>1498</v>
      </c>
      <c r="J1453" s="444"/>
      <c r="K1453" s="434" t="s">
        <v>4245</v>
      </c>
      <c r="L1453" s="432" t="s">
        <v>2549</v>
      </c>
      <c r="M1453" s="435">
        <v>44671</v>
      </c>
      <c r="N1453" s="435">
        <v>44847</v>
      </c>
      <c r="O1453" s="435"/>
      <c r="P1453" s="433"/>
      <c r="Q1453" s="433"/>
      <c r="R1453" s="433"/>
      <c r="S1453" s="432" t="s">
        <v>2541</v>
      </c>
      <c r="T1453" s="432">
        <v>60</v>
      </c>
      <c r="U1453" s="432"/>
      <c r="V1453" s="432" t="s">
        <v>986</v>
      </c>
      <c r="W1453" s="432">
        <v>360</v>
      </c>
      <c r="X1453" s="436">
        <v>832</v>
      </c>
      <c r="Y1453" s="422">
        <f>X1453*W1453</f>
        <v>299520</v>
      </c>
      <c r="Z1453" s="409">
        <v>0.505</v>
      </c>
      <c r="AA1453" s="423">
        <f>Z1453*Y1453</f>
        <v>151257.60000000001</v>
      </c>
      <c r="AB1453" s="411"/>
      <c r="AC1453" s="412">
        <f>AB1453*Y1453</f>
        <v>0</v>
      </c>
      <c r="AD1453" s="421"/>
      <c r="AE1453" s="413"/>
      <c r="AF1453" s="424">
        <f>AE1453+AD1453+AA1453</f>
        <v>151257.60000000001</v>
      </c>
      <c r="AG1453" s="405" t="s">
        <v>1069</v>
      </c>
      <c r="AH1453" s="405"/>
      <c r="AI1453" s="414">
        <v>60</v>
      </c>
      <c r="AJ1453" s="405" t="s">
        <v>1881</v>
      </c>
      <c r="AK1453" s="425" t="s">
        <v>1081</v>
      </c>
      <c r="AL1453" s="405">
        <v>32809</v>
      </c>
      <c r="AM1453" s="405" t="s">
        <v>52</v>
      </c>
      <c r="AN1453" s="405"/>
      <c r="AO1453" s="405"/>
      <c r="AP1453" s="417"/>
      <c r="AQ1453" s="417" t="s">
        <v>37</v>
      </c>
      <c r="AR1453" s="417"/>
      <c r="AS1453" s="426"/>
      <c r="AT1453" s="426"/>
      <c r="AU1453" s="426"/>
      <c r="AV1453" s="409">
        <v>0.80577777777000004</v>
      </c>
    </row>
    <row r="1454" spans="1:48" s="402" customFormat="1" ht="15" customHeight="1">
      <c r="A1454" s="403"/>
      <c r="B1454" s="445">
        <v>44672</v>
      </c>
      <c r="C1454" s="445"/>
      <c r="D1454" s="443" t="s">
        <v>2480</v>
      </c>
      <c r="E1454" s="432" t="s">
        <v>2406</v>
      </c>
      <c r="F1454" s="432"/>
      <c r="G1454" s="432">
        <v>2022</v>
      </c>
      <c r="H1454" s="432"/>
      <c r="I1454" s="432" t="s">
        <v>1498</v>
      </c>
      <c r="J1454" s="444"/>
      <c r="K1454" s="434" t="s">
        <v>4246</v>
      </c>
      <c r="L1454" s="432" t="s">
        <v>2549</v>
      </c>
      <c r="M1454" s="435">
        <v>44671</v>
      </c>
      <c r="N1454" s="435">
        <v>44854</v>
      </c>
      <c r="O1454" s="435"/>
      <c r="P1454" s="433"/>
      <c r="Q1454" s="433"/>
      <c r="R1454" s="433"/>
      <c r="S1454" s="432" t="s">
        <v>2541</v>
      </c>
      <c r="T1454" s="432">
        <v>60</v>
      </c>
      <c r="U1454" s="432"/>
      <c r="V1454" s="432" t="s">
        <v>973</v>
      </c>
      <c r="W1454" s="432">
        <v>400</v>
      </c>
      <c r="X1454" s="436">
        <v>768</v>
      </c>
      <c r="Y1454" s="422">
        <f>X1454*W1454</f>
        <v>307200</v>
      </c>
      <c r="Z1454" s="409">
        <v>0.53</v>
      </c>
      <c r="AA1454" s="423">
        <f>Z1454*Y1454</f>
        <v>162816</v>
      </c>
      <c r="AB1454" s="411"/>
      <c r="AC1454" s="412">
        <f>AB1454*Y1454</f>
        <v>0</v>
      </c>
      <c r="AD1454" s="421"/>
      <c r="AE1454" s="413"/>
      <c r="AF1454" s="424">
        <f>AE1454+AD1454+AA1454</f>
        <v>162816</v>
      </c>
      <c r="AG1454" s="405" t="s">
        <v>1069</v>
      </c>
      <c r="AH1454" s="405"/>
      <c r="AI1454" s="414">
        <v>60</v>
      </c>
      <c r="AJ1454" s="405" t="s">
        <v>1881</v>
      </c>
      <c r="AK1454" s="425" t="s">
        <v>1081</v>
      </c>
      <c r="AL1454" s="405">
        <v>32809</v>
      </c>
      <c r="AM1454" s="405" t="s">
        <v>52</v>
      </c>
      <c r="AN1454" s="405"/>
      <c r="AO1454" s="405"/>
      <c r="AP1454" s="417"/>
      <c r="AQ1454" s="417" t="s">
        <v>37</v>
      </c>
      <c r="AR1454" s="417"/>
      <c r="AS1454" s="426"/>
      <c r="AT1454" s="426"/>
      <c r="AU1454" s="426"/>
      <c r="AV1454" s="409">
        <v>0.80577777777000004</v>
      </c>
    </row>
    <row r="1455" spans="1:48" s="402" customFormat="1" ht="15" customHeight="1">
      <c r="A1455" s="403"/>
      <c r="B1455" s="445">
        <v>44677</v>
      </c>
      <c r="C1455" s="445"/>
      <c r="D1455" s="443" t="s">
        <v>2480</v>
      </c>
      <c r="E1455" s="432" t="s">
        <v>2406</v>
      </c>
      <c r="F1455" s="432"/>
      <c r="G1455" s="432">
        <v>2022</v>
      </c>
      <c r="H1455" s="432"/>
      <c r="I1455" s="432" t="s">
        <v>1498</v>
      </c>
      <c r="J1455" s="444"/>
      <c r="K1455" s="434" t="s">
        <v>4349</v>
      </c>
      <c r="L1455" s="432" t="s">
        <v>2549</v>
      </c>
      <c r="M1455" s="435">
        <v>44676</v>
      </c>
      <c r="N1455" s="435">
        <v>44903</v>
      </c>
      <c r="O1455" s="435"/>
      <c r="P1455" s="433"/>
      <c r="Q1455" s="433"/>
      <c r="R1455" s="433"/>
      <c r="S1455" s="432" t="s">
        <v>2541</v>
      </c>
      <c r="T1455" s="432">
        <v>60</v>
      </c>
      <c r="U1455" s="432"/>
      <c r="V1455" s="432" t="s">
        <v>973</v>
      </c>
      <c r="W1455" s="432">
        <v>400</v>
      </c>
      <c r="X1455" s="436">
        <v>768</v>
      </c>
      <c r="Y1455" s="422">
        <f>X1455*W1455</f>
        <v>307200</v>
      </c>
      <c r="Z1455" s="409">
        <v>0.53</v>
      </c>
      <c r="AA1455" s="423">
        <f>Z1455*Y1455</f>
        <v>162816</v>
      </c>
      <c r="AB1455" s="411"/>
      <c r="AC1455" s="412">
        <f>AB1455*Y1455</f>
        <v>0</v>
      </c>
      <c r="AD1455" s="421"/>
      <c r="AE1455" s="413"/>
      <c r="AF1455" s="424">
        <f>AE1455+AD1455+AA1455</f>
        <v>162816</v>
      </c>
      <c r="AG1455" s="405" t="s">
        <v>1069</v>
      </c>
      <c r="AH1455" s="405"/>
      <c r="AI1455" s="414">
        <v>60</v>
      </c>
      <c r="AJ1455" s="405" t="s">
        <v>1881</v>
      </c>
      <c r="AK1455" s="425" t="s">
        <v>1081</v>
      </c>
      <c r="AL1455" s="405">
        <v>32809</v>
      </c>
      <c r="AM1455" s="405" t="s">
        <v>52</v>
      </c>
      <c r="AN1455" s="405"/>
      <c r="AO1455" s="405"/>
      <c r="AP1455" s="417"/>
      <c r="AQ1455" s="417" t="s">
        <v>37</v>
      </c>
      <c r="AR1455" s="417"/>
      <c r="AS1455" s="426"/>
      <c r="AT1455" s="426"/>
      <c r="AU1455" s="426"/>
      <c r="AV1455" s="409">
        <v>0.80577777777000004</v>
      </c>
    </row>
    <row r="1456" spans="1:48" s="402" customFormat="1" ht="15" customHeight="1">
      <c r="A1456" s="403"/>
      <c r="B1456" s="445">
        <v>44677</v>
      </c>
      <c r="C1456" s="445"/>
      <c r="D1456" s="443" t="s">
        <v>2480</v>
      </c>
      <c r="E1456" s="432" t="s">
        <v>2406</v>
      </c>
      <c r="F1456" s="432"/>
      <c r="G1456" s="432">
        <v>2022</v>
      </c>
      <c r="H1456" s="432"/>
      <c r="I1456" s="432" t="s">
        <v>1498</v>
      </c>
      <c r="J1456" s="444"/>
      <c r="K1456" s="434" t="s">
        <v>4350</v>
      </c>
      <c r="L1456" s="432" t="s">
        <v>2549</v>
      </c>
      <c r="M1456" s="435">
        <v>44676</v>
      </c>
      <c r="N1456" s="435">
        <v>44910</v>
      </c>
      <c r="O1456" s="435"/>
      <c r="P1456" s="433"/>
      <c r="Q1456" s="433"/>
      <c r="R1456" s="433"/>
      <c r="S1456" s="432" t="s">
        <v>2541</v>
      </c>
      <c r="T1456" s="432">
        <v>60</v>
      </c>
      <c r="U1456" s="432"/>
      <c r="V1456" s="432" t="s">
        <v>973</v>
      </c>
      <c r="W1456" s="432">
        <v>400</v>
      </c>
      <c r="X1456" s="436">
        <v>768</v>
      </c>
      <c r="Y1456" s="422">
        <f>X1456*W1456</f>
        <v>307200</v>
      </c>
      <c r="Z1456" s="409">
        <v>0.53</v>
      </c>
      <c r="AA1456" s="423">
        <f>Z1456*Y1456</f>
        <v>162816</v>
      </c>
      <c r="AB1456" s="411"/>
      <c r="AC1456" s="412">
        <f>AB1456*Y1456</f>
        <v>0</v>
      </c>
      <c r="AD1456" s="421"/>
      <c r="AE1456" s="413"/>
      <c r="AF1456" s="424">
        <f>AE1456+AD1456+AA1456</f>
        <v>162816</v>
      </c>
      <c r="AG1456" s="405" t="s">
        <v>1069</v>
      </c>
      <c r="AH1456" s="405"/>
      <c r="AI1456" s="414">
        <v>60</v>
      </c>
      <c r="AJ1456" s="405" t="s">
        <v>1881</v>
      </c>
      <c r="AK1456" s="425" t="s">
        <v>1081</v>
      </c>
      <c r="AL1456" s="405">
        <v>32809</v>
      </c>
      <c r="AM1456" s="405" t="s">
        <v>52</v>
      </c>
      <c r="AN1456" s="405"/>
      <c r="AO1456" s="405"/>
      <c r="AP1456" s="417"/>
      <c r="AQ1456" s="417" t="s">
        <v>37</v>
      </c>
      <c r="AR1456" s="417"/>
      <c r="AS1456" s="426"/>
      <c r="AT1456" s="426"/>
      <c r="AU1456" s="426"/>
      <c r="AV1456" s="409">
        <v>0.80577777777000004</v>
      </c>
    </row>
    <row r="1457" spans="1:48" s="402" customFormat="1" ht="15" customHeight="1">
      <c r="A1457" s="403"/>
      <c r="B1457" s="446">
        <v>44658</v>
      </c>
      <c r="C1457" s="403"/>
      <c r="D1457" s="443" t="s">
        <v>2480</v>
      </c>
      <c r="E1457" s="432" t="s">
        <v>2544</v>
      </c>
      <c r="F1457" s="432"/>
      <c r="G1457" s="432">
        <v>2022</v>
      </c>
      <c r="H1457" s="432"/>
      <c r="I1457" s="432" t="s">
        <v>1498</v>
      </c>
      <c r="J1457" s="444"/>
      <c r="K1457" s="434" t="s">
        <v>3833</v>
      </c>
      <c r="L1457" s="432" t="s">
        <v>2514</v>
      </c>
      <c r="M1457" s="435">
        <v>44657</v>
      </c>
      <c r="N1457" s="435">
        <v>44805</v>
      </c>
      <c r="O1457" s="435"/>
      <c r="P1457" s="433"/>
      <c r="Q1457" s="433"/>
      <c r="R1457" s="433"/>
      <c r="S1457" s="432" t="s">
        <v>1443</v>
      </c>
      <c r="T1457" s="432">
        <v>60</v>
      </c>
      <c r="U1457" s="432"/>
      <c r="V1457" s="432" t="s">
        <v>973</v>
      </c>
      <c r="W1457" s="432">
        <v>400</v>
      </c>
      <c r="X1457" s="436">
        <v>768</v>
      </c>
      <c r="Y1457" s="422">
        <f t="shared" si="171"/>
        <v>307200</v>
      </c>
      <c r="Z1457" s="409">
        <v>0.55500000000000005</v>
      </c>
      <c r="AA1457" s="423">
        <f t="shared" si="172"/>
        <v>170496.00000000003</v>
      </c>
      <c r="AB1457" s="411"/>
      <c r="AC1457" s="412">
        <f t="shared" si="173"/>
        <v>0</v>
      </c>
      <c r="AD1457" s="421"/>
      <c r="AE1457" s="413"/>
      <c r="AF1457" s="424">
        <f t="shared" si="174"/>
        <v>170496.00000000003</v>
      </c>
      <c r="AG1457" s="405" t="s">
        <v>1069</v>
      </c>
      <c r="AH1457" s="405"/>
      <c r="AI1457" s="414">
        <v>60</v>
      </c>
      <c r="AJ1457" s="405" t="s">
        <v>2515</v>
      </c>
      <c r="AK1457" s="425" t="s">
        <v>50</v>
      </c>
      <c r="AL1457" s="405">
        <v>95363</v>
      </c>
      <c r="AM1457" s="405" t="s">
        <v>52</v>
      </c>
      <c r="AN1457" s="405"/>
      <c r="AO1457" s="405"/>
      <c r="AP1457" s="417"/>
      <c r="AQ1457" s="417" t="s">
        <v>37</v>
      </c>
      <c r="AR1457" s="417"/>
      <c r="AS1457" s="426"/>
      <c r="AT1457" s="426"/>
      <c r="AU1457" s="426"/>
      <c r="AV1457" s="409">
        <v>0.80577777777000004</v>
      </c>
    </row>
    <row r="1458" spans="1:48" s="402" customFormat="1" ht="15" customHeight="1">
      <c r="A1458" s="403"/>
      <c r="B1458" s="445">
        <v>44610</v>
      </c>
      <c r="C1458" s="403"/>
      <c r="D1458" s="416" t="s">
        <v>2480</v>
      </c>
      <c r="E1458" s="405" t="s">
        <v>3726</v>
      </c>
      <c r="F1458" s="427"/>
      <c r="G1458" s="432">
        <v>2022</v>
      </c>
      <c r="H1458" s="432"/>
      <c r="I1458" s="427" t="s">
        <v>1498</v>
      </c>
      <c r="J1458" s="428"/>
      <c r="K1458" s="429" t="s">
        <v>3834</v>
      </c>
      <c r="L1458" s="427" t="s">
        <v>3728</v>
      </c>
      <c r="M1458" s="430">
        <v>44606</v>
      </c>
      <c r="N1458" s="430">
        <v>44866</v>
      </c>
      <c r="O1458" s="430"/>
      <c r="P1458" s="428"/>
      <c r="Q1458" s="428"/>
      <c r="R1458" s="428"/>
      <c r="S1458" s="427" t="s">
        <v>1940</v>
      </c>
      <c r="T1458" s="427">
        <v>60</v>
      </c>
      <c r="U1458" s="427"/>
      <c r="V1458" s="427" t="s">
        <v>973</v>
      </c>
      <c r="W1458" s="427">
        <v>400</v>
      </c>
      <c r="X1458" s="431">
        <v>896</v>
      </c>
      <c r="Y1458" s="422">
        <f t="shared" ref="Y1458:Y1482" si="175">X1458*W1458</f>
        <v>358400</v>
      </c>
      <c r="Z1458" s="409">
        <v>0.55000000000000004</v>
      </c>
      <c r="AA1458" s="423">
        <f t="shared" ref="AA1458:AA1482" si="176">Z1458*Y1458</f>
        <v>197120.00000000003</v>
      </c>
      <c r="AB1458" s="411"/>
      <c r="AC1458" s="412">
        <f t="shared" ref="AC1458:AC1482" si="177">AB1458*Y1458</f>
        <v>0</v>
      </c>
      <c r="AD1458" s="421"/>
      <c r="AE1458" s="413"/>
      <c r="AF1458" s="424">
        <f t="shared" ref="AF1458:AF1482" si="178">AE1458+AD1458+AA1458</f>
        <v>197120.00000000003</v>
      </c>
      <c r="AG1458" s="405" t="s">
        <v>1069</v>
      </c>
      <c r="AH1458" s="405"/>
      <c r="AI1458" s="414" t="s">
        <v>1962</v>
      </c>
      <c r="AJ1458" s="405" t="s">
        <v>3729</v>
      </c>
      <c r="AK1458" s="425" t="s">
        <v>2505</v>
      </c>
      <c r="AL1458" s="405">
        <v>84120</v>
      </c>
      <c r="AM1458" s="405" t="s">
        <v>52</v>
      </c>
      <c r="AN1458" s="405"/>
      <c r="AO1458" s="405"/>
      <c r="AP1458" s="417"/>
      <c r="AQ1458" s="417" t="s">
        <v>37</v>
      </c>
      <c r="AR1458" s="417"/>
      <c r="AS1458" s="426"/>
      <c r="AT1458" s="426"/>
      <c r="AU1458" s="426"/>
      <c r="AV1458" s="409">
        <v>0.51</v>
      </c>
    </row>
    <row r="1459" spans="1:48" s="402" customFormat="1" ht="15" customHeight="1">
      <c r="A1459" s="452"/>
      <c r="B1459" s="447">
        <v>44648</v>
      </c>
      <c r="C1459" s="403"/>
      <c r="D1459" s="416" t="s">
        <v>2480</v>
      </c>
      <c r="E1459" s="432" t="s">
        <v>2752</v>
      </c>
      <c r="F1459" s="432"/>
      <c r="G1459" s="432">
        <v>2022</v>
      </c>
      <c r="H1459" s="432"/>
      <c r="I1459" s="432" t="s">
        <v>1498</v>
      </c>
      <c r="J1459" s="433"/>
      <c r="K1459" s="434" t="s">
        <v>2753</v>
      </c>
      <c r="L1459" s="432" t="s">
        <v>2481</v>
      </c>
      <c r="M1459" s="435">
        <v>44644</v>
      </c>
      <c r="N1459" s="435">
        <v>44682</v>
      </c>
      <c r="O1459" s="435"/>
      <c r="P1459" s="433"/>
      <c r="Q1459" s="433"/>
      <c r="R1459" s="433"/>
      <c r="S1459" s="432" t="s">
        <v>1940</v>
      </c>
      <c r="T1459" s="432">
        <v>60</v>
      </c>
      <c r="U1459" s="432"/>
      <c r="V1459" s="432" t="s">
        <v>973</v>
      </c>
      <c r="W1459" s="432">
        <v>400</v>
      </c>
      <c r="X1459" s="436">
        <v>768</v>
      </c>
      <c r="Y1459" s="408">
        <f t="shared" si="175"/>
        <v>307200</v>
      </c>
      <c r="Z1459" s="409">
        <v>0.57999999999999996</v>
      </c>
      <c r="AA1459" s="410">
        <f t="shared" si="176"/>
        <v>178176</v>
      </c>
      <c r="AB1459" s="411"/>
      <c r="AC1459" s="412">
        <f t="shared" si="177"/>
        <v>0</v>
      </c>
      <c r="AD1459" s="421"/>
      <c r="AE1459" s="413"/>
      <c r="AF1459" s="424">
        <f t="shared" si="178"/>
        <v>178176</v>
      </c>
      <c r="AG1459" s="405" t="s">
        <v>47</v>
      </c>
      <c r="AH1459" s="405"/>
      <c r="AI1459" s="414" t="s">
        <v>1937</v>
      </c>
      <c r="AJ1459" s="405" t="s">
        <v>2498</v>
      </c>
      <c r="AK1459" s="425" t="s">
        <v>1317</v>
      </c>
      <c r="AL1459" s="405">
        <v>22031</v>
      </c>
      <c r="AM1459" s="405" t="s">
        <v>52</v>
      </c>
      <c r="AN1459" s="405"/>
      <c r="AO1459" s="405"/>
      <c r="AP1459" s="417"/>
      <c r="AQ1459" s="417" t="s">
        <v>37</v>
      </c>
      <c r="AR1459" s="417"/>
      <c r="AS1459" s="426"/>
      <c r="AT1459" s="426"/>
      <c r="AU1459" s="403"/>
      <c r="AV1459" s="409">
        <v>0.55000000000000004</v>
      </c>
    </row>
    <row r="1460" spans="1:48" s="402" customFormat="1" ht="14.25" customHeight="1">
      <c r="A1460" s="403"/>
      <c r="B1460" s="447">
        <v>44610</v>
      </c>
      <c r="C1460" s="403"/>
      <c r="D1460" s="416" t="s">
        <v>2480</v>
      </c>
      <c r="E1460" s="405" t="s">
        <v>3726</v>
      </c>
      <c r="F1460" s="427"/>
      <c r="G1460" s="432">
        <v>2022</v>
      </c>
      <c r="H1460" s="432"/>
      <c r="I1460" s="427" t="s">
        <v>1498</v>
      </c>
      <c r="J1460" s="428"/>
      <c r="K1460" s="429" t="s">
        <v>3835</v>
      </c>
      <c r="L1460" s="427" t="s">
        <v>3728</v>
      </c>
      <c r="M1460" s="430">
        <v>44606</v>
      </c>
      <c r="N1460" s="430">
        <v>44907</v>
      </c>
      <c r="O1460" s="430"/>
      <c r="P1460" s="428"/>
      <c r="Q1460" s="428"/>
      <c r="R1460" s="428"/>
      <c r="S1460" s="427" t="s">
        <v>1940</v>
      </c>
      <c r="T1460" s="427">
        <v>60</v>
      </c>
      <c r="U1460" s="427"/>
      <c r="V1460" s="427" t="s">
        <v>973</v>
      </c>
      <c r="W1460" s="427">
        <v>400</v>
      </c>
      <c r="X1460" s="431">
        <v>896</v>
      </c>
      <c r="Y1460" s="422">
        <f t="shared" si="175"/>
        <v>358400</v>
      </c>
      <c r="Z1460" s="409">
        <v>0.55000000000000004</v>
      </c>
      <c r="AA1460" s="423">
        <f t="shared" si="176"/>
        <v>197120.00000000003</v>
      </c>
      <c r="AB1460" s="411"/>
      <c r="AC1460" s="412">
        <f t="shared" si="177"/>
        <v>0</v>
      </c>
      <c r="AD1460" s="421"/>
      <c r="AE1460" s="413"/>
      <c r="AF1460" s="424">
        <f t="shared" si="178"/>
        <v>197120.00000000003</v>
      </c>
      <c r="AG1460" s="405" t="s">
        <v>1069</v>
      </c>
      <c r="AH1460" s="405"/>
      <c r="AI1460" s="414" t="s">
        <v>1962</v>
      </c>
      <c r="AJ1460" s="405" t="s">
        <v>3729</v>
      </c>
      <c r="AK1460" s="425" t="s">
        <v>2505</v>
      </c>
      <c r="AL1460" s="405">
        <v>84120</v>
      </c>
      <c r="AM1460" s="405" t="s">
        <v>52</v>
      </c>
      <c r="AN1460" s="405"/>
      <c r="AO1460" s="405"/>
      <c r="AP1460" s="417"/>
      <c r="AQ1460" s="417" t="s">
        <v>37</v>
      </c>
      <c r="AR1460" s="417"/>
      <c r="AS1460" s="426"/>
      <c r="AT1460" s="426"/>
      <c r="AU1460" s="426"/>
      <c r="AV1460" s="409">
        <v>0.51</v>
      </c>
    </row>
    <row r="1461" spans="1:48" s="402" customFormat="1" ht="14.25" customHeight="1">
      <c r="A1461" s="403"/>
      <c r="B1461" s="447">
        <v>44666</v>
      </c>
      <c r="C1461" s="403"/>
      <c r="D1461" s="416" t="s">
        <v>2480</v>
      </c>
      <c r="E1461" s="405"/>
      <c r="F1461" s="427"/>
      <c r="G1461" s="432">
        <v>2022</v>
      </c>
      <c r="H1461" s="432"/>
      <c r="I1461" s="427" t="s">
        <v>1498</v>
      </c>
      <c r="J1461" s="428"/>
      <c r="K1461" s="429" t="s">
        <v>4081</v>
      </c>
      <c r="L1461" s="427" t="s">
        <v>2600</v>
      </c>
      <c r="M1461" s="430">
        <v>44621</v>
      </c>
      <c r="N1461" s="430">
        <v>44713</v>
      </c>
      <c r="O1461" s="430"/>
      <c r="P1461" s="428"/>
      <c r="Q1461" s="428"/>
      <c r="R1461" s="428"/>
      <c r="S1461" s="427" t="s">
        <v>1940</v>
      </c>
      <c r="T1461" s="427">
        <v>60</v>
      </c>
      <c r="U1461" s="427"/>
      <c r="V1461" s="427" t="s">
        <v>973</v>
      </c>
      <c r="W1461" s="427">
        <v>400</v>
      </c>
      <c r="X1461" s="431">
        <v>832</v>
      </c>
      <c r="Y1461" s="422">
        <f t="shared" si="175"/>
        <v>332800</v>
      </c>
      <c r="Z1461" s="409">
        <v>0.50856250000000003</v>
      </c>
      <c r="AA1461" s="423">
        <f t="shared" si="176"/>
        <v>169249.6</v>
      </c>
      <c r="AB1461" s="411"/>
      <c r="AC1461" s="412">
        <f t="shared" si="177"/>
        <v>0</v>
      </c>
      <c r="AD1461" s="421"/>
      <c r="AE1461" s="413"/>
      <c r="AF1461" s="424">
        <f t="shared" si="178"/>
        <v>169249.6</v>
      </c>
      <c r="AG1461" s="405" t="s">
        <v>1069</v>
      </c>
      <c r="AH1461" s="405"/>
      <c r="AI1461" s="414" t="s">
        <v>1962</v>
      </c>
      <c r="AJ1461" s="405" t="s">
        <v>4082</v>
      </c>
      <c r="AK1461" s="425" t="s">
        <v>1110</v>
      </c>
      <c r="AL1461" s="405">
        <v>61611</v>
      </c>
      <c r="AM1461" s="405" t="s">
        <v>52</v>
      </c>
      <c r="AN1461" s="405"/>
      <c r="AO1461" s="405"/>
      <c r="AP1461" s="417"/>
      <c r="AQ1461" s="417" t="s">
        <v>37</v>
      </c>
      <c r="AR1461" s="417"/>
      <c r="AS1461" s="426"/>
      <c r="AT1461" s="426"/>
      <c r="AU1461" s="426"/>
      <c r="AV1461" s="409">
        <v>0.51</v>
      </c>
    </row>
    <row r="1462" spans="1:48" s="402" customFormat="1" ht="14.25" customHeight="1">
      <c r="A1462" s="403"/>
      <c r="B1462" s="447">
        <v>44666</v>
      </c>
      <c r="C1462" s="403"/>
      <c r="D1462" s="416" t="s">
        <v>2480</v>
      </c>
      <c r="E1462" s="405"/>
      <c r="F1462" s="427"/>
      <c r="G1462" s="432">
        <v>2022</v>
      </c>
      <c r="H1462" s="432"/>
      <c r="I1462" s="427" t="s">
        <v>1498</v>
      </c>
      <c r="J1462" s="428"/>
      <c r="K1462" s="429" t="s">
        <v>4083</v>
      </c>
      <c r="L1462" s="427" t="s">
        <v>2600</v>
      </c>
      <c r="M1462" s="430">
        <v>44621</v>
      </c>
      <c r="N1462" s="430">
        <v>44774</v>
      </c>
      <c r="O1462" s="430"/>
      <c r="P1462" s="428"/>
      <c r="Q1462" s="428"/>
      <c r="R1462" s="428"/>
      <c r="S1462" s="427" t="s">
        <v>1940</v>
      </c>
      <c r="T1462" s="427">
        <v>60</v>
      </c>
      <c r="U1462" s="427"/>
      <c r="V1462" s="427" t="s">
        <v>973</v>
      </c>
      <c r="W1462" s="427">
        <v>400</v>
      </c>
      <c r="X1462" s="431">
        <v>832</v>
      </c>
      <c r="Y1462" s="422">
        <f t="shared" si="175"/>
        <v>332800</v>
      </c>
      <c r="Z1462" s="409">
        <v>0.50856250000000003</v>
      </c>
      <c r="AA1462" s="423">
        <f t="shared" si="176"/>
        <v>169249.6</v>
      </c>
      <c r="AB1462" s="411"/>
      <c r="AC1462" s="412">
        <f t="shared" si="177"/>
        <v>0</v>
      </c>
      <c r="AD1462" s="421"/>
      <c r="AE1462" s="413"/>
      <c r="AF1462" s="424">
        <f t="shared" si="178"/>
        <v>169249.6</v>
      </c>
      <c r="AG1462" s="405" t="s">
        <v>1069</v>
      </c>
      <c r="AH1462" s="405"/>
      <c r="AI1462" s="414" t="s">
        <v>1962</v>
      </c>
      <c r="AJ1462" s="405" t="s">
        <v>4082</v>
      </c>
      <c r="AK1462" s="425" t="s">
        <v>1110</v>
      </c>
      <c r="AL1462" s="405">
        <v>61611</v>
      </c>
      <c r="AM1462" s="405" t="s">
        <v>52</v>
      </c>
      <c r="AN1462" s="405"/>
      <c r="AO1462" s="405"/>
      <c r="AP1462" s="417"/>
      <c r="AQ1462" s="417" t="s">
        <v>37</v>
      </c>
      <c r="AR1462" s="417"/>
      <c r="AS1462" s="426"/>
      <c r="AT1462" s="426"/>
      <c r="AU1462" s="426"/>
      <c r="AV1462" s="409">
        <v>0.51</v>
      </c>
    </row>
    <row r="1463" spans="1:48" s="402" customFormat="1" ht="15" customHeight="1">
      <c r="A1463" s="452"/>
      <c r="B1463" s="445">
        <v>44648</v>
      </c>
      <c r="C1463" s="403"/>
      <c r="D1463" s="416" t="s">
        <v>2480</v>
      </c>
      <c r="E1463" s="432" t="s">
        <v>2752</v>
      </c>
      <c r="F1463" s="432"/>
      <c r="G1463" s="432">
        <v>2022</v>
      </c>
      <c r="H1463" s="432"/>
      <c r="I1463" s="432" t="s">
        <v>1498</v>
      </c>
      <c r="J1463" s="433"/>
      <c r="K1463" s="434" t="s">
        <v>3836</v>
      </c>
      <c r="L1463" s="432" t="s">
        <v>2481</v>
      </c>
      <c r="M1463" s="435">
        <v>44644</v>
      </c>
      <c r="N1463" s="435">
        <v>44713</v>
      </c>
      <c r="O1463" s="435"/>
      <c r="P1463" s="433"/>
      <c r="Q1463" s="433"/>
      <c r="R1463" s="433"/>
      <c r="S1463" s="432" t="s">
        <v>1940</v>
      </c>
      <c r="T1463" s="432">
        <v>60</v>
      </c>
      <c r="U1463" s="432"/>
      <c r="V1463" s="432" t="s">
        <v>973</v>
      </c>
      <c r="W1463" s="432">
        <v>400</v>
      </c>
      <c r="X1463" s="436">
        <v>768</v>
      </c>
      <c r="Y1463" s="408">
        <f t="shared" si="175"/>
        <v>307200</v>
      </c>
      <c r="Z1463" s="409">
        <v>0.57999999999999996</v>
      </c>
      <c r="AA1463" s="410">
        <f t="shared" si="176"/>
        <v>178176</v>
      </c>
      <c r="AB1463" s="411"/>
      <c r="AC1463" s="412">
        <f t="shared" si="177"/>
        <v>0</v>
      </c>
      <c r="AD1463" s="421"/>
      <c r="AE1463" s="413"/>
      <c r="AF1463" s="424">
        <f t="shared" si="178"/>
        <v>178176</v>
      </c>
      <c r="AG1463" s="405" t="s">
        <v>47</v>
      </c>
      <c r="AH1463" s="405"/>
      <c r="AI1463" s="414" t="s">
        <v>1937</v>
      </c>
      <c r="AJ1463" s="405" t="s">
        <v>2498</v>
      </c>
      <c r="AK1463" s="425" t="s">
        <v>1317</v>
      </c>
      <c r="AL1463" s="405">
        <v>22031</v>
      </c>
      <c r="AM1463" s="405" t="s">
        <v>52</v>
      </c>
      <c r="AN1463" s="405"/>
      <c r="AO1463" s="405"/>
      <c r="AP1463" s="417"/>
      <c r="AQ1463" s="417" t="s">
        <v>37</v>
      </c>
      <c r="AR1463" s="417"/>
      <c r="AS1463" s="426"/>
      <c r="AT1463" s="426"/>
      <c r="AU1463" s="403"/>
      <c r="AV1463" s="409">
        <v>0.55000000000000004</v>
      </c>
    </row>
    <row r="1464" spans="1:48" s="402" customFormat="1" ht="15" customHeight="1">
      <c r="A1464" s="452"/>
      <c r="B1464" s="445">
        <v>44648</v>
      </c>
      <c r="C1464" s="403"/>
      <c r="D1464" s="416" t="s">
        <v>2480</v>
      </c>
      <c r="E1464" s="432" t="s">
        <v>2752</v>
      </c>
      <c r="F1464" s="432"/>
      <c r="G1464" s="432">
        <v>2022</v>
      </c>
      <c r="H1464" s="432"/>
      <c r="I1464" s="432" t="s">
        <v>1498</v>
      </c>
      <c r="J1464" s="433"/>
      <c r="K1464" s="434" t="s">
        <v>3837</v>
      </c>
      <c r="L1464" s="432" t="s">
        <v>2481</v>
      </c>
      <c r="M1464" s="435">
        <v>44644</v>
      </c>
      <c r="N1464" s="435">
        <v>44743</v>
      </c>
      <c r="O1464" s="435"/>
      <c r="P1464" s="433"/>
      <c r="Q1464" s="433"/>
      <c r="R1464" s="433"/>
      <c r="S1464" s="432" t="s">
        <v>1940</v>
      </c>
      <c r="T1464" s="432">
        <v>60</v>
      </c>
      <c r="U1464" s="432"/>
      <c r="V1464" s="432" t="s">
        <v>973</v>
      </c>
      <c r="W1464" s="432">
        <v>400</v>
      </c>
      <c r="X1464" s="436">
        <v>768</v>
      </c>
      <c r="Y1464" s="408">
        <f t="shared" si="175"/>
        <v>307200</v>
      </c>
      <c r="Z1464" s="409">
        <v>0.57999999999999996</v>
      </c>
      <c r="AA1464" s="410">
        <f t="shared" si="176"/>
        <v>178176</v>
      </c>
      <c r="AB1464" s="411"/>
      <c r="AC1464" s="412">
        <f t="shared" si="177"/>
        <v>0</v>
      </c>
      <c r="AD1464" s="421"/>
      <c r="AE1464" s="413"/>
      <c r="AF1464" s="424">
        <f t="shared" si="178"/>
        <v>178176</v>
      </c>
      <c r="AG1464" s="405" t="s">
        <v>47</v>
      </c>
      <c r="AH1464" s="405"/>
      <c r="AI1464" s="414" t="s">
        <v>1937</v>
      </c>
      <c r="AJ1464" s="405" t="s">
        <v>2498</v>
      </c>
      <c r="AK1464" s="425" t="s">
        <v>1317</v>
      </c>
      <c r="AL1464" s="405">
        <v>22031</v>
      </c>
      <c r="AM1464" s="405" t="s">
        <v>52</v>
      </c>
      <c r="AN1464" s="405"/>
      <c r="AO1464" s="405"/>
      <c r="AP1464" s="417"/>
      <c r="AQ1464" s="417" t="s">
        <v>37</v>
      </c>
      <c r="AR1464" s="417"/>
      <c r="AS1464" s="426"/>
      <c r="AT1464" s="426"/>
      <c r="AU1464" s="403"/>
      <c r="AV1464" s="409">
        <v>0.55000000000000004</v>
      </c>
    </row>
    <row r="1465" spans="1:48" s="402" customFormat="1" ht="15" customHeight="1">
      <c r="A1465" s="452"/>
      <c r="B1465" s="445"/>
      <c r="C1465" s="403"/>
      <c r="D1465" s="416" t="s">
        <v>2480</v>
      </c>
      <c r="E1465" s="432" t="s">
        <v>2761</v>
      </c>
      <c r="F1465" s="432"/>
      <c r="G1465" s="432">
        <v>2022</v>
      </c>
      <c r="H1465" s="432"/>
      <c r="I1465" s="432" t="s">
        <v>1498</v>
      </c>
      <c r="J1465" s="433"/>
      <c r="K1465" s="434" t="s">
        <v>2762</v>
      </c>
      <c r="L1465" s="432" t="s">
        <v>2481</v>
      </c>
      <c r="M1465" s="435">
        <v>44655</v>
      </c>
      <c r="N1465" s="435">
        <v>44753</v>
      </c>
      <c r="O1465" s="435"/>
      <c r="P1465" s="433"/>
      <c r="Q1465" s="433"/>
      <c r="R1465" s="433"/>
      <c r="S1465" s="432" t="s">
        <v>1940</v>
      </c>
      <c r="T1465" s="432">
        <v>60</v>
      </c>
      <c r="U1465" s="432"/>
      <c r="V1465" s="432" t="s">
        <v>986</v>
      </c>
      <c r="W1465" s="432">
        <v>365</v>
      </c>
      <c r="X1465" s="436">
        <v>320</v>
      </c>
      <c r="Y1465" s="408">
        <f t="shared" si="175"/>
        <v>116800</v>
      </c>
      <c r="Z1465" s="409">
        <v>0.56000000000000005</v>
      </c>
      <c r="AA1465" s="410">
        <f t="shared" si="176"/>
        <v>65408.000000000007</v>
      </c>
      <c r="AB1465" s="411"/>
      <c r="AC1465" s="412">
        <f t="shared" si="177"/>
        <v>0</v>
      </c>
      <c r="AD1465" s="421"/>
      <c r="AE1465" s="413"/>
      <c r="AF1465" s="424">
        <f t="shared" si="178"/>
        <v>65408.000000000007</v>
      </c>
      <c r="AG1465" s="405" t="s">
        <v>47</v>
      </c>
      <c r="AH1465" s="405"/>
      <c r="AI1465" s="414" t="s">
        <v>1937</v>
      </c>
      <c r="AJ1465" s="405" t="s">
        <v>2763</v>
      </c>
      <c r="AK1465" s="425" t="s">
        <v>1092</v>
      </c>
      <c r="AL1465" s="425">
        <v>1085</v>
      </c>
      <c r="AM1465" s="405" t="s">
        <v>52</v>
      </c>
      <c r="AN1465" s="405"/>
      <c r="AO1465" s="405"/>
      <c r="AP1465" s="417"/>
      <c r="AQ1465" s="417" t="s">
        <v>37</v>
      </c>
      <c r="AR1465" s="417"/>
      <c r="AS1465" s="426"/>
      <c r="AT1465" s="426"/>
      <c r="AU1465" s="403"/>
      <c r="AV1465" s="409">
        <v>0.55000000000000004</v>
      </c>
    </row>
    <row r="1466" spans="1:48" s="402" customFormat="1" ht="15" customHeight="1">
      <c r="A1466" s="452"/>
      <c r="B1466" s="445">
        <v>44651</v>
      </c>
      <c r="C1466" s="403"/>
      <c r="D1466" s="416" t="s">
        <v>2480</v>
      </c>
      <c r="E1466" s="432" t="s">
        <v>3838</v>
      </c>
      <c r="F1466" s="432"/>
      <c r="G1466" s="432">
        <v>2022</v>
      </c>
      <c r="H1466" s="432"/>
      <c r="I1466" s="432" t="s">
        <v>1498</v>
      </c>
      <c r="J1466" s="433"/>
      <c r="K1466" s="434" t="s">
        <v>3839</v>
      </c>
      <c r="L1466" s="432" t="s">
        <v>2481</v>
      </c>
      <c r="M1466" s="435">
        <v>44650</v>
      </c>
      <c r="N1466" s="435">
        <v>44757</v>
      </c>
      <c r="O1466" s="435"/>
      <c r="P1466" s="433"/>
      <c r="Q1466" s="433"/>
      <c r="R1466" s="433"/>
      <c r="S1466" s="432" t="s">
        <v>1940</v>
      </c>
      <c r="T1466" s="432">
        <v>60</v>
      </c>
      <c r="U1466" s="432"/>
      <c r="V1466" s="432" t="s">
        <v>973</v>
      </c>
      <c r="W1466" s="432">
        <v>400</v>
      </c>
      <c r="X1466" s="436">
        <v>384</v>
      </c>
      <c r="Y1466" s="408">
        <f t="shared" si="175"/>
        <v>153600</v>
      </c>
      <c r="Z1466" s="409">
        <v>0.57999999999999996</v>
      </c>
      <c r="AA1466" s="410">
        <f t="shared" si="176"/>
        <v>89088</v>
      </c>
      <c r="AB1466" s="411"/>
      <c r="AC1466" s="412">
        <f t="shared" si="177"/>
        <v>0</v>
      </c>
      <c r="AD1466" s="421"/>
      <c r="AE1466" s="413"/>
      <c r="AF1466" s="424">
        <f t="shared" si="178"/>
        <v>89088</v>
      </c>
      <c r="AG1466" s="405" t="s">
        <v>47</v>
      </c>
      <c r="AH1466" s="405">
        <v>10</v>
      </c>
      <c r="AI1466" s="414" t="s">
        <v>1937</v>
      </c>
      <c r="AJ1466" s="405" t="s">
        <v>3840</v>
      </c>
      <c r="AK1466" s="425" t="s">
        <v>1452</v>
      </c>
      <c r="AL1466" s="405">
        <v>37013</v>
      </c>
      <c r="AM1466" s="405" t="s">
        <v>52</v>
      </c>
      <c r="AN1466" s="405"/>
      <c r="AO1466" s="405"/>
      <c r="AP1466" s="417"/>
      <c r="AQ1466" s="417" t="s">
        <v>37</v>
      </c>
      <c r="AR1466" s="417"/>
      <c r="AS1466" s="426"/>
      <c r="AT1466" s="426"/>
      <c r="AU1466" s="403"/>
      <c r="AV1466" s="409">
        <v>0.55000000000000004</v>
      </c>
    </row>
    <row r="1467" spans="1:48" s="402" customFormat="1" ht="15" customHeight="1">
      <c r="A1467" s="452"/>
      <c r="B1467" s="445"/>
      <c r="C1467" s="403"/>
      <c r="D1467" s="416" t="s">
        <v>2480</v>
      </c>
      <c r="E1467" s="432" t="s">
        <v>2761</v>
      </c>
      <c r="F1467" s="432"/>
      <c r="G1467" s="432">
        <v>2022</v>
      </c>
      <c r="H1467" s="432"/>
      <c r="I1467" s="432" t="s">
        <v>1498</v>
      </c>
      <c r="J1467" s="433"/>
      <c r="K1467" s="434" t="s">
        <v>2771</v>
      </c>
      <c r="L1467" s="432" t="s">
        <v>2481</v>
      </c>
      <c r="M1467" s="435">
        <v>44655</v>
      </c>
      <c r="N1467" s="435">
        <v>44795</v>
      </c>
      <c r="O1467" s="435"/>
      <c r="P1467" s="433"/>
      <c r="Q1467" s="433"/>
      <c r="R1467" s="433"/>
      <c r="S1467" s="432" t="s">
        <v>1940</v>
      </c>
      <c r="T1467" s="432">
        <v>60</v>
      </c>
      <c r="U1467" s="432"/>
      <c r="V1467" s="432" t="s">
        <v>986</v>
      </c>
      <c r="W1467" s="432">
        <v>365</v>
      </c>
      <c r="X1467" s="436">
        <v>320</v>
      </c>
      <c r="Y1467" s="408">
        <f t="shared" si="175"/>
        <v>116800</v>
      </c>
      <c r="Z1467" s="409">
        <v>0.56000000000000005</v>
      </c>
      <c r="AA1467" s="410">
        <f t="shared" si="176"/>
        <v>65408.000000000007</v>
      </c>
      <c r="AB1467" s="411"/>
      <c r="AC1467" s="412">
        <f t="shared" si="177"/>
        <v>0</v>
      </c>
      <c r="AD1467" s="421"/>
      <c r="AE1467" s="413"/>
      <c r="AF1467" s="424">
        <f t="shared" si="178"/>
        <v>65408.000000000007</v>
      </c>
      <c r="AG1467" s="405" t="s">
        <v>47</v>
      </c>
      <c r="AH1467" s="405"/>
      <c r="AI1467" s="414" t="s">
        <v>1937</v>
      </c>
      <c r="AJ1467" s="405" t="s">
        <v>2763</v>
      </c>
      <c r="AK1467" s="425" t="s">
        <v>1092</v>
      </c>
      <c r="AL1467" s="425">
        <v>1085</v>
      </c>
      <c r="AM1467" s="405" t="s">
        <v>52</v>
      </c>
      <c r="AN1467" s="405"/>
      <c r="AO1467" s="405"/>
      <c r="AP1467" s="417"/>
      <c r="AQ1467" s="417" t="s">
        <v>37</v>
      </c>
      <c r="AR1467" s="417"/>
      <c r="AS1467" s="426"/>
      <c r="AT1467" s="426"/>
      <c r="AU1467" s="403"/>
      <c r="AV1467" s="409">
        <v>0.55000000000000004</v>
      </c>
    </row>
    <row r="1468" spans="1:48" s="402" customFormat="1" ht="15" customHeight="1">
      <c r="A1468" s="452"/>
      <c r="B1468" s="445">
        <v>44648</v>
      </c>
      <c r="C1468" s="403"/>
      <c r="D1468" s="416" t="s">
        <v>2480</v>
      </c>
      <c r="E1468" s="432" t="s">
        <v>2752</v>
      </c>
      <c r="F1468" s="432"/>
      <c r="G1468" s="432">
        <v>2022</v>
      </c>
      <c r="H1468" s="432"/>
      <c r="I1468" s="432" t="s">
        <v>1498</v>
      </c>
      <c r="J1468" s="433"/>
      <c r="K1468" s="434" t="s">
        <v>3841</v>
      </c>
      <c r="L1468" s="432" t="s">
        <v>2481</v>
      </c>
      <c r="M1468" s="435">
        <v>44645</v>
      </c>
      <c r="N1468" s="435">
        <v>44804</v>
      </c>
      <c r="O1468" s="435"/>
      <c r="P1468" s="433"/>
      <c r="Q1468" s="433"/>
      <c r="R1468" s="433"/>
      <c r="S1468" s="432" t="s">
        <v>1940</v>
      </c>
      <c r="T1468" s="432">
        <v>60</v>
      </c>
      <c r="U1468" s="432"/>
      <c r="V1468" s="432" t="s">
        <v>973</v>
      </c>
      <c r="W1468" s="432">
        <v>400</v>
      </c>
      <c r="X1468" s="436">
        <v>768</v>
      </c>
      <c r="Y1468" s="408">
        <f t="shared" si="175"/>
        <v>307200</v>
      </c>
      <c r="Z1468" s="409">
        <v>0.57999999999999996</v>
      </c>
      <c r="AA1468" s="410">
        <f t="shared" si="176"/>
        <v>178176</v>
      </c>
      <c r="AB1468" s="411"/>
      <c r="AC1468" s="412">
        <f t="shared" si="177"/>
        <v>0</v>
      </c>
      <c r="AD1468" s="421"/>
      <c r="AE1468" s="413"/>
      <c r="AF1468" s="424">
        <f t="shared" si="178"/>
        <v>178176</v>
      </c>
      <c r="AG1468" s="405" t="s">
        <v>47</v>
      </c>
      <c r="AH1468" s="405"/>
      <c r="AI1468" s="414" t="s">
        <v>1937</v>
      </c>
      <c r="AJ1468" s="405" t="s">
        <v>2498</v>
      </c>
      <c r="AK1468" s="425" t="s">
        <v>1317</v>
      </c>
      <c r="AL1468" s="405">
        <v>22031</v>
      </c>
      <c r="AM1468" s="405" t="s">
        <v>52</v>
      </c>
      <c r="AN1468" s="405"/>
      <c r="AO1468" s="405"/>
      <c r="AP1468" s="417"/>
      <c r="AQ1468" s="417" t="s">
        <v>37</v>
      </c>
      <c r="AR1468" s="417"/>
      <c r="AS1468" s="426"/>
      <c r="AT1468" s="426"/>
      <c r="AU1468" s="403"/>
      <c r="AV1468" s="409">
        <v>0.55000000000000004</v>
      </c>
    </row>
    <row r="1469" spans="1:48" s="402" customFormat="1" ht="15" customHeight="1">
      <c r="A1469" s="452"/>
      <c r="B1469" s="445">
        <v>44648</v>
      </c>
      <c r="C1469" s="403"/>
      <c r="D1469" s="416" t="s">
        <v>2480</v>
      </c>
      <c r="E1469" s="432" t="s">
        <v>2752</v>
      </c>
      <c r="F1469" s="432"/>
      <c r="G1469" s="432">
        <v>2022</v>
      </c>
      <c r="H1469" s="432"/>
      <c r="I1469" s="432" t="s">
        <v>1498</v>
      </c>
      <c r="J1469" s="433"/>
      <c r="K1469" s="434" t="s">
        <v>3842</v>
      </c>
      <c r="L1469" s="432" t="s">
        <v>2481</v>
      </c>
      <c r="M1469" s="435">
        <v>44645</v>
      </c>
      <c r="N1469" s="435">
        <v>44805</v>
      </c>
      <c r="O1469" s="435"/>
      <c r="P1469" s="433"/>
      <c r="Q1469" s="433"/>
      <c r="R1469" s="433"/>
      <c r="S1469" s="432" t="s">
        <v>1940</v>
      </c>
      <c r="T1469" s="432">
        <v>60</v>
      </c>
      <c r="U1469" s="432"/>
      <c r="V1469" s="432" t="s">
        <v>973</v>
      </c>
      <c r="W1469" s="432">
        <v>400</v>
      </c>
      <c r="X1469" s="436">
        <v>768</v>
      </c>
      <c r="Y1469" s="408">
        <f t="shared" si="175"/>
        <v>307200</v>
      </c>
      <c r="Z1469" s="409">
        <v>0.57999999999999996</v>
      </c>
      <c r="AA1469" s="410">
        <f t="shared" si="176"/>
        <v>178176</v>
      </c>
      <c r="AB1469" s="411"/>
      <c r="AC1469" s="412">
        <f t="shared" si="177"/>
        <v>0</v>
      </c>
      <c r="AD1469" s="421"/>
      <c r="AE1469" s="413"/>
      <c r="AF1469" s="424">
        <f t="shared" si="178"/>
        <v>178176</v>
      </c>
      <c r="AG1469" s="405" t="s">
        <v>47</v>
      </c>
      <c r="AH1469" s="405"/>
      <c r="AI1469" s="414" t="s">
        <v>1937</v>
      </c>
      <c r="AJ1469" s="405" t="s">
        <v>2498</v>
      </c>
      <c r="AK1469" s="425" t="s">
        <v>1317</v>
      </c>
      <c r="AL1469" s="405">
        <v>22031</v>
      </c>
      <c r="AM1469" s="405" t="s">
        <v>52</v>
      </c>
      <c r="AN1469" s="405"/>
      <c r="AO1469" s="405"/>
      <c r="AP1469" s="417"/>
      <c r="AQ1469" s="417" t="s">
        <v>37</v>
      </c>
      <c r="AR1469" s="417"/>
      <c r="AS1469" s="426"/>
      <c r="AT1469" s="426"/>
      <c r="AU1469" s="403"/>
      <c r="AV1469" s="409">
        <v>0.55000000000000004</v>
      </c>
    </row>
    <row r="1470" spans="1:48" s="402" customFormat="1" ht="15" customHeight="1">
      <c r="A1470" s="452"/>
      <c r="B1470" s="445">
        <v>44648</v>
      </c>
      <c r="C1470" s="403"/>
      <c r="D1470" s="416" t="s">
        <v>2480</v>
      </c>
      <c r="E1470" s="432" t="s">
        <v>2752</v>
      </c>
      <c r="F1470" s="432"/>
      <c r="G1470" s="432">
        <v>2022</v>
      </c>
      <c r="H1470" s="432"/>
      <c r="I1470" s="432" t="s">
        <v>1498</v>
      </c>
      <c r="J1470" s="433"/>
      <c r="K1470" s="434" t="s">
        <v>3843</v>
      </c>
      <c r="L1470" s="432" t="s">
        <v>2481</v>
      </c>
      <c r="M1470" s="435">
        <v>44645</v>
      </c>
      <c r="N1470" s="435">
        <v>44835</v>
      </c>
      <c r="O1470" s="435"/>
      <c r="P1470" s="433"/>
      <c r="Q1470" s="433"/>
      <c r="R1470" s="433"/>
      <c r="S1470" s="432" t="s">
        <v>1940</v>
      </c>
      <c r="T1470" s="432">
        <v>60</v>
      </c>
      <c r="U1470" s="432"/>
      <c r="V1470" s="432" t="s">
        <v>973</v>
      </c>
      <c r="W1470" s="432">
        <v>400</v>
      </c>
      <c r="X1470" s="436">
        <v>768</v>
      </c>
      <c r="Y1470" s="408">
        <f t="shared" si="175"/>
        <v>307200</v>
      </c>
      <c r="Z1470" s="409">
        <v>0.57999999999999996</v>
      </c>
      <c r="AA1470" s="410">
        <f t="shared" si="176"/>
        <v>178176</v>
      </c>
      <c r="AB1470" s="411"/>
      <c r="AC1470" s="412">
        <f t="shared" si="177"/>
        <v>0</v>
      </c>
      <c r="AD1470" s="421"/>
      <c r="AE1470" s="413"/>
      <c r="AF1470" s="424">
        <f t="shared" si="178"/>
        <v>178176</v>
      </c>
      <c r="AG1470" s="405" t="s">
        <v>47</v>
      </c>
      <c r="AH1470" s="405"/>
      <c r="AI1470" s="414" t="s">
        <v>1937</v>
      </c>
      <c r="AJ1470" s="405" t="s">
        <v>2498</v>
      </c>
      <c r="AK1470" s="425" t="s">
        <v>1317</v>
      </c>
      <c r="AL1470" s="405">
        <v>22031</v>
      </c>
      <c r="AM1470" s="405" t="s">
        <v>52</v>
      </c>
      <c r="AN1470" s="405"/>
      <c r="AO1470" s="405"/>
      <c r="AP1470" s="417"/>
      <c r="AQ1470" s="417" t="s">
        <v>37</v>
      </c>
      <c r="AR1470" s="417"/>
      <c r="AS1470" s="426"/>
      <c r="AT1470" s="426"/>
      <c r="AU1470" s="403"/>
      <c r="AV1470" s="409">
        <v>0.55000000000000004</v>
      </c>
    </row>
    <row r="1471" spans="1:48" s="402" customFormat="1" ht="15" customHeight="1">
      <c r="A1471" s="403"/>
      <c r="B1471" s="445">
        <v>44641</v>
      </c>
      <c r="C1471" s="403"/>
      <c r="D1471" s="416" t="s">
        <v>2480</v>
      </c>
      <c r="E1471" s="432" t="s">
        <v>3844</v>
      </c>
      <c r="F1471" s="432"/>
      <c r="G1471" s="432">
        <v>2022</v>
      </c>
      <c r="H1471" s="432"/>
      <c r="I1471" s="432" t="s">
        <v>1498</v>
      </c>
      <c r="J1471" s="433"/>
      <c r="K1471" s="434" t="s">
        <v>3845</v>
      </c>
      <c r="L1471" s="432" t="s">
        <v>2481</v>
      </c>
      <c r="M1471" s="435">
        <v>44641</v>
      </c>
      <c r="N1471" s="435">
        <v>44848</v>
      </c>
      <c r="O1471" s="435"/>
      <c r="P1471" s="433"/>
      <c r="Q1471" s="433"/>
      <c r="R1471" s="433"/>
      <c r="S1471" s="432" t="s">
        <v>1940</v>
      </c>
      <c r="T1471" s="432">
        <v>60</v>
      </c>
      <c r="U1471" s="432"/>
      <c r="V1471" s="432" t="s">
        <v>973</v>
      </c>
      <c r="W1471" s="432">
        <v>400</v>
      </c>
      <c r="X1471" s="436">
        <v>1452</v>
      </c>
      <c r="Y1471" s="408">
        <f t="shared" si="175"/>
        <v>580800</v>
      </c>
      <c r="Z1471" s="409">
        <v>0.56374999999999997</v>
      </c>
      <c r="AA1471" s="410">
        <f t="shared" si="176"/>
        <v>327426</v>
      </c>
      <c r="AB1471" s="411"/>
      <c r="AC1471" s="412">
        <f t="shared" si="177"/>
        <v>0</v>
      </c>
      <c r="AD1471" s="421"/>
      <c r="AE1471" s="413"/>
      <c r="AF1471" s="424">
        <f t="shared" si="178"/>
        <v>327426</v>
      </c>
      <c r="AG1471" s="405" t="s">
        <v>47</v>
      </c>
      <c r="AH1471" s="405"/>
      <c r="AI1471" s="414" t="s">
        <v>1937</v>
      </c>
      <c r="AJ1471" s="405" t="s">
        <v>2751</v>
      </c>
      <c r="AK1471" s="425" t="s">
        <v>2745</v>
      </c>
      <c r="AL1471" s="405">
        <v>63132</v>
      </c>
      <c r="AM1471" s="405" t="s">
        <v>52</v>
      </c>
      <c r="AN1471" s="405"/>
      <c r="AO1471" s="405"/>
      <c r="AP1471" s="417"/>
      <c r="AQ1471" s="417" t="s">
        <v>37</v>
      </c>
      <c r="AR1471" s="417"/>
      <c r="AS1471" s="426"/>
      <c r="AT1471" s="426"/>
      <c r="AU1471" s="403"/>
      <c r="AV1471" s="409">
        <v>0.55000000000000004</v>
      </c>
    </row>
    <row r="1472" spans="1:48" s="402" customFormat="1" ht="15" customHeight="1">
      <c r="A1472" s="452"/>
      <c r="B1472" s="445">
        <v>44651</v>
      </c>
      <c r="C1472" s="403"/>
      <c r="D1472" s="416" t="s">
        <v>2480</v>
      </c>
      <c r="E1472" s="432" t="s">
        <v>3838</v>
      </c>
      <c r="F1472" s="432"/>
      <c r="G1472" s="432">
        <v>2022</v>
      </c>
      <c r="H1472" s="432"/>
      <c r="I1472" s="432" t="s">
        <v>1498</v>
      </c>
      <c r="J1472" s="433"/>
      <c r="K1472" s="434" t="s">
        <v>3846</v>
      </c>
      <c r="L1472" s="432" t="s">
        <v>2481</v>
      </c>
      <c r="M1472" s="435">
        <v>44650</v>
      </c>
      <c r="N1472" s="435">
        <v>44849</v>
      </c>
      <c r="O1472" s="435"/>
      <c r="P1472" s="433"/>
      <c r="Q1472" s="433"/>
      <c r="R1472" s="433"/>
      <c r="S1472" s="432" t="s">
        <v>1940</v>
      </c>
      <c r="T1472" s="432">
        <v>60</v>
      </c>
      <c r="U1472" s="432"/>
      <c r="V1472" s="432" t="s">
        <v>973</v>
      </c>
      <c r="W1472" s="432">
        <v>400</v>
      </c>
      <c r="X1472" s="436">
        <v>384</v>
      </c>
      <c r="Y1472" s="408">
        <f t="shared" si="175"/>
        <v>153600</v>
      </c>
      <c r="Z1472" s="409">
        <v>0.57999999999999996</v>
      </c>
      <c r="AA1472" s="410">
        <f t="shared" si="176"/>
        <v>89088</v>
      </c>
      <c r="AB1472" s="411"/>
      <c r="AC1472" s="412">
        <f t="shared" si="177"/>
        <v>0</v>
      </c>
      <c r="AD1472" s="421"/>
      <c r="AE1472" s="413"/>
      <c r="AF1472" s="424">
        <f t="shared" si="178"/>
        <v>89088</v>
      </c>
      <c r="AG1472" s="405" t="s">
        <v>47</v>
      </c>
      <c r="AH1472" s="405">
        <v>10</v>
      </c>
      <c r="AI1472" s="414" t="s">
        <v>1937</v>
      </c>
      <c r="AJ1472" s="405" t="s">
        <v>3840</v>
      </c>
      <c r="AK1472" s="425" t="s">
        <v>1452</v>
      </c>
      <c r="AL1472" s="405">
        <v>37013</v>
      </c>
      <c r="AM1472" s="405" t="s">
        <v>52</v>
      </c>
      <c r="AN1472" s="405"/>
      <c r="AO1472" s="405"/>
      <c r="AP1472" s="417"/>
      <c r="AQ1472" s="417" t="s">
        <v>37</v>
      </c>
      <c r="AR1472" s="417"/>
      <c r="AS1472" s="426"/>
      <c r="AT1472" s="426"/>
      <c r="AU1472" s="403"/>
      <c r="AV1472" s="409">
        <v>0.55000000000000004</v>
      </c>
    </row>
    <row r="1473" spans="1:48" s="402" customFormat="1" ht="15" customHeight="1">
      <c r="A1473" s="452"/>
      <c r="B1473" s="445"/>
      <c r="C1473" s="403"/>
      <c r="D1473" s="416" t="s">
        <v>2480</v>
      </c>
      <c r="E1473" s="432" t="s">
        <v>2761</v>
      </c>
      <c r="F1473" s="432"/>
      <c r="G1473" s="432">
        <v>2022</v>
      </c>
      <c r="H1473" s="432"/>
      <c r="I1473" s="432" t="s">
        <v>1498</v>
      </c>
      <c r="J1473" s="433"/>
      <c r="K1473" s="434" t="s">
        <v>2779</v>
      </c>
      <c r="L1473" s="432" t="s">
        <v>2481</v>
      </c>
      <c r="M1473" s="435">
        <v>44655</v>
      </c>
      <c r="N1473" s="435">
        <v>44851</v>
      </c>
      <c r="O1473" s="435"/>
      <c r="P1473" s="433"/>
      <c r="Q1473" s="433"/>
      <c r="R1473" s="433"/>
      <c r="S1473" s="432" t="s">
        <v>1940</v>
      </c>
      <c r="T1473" s="432">
        <v>60</v>
      </c>
      <c r="U1473" s="432"/>
      <c r="V1473" s="432" t="s">
        <v>986</v>
      </c>
      <c r="W1473" s="432">
        <v>365</v>
      </c>
      <c r="X1473" s="436">
        <v>320</v>
      </c>
      <c r="Y1473" s="408">
        <f t="shared" si="175"/>
        <v>116800</v>
      </c>
      <c r="Z1473" s="409">
        <v>0.56000000000000005</v>
      </c>
      <c r="AA1473" s="410">
        <f t="shared" si="176"/>
        <v>65408.000000000007</v>
      </c>
      <c r="AB1473" s="411"/>
      <c r="AC1473" s="412">
        <f t="shared" si="177"/>
        <v>0</v>
      </c>
      <c r="AD1473" s="421"/>
      <c r="AE1473" s="413"/>
      <c r="AF1473" s="424">
        <f t="shared" si="178"/>
        <v>65408.000000000007</v>
      </c>
      <c r="AG1473" s="405" t="s">
        <v>47</v>
      </c>
      <c r="AH1473" s="405"/>
      <c r="AI1473" s="414" t="s">
        <v>1937</v>
      </c>
      <c r="AJ1473" s="405" t="s">
        <v>2763</v>
      </c>
      <c r="AK1473" s="425" t="s">
        <v>1092</v>
      </c>
      <c r="AL1473" s="425">
        <v>1085</v>
      </c>
      <c r="AM1473" s="405" t="s">
        <v>52</v>
      </c>
      <c r="AN1473" s="405"/>
      <c r="AO1473" s="405"/>
      <c r="AP1473" s="417"/>
      <c r="AQ1473" s="417" t="s">
        <v>37</v>
      </c>
      <c r="AR1473" s="417"/>
      <c r="AS1473" s="426"/>
      <c r="AT1473" s="426"/>
      <c r="AU1473" s="403"/>
      <c r="AV1473" s="409">
        <v>0.55000000000000004</v>
      </c>
    </row>
    <row r="1474" spans="1:48" s="402" customFormat="1" ht="15" customHeight="1">
      <c r="A1474" s="452"/>
      <c r="B1474" s="445">
        <v>44648</v>
      </c>
      <c r="C1474" s="403"/>
      <c r="D1474" s="416" t="s">
        <v>2480</v>
      </c>
      <c r="E1474" s="432" t="s">
        <v>2752</v>
      </c>
      <c r="F1474" s="432"/>
      <c r="G1474" s="432">
        <v>2022</v>
      </c>
      <c r="H1474" s="432"/>
      <c r="I1474" s="432" t="s">
        <v>1498</v>
      </c>
      <c r="J1474" s="433"/>
      <c r="K1474" s="434" t="s">
        <v>3847</v>
      </c>
      <c r="L1474" s="432" t="s">
        <v>2481</v>
      </c>
      <c r="M1474" s="435">
        <v>44645</v>
      </c>
      <c r="N1474" s="435">
        <v>44866</v>
      </c>
      <c r="O1474" s="435"/>
      <c r="P1474" s="433"/>
      <c r="Q1474" s="433"/>
      <c r="R1474" s="433"/>
      <c r="S1474" s="432" t="s">
        <v>1940</v>
      </c>
      <c r="T1474" s="432">
        <v>60</v>
      </c>
      <c r="U1474" s="432"/>
      <c r="V1474" s="432" t="s">
        <v>973</v>
      </c>
      <c r="W1474" s="432">
        <v>400</v>
      </c>
      <c r="X1474" s="436">
        <v>768</v>
      </c>
      <c r="Y1474" s="408">
        <f t="shared" si="175"/>
        <v>307200</v>
      </c>
      <c r="Z1474" s="409">
        <v>0.57999999999999996</v>
      </c>
      <c r="AA1474" s="410">
        <f t="shared" si="176"/>
        <v>178176</v>
      </c>
      <c r="AB1474" s="411"/>
      <c r="AC1474" s="412">
        <f t="shared" si="177"/>
        <v>0</v>
      </c>
      <c r="AD1474" s="421"/>
      <c r="AE1474" s="413"/>
      <c r="AF1474" s="424">
        <f t="shared" si="178"/>
        <v>178176</v>
      </c>
      <c r="AG1474" s="405" t="s">
        <v>47</v>
      </c>
      <c r="AH1474" s="405"/>
      <c r="AI1474" s="414" t="s">
        <v>1937</v>
      </c>
      <c r="AJ1474" s="405" t="s">
        <v>2498</v>
      </c>
      <c r="AK1474" s="425" t="s">
        <v>1317</v>
      </c>
      <c r="AL1474" s="405">
        <v>22031</v>
      </c>
      <c r="AM1474" s="405" t="s">
        <v>52</v>
      </c>
      <c r="AN1474" s="405"/>
      <c r="AO1474" s="405"/>
      <c r="AP1474" s="417"/>
      <c r="AQ1474" s="417" t="s">
        <v>37</v>
      </c>
      <c r="AR1474" s="417"/>
      <c r="AS1474" s="426"/>
      <c r="AT1474" s="426"/>
      <c r="AU1474" s="403"/>
      <c r="AV1474" s="409">
        <v>0.55000000000000004</v>
      </c>
    </row>
    <row r="1475" spans="1:48" s="402" customFormat="1" ht="15" customHeight="1">
      <c r="A1475" s="452"/>
      <c r="B1475" s="445">
        <v>44648</v>
      </c>
      <c r="C1475" s="403"/>
      <c r="D1475" s="416" t="s">
        <v>2480</v>
      </c>
      <c r="E1475" s="432" t="s">
        <v>2752</v>
      </c>
      <c r="F1475" s="432"/>
      <c r="G1475" s="432">
        <v>2022</v>
      </c>
      <c r="H1475" s="432"/>
      <c r="I1475" s="432" t="s">
        <v>1498</v>
      </c>
      <c r="J1475" s="433"/>
      <c r="K1475" s="434" t="s">
        <v>3848</v>
      </c>
      <c r="L1475" s="432" t="s">
        <v>2481</v>
      </c>
      <c r="M1475" s="435">
        <v>44644</v>
      </c>
      <c r="N1475" s="435">
        <v>44896</v>
      </c>
      <c r="O1475" s="435"/>
      <c r="P1475" s="433"/>
      <c r="Q1475" s="433"/>
      <c r="R1475" s="433"/>
      <c r="S1475" s="432" t="s">
        <v>1940</v>
      </c>
      <c r="T1475" s="432">
        <v>60</v>
      </c>
      <c r="U1475" s="432"/>
      <c r="V1475" s="432" t="s">
        <v>973</v>
      </c>
      <c r="W1475" s="432">
        <v>400</v>
      </c>
      <c r="X1475" s="436">
        <v>768</v>
      </c>
      <c r="Y1475" s="408">
        <f t="shared" si="175"/>
        <v>307200</v>
      </c>
      <c r="Z1475" s="409">
        <v>0.57999999999999996</v>
      </c>
      <c r="AA1475" s="410">
        <f t="shared" si="176"/>
        <v>178176</v>
      </c>
      <c r="AB1475" s="411"/>
      <c r="AC1475" s="412">
        <f t="shared" si="177"/>
        <v>0</v>
      </c>
      <c r="AD1475" s="421"/>
      <c r="AE1475" s="413"/>
      <c r="AF1475" s="424">
        <f t="shared" si="178"/>
        <v>178176</v>
      </c>
      <c r="AG1475" s="405" t="s">
        <v>47</v>
      </c>
      <c r="AH1475" s="405"/>
      <c r="AI1475" s="414" t="s">
        <v>1937</v>
      </c>
      <c r="AJ1475" s="405" t="s">
        <v>2498</v>
      </c>
      <c r="AK1475" s="425" t="s">
        <v>1317</v>
      </c>
      <c r="AL1475" s="405">
        <v>22031</v>
      </c>
      <c r="AM1475" s="405" t="s">
        <v>52</v>
      </c>
      <c r="AN1475" s="405"/>
      <c r="AO1475" s="405"/>
      <c r="AP1475" s="417"/>
      <c r="AQ1475" s="417" t="s">
        <v>37</v>
      </c>
      <c r="AR1475" s="417"/>
      <c r="AS1475" s="426"/>
      <c r="AT1475" s="426"/>
      <c r="AU1475" s="403"/>
      <c r="AV1475" s="409">
        <v>0.55000000000000004</v>
      </c>
    </row>
    <row r="1476" spans="1:48" s="402" customFormat="1" ht="15" customHeight="1">
      <c r="A1476" s="452"/>
      <c r="B1476" s="445"/>
      <c r="C1476" s="403"/>
      <c r="D1476" s="416" t="s">
        <v>2480</v>
      </c>
      <c r="E1476" s="432" t="s">
        <v>2761</v>
      </c>
      <c r="F1476" s="432"/>
      <c r="G1476" s="432">
        <v>2022</v>
      </c>
      <c r="H1476" s="432"/>
      <c r="I1476" s="432" t="s">
        <v>1498</v>
      </c>
      <c r="J1476" s="433"/>
      <c r="K1476" s="434" t="s">
        <v>2787</v>
      </c>
      <c r="L1476" s="432" t="s">
        <v>2481</v>
      </c>
      <c r="M1476" s="435">
        <v>44655</v>
      </c>
      <c r="N1476" s="435">
        <v>44907</v>
      </c>
      <c r="O1476" s="435"/>
      <c r="P1476" s="433"/>
      <c r="Q1476" s="433"/>
      <c r="R1476" s="433"/>
      <c r="S1476" s="432" t="s">
        <v>1940</v>
      </c>
      <c r="T1476" s="432">
        <v>60</v>
      </c>
      <c r="U1476" s="432"/>
      <c r="V1476" s="432" t="s">
        <v>986</v>
      </c>
      <c r="W1476" s="432">
        <v>365</v>
      </c>
      <c r="X1476" s="436">
        <v>320</v>
      </c>
      <c r="Y1476" s="408">
        <f t="shared" si="175"/>
        <v>116800</v>
      </c>
      <c r="Z1476" s="409">
        <v>0.56000000000000005</v>
      </c>
      <c r="AA1476" s="410">
        <f t="shared" si="176"/>
        <v>65408.000000000007</v>
      </c>
      <c r="AB1476" s="411"/>
      <c r="AC1476" s="412">
        <f t="shared" si="177"/>
        <v>0</v>
      </c>
      <c r="AD1476" s="421"/>
      <c r="AE1476" s="413"/>
      <c r="AF1476" s="424">
        <f t="shared" si="178"/>
        <v>65408.000000000007</v>
      </c>
      <c r="AG1476" s="405" t="s">
        <v>47</v>
      </c>
      <c r="AH1476" s="405"/>
      <c r="AI1476" s="414" t="s">
        <v>1937</v>
      </c>
      <c r="AJ1476" s="405" t="s">
        <v>2763</v>
      </c>
      <c r="AK1476" s="425" t="s">
        <v>1092</v>
      </c>
      <c r="AL1476" s="425">
        <v>1085</v>
      </c>
      <c r="AM1476" s="405" t="s">
        <v>52</v>
      </c>
      <c r="AN1476" s="405"/>
      <c r="AO1476" s="405"/>
      <c r="AP1476" s="417"/>
      <c r="AQ1476" s="417" t="s">
        <v>37</v>
      </c>
      <c r="AR1476" s="417"/>
      <c r="AS1476" s="426"/>
      <c r="AT1476" s="426"/>
      <c r="AU1476" s="403"/>
      <c r="AV1476" s="409">
        <v>0.55000000000000004</v>
      </c>
    </row>
    <row r="1477" spans="1:48" s="402" customFormat="1" ht="15" customHeight="1">
      <c r="A1477" s="452"/>
      <c r="B1477" s="445">
        <v>44648</v>
      </c>
      <c r="C1477" s="403"/>
      <c r="D1477" s="416" t="s">
        <v>2480</v>
      </c>
      <c r="E1477" s="432" t="s">
        <v>2752</v>
      </c>
      <c r="F1477" s="432"/>
      <c r="G1477" s="432">
        <v>2023</v>
      </c>
      <c r="H1477" s="432"/>
      <c r="I1477" s="432" t="s">
        <v>1498</v>
      </c>
      <c r="J1477" s="433"/>
      <c r="K1477" s="434" t="s">
        <v>3849</v>
      </c>
      <c r="L1477" s="432" t="s">
        <v>2481</v>
      </c>
      <c r="M1477" s="435">
        <v>44644</v>
      </c>
      <c r="N1477" s="435">
        <v>44928</v>
      </c>
      <c r="O1477" s="435"/>
      <c r="P1477" s="433"/>
      <c r="Q1477" s="433"/>
      <c r="R1477" s="433"/>
      <c r="S1477" s="432" t="s">
        <v>1940</v>
      </c>
      <c r="T1477" s="432">
        <v>60</v>
      </c>
      <c r="U1477" s="432"/>
      <c r="V1477" s="432" t="s">
        <v>973</v>
      </c>
      <c r="W1477" s="432">
        <v>400</v>
      </c>
      <c r="X1477" s="436">
        <v>768</v>
      </c>
      <c r="Y1477" s="408">
        <f t="shared" si="175"/>
        <v>307200</v>
      </c>
      <c r="Z1477" s="409">
        <v>0.57999999999999996</v>
      </c>
      <c r="AA1477" s="410">
        <f t="shared" si="176"/>
        <v>178176</v>
      </c>
      <c r="AB1477" s="411"/>
      <c r="AC1477" s="412">
        <f t="shared" si="177"/>
        <v>0</v>
      </c>
      <c r="AD1477" s="421"/>
      <c r="AE1477" s="413"/>
      <c r="AF1477" s="424">
        <f t="shared" si="178"/>
        <v>178176</v>
      </c>
      <c r="AG1477" s="405" t="s">
        <v>47</v>
      </c>
      <c r="AH1477" s="405"/>
      <c r="AI1477" s="414" t="s">
        <v>1937</v>
      </c>
      <c r="AJ1477" s="405" t="s">
        <v>2498</v>
      </c>
      <c r="AK1477" s="425" t="s">
        <v>1317</v>
      </c>
      <c r="AL1477" s="405">
        <v>22031</v>
      </c>
      <c r="AM1477" s="405" t="s">
        <v>52</v>
      </c>
      <c r="AN1477" s="405"/>
      <c r="AO1477" s="405"/>
      <c r="AP1477" s="417"/>
      <c r="AQ1477" s="417" t="s">
        <v>37</v>
      </c>
      <c r="AR1477" s="417"/>
      <c r="AS1477" s="426"/>
      <c r="AT1477" s="426"/>
      <c r="AU1477" s="403"/>
      <c r="AV1477" s="409">
        <v>0.55000000000000004</v>
      </c>
    </row>
    <row r="1478" spans="1:48" s="402" customFormat="1" ht="15" customHeight="1">
      <c r="A1478" s="452"/>
      <c r="B1478" s="445">
        <v>44651</v>
      </c>
      <c r="C1478" s="403"/>
      <c r="D1478" s="416" t="s">
        <v>2480</v>
      </c>
      <c r="E1478" s="432" t="s">
        <v>3838</v>
      </c>
      <c r="F1478" s="432"/>
      <c r="G1478" s="432">
        <v>2023</v>
      </c>
      <c r="H1478" s="432"/>
      <c r="I1478" s="432" t="s">
        <v>1498</v>
      </c>
      <c r="J1478" s="433"/>
      <c r="K1478" s="434" t="s">
        <v>3850</v>
      </c>
      <c r="L1478" s="432" t="s">
        <v>2481</v>
      </c>
      <c r="M1478" s="435">
        <v>44650</v>
      </c>
      <c r="N1478" s="435">
        <v>44941</v>
      </c>
      <c r="O1478" s="435"/>
      <c r="P1478" s="433"/>
      <c r="Q1478" s="433"/>
      <c r="R1478" s="433"/>
      <c r="S1478" s="432" t="s">
        <v>1940</v>
      </c>
      <c r="T1478" s="432">
        <v>60</v>
      </c>
      <c r="U1478" s="432"/>
      <c r="V1478" s="432" t="s">
        <v>973</v>
      </c>
      <c r="W1478" s="432">
        <v>400</v>
      </c>
      <c r="X1478" s="436">
        <v>384</v>
      </c>
      <c r="Y1478" s="408">
        <f t="shared" si="175"/>
        <v>153600</v>
      </c>
      <c r="Z1478" s="409">
        <v>0.57999999999999996</v>
      </c>
      <c r="AA1478" s="410">
        <f t="shared" si="176"/>
        <v>89088</v>
      </c>
      <c r="AB1478" s="411"/>
      <c r="AC1478" s="412">
        <f t="shared" si="177"/>
        <v>0</v>
      </c>
      <c r="AD1478" s="421"/>
      <c r="AE1478" s="413"/>
      <c r="AF1478" s="424">
        <f t="shared" si="178"/>
        <v>89088</v>
      </c>
      <c r="AG1478" s="405" t="s">
        <v>47</v>
      </c>
      <c r="AH1478" s="405">
        <v>10</v>
      </c>
      <c r="AI1478" s="414" t="s">
        <v>1937</v>
      </c>
      <c r="AJ1478" s="405" t="s">
        <v>3840</v>
      </c>
      <c r="AK1478" s="425" t="s">
        <v>1452</v>
      </c>
      <c r="AL1478" s="405">
        <v>37013</v>
      </c>
      <c r="AM1478" s="405" t="s">
        <v>52</v>
      </c>
      <c r="AN1478" s="405"/>
      <c r="AO1478" s="405"/>
      <c r="AP1478" s="417"/>
      <c r="AQ1478" s="417" t="s">
        <v>37</v>
      </c>
      <c r="AR1478" s="417"/>
      <c r="AS1478" s="426"/>
      <c r="AT1478" s="426"/>
      <c r="AU1478" s="403"/>
      <c r="AV1478" s="409">
        <v>0.55000000000000004</v>
      </c>
    </row>
    <row r="1479" spans="1:48" s="402" customFormat="1" ht="15" customHeight="1">
      <c r="A1479" s="452"/>
      <c r="B1479" s="445">
        <v>44648</v>
      </c>
      <c r="C1479" s="403"/>
      <c r="D1479" s="416" t="s">
        <v>2480</v>
      </c>
      <c r="E1479" s="432" t="s">
        <v>2752</v>
      </c>
      <c r="F1479" s="432"/>
      <c r="G1479" s="432">
        <v>2023</v>
      </c>
      <c r="H1479" s="432"/>
      <c r="I1479" s="432" t="s">
        <v>1498</v>
      </c>
      <c r="J1479" s="433"/>
      <c r="K1479" s="434" t="s">
        <v>3851</v>
      </c>
      <c r="L1479" s="432" t="s">
        <v>2481</v>
      </c>
      <c r="M1479" s="435">
        <v>44644</v>
      </c>
      <c r="N1479" s="435">
        <v>44958</v>
      </c>
      <c r="O1479" s="435"/>
      <c r="P1479" s="433"/>
      <c r="Q1479" s="433"/>
      <c r="R1479" s="433"/>
      <c r="S1479" s="432" t="s">
        <v>1940</v>
      </c>
      <c r="T1479" s="432">
        <v>60</v>
      </c>
      <c r="U1479" s="432"/>
      <c r="V1479" s="432" t="s">
        <v>973</v>
      </c>
      <c r="W1479" s="432">
        <v>400</v>
      </c>
      <c r="X1479" s="436">
        <v>768</v>
      </c>
      <c r="Y1479" s="408">
        <f t="shared" si="175"/>
        <v>307200</v>
      </c>
      <c r="Z1479" s="409">
        <v>0.57999999999999996</v>
      </c>
      <c r="AA1479" s="410">
        <f t="shared" si="176"/>
        <v>178176</v>
      </c>
      <c r="AB1479" s="411"/>
      <c r="AC1479" s="412">
        <f t="shared" si="177"/>
        <v>0</v>
      </c>
      <c r="AD1479" s="421"/>
      <c r="AE1479" s="413"/>
      <c r="AF1479" s="424">
        <f t="shared" si="178"/>
        <v>178176</v>
      </c>
      <c r="AG1479" s="405" t="s">
        <v>47</v>
      </c>
      <c r="AH1479" s="405"/>
      <c r="AI1479" s="414" t="s">
        <v>1937</v>
      </c>
      <c r="AJ1479" s="405" t="s">
        <v>2498</v>
      </c>
      <c r="AK1479" s="425" t="s">
        <v>1317</v>
      </c>
      <c r="AL1479" s="405">
        <v>22031</v>
      </c>
      <c r="AM1479" s="405" t="s">
        <v>52</v>
      </c>
      <c r="AN1479" s="405"/>
      <c r="AO1479" s="405"/>
      <c r="AP1479" s="417"/>
      <c r="AQ1479" s="417" t="s">
        <v>37</v>
      </c>
      <c r="AR1479" s="417"/>
      <c r="AS1479" s="426"/>
      <c r="AT1479" s="426"/>
      <c r="AU1479" s="403"/>
      <c r="AV1479" s="409">
        <v>0.55000000000000004</v>
      </c>
    </row>
    <row r="1480" spans="1:48" s="402" customFormat="1" ht="15" customHeight="1">
      <c r="A1480" s="452"/>
      <c r="B1480" s="445">
        <v>44648</v>
      </c>
      <c r="C1480" s="403"/>
      <c r="D1480" s="416" t="s">
        <v>2480</v>
      </c>
      <c r="E1480" s="432" t="s">
        <v>2752</v>
      </c>
      <c r="F1480" s="432"/>
      <c r="G1480" s="432">
        <v>2023</v>
      </c>
      <c r="H1480" s="432"/>
      <c r="I1480" s="432" t="s">
        <v>1498</v>
      </c>
      <c r="J1480" s="433"/>
      <c r="K1480" s="434" t="s">
        <v>3852</v>
      </c>
      <c r="L1480" s="432" t="s">
        <v>2481</v>
      </c>
      <c r="M1480" s="435">
        <v>44644</v>
      </c>
      <c r="N1480" s="435">
        <v>44986</v>
      </c>
      <c r="O1480" s="435"/>
      <c r="P1480" s="433"/>
      <c r="Q1480" s="433"/>
      <c r="R1480" s="433"/>
      <c r="S1480" s="432" t="s">
        <v>1940</v>
      </c>
      <c r="T1480" s="432">
        <v>60</v>
      </c>
      <c r="U1480" s="432"/>
      <c r="V1480" s="432" t="s">
        <v>973</v>
      </c>
      <c r="W1480" s="432">
        <v>400</v>
      </c>
      <c r="X1480" s="436">
        <v>768</v>
      </c>
      <c r="Y1480" s="408">
        <f t="shared" si="175"/>
        <v>307200</v>
      </c>
      <c r="Z1480" s="409">
        <v>0.57999999999999996</v>
      </c>
      <c r="AA1480" s="410">
        <f t="shared" si="176"/>
        <v>178176</v>
      </c>
      <c r="AB1480" s="411"/>
      <c r="AC1480" s="412">
        <f t="shared" si="177"/>
        <v>0</v>
      </c>
      <c r="AD1480" s="421"/>
      <c r="AE1480" s="413"/>
      <c r="AF1480" s="424">
        <f t="shared" si="178"/>
        <v>178176</v>
      </c>
      <c r="AG1480" s="405" t="s">
        <v>47</v>
      </c>
      <c r="AH1480" s="405"/>
      <c r="AI1480" s="414" t="s">
        <v>1937</v>
      </c>
      <c r="AJ1480" s="405" t="s">
        <v>2498</v>
      </c>
      <c r="AK1480" s="425" t="s">
        <v>1317</v>
      </c>
      <c r="AL1480" s="405">
        <v>22031</v>
      </c>
      <c r="AM1480" s="405" t="s">
        <v>52</v>
      </c>
      <c r="AN1480" s="405"/>
      <c r="AO1480" s="405"/>
      <c r="AP1480" s="417"/>
      <c r="AQ1480" s="417" t="s">
        <v>37</v>
      </c>
      <c r="AR1480" s="417"/>
      <c r="AS1480" s="426"/>
      <c r="AT1480" s="426"/>
      <c r="AU1480" s="403"/>
      <c r="AV1480" s="409">
        <v>0.55000000000000004</v>
      </c>
    </row>
    <row r="1481" spans="1:48" s="402" customFormat="1" ht="15" customHeight="1">
      <c r="A1481" s="452"/>
      <c r="B1481" s="445">
        <v>44648</v>
      </c>
      <c r="C1481" s="403"/>
      <c r="D1481" s="416" t="s">
        <v>2480</v>
      </c>
      <c r="E1481" s="432" t="s">
        <v>2752</v>
      </c>
      <c r="F1481" s="432"/>
      <c r="G1481" s="432">
        <v>2023</v>
      </c>
      <c r="H1481" s="432"/>
      <c r="I1481" s="432" t="s">
        <v>1498</v>
      </c>
      <c r="J1481" s="433"/>
      <c r="K1481" s="434" t="s">
        <v>3853</v>
      </c>
      <c r="L1481" s="432" t="s">
        <v>2481</v>
      </c>
      <c r="M1481" s="435">
        <v>44644</v>
      </c>
      <c r="N1481" s="435">
        <v>45017</v>
      </c>
      <c r="O1481" s="435"/>
      <c r="P1481" s="433"/>
      <c r="Q1481" s="433"/>
      <c r="R1481" s="433"/>
      <c r="S1481" s="432" t="s">
        <v>1940</v>
      </c>
      <c r="T1481" s="432">
        <v>60</v>
      </c>
      <c r="U1481" s="432"/>
      <c r="V1481" s="432" t="s">
        <v>973</v>
      </c>
      <c r="W1481" s="432">
        <v>400</v>
      </c>
      <c r="X1481" s="436">
        <v>768</v>
      </c>
      <c r="Y1481" s="408">
        <f t="shared" si="175"/>
        <v>307200</v>
      </c>
      <c r="Z1481" s="409">
        <v>0.57999999999999996</v>
      </c>
      <c r="AA1481" s="410">
        <f t="shared" si="176"/>
        <v>178176</v>
      </c>
      <c r="AB1481" s="411"/>
      <c r="AC1481" s="412">
        <f t="shared" si="177"/>
        <v>0</v>
      </c>
      <c r="AD1481" s="421"/>
      <c r="AE1481" s="413"/>
      <c r="AF1481" s="424">
        <f t="shared" si="178"/>
        <v>178176</v>
      </c>
      <c r="AG1481" s="405" t="s">
        <v>47</v>
      </c>
      <c r="AH1481" s="405"/>
      <c r="AI1481" s="414" t="s">
        <v>1937</v>
      </c>
      <c r="AJ1481" s="405" t="s">
        <v>2498</v>
      </c>
      <c r="AK1481" s="425" t="s">
        <v>1317</v>
      </c>
      <c r="AL1481" s="405">
        <v>22031</v>
      </c>
      <c r="AM1481" s="405" t="s">
        <v>52</v>
      </c>
      <c r="AN1481" s="405"/>
      <c r="AO1481" s="405"/>
      <c r="AP1481" s="417"/>
      <c r="AQ1481" s="417" t="s">
        <v>37</v>
      </c>
      <c r="AR1481" s="417"/>
      <c r="AS1481" s="426"/>
      <c r="AT1481" s="426"/>
      <c r="AU1481" s="403"/>
      <c r="AV1481" s="409">
        <v>0.55000000000000004</v>
      </c>
    </row>
    <row r="1482" spans="1:48" s="402" customFormat="1" ht="15" customHeight="1">
      <c r="A1482" s="452"/>
      <c r="B1482" s="445">
        <v>44662</v>
      </c>
      <c r="C1482" s="403"/>
      <c r="D1482" s="416" t="s">
        <v>2480</v>
      </c>
      <c r="E1482" s="432" t="s">
        <v>3854</v>
      </c>
      <c r="F1482" s="432"/>
      <c r="G1482" s="432">
        <v>2022</v>
      </c>
      <c r="H1482" s="432"/>
      <c r="I1482" s="432" t="s">
        <v>1498</v>
      </c>
      <c r="J1482" s="433"/>
      <c r="K1482" s="434" t="s">
        <v>3855</v>
      </c>
      <c r="L1482" s="432" t="s">
        <v>2481</v>
      </c>
      <c r="M1482" s="435">
        <v>44659</v>
      </c>
      <c r="N1482" s="435">
        <v>44837</v>
      </c>
      <c r="O1482" s="435"/>
      <c r="P1482" s="433"/>
      <c r="Q1482" s="433"/>
      <c r="R1482" s="433"/>
      <c r="S1482" s="432" t="s">
        <v>1940</v>
      </c>
      <c r="T1482" s="432">
        <v>60</v>
      </c>
      <c r="U1482" s="432"/>
      <c r="V1482" s="432" t="s">
        <v>973</v>
      </c>
      <c r="W1482" s="432">
        <v>410</v>
      </c>
      <c r="X1482" s="436">
        <v>3424</v>
      </c>
      <c r="Y1482" s="408">
        <f t="shared" si="175"/>
        <v>1403840</v>
      </c>
      <c r="Z1482" s="409">
        <v>0.57999999999999996</v>
      </c>
      <c r="AA1482" s="410">
        <f t="shared" si="176"/>
        <v>814227.2</v>
      </c>
      <c r="AB1482" s="411"/>
      <c r="AC1482" s="412">
        <f t="shared" si="177"/>
        <v>0</v>
      </c>
      <c r="AD1482" s="421"/>
      <c r="AE1482" s="413"/>
      <c r="AF1482" s="424">
        <f t="shared" si="178"/>
        <v>814227.2</v>
      </c>
      <c r="AG1482" s="405" t="s">
        <v>47</v>
      </c>
      <c r="AH1482" s="405">
        <v>100</v>
      </c>
      <c r="AI1482" s="414"/>
      <c r="AJ1482" s="405" t="s">
        <v>2482</v>
      </c>
      <c r="AK1482" s="425" t="s">
        <v>2483</v>
      </c>
      <c r="AL1482" s="405">
        <v>25704</v>
      </c>
      <c r="AM1482" s="405" t="s">
        <v>52</v>
      </c>
      <c r="AN1482" s="405"/>
      <c r="AO1482" s="405"/>
      <c r="AP1482" s="417"/>
      <c r="AQ1482" s="417" t="s">
        <v>37</v>
      </c>
      <c r="AR1482" s="417"/>
      <c r="AS1482" s="426"/>
      <c r="AT1482" s="426"/>
      <c r="AU1482" s="403"/>
      <c r="AV1482" s="409">
        <v>0.55000000000000004</v>
      </c>
    </row>
  </sheetData>
  <autoFilter ref="D2:BA2" xr:uid="{BEA26F67-C650-4492-8B15-FDEA222DA2EF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CC761-0B93-478A-A026-CFD6747DC9DD}">
  <sheetPr>
    <tabColor theme="4" tint="0.79998168889431442"/>
  </sheetPr>
  <dimension ref="A1:AO28"/>
  <sheetViews>
    <sheetView showGridLines="0" topLeftCell="A6" zoomScale="110" zoomScaleNormal="110" workbookViewId="0">
      <selection activeCell="I32" sqref="I32"/>
    </sheetView>
  </sheetViews>
  <sheetFormatPr defaultColWidth="9.140625" defaultRowHeight="15"/>
  <cols>
    <col min="1" max="3" width="9.140625" style="319"/>
    <col min="4" max="4" width="3.42578125" style="319" bestFit="1" customWidth="1"/>
    <col min="5" max="5" width="16" style="319" customWidth="1"/>
    <col min="6" max="6" width="6" style="319" bestFit="1" customWidth="1"/>
    <col min="7" max="7" width="5.85546875" style="319" bestFit="1" customWidth="1"/>
    <col min="8" max="8" width="6" style="319" bestFit="1" customWidth="1"/>
    <col min="9" max="9" width="10.28515625" style="319" customWidth="1"/>
    <col min="10" max="10" width="9.85546875" style="319" bestFit="1" customWidth="1"/>
    <col min="11" max="11" width="15.85546875" style="319" customWidth="1"/>
    <col min="12" max="12" width="20.5703125" style="319" customWidth="1"/>
    <col min="13" max="13" width="13.5703125" style="319" customWidth="1"/>
    <col min="14" max="14" width="24.140625" style="319" customWidth="1"/>
    <col min="15" max="15" width="11.42578125" style="319" bestFit="1" customWidth="1"/>
    <col min="16" max="16" width="11.85546875" style="319" bestFit="1" customWidth="1"/>
    <col min="17" max="18" width="9.42578125" style="319" bestFit="1" customWidth="1"/>
    <col min="19" max="19" width="8.7109375" style="319" customWidth="1"/>
    <col min="20" max="20" width="9.140625" style="319"/>
    <col min="21" max="21" width="20.7109375" style="319" bestFit="1" customWidth="1"/>
    <col min="22" max="22" width="27.42578125" style="319" customWidth="1"/>
    <col min="23" max="23" width="14" style="320" bestFit="1" customWidth="1"/>
    <col min="24" max="24" width="9.140625" style="319"/>
    <col min="25" max="26" width="9.140625" style="321"/>
    <col min="27" max="27" width="12.5703125" style="319" bestFit="1" customWidth="1"/>
    <col min="28" max="28" width="19" style="319" customWidth="1"/>
    <col min="29" max="29" width="17.28515625" style="319" customWidth="1"/>
    <col min="30" max="30" width="11.7109375" style="319" customWidth="1"/>
    <col min="31" max="31" width="11.42578125" style="319" bestFit="1" customWidth="1"/>
    <col min="32" max="32" width="12.5703125" style="319" bestFit="1" customWidth="1"/>
    <col min="33" max="16384" width="9.140625" style="319"/>
  </cols>
  <sheetData>
    <row r="1" spans="1:41" s="307" customFormat="1" ht="15" customHeight="1">
      <c r="A1" s="303" t="s">
        <v>1051</v>
      </c>
      <c r="B1" s="303" t="s">
        <v>1052</v>
      </c>
      <c r="C1" s="303" t="s">
        <v>1053</v>
      </c>
      <c r="D1" s="304" t="s">
        <v>1</v>
      </c>
      <c r="E1" s="304" t="s">
        <v>2</v>
      </c>
      <c r="F1" s="304" t="s">
        <v>3</v>
      </c>
      <c r="G1" s="305" t="s">
        <v>4</v>
      </c>
      <c r="H1" s="305" t="s">
        <v>5</v>
      </c>
      <c r="I1" s="304" t="s">
        <v>6</v>
      </c>
      <c r="J1" s="306" t="s">
        <v>7</v>
      </c>
      <c r="K1" s="304" t="s">
        <v>8</v>
      </c>
      <c r="L1" s="304" t="s">
        <v>9</v>
      </c>
      <c r="M1" s="306" t="s">
        <v>10</v>
      </c>
      <c r="N1" s="306" t="s">
        <v>4044</v>
      </c>
      <c r="O1" s="308" t="s">
        <v>12</v>
      </c>
      <c r="P1" s="309" t="s">
        <v>13</v>
      </c>
      <c r="Q1" s="309" t="s">
        <v>14</v>
      </c>
      <c r="R1" s="309" t="s">
        <v>15</v>
      </c>
      <c r="S1" s="310" t="s">
        <v>16</v>
      </c>
      <c r="T1" s="310" t="s">
        <v>17</v>
      </c>
      <c r="U1" s="308" t="s">
        <v>374</v>
      </c>
      <c r="V1" s="310" t="s">
        <v>4045</v>
      </c>
      <c r="W1" s="308" t="s">
        <v>4046</v>
      </c>
      <c r="X1" s="311" t="s">
        <v>1055</v>
      </c>
      <c r="Y1" s="312" t="s">
        <v>4047</v>
      </c>
      <c r="Z1" s="313" t="s">
        <v>4048</v>
      </c>
      <c r="AA1" s="314" t="s">
        <v>26</v>
      </c>
      <c r="AB1" s="313" t="s">
        <v>1060</v>
      </c>
      <c r="AC1" s="313" t="s">
        <v>1061</v>
      </c>
      <c r="AD1" s="315" t="s">
        <v>29</v>
      </c>
      <c r="AE1" s="314" t="s">
        <v>4049</v>
      </c>
      <c r="AF1" s="315" t="s">
        <v>4050</v>
      </c>
      <c r="AG1" s="315" t="s">
        <v>30</v>
      </c>
      <c r="AH1" s="316" t="s">
        <v>31</v>
      </c>
      <c r="AI1" s="317" t="s">
        <v>32</v>
      </c>
      <c r="AJ1" s="314" t="s">
        <v>33</v>
      </c>
      <c r="AK1" s="314" t="s">
        <v>34</v>
      </c>
      <c r="AL1" s="318" t="s">
        <v>35</v>
      </c>
      <c r="AM1" s="314" t="s">
        <v>36</v>
      </c>
      <c r="AN1" s="310" t="s">
        <v>37</v>
      </c>
      <c r="AO1" s="310" t="s">
        <v>1502</v>
      </c>
    </row>
    <row r="2" spans="1:41" s="324" customFormat="1" ht="12">
      <c r="A2" s="396"/>
      <c r="B2" s="398"/>
      <c r="C2" s="398"/>
      <c r="D2" s="383" t="s">
        <v>2330</v>
      </c>
      <c r="E2" s="383"/>
      <c r="F2" s="383"/>
      <c r="G2" s="383">
        <v>2022</v>
      </c>
      <c r="H2" s="383">
        <v>6</v>
      </c>
      <c r="I2" s="383"/>
      <c r="J2" s="384"/>
      <c r="K2" s="383" t="s">
        <v>4077</v>
      </c>
      <c r="L2" s="383" t="s">
        <v>2360</v>
      </c>
      <c r="M2" s="384">
        <v>44523</v>
      </c>
      <c r="N2" s="384">
        <v>44602</v>
      </c>
      <c r="O2" s="384">
        <v>44641</v>
      </c>
      <c r="P2" s="392"/>
      <c r="Q2" s="384"/>
      <c r="R2" s="384"/>
      <c r="S2" s="383" t="s">
        <v>2332</v>
      </c>
      <c r="T2" s="420" t="str">
        <f>IFERROR(VLOOKUP($U2,ESS_Item_Code!$A:$L,5,0),"item code is invalid")</f>
        <v>Accessory</v>
      </c>
      <c r="U2" s="383" t="s">
        <v>239</v>
      </c>
      <c r="V2" s="396" t="str">
        <f>IFERROR(VLOOKUP($U2,ESS_Item_Code!$A:$L,2,0),"item code is invalid")</f>
        <v>Q.HOME+ TX-8.6</v>
      </c>
      <c r="W2" s="385">
        <v>360</v>
      </c>
      <c r="X2" s="383">
        <v>50</v>
      </c>
      <c r="Y2" s="472">
        <f>+IFERROR($X2*VLOOKUP($U2,ESS_Item_Code!$A:$L,3,0),"item code is invalid")</f>
        <v>0</v>
      </c>
      <c r="Z2" s="322">
        <f>IFERROR($X2*VLOOKUP($U2,ESS_Item_Code!$A:$L,4,0),"item code is invalid")</f>
        <v>0</v>
      </c>
      <c r="AA2" s="323">
        <f t="shared" ref="AA2:AA28" si="0">W2*X2</f>
        <v>18000</v>
      </c>
      <c r="AB2" s="383"/>
      <c r="AC2" s="390"/>
      <c r="AD2" s="472">
        <f t="shared" ref="AD2:AD28" si="1">SUM(AA2:AC2)</f>
        <v>18000</v>
      </c>
      <c r="AE2" s="325">
        <f>IFERROR($X2*VLOOKUP($U2,ESS_Item_Code!$A:$L,6,0),"item code is invalid")</f>
        <v>17500</v>
      </c>
      <c r="AF2" s="325">
        <f t="shared" ref="AF2:AF28" si="2">AE2*X2</f>
        <v>875000</v>
      </c>
      <c r="AG2" s="383" t="s">
        <v>1069</v>
      </c>
      <c r="AH2" s="391"/>
      <c r="AI2" s="383">
        <v>60</v>
      </c>
      <c r="AJ2" s="383" t="s">
        <v>2361</v>
      </c>
      <c r="AK2" s="383" t="s">
        <v>1148</v>
      </c>
      <c r="AL2" s="383">
        <v>27604</v>
      </c>
      <c r="AM2" s="383" t="s">
        <v>52</v>
      </c>
      <c r="AN2" s="383" t="s">
        <v>50</v>
      </c>
      <c r="AO2" s="383"/>
    </row>
    <row r="3" spans="1:41" s="324" customFormat="1" ht="12">
      <c r="A3" s="396"/>
      <c r="B3" s="398"/>
      <c r="C3" s="398"/>
      <c r="D3" s="383" t="s">
        <v>2330</v>
      </c>
      <c r="E3" s="383"/>
      <c r="F3" s="383"/>
      <c r="G3" s="383">
        <v>2022</v>
      </c>
      <c r="H3" s="383">
        <v>6</v>
      </c>
      <c r="I3" s="383"/>
      <c r="J3" s="384"/>
      <c r="K3" s="383" t="s">
        <v>4077</v>
      </c>
      <c r="L3" s="383" t="s">
        <v>2360</v>
      </c>
      <c r="M3" s="384">
        <v>44523</v>
      </c>
      <c r="N3" s="384">
        <v>44602</v>
      </c>
      <c r="O3" s="384">
        <v>44641</v>
      </c>
      <c r="P3" s="392"/>
      <c r="Q3" s="384"/>
      <c r="R3" s="384"/>
      <c r="S3" s="383" t="s">
        <v>2332</v>
      </c>
      <c r="T3" s="420" t="str">
        <f>IFERROR(VLOOKUP($U3,ESS_Item_Code!$A:$L,5,0),"item code is invalid")</f>
        <v>Battery</v>
      </c>
      <c r="U3" s="383" t="s">
        <v>236</v>
      </c>
      <c r="V3" s="396" t="str">
        <f>IFERROR(VLOOKUP($U3,ESS_Item_Code!$A:$L,2,0),"item code is invalid")</f>
        <v>BAT BMS-G1</v>
      </c>
      <c r="W3" s="385">
        <v>504</v>
      </c>
      <c r="X3" s="383">
        <v>50</v>
      </c>
      <c r="Y3" s="472">
        <f>+IFERROR($X3*VLOOKUP($U3,ESS_Item_Code!$A:$L,3,0),"item code is invalid")</f>
        <v>0</v>
      </c>
      <c r="Z3" s="322">
        <f>IFERROR($X3*VLOOKUP($U3,ESS_Item_Code!$A:$L,4,0),"item code is invalid")</f>
        <v>0</v>
      </c>
      <c r="AA3" s="323">
        <f t="shared" si="0"/>
        <v>25200</v>
      </c>
      <c r="AB3" s="383"/>
      <c r="AC3" s="390"/>
      <c r="AD3" s="472">
        <f t="shared" si="1"/>
        <v>25200</v>
      </c>
      <c r="AE3" s="325">
        <f>IFERROR($X3*VLOOKUP($U3,ESS_Item_Code!$A:$L,6,0),"item code is invalid")</f>
        <v>23250</v>
      </c>
      <c r="AF3" s="325">
        <f t="shared" si="2"/>
        <v>1162500</v>
      </c>
      <c r="AG3" s="383" t="s">
        <v>1069</v>
      </c>
      <c r="AH3" s="391"/>
      <c r="AI3" s="383">
        <v>60</v>
      </c>
      <c r="AJ3" s="383" t="s">
        <v>2361</v>
      </c>
      <c r="AK3" s="383" t="s">
        <v>1148</v>
      </c>
      <c r="AL3" s="383">
        <v>27604</v>
      </c>
      <c r="AM3" s="383" t="s">
        <v>52</v>
      </c>
      <c r="AN3" s="383" t="s">
        <v>50</v>
      </c>
      <c r="AO3" s="383"/>
    </row>
    <row r="4" spans="1:41" s="324" customFormat="1" ht="12">
      <c r="A4" s="396"/>
      <c r="B4" s="398"/>
      <c r="C4" s="398"/>
      <c r="D4" s="383" t="s">
        <v>2330</v>
      </c>
      <c r="E4" s="383"/>
      <c r="F4" s="383"/>
      <c r="G4" s="383">
        <v>2022</v>
      </c>
      <c r="H4" s="383">
        <v>6</v>
      </c>
      <c r="I4" s="383"/>
      <c r="J4" s="384"/>
      <c r="K4" s="383" t="s">
        <v>4077</v>
      </c>
      <c r="L4" s="383" t="s">
        <v>2360</v>
      </c>
      <c r="M4" s="384">
        <v>44523</v>
      </c>
      <c r="N4" s="384">
        <v>44602</v>
      </c>
      <c r="O4" s="384">
        <v>44641</v>
      </c>
      <c r="P4" s="392"/>
      <c r="Q4" s="384"/>
      <c r="R4" s="384"/>
      <c r="S4" s="383" t="s">
        <v>2332</v>
      </c>
      <c r="T4" s="420" t="str">
        <f>IFERROR(VLOOKUP($U4,ESS_Item_Code!$A:$L,5,0),"item code is invalid")</f>
        <v>Inverter</v>
      </c>
      <c r="U4" s="383" t="s">
        <v>205</v>
      </c>
      <c r="V4" s="396" t="str">
        <f>IFERROR(VLOOKUP($U4,ESS_Item_Code!$A:$L,2,0),"item code is invalid")</f>
        <v>Q.HOME+ HYB-G1 7.6</v>
      </c>
      <c r="W4" s="385">
        <v>1935</v>
      </c>
      <c r="X4" s="383">
        <v>50</v>
      </c>
      <c r="Y4" s="472">
        <f>+IFERROR($X4*VLOOKUP($U4,ESS_Item_Code!$A:$L,3,0),"item code is invalid")</f>
        <v>380</v>
      </c>
      <c r="Z4" s="322">
        <f>IFERROR($X4*VLOOKUP($U4,ESS_Item_Code!$A:$L,4,0),"item code is invalid")</f>
        <v>0</v>
      </c>
      <c r="AA4" s="323">
        <f t="shared" si="0"/>
        <v>96750</v>
      </c>
      <c r="AB4" s="383"/>
      <c r="AC4" s="390"/>
      <c r="AD4" s="472">
        <f t="shared" si="1"/>
        <v>96750</v>
      </c>
      <c r="AE4" s="325">
        <f>IFERROR($X4*VLOOKUP($U4,ESS_Item_Code!$A:$L,6,0),"item code is invalid")</f>
        <v>88000</v>
      </c>
      <c r="AF4" s="325">
        <f t="shared" si="2"/>
        <v>4400000</v>
      </c>
      <c r="AG4" s="383" t="s">
        <v>1069</v>
      </c>
      <c r="AH4" s="391"/>
      <c r="AI4" s="383">
        <v>60</v>
      </c>
      <c r="AJ4" s="383" t="s">
        <v>2361</v>
      </c>
      <c r="AK4" s="383" t="s">
        <v>1148</v>
      </c>
      <c r="AL4" s="383">
        <v>27604</v>
      </c>
      <c r="AM4" s="383" t="s">
        <v>52</v>
      </c>
      <c r="AN4" s="383" t="s">
        <v>50</v>
      </c>
      <c r="AO4" s="383"/>
    </row>
    <row r="5" spans="1:41" s="324" customFormat="1" ht="12">
      <c r="A5" s="396"/>
      <c r="B5" s="398"/>
      <c r="C5" s="398"/>
      <c r="D5" s="383" t="s">
        <v>2330</v>
      </c>
      <c r="E5" s="383"/>
      <c r="F5" s="383"/>
      <c r="G5" s="383">
        <v>2022</v>
      </c>
      <c r="H5" s="383">
        <v>6</v>
      </c>
      <c r="I5" s="383"/>
      <c r="J5" s="384"/>
      <c r="K5" s="383" t="s">
        <v>4077</v>
      </c>
      <c r="L5" s="383" t="s">
        <v>2360</v>
      </c>
      <c r="M5" s="384">
        <v>44523</v>
      </c>
      <c r="N5" s="384">
        <v>44602</v>
      </c>
      <c r="O5" s="384">
        <v>44641</v>
      </c>
      <c r="P5" s="392"/>
      <c r="Q5" s="384"/>
      <c r="R5" s="384"/>
      <c r="S5" s="383" t="s">
        <v>2332</v>
      </c>
      <c r="T5" s="420" t="str">
        <f>IFERROR(VLOOKUP($U5,ESS_Item_Code!$A:$L,5,0),"item code is invalid")</f>
        <v>Battery</v>
      </c>
      <c r="U5" s="383" t="s">
        <v>233</v>
      </c>
      <c r="V5" s="396" t="str">
        <f>IFERROR(VLOOKUP($U5,ESS_Item_Code!$A:$L,2,0),"item code is invalid")</f>
        <v>BAT63</v>
      </c>
      <c r="W5" s="385">
        <v>2484</v>
      </c>
      <c r="X5" s="383">
        <v>100</v>
      </c>
      <c r="Y5" s="472">
        <f>+IFERROR($X5*VLOOKUP($U5,ESS_Item_Code!$A:$L,3,0),"item code is invalid")</f>
        <v>0</v>
      </c>
      <c r="Z5" s="322">
        <f>IFERROR($X5*VLOOKUP($U5,ESS_Item_Code!$A:$L,4,0),"item code is invalid")</f>
        <v>630</v>
      </c>
      <c r="AA5" s="323">
        <f t="shared" si="0"/>
        <v>248400</v>
      </c>
      <c r="AB5" s="383"/>
      <c r="AC5" s="390"/>
      <c r="AD5" s="472">
        <f t="shared" si="1"/>
        <v>248400</v>
      </c>
      <c r="AE5" s="325">
        <f>IFERROR($X5*VLOOKUP($U5,ESS_Item_Code!$A:$L,6,0),"item code is invalid")</f>
        <v>225100</v>
      </c>
      <c r="AF5" s="325">
        <f t="shared" si="2"/>
        <v>22510000</v>
      </c>
      <c r="AG5" s="383" t="s">
        <v>1069</v>
      </c>
      <c r="AH5" s="391"/>
      <c r="AI5" s="383">
        <v>60</v>
      </c>
      <c r="AJ5" s="383" t="s">
        <v>2361</v>
      </c>
      <c r="AK5" s="383" t="s">
        <v>1148</v>
      </c>
      <c r="AL5" s="383">
        <v>27604</v>
      </c>
      <c r="AM5" s="383" t="s">
        <v>52</v>
      </c>
      <c r="AN5" s="383" t="s">
        <v>50</v>
      </c>
      <c r="AO5" s="383"/>
    </row>
    <row r="6" spans="1:41" s="324" customFormat="1" ht="12">
      <c r="A6" s="396"/>
      <c r="B6" s="398"/>
      <c r="C6" s="398"/>
      <c r="D6" s="383" t="s">
        <v>2330</v>
      </c>
      <c r="E6" s="383"/>
      <c r="F6" s="383"/>
      <c r="G6" s="383">
        <v>2022</v>
      </c>
      <c r="H6" s="383">
        <v>6</v>
      </c>
      <c r="I6" s="383"/>
      <c r="J6" s="384"/>
      <c r="K6" s="383" t="s">
        <v>4077</v>
      </c>
      <c r="L6" s="383" t="s">
        <v>2360</v>
      </c>
      <c r="M6" s="384">
        <v>44888</v>
      </c>
      <c r="N6" s="384">
        <v>44563</v>
      </c>
      <c r="O6" s="384">
        <v>44641</v>
      </c>
      <c r="P6" s="392"/>
      <c r="Q6" s="384"/>
      <c r="R6" s="384"/>
      <c r="S6" s="383" t="s">
        <v>2332</v>
      </c>
      <c r="T6" s="420" t="str">
        <f>IFERROR(VLOOKUP($U6,ESS_Item_Code!$A:$L,5,0),"item code is invalid")</f>
        <v>RSD</v>
      </c>
      <c r="U6" s="383" t="s">
        <v>258</v>
      </c>
      <c r="V6" s="396" t="str">
        <f>IFERROR(VLOOKUP($U6,ESS_Item_Code!$A:$L,2,0),"item code is invalid")</f>
        <v>Rapid Shut Module</v>
      </c>
      <c r="W6" s="385">
        <v>34</v>
      </c>
      <c r="X6" s="383">
        <v>648</v>
      </c>
      <c r="Y6" s="472">
        <f>+IFERROR($X6*VLOOKUP($U6,ESS_Item_Code!$A:$L,3,0),"item code is invalid")</f>
        <v>0</v>
      </c>
      <c r="Z6" s="322">
        <f>IFERROR($X6*VLOOKUP($U6,ESS_Item_Code!$A:$L,4,0),"item code is invalid")</f>
        <v>0</v>
      </c>
      <c r="AA6" s="323">
        <f t="shared" si="0"/>
        <v>22032</v>
      </c>
      <c r="AB6" s="383"/>
      <c r="AC6" s="390"/>
      <c r="AD6" s="472">
        <f t="shared" si="1"/>
        <v>22032</v>
      </c>
      <c r="AE6" s="325">
        <f>IFERROR($X6*VLOOKUP($U6,ESS_Item_Code!$A:$L,6,0),"item code is invalid")</f>
        <v>0</v>
      </c>
      <c r="AF6" s="325">
        <f t="shared" si="2"/>
        <v>0</v>
      </c>
      <c r="AG6" s="383" t="s">
        <v>1069</v>
      </c>
      <c r="AH6" s="391"/>
      <c r="AI6" s="383">
        <v>60</v>
      </c>
      <c r="AJ6" s="383" t="s">
        <v>2361</v>
      </c>
      <c r="AK6" s="383" t="s">
        <v>1148</v>
      </c>
      <c r="AL6" s="383">
        <v>27604</v>
      </c>
      <c r="AM6" s="383" t="s">
        <v>52</v>
      </c>
      <c r="AN6" s="383" t="s">
        <v>50</v>
      </c>
      <c r="AO6" s="383"/>
    </row>
    <row r="7" spans="1:41" s="324" customFormat="1" ht="12">
      <c r="A7" s="396"/>
      <c r="B7" s="398"/>
      <c r="C7" s="398"/>
      <c r="D7" s="383" t="s">
        <v>2330</v>
      </c>
      <c r="E7" s="383"/>
      <c r="F7" s="383"/>
      <c r="G7" s="383">
        <v>2022</v>
      </c>
      <c r="H7" s="383">
        <v>6</v>
      </c>
      <c r="I7" s="383"/>
      <c r="J7" s="384"/>
      <c r="K7" s="383" t="s">
        <v>4077</v>
      </c>
      <c r="L7" s="383" t="s">
        <v>2360</v>
      </c>
      <c r="M7" s="384">
        <v>44523</v>
      </c>
      <c r="N7" s="384">
        <v>44602</v>
      </c>
      <c r="O7" s="384">
        <v>44641</v>
      </c>
      <c r="P7" s="392"/>
      <c r="Q7" s="384"/>
      <c r="R7" s="384"/>
      <c r="S7" s="383" t="s">
        <v>2332</v>
      </c>
      <c r="T7" s="420" t="str">
        <f>IFERROR(VLOOKUP($U7,ESS_Item_Code!$A:$L,5,0),"item code is invalid")</f>
        <v>Accessory</v>
      </c>
      <c r="U7" s="383" t="s">
        <v>251</v>
      </c>
      <c r="V7" s="396" t="str">
        <f>IFERROR(VLOOKUP($U7,ESS_Item_Code!$A:$L,2,0),"item code is invalid")</f>
        <v>Wifi module</v>
      </c>
      <c r="W7" s="385">
        <v>45</v>
      </c>
      <c r="X7" s="383">
        <v>50</v>
      </c>
      <c r="Y7" s="472">
        <f>+IFERROR($X7*VLOOKUP($U7,ESS_Item_Code!$A:$L,3,0),"item code is invalid")</f>
        <v>0</v>
      </c>
      <c r="Z7" s="322">
        <f>IFERROR($X7*VLOOKUP($U7,ESS_Item_Code!$A:$L,4,0),"item code is invalid")</f>
        <v>0</v>
      </c>
      <c r="AA7" s="323">
        <f t="shared" si="0"/>
        <v>2250</v>
      </c>
      <c r="AB7" s="383"/>
      <c r="AC7" s="390"/>
      <c r="AD7" s="472">
        <f t="shared" si="1"/>
        <v>2250</v>
      </c>
      <c r="AE7" s="325">
        <f>IFERROR($X7*VLOOKUP($U7,ESS_Item_Code!$A:$L,6,0),"item code is invalid")</f>
        <v>2000</v>
      </c>
      <c r="AF7" s="325">
        <f t="shared" si="2"/>
        <v>100000</v>
      </c>
      <c r="AG7" s="383" t="s">
        <v>1069</v>
      </c>
      <c r="AH7" s="391"/>
      <c r="AI7" s="383">
        <v>60</v>
      </c>
      <c r="AJ7" s="383" t="s">
        <v>2361</v>
      </c>
      <c r="AK7" s="383" t="s">
        <v>1148</v>
      </c>
      <c r="AL7" s="383">
        <v>27604</v>
      </c>
      <c r="AM7" s="383" t="s">
        <v>52</v>
      </c>
      <c r="AN7" s="383" t="s">
        <v>50</v>
      </c>
      <c r="AO7" s="383"/>
    </row>
    <row r="8" spans="1:41" s="324" customFormat="1" ht="12">
      <c r="A8" s="396"/>
      <c r="B8" s="398"/>
      <c r="C8" s="398"/>
      <c r="D8" s="383" t="s">
        <v>2330</v>
      </c>
      <c r="E8" s="383"/>
      <c r="F8" s="383"/>
      <c r="G8" s="383">
        <v>2022</v>
      </c>
      <c r="H8" s="383">
        <v>6</v>
      </c>
      <c r="I8" s="383"/>
      <c r="J8" s="384"/>
      <c r="K8" s="383" t="s">
        <v>4077</v>
      </c>
      <c r="L8" s="383" t="s">
        <v>2360</v>
      </c>
      <c r="M8" s="384">
        <v>44523</v>
      </c>
      <c r="N8" s="384">
        <v>44602</v>
      </c>
      <c r="O8" s="384">
        <v>44641</v>
      </c>
      <c r="P8" s="392"/>
      <c r="Q8" s="384"/>
      <c r="R8" s="384"/>
      <c r="S8" s="383" t="s">
        <v>2332</v>
      </c>
      <c r="T8" s="420" t="str">
        <f>IFERROR(VLOOKUP($U8,ESS_Item_Code!$A:$L,5,0),"item code is invalid")</f>
        <v>EMS</v>
      </c>
      <c r="U8" s="383" t="s">
        <v>254</v>
      </c>
      <c r="V8" s="396" t="str">
        <f>IFERROR(VLOOKUP($U8,ESS_Item_Code!$A:$L,2,0),"item code is invalid")</f>
        <v>Meter set</v>
      </c>
      <c r="W8" s="385">
        <v>90</v>
      </c>
      <c r="X8" s="383">
        <v>50</v>
      </c>
      <c r="Y8" s="472">
        <f>+IFERROR($X8*VLOOKUP($U8,ESS_Item_Code!$A:$L,3,0),"item code is invalid")</f>
        <v>0</v>
      </c>
      <c r="Z8" s="322">
        <f>IFERROR($X8*VLOOKUP($U8,ESS_Item_Code!$A:$L,4,0),"item code is invalid")</f>
        <v>0</v>
      </c>
      <c r="AA8" s="323">
        <f t="shared" si="0"/>
        <v>4500</v>
      </c>
      <c r="AB8" s="383"/>
      <c r="AC8" s="390"/>
      <c r="AD8" s="472">
        <f t="shared" si="1"/>
        <v>4500</v>
      </c>
      <c r="AE8" s="325">
        <f>IFERROR($X8*VLOOKUP($U8,ESS_Item_Code!$A:$L,6,0),"item code is invalid")</f>
        <v>4000</v>
      </c>
      <c r="AF8" s="325">
        <f t="shared" si="2"/>
        <v>200000</v>
      </c>
      <c r="AG8" s="383" t="s">
        <v>1069</v>
      </c>
      <c r="AH8" s="391"/>
      <c r="AI8" s="383">
        <v>60</v>
      </c>
      <c r="AJ8" s="383" t="s">
        <v>2361</v>
      </c>
      <c r="AK8" s="383" t="s">
        <v>1148</v>
      </c>
      <c r="AL8" s="383">
        <v>27604</v>
      </c>
      <c r="AM8" s="383" t="s">
        <v>52</v>
      </c>
      <c r="AN8" s="383" t="s">
        <v>50</v>
      </c>
      <c r="AO8" s="383"/>
    </row>
    <row r="9" spans="1:41" s="324" customFormat="1" ht="12">
      <c r="A9" s="396"/>
      <c r="B9" s="398"/>
      <c r="C9" s="398"/>
      <c r="D9" s="383" t="s">
        <v>2330</v>
      </c>
      <c r="E9" s="383"/>
      <c r="F9" s="383"/>
      <c r="G9" s="383">
        <v>2022</v>
      </c>
      <c r="H9" s="383">
        <v>6</v>
      </c>
      <c r="I9" s="383"/>
      <c r="J9" s="384"/>
      <c r="K9" s="383" t="s">
        <v>4077</v>
      </c>
      <c r="L9" s="383" t="s">
        <v>2360</v>
      </c>
      <c r="M9" s="384">
        <v>44523</v>
      </c>
      <c r="N9" s="384">
        <v>44602</v>
      </c>
      <c r="O9" s="384">
        <v>44641</v>
      </c>
      <c r="P9" s="392"/>
      <c r="Q9" s="384"/>
      <c r="R9" s="384"/>
      <c r="S9" s="383" t="s">
        <v>2332</v>
      </c>
      <c r="T9" s="420" t="str">
        <f>IFERROR(VLOOKUP($U9,ESS_Item_Code!$A:$L,5,0),"item code is invalid")</f>
        <v>Accessory</v>
      </c>
      <c r="U9" s="383" t="s">
        <v>244</v>
      </c>
      <c r="V9" s="396" t="str">
        <f>IFERROR(VLOOKUP($U9,ESS_Item_Code!$A:$L,2,0),"item code is invalid")</f>
        <v>Battery Accessory box , Master control Accessory</v>
      </c>
      <c r="W9" s="385">
        <v>0</v>
      </c>
      <c r="X9" s="383">
        <v>50</v>
      </c>
      <c r="Y9" s="472">
        <f>+IFERROR($X9*VLOOKUP($U9,ESS_Item_Code!$A:$L,3,0),"item code is invalid")</f>
        <v>0</v>
      </c>
      <c r="Z9" s="322">
        <f>IFERROR($X9*VLOOKUP($U9,ESS_Item_Code!$A:$L,4,0),"item code is invalid")</f>
        <v>0</v>
      </c>
      <c r="AA9" s="323">
        <f t="shared" si="0"/>
        <v>0</v>
      </c>
      <c r="AB9" s="383"/>
      <c r="AC9" s="390"/>
      <c r="AD9" s="472">
        <f t="shared" si="1"/>
        <v>0</v>
      </c>
      <c r="AE9" s="325" t="str">
        <f>IFERROR($X9*VLOOKUP($U9,ESS_Item_Code!$A:$L,6,0),"item code is invalid")</f>
        <v>item code is invalid</v>
      </c>
      <c r="AF9" s="325" t="e">
        <f t="shared" si="2"/>
        <v>#VALUE!</v>
      </c>
      <c r="AG9" s="383" t="s">
        <v>1069</v>
      </c>
      <c r="AH9" s="391"/>
      <c r="AI9" s="383">
        <v>60</v>
      </c>
      <c r="AJ9" s="383" t="s">
        <v>2361</v>
      </c>
      <c r="AK9" s="383" t="s">
        <v>1148</v>
      </c>
      <c r="AL9" s="383">
        <v>27604</v>
      </c>
      <c r="AM9" s="383" t="s">
        <v>52</v>
      </c>
      <c r="AN9" s="383" t="s">
        <v>50</v>
      </c>
      <c r="AO9" s="383"/>
    </row>
    <row r="10" spans="1:41" s="324" customFormat="1" ht="12">
      <c r="A10" s="396"/>
      <c r="B10" s="398"/>
      <c r="C10" s="398"/>
      <c r="D10" s="383" t="s">
        <v>2330</v>
      </c>
      <c r="E10" s="383"/>
      <c r="F10" s="383"/>
      <c r="G10" s="383">
        <v>2022</v>
      </c>
      <c r="H10" s="383">
        <v>6</v>
      </c>
      <c r="I10" s="383"/>
      <c r="J10" s="384"/>
      <c r="K10" s="383" t="s">
        <v>4077</v>
      </c>
      <c r="L10" s="383" t="s">
        <v>2360</v>
      </c>
      <c r="M10" s="384">
        <v>44523</v>
      </c>
      <c r="N10" s="384">
        <v>44602</v>
      </c>
      <c r="O10" s="384">
        <v>44641</v>
      </c>
      <c r="P10" s="392"/>
      <c r="Q10" s="384"/>
      <c r="R10" s="384"/>
      <c r="S10" s="383" t="s">
        <v>2332</v>
      </c>
      <c r="T10" s="420" t="str">
        <f>IFERROR(VLOOKUP($U10,ESS_Item_Code!$A:$L,5,0),"item code is invalid")</f>
        <v>Accessory</v>
      </c>
      <c r="U10" s="383" t="s">
        <v>248</v>
      </c>
      <c r="V10" s="396" t="str">
        <f>IFERROR(VLOOKUP($U10,ESS_Item_Code!$A:$L,2,0),"item code is invalid")</f>
        <v>Battery Accessory box , Slave control Accessory</v>
      </c>
      <c r="W10" s="385">
        <v>0</v>
      </c>
      <c r="X10" s="383">
        <v>50</v>
      </c>
      <c r="Y10" s="472">
        <f>+IFERROR($X10*VLOOKUP($U10,ESS_Item_Code!$A:$L,3,0),"item code is invalid")</f>
        <v>0</v>
      </c>
      <c r="Z10" s="322">
        <f>IFERROR($X10*VLOOKUP($U10,ESS_Item_Code!$A:$L,4,0),"item code is invalid")</f>
        <v>0</v>
      </c>
      <c r="AA10" s="323">
        <f t="shared" si="0"/>
        <v>0</v>
      </c>
      <c r="AB10" s="383"/>
      <c r="AC10" s="390"/>
      <c r="AD10" s="472">
        <f t="shared" si="1"/>
        <v>0</v>
      </c>
      <c r="AE10" s="325" t="str">
        <f>IFERROR($X10*VLOOKUP($U10,ESS_Item_Code!$A:$L,6,0),"item code is invalid")</f>
        <v>item code is invalid</v>
      </c>
      <c r="AF10" s="325" t="e">
        <f t="shared" si="2"/>
        <v>#VALUE!</v>
      </c>
      <c r="AG10" s="383" t="s">
        <v>1069</v>
      </c>
      <c r="AH10" s="391"/>
      <c r="AI10" s="383">
        <v>60</v>
      </c>
      <c r="AJ10" s="383" t="s">
        <v>2361</v>
      </c>
      <c r="AK10" s="383" t="s">
        <v>1148</v>
      </c>
      <c r="AL10" s="383">
        <v>27604</v>
      </c>
      <c r="AM10" s="383" t="s">
        <v>52</v>
      </c>
      <c r="AN10" s="383" t="s">
        <v>50</v>
      </c>
      <c r="AO10" s="383"/>
    </row>
    <row r="11" spans="1:41" s="324" customFormat="1" ht="12">
      <c r="A11" s="396"/>
      <c r="B11" s="398"/>
      <c r="C11" s="398"/>
      <c r="D11" s="383" t="s">
        <v>2330</v>
      </c>
      <c r="E11" s="383" t="s">
        <v>4078</v>
      </c>
      <c r="F11" s="383"/>
      <c r="G11" s="383">
        <v>2022</v>
      </c>
      <c r="H11" s="383">
        <v>6</v>
      </c>
      <c r="I11" s="383"/>
      <c r="J11" s="384"/>
      <c r="K11" s="383" t="s">
        <v>4079</v>
      </c>
      <c r="L11" s="383" t="s">
        <v>2360</v>
      </c>
      <c r="M11" s="384">
        <v>44540</v>
      </c>
      <c r="N11" s="384">
        <v>44617</v>
      </c>
      <c r="O11" s="384">
        <v>44651</v>
      </c>
      <c r="P11" s="392"/>
      <c r="Q11" s="384"/>
      <c r="R11" s="384"/>
      <c r="S11" s="383" t="s">
        <v>2332</v>
      </c>
      <c r="T11" s="420" t="str">
        <f>IFERROR(VLOOKUP($U11,ESS_Item_Code!$A:$L,5,0),"item code is invalid")</f>
        <v>Accessory</v>
      </c>
      <c r="U11" s="383" t="s">
        <v>239</v>
      </c>
      <c r="V11" s="396" t="str">
        <f>IFERROR(VLOOKUP($U11,ESS_Item_Code!$A:$L,2,0),"item code is invalid")</f>
        <v>Q.HOME+ TX-8.6</v>
      </c>
      <c r="W11" s="385">
        <v>360</v>
      </c>
      <c r="X11" s="383">
        <v>50</v>
      </c>
      <c r="Y11" s="472">
        <f>+IFERROR($X11*VLOOKUP($U11,ESS_Item_Code!$A:$L,3,0),"item code is invalid")</f>
        <v>0</v>
      </c>
      <c r="Z11" s="322">
        <f>IFERROR($X11*VLOOKUP($U11,ESS_Item_Code!$A:$L,4,0),"item code is invalid")</f>
        <v>0</v>
      </c>
      <c r="AA11" s="323">
        <f t="shared" si="0"/>
        <v>18000</v>
      </c>
      <c r="AB11" s="383"/>
      <c r="AC11" s="390"/>
      <c r="AD11" s="472">
        <f t="shared" si="1"/>
        <v>18000</v>
      </c>
      <c r="AE11" s="325">
        <f>IFERROR($X11*VLOOKUP($U11,ESS_Item_Code!$A:$L,6,0),"item code is invalid")</f>
        <v>17500</v>
      </c>
      <c r="AF11" s="325">
        <f t="shared" si="2"/>
        <v>875000</v>
      </c>
      <c r="AG11" s="383" t="s">
        <v>1069</v>
      </c>
      <c r="AH11" s="391"/>
      <c r="AI11" s="383">
        <v>60</v>
      </c>
      <c r="AJ11" s="383" t="s">
        <v>2361</v>
      </c>
      <c r="AK11" s="383" t="s">
        <v>1148</v>
      </c>
      <c r="AL11" s="383">
        <v>27604</v>
      </c>
      <c r="AM11" s="383" t="s">
        <v>52</v>
      </c>
      <c r="AN11" s="383" t="s">
        <v>50</v>
      </c>
      <c r="AO11" s="383"/>
    </row>
    <row r="12" spans="1:41" s="324" customFormat="1" ht="12">
      <c r="A12" s="396"/>
      <c r="B12" s="398"/>
      <c r="C12" s="398"/>
      <c r="D12" s="383" t="s">
        <v>2330</v>
      </c>
      <c r="E12" s="383" t="s">
        <v>4078</v>
      </c>
      <c r="F12" s="383"/>
      <c r="G12" s="383">
        <v>2022</v>
      </c>
      <c r="H12" s="383">
        <v>6</v>
      </c>
      <c r="I12" s="383"/>
      <c r="J12" s="384"/>
      <c r="K12" s="383" t="s">
        <v>4079</v>
      </c>
      <c r="L12" s="383" t="s">
        <v>2360</v>
      </c>
      <c r="M12" s="384">
        <v>44540</v>
      </c>
      <c r="N12" s="384">
        <v>44617</v>
      </c>
      <c r="O12" s="384">
        <v>44651</v>
      </c>
      <c r="P12" s="392"/>
      <c r="Q12" s="384"/>
      <c r="R12" s="384"/>
      <c r="S12" s="383" t="s">
        <v>2332</v>
      </c>
      <c r="T12" s="420" t="str">
        <f>IFERROR(VLOOKUP($U12,ESS_Item_Code!$A:$L,5,0),"item code is invalid")</f>
        <v>Battery</v>
      </c>
      <c r="U12" s="383" t="s">
        <v>236</v>
      </c>
      <c r="V12" s="396" t="str">
        <f>IFERROR(VLOOKUP($U12,ESS_Item_Code!$A:$L,2,0),"item code is invalid")</f>
        <v>BAT BMS-G1</v>
      </c>
      <c r="W12" s="385">
        <v>504</v>
      </c>
      <c r="X12" s="383">
        <v>50</v>
      </c>
      <c r="Y12" s="472">
        <f>+IFERROR($X12*VLOOKUP($U12,ESS_Item_Code!$A:$L,3,0),"item code is invalid")</f>
        <v>0</v>
      </c>
      <c r="Z12" s="322">
        <f>IFERROR($X12*VLOOKUP($U12,ESS_Item_Code!$A:$L,4,0),"item code is invalid")</f>
        <v>0</v>
      </c>
      <c r="AA12" s="323">
        <f t="shared" si="0"/>
        <v>25200</v>
      </c>
      <c r="AB12" s="383"/>
      <c r="AC12" s="390"/>
      <c r="AD12" s="472">
        <f t="shared" si="1"/>
        <v>25200</v>
      </c>
      <c r="AE12" s="325">
        <f>IFERROR($X12*VLOOKUP($U12,ESS_Item_Code!$A:$L,6,0),"item code is invalid")</f>
        <v>23250</v>
      </c>
      <c r="AF12" s="325">
        <f t="shared" si="2"/>
        <v>1162500</v>
      </c>
      <c r="AG12" s="383" t="s">
        <v>1069</v>
      </c>
      <c r="AH12" s="391"/>
      <c r="AI12" s="383">
        <v>60</v>
      </c>
      <c r="AJ12" s="383" t="s">
        <v>2361</v>
      </c>
      <c r="AK12" s="383" t="s">
        <v>1148</v>
      </c>
      <c r="AL12" s="383">
        <v>27604</v>
      </c>
      <c r="AM12" s="383" t="s">
        <v>52</v>
      </c>
      <c r="AN12" s="383" t="s">
        <v>50</v>
      </c>
      <c r="AO12" s="383"/>
    </row>
    <row r="13" spans="1:41" s="324" customFormat="1" ht="12">
      <c r="A13" s="396"/>
      <c r="B13" s="398"/>
      <c r="C13" s="398"/>
      <c r="D13" s="383" t="s">
        <v>2330</v>
      </c>
      <c r="E13" s="383" t="s">
        <v>4078</v>
      </c>
      <c r="F13" s="383"/>
      <c r="G13" s="383">
        <v>2022</v>
      </c>
      <c r="H13" s="383">
        <v>6</v>
      </c>
      <c r="I13" s="383"/>
      <c r="J13" s="384"/>
      <c r="K13" s="383" t="s">
        <v>4079</v>
      </c>
      <c r="L13" s="383" t="s">
        <v>2360</v>
      </c>
      <c r="M13" s="384">
        <v>44540</v>
      </c>
      <c r="N13" s="384">
        <v>44617</v>
      </c>
      <c r="O13" s="384">
        <v>44651</v>
      </c>
      <c r="P13" s="392"/>
      <c r="Q13" s="384"/>
      <c r="R13" s="384"/>
      <c r="S13" s="383" t="s">
        <v>2332</v>
      </c>
      <c r="T13" s="420" t="str">
        <f>IFERROR(VLOOKUP($U13,ESS_Item_Code!$A:$L,5,0),"item code is invalid")</f>
        <v>Inverter</v>
      </c>
      <c r="U13" s="383" t="s">
        <v>205</v>
      </c>
      <c r="V13" s="396" t="str">
        <f>IFERROR(VLOOKUP($U13,ESS_Item_Code!$A:$L,2,0),"item code is invalid")</f>
        <v>Q.HOME+ HYB-G1 7.6</v>
      </c>
      <c r="W13" s="385">
        <v>1935</v>
      </c>
      <c r="X13" s="383">
        <v>50</v>
      </c>
      <c r="Y13" s="472">
        <f>+IFERROR($X13*VLOOKUP($U13,ESS_Item_Code!$A:$L,3,0),"item code is invalid")</f>
        <v>380</v>
      </c>
      <c r="Z13" s="322">
        <f>IFERROR($X13*VLOOKUP($U13,ESS_Item_Code!$A:$L,4,0),"item code is invalid")</f>
        <v>0</v>
      </c>
      <c r="AA13" s="323">
        <f t="shared" si="0"/>
        <v>96750</v>
      </c>
      <c r="AB13" s="383"/>
      <c r="AC13" s="390"/>
      <c r="AD13" s="472">
        <f t="shared" si="1"/>
        <v>96750</v>
      </c>
      <c r="AE13" s="325">
        <f>IFERROR($X13*VLOOKUP($U13,ESS_Item_Code!$A:$L,6,0),"item code is invalid")</f>
        <v>88000</v>
      </c>
      <c r="AF13" s="325">
        <f t="shared" si="2"/>
        <v>4400000</v>
      </c>
      <c r="AG13" s="383" t="s">
        <v>1069</v>
      </c>
      <c r="AH13" s="391"/>
      <c r="AI13" s="383">
        <v>60</v>
      </c>
      <c r="AJ13" s="383" t="s">
        <v>2361</v>
      </c>
      <c r="AK13" s="383" t="s">
        <v>1148</v>
      </c>
      <c r="AL13" s="383">
        <v>27604</v>
      </c>
      <c r="AM13" s="383" t="s">
        <v>52</v>
      </c>
      <c r="AN13" s="383" t="s">
        <v>50</v>
      </c>
      <c r="AO13" s="383"/>
    </row>
    <row r="14" spans="1:41" s="324" customFormat="1" ht="12">
      <c r="A14" s="396"/>
      <c r="B14" s="398"/>
      <c r="C14" s="398"/>
      <c r="D14" s="383" t="s">
        <v>2330</v>
      </c>
      <c r="E14" s="383" t="s">
        <v>4078</v>
      </c>
      <c r="F14" s="383"/>
      <c r="G14" s="383">
        <v>2022</v>
      </c>
      <c r="H14" s="383">
        <v>6</v>
      </c>
      <c r="I14" s="383"/>
      <c r="J14" s="384"/>
      <c r="K14" s="383" t="s">
        <v>4079</v>
      </c>
      <c r="L14" s="383" t="s">
        <v>2360</v>
      </c>
      <c r="M14" s="384">
        <v>44540</v>
      </c>
      <c r="N14" s="384">
        <v>44617</v>
      </c>
      <c r="O14" s="384">
        <v>44651</v>
      </c>
      <c r="P14" s="392"/>
      <c r="Q14" s="384"/>
      <c r="R14" s="384"/>
      <c r="S14" s="383" t="s">
        <v>2332</v>
      </c>
      <c r="T14" s="420" t="str">
        <f>IFERROR(VLOOKUP($U14,ESS_Item_Code!$A:$L,5,0),"item code is invalid")</f>
        <v>Battery</v>
      </c>
      <c r="U14" s="383" t="s">
        <v>233</v>
      </c>
      <c r="V14" s="396" t="str">
        <f>IFERROR(VLOOKUP($U14,ESS_Item_Code!$A:$L,2,0),"item code is invalid")</f>
        <v>BAT63</v>
      </c>
      <c r="W14" s="385">
        <v>2484</v>
      </c>
      <c r="X14" s="383">
        <v>100</v>
      </c>
      <c r="Y14" s="472">
        <f>+IFERROR($X14*VLOOKUP($U14,ESS_Item_Code!$A:$L,3,0),"item code is invalid")</f>
        <v>0</v>
      </c>
      <c r="Z14" s="322">
        <f>IFERROR($X14*VLOOKUP($U14,ESS_Item_Code!$A:$L,4,0),"item code is invalid")</f>
        <v>630</v>
      </c>
      <c r="AA14" s="323">
        <f t="shared" si="0"/>
        <v>248400</v>
      </c>
      <c r="AB14" s="383"/>
      <c r="AC14" s="390"/>
      <c r="AD14" s="472">
        <f t="shared" si="1"/>
        <v>248400</v>
      </c>
      <c r="AE14" s="325">
        <f>IFERROR($X14*VLOOKUP($U14,ESS_Item_Code!$A:$L,6,0),"item code is invalid")</f>
        <v>225100</v>
      </c>
      <c r="AF14" s="325">
        <f t="shared" si="2"/>
        <v>22510000</v>
      </c>
      <c r="AG14" s="383" t="s">
        <v>1069</v>
      </c>
      <c r="AH14" s="391"/>
      <c r="AI14" s="383">
        <v>60</v>
      </c>
      <c r="AJ14" s="383" t="s">
        <v>2361</v>
      </c>
      <c r="AK14" s="383" t="s">
        <v>1148</v>
      </c>
      <c r="AL14" s="383">
        <v>27604</v>
      </c>
      <c r="AM14" s="383" t="s">
        <v>52</v>
      </c>
      <c r="AN14" s="383" t="s">
        <v>50</v>
      </c>
      <c r="AO14" s="383"/>
    </row>
    <row r="15" spans="1:41" s="324" customFormat="1" ht="12">
      <c r="A15" s="396"/>
      <c r="B15" s="398"/>
      <c r="C15" s="398"/>
      <c r="D15" s="383" t="s">
        <v>2330</v>
      </c>
      <c r="E15" s="383" t="s">
        <v>4078</v>
      </c>
      <c r="F15" s="383"/>
      <c r="G15" s="383">
        <v>2022</v>
      </c>
      <c r="H15" s="383">
        <v>6</v>
      </c>
      <c r="I15" s="383"/>
      <c r="J15" s="384"/>
      <c r="K15" s="383" t="s">
        <v>4079</v>
      </c>
      <c r="L15" s="383" t="s">
        <v>2360</v>
      </c>
      <c r="M15" s="384">
        <v>44541</v>
      </c>
      <c r="N15" s="384">
        <v>44618</v>
      </c>
      <c r="O15" s="384">
        <v>44651</v>
      </c>
      <c r="P15" s="392"/>
      <c r="Q15" s="384"/>
      <c r="R15" s="384"/>
      <c r="S15" s="383" t="s">
        <v>2332</v>
      </c>
      <c r="T15" s="420" t="str">
        <f>IFERROR(VLOOKUP($U15,ESS_Item_Code!$A:$L,5,0),"item code is invalid")</f>
        <v>RSD</v>
      </c>
      <c r="U15" s="383" t="s">
        <v>258</v>
      </c>
      <c r="V15" s="396" t="str">
        <f>IFERROR(VLOOKUP($U15,ESS_Item_Code!$A:$L,2,0),"item code is invalid")</f>
        <v>Rapid Shut Module</v>
      </c>
      <c r="W15" s="385">
        <v>34</v>
      </c>
      <c r="X15" s="383">
        <v>648</v>
      </c>
      <c r="Y15" s="472">
        <f>+IFERROR($X15*VLOOKUP($U15,ESS_Item_Code!$A:$L,3,0),"item code is invalid")</f>
        <v>0</v>
      </c>
      <c r="Z15" s="322">
        <f>IFERROR($X15*VLOOKUP($U15,ESS_Item_Code!$A:$L,4,0),"item code is invalid")</f>
        <v>0</v>
      </c>
      <c r="AA15" s="323">
        <f t="shared" si="0"/>
        <v>22032</v>
      </c>
      <c r="AB15" s="383"/>
      <c r="AC15" s="390"/>
      <c r="AD15" s="472">
        <f t="shared" si="1"/>
        <v>22032</v>
      </c>
      <c r="AE15" s="325">
        <f>IFERROR($X15*VLOOKUP($U15,ESS_Item_Code!$A:$L,6,0),"item code is invalid")</f>
        <v>0</v>
      </c>
      <c r="AF15" s="325">
        <f t="shared" si="2"/>
        <v>0</v>
      </c>
      <c r="AG15" s="383" t="s">
        <v>1069</v>
      </c>
      <c r="AH15" s="391"/>
      <c r="AI15" s="383">
        <v>60</v>
      </c>
      <c r="AJ15" s="383" t="s">
        <v>1981</v>
      </c>
      <c r="AK15" s="383" t="s">
        <v>1081</v>
      </c>
      <c r="AL15" s="383">
        <v>33634</v>
      </c>
      <c r="AM15" s="383" t="s">
        <v>52</v>
      </c>
      <c r="AN15" s="383" t="s">
        <v>50</v>
      </c>
      <c r="AO15" s="383"/>
    </row>
    <row r="16" spans="1:41" s="324" customFormat="1" ht="12">
      <c r="A16" s="396"/>
      <c r="B16" s="398"/>
      <c r="C16" s="398"/>
      <c r="D16" s="383" t="s">
        <v>2330</v>
      </c>
      <c r="E16" s="383" t="s">
        <v>4078</v>
      </c>
      <c r="F16" s="383"/>
      <c r="G16" s="383">
        <v>2022</v>
      </c>
      <c r="H16" s="383">
        <v>6</v>
      </c>
      <c r="I16" s="383"/>
      <c r="J16" s="384"/>
      <c r="K16" s="383" t="s">
        <v>4079</v>
      </c>
      <c r="L16" s="383" t="s">
        <v>2360</v>
      </c>
      <c r="M16" s="384">
        <v>44540</v>
      </c>
      <c r="N16" s="384">
        <v>44617</v>
      </c>
      <c r="O16" s="384">
        <v>44651</v>
      </c>
      <c r="P16" s="392"/>
      <c r="Q16" s="384"/>
      <c r="R16" s="384"/>
      <c r="S16" s="383" t="s">
        <v>2332</v>
      </c>
      <c r="T16" s="420" t="str">
        <f>IFERROR(VLOOKUP($U16,ESS_Item_Code!$A:$L,5,0),"item code is invalid")</f>
        <v>Accessory</v>
      </c>
      <c r="U16" s="383" t="s">
        <v>251</v>
      </c>
      <c r="V16" s="396" t="str">
        <f>IFERROR(VLOOKUP($U16,ESS_Item_Code!$A:$L,2,0),"item code is invalid")</f>
        <v>Wifi module</v>
      </c>
      <c r="W16" s="385">
        <v>45</v>
      </c>
      <c r="X16" s="383">
        <v>50</v>
      </c>
      <c r="Y16" s="472">
        <f>+IFERROR($X16*VLOOKUP($U16,ESS_Item_Code!$A:$L,3,0),"item code is invalid")</f>
        <v>0</v>
      </c>
      <c r="Z16" s="322">
        <f>IFERROR($X16*VLOOKUP($U16,ESS_Item_Code!$A:$L,4,0),"item code is invalid")</f>
        <v>0</v>
      </c>
      <c r="AA16" s="323">
        <f t="shared" si="0"/>
        <v>2250</v>
      </c>
      <c r="AB16" s="383"/>
      <c r="AC16" s="390"/>
      <c r="AD16" s="472">
        <f t="shared" si="1"/>
        <v>2250</v>
      </c>
      <c r="AE16" s="325">
        <f>IFERROR($X16*VLOOKUP($U16,ESS_Item_Code!$A:$L,6,0),"item code is invalid")</f>
        <v>2000</v>
      </c>
      <c r="AF16" s="325">
        <f t="shared" si="2"/>
        <v>100000</v>
      </c>
      <c r="AG16" s="383" t="s">
        <v>1069</v>
      </c>
      <c r="AH16" s="391"/>
      <c r="AI16" s="383">
        <v>60</v>
      </c>
      <c r="AJ16" s="383" t="s">
        <v>2361</v>
      </c>
      <c r="AK16" s="383" t="s">
        <v>1148</v>
      </c>
      <c r="AL16" s="383">
        <v>27604</v>
      </c>
      <c r="AM16" s="383" t="s">
        <v>52</v>
      </c>
      <c r="AN16" s="383" t="s">
        <v>50</v>
      </c>
      <c r="AO16" s="383"/>
    </row>
    <row r="17" spans="1:41" s="324" customFormat="1" ht="12">
      <c r="A17" s="396"/>
      <c r="B17" s="398"/>
      <c r="C17" s="398"/>
      <c r="D17" s="383" t="s">
        <v>2330</v>
      </c>
      <c r="E17" s="383" t="s">
        <v>4078</v>
      </c>
      <c r="F17" s="383"/>
      <c r="G17" s="383">
        <v>2022</v>
      </c>
      <c r="H17" s="383">
        <v>6</v>
      </c>
      <c r="I17" s="383"/>
      <c r="J17" s="384"/>
      <c r="K17" s="383" t="s">
        <v>4079</v>
      </c>
      <c r="L17" s="383" t="s">
        <v>2360</v>
      </c>
      <c r="M17" s="384">
        <v>44540</v>
      </c>
      <c r="N17" s="384">
        <v>44617</v>
      </c>
      <c r="O17" s="384">
        <v>44651</v>
      </c>
      <c r="P17" s="392"/>
      <c r="Q17" s="384"/>
      <c r="R17" s="384"/>
      <c r="S17" s="383" t="s">
        <v>2332</v>
      </c>
      <c r="T17" s="420" t="str">
        <f>IFERROR(VLOOKUP($U17,ESS_Item_Code!$A:$L,5,0),"item code is invalid")</f>
        <v>EMS</v>
      </c>
      <c r="U17" s="383" t="s">
        <v>254</v>
      </c>
      <c r="V17" s="396" t="str">
        <f>IFERROR(VLOOKUP($U17,ESS_Item_Code!$A:$L,2,0),"item code is invalid")</f>
        <v>Meter set</v>
      </c>
      <c r="W17" s="385">
        <v>90</v>
      </c>
      <c r="X17" s="383">
        <v>50</v>
      </c>
      <c r="Y17" s="472">
        <f>+IFERROR($X17*VLOOKUP($U17,ESS_Item_Code!$A:$L,3,0),"item code is invalid")</f>
        <v>0</v>
      </c>
      <c r="Z17" s="322">
        <f>IFERROR($X17*VLOOKUP($U17,ESS_Item_Code!$A:$L,4,0),"item code is invalid")</f>
        <v>0</v>
      </c>
      <c r="AA17" s="323">
        <f t="shared" si="0"/>
        <v>4500</v>
      </c>
      <c r="AB17" s="383"/>
      <c r="AC17" s="390"/>
      <c r="AD17" s="472">
        <f t="shared" si="1"/>
        <v>4500</v>
      </c>
      <c r="AE17" s="325">
        <f>IFERROR($X17*VLOOKUP($U17,ESS_Item_Code!$A:$L,6,0),"item code is invalid")</f>
        <v>4000</v>
      </c>
      <c r="AF17" s="325">
        <f t="shared" si="2"/>
        <v>200000</v>
      </c>
      <c r="AG17" s="383" t="s">
        <v>1069</v>
      </c>
      <c r="AH17" s="391"/>
      <c r="AI17" s="383">
        <v>60</v>
      </c>
      <c r="AJ17" s="383" t="s">
        <v>2361</v>
      </c>
      <c r="AK17" s="383" t="s">
        <v>1148</v>
      </c>
      <c r="AL17" s="383">
        <v>27604</v>
      </c>
      <c r="AM17" s="383" t="s">
        <v>52</v>
      </c>
      <c r="AN17" s="383" t="s">
        <v>50</v>
      </c>
      <c r="AO17" s="383"/>
    </row>
    <row r="18" spans="1:41" s="324" customFormat="1" ht="12">
      <c r="A18" s="396"/>
      <c r="B18" s="398"/>
      <c r="C18" s="398"/>
      <c r="D18" s="383" t="s">
        <v>2330</v>
      </c>
      <c r="E18" s="383" t="s">
        <v>4078</v>
      </c>
      <c r="F18" s="383"/>
      <c r="G18" s="383">
        <v>2022</v>
      </c>
      <c r="H18" s="383">
        <v>6</v>
      </c>
      <c r="I18" s="383"/>
      <c r="J18" s="384"/>
      <c r="K18" s="383" t="s">
        <v>4079</v>
      </c>
      <c r="L18" s="383" t="s">
        <v>2360</v>
      </c>
      <c r="M18" s="384">
        <v>44540</v>
      </c>
      <c r="N18" s="384">
        <v>44617</v>
      </c>
      <c r="O18" s="384">
        <v>44651</v>
      </c>
      <c r="P18" s="392"/>
      <c r="Q18" s="384"/>
      <c r="R18" s="384"/>
      <c r="S18" s="383" t="s">
        <v>2332</v>
      </c>
      <c r="T18" s="420" t="str">
        <f>IFERROR(VLOOKUP($U18,ESS_Item_Code!$A:$L,5,0),"item code is invalid")</f>
        <v>Accessory</v>
      </c>
      <c r="U18" s="383" t="s">
        <v>244</v>
      </c>
      <c r="V18" s="396" t="str">
        <f>IFERROR(VLOOKUP($U18,ESS_Item_Code!$A:$L,2,0),"item code is invalid")</f>
        <v>Battery Accessory box , Master control Accessory</v>
      </c>
      <c r="W18" s="385">
        <v>0</v>
      </c>
      <c r="X18" s="383">
        <v>50</v>
      </c>
      <c r="Y18" s="472">
        <f>+IFERROR($X18*VLOOKUP($U18,ESS_Item_Code!$A:$L,3,0),"item code is invalid")</f>
        <v>0</v>
      </c>
      <c r="Z18" s="322">
        <f>IFERROR($X18*VLOOKUP($U18,ESS_Item_Code!$A:$L,4,0),"item code is invalid")</f>
        <v>0</v>
      </c>
      <c r="AA18" s="323">
        <f t="shared" si="0"/>
        <v>0</v>
      </c>
      <c r="AB18" s="383"/>
      <c r="AC18" s="390"/>
      <c r="AD18" s="472">
        <f t="shared" si="1"/>
        <v>0</v>
      </c>
      <c r="AE18" s="325" t="str">
        <f>IFERROR($X18*VLOOKUP($U18,ESS_Item_Code!$A:$L,6,0),"item code is invalid")</f>
        <v>item code is invalid</v>
      </c>
      <c r="AF18" s="325" t="e">
        <f t="shared" si="2"/>
        <v>#VALUE!</v>
      </c>
      <c r="AG18" s="383" t="s">
        <v>1069</v>
      </c>
      <c r="AH18" s="391"/>
      <c r="AI18" s="383">
        <v>60</v>
      </c>
      <c r="AJ18" s="383" t="s">
        <v>2361</v>
      </c>
      <c r="AK18" s="383" t="s">
        <v>1148</v>
      </c>
      <c r="AL18" s="383">
        <v>27604</v>
      </c>
      <c r="AM18" s="383" t="s">
        <v>52</v>
      </c>
      <c r="AN18" s="383" t="s">
        <v>50</v>
      </c>
      <c r="AO18" s="383"/>
    </row>
    <row r="19" spans="1:41" s="324" customFormat="1" ht="12">
      <c r="A19" s="396"/>
      <c r="B19" s="398"/>
      <c r="C19" s="398"/>
      <c r="D19" s="383" t="s">
        <v>2330</v>
      </c>
      <c r="E19" s="383" t="s">
        <v>4078</v>
      </c>
      <c r="F19" s="383"/>
      <c r="G19" s="383">
        <v>2022</v>
      </c>
      <c r="H19" s="383">
        <v>6</v>
      </c>
      <c r="I19" s="383"/>
      <c r="J19" s="384"/>
      <c r="K19" s="383" t="s">
        <v>4079</v>
      </c>
      <c r="L19" s="383" t="s">
        <v>2360</v>
      </c>
      <c r="M19" s="384">
        <v>44540</v>
      </c>
      <c r="N19" s="384">
        <v>44617</v>
      </c>
      <c r="O19" s="384">
        <v>44651</v>
      </c>
      <c r="P19" s="392"/>
      <c r="Q19" s="384"/>
      <c r="R19" s="384"/>
      <c r="S19" s="383" t="s">
        <v>2332</v>
      </c>
      <c r="T19" s="420" t="str">
        <f>IFERROR(VLOOKUP($U19,ESS_Item_Code!$A:$L,5,0),"item code is invalid")</f>
        <v>Accessory</v>
      </c>
      <c r="U19" s="383" t="s">
        <v>248</v>
      </c>
      <c r="V19" s="396" t="str">
        <f>IFERROR(VLOOKUP($U19,ESS_Item_Code!$A:$L,2,0),"item code is invalid")</f>
        <v>Battery Accessory box , Slave control Accessory</v>
      </c>
      <c r="W19" s="385">
        <v>0</v>
      </c>
      <c r="X19" s="383">
        <v>100</v>
      </c>
      <c r="Y19" s="472">
        <f>+IFERROR($X19*VLOOKUP($U19,ESS_Item_Code!$A:$L,3,0),"item code is invalid")</f>
        <v>0</v>
      </c>
      <c r="Z19" s="322">
        <f>IFERROR($X19*VLOOKUP($U19,ESS_Item_Code!$A:$L,4,0),"item code is invalid")</f>
        <v>0</v>
      </c>
      <c r="AA19" s="323">
        <f t="shared" si="0"/>
        <v>0</v>
      </c>
      <c r="AB19" s="383"/>
      <c r="AC19" s="390"/>
      <c r="AD19" s="472">
        <f t="shared" si="1"/>
        <v>0</v>
      </c>
      <c r="AE19" s="325" t="str">
        <f>IFERROR($X19*VLOOKUP($U19,ESS_Item_Code!$A:$L,6,0),"item code is invalid")</f>
        <v>item code is invalid</v>
      </c>
      <c r="AF19" s="325" t="e">
        <f t="shared" si="2"/>
        <v>#VALUE!</v>
      </c>
      <c r="AG19" s="383" t="s">
        <v>1069</v>
      </c>
      <c r="AH19" s="391"/>
      <c r="AI19" s="383">
        <v>60</v>
      </c>
      <c r="AJ19" s="383" t="s">
        <v>2361</v>
      </c>
      <c r="AK19" s="383" t="s">
        <v>1148</v>
      </c>
      <c r="AL19" s="383">
        <v>27604</v>
      </c>
      <c r="AM19" s="383" t="s">
        <v>52</v>
      </c>
      <c r="AN19" s="383" t="s">
        <v>50</v>
      </c>
      <c r="AO19" s="383"/>
    </row>
    <row r="20" spans="1:41" s="324" customFormat="1" ht="11.45" customHeight="1">
      <c r="A20" s="396"/>
      <c r="B20" s="398" t="s">
        <v>1186</v>
      </c>
      <c r="C20" s="398" t="s">
        <v>1186</v>
      </c>
      <c r="D20" s="383" t="s">
        <v>2330</v>
      </c>
      <c r="E20" s="383"/>
      <c r="F20" s="383" t="s">
        <v>1139</v>
      </c>
      <c r="G20" s="383">
        <v>2022</v>
      </c>
      <c r="H20" s="383">
        <v>5</v>
      </c>
      <c r="I20" s="383"/>
      <c r="J20" s="384"/>
      <c r="K20" s="383" t="s">
        <v>4080</v>
      </c>
      <c r="L20" s="383" t="s">
        <v>2348</v>
      </c>
      <c r="M20" s="384">
        <v>44609</v>
      </c>
      <c r="N20" s="384">
        <v>44682</v>
      </c>
      <c r="O20" s="384"/>
      <c r="P20" s="392"/>
      <c r="Q20" s="384"/>
      <c r="R20" s="384"/>
      <c r="S20" s="383" t="s">
        <v>2332</v>
      </c>
      <c r="T20" s="420" t="str">
        <f>IFERROR(VLOOKUP($U20,ESS_Item_Code!$A:$L,5,0),"item code is invalid")</f>
        <v>Inverter</v>
      </c>
      <c r="U20" s="383" t="s">
        <v>209</v>
      </c>
      <c r="V20" s="396" t="str">
        <f>IFERROR(VLOOKUP($U20,ESS_Item_Code!$A:$L,2,0),"item code is invalid")</f>
        <v>Q.HOME+ HYB-G1 8.6</v>
      </c>
      <c r="W20" s="385">
        <v>2600</v>
      </c>
      <c r="X20" s="383">
        <v>5</v>
      </c>
      <c r="Y20" s="472">
        <f>+IFERROR($X20*VLOOKUP($U20,ESS_Item_Code!$A:$L,3,0),"item code is invalid")</f>
        <v>43</v>
      </c>
      <c r="Z20" s="322">
        <f>IFERROR($X20*VLOOKUP($U20,ESS_Item_Code!$A:$L,4,0),"item code is invalid")</f>
        <v>0</v>
      </c>
      <c r="AA20" s="323">
        <f t="shared" si="0"/>
        <v>13000</v>
      </c>
      <c r="AB20" s="383"/>
      <c r="AC20" s="390"/>
      <c r="AD20" s="472">
        <f t="shared" si="1"/>
        <v>13000</v>
      </c>
      <c r="AE20" s="325">
        <f>IFERROR($X20*VLOOKUP($U20,ESS_Item_Code!$A:$L,6,0),"item code is invalid")</f>
        <v>11025</v>
      </c>
      <c r="AF20" s="325">
        <f t="shared" si="2"/>
        <v>55125</v>
      </c>
      <c r="AG20" s="383" t="s">
        <v>1069</v>
      </c>
      <c r="AH20" s="391"/>
      <c r="AI20" s="383">
        <v>60</v>
      </c>
      <c r="AJ20" s="383" t="s">
        <v>1881</v>
      </c>
      <c r="AK20" s="383" t="s">
        <v>1081</v>
      </c>
      <c r="AL20" s="383">
        <v>32809</v>
      </c>
      <c r="AM20" s="383" t="s">
        <v>52</v>
      </c>
      <c r="AN20" s="383" t="s">
        <v>50</v>
      </c>
      <c r="AO20" s="383"/>
    </row>
    <row r="21" spans="1:41" s="324" customFormat="1" ht="12">
      <c r="A21" s="396"/>
      <c r="B21" s="398" t="s">
        <v>1186</v>
      </c>
      <c r="C21" s="398" t="s">
        <v>1186</v>
      </c>
      <c r="D21" s="383" t="s">
        <v>2330</v>
      </c>
      <c r="E21" s="383"/>
      <c r="F21" s="383" t="s">
        <v>1139</v>
      </c>
      <c r="G21" s="383">
        <v>2022</v>
      </c>
      <c r="H21" s="383">
        <v>5</v>
      </c>
      <c r="I21" s="383"/>
      <c r="J21" s="384"/>
      <c r="K21" s="383" t="s">
        <v>4080</v>
      </c>
      <c r="L21" s="383" t="s">
        <v>2348</v>
      </c>
      <c r="M21" s="384">
        <v>44609</v>
      </c>
      <c r="N21" s="384">
        <v>44682</v>
      </c>
      <c r="O21" s="384"/>
      <c r="P21" s="392"/>
      <c r="Q21" s="384"/>
      <c r="R21" s="384"/>
      <c r="S21" s="383" t="s">
        <v>2332</v>
      </c>
      <c r="T21" s="420" t="str">
        <f>IFERROR(VLOOKUP($U21,ESS_Item_Code!$A:$L,5,0),"item code is invalid")</f>
        <v>Battery</v>
      </c>
      <c r="U21" s="383" t="s">
        <v>228</v>
      </c>
      <c r="V21" s="396" t="str">
        <f>IFERROR(VLOOKUP($U21,ESS_Item_Code!$A:$L,2,0),"item code is invalid")</f>
        <v>BAT45</v>
      </c>
      <c r="W21" s="385">
        <v>2040</v>
      </c>
      <c r="X21" s="383">
        <v>5</v>
      </c>
      <c r="Y21" s="472">
        <f>+IFERROR($X21*VLOOKUP($U21,ESS_Item_Code!$A:$L,3,0),"item code is invalid")</f>
        <v>0</v>
      </c>
      <c r="Z21" s="322">
        <f>IFERROR($X21*VLOOKUP($U21,ESS_Item_Code!$A:$L,4,0),"item code is invalid")</f>
        <v>22.5</v>
      </c>
      <c r="AA21" s="323">
        <f t="shared" si="0"/>
        <v>10200</v>
      </c>
      <c r="AB21" s="383"/>
      <c r="AC21" s="390"/>
      <c r="AD21" s="472">
        <f t="shared" si="1"/>
        <v>10200</v>
      </c>
      <c r="AE21" s="325">
        <f>IFERROR($X21*VLOOKUP($U21,ESS_Item_Code!$A:$L,6,0),"item code is invalid")</f>
        <v>8140</v>
      </c>
      <c r="AF21" s="325">
        <f t="shared" si="2"/>
        <v>40700</v>
      </c>
      <c r="AG21" s="383" t="s">
        <v>1069</v>
      </c>
      <c r="AH21" s="391"/>
      <c r="AI21" s="383">
        <v>60</v>
      </c>
      <c r="AJ21" s="383" t="s">
        <v>1881</v>
      </c>
      <c r="AK21" s="383" t="s">
        <v>1081</v>
      </c>
      <c r="AL21" s="383">
        <v>32809</v>
      </c>
      <c r="AM21" s="383" t="s">
        <v>52</v>
      </c>
      <c r="AN21" s="383" t="s">
        <v>50</v>
      </c>
      <c r="AO21" s="383"/>
    </row>
    <row r="22" spans="1:41" s="324" customFormat="1" ht="12">
      <c r="A22" s="396"/>
      <c r="B22" s="398" t="s">
        <v>1186</v>
      </c>
      <c r="C22" s="398" t="s">
        <v>1186</v>
      </c>
      <c r="D22" s="383" t="s">
        <v>2330</v>
      </c>
      <c r="E22" s="383"/>
      <c r="F22" s="383" t="s">
        <v>1139</v>
      </c>
      <c r="G22" s="383">
        <v>2022</v>
      </c>
      <c r="H22" s="383">
        <v>5</v>
      </c>
      <c r="I22" s="383"/>
      <c r="J22" s="384"/>
      <c r="K22" s="383" t="s">
        <v>4080</v>
      </c>
      <c r="L22" s="383" t="s">
        <v>2348</v>
      </c>
      <c r="M22" s="384">
        <v>44609</v>
      </c>
      <c r="N22" s="384">
        <v>44682</v>
      </c>
      <c r="O22" s="384"/>
      <c r="P22" s="392"/>
      <c r="Q22" s="384"/>
      <c r="R22" s="384"/>
      <c r="S22" s="383" t="s">
        <v>2332</v>
      </c>
      <c r="T22" s="420" t="str">
        <f>IFERROR(VLOOKUP($U22,ESS_Item_Code!$A:$L,5,0),"item code is invalid")</f>
        <v>Battery</v>
      </c>
      <c r="U22" s="383" t="s">
        <v>236</v>
      </c>
      <c r="V22" s="396" t="str">
        <f>IFERROR(VLOOKUP($U22,ESS_Item_Code!$A:$L,2,0),"item code is invalid")</f>
        <v>BAT BMS-G1</v>
      </c>
      <c r="W22" s="385">
        <v>560</v>
      </c>
      <c r="X22" s="383">
        <v>5</v>
      </c>
      <c r="Y22" s="472">
        <f>+IFERROR($X22*VLOOKUP($U22,ESS_Item_Code!$A:$L,3,0),"item code is invalid")</f>
        <v>0</v>
      </c>
      <c r="Z22" s="322">
        <f>IFERROR($X22*VLOOKUP($U22,ESS_Item_Code!$A:$L,4,0),"item code is invalid")</f>
        <v>0</v>
      </c>
      <c r="AA22" s="323">
        <f t="shared" si="0"/>
        <v>2800</v>
      </c>
      <c r="AB22" s="383"/>
      <c r="AC22" s="390"/>
      <c r="AD22" s="472">
        <f t="shared" si="1"/>
        <v>2800</v>
      </c>
      <c r="AE22" s="325">
        <f>IFERROR($X22*VLOOKUP($U22,ESS_Item_Code!$A:$L,6,0),"item code is invalid")</f>
        <v>2325</v>
      </c>
      <c r="AF22" s="325">
        <f t="shared" si="2"/>
        <v>11625</v>
      </c>
      <c r="AG22" s="383" t="s">
        <v>1069</v>
      </c>
      <c r="AH22" s="391"/>
      <c r="AI22" s="383">
        <v>60</v>
      </c>
      <c r="AJ22" s="383" t="s">
        <v>1881</v>
      </c>
      <c r="AK22" s="383" t="s">
        <v>1081</v>
      </c>
      <c r="AL22" s="383">
        <v>32809</v>
      </c>
      <c r="AM22" s="383" t="s">
        <v>52</v>
      </c>
      <c r="AN22" s="383" t="s">
        <v>50</v>
      </c>
      <c r="AO22" s="383"/>
    </row>
    <row r="23" spans="1:41" s="324" customFormat="1" ht="12">
      <c r="A23" s="396"/>
      <c r="B23" s="398" t="s">
        <v>1186</v>
      </c>
      <c r="C23" s="398" t="s">
        <v>1186</v>
      </c>
      <c r="D23" s="383" t="s">
        <v>2330</v>
      </c>
      <c r="E23" s="383"/>
      <c r="F23" s="383" t="s">
        <v>1139</v>
      </c>
      <c r="G23" s="383">
        <v>2022</v>
      </c>
      <c r="H23" s="383">
        <v>5</v>
      </c>
      <c r="I23" s="383"/>
      <c r="J23" s="384"/>
      <c r="K23" s="383" t="s">
        <v>4080</v>
      </c>
      <c r="L23" s="383" t="s">
        <v>2348</v>
      </c>
      <c r="M23" s="384">
        <v>44609</v>
      </c>
      <c r="N23" s="384">
        <v>44682</v>
      </c>
      <c r="O23" s="384"/>
      <c r="P23" s="392"/>
      <c r="Q23" s="384"/>
      <c r="R23" s="384"/>
      <c r="S23" s="383" t="s">
        <v>2332</v>
      </c>
      <c r="T23" s="420" t="str">
        <f>IFERROR(VLOOKUP($U23,ESS_Item_Code!$A:$L,5,0),"item code is invalid")</f>
        <v>Accessory</v>
      </c>
      <c r="U23" s="383" t="s">
        <v>239</v>
      </c>
      <c r="V23" s="396" t="str">
        <f>IFERROR(VLOOKUP($U23,ESS_Item_Code!$A:$L,2,0),"item code is invalid")</f>
        <v>Q.HOME+ TX-8.6</v>
      </c>
      <c r="W23" s="385">
        <v>400</v>
      </c>
      <c r="X23" s="383">
        <v>5</v>
      </c>
      <c r="Y23" s="472">
        <f>+IFERROR($X23*VLOOKUP($U23,ESS_Item_Code!$A:$L,3,0),"item code is invalid")</f>
        <v>0</v>
      </c>
      <c r="Z23" s="322">
        <f>IFERROR($X23*VLOOKUP($U23,ESS_Item_Code!$A:$L,4,0),"item code is invalid")</f>
        <v>0</v>
      </c>
      <c r="AA23" s="323">
        <f t="shared" si="0"/>
        <v>2000</v>
      </c>
      <c r="AB23" s="383"/>
      <c r="AC23" s="390"/>
      <c r="AD23" s="472">
        <f t="shared" si="1"/>
        <v>2000</v>
      </c>
      <c r="AE23" s="325">
        <f>IFERROR($X23*VLOOKUP($U23,ESS_Item_Code!$A:$L,6,0),"item code is invalid")</f>
        <v>1750</v>
      </c>
      <c r="AF23" s="325">
        <f t="shared" si="2"/>
        <v>8750</v>
      </c>
      <c r="AG23" s="383" t="s">
        <v>1069</v>
      </c>
      <c r="AH23" s="391"/>
      <c r="AI23" s="383">
        <v>60</v>
      </c>
      <c r="AJ23" s="383" t="s">
        <v>1881</v>
      </c>
      <c r="AK23" s="383" t="s">
        <v>1081</v>
      </c>
      <c r="AL23" s="383">
        <v>32809</v>
      </c>
      <c r="AM23" s="383" t="s">
        <v>52</v>
      </c>
      <c r="AN23" s="383" t="s">
        <v>50</v>
      </c>
      <c r="AO23" s="383"/>
    </row>
    <row r="24" spans="1:41" s="324" customFormat="1" ht="12">
      <c r="A24" s="396"/>
      <c r="B24" s="398" t="s">
        <v>1186</v>
      </c>
      <c r="C24" s="398" t="s">
        <v>1186</v>
      </c>
      <c r="D24" s="383" t="s">
        <v>2330</v>
      </c>
      <c r="E24" s="383"/>
      <c r="F24" s="383" t="s">
        <v>1139</v>
      </c>
      <c r="G24" s="383">
        <v>2022</v>
      </c>
      <c r="H24" s="383">
        <v>5</v>
      </c>
      <c r="I24" s="383"/>
      <c r="J24" s="384"/>
      <c r="K24" s="383" t="s">
        <v>4080</v>
      </c>
      <c r="L24" s="383" t="s">
        <v>2348</v>
      </c>
      <c r="M24" s="384">
        <v>44609</v>
      </c>
      <c r="N24" s="384">
        <v>44682</v>
      </c>
      <c r="O24" s="384"/>
      <c r="P24" s="392"/>
      <c r="Q24" s="384"/>
      <c r="R24" s="384"/>
      <c r="S24" s="383" t="s">
        <v>2332</v>
      </c>
      <c r="T24" s="420" t="str">
        <f>IFERROR(VLOOKUP($U24,ESS_Item_Code!$A:$L,5,0),"item code is invalid")</f>
        <v>EMS</v>
      </c>
      <c r="U24" s="383" t="s">
        <v>254</v>
      </c>
      <c r="V24" s="396" t="str">
        <f>IFERROR(VLOOKUP($U24,ESS_Item_Code!$A:$L,2,0),"item code is invalid")</f>
        <v>Meter set</v>
      </c>
      <c r="W24" s="385">
        <v>100</v>
      </c>
      <c r="X24" s="383">
        <v>5</v>
      </c>
      <c r="Y24" s="472">
        <f>+IFERROR($X24*VLOOKUP($U24,ESS_Item_Code!$A:$L,3,0),"item code is invalid")</f>
        <v>0</v>
      </c>
      <c r="Z24" s="322">
        <f>IFERROR($X24*VLOOKUP($U24,ESS_Item_Code!$A:$L,4,0),"item code is invalid")</f>
        <v>0</v>
      </c>
      <c r="AA24" s="323">
        <f t="shared" si="0"/>
        <v>500</v>
      </c>
      <c r="AB24" s="383"/>
      <c r="AC24" s="390"/>
      <c r="AD24" s="472">
        <f t="shared" si="1"/>
        <v>500</v>
      </c>
      <c r="AE24" s="325">
        <f>IFERROR($X24*VLOOKUP($U24,ESS_Item_Code!$A:$L,6,0),"item code is invalid")</f>
        <v>400</v>
      </c>
      <c r="AF24" s="325">
        <f t="shared" si="2"/>
        <v>2000</v>
      </c>
      <c r="AG24" s="383" t="s">
        <v>1069</v>
      </c>
      <c r="AH24" s="391"/>
      <c r="AI24" s="383">
        <v>60</v>
      </c>
      <c r="AJ24" s="383" t="s">
        <v>1881</v>
      </c>
      <c r="AK24" s="383" t="s">
        <v>1081</v>
      </c>
      <c r="AL24" s="383">
        <v>32809</v>
      </c>
      <c r="AM24" s="383" t="s">
        <v>52</v>
      </c>
      <c r="AN24" s="383" t="s">
        <v>50</v>
      </c>
      <c r="AO24" s="383"/>
    </row>
    <row r="25" spans="1:41" s="324" customFormat="1" ht="12">
      <c r="A25" s="396"/>
      <c r="B25" s="398" t="s">
        <v>1186</v>
      </c>
      <c r="C25" s="398" t="s">
        <v>1186</v>
      </c>
      <c r="D25" s="383" t="s">
        <v>2330</v>
      </c>
      <c r="E25" s="383"/>
      <c r="F25" s="383" t="s">
        <v>1139</v>
      </c>
      <c r="G25" s="383">
        <v>2022</v>
      </c>
      <c r="H25" s="383">
        <v>5</v>
      </c>
      <c r="I25" s="383"/>
      <c r="J25" s="384"/>
      <c r="K25" s="383" t="s">
        <v>4080</v>
      </c>
      <c r="L25" s="383" t="s">
        <v>2348</v>
      </c>
      <c r="M25" s="384">
        <v>44609</v>
      </c>
      <c r="N25" s="384">
        <v>44682</v>
      </c>
      <c r="O25" s="384"/>
      <c r="P25" s="392"/>
      <c r="Q25" s="384"/>
      <c r="R25" s="384"/>
      <c r="S25" s="383" t="s">
        <v>2332</v>
      </c>
      <c r="T25" s="420" t="str">
        <f>IFERROR(VLOOKUP($U25,ESS_Item_Code!$A:$L,5,0),"item code is invalid")</f>
        <v>Accessory</v>
      </c>
      <c r="U25" s="383" t="s">
        <v>251</v>
      </c>
      <c r="V25" s="396" t="str">
        <f>IFERROR(VLOOKUP($U25,ESS_Item_Code!$A:$L,2,0),"item code is invalid")</f>
        <v>Wifi module</v>
      </c>
      <c r="W25" s="385">
        <v>50</v>
      </c>
      <c r="X25" s="383">
        <v>5</v>
      </c>
      <c r="Y25" s="472">
        <f>+IFERROR($X25*VLOOKUP($U25,ESS_Item_Code!$A:$L,3,0),"item code is invalid")</f>
        <v>0</v>
      </c>
      <c r="Z25" s="322">
        <f>IFERROR($X25*VLOOKUP($U25,ESS_Item_Code!$A:$L,4,0),"item code is invalid")</f>
        <v>0</v>
      </c>
      <c r="AA25" s="323">
        <f t="shared" si="0"/>
        <v>250</v>
      </c>
      <c r="AB25" s="383"/>
      <c r="AC25" s="390"/>
      <c r="AD25" s="472">
        <f t="shared" si="1"/>
        <v>250</v>
      </c>
      <c r="AE25" s="325">
        <f>IFERROR($X25*VLOOKUP($U25,ESS_Item_Code!$A:$L,6,0),"item code is invalid")</f>
        <v>200</v>
      </c>
      <c r="AF25" s="325">
        <f t="shared" si="2"/>
        <v>1000</v>
      </c>
      <c r="AG25" s="383" t="s">
        <v>1069</v>
      </c>
      <c r="AH25" s="391"/>
      <c r="AI25" s="383">
        <v>60</v>
      </c>
      <c r="AJ25" s="383" t="s">
        <v>1881</v>
      </c>
      <c r="AK25" s="383" t="s">
        <v>1081</v>
      </c>
      <c r="AL25" s="383">
        <v>32809</v>
      </c>
      <c r="AM25" s="383" t="s">
        <v>52</v>
      </c>
      <c r="AN25" s="383" t="s">
        <v>50</v>
      </c>
      <c r="AO25" s="383"/>
    </row>
    <row r="26" spans="1:41" s="324" customFormat="1" ht="12">
      <c r="A26" s="396"/>
      <c r="B26" s="398" t="s">
        <v>1186</v>
      </c>
      <c r="C26" s="398" t="s">
        <v>1186</v>
      </c>
      <c r="D26" s="383" t="s">
        <v>2330</v>
      </c>
      <c r="E26" s="383"/>
      <c r="F26" s="383" t="s">
        <v>1139</v>
      </c>
      <c r="G26" s="383">
        <v>2022</v>
      </c>
      <c r="H26" s="383">
        <v>5</v>
      </c>
      <c r="I26" s="383"/>
      <c r="J26" s="384"/>
      <c r="K26" s="383" t="s">
        <v>4080</v>
      </c>
      <c r="L26" s="383" t="s">
        <v>2348</v>
      </c>
      <c r="M26" s="384">
        <v>44609</v>
      </c>
      <c r="N26" s="384">
        <v>44682</v>
      </c>
      <c r="O26" s="384"/>
      <c r="P26" s="392"/>
      <c r="Q26" s="384"/>
      <c r="R26" s="384"/>
      <c r="S26" s="383" t="s">
        <v>2332</v>
      </c>
      <c r="T26" s="420" t="str">
        <f>IFERROR(VLOOKUP($U26,ESS_Item_Code!$A:$L,5,0),"item code is invalid")</f>
        <v>RSD</v>
      </c>
      <c r="U26" s="383" t="s">
        <v>258</v>
      </c>
      <c r="V26" s="396" t="str">
        <f>IFERROR(VLOOKUP($U26,ESS_Item_Code!$A:$L,2,0),"item code is invalid")</f>
        <v>Rapid Shut Module</v>
      </c>
      <c r="W26" s="385">
        <v>34</v>
      </c>
      <c r="X26" s="383">
        <v>72</v>
      </c>
      <c r="Y26" s="472">
        <f>+IFERROR($X26*VLOOKUP($U26,ESS_Item_Code!$A:$L,3,0),"item code is invalid")</f>
        <v>0</v>
      </c>
      <c r="Z26" s="322">
        <f>IFERROR($X26*VLOOKUP($U26,ESS_Item_Code!$A:$L,4,0),"item code is invalid")</f>
        <v>0</v>
      </c>
      <c r="AA26" s="323">
        <f t="shared" si="0"/>
        <v>2448</v>
      </c>
      <c r="AB26" s="383"/>
      <c r="AC26" s="390"/>
      <c r="AD26" s="472">
        <f t="shared" si="1"/>
        <v>2448</v>
      </c>
      <c r="AE26" s="325">
        <f>IFERROR($X26*VLOOKUP($U26,ESS_Item_Code!$A:$L,6,0),"item code is invalid")</f>
        <v>0</v>
      </c>
      <c r="AF26" s="325">
        <f t="shared" si="2"/>
        <v>0</v>
      </c>
      <c r="AG26" s="383" t="s">
        <v>1069</v>
      </c>
      <c r="AH26" s="391"/>
      <c r="AI26" s="383">
        <v>60</v>
      </c>
      <c r="AJ26" s="383" t="s">
        <v>1881</v>
      </c>
      <c r="AK26" s="383" t="s">
        <v>1081</v>
      </c>
      <c r="AL26" s="383">
        <v>32809</v>
      </c>
      <c r="AM26" s="383" t="s">
        <v>52</v>
      </c>
      <c r="AN26" s="383" t="s">
        <v>50</v>
      </c>
      <c r="AO26" s="383"/>
    </row>
    <row r="27" spans="1:41" s="324" customFormat="1" ht="12">
      <c r="A27" s="396"/>
      <c r="B27" s="398" t="s">
        <v>1186</v>
      </c>
      <c r="C27" s="398" t="s">
        <v>1186</v>
      </c>
      <c r="D27" s="383" t="s">
        <v>2330</v>
      </c>
      <c r="E27" s="383"/>
      <c r="F27" s="383" t="s">
        <v>1139</v>
      </c>
      <c r="G27" s="383">
        <v>2022</v>
      </c>
      <c r="H27" s="383">
        <v>5</v>
      </c>
      <c r="I27" s="383"/>
      <c r="J27" s="384"/>
      <c r="K27" s="383" t="s">
        <v>4080</v>
      </c>
      <c r="L27" s="383" t="s">
        <v>2348</v>
      </c>
      <c r="M27" s="384">
        <v>44609</v>
      </c>
      <c r="N27" s="384">
        <v>44682</v>
      </c>
      <c r="O27" s="384"/>
      <c r="P27" s="392"/>
      <c r="Q27" s="384"/>
      <c r="R27" s="384"/>
      <c r="S27" s="383" t="s">
        <v>2332</v>
      </c>
      <c r="T27" s="420" t="str">
        <f>IFERROR(VLOOKUP($U27,ESS_Item_Code!$A:$L,5,0),"item code is invalid")</f>
        <v>Accessory</v>
      </c>
      <c r="U27" s="383" t="s">
        <v>244</v>
      </c>
      <c r="V27" s="396" t="str">
        <f>IFERROR(VLOOKUP($U27,ESS_Item_Code!$A:$L,2,0),"item code is invalid")</f>
        <v>Battery Accessory box , Master control Accessory</v>
      </c>
      <c r="W27" s="385">
        <v>0</v>
      </c>
      <c r="X27" s="383">
        <v>5</v>
      </c>
      <c r="Y27" s="472">
        <f>+IFERROR($X27*VLOOKUP($U27,ESS_Item_Code!$A:$L,3,0),"item code is invalid")</f>
        <v>0</v>
      </c>
      <c r="Z27" s="322">
        <f>IFERROR($X27*VLOOKUP($U27,ESS_Item_Code!$A:$L,4,0),"item code is invalid")</f>
        <v>0</v>
      </c>
      <c r="AA27" s="323">
        <f t="shared" si="0"/>
        <v>0</v>
      </c>
      <c r="AB27" s="383"/>
      <c r="AC27" s="390"/>
      <c r="AD27" s="472">
        <f t="shared" si="1"/>
        <v>0</v>
      </c>
      <c r="AE27" s="325" t="str">
        <f>IFERROR($X27*VLOOKUP($U27,ESS_Item_Code!$A:$L,6,0),"item code is invalid")</f>
        <v>item code is invalid</v>
      </c>
      <c r="AF27" s="325" t="e">
        <f t="shared" si="2"/>
        <v>#VALUE!</v>
      </c>
      <c r="AG27" s="383" t="s">
        <v>1069</v>
      </c>
      <c r="AH27" s="391"/>
      <c r="AI27" s="383">
        <v>60</v>
      </c>
      <c r="AJ27" s="383" t="s">
        <v>1881</v>
      </c>
      <c r="AK27" s="383" t="s">
        <v>1081</v>
      </c>
      <c r="AL27" s="383">
        <v>32809</v>
      </c>
      <c r="AM27" s="383" t="s">
        <v>52</v>
      </c>
      <c r="AN27" s="383" t="s">
        <v>50</v>
      </c>
      <c r="AO27" s="383"/>
    </row>
    <row r="28" spans="1:41" s="324" customFormat="1" ht="12">
      <c r="A28" s="396"/>
      <c r="B28" s="398" t="s">
        <v>1186</v>
      </c>
      <c r="C28" s="398" t="s">
        <v>1186</v>
      </c>
      <c r="D28" s="383" t="s">
        <v>2330</v>
      </c>
      <c r="E28" s="383"/>
      <c r="F28" s="383" t="s">
        <v>1139</v>
      </c>
      <c r="G28" s="383">
        <v>2022</v>
      </c>
      <c r="H28" s="383">
        <v>5</v>
      </c>
      <c r="I28" s="383"/>
      <c r="J28" s="384"/>
      <c r="K28" s="383" t="s">
        <v>4080</v>
      </c>
      <c r="L28" s="383" t="s">
        <v>2348</v>
      </c>
      <c r="M28" s="384">
        <v>44609</v>
      </c>
      <c r="N28" s="384">
        <v>44682</v>
      </c>
      <c r="O28" s="384"/>
      <c r="P28" s="392"/>
      <c r="Q28" s="384"/>
      <c r="R28" s="384"/>
      <c r="S28" s="383" t="s">
        <v>2332</v>
      </c>
      <c r="T28" s="420" t="str">
        <f>IFERROR(VLOOKUP($U28,ESS_Item_Code!$A:$L,5,0),"item code is invalid")</f>
        <v>Accessory</v>
      </c>
      <c r="U28" s="383" t="s">
        <v>248</v>
      </c>
      <c r="V28" s="396" t="str">
        <f>IFERROR(VLOOKUP($U28,ESS_Item_Code!$A:$L,2,0),"item code is invalid")</f>
        <v>Battery Accessory box , Slave control Accessory</v>
      </c>
      <c r="W28" s="385">
        <v>0</v>
      </c>
      <c r="X28" s="383">
        <v>5</v>
      </c>
      <c r="Y28" s="472">
        <f>+IFERROR($X28*VLOOKUP($U28,ESS_Item_Code!$A:$L,3,0),"item code is invalid")</f>
        <v>0</v>
      </c>
      <c r="Z28" s="322">
        <f>IFERROR($X28*VLOOKUP($U28,ESS_Item_Code!$A:$L,4,0),"item code is invalid")</f>
        <v>0</v>
      </c>
      <c r="AA28" s="323">
        <f t="shared" si="0"/>
        <v>0</v>
      </c>
      <c r="AB28" s="383"/>
      <c r="AC28" s="390"/>
      <c r="AD28" s="472">
        <f t="shared" si="1"/>
        <v>0</v>
      </c>
      <c r="AE28" s="325" t="str">
        <f>IFERROR($X28*VLOOKUP($U28,ESS_Item_Code!$A:$L,6,0),"item code is invalid")</f>
        <v>item code is invalid</v>
      </c>
      <c r="AF28" s="325" t="e">
        <f t="shared" si="2"/>
        <v>#VALUE!</v>
      </c>
      <c r="AG28" s="383" t="s">
        <v>1069</v>
      </c>
      <c r="AH28" s="391"/>
      <c r="AI28" s="383">
        <v>60</v>
      </c>
      <c r="AJ28" s="383" t="s">
        <v>1881</v>
      </c>
      <c r="AK28" s="383" t="s">
        <v>1081</v>
      </c>
      <c r="AL28" s="383">
        <v>32809</v>
      </c>
      <c r="AM28" s="383" t="s">
        <v>52</v>
      </c>
      <c r="AN28" s="383" t="s">
        <v>50</v>
      </c>
      <c r="AO28" s="383"/>
    </row>
  </sheetData>
  <autoFilter ref="A1:AO1" xr:uid="{94BCC761-0B93-478A-A026-CFD6747DC9DD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508B-B120-4FBB-9AA8-7251B3DDB059}">
  <dimension ref="A1:AL139"/>
  <sheetViews>
    <sheetView topLeftCell="G16" workbookViewId="0">
      <selection activeCell="T26" sqref="T26"/>
    </sheetView>
  </sheetViews>
  <sheetFormatPr defaultRowHeight="15"/>
  <cols>
    <col min="1" max="1" width="3.28515625" customWidth="1"/>
    <col min="2" max="2" width="33.140625" bestFit="1" customWidth="1"/>
    <col min="3" max="5" width="5.28515625" style="1" customWidth="1"/>
    <col min="8" max="8" width="16" customWidth="1"/>
    <col min="9" max="9" width="24.7109375" customWidth="1"/>
    <col min="18" max="18" width="25.28515625" customWidth="1"/>
    <col min="19" max="19" width="16.5703125" customWidth="1"/>
    <col min="20" max="20" width="38.42578125" customWidth="1"/>
    <col min="21" max="21" width="14.5703125" customWidth="1"/>
    <col min="23" max="23" width="10.140625" customWidth="1"/>
    <col min="24" max="24" width="10.42578125" customWidth="1"/>
    <col min="25" max="25" width="13.85546875" bestFit="1" customWidth="1"/>
    <col min="26" max="26" width="12.85546875" customWidth="1"/>
    <col min="27" max="27" width="9.140625" style="150"/>
    <col min="28" max="28" width="11.85546875" customWidth="1"/>
    <col min="29" max="29" width="12" bestFit="1" customWidth="1"/>
  </cols>
  <sheetData>
    <row r="1" spans="1:38" ht="13.5" customHeight="1">
      <c r="A1" s="513" t="s">
        <v>0</v>
      </c>
      <c r="B1" s="513"/>
      <c r="W1" s="2">
        <f>SUBTOTAL(9,W2:W3300)</f>
        <v>15265.348675000003</v>
      </c>
      <c r="Z1" s="3">
        <f>SUBTOTAL(9,Z2:Z3300)</f>
        <v>6310512.1499463441</v>
      </c>
      <c r="AA1" s="4">
        <f>SUBTOTAL(9,AA2:AA3300)</f>
        <v>2.8268749999999994</v>
      </c>
      <c r="AB1" s="3"/>
      <c r="AC1" s="3">
        <f>SUBTOTAL(9,AC2:AC3300)</f>
        <v>6673727.5511573451</v>
      </c>
    </row>
    <row r="2" spans="1:38" ht="13.5" customHeight="1" thickBot="1">
      <c r="A2" s="5" t="s">
        <v>1</v>
      </c>
      <c r="B2" s="5" t="s">
        <v>2</v>
      </c>
      <c r="C2" s="6" t="s">
        <v>3</v>
      </c>
      <c r="D2" s="7" t="s">
        <v>4</v>
      </c>
      <c r="E2" s="7" t="s">
        <v>5</v>
      </c>
      <c r="F2" s="5" t="s">
        <v>6</v>
      </c>
      <c r="G2" s="8" t="s">
        <v>7</v>
      </c>
      <c r="H2" s="5" t="s">
        <v>8</v>
      </c>
      <c r="I2" s="5" t="s">
        <v>9</v>
      </c>
      <c r="J2" s="8" t="s">
        <v>10</v>
      </c>
      <c r="K2" s="8" t="s">
        <v>11</v>
      </c>
      <c r="L2" s="9" t="s">
        <v>12</v>
      </c>
      <c r="M2" s="8" t="s">
        <v>13</v>
      </c>
      <c r="N2" s="8" t="s">
        <v>14</v>
      </c>
      <c r="O2" s="8" t="s">
        <v>15</v>
      </c>
      <c r="P2" s="5" t="s">
        <v>16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6" t="s">
        <v>23</v>
      </c>
      <c r="X2" s="6" t="s">
        <v>24</v>
      </c>
      <c r="Y2" s="10" t="s">
        <v>25</v>
      </c>
      <c r="Z2" s="11" t="s">
        <v>26</v>
      </c>
      <c r="AA2" s="12" t="s">
        <v>27</v>
      </c>
      <c r="AB2" s="13" t="s">
        <v>28</v>
      </c>
      <c r="AC2" s="13" t="s">
        <v>29</v>
      </c>
      <c r="AD2" s="13" t="s">
        <v>30</v>
      </c>
      <c r="AE2" s="13" t="s">
        <v>31</v>
      </c>
      <c r="AF2" s="13" t="s">
        <v>32</v>
      </c>
      <c r="AG2" s="11" t="s">
        <v>33</v>
      </c>
      <c r="AH2" s="11" t="s">
        <v>34</v>
      </c>
      <c r="AI2" s="11" t="s">
        <v>35</v>
      </c>
      <c r="AJ2" s="11" t="s">
        <v>36</v>
      </c>
      <c r="AK2" s="5" t="s">
        <v>37</v>
      </c>
      <c r="AL2" s="5" t="s">
        <v>38</v>
      </c>
    </row>
    <row r="3" spans="1:38">
      <c r="A3" s="14"/>
      <c r="B3" s="15" t="s">
        <v>39</v>
      </c>
      <c r="C3" s="16"/>
      <c r="D3" s="17">
        <v>2021</v>
      </c>
      <c r="E3" s="16">
        <v>12</v>
      </c>
      <c r="F3" s="16">
        <v>126204</v>
      </c>
      <c r="G3" s="18">
        <v>44552</v>
      </c>
      <c r="H3" s="19" t="s">
        <v>40</v>
      </c>
      <c r="I3" s="16" t="s">
        <v>41</v>
      </c>
      <c r="J3" s="20">
        <v>44291</v>
      </c>
      <c r="K3" s="20"/>
      <c r="L3" s="20"/>
      <c r="M3" s="20"/>
      <c r="N3" s="20"/>
      <c r="O3" s="20"/>
      <c r="P3" s="16" t="s">
        <v>42</v>
      </c>
      <c r="Q3" s="16"/>
      <c r="R3" s="21" t="s">
        <v>43</v>
      </c>
      <c r="S3" s="16" t="s">
        <v>44</v>
      </c>
      <c r="T3" s="16" t="s">
        <v>45</v>
      </c>
      <c r="U3" s="16" t="s">
        <v>46</v>
      </c>
      <c r="V3" s="16">
        <v>2000</v>
      </c>
      <c r="W3" s="22">
        <v>4473</v>
      </c>
      <c r="X3" s="22">
        <v>1</v>
      </c>
      <c r="Y3" s="23">
        <v>1174971.56</v>
      </c>
      <c r="Z3" s="24">
        <f t="shared" ref="Z3:Z58" si="0">X3*Y3</f>
        <v>1174971.56</v>
      </c>
      <c r="AA3" s="25">
        <v>5.5625000000000001E-2</v>
      </c>
      <c r="AB3" s="26">
        <f>Z3*AA3</f>
        <v>65357.793025000006</v>
      </c>
      <c r="AC3" s="27">
        <f t="shared" ref="AC3:AC58" si="1">Z3+AB3</f>
        <v>1240329.3530250001</v>
      </c>
      <c r="AD3" s="16" t="s">
        <v>47</v>
      </c>
      <c r="AE3" s="16" t="s">
        <v>48</v>
      </c>
      <c r="AF3" s="16" t="s">
        <v>48</v>
      </c>
      <c r="AG3" s="20" t="s">
        <v>49</v>
      </c>
      <c r="AH3" s="28" t="s">
        <v>50</v>
      </c>
      <c r="AI3" s="28" t="s">
        <v>51</v>
      </c>
      <c r="AJ3" s="16" t="s">
        <v>52</v>
      </c>
      <c r="AK3" s="16"/>
      <c r="AL3" s="29"/>
    </row>
    <row r="4" spans="1:38">
      <c r="A4" s="30"/>
      <c r="B4" s="31" t="s">
        <v>39</v>
      </c>
      <c r="C4" s="19"/>
      <c r="D4" s="32">
        <v>2021</v>
      </c>
      <c r="E4" s="19">
        <v>12</v>
      </c>
      <c r="F4" s="19">
        <v>126204</v>
      </c>
      <c r="G4" s="33">
        <v>44552</v>
      </c>
      <c r="H4" s="19" t="s">
        <v>40</v>
      </c>
      <c r="I4" s="19" t="s">
        <v>41</v>
      </c>
      <c r="J4" s="34">
        <v>44291</v>
      </c>
      <c r="K4" s="34"/>
      <c r="L4" s="34"/>
      <c r="M4" s="34"/>
      <c r="N4" s="34"/>
      <c r="O4" s="34"/>
      <c r="P4" s="19" t="s">
        <v>42</v>
      </c>
      <c r="Q4" s="19"/>
      <c r="R4" s="35" t="s">
        <v>53</v>
      </c>
      <c r="S4" s="19" t="s">
        <v>44</v>
      </c>
      <c r="T4" s="19" t="s">
        <v>54</v>
      </c>
      <c r="U4" s="19" t="s">
        <v>46</v>
      </c>
      <c r="V4" s="19"/>
      <c r="W4" s="36"/>
      <c r="X4" s="36">
        <v>1</v>
      </c>
      <c r="Y4" s="37">
        <v>18200</v>
      </c>
      <c r="Z4" s="38">
        <f t="shared" si="0"/>
        <v>18200</v>
      </c>
      <c r="AA4" s="39"/>
      <c r="AB4" s="40"/>
      <c r="AC4" s="41">
        <f t="shared" si="1"/>
        <v>18200</v>
      </c>
      <c r="AD4" s="19" t="s">
        <v>47</v>
      </c>
      <c r="AE4" s="19" t="s">
        <v>48</v>
      </c>
      <c r="AF4" s="19" t="s">
        <v>48</v>
      </c>
      <c r="AG4" s="34" t="s">
        <v>49</v>
      </c>
      <c r="AH4" s="42" t="s">
        <v>50</v>
      </c>
      <c r="AI4" s="42" t="s">
        <v>51</v>
      </c>
      <c r="AJ4" s="19" t="s">
        <v>52</v>
      </c>
      <c r="AK4" s="19"/>
      <c r="AL4" s="43"/>
    </row>
    <row r="5" spans="1:38">
      <c r="A5" s="30"/>
      <c r="B5" s="31" t="s">
        <v>39</v>
      </c>
      <c r="C5" s="19"/>
      <c r="D5" s="32">
        <v>2021</v>
      </c>
      <c r="E5" s="19">
        <v>12</v>
      </c>
      <c r="F5" s="19">
        <v>126204</v>
      </c>
      <c r="G5" s="33">
        <v>44552</v>
      </c>
      <c r="H5" s="19" t="s">
        <v>40</v>
      </c>
      <c r="I5" s="19" t="s">
        <v>41</v>
      </c>
      <c r="J5" s="34">
        <v>44291</v>
      </c>
      <c r="K5" s="34"/>
      <c r="L5" s="34"/>
      <c r="M5" s="34"/>
      <c r="N5" s="34"/>
      <c r="O5" s="34"/>
      <c r="P5" s="19" t="s">
        <v>42</v>
      </c>
      <c r="Q5" s="19"/>
      <c r="R5" s="35" t="s">
        <v>55</v>
      </c>
      <c r="S5" s="19" t="s">
        <v>44</v>
      </c>
      <c r="T5" s="19" t="s">
        <v>56</v>
      </c>
      <c r="U5" s="19" t="s">
        <v>46</v>
      </c>
      <c r="V5" s="19"/>
      <c r="W5" s="36"/>
      <c r="X5" s="36">
        <v>1</v>
      </c>
      <c r="Y5" s="37">
        <v>137970.44</v>
      </c>
      <c r="Z5" s="38">
        <f t="shared" si="0"/>
        <v>137970.44</v>
      </c>
      <c r="AA5" s="39"/>
      <c r="AB5" s="40"/>
      <c r="AC5" s="41">
        <f t="shared" si="1"/>
        <v>137970.44</v>
      </c>
      <c r="AD5" s="19" t="s">
        <v>47</v>
      </c>
      <c r="AE5" s="19" t="s">
        <v>48</v>
      </c>
      <c r="AF5" s="19" t="s">
        <v>48</v>
      </c>
      <c r="AG5" s="34" t="s">
        <v>49</v>
      </c>
      <c r="AH5" s="42" t="s">
        <v>50</v>
      </c>
      <c r="AI5" s="42" t="s">
        <v>51</v>
      </c>
      <c r="AJ5" s="19" t="s">
        <v>52</v>
      </c>
      <c r="AK5" s="19"/>
      <c r="AL5" s="43"/>
    </row>
    <row r="6" spans="1:38" ht="15.75" thickBot="1">
      <c r="A6" s="44"/>
      <c r="B6" s="45" t="s">
        <v>39</v>
      </c>
      <c r="C6" s="46"/>
      <c r="D6" s="47">
        <v>2021</v>
      </c>
      <c r="E6" s="46">
        <v>12</v>
      </c>
      <c r="F6" s="46">
        <v>126204</v>
      </c>
      <c r="G6" s="48">
        <v>44552</v>
      </c>
      <c r="H6" s="49" t="s">
        <v>40</v>
      </c>
      <c r="I6" s="46" t="s">
        <v>41</v>
      </c>
      <c r="J6" s="50">
        <v>44291</v>
      </c>
      <c r="K6" s="50"/>
      <c r="L6" s="50"/>
      <c r="M6" s="50"/>
      <c r="N6" s="50"/>
      <c r="O6" s="50"/>
      <c r="P6" s="49" t="s">
        <v>42</v>
      </c>
      <c r="Q6" s="46"/>
      <c r="R6" s="51" t="s">
        <v>57</v>
      </c>
      <c r="S6" s="46" t="s">
        <v>44</v>
      </c>
      <c r="T6" s="46" t="s">
        <v>58</v>
      </c>
      <c r="U6" s="46" t="s">
        <v>46</v>
      </c>
      <c r="V6" s="46"/>
      <c r="W6" s="52"/>
      <c r="X6" s="52">
        <v>1</v>
      </c>
      <c r="Y6" s="53">
        <v>4160</v>
      </c>
      <c r="Z6" s="54">
        <f t="shared" si="0"/>
        <v>4160</v>
      </c>
      <c r="AA6" s="55"/>
      <c r="AB6" s="56"/>
      <c r="AC6" s="57">
        <f t="shared" si="1"/>
        <v>4160</v>
      </c>
      <c r="AD6" s="46" t="s">
        <v>47</v>
      </c>
      <c r="AE6" s="46" t="s">
        <v>48</v>
      </c>
      <c r="AF6" s="46" t="s">
        <v>48</v>
      </c>
      <c r="AG6" s="50" t="s">
        <v>49</v>
      </c>
      <c r="AH6" s="58" t="s">
        <v>50</v>
      </c>
      <c r="AI6" s="58" t="s">
        <v>51</v>
      </c>
      <c r="AJ6" s="46" t="s">
        <v>52</v>
      </c>
      <c r="AK6" s="46"/>
      <c r="AL6" s="59"/>
    </row>
    <row r="7" spans="1:38">
      <c r="A7" s="14"/>
      <c r="B7" s="15" t="s">
        <v>39</v>
      </c>
      <c r="C7" s="16"/>
      <c r="D7" s="17">
        <v>2021</v>
      </c>
      <c r="E7" s="16">
        <v>12</v>
      </c>
      <c r="F7" s="16">
        <v>126204</v>
      </c>
      <c r="G7" s="18">
        <v>44552</v>
      </c>
      <c r="H7" s="16" t="s">
        <v>40</v>
      </c>
      <c r="I7" s="16" t="s">
        <v>41</v>
      </c>
      <c r="J7" s="20">
        <v>44291</v>
      </c>
      <c r="K7" s="20"/>
      <c r="L7" s="20"/>
      <c r="M7" s="20"/>
      <c r="N7" s="20"/>
      <c r="O7" s="20"/>
      <c r="P7" s="16" t="s">
        <v>42</v>
      </c>
      <c r="Q7" s="16"/>
      <c r="R7" s="21" t="s">
        <v>59</v>
      </c>
      <c r="S7" s="16" t="s">
        <v>60</v>
      </c>
      <c r="T7" s="16" t="s">
        <v>61</v>
      </c>
      <c r="U7" s="16" t="s">
        <v>46</v>
      </c>
      <c r="V7" s="16">
        <v>250</v>
      </c>
      <c r="W7" s="22">
        <v>556</v>
      </c>
      <c r="X7" s="22">
        <v>1</v>
      </c>
      <c r="Y7" s="23">
        <v>209093</v>
      </c>
      <c r="Z7" s="24">
        <f t="shared" si="0"/>
        <v>209093</v>
      </c>
      <c r="AA7" s="60">
        <v>5.5625000000000001E-2</v>
      </c>
      <c r="AB7" s="26">
        <f>Z7*AA7</f>
        <v>11630.798124999999</v>
      </c>
      <c r="AC7" s="27">
        <f t="shared" si="1"/>
        <v>220723.798125</v>
      </c>
      <c r="AD7" s="16" t="s">
        <v>47</v>
      </c>
      <c r="AE7" s="16" t="s">
        <v>48</v>
      </c>
      <c r="AF7" s="16" t="s">
        <v>48</v>
      </c>
      <c r="AG7" s="20" t="s">
        <v>49</v>
      </c>
      <c r="AH7" s="28" t="s">
        <v>50</v>
      </c>
      <c r="AI7" s="28" t="s">
        <v>51</v>
      </c>
      <c r="AJ7" s="16" t="s">
        <v>52</v>
      </c>
      <c r="AK7" s="16"/>
      <c r="AL7" s="29"/>
    </row>
    <row r="8" spans="1:38">
      <c r="A8" s="30"/>
      <c r="B8" s="31" t="s">
        <v>39</v>
      </c>
      <c r="C8" s="19"/>
      <c r="D8" s="32">
        <v>2021</v>
      </c>
      <c r="E8" s="19">
        <v>12</v>
      </c>
      <c r="F8" s="19">
        <v>126204</v>
      </c>
      <c r="G8" s="33">
        <v>44552</v>
      </c>
      <c r="H8" s="19" t="s">
        <v>40</v>
      </c>
      <c r="I8" s="19" t="s">
        <v>41</v>
      </c>
      <c r="J8" s="34">
        <v>44291</v>
      </c>
      <c r="K8" s="34"/>
      <c r="L8" s="34"/>
      <c r="M8" s="34"/>
      <c r="N8" s="34"/>
      <c r="O8" s="34"/>
      <c r="P8" s="19" t="s">
        <v>42</v>
      </c>
      <c r="Q8" s="19"/>
      <c r="R8" s="35" t="s">
        <v>62</v>
      </c>
      <c r="S8" s="19" t="s">
        <v>60</v>
      </c>
      <c r="T8" s="19" t="s">
        <v>54</v>
      </c>
      <c r="U8" s="19" t="s">
        <v>46</v>
      </c>
      <c r="V8" s="19"/>
      <c r="W8" s="36"/>
      <c r="X8" s="36">
        <v>1</v>
      </c>
      <c r="Y8" s="37">
        <v>4574</v>
      </c>
      <c r="Z8" s="38">
        <f t="shared" si="0"/>
        <v>4574</v>
      </c>
      <c r="AA8" s="39"/>
      <c r="AB8" s="40"/>
      <c r="AC8" s="41">
        <f t="shared" si="1"/>
        <v>4574</v>
      </c>
      <c r="AD8" s="19" t="s">
        <v>47</v>
      </c>
      <c r="AE8" s="19" t="s">
        <v>48</v>
      </c>
      <c r="AF8" s="19" t="s">
        <v>48</v>
      </c>
      <c r="AG8" s="34" t="s">
        <v>49</v>
      </c>
      <c r="AH8" s="42" t="s">
        <v>50</v>
      </c>
      <c r="AI8" s="42" t="s">
        <v>51</v>
      </c>
      <c r="AJ8" s="19" t="s">
        <v>52</v>
      </c>
      <c r="AK8" s="19"/>
      <c r="AL8" s="43"/>
    </row>
    <row r="9" spans="1:38">
      <c r="A9" s="30"/>
      <c r="B9" s="31" t="s">
        <v>39</v>
      </c>
      <c r="C9" s="19"/>
      <c r="D9" s="32">
        <v>2021</v>
      </c>
      <c r="E9" s="19">
        <v>12</v>
      </c>
      <c r="F9" s="19">
        <v>126204</v>
      </c>
      <c r="G9" s="33">
        <v>44552</v>
      </c>
      <c r="H9" s="19" t="s">
        <v>40</v>
      </c>
      <c r="I9" s="19" t="s">
        <v>41</v>
      </c>
      <c r="J9" s="34">
        <v>44291</v>
      </c>
      <c r="K9" s="34"/>
      <c r="L9" s="34"/>
      <c r="M9" s="34"/>
      <c r="N9" s="34"/>
      <c r="O9" s="34"/>
      <c r="P9" s="19" t="s">
        <v>42</v>
      </c>
      <c r="Q9" s="19"/>
      <c r="R9" s="35" t="s">
        <v>63</v>
      </c>
      <c r="S9" s="19" t="s">
        <v>60</v>
      </c>
      <c r="T9" s="19" t="s">
        <v>56</v>
      </c>
      <c r="U9" s="19" t="s">
        <v>46</v>
      </c>
      <c r="V9" s="19"/>
      <c r="W9" s="36"/>
      <c r="X9" s="36">
        <v>1</v>
      </c>
      <c r="Y9" s="37">
        <v>42189</v>
      </c>
      <c r="Z9" s="38">
        <f t="shared" si="0"/>
        <v>42189</v>
      </c>
      <c r="AA9" s="39"/>
      <c r="AB9" s="40"/>
      <c r="AC9" s="41">
        <f t="shared" si="1"/>
        <v>42189</v>
      </c>
      <c r="AD9" s="19" t="s">
        <v>47</v>
      </c>
      <c r="AE9" s="19" t="s">
        <v>48</v>
      </c>
      <c r="AF9" s="19" t="s">
        <v>48</v>
      </c>
      <c r="AG9" s="34" t="s">
        <v>49</v>
      </c>
      <c r="AH9" s="42" t="s">
        <v>50</v>
      </c>
      <c r="AI9" s="42" t="s">
        <v>51</v>
      </c>
      <c r="AJ9" s="19" t="s">
        <v>52</v>
      </c>
      <c r="AK9" s="19"/>
      <c r="AL9" s="43"/>
    </row>
    <row r="10" spans="1:38" ht="15.75" thickBot="1">
      <c r="A10" s="61"/>
      <c r="B10" s="62" t="s">
        <v>39</v>
      </c>
      <c r="C10" s="49"/>
      <c r="D10" s="63">
        <v>2021</v>
      </c>
      <c r="E10" s="46">
        <v>12</v>
      </c>
      <c r="F10" s="46">
        <v>126204</v>
      </c>
      <c r="G10" s="48">
        <v>44552</v>
      </c>
      <c r="H10" s="49" t="s">
        <v>40</v>
      </c>
      <c r="I10" s="49" t="s">
        <v>41</v>
      </c>
      <c r="J10" s="64">
        <v>44291</v>
      </c>
      <c r="K10" s="64"/>
      <c r="L10" s="64"/>
      <c r="M10" s="64"/>
      <c r="N10" s="64"/>
      <c r="O10" s="64"/>
      <c r="P10" s="49" t="s">
        <v>42</v>
      </c>
      <c r="Q10" s="49"/>
      <c r="R10" s="51" t="s">
        <v>64</v>
      </c>
      <c r="S10" s="49" t="s">
        <v>60</v>
      </c>
      <c r="T10" s="49" t="s">
        <v>58</v>
      </c>
      <c r="U10" s="49" t="s">
        <v>46</v>
      </c>
      <c r="V10" s="49"/>
      <c r="W10" s="65"/>
      <c r="X10" s="65">
        <v>1</v>
      </c>
      <c r="Y10" s="66">
        <v>3659</v>
      </c>
      <c r="Z10" s="67">
        <f t="shared" si="0"/>
        <v>3659</v>
      </c>
      <c r="AA10" s="68"/>
      <c r="AB10" s="69"/>
      <c r="AC10" s="70">
        <f t="shared" si="1"/>
        <v>3659</v>
      </c>
      <c r="AD10" s="49" t="s">
        <v>47</v>
      </c>
      <c r="AE10" s="49" t="s">
        <v>48</v>
      </c>
      <c r="AF10" s="49" t="s">
        <v>48</v>
      </c>
      <c r="AG10" s="64" t="s">
        <v>49</v>
      </c>
      <c r="AH10" s="71" t="s">
        <v>50</v>
      </c>
      <c r="AI10" s="71" t="s">
        <v>51</v>
      </c>
      <c r="AJ10" s="49" t="s">
        <v>52</v>
      </c>
      <c r="AK10" s="49"/>
      <c r="AL10" s="72"/>
    </row>
    <row r="11" spans="1:38" ht="14.25" customHeight="1">
      <c r="A11" s="14"/>
      <c r="B11" s="15" t="s">
        <v>39</v>
      </c>
      <c r="C11" s="16"/>
      <c r="D11" s="17">
        <v>2021</v>
      </c>
      <c r="E11" s="16"/>
      <c r="F11" s="16"/>
      <c r="G11" s="18"/>
      <c r="H11" s="16" t="s">
        <v>40</v>
      </c>
      <c r="I11" s="16" t="s">
        <v>41</v>
      </c>
      <c r="J11" s="20">
        <v>44291</v>
      </c>
      <c r="K11" s="20"/>
      <c r="L11" s="20"/>
      <c r="M11" s="20"/>
      <c r="N11" s="20"/>
      <c r="O11" s="20"/>
      <c r="P11" s="16"/>
      <c r="Q11" s="16"/>
      <c r="R11" s="16"/>
      <c r="S11" s="16" t="s">
        <v>65</v>
      </c>
      <c r="T11" s="16" t="s">
        <v>66</v>
      </c>
      <c r="U11" s="16" t="s">
        <v>46</v>
      </c>
      <c r="V11" s="16"/>
      <c r="W11" s="22"/>
      <c r="X11" s="22">
        <v>1</v>
      </c>
      <c r="Y11" s="23">
        <v>85950</v>
      </c>
      <c r="Z11" s="24">
        <f t="shared" si="0"/>
        <v>85950</v>
      </c>
      <c r="AA11" s="73"/>
      <c r="AB11" s="26"/>
      <c r="AC11" s="27">
        <f t="shared" si="1"/>
        <v>85950</v>
      </c>
      <c r="AD11" s="16" t="s">
        <v>47</v>
      </c>
      <c r="AE11" s="16" t="s">
        <v>48</v>
      </c>
      <c r="AF11" s="16" t="s">
        <v>48</v>
      </c>
      <c r="AG11" s="20" t="s">
        <v>49</v>
      </c>
      <c r="AH11" s="28" t="s">
        <v>50</v>
      </c>
      <c r="AI11" s="28" t="s">
        <v>51</v>
      </c>
      <c r="AJ11" s="16" t="s">
        <v>52</v>
      </c>
      <c r="AK11" s="16"/>
      <c r="AL11" s="29"/>
    </row>
    <row r="12" spans="1:38" ht="14.25" customHeight="1" thickBot="1">
      <c r="A12" s="61"/>
      <c r="B12" s="62" t="s">
        <v>39</v>
      </c>
      <c r="C12" s="49"/>
      <c r="D12" s="63">
        <v>2021</v>
      </c>
      <c r="E12" s="49"/>
      <c r="F12" s="49"/>
      <c r="G12" s="74"/>
      <c r="H12" s="49" t="s">
        <v>40</v>
      </c>
      <c r="I12" s="49" t="s">
        <v>41</v>
      </c>
      <c r="J12" s="64">
        <v>44291</v>
      </c>
      <c r="K12" s="64"/>
      <c r="L12" s="64"/>
      <c r="M12" s="64"/>
      <c r="N12" s="64"/>
      <c r="O12" s="64"/>
      <c r="P12" s="49"/>
      <c r="Q12" s="49"/>
      <c r="R12" s="49"/>
      <c r="S12" s="49" t="s">
        <v>67</v>
      </c>
      <c r="T12" s="49" t="s">
        <v>68</v>
      </c>
      <c r="U12" s="49" t="s">
        <v>46</v>
      </c>
      <c r="V12" s="49"/>
      <c r="W12" s="65"/>
      <c r="X12" s="65">
        <v>1</v>
      </c>
      <c r="Y12" s="66">
        <v>47423</v>
      </c>
      <c r="Z12" s="67">
        <f t="shared" si="0"/>
        <v>47423</v>
      </c>
      <c r="AA12" s="68"/>
      <c r="AB12" s="69"/>
      <c r="AC12" s="70">
        <f t="shared" si="1"/>
        <v>47423</v>
      </c>
      <c r="AD12" s="49" t="s">
        <v>47</v>
      </c>
      <c r="AE12" s="49" t="s">
        <v>48</v>
      </c>
      <c r="AF12" s="49" t="s">
        <v>48</v>
      </c>
      <c r="AG12" s="64" t="s">
        <v>49</v>
      </c>
      <c r="AH12" s="71" t="s">
        <v>50</v>
      </c>
      <c r="AI12" s="71" t="s">
        <v>51</v>
      </c>
      <c r="AJ12" s="49" t="s">
        <v>52</v>
      </c>
      <c r="AK12" s="49"/>
      <c r="AL12" s="72"/>
    </row>
    <row r="13" spans="1:38" ht="14.25" customHeight="1">
      <c r="A13" s="14"/>
      <c r="B13" s="15" t="s">
        <v>39</v>
      </c>
      <c r="C13" s="16"/>
      <c r="D13" s="17">
        <v>2021</v>
      </c>
      <c r="E13" s="16"/>
      <c r="F13" s="16"/>
      <c r="G13" s="18">
        <v>44589</v>
      </c>
      <c r="H13" s="16" t="s">
        <v>40</v>
      </c>
      <c r="I13" s="16" t="s">
        <v>41</v>
      </c>
      <c r="J13" s="20">
        <v>44291</v>
      </c>
      <c r="K13" s="20"/>
      <c r="L13" s="20"/>
      <c r="M13" s="20"/>
      <c r="N13" s="20"/>
      <c r="O13" s="20"/>
      <c r="P13" s="16"/>
      <c r="Q13" s="16"/>
      <c r="R13" s="75" t="s">
        <v>69</v>
      </c>
      <c r="S13" s="75" t="s">
        <v>70</v>
      </c>
      <c r="T13" s="75" t="s">
        <v>71</v>
      </c>
      <c r="U13" s="16" t="s">
        <v>72</v>
      </c>
      <c r="V13" s="16"/>
      <c r="W13" s="22"/>
      <c r="X13" s="22">
        <v>2250</v>
      </c>
      <c r="Y13" s="76">
        <v>16.930222000000001</v>
      </c>
      <c r="Z13" s="24">
        <f t="shared" si="0"/>
        <v>38092.999499999998</v>
      </c>
      <c r="AA13" s="73"/>
      <c r="AB13" s="26"/>
      <c r="AC13" s="27">
        <f t="shared" si="1"/>
        <v>38092.999499999998</v>
      </c>
      <c r="AD13" s="16" t="s">
        <v>47</v>
      </c>
      <c r="AE13" s="16" t="s">
        <v>48</v>
      </c>
      <c r="AF13" s="16" t="s">
        <v>48</v>
      </c>
      <c r="AG13" s="20" t="s">
        <v>49</v>
      </c>
      <c r="AH13" s="28" t="s">
        <v>50</v>
      </c>
      <c r="AI13" s="28" t="s">
        <v>51</v>
      </c>
      <c r="AJ13" s="16" t="s">
        <v>52</v>
      </c>
      <c r="AK13" s="16"/>
      <c r="AL13" s="29"/>
    </row>
    <row r="14" spans="1:38" ht="14.25" customHeight="1">
      <c r="A14" s="30"/>
      <c r="B14" s="31" t="s">
        <v>39</v>
      </c>
      <c r="C14" s="19"/>
      <c r="D14" s="32">
        <v>2021</v>
      </c>
      <c r="E14" s="19"/>
      <c r="F14" s="19"/>
      <c r="G14" s="33">
        <v>44589</v>
      </c>
      <c r="H14" s="19" t="s">
        <v>40</v>
      </c>
      <c r="I14" s="19" t="s">
        <v>41</v>
      </c>
      <c r="J14" s="34">
        <v>44291</v>
      </c>
      <c r="K14" s="34"/>
      <c r="L14" s="34"/>
      <c r="M14" s="34"/>
      <c r="N14" s="34"/>
      <c r="O14" s="34"/>
      <c r="P14" s="19"/>
      <c r="Q14" s="19"/>
      <c r="R14" s="77" t="s">
        <v>69</v>
      </c>
      <c r="S14" s="77" t="s">
        <v>73</v>
      </c>
      <c r="T14" s="77" t="s">
        <v>74</v>
      </c>
      <c r="U14" s="19" t="s">
        <v>72</v>
      </c>
      <c r="V14" s="19"/>
      <c r="W14" s="36"/>
      <c r="X14" s="36">
        <v>2250</v>
      </c>
      <c r="Y14" s="37">
        <v>3.18</v>
      </c>
      <c r="Z14" s="38">
        <f t="shared" si="0"/>
        <v>7155</v>
      </c>
      <c r="AA14" s="39"/>
      <c r="AB14" s="40"/>
      <c r="AC14" s="41">
        <f t="shared" si="1"/>
        <v>7155</v>
      </c>
      <c r="AD14" s="19" t="s">
        <v>47</v>
      </c>
      <c r="AE14" s="19" t="s">
        <v>48</v>
      </c>
      <c r="AF14" s="19" t="s">
        <v>48</v>
      </c>
      <c r="AG14" s="34" t="s">
        <v>49</v>
      </c>
      <c r="AH14" s="42" t="s">
        <v>50</v>
      </c>
      <c r="AI14" s="42" t="s">
        <v>51</v>
      </c>
      <c r="AJ14" s="19" t="s">
        <v>52</v>
      </c>
      <c r="AK14" s="19"/>
      <c r="AL14" s="43"/>
    </row>
    <row r="15" spans="1:38" ht="14.25" customHeight="1">
      <c r="A15" s="30"/>
      <c r="B15" s="31" t="s">
        <v>39</v>
      </c>
      <c r="C15" s="19"/>
      <c r="D15" s="32">
        <v>2021</v>
      </c>
      <c r="E15" s="19"/>
      <c r="F15" s="19"/>
      <c r="G15" s="33">
        <v>44589</v>
      </c>
      <c r="H15" s="19" t="s">
        <v>40</v>
      </c>
      <c r="I15" s="19" t="s">
        <v>41</v>
      </c>
      <c r="J15" s="34">
        <v>44291</v>
      </c>
      <c r="K15" s="34"/>
      <c r="L15" s="34"/>
      <c r="M15" s="34"/>
      <c r="N15" s="34"/>
      <c r="O15" s="34"/>
      <c r="P15" s="19"/>
      <c r="Q15" s="19"/>
      <c r="R15" s="77" t="s">
        <v>69</v>
      </c>
      <c r="S15" s="77" t="s">
        <v>75</v>
      </c>
      <c r="T15" s="77" t="s">
        <v>76</v>
      </c>
      <c r="U15" s="19" t="s">
        <v>72</v>
      </c>
      <c r="V15" s="19"/>
      <c r="W15" s="36"/>
      <c r="X15" s="36">
        <v>2250</v>
      </c>
      <c r="Y15" s="78">
        <v>5.290222</v>
      </c>
      <c r="Z15" s="38">
        <f t="shared" si="0"/>
        <v>11902.9995</v>
      </c>
      <c r="AA15" s="39"/>
      <c r="AB15" s="40"/>
      <c r="AC15" s="41">
        <f t="shared" si="1"/>
        <v>11902.9995</v>
      </c>
      <c r="AD15" s="19" t="s">
        <v>47</v>
      </c>
      <c r="AE15" s="19" t="s">
        <v>48</v>
      </c>
      <c r="AF15" s="19" t="s">
        <v>48</v>
      </c>
      <c r="AG15" s="34" t="s">
        <v>49</v>
      </c>
      <c r="AH15" s="42" t="s">
        <v>50</v>
      </c>
      <c r="AI15" s="42" t="s">
        <v>51</v>
      </c>
      <c r="AJ15" s="19" t="s">
        <v>52</v>
      </c>
      <c r="AK15" s="19"/>
      <c r="AL15" s="43"/>
    </row>
    <row r="16" spans="1:38" ht="14.25" customHeight="1">
      <c r="A16" s="30"/>
      <c r="B16" s="31" t="s">
        <v>39</v>
      </c>
      <c r="C16" s="19"/>
      <c r="D16" s="32">
        <v>2021</v>
      </c>
      <c r="E16" s="19"/>
      <c r="F16" s="19"/>
      <c r="G16" s="33">
        <v>44589</v>
      </c>
      <c r="H16" s="19" t="s">
        <v>40</v>
      </c>
      <c r="I16" s="19" t="s">
        <v>41</v>
      </c>
      <c r="J16" s="34">
        <v>44291</v>
      </c>
      <c r="K16" s="34"/>
      <c r="L16" s="34"/>
      <c r="M16" s="34"/>
      <c r="N16" s="34"/>
      <c r="O16" s="34"/>
      <c r="P16" s="19"/>
      <c r="Q16" s="19"/>
      <c r="R16" s="77" t="s">
        <v>69</v>
      </c>
      <c r="S16" s="77" t="s">
        <v>77</v>
      </c>
      <c r="T16" s="77" t="s">
        <v>78</v>
      </c>
      <c r="U16" s="19" t="s">
        <v>72</v>
      </c>
      <c r="V16" s="19"/>
      <c r="W16" s="36"/>
      <c r="X16" s="36">
        <v>2250</v>
      </c>
      <c r="Y16" s="37">
        <v>2.12</v>
      </c>
      <c r="Z16" s="38">
        <f t="shared" si="0"/>
        <v>4770</v>
      </c>
      <c r="AA16" s="39"/>
      <c r="AB16" s="40"/>
      <c r="AC16" s="41">
        <f t="shared" si="1"/>
        <v>4770</v>
      </c>
      <c r="AD16" s="19" t="s">
        <v>47</v>
      </c>
      <c r="AE16" s="19" t="s">
        <v>48</v>
      </c>
      <c r="AF16" s="19" t="s">
        <v>48</v>
      </c>
      <c r="AG16" s="34" t="s">
        <v>49</v>
      </c>
      <c r="AH16" s="42" t="s">
        <v>50</v>
      </c>
      <c r="AI16" s="42" t="s">
        <v>51</v>
      </c>
      <c r="AJ16" s="19" t="s">
        <v>52</v>
      </c>
      <c r="AK16" s="19"/>
      <c r="AL16" s="43"/>
    </row>
    <row r="17" spans="1:38" ht="14.25" customHeight="1">
      <c r="A17" s="30"/>
      <c r="B17" s="31" t="s">
        <v>39</v>
      </c>
      <c r="C17" s="19"/>
      <c r="D17" s="32">
        <v>2021</v>
      </c>
      <c r="E17" s="19"/>
      <c r="F17" s="19"/>
      <c r="G17" s="33">
        <v>44589</v>
      </c>
      <c r="H17" s="19" t="s">
        <v>40</v>
      </c>
      <c r="I17" s="19" t="s">
        <v>41</v>
      </c>
      <c r="J17" s="34">
        <v>44291</v>
      </c>
      <c r="K17" s="34"/>
      <c r="L17" s="34"/>
      <c r="M17" s="34"/>
      <c r="N17" s="34"/>
      <c r="O17" s="34"/>
      <c r="P17" s="19"/>
      <c r="Q17" s="19"/>
      <c r="R17" s="77" t="s">
        <v>69</v>
      </c>
      <c r="S17" s="77" t="s">
        <v>79</v>
      </c>
      <c r="T17" s="77" t="s">
        <v>80</v>
      </c>
      <c r="U17" s="19" t="s">
        <v>72</v>
      </c>
      <c r="V17" s="19"/>
      <c r="W17" s="36"/>
      <c r="X17" s="36">
        <v>2250</v>
      </c>
      <c r="Y17" s="37">
        <v>1.06</v>
      </c>
      <c r="Z17" s="38">
        <f t="shared" si="0"/>
        <v>2385</v>
      </c>
      <c r="AA17" s="39"/>
      <c r="AB17" s="40"/>
      <c r="AC17" s="41">
        <f t="shared" si="1"/>
        <v>2385</v>
      </c>
      <c r="AD17" s="19" t="s">
        <v>47</v>
      </c>
      <c r="AE17" s="19" t="s">
        <v>48</v>
      </c>
      <c r="AF17" s="19" t="s">
        <v>48</v>
      </c>
      <c r="AG17" s="34" t="s">
        <v>49</v>
      </c>
      <c r="AH17" s="42" t="s">
        <v>50</v>
      </c>
      <c r="AI17" s="42" t="s">
        <v>51</v>
      </c>
      <c r="AJ17" s="19" t="s">
        <v>52</v>
      </c>
      <c r="AK17" s="19"/>
      <c r="AL17" s="43"/>
    </row>
    <row r="18" spans="1:38" ht="14.25" customHeight="1">
      <c r="A18" s="30"/>
      <c r="B18" s="31" t="s">
        <v>39</v>
      </c>
      <c r="C18" s="19"/>
      <c r="D18" s="32">
        <v>2021</v>
      </c>
      <c r="E18" s="19"/>
      <c r="F18" s="19"/>
      <c r="G18" s="33">
        <v>44589</v>
      </c>
      <c r="H18" s="19" t="s">
        <v>40</v>
      </c>
      <c r="I18" s="19" t="s">
        <v>41</v>
      </c>
      <c r="J18" s="34">
        <v>44291</v>
      </c>
      <c r="K18" s="34"/>
      <c r="L18" s="34"/>
      <c r="M18" s="34"/>
      <c r="N18" s="34"/>
      <c r="O18" s="34"/>
      <c r="P18" s="19"/>
      <c r="Q18" s="19"/>
      <c r="R18" s="79" t="s">
        <v>81</v>
      </c>
      <c r="S18" s="79" t="s">
        <v>82</v>
      </c>
      <c r="T18" s="79" t="s">
        <v>83</v>
      </c>
      <c r="U18" s="19" t="s">
        <v>72</v>
      </c>
      <c r="V18" s="19"/>
      <c r="W18" s="36"/>
      <c r="X18" s="36">
        <v>1</v>
      </c>
      <c r="Y18" s="37">
        <v>2000</v>
      </c>
      <c r="Z18" s="38">
        <f t="shared" si="0"/>
        <v>2000</v>
      </c>
      <c r="AA18" s="80">
        <v>5.5625000000000001E-2</v>
      </c>
      <c r="AB18" s="40">
        <f>Z18*AA18</f>
        <v>111.25</v>
      </c>
      <c r="AC18" s="41">
        <f t="shared" si="1"/>
        <v>2111.25</v>
      </c>
      <c r="AD18" s="19" t="s">
        <v>47</v>
      </c>
      <c r="AE18" s="19" t="s">
        <v>48</v>
      </c>
      <c r="AF18" s="19" t="s">
        <v>48</v>
      </c>
      <c r="AG18" s="34" t="s">
        <v>49</v>
      </c>
      <c r="AH18" s="42" t="s">
        <v>50</v>
      </c>
      <c r="AI18" s="42" t="s">
        <v>51</v>
      </c>
      <c r="AJ18" s="19" t="s">
        <v>52</v>
      </c>
      <c r="AK18" s="19"/>
      <c r="AL18" s="43"/>
    </row>
    <row r="19" spans="1:38" ht="14.25" customHeight="1" thickBot="1">
      <c r="A19" s="61"/>
      <c r="B19" s="62" t="s">
        <v>39</v>
      </c>
      <c r="C19" s="49"/>
      <c r="D19" s="63">
        <v>2021</v>
      </c>
      <c r="E19" s="49"/>
      <c r="F19" s="49"/>
      <c r="G19" s="74">
        <v>44589</v>
      </c>
      <c r="H19" s="49" t="s">
        <v>40</v>
      </c>
      <c r="I19" s="49" t="s">
        <v>41</v>
      </c>
      <c r="J19" s="64">
        <v>44291</v>
      </c>
      <c r="K19" s="64"/>
      <c r="L19" s="64"/>
      <c r="M19" s="64"/>
      <c r="N19" s="64"/>
      <c r="O19" s="64"/>
      <c r="P19" s="49"/>
      <c r="Q19" s="49"/>
      <c r="R19" s="81" t="s">
        <v>69</v>
      </c>
      <c r="S19" s="81" t="s">
        <v>84</v>
      </c>
      <c r="T19" s="81" t="s">
        <v>85</v>
      </c>
      <c r="U19" s="49" t="s">
        <v>72</v>
      </c>
      <c r="V19" s="49"/>
      <c r="W19" s="65"/>
      <c r="X19" s="65">
        <v>2</v>
      </c>
      <c r="Y19" s="66">
        <v>3000</v>
      </c>
      <c r="Z19" s="67">
        <f t="shared" si="0"/>
        <v>6000</v>
      </c>
      <c r="AA19" s="68"/>
      <c r="AB19" s="69"/>
      <c r="AC19" s="70">
        <f t="shared" si="1"/>
        <v>6000</v>
      </c>
      <c r="AD19" s="49" t="s">
        <v>47</v>
      </c>
      <c r="AE19" s="49" t="s">
        <v>48</v>
      </c>
      <c r="AF19" s="49" t="s">
        <v>48</v>
      </c>
      <c r="AG19" s="64" t="s">
        <v>49</v>
      </c>
      <c r="AH19" s="71" t="s">
        <v>50</v>
      </c>
      <c r="AI19" s="71" t="s">
        <v>51</v>
      </c>
      <c r="AJ19" s="49" t="s">
        <v>52</v>
      </c>
      <c r="AK19" s="49"/>
      <c r="AL19" s="72"/>
    </row>
    <row r="20" spans="1:38" ht="14.25" customHeight="1">
      <c r="A20" s="14" t="s">
        <v>86</v>
      </c>
      <c r="B20" s="15"/>
      <c r="C20" s="16" t="s">
        <v>87</v>
      </c>
      <c r="D20" s="17">
        <v>2021</v>
      </c>
      <c r="E20" s="16">
        <v>8</v>
      </c>
      <c r="F20" s="16">
        <v>124445</v>
      </c>
      <c r="G20" s="18">
        <v>44439</v>
      </c>
      <c r="H20" s="16" t="s">
        <v>40</v>
      </c>
      <c r="I20" s="16" t="s">
        <v>41</v>
      </c>
      <c r="J20" s="20">
        <v>44291</v>
      </c>
      <c r="K20" s="20"/>
      <c r="L20" s="20"/>
      <c r="M20" s="20">
        <v>44379</v>
      </c>
      <c r="N20" s="20">
        <v>44438</v>
      </c>
      <c r="O20" s="20">
        <v>44439</v>
      </c>
      <c r="P20" s="16" t="s">
        <v>88</v>
      </c>
      <c r="Q20" s="16">
        <v>72</v>
      </c>
      <c r="R20" s="16"/>
      <c r="S20" s="16" t="s">
        <v>89</v>
      </c>
      <c r="T20" s="16" t="s">
        <v>90</v>
      </c>
      <c r="U20" s="16" t="s">
        <v>91</v>
      </c>
      <c r="V20" s="16">
        <v>450</v>
      </c>
      <c r="W20" s="22"/>
      <c r="X20" s="22">
        <v>3480</v>
      </c>
      <c r="Y20" s="23">
        <v>162</v>
      </c>
      <c r="Z20" s="24">
        <f t="shared" si="0"/>
        <v>563760</v>
      </c>
      <c r="AA20" s="25">
        <v>5.5625000000000001E-2</v>
      </c>
      <c r="AB20" s="26">
        <f>Z20*AA20</f>
        <v>31359.15</v>
      </c>
      <c r="AC20" s="27">
        <f t="shared" si="1"/>
        <v>595119.15</v>
      </c>
      <c r="AD20" s="16" t="s">
        <v>47</v>
      </c>
      <c r="AE20" s="16" t="s">
        <v>48</v>
      </c>
      <c r="AF20" s="16" t="s">
        <v>48</v>
      </c>
      <c r="AG20" s="20" t="s">
        <v>49</v>
      </c>
      <c r="AH20" s="28" t="s">
        <v>50</v>
      </c>
      <c r="AI20" s="28" t="s">
        <v>51</v>
      </c>
      <c r="AJ20" s="16" t="s">
        <v>52</v>
      </c>
      <c r="AK20" s="16" t="s">
        <v>50</v>
      </c>
      <c r="AL20" s="29" t="s">
        <v>92</v>
      </c>
    </row>
    <row r="21" spans="1:38" ht="14.25" customHeight="1">
      <c r="A21" s="30" t="s">
        <v>86</v>
      </c>
      <c r="B21" s="31" t="s">
        <v>93</v>
      </c>
      <c r="C21" s="19" t="s">
        <v>87</v>
      </c>
      <c r="D21" s="32">
        <v>2021</v>
      </c>
      <c r="E21" s="19">
        <v>9</v>
      </c>
      <c r="F21" s="19">
        <v>124784</v>
      </c>
      <c r="G21" s="33">
        <v>44466</v>
      </c>
      <c r="H21" s="19" t="s">
        <v>40</v>
      </c>
      <c r="I21" s="19" t="s">
        <v>41</v>
      </c>
      <c r="J21" s="34">
        <v>44291</v>
      </c>
      <c r="K21" s="34"/>
      <c r="L21" s="34"/>
      <c r="M21" s="34">
        <v>44379</v>
      </c>
      <c r="N21" s="34"/>
      <c r="O21" s="34"/>
      <c r="P21" s="19" t="s">
        <v>88</v>
      </c>
      <c r="Q21" s="19">
        <v>72</v>
      </c>
      <c r="R21" s="19"/>
      <c r="S21" s="19" t="s">
        <v>89</v>
      </c>
      <c r="T21" s="19" t="s">
        <v>90</v>
      </c>
      <c r="U21" s="19" t="s">
        <v>91</v>
      </c>
      <c r="V21" s="19">
        <v>450</v>
      </c>
      <c r="W21" s="36"/>
      <c r="X21" s="36">
        <v>1740</v>
      </c>
      <c r="Y21" s="37">
        <v>162</v>
      </c>
      <c r="Z21" s="38">
        <f t="shared" si="0"/>
        <v>281880</v>
      </c>
      <c r="AA21" s="80">
        <v>5.5625000000000001E-2</v>
      </c>
      <c r="AB21" s="40">
        <f>Z21*AA21</f>
        <v>15679.575000000001</v>
      </c>
      <c r="AC21" s="41">
        <f t="shared" si="1"/>
        <v>297559.57500000001</v>
      </c>
      <c r="AD21" s="19" t="s">
        <v>47</v>
      </c>
      <c r="AE21" s="19" t="s">
        <v>48</v>
      </c>
      <c r="AF21" s="19" t="s">
        <v>48</v>
      </c>
      <c r="AG21" s="34" t="s">
        <v>49</v>
      </c>
      <c r="AH21" s="42" t="s">
        <v>50</v>
      </c>
      <c r="AI21" s="42" t="s">
        <v>51</v>
      </c>
      <c r="AJ21" s="19" t="s">
        <v>52</v>
      </c>
      <c r="AK21" s="19"/>
      <c r="AL21" s="43" t="s">
        <v>92</v>
      </c>
    </row>
    <row r="22" spans="1:38" ht="14.25" customHeight="1">
      <c r="A22" s="30" t="s">
        <v>86</v>
      </c>
      <c r="B22" s="31" t="s">
        <v>93</v>
      </c>
      <c r="C22" s="19" t="s">
        <v>87</v>
      </c>
      <c r="D22" s="32">
        <v>2021</v>
      </c>
      <c r="E22" s="19">
        <v>9</v>
      </c>
      <c r="F22" s="19">
        <v>125158</v>
      </c>
      <c r="G22" s="33">
        <v>44482</v>
      </c>
      <c r="H22" s="19" t="s">
        <v>40</v>
      </c>
      <c r="I22" s="19" t="s">
        <v>41</v>
      </c>
      <c r="J22" s="34">
        <v>44291</v>
      </c>
      <c r="K22" s="34"/>
      <c r="L22" s="34"/>
      <c r="M22" s="34">
        <v>44379</v>
      </c>
      <c r="N22" s="34"/>
      <c r="O22" s="34"/>
      <c r="P22" s="19" t="s">
        <v>88</v>
      </c>
      <c r="Q22" s="19">
        <v>72</v>
      </c>
      <c r="R22" s="19"/>
      <c r="S22" s="19" t="s">
        <v>89</v>
      </c>
      <c r="T22" s="19" t="s">
        <v>90</v>
      </c>
      <c r="U22" s="19" t="s">
        <v>91</v>
      </c>
      <c r="V22" s="19">
        <v>450</v>
      </c>
      <c r="W22" s="36"/>
      <c r="X22" s="36">
        <v>2668</v>
      </c>
      <c r="Y22" s="37">
        <v>162</v>
      </c>
      <c r="Z22" s="38">
        <f t="shared" si="0"/>
        <v>432216</v>
      </c>
      <c r="AA22" s="80">
        <v>5.5625000000000001E-2</v>
      </c>
      <c r="AB22" s="40">
        <f>Z22*AA22</f>
        <v>24042.014999999999</v>
      </c>
      <c r="AC22" s="41">
        <f t="shared" si="1"/>
        <v>456258.01500000001</v>
      </c>
      <c r="AD22" s="19" t="s">
        <v>47</v>
      </c>
      <c r="AE22" s="19" t="s">
        <v>48</v>
      </c>
      <c r="AF22" s="19" t="s">
        <v>48</v>
      </c>
      <c r="AG22" s="34" t="s">
        <v>49</v>
      </c>
      <c r="AH22" s="42" t="s">
        <v>50</v>
      </c>
      <c r="AI22" s="42" t="s">
        <v>51</v>
      </c>
      <c r="AJ22" s="19" t="s">
        <v>52</v>
      </c>
      <c r="AK22" s="19"/>
      <c r="AL22" s="43" t="s">
        <v>92</v>
      </c>
    </row>
    <row r="23" spans="1:38" ht="14.25" customHeight="1" thickBot="1">
      <c r="A23" s="61" t="s">
        <v>86</v>
      </c>
      <c r="B23" s="62" t="s">
        <v>94</v>
      </c>
      <c r="C23" s="49" t="s">
        <v>87</v>
      </c>
      <c r="D23" s="63">
        <v>2021</v>
      </c>
      <c r="E23" s="49">
        <v>9</v>
      </c>
      <c r="F23" s="49">
        <v>1253662</v>
      </c>
      <c r="G23" s="74">
        <v>44502</v>
      </c>
      <c r="H23" s="49" t="s">
        <v>40</v>
      </c>
      <c r="I23" s="49" t="s">
        <v>41</v>
      </c>
      <c r="J23" s="64">
        <v>44291</v>
      </c>
      <c r="K23" s="64"/>
      <c r="L23" s="64"/>
      <c r="M23" s="64">
        <v>44379</v>
      </c>
      <c r="N23" s="64"/>
      <c r="O23" s="64"/>
      <c r="P23" s="49" t="s">
        <v>88</v>
      </c>
      <c r="Q23" s="49">
        <v>72</v>
      </c>
      <c r="R23" s="49"/>
      <c r="S23" s="49" t="s">
        <v>89</v>
      </c>
      <c r="T23" s="49" t="s">
        <v>90</v>
      </c>
      <c r="U23" s="49" t="s">
        <v>91</v>
      </c>
      <c r="V23" s="49">
        <v>450</v>
      </c>
      <c r="W23" s="65"/>
      <c r="X23" s="65">
        <v>1015</v>
      </c>
      <c r="Y23" s="66">
        <v>162</v>
      </c>
      <c r="Z23" s="67">
        <f t="shared" si="0"/>
        <v>164430</v>
      </c>
      <c r="AA23" s="82">
        <v>5.5625000000000001E-2</v>
      </c>
      <c r="AB23" s="69">
        <f>Z23*AA23</f>
        <v>9146.4187500000007</v>
      </c>
      <c r="AC23" s="70">
        <f t="shared" si="1"/>
        <v>173576.41875000001</v>
      </c>
      <c r="AD23" s="49" t="s">
        <v>47</v>
      </c>
      <c r="AE23" s="49" t="s">
        <v>48</v>
      </c>
      <c r="AF23" s="49" t="s">
        <v>48</v>
      </c>
      <c r="AG23" s="64" t="s">
        <v>49</v>
      </c>
      <c r="AH23" s="71" t="s">
        <v>50</v>
      </c>
      <c r="AI23" s="71" t="s">
        <v>51</v>
      </c>
      <c r="AJ23" s="49" t="s">
        <v>52</v>
      </c>
      <c r="AK23" s="49"/>
      <c r="AL23" s="72" t="s">
        <v>92</v>
      </c>
    </row>
    <row r="24" spans="1:38" ht="14.25" customHeight="1" thickBot="1">
      <c r="A24" s="83"/>
      <c r="B24" s="84" t="s">
        <v>39</v>
      </c>
      <c r="C24" s="85"/>
      <c r="D24" s="86">
        <v>2021</v>
      </c>
      <c r="E24" s="85"/>
      <c r="F24" s="85"/>
      <c r="G24" s="87"/>
      <c r="H24" s="49" t="s">
        <v>40</v>
      </c>
      <c r="I24" s="85" t="s">
        <v>41</v>
      </c>
      <c r="J24" s="88">
        <v>44291</v>
      </c>
      <c r="K24" s="88"/>
      <c r="L24" s="88"/>
      <c r="M24" s="88"/>
      <c r="N24" s="88"/>
      <c r="O24" s="88"/>
      <c r="P24" s="85"/>
      <c r="Q24" s="85"/>
      <c r="R24" s="85"/>
      <c r="S24" s="85" t="s">
        <v>84</v>
      </c>
      <c r="T24" s="85" t="s">
        <v>95</v>
      </c>
      <c r="U24" s="85" t="s">
        <v>91</v>
      </c>
      <c r="V24" s="85"/>
      <c r="W24" s="89"/>
      <c r="X24" s="89">
        <v>1</v>
      </c>
      <c r="Y24" s="90">
        <v>43626</v>
      </c>
      <c r="Z24" s="91">
        <f t="shared" si="0"/>
        <v>43626</v>
      </c>
      <c r="AA24" s="92"/>
      <c r="AB24" s="93"/>
      <c r="AC24" s="94">
        <f t="shared" si="1"/>
        <v>43626</v>
      </c>
      <c r="AD24" s="85" t="s">
        <v>47</v>
      </c>
      <c r="AE24" s="85" t="s">
        <v>48</v>
      </c>
      <c r="AF24" s="85" t="s">
        <v>96</v>
      </c>
      <c r="AG24" s="88" t="s">
        <v>49</v>
      </c>
      <c r="AH24" s="95" t="s">
        <v>50</v>
      </c>
      <c r="AI24" s="95" t="s">
        <v>51</v>
      </c>
      <c r="AJ24" s="85" t="s">
        <v>52</v>
      </c>
      <c r="AK24" s="85"/>
      <c r="AL24" s="96"/>
    </row>
    <row r="26" spans="1:38" ht="13.5" customHeight="1">
      <c r="A26" s="5" t="s">
        <v>1</v>
      </c>
      <c r="B26" s="5" t="s">
        <v>2</v>
      </c>
      <c r="C26" s="6" t="s">
        <v>3</v>
      </c>
      <c r="D26" s="7" t="s">
        <v>4</v>
      </c>
      <c r="E26" s="7" t="s">
        <v>5</v>
      </c>
      <c r="F26" s="5" t="s">
        <v>6</v>
      </c>
      <c r="G26" s="8" t="s">
        <v>7</v>
      </c>
      <c r="H26" s="5" t="s">
        <v>8</v>
      </c>
      <c r="I26" s="5" t="s">
        <v>9</v>
      </c>
      <c r="J26" s="8" t="s">
        <v>10</v>
      </c>
      <c r="K26" s="8" t="s">
        <v>11</v>
      </c>
      <c r="L26" s="9" t="s">
        <v>12</v>
      </c>
      <c r="M26" s="8" t="s">
        <v>13</v>
      </c>
      <c r="N26" s="8" t="s">
        <v>14</v>
      </c>
      <c r="O26" s="8" t="s">
        <v>15</v>
      </c>
      <c r="P26" s="5" t="s">
        <v>16</v>
      </c>
      <c r="Q26" s="5" t="s">
        <v>17</v>
      </c>
      <c r="R26" s="5" t="s">
        <v>18</v>
      </c>
      <c r="S26" s="5" t="s">
        <v>19</v>
      </c>
      <c r="T26" s="5" t="s">
        <v>20</v>
      </c>
      <c r="U26" s="5" t="s">
        <v>21</v>
      </c>
      <c r="V26" s="5" t="s">
        <v>22</v>
      </c>
      <c r="W26" s="6" t="s">
        <v>23</v>
      </c>
      <c r="X26" s="6" t="s">
        <v>24</v>
      </c>
      <c r="Y26" s="10" t="s">
        <v>25</v>
      </c>
      <c r="Z26" s="11" t="s">
        <v>26</v>
      </c>
      <c r="AA26" s="12" t="s">
        <v>27</v>
      </c>
      <c r="AB26" s="13" t="s">
        <v>28</v>
      </c>
      <c r="AC26" s="13" t="s">
        <v>29</v>
      </c>
      <c r="AD26" s="13" t="s">
        <v>30</v>
      </c>
      <c r="AE26" s="13" t="s">
        <v>31</v>
      </c>
      <c r="AF26" s="13" t="s">
        <v>32</v>
      </c>
      <c r="AG26" s="11" t="s">
        <v>33</v>
      </c>
      <c r="AH26" s="11" t="s">
        <v>34</v>
      </c>
      <c r="AI26" s="11" t="s">
        <v>35</v>
      </c>
      <c r="AJ26" s="11" t="s">
        <v>36</v>
      </c>
      <c r="AK26" s="5" t="s">
        <v>37</v>
      </c>
      <c r="AL26" s="5" t="s">
        <v>38</v>
      </c>
    </row>
    <row r="27" spans="1:38" ht="14.25" customHeight="1">
      <c r="A27" s="30"/>
      <c r="B27" s="31"/>
      <c r="C27" s="19"/>
      <c r="D27" s="32">
        <v>2021</v>
      </c>
      <c r="E27" s="19"/>
      <c r="F27" s="19"/>
      <c r="G27" s="33"/>
      <c r="H27" s="19">
        <v>830</v>
      </c>
      <c r="I27" s="19" t="s">
        <v>97</v>
      </c>
      <c r="J27" s="34">
        <v>44350</v>
      </c>
      <c r="K27" s="34"/>
      <c r="L27" s="34"/>
      <c r="M27" s="34"/>
      <c r="N27" s="34"/>
      <c r="O27" s="34"/>
      <c r="P27" s="19"/>
      <c r="Q27" s="19"/>
      <c r="R27" s="19"/>
      <c r="S27" s="19" t="s">
        <v>98</v>
      </c>
      <c r="T27" s="19" t="s">
        <v>99</v>
      </c>
      <c r="U27" s="19" t="s">
        <v>100</v>
      </c>
      <c r="V27" s="19">
        <v>250</v>
      </c>
      <c r="W27" s="36">
        <v>559</v>
      </c>
      <c r="X27" s="36">
        <v>1</v>
      </c>
      <c r="Y27" s="37">
        <v>279131.28999999998</v>
      </c>
      <c r="Z27" s="38">
        <f t="shared" si="0"/>
        <v>279131.28999999998</v>
      </c>
      <c r="AA27" s="97">
        <v>8.7499999999999994E-2</v>
      </c>
      <c r="AB27" s="37">
        <f t="shared" ref="AB27:AB58" si="2">Z27*AA27</f>
        <v>24423.987874999995</v>
      </c>
      <c r="AC27" s="41">
        <f t="shared" si="1"/>
        <v>303555.27787499997</v>
      </c>
      <c r="AD27" s="19" t="s">
        <v>47</v>
      </c>
      <c r="AE27" s="19">
        <v>90</v>
      </c>
      <c r="AF27" s="19" t="s">
        <v>101</v>
      </c>
      <c r="AG27" s="34" t="s">
        <v>102</v>
      </c>
      <c r="AH27" s="42" t="s">
        <v>50</v>
      </c>
      <c r="AI27" s="42" t="s">
        <v>103</v>
      </c>
      <c r="AJ27" s="19" t="s">
        <v>52</v>
      </c>
      <c r="AK27" s="19"/>
      <c r="AL27" s="43"/>
    </row>
    <row r="28" spans="1:38" ht="14.25" customHeight="1">
      <c r="A28" s="30"/>
      <c r="B28" s="31"/>
      <c r="C28" s="19"/>
      <c r="D28" s="32">
        <v>2021</v>
      </c>
      <c r="E28" s="19"/>
      <c r="F28" s="19"/>
      <c r="G28" s="33"/>
      <c r="H28" s="19">
        <v>830</v>
      </c>
      <c r="I28" s="19" t="s">
        <v>97</v>
      </c>
      <c r="J28" s="34">
        <v>44350</v>
      </c>
      <c r="K28" s="34"/>
      <c r="L28" s="34"/>
      <c r="M28" s="34"/>
      <c r="N28" s="34"/>
      <c r="O28" s="34"/>
      <c r="P28" s="19"/>
      <c r="Q28" s="19"/>
      <c r="R28" s="19"/>
      <c r="S28" s="19" t="s">
        <v>104</v>
      </c>
      <c r="T28" s="19" t="s">
        <v>105</v>
      </c>
      <c r="U28" s="19"/>
      <c r="V28" s="19"/>
      <c r="W28" s="36"/>
      <c r="X28" s="36">
        <v>1</v>
      </c>
      <c r="Y28" s="37">
        <v>5220</v>
      </c>
      <c r="Z28" s="38">
        <f t="shared" si="0"/>
        <v>5220</v>
      </c>
      <c r="AA28" s="97">
        <v>8.7499999999999994E-2</v>
      </c>
      <c r="AB28" s="37">
        <f t="shared" si="2"/>
        <v>456.74999999999994</v>
      </c>
      <c r="AC28" s="41">
        <f t="shared" si="1"/>
        <v>5676.75</v>
      </c>
      <c r="AD28" s="19" t="s">
        <v>47</v>
      </c>
      <c r="AE28" s="19">
        <v>90</v>
      </c>
      <c r="AF28" s="19" t="s">
        <v>101</v>
      </c>
      <c r="AG28" s="34" t="s">
        <v>102</v>
      </c>
      <c r="AH28" s="42" t="s">
        <v>50</v>
      </c>
      <c r="AI28" s="42" t="s">
        <v>103</v>
      </c>
      <c r="AJ28" s="19" t="s">
        <v>52</v>
      </c>
      <c r="AK28" s="19"/>
      <c r="AL28" s="43"/>
    </row>
    <row r="29" spans="1:38" ht="14.25" customHeight="1">
      <c r="A29" s="30"/>
      <c r="B29" s="31"/>
      <c r="C29" s="19"/>
      <c r="D29" s="32">
        <v>2021</v>
      </c>
      <c r="E29" s="19"/>
      <c r="F29" s="19"/>
      <c r="G29" s="33"/>
      <c r="H29" s="19">
        <v>830</v>
      </c>
      <c r="I29" s="19" t="s">
        <v>97</v>
      </c>
      <c r="J29" s="34">
        <v>44350</v>
      </c>
      <c r="K29" s="34"/>
      <c r="L29" s="34"/>
      <c r="M29" s="34"/>
      <c r="N29" s="34"/>
      <c r="O29" s="34"/>
      <c r="P29" s="19"/>
      <c r="Q29" s="19"/>
      <c r="R29" s="19"/>
      <c r="S29" s="98" t="s">
        <v>106</v>
      </c>
      <c r="T29" s="19" t="s">
        <v>107</v>
      </c>
      <c r="U29" s="19"/>
      <c r="V29" s="19"/>
      <c r="W29" s="36"/>
      <c r="X29" s="36">
        <v>1</v>
      </c>
      <c r="Y29" s="37">
        <v>8982</v>
      </c>
      <c r="Z29" s="38">
        <f t="shared" si="0"/>
        <v>8982</v>
      </c>
      <c r="AA29" s="97">
        <v>8.7499999999999994E-2</v>
      </c>
      <c r="AB29" s="37">
        <f t="shared" si="2"/>
        <v>785.92499999999995</v>
      </c>
      <c r="AC29" s="41">
        <f t="shared" si="1"/>
        <v>9767.9249999999993</v>
      </c>
      <c r="AD29" s="19" t="s">
        <v>47</v>
      </c>
      <c r="AE29" s="19">
        <v>90</v>
      </c>
      <c r="AF29" s="19" t="s">
        <v>101</v>
      </c>
      <c r="AG29" s="34" t="s">
        <v>102</v>
      </c>
      <c r="AH29" s="42" t="s">
        <v>50</v>
      </c>
      <c r="AI29" s="42" t="s">
        <v>103</v>
      </c>
      <c r="AJ29" s="19" t="s">
        <v>52</v>
      </c>
      <c r="AK29" s="19"/>
      <c r="AL29" s="43"/>
    </row>
    <row r="30" spans="1:38" ht="14.25" customHeight="1">
      <c r="A30" s="30"/>
      <c r="B30" s="31"/>
      <c r="C30" s="19"/>
      <c r="D30" s="32">
        <v>2021</v>
      </c>
      <c r="E30" s="19"/>
      <c r="F30" s="19"/>
      <c r="G30" s="33"/>
      <c r="H30" s="19">
        <v>830</v>
      </c>
      <c r="I30" s="19" t="s">
        <v>97</v>
      </c>
      <c r="J30" s="34">
        <v>44350</v>
      </c>
      <c r="K30" s="34"/>
      <c r="L30" s="34"/>
      <c r="M30" s="34"/>
      <c r="N30" s="34"/>
      <c r="O30" s="34"/>
      <c r="P30" s="19"/>
      <c r="Q30" s="19"/>
      <c r="R30" s="19"/>
      <c r="S30" s="98"/>
      <c r="T30" s="19" t="s">
        <v>108</v>
      </c>
      <c r="U30" s="19"/>
      <c r="V30" s="19"/>
      <c r="W30" s="36"/>
      <c r="X30" s="36">
        <v>1</v>
      </c>
      <c r="Y30" s="37">
        <v>15120</v>
      </c>
      <c r="Z30" s="38">
        <f t="shared" si="0"/>
        <v>15120</v>
      </c>
      <c r="AA30" s="97">
        <v>8.7499999999999994E-2</v>
      </c>
      <c r="AB30" s="37">
        <f t="shared" si="2"/>
        <v>1323</v>
      </c>
      <c r="AC30" s="41">
        <f t="shared" si="1"/>
        <v>16443</v>
      </c>
      <c r="AD30" s="19" t="s">
        <v>47</v>
      </c>
      <c r="AE30" s="19">
        <v>90</v>
      </c>
      <c r="AF30" s="19" t="s">
        <v>101</v>
      </c>
      <c r="AG30" s="34" t="s">
        <v>102</v>
      </c>
      <c r="AH30" s="42" t="s">
        <v>50</v>
      </c>
      <c r="AI30" s="42" t="s">
        <v>103</v>
      </c>
      <c r="AJ30" s="19" t="s">
        <v>52</v>
      </c>
      <c r="AK30" s="19"/>
      <c r="AL30" s="43"/>
    </row>
    <row r="31" spans="1:38" ht="14.25" customHeight="1">
      <c r="A31" s="30"/>
      <c r="B31" s="31"/>
      <c r="C31" s="19"/>
      <c r="D31" s="32">
        <v>2021</v>
      </c>
      <c r="E31" s="19"/>
      <c r="F31" s="19"/>
      <c r="G31" s="33"/>
      <c r="H31" s="19">
        <v>830</v>
      </c>
      <c r="I31" s="19" t="s">
        <v>97</v>
      </c>
      <c r="J31" s="34">
        <v>44350</v>
      </c>
      <c r="K31" s="34"/>
      <c r="L31" s="34"/>
      <c r="M31" s="34"/>
      <c r="N31" s="34"/>
      <c r="O31" s="34"/>
      <c r="P31" s="19"/>
      <c r="Q31" s="19"/>
      <c r="R31" s="19"/>
      <c r="S31" s="98"/>
      <c r="T31" s="19" t="s">
        <v>109</v>
      </c>
      <c r="U31" s="19" t="s">
        <v>72</v>
      </c>
      <c r="V31" s="19"/>
      <c r="W31" s="36"/>
      <c r="X31" s="36">
        <v>1</v>
      </c>
      <c r="Y31" s="37">
        <v>6270</v>
      </c>
      <c r="Z31" s="38">
        <f t="shared" si="0"/>
        <v>6270</v>
      </c>
      <c r="AA31" s="97">
        <v>8.7499999999999994E-2</v>
      </c>
      <c r="AB31" s="37">
        <f t="shared" si="2"/>
        <v>548.625</v>
      </c>
      <c r="AC31" s="41">
        <f t="shared" si="1"/>
        <v>6818.625</v>
      </c>
      <c r="AD31" s="19" t="s">
        <v>47</v>
      </c>
      <c r="AE31" s="19">
        <v>90</v>
      </c>
      <c r="AF31" s="19" t="s">
        <v>101</v>
      </c>
      <c r="AG31" s="34" t="s">
        <v>102</v>
      </c>
      <c r="AH31" s="42" t="s">
        <v>50</v>
      </c>
      <c r="AI31" s="42" t="s">
        <v>103</v>
      </c>
      <c r="AJ31" s="19" t="s">
        <v>52</v>
      </c>
      <c r="AK31" s="19"/>
      <c r="AL31" s="43"/>
    </row>
    <row r="33" spans="1:38" ht="13.5" customHeight="1" thickBot="1">
      <c r="A33" s="5" t="s">
        <v>1</v>
      </c>
      <c r="B33" s="5" t="s">
        <v>2</v>
      </c>
      <c r="C33" s="6" t="s">
        <v>3</v>
      </c>
      <c r="D33" s="7" t="s">
        <v>4</v>
      </c>
      <c r="E33" s="7" t="s">
        <v>5</v>
      </c>
      <c r="F33" s="5" t="s">
        <v>6</v>
      </c>
      <c r="G33" s="8" t="s">
        <v>7</v>
      </c>
      <c r="H33" s="5" t="s">
        <v>8</v>
      </c>
      <c r="I33" s="5" t="s">
        <v>9</v>
      </c>
      <c r="J33" s="8" t="s">
        <v>10</v>
      </c>
      <c r="K33" s="8" t="s">
        <v>11</v>
      </c>
      <c r="L33" s="9" t="s">
        <v>12</v>
      </c>
      <c r="M33" s="8" t="s">
        <v>13</v>
      </c>
      <c r="N33" s="8" t="s">
        <v>14</v>
      </c>
      <c r="O33" s="8" t="s">
        <v>15</v>
      </c>
      <c r="P33" s="5" t="s">
        <v>16</v>
      </c>
      <c r="Q33" s="5" t="s">
        <v>17</v>
      </c>
      <c r="R33" s="5" t="s">
        <v>18</v>
      </c>
      <c r="S33" s="5" t="s">
        <v>19</v>
      </c>
      <c r="T33" s="5" t="s">
        <v>20</v>
      </c>
      <c r="U33" s="5" t="s">
        <v>21</v>
      </c>
      <c r="V33" s="5" t="s">
        <v>22</v>
      </c>
      <c r="W33" s="6" t="s">
        <v>23</v>
      </c>
      <c r="X33" s="6" t="s">
        <v>24</v>
      </c>
      <c r="Y33" s="10" t="s">
        <v>25</v>
      </c>
      <c r="Z33" s="11" t="s">
        <v>26</v>
      </c>
      <c r="AA33" s="12" t="s">
        <v>27</v>
      </c>
      <c r="AB33" s="13" t="s">
        <v>28</v>
      </c>
      <c r="AC33" s="13" t="s">
        <v>29</v>
      </c>
      <c r="AD33" s="13" t="s">
        <v>30</v>
      </c>
      <c r="AE33" s="13" t="s">
        <v>31</v>
      </c>
      <c r="AF33" s="13" t="s">
        <v>32</v>
      </c>
      <c r="AG33" s="11" t="s">
        <v>33</v>
      </c>
      <c r="AH33" s="11" t="s">
        <v>34</v>
      </c>
      <c r="AI33" s="11" t="s">
        <v>35</v>
      </c>
      <c r="AJ33" s="11" t="s">
        <v>36</v>
      </c>
      <c r="AK33" s="5" t="s">
        <v>37</v>
      </c>
      <c r="AL33" s="5" t="s">
        <v>38</v>
      </c>
    </row>
    <row r="34" spans="1:38" ht="14.25" customHeight="1">
      <c r="A34" s="14"/>
      <c r="B34" s="15" t="s">
        <v>110</v>
      </c>
      <c r="C34" s="16"/>
      <c r="D34" s="17">
        <v>2021</v>
      </c>
      <c r="E34" s="16"/>
      <c r="F34" s="16">
        <v>126205</v>
      </c>
      <c r="G34" s="18">
        <v>44546</v>
      </c>
      <c r="H34" s="16">
        <v>101501</v>
      </c>
      <c r="I34" s="16" t="s">
        <v>111</v>
      </c>
      <c r="J34" s="20">
        <v>44322</v>
      </c>
      <c r="K34" s="20"/>
      <c r="L34" s="20"/>
      <c r="M34" s="20"/>
      <c r="N34" s="20"/>
      <c r="O34" s="20"/>
      <c r="P34" s="16"/>
      <c r="Q34" s="16"/>
      <c r="R34" s="16" t="s">
        <v>59</v>
      </c>
      <c r="S34" s="99" t="s">
        <v>112</v>
      </c>
      <c r="T34" s="16" t="s">
        <v>113</v>
      </c>
      <c r="U34" s="16" t="s">
        <v>46</v>
      </c>
      <c r="V34" s="16">
        <v>250</v>
      </c>
      <c r="W34" s="22">
        <v>556</v>
      </c>
      <c r="X34" s="22">
        <v>1</v>
      </c>
      <c r="Y34" s="23">
        <v>213803</v>
      </c>
      <c r="Z34" s="100">
        <f t="shared" si="0"/>
        <v>213803</v>
      </c>
      <c r="AA34" s="101">
        <v>0.10249999999999999</v>
      </c>
      <c r="AB34" s="23">
        <f t="shared" si="2"/>
        <v>21914.807499999999</v>
      </c>
      <c r="AC34" s="27">
        <f t="shared" si="1"/>
        <v>235717.8075</v>
      </c>
      <c r="AD34" s="16" t="s">
        <v>47</v>
      </c>
      <c r="AE34" s="16">
        <v>100</v>
      </c>
      <c r="AF34" s="16" t="s">
        <v>114</v>
      </c>
      <c r="AG34" s="20" t="s">
        <v>115</v>
      </c>
      <c r="AH34" s="28" t="s">
        <v>50</v>
      </c>
      <c r="AI34" s="28" t="s">
        <v>116</v>
      </c>
      <c r="AJ34" s="16" t="s">
        <v>52</v>
      </c>
      <c r="AK34" s="16"/>
      <c r="AL34" s="29"/>
    </row>
    <row r="35" spans="1:38" ht="14.25" customHeight="1">
      <c r="A35" s="30"/>
      <c r="B35" s="31"/>
      <c r="C35" s="19"/>
      <c r="D35" s="32">
        <v>2021</v>
      </c>
      <c r="E35" s="19"/>
      <c r="F35" s="19">
        <v>126205</v>
      </c>
      <c r="G35" s="33">
        <v>44546</v>
      </c>
      <c r="H35" s="19">
        <v>101501</v>
      </c>
      <c r="I35" s="19" t="s">
        <v>111</v>
      </c>
      <c r="J35" s="34">
        <v>44322</v>
      </c>
      <c r="K35" s="34"/>
      <c r="L35" s="34"/>
      <c r="M35" s="34"/>
      <c r="N35" s="34"/>
      <c r="O35" s="34"/>
      <c r="P35" s="19"/>
      <c r="Q35" s="19"/>
      <c r="R35" s="19" t="s">
        <v>63</v>
      </c>
      <c r="S35" s="98" t="s">
        <v>117</v>
      </c>
      <c r="T35" s="19" t="s">
        <v>118</v>
      </c>
      <c r="U35" s="19"/>
      <c r="V35" s="19"/>
      <c r="W35" s="36"/>
      <c r="X35" s="36">
        <v>1</v>
      </c>
      <c r="Y35" s="37">
        <v>11750</v>
      </c>
      <c r="Z35" s="102">
        <f t="shared" si="0"/>
        <v>11750</v>
      </c>
      <c r="AA35" s="97"/>
      <c r="AB35" s="37">
        <f t="shared" si="2"/>
        <v>0</v>
      </c>
      <c r="AC35" s="41">
        <f t="shared" si="1"/>
        <v>11750</v>
      </c>
      <c r="AD35" s="19" t="s">
        <v>47</v>
      </c>
      <c r="AE35" s="19">
        <v>100</v>
      </c>
      <c r="AF35" s="19" t="s">
        <v>114</v>
      </c>
      <c r="AG35" s="34" t="s">
        <v>115</v>
      </c>
      <c r="AH35" s="42" t="s">
        <v>50</v>
      </c>
      <c r="AI35" s="42" t="s">
        <v>116</v>
      </c>
      <c r="AJ35" s="19" t="s">
        <v>52</v>
      </c>
      <c r="AK35" s="19"/>
      <c r="AL35" s="43"/>
    </row>
    <row r="36" spans="1:38" ht="14.25" customHeight="1">
      <c r="A36" s="30"/>
      <c r="B36" s="31"/>
      <c r="C36" s="19"/>
      <c r="D36" s="32">
        <v>2021</v>
      </c>
      <c r="E36" s="19"/>
      <c r="F36" s="19">
        <v>126205</v>
      </c>
      <c r="G36" s="33">
        <v>44546</v>
      </c>
      <c r="H36" s="19">
        <v>101501</v>
      </c>
      <c r="I36" s="19" t="s">
        <v>111</v>
      </c>
      <c r="J36" s="34">
        <v>44322</v>
      </c>
      <c r="K36" s="34"/>
      <c r="L36" s="34"/>
      <c r="M36" s="34"/>
      <c r="N36" s="34"/>
      <c r="O36" s="34"/>
      <c r="P36" s="19"/>
      <c r="Q36" s="19"/>
      <c r="R36" s="19" t="s">
        <v>62</v>
      </c>
      <c r="S36" s="98" t="s">
        <v>119</v>
      </c>
      <c r="T36" s="19" t="s">
        <v>120</v>
      </c>
      <c r="U36" s="19"/>
      <c r="V36" s="19"/>
      <c r="W36" s="36"/>
      <c r="X36" s="36">
        <v>1</v>
      </c>
      <c r="Y36" s="37">
        <v>3000</v>
      </c>
      <c r="Z36" s="102">
        <f t="shared" si="0"/>
        <v>3000</v>
      </c>
      <c r="AA36" s="97"/>
      <c r="AB36" s="37">
        <f t="shared" si="2"/>
        <v>0</v>
      </c>
      <c r="AC36" s="41">
        <f t="shared" si="1"/>
        <v>3000</v>
      </c>
      <c r="AD36" s="19" t="s">
        <v>47</v>
      </c>
      <c r="AE36" s="19">
        <v>100</v>
      </c>
      <c r="AF36" s="19" t="s">
        <v>114</v>
      </c>
      <c r="AG36" s="34" t="s">
        <v>115</v>
      </c>
      <c r="AH36" s="42" t="s">
        <v>50</v>
      </c>
      <c r="AI36" s="42" t="s">
        <v>116</v>
      </c>
      <c r="AJ36" s="19" t="s">
        <v>52</v>
      </c>
      <c r="AK36" s="19"/>
      <c r="AL36" s="43"/>
    </row>
    <row r="37" spans="1:38" ht="14.25" customHeight="1" thickBot="1">
      <c r="A37" s="61"/>
      <c r="B37" s="62"/>
      <c r="C37" s="49"/>
      <c r="D37" s="63">
        <v>2021</v>
      </c>
      <c r="E37" s="49"/>
      <c r="F37" s="49">
        <v>126205</v>
      </c>
      <c r="G37" s="74">
        <v>44546</v>
      </c>
      <c r="H37" s="49">
        <v>101501</v>
      </c>
      <c r="I37" s="49" t="s">
        <v>111</v>
      </c>
      <c r="J37" s="64">
        <v>44322</v>
      </c>
      <c r="K37" s="64"/>
      <c r="L37" s="64"/>
      <c r="M37" s="64"/>
      <c r="N37" s="64"/>
      <c r="O37" s="64"/>
      <c r="P37" s="49"/>
      <c r="Q37" s="49"/>
      <c r="R37" s="49" t="s">
        <v>64</v>
      </c>
      <c r="S37" s="103" t="s">
        <v>121</v>
      </c>
      <c r="T37" s="49" t="s">
        <v>122</v>
      </c>
      <c r="U37" s="49"/>
      <c r="V37" s="49"/>
      <c r="W37" s="65"/>
      <c r="X37" s="65">
        <v>1</v>
      </c>
      <c r="Y37" s="66">
        <v>2400</v>
      </c>
      <c r="Z37" s="104">
        <f t="shared" si="0"/>
        <v>2400</v>
      </c>
      <c r="AA37" s="105"/>
      <c r="AB37" s="66">
        <f t="shared" si="2"/>
        <v>0</v>
      </c>
      <c r="AC37" s="70">
        <f t="shared" si="1"/>
        <v>2400</v>
      </c>
      <c r="AD37" s="49" t="s">
        <v>47</v>
      </c>
      <c r="AE37" s="49">
        <v>100</v>
      </c>
      <c r="AF37" s="49" t="s">
        <v>114</v>
      </c>
      <c r="AG37" s="64" t="s">
        <v>115</v>
      </c>
      <c r="AH37" s="71" t="s">
        <v>50</v>
      </c>
      <c r="AI37" s="71" t="s">
        <v>116</v>
      </c>
      <c r="AJ37" s="49" t="s">
        <v>52</v>
      </c>
      <c r="AK37" s="49"/>
      <c r="AL37" s="72"/>
    </row>
    <row r="38" spans="1:38" ht="14.25" customHeight="1">
      <c r="A38" s="106"/>
      <c r="B38" s="107"/>
      <c r="C38" s="108"/>
      <c r="D38" s="109">
        <v>2021</v>
      </c>
      <c r="E38" s="108"/>
      <c r="F38" s="108">
        <v>126205</v>
      </c>
      <c r="G38" s="110">
        <v>44546</v>
      </c>
      <c r="H38" s="108">
        <v>101501</v>
      </c>
      <c r="I38" s="108" t="s">
        <v>111</v>
      </c>
      <c r="J38" s="111">
        <v>44322</v>
      </c>
      <c r="K38" s="111"/>
      <c r="L38" s="111"/>
      <c r="M38" s="111"/>
      <c r="N38" s="111"/>
      <c r="O38" s="111"/>
      <c r="P38" s="108"/>
      <c r="Q38" s="108"/>
      <c r="R38" s="16" t="s">
        <v>123</v>
      </c>
      <c r="S38" s="112" t="s">
        <v>124</v>
      </c>
      <c r="T38" s="108" t="s">
        <v>125</v>
      </c>
      <c r="U38" s="108"/>
      <c r="V38" s="108"/>
      <c r="W38" s="113"/>
      <c r="X38" s="113">
        <v>1</v>
      </c>
      <c r="Y38" s="114">
        <v>17460</v>
      </c>
      <c r="Z38" s="115">
        <f t="shared" si="0"/>
        <v>17460</v>
      </c>
      <c r="AA38" s="116"/>
      <c r="AB38" s="114">
        <f t="shared" si="2"/>
        <v>0</v>
      </c>
      <c r="AC38" s="117">
        <f t="shared" si="1"/>
        <v>17460</v>
      </c>
      <c r="AD38" s="108" t="s">
        <v>47</v>
      </c>
      <c r="AE38" s="108">
        <v>100</v>
      </c>
      <c r="AF38" s="108" t="s">
        <v>114</v>
      </c>
      <c r="AG38" s="111" t="s">
        <v>115</v>
      </c>
      <c r="AH38" s="118" t="s">
        <v>50</v>
      </c>
      <c r="AI38" s="118" t="s">
        <v>116</v>
      </c>
      <c r="AJ38" s="108" t="s">
        <v>52</v>
      </c>
      <c r="AK38" s="108"/>
      <c r="AL38" s="119"/>
    </row>
    <row r="39" spans="1:38" ht="14.25" customHeight="1" thickBot="1">
      <c r="A39" s="30"/>
      <c r="B39" s="31"/>
      <c r="C39" s="19"/>
      <c r="D39" s="32">
        <v>2021</v>
      </c>
      <c r="E39" s="19"/>
      <c r="F39" s="19">
        <v>126205</v>
      </c>
      <c r="G39" s="120">
        <v>44546</v>
      </c>
      <c r="H39" s="46">
        <v>101501</v>
      </c>
      <c r="I39" s="46" t="s">
        <v>111</v>
      </c>
      <c r="J39" s="50">
        <v>44322</v>
      </c>
      <c r="K39" s="50"/>
      <c r="L39" s="50"/>
      <c r="M39" s="50"/>
      <c r="N39" s="50"/>
      <c r="O39" s="50"/>
      <c r="P39" s="46"/>
      <c r="Q39" s="46"/>
      <c r="R39" s="46" t="s">
        <v>123</v>
      </c>
      <c r="S39" s="121" t="s">
        <v>126</v>
      </c>
      <c r="T39" s="46" t="s">
        <v>127</v>
      </c>
      <c r="U39" s="46"/>
      <c r="V39" s="46"/>
      <c r="W39" s="52"/>
      <c r="X39" s="52">
        <v>1</v>
      </c>
      <c r="Y39" s="53">
        <v>34188</v>
      </c>
      <c r="Z39" s="122">
        <f t="shared" si="0"/>
        <v>34188</v>
      </c>
      <c r="AA39" s="123"/>
      <c r="AB39" s="53">
        <f t="shared" si="2"/>
        <v>0</v>
      </c>
      <c r="AC39" s="41">
        <f t="shared" si="1"/>
        <v>34188</v>
      </c>
      <c r="AD39" s="19" t="s">
        <v>47</v>
      </c>
      <c r="AE39" s="19">
        <v>100</v>
      </c>
      <c r="AF39" s="19" t="s">
        <v>114</v>
      </c>
      <c r="AG39" s="34" t="s">
        <v>115</v>
      </c>
      <c r="AH39" s="42" t="s">
        <v>50</v>
      </c>
      <c r="AI39" s="42" t="s">
        <v>116</v>
      </c>
      <c r="AJ39" s="19" t="s">
        <v>52</v>
      </c>
      <c r="AK39" s="19"/>
      <c r="AL39" s="43"/>
    </row>
    <row r="40" spans="1:38" ht="14.25" customHeight="1">
      <c r="A40" s="30"/>
      <c r="B40" s="31"/>
      <c r="C40" s="19"/>
      <c r="D40" s="32">
        <v>2021</v>
      </c>
      <c r="E40" s="19"/>
      <c r="F40" s="108">
        <v>126205</v>
      </c>
      <c r="G40" s="110">
        <v>44546</v>
      </c>
      <c r="H40" s="16">
        <v>101501</v>
      </c>
      <c r="I40" s="16" t="s">
        <v>111</v>
      </c>
      <c r="J40" s="20">
        <v>44322</v>
      </c>
      <c r="K40" s="20"/>
      <c r="L40" s="20"/>
      <c r="M40" s="20"/>
      <c r="N40" s="20"/>
      <c r="O40" s="20"/>
      <c r="P40" s="16"/>
      <c r="Q40" s="16"/>
      <c r="R40" s="16" t="s">
        <v>128</v>
      </c>
      <c r="S40" s="99" t="s">
        <v>129</v>
      </c>
      <c r="T40" s="16" t="s">
        <v>130</v>
      </c>
      <c r="U40" s="16"/>
      <c r="V40" s="16"/>
      <c r="W40" s="22"/>
      <c r="X40" s="22">
        <v>1</v>
      </c>
      <c r="Y40" s="23">
        <v>5220</v>
      </c>
      <c r="Z40" s="100">
        <f t="shared" si="0"/>
        <v>5220</v>
      </c>
      <c r="AA40" s="101">
        <v>0.10249999999999999</v>
      </c>
      <c r="AB40" s="124">
        <f t="shared" si="2"/>
        <v>535.04999999999995</v>
      </c>
      <c r="AC40" s="125">
        <f t="shared" si="1"/>
        <v>5755.05</v>
      </c>
      <c r="AD40" s="19" t="s">
        <v>47</v>
      </c>
      <c r="AE40" s="19">
        <v>100</v>
      </c>
      <c r="AF40" s="19" t="s">
        <v>114</v>
      </c>
      <c r="AG40" s="34" t="s">
        <v>115</v>
      </c>
      <c r="AH40" s="42" t="s">
        <v>50</v>
      </c>
      <c r="AI40" s="42" t="s">
        <v>116</v>
      </c>
      <c r="AJ40" s="19" t="s">
        <v>52</v>
      </c>
      <c r="AK40" s="19"/>
      <c r="AL40" s="43"/>
    </row>
    <row r="41" spans="1:38" ht="14.25" customHeight="1" thickBot="1">
      <c r="A41" s="30"/>
      <c r="B41" s="31"/>
      <c r="C41" s="19"/>
      <c r="D41" s="32">
        <v>2021</v>
      </c>
      <c r="E41" s="19"/>
      <c r="F41" s="19">
        <v>126205</v>
      </c>
      <c r="G41" s="120">
        <v>44546</v>
      </c>
      <c r="H41" s="49">
        <v>101501</v>
      </c>
      <c r="I41" s="49" t="s">
        <v>111</v>
      </c>
      <c r="J41" s="64">
        <v>44322</v>
      </c>
      <c r="K41" s="64"/>
      <c r="L41" s="64"/>
      <c r="M41" s="64"/>
      <c r="N41" s="64"/>
      <c r="O41" s="64"/>
      <c r="P41" s="49"/>
      <c r="Q41" s="49"/>
      <c r="R41" s="49" t="s">
        <v>131</v>
      </c>
      <c r="S41" s="103" t="s">
        <v>129</v>
      </c>
      <c r="T41" s="49" t="s">
        <v>132</v>
      </c>
      <c r="U41" s="49"/>
      <c r="V41" s="49"/>
      <c r="W41" s="65"/>
      <c r="X41" s="65">
        <v>1</v>
      </c>
      <c r="Y41" s="66">
        <v>0</v>
      </c>
      <c r="Z41" s="104">
        <f t="shared" si="0"/>
        <v>0</v>
      </c>
      <c r="AA41" s="105"/>
      <c r="AB41" s="126">
        <f t="shared" si="2"/>
        <v>0</v>
      </c>
      <c r="AC41" s="127">
        <f t="shared" si="1"/>
        <v>0</v>
      </c>
      <c r="AD41" s="19" t="s">
        <v>47</v>
      </c>
      <c r="AE41" s="19">
        <v>100</v>
      </c>
      <c r="AF41" s="19" t="s">
        <v>114</v>
      </c>
      <c r="AG41" s="34" t="s">
        <v>115</v>
      </c>
      <c r="AH41" s="42" t="s">
        <v>50</v>
      </c>
      <c r="AI41" s="42" t="s">
        <v>116</v>
      </c>
      <c r="AJ41" s="19" t="s">
        <v>52</v>
      </c>
      <c r="AK41" s="19"/>
      <c r="AL41" s="43"/>
    </row>
    <row r="42" spans="1:38" ht="14.25" customHeight="1">
      <c r="A42" s="30"/>
      <c r="B42" s="31"/>
      <c r="C42" s="19"/>
      <c r="D42" s="32">
        <v>2021</v>
      </c>
      <c r="E42" s="19"/>
      <c r="F42" s="19"/>
      <c r="G42" s="128"/>
      <c r="H42" s="108">
        <v>101501</v>
      </c>
      <c r="I42" s="108" t="s">
        <v>111</v>
      </c>
      <c r="J42" s="111">
        <v>44322</v>
      </c>
      <c r="K42" s="111"/>
      <c r="L42" s="111"/>
      <c r="M42" s="111"/>
      <c r="N42" s="111"/>
      <c r="O42" s="111"/>
      <c r="P42" s="108"/>
      <c r="Q42" s="108"/>
      <c r="R42" s="108"/>
      <c r="S42" s="129" t="s">
        <v>133</v>
      </c>
      <c r="T42" s="108" t="s">
        <v>122</v>
      </c>
      <c r="U42" s="108"/>
      <c r="V42" s="108"/>
      <c r="W42" s="113"/>
      <c r="X42" s="113">
        <v>1</v>
      </c>
      <c r="Y42" s="114">
        <f>21826-Y43</f>
        <v>10876.33</v>
      </c>
      <c r="Z42" s="115">
        <f t="shared" si="0"/>
        <v>10876.33</v>
      </c>
      <c r="AA42" s="116">
        <v>0.10249999999999999</v>
      </c>
      <c r="AB42" s="114">
        <f t="shared" si="2"/>
        <v>1114.8238249999999</v>
      </c>
      <c r="AC42" s="117">
        <f t="shared" si="1"/>
        <v>11991.153824999999</v>
      </c>
      <c r="AD42" s="19" t="s">
        <v>47</v>
      </c>
      <c r="AE42" s="19">
        <v>100</v>
      </c>
      <c r="AF42" s="19" t="s">
        <v>114</v>
      </c>
      <c r="AG42" s="34" t="s">
        <v>115</v>
      </c>
      <c r="AH42" s="42" t="s">
        <v>50</v>
      </c>
      <c r="AI42" s="42" t="s">
        <v>116</v>
      </c>
      <c r="AJ42" s="19" t="s">
        <v>52</v>
      </c>
      <c r="AK42" s="19"/>
      <c r="AL42" s="43"/>
    </row>
    <row r="43" spans="1:38" ht="14.25" customHeight="1">
      <c r="A43" s="30"/>
      <c r="B43" s="31"/>
      <c r="C43" s="19"/>
      <c r="D43" s="32">
        <v>2021</v>
      </c>
      <c r="E43" s="19"/>
      <c r="F43" s="19"/>
      <c r="G43" s="33">
        <v>44224</v>
      </c>
      <c r="H43" s="108">
        <v>101501</v>
      </c>
      <c r="I43" s="108" t="s">
        <v>111</v>
      </c>
      <c r="J43" s="111">
        <v>44322</v>
      </c>
      <c r="K43" s="111"/>
      <c r="L43" s="111"/>
      <c r="M43" s="111"/>
      <c r="N43" s="111"/>
      <c r="O43" s="111"/>
      <c r="P43" s="108"/>
      <c r="Q43" s="108"/>
      <c r="R43" s="130" t="s">
        <v>134</v>
      </c>
      <c r="S43" s="131" t="s">
        <v>133</v>
      </c>
      <c r="T43" s="130" t="s">
        <v>135</v>
      </c>
      <c r="U43" s="108"/>
      <c r="V43" s="108"/>
      <c r="W43" s="113"/>
      <c r="X43" s="113">
        <v>1</v>
      </c>
      <c r="Y43" s="132">
        <v>10949.67</v>
      </c>
      <c r="Z43" s="115">
        <f t="shared" si="0"/>
        <v>10949.67</v>
      </c>
      <c r="AA43" s="116">
        <v>0.10249999999999999</v>
      </c>
      <c r="AB43" s="114">
        <f t="shared" si="2"/>
        <v>1122.341175</v>
      </c>
      <c r="AC43" s="117">
        <f t="shared" si="1"/>
        <v>12072.011175</v>
      </c>
      <c r="AD43" s="19" t="s">
        <v>47</v>
      </c>
      <c r="AE43" s="19">
        <v>100</v>
      </c>
      <c r="AF43" s="19" t="s">
        <v>114</v>
      </c>
      <c r="AG43" s="34" t="s">
        <v>115</v>
      </c>
      <c r="AH43" s="42" t="s">
        <v>50</v>
      </c>
      <c r="AI43" s="42" t="s">
        <v>116</v>
      </c>
      <c r="AJ43" s="19" t="s">
        <v>52</v>
      </c>
      <c r="AK43" s="19"/>
      <c r="AL43" s="43"/>
    </row>
    <row r="44" spans="1:38" ht="14.25" customHeight="1">
      <c r="A44" s="30"/>
      <c r="B44" s="31"/>
      <c r="C44" s="19"/>
      <c r="D44" s="32">
        <v>2021</v>
      </c>
      <c r="E44" s="19"/>
      <c r="F44" s="19"/>
      <c r="G44" s="33">
        <v>44224</v>
      </c>
      <c r="H44" s="19">
        <v>101501</v>
      </c>
      <c r="I44" s="19" t="s">
        <v>111</v>
      </c>
      <c r="J44" s="34">
        <v>44322</v>
      </c>
      <c r="K44" s="34"/>
      <c r="L44" s="34"/>
      <c r="M44" s="34"/>
      <c r="N44" s="34"/>
      <c r="O44" s="34"/>
      <c r="P44" s="19"/>
      <c r="Q44" s="19"/>
      <c r="R44" s="133" t="s">
        <v>136</v>
      </c>
      <c r="S44" s="131" t="s">
        <v>133</v>
      </c>
      <c r="T44" s="133" t="s">
        <v>137</v>
      </c>
      <c r="U44" s="19"/>
      <c r="V44" s="19"/>
      <c r="W44" s="36"/>
      <c r="X44" s="36">
        <v>1</v>
      </c>
      <c r="Y44" s="37">
        <v>0</v>
      </c>
      <c r="Z44" s="102">
        <f t="shared" si="0"/>
        <v>0</v>
      </c>
      <c r="AA44" s="97"/>
      <c r="AB44" s="37">
        <f t="shared" si="2"/>
        <v>0</v>
      </c>
      <c r="AC44" s="41">
        <f t="shared" si="1"/>
        <v>0</v>
      </c>
      <c r="AD44" s="19" t="s">
        <v>47</v>
      </c>
      <c r="AE44" s="19">
        <v>100</v>
      </c>
      <c r="AF44" s="19" t="s">
        <v>114</v>
      </c>
      <c r="AG44" s="34" t="s">
        <v>115</v>
      </c>
      <c r="AH44" s="42" t="s">
        <v>50</v>
      </c>
      <c r="AI44" s="42" t="s">
        <v>116</v>
      </c>
      <c r="AJ44" s="19" t="s">
        <v>52</v>
      </c>
      <c r="AK44" s="19"/>
      <c r="AL44" s="43"/>
    </row>
    <row r="45" spans="1:38" ht="14.25" customHeight="1">
      <c r="A45" s="30"/>
      <c r="B45" s="31"/>
      <c r="C45" s="19"/>
      <c r="D45" s="32">
        <v>2021</v>
      </c>
      <c r="E45" s="19"/>
      <c r="F45" s="19"/>
      <c r="G45" s="33">
        <v>44224</v>
      </c>
      <c r="H45" s="19">
        <v>101501</v>
      </c>
      <c r="I45" s="19" t="s">
        <v>111</v>
      </c>
      <c r="J45" s="34">
        <v>44322</v>
      </c>
      <c r="K45" s="34"/>
      <c r="L45" s="34"/>
      <c r="M45" s="34"/>
      <c r="N45" s="34"/>
      <c r="O45" s="34"/>
      <c r="P45" s="19"/>
      <c r="Q45" s="19"/>
      <c r="R45" s="133" t="s">
        <v>138</v>
      </c>
      <c r="S45" s="131" t="s">
        <v>133</v>
      </c>
      <c r="T45" s="133" t="s">
        <v>139</v>
      </c>
      <c r="U45" s="19"/>
      <c r="V45" s="19"/>
      <c r="W45" s="36"/>
      <c r="X45" s="36">
        <v>3</v>
      </c>
      <c r="Y45" s="37">
        <v>0</v>
      </c>
      <c r="Z45" s="102">
        <f t="shared" si="0"/>
        <v>0</v>
      </c>
      <c r="AA45" s="97"/>
      <c r="AB45" s="37">
        <f t="shared" si="2"/>
        <v>0</v>
      </c>
      <c r="AC45" s="41">
        <f t="shared" si="1"/>
        <v>0</v>
      </c>
      <c r="AD45" s="19" t="s">
        <v>47</v>
      </c>
      <c r="AE45" s="19">
        <v>100</v>
      </c>
      <c r="AF45" s="19" t="s">
        <v>114</v>
      </c>
      <c r="AG45" s="34" t="s">
        <v>115</v>
      </c>
      <c r="AH45" s="42" t="s">
        <v>50</v>
      </c>
      <c r="AI45" s="42" t="s">
        <v>116</v>
      </c>
      <c r="AJ45" s="19" t="s">
        <v>52</v>
      </c>
      <c r="AK45" s="19"/>
      <c r="AL45" s="43"/>
    </row>
    <row r="46" spans="1:38" ht="14.25" customHeight="1">
      <c r="A46" s="30"/>
      <c r="B46" s="31"/>
      <c r="C46" s="19"/>
      <c r="D46" s="32">
        <v>2021</v>
      </c>
      <c r="E46" s="19"/>
      <c r="F46" s="19"/>
      <c r="G46" s="33">
        <v>44224</v>
      </c>
      <c r="H46" s="19">
        <v>101501</v>
      </c>
      <c r="I46" s="19" t="s">
        <v>111</v>
      </c>
      <c r="J46" s="34">
        <v>44322</v>
      </c>
      <c r="K46" s="34"/>
      <c r="L46" s="34"/>
      <c r="M46" s="34"/>
      <c r="N46" s="34"/>
      <c r="O46" s="34"/>
      <c r="P46" s="19"/>
      <c r="Q46" s="19"/>
      <c r="R46" s="133" t="s">
        <v>140</v>
      </c>
      <c r="S46" s="131" t="s">
        <v>133</v>
      </c>
      <c r="T46" s="133" t="s">
        <v>139</v>
      </c>
      <c r="U46" s="19"/>
      <c r="V46" s="19"/>
      <c r="W46" s="36"/>
      <c r="X46" s="36">
        <v>3</v>
      </c>
      <c r="Y46" s="37">
        <v>0</v>
      </c>
      <c r="Z46" s="102">
        <f t="shared" si="0"/>
        <v>0</v>
      </c>
      <c r="AA46" s="97"/>
      <c r="AB46" s="37">
        <f t="shared" si="2"/>
        <v>0</v>
      </c>
      <c r="AC46" s="41">
        <f t="shared" si="1"/>
        <v>0</v>
      </c>
      <c r="AD46" s="19" t="s">
        <v>47</v>
      </c>
      <c r="AE46" s="19">
        <v>100</v>
      </c>
      <c r="AF46" s="19" t="s">
        <v>114</v>
      </c>
      <c r="AG46" s="34" t="s">
        <v>115</v>
      </c>
      <c r="AH46" s="42" t="s">
        <v>50</v>
      </c>
      <c r="AI46" s="42" t="s">
        <v>116</v>
      </c>
      <c r="AJ46" s="19" t="s">
        <v>52</v>
      </c>
      <c r="AK46" s="19"/>
      <c r="AL46" s="43"/>
    </row>
    <row r="47" spans="1:38" ht="14.25" customHeight="1">
      <c r="A47" s="30"/>
      <c r="B47" s="31"/>
      <c r="C47" s="19"/>
      <c r="D47" s="32">
        <v>2021</v>
      </c>
      <c r="E47" s="19"/>
      <c r="F47" s="19"/>
      <c r="G47" s="33">
        <v>44224</v>
      </c>
      <c r="H47" s="19">
        <v>101501</v>
      </c>
      <c r="I47" s="19" t="s">
        <v>111</v>
      </c>
      <c r="J47" s="34">
        <v>44322</v>
      </c>
      <c r="K47" s="34"/>
      <c r="L47" s="34"/>
      <c r="M47" s="34"/>
      <c r="N47" s="34"/>
      <c r="O47" s="34"/>
      <c r="P47" s="19"/>
      <c r="Q47" s="19"/>
      <c r="R47" s="133" t="s">
        <v>141</v>
      </c>
      <c r="S47" s="131" t="s">
        <v>133</v>
      </c>
      <c r="T47" s="133" t="s">
        <v>142</v>
      </c>
      <c r="U47" s="19"/>
      <c r="V47" s="19"/>
      <c r="W47" s="36"/>
      <c r="X47" s="36">
        <v>3</v>
      </c>
      <c r="Y47" s="37">
        <v>0</v>
      </c>
      <c r="Z47" s="102">
        <f t="shared" si="0"/>
        <v>0</v>
      </c>
      <c r="AA47" s="97"/>
      <c r="AB47" s="37">
        <f t="shared" si="2"/>
        <v>0</v>
      </c>
      <c r="AC47" s="41">
        <f t="shared" si="1"/>
        <v>0</v>
      </c>
      <c r="AD47" s="19" t="s">
        <v>47</v>
      </c>
      <c r="AE47" s="19">
        <v>100</v>
      </c>
      <c r="AF47" s="19" t="s">
        <v>114</v>
      </c>
      <c r="AG47" s="34" t="s">
        <v>115</v>
      </c>
      <c r="AH47" s="42" t="s">
        <v>50</v>
      </c>
      <c r="AI47" s="42" t="s">
        <v>116</v>
      </c>
      <c r="AJ47" s="19" t="s">
        <v>52</v>
      </c>
      <c r="AK47" s="19"/>
      <c r="AL47" s="43"/>
    </row>
    <row r="48" spans="1:38" ht="14.25" customHeight="1">
      <c r="A48" s="30"/>
      <c r="B48" s="31"/>
      <c r="C48" s="19"/>
      <c r="D48" s="32">
        <v>2021</v>
      </c>
      <c r="E48" s="19"/>
      <c r="F48" s="19"/>
      <c r="G48" s="33">
        <v>44224</v>
      </c>
      <c r="H48" s="19">
        <v>101501</v>
      </c>
      <c r="I48" s="19" t="s">
        <v>111</v>
      </c>
      <c r="J48" s="34">
        <v>44322</v>
      </c>
      <c r="K48" s="34"/>
      <c r="L48" s="34"/>
      <c r="M48" s="34"/>
      <c r="N48" s="34"/>
      <c r="O48" s="34"/>
      <c r="P48" s="19"/>
      <c r="Q48" s="19"/>
      <c r="R48" s="133" t="s">
        <v>143</v>
      </c>
      <c r="S48" s="131" t="s">
        <v>133</v>
      </c>
      <c r="T48" s="133" t="s">
        <v>144</v>
      </c>
      <c r="U48" s="19"/>
      <c r="V48" s="19"/>
      <c r="W48" s="36"/>
      <c r="X48" s="36">
        <v>3</v>
      </c>
      <c r="Y48" s="37">
        <v>0</v>
      </c>
      <c r="Z48" s="102">
        <f t="shared" si="0"/>
        <v>0</v>
      </c>
      <c r="AA48" s="97"/>
      <c r="AB48" s="37">
        <f t="shared" si="2"/>
        <v>0</v>
      </c>
      <c r="AC48" s="41">
        <f t="shared" si="1"/>
        <v>0</v>
      </c>
      <c r="AD48" s="19" t="s">
        <v>47</v>
      </c>
      <c r="AE48" s="19">
        <v>100</v>
      </c>
      <c r="AF48" s="19" t="s">
        <v>114</v>
      </c>
      <c r="AG48" s="34" t="s">
        <v>115</v>
      </c>
      <c r="AH48" s="42" t="s">
        <v>50</v>
      </c>
      <c r="AI48" s="42" t="s">
        <v>116</v>
      </c>
      <c r="AJ48" s="19" t="s">
        <v>52</v>
      </c>
      <c r="AK48" s="19"/>
      <c r="AL48" s="43"/>
    </row>
    <row r="49" spans="1:38" ht="14.25" customHeight="1">
      <c r="A49" s="30"/>
      <c r="B49" s="31"/>
      <c r="C49" s="19"/>
      <c r="D49" s="32">
        <v>2021</v>
      </c>
      <c r="E49" s="19"/>
      <c r="F49" s="19"/>
      <c r="G49" s="33">
        <v>44224</v>
      </c>
      <c r="H49" s="19">
        <v>101501</v>
      </c>
      <c r="I49" s="19" t="s">
        <v>111</v>
      </c>
      <c r="J49" s="34">
        <v>44322</v>
      </c>
      <c r="K49" s="34"/>
      <c r="L49" s="34"/>
      <c r="M49" s="34"/>
      <c r="N49" s="34"/>
      <c r="O49" s="34"/>
      <c r="P49" s="19"/>
      <c r="Q49" s="19"/>
      <c r="R49" s="133" t="s">
        <v>145</v>
      </c>
      <c r="S49" s="131" t="s">
        <v>133</v>
      </c>
      <c r="T49" s="133" t="s">
        <v>146</v>
      </c>
      <c r="U49" s="19"/>
      <c r="V49" s="19"/>
      <c r="W49" s="36"/>
      <c r="X49" s="36">
        <v>1</v>
      </c>
      <c r="Y49" s="37">
        <v>0</v>
      </c>
      <c r="Z49" s="102">
        <f t="shared" si="0"/>
        <v>0</v>
      </c>
      <c r="AA49" s="97"/>
      <c r="AB49" s="37">
        <f t="shared" si="2"/>
        <v>0</v>
      </c>
      <c r="AC49" s="41">
        <f t="shared" si="1"/>
        <v>0</v>
      </c>
      <c r="AD49" s="19" t="s">
        <v>47</v>
      </c>
      <c r="AE49" s="19">
        <v>100</v>
      </c>
      <c r="AF49" s="19" t="s">
        <v>114</v>
      </c>
      <c r="AG49" s="34" t="s">
        <v>115</v>
      </c>
      <c r="AH49" s="42" t="s">
        <v>50</v>
      </c>
      <c r="AI49" s="42" t="s">
        <v>116</v>
      </c>
      <c r="AJ49" s="19" t="s">
        <v>52</v>
      </c>
      <c r="AK49" s="19"/>
      <c r="AL49" s="43"/>
    </row>
    <row r="50" spans="1:38" ht="14.25" customHeight="1">
      <c r="A50" s="30"/>
      <c r="B50" s="31"/>
      <c r="C50" s="19"/>
      <c r="D50" s="32">
        <v>2021</v>
      </c>
      <c r="E50" s="19"/>
      <c r="F50" s="19"/>
      <c r="G50" s="33">
        <v>44224</v>
      </c>
      <c r="H50" s="19">
        <v>101501</v>
      </c>
      <c r="I50" s="19" t="s">
        <v>111</v>
      </c>
      <c r="J50" s="34">
        <v>44322</v>
      </c>
      <c r="K50" s="34"/>
      <c r="L50" s="34"/>
      <c r="M50" s="34"/>
      <c r="N50" s="34"/>
      <c r="O50" s="34"/>
      <c r="P50" s="19"/>
      <c r="Q50" s="19"/>
      <c r="R50" s="133" t="s">
        <v>147</v>
      </c>
      <c r="S50" s="131" t="s">
        <v>133</v>
      </c>
      <c r="T50" s="133" t="s">
        <v>148</v>
      </c>
      <c r="U50" s="19"/>
      <c r="V50" s="19"/>
      <c r="W50" s="36"/>
      <c r="X50" s="36">
        <v>3</v>
      </c>
      <c r="Y50" s="37">
        <v>0</v>
      </c>
      <c r="Z50" s="102">
        <f t="shared" si="0"/>
        <v>0</v>
      </c>
      <c r="AA50" s="97"/>
      <c r="AB50" s="37">
        <f t="shared" si="2"/>
        <v>0</v>
      </c>
      <c r="AC50" s="41">
        <f t="shared" si="1"/>
        <v>0</v>
      </c>
      <c r="AD50" s="19" t="s">
        <v>47</v>
      </c>
      <c r="AE50" s="19">
        <v>100</v>
      </c>
      <c r="AF50" s="19" t="s">
        <v>114</v>
      </c>
      <c r="AG50" s="34" t="s">
        <v>115</v>
      </c>
      <c r="AH50" s="42" t="s">
        <v>50</v>
      </c>
      <c r="AI50" s="42" t="s">
        <v>116</v>
      </c>
      <c r="AJ50" s="19" t="s">
        <v>52</v>
      </c>
      <c r="AK50" s="19"/>
      <c r="AL50" s="43"/>
    </row>
    <row r="51" spans="1:38" ht="14.25" customHeight="1">
      <c r="A51" s="30"/>
      <c r="B51" s="31"/>
      <c r="C51" s="19"/>
      <c r="D51" s="32">
        <v>2021</v>
      </c>
      <c r="E51" s="19"/>
      <c r="F51" s="19"/>
      <c r="G51" s="33"/>
      <c r="H51" s="19">
        <v>101501</v>
      </c>
      <c r="I51" s="19" t="s">
        <v>111</v>
      </c>
      <c r="J51" s="34">
        <v>44322</v>
      </c>
      <c r="K51" s="34"/>
      <c r="L51" s="34"/>
      <c r="M51" s="34"/>
      <c r="N51" s="34"/>
      <c r="O51" s="34"/>
      <c r="P51" s="19"/>
      <c r="Q51" s="19"/>
      <c r="R51" s="19" t="s">
        <v>149</v>
      </c>
      <c r="S51" s="46" t="s">
        <v>133</v>
      </c>
      <c r="T51" s="19" t="s">
        <v>150</v>
      </c>
      <c r="U51" s="19"/>
      <c r="V51" s="19"/>
      <c r="W51" s="36"/>
      <c r="X51" s="36">
        <v>1</v>
      </c>
      <c r="Y51" s="37">
        <v>0</v>
      </c>
      <c r="Z51" s="102">
        <f t="shared" si="0"/>
        <v>0</v>
      </c>
      <c r="AA51" s="97"/>
      <c r="AB51" s="37">
        <f t="shared" si="2"/>
        <v>0</v>
      </c>
      <c r="AC51" s="41">
        <f t="shared" si="1"/>
        <v>0</v>
      </c>
      <c r="AD51" s="19" t="s">
        <v>47</v>
      </c>
      <c r="AE51" s="19">
        <v>100</v>
      </c>
      <c r="AF51" s="19" t="s">
        <v>114</v>
      </c>
      <c r="AG51" s="34" t="s">
        <v>115</v>
      </c>
      <c r="AH51" s="42" t="s">
        <v>50</v>
      </c>
      <c r="AI51" s="42" t="s">
        <v>116</v>
      </c>
      <c r="AJ51" s="19" t="s">
        <v>52</v>
      </c>
      <c r="AK51" s="19"/>
      <c r="AL51" s="43"/>
    </row>
    <row r="52" spans="1:38" ht="14.25" customHeight="1" thickBot="1">
      <c r="A52" s="30"/>
      <c r="B52" s="31"/>
      <c r="C52" s="19"/>
      <c r="D52" s="32">
        <v>2021</v>
      </c>
      <c r="E52" s="19"/>
      <c r="F52" s="19"/>
      <c r="G52" s="33"/>
      <c r="H52" s="19">
        <v>101501</v>
      </c>
      <c r="I52" s="19" t="s">
        <v>111</v>
      </c>
      <c r="J52" s="34">
        <v>44322</v>
      </c>
      <c r="K52" s="34"/>
      <c r="L52" s="34"/>
      <c r="M52" s="34"/>
      <c r="N52" s="34"/>
      <c r="O52" s="34"/>
      <c r="P52" s="19"/>
      <c r="Q52" s="19"/>
      <c r="R52" s="49" t="s">
        <v>151</v>
      </c>
      <c r="S52" s="49" t="s">
        <v>133</v>
      </c>
      <c r="T52" s="49" t="s">
        <v>152</v>
      </c>
      <c r="U52" s="46"/>
      <c r="V52" s="46"/>
      <c r="W52" s="52"/>
      <c r="X52" s="36">
        <v>1</v>
      </c>
      <c r="Y52" s="37">
        <v>0</v>
      </c>
      <c r="Z52" s="102">
        <f t="shared" si="0"/>
        <v>0</v>
      </c>
      <c r="AA52" s="97"/>
      <c r="AB52" s="37">
        <f t="shared" si="2"/>
        <v>0</v>
      </c>
      <c r="AC52" s="41">
        <f t="shared" si="1"/>
        <v>0</v>
      </c>
      <c r="AD52" s="19" t="s">
        <v>47</v>
      </c>
      <c r="AE52" s="19">
        <v>100</v>
      </c>
      <c r="AF52" s="19" t="s">
        <v>114</v>
      </c>
      <c r="AG52" s="34" t="s">
        <v>115</v>
      </c>
      <c r="AH52" s="42" t="s">
        <v>50</v>
      </c>
      <c r="AI52" s="42" t="s">
        <v>116</v>
      </c>
      <c r="AJ52" s="19" t="s">
        <v>52</v>
      </c>
      <c r="AK52" s="19"/>
      <c r="AL52" s="43"/>
    </row>
    <row r="53" spans="1:38" ht="14.25" customHeight="1">
      <c r="A53" s="30"/>
      <c r="B53" s="31"/>
      <c r="C53" s="19"/>
      <c r="D53" s="32">
        <v>2021</v>
      </c>
      <c r="E53" s="19"/>
      <c r="F53" s="19"/>
      <c r="G53" s="33">
        <v>44224</v>
      </c>
      <c r="H53" s="19">
        <v>101501</v>
      </c>
      <c r="I53" s="19" t="s">
        <v>111</v>
      </c>
      <c r="J53" s="34">
        <v>44322</v>
      </c>
      <c r="K53" s="34"/>
      <c r="L53" s="34"/>
      <c r="M53" s="34"/>
      <c r="N53" s="34"/>
      <c r="O53" s="34"/>
      <c r="P53" s="19"/>
      <c r="Q53" s="19"/>
      <c r="R53" s="134" t="s">
        <v>81</v>
      </c>
      <c r="S53" s="134" t="s">
        <v>82</v>
      </c>
      <c r="T53" s="134" t="s">
        <v>83</v>
      </c>
      <c r="U53" s="16"/>
      <c r="V53" s="16"/>
      <c r="W53" s="22"/>
      <c r="X53" s="22">
        <v>1</v>
      </c>
      <c r="Y53" s="135">
        <v>2397.6341463414951</v>
      </c>
      <c r="Z53" s="102">
        <f t="shared" si="0"/>
        <v>2397.6341463414951</v>
      </c>
      <c r="AA53" s="97">
        <v>0.10249999999999999</v>
      </c>
      <c r="AB53" s="37">
        <f t="shared" si="2"/>
        <v>245.75750000000323</v>
      </c>
      <c r="AC53" s="41">
        <f t="shared" si="1"/>
        <v>2643.3916463414985</v>
      </c>
      <c r="AD53" s="19" t="s">
        <v>47</v>
      </c>
      <c r="AE53" s="19">
        <v>100</v>
      </c>
      <c r="AF53" s="19" t="s">
        <v>114</v>
      </c>
      <c r="AG53" s="34" t="s">
        <v>115</v>
      </c>
      <c r="AH53" s="42" t="s">
        <v>50</v>
      </c>
      <c r="AI53" s="42" t="s">
        <v>116</v>
      </c>
      <c r="AJ53" s="19" t="s">
        <v>52</v>
      </c>
      <c r="AK53" s="19"/>
      <c r="AL53" s="43"/>
    </row>
    <row r="54" spans="1:38" ht="14.25" customHeight="1">
      <c r="A54" s="30"/>
      <c r="B54" s="31"/>
      <c r="C54" s="19"/>
      <c r="D54" s="32">
        <v>2021</v>
      </c>
      <c r="E54" s="19"/>
      <c r="F54" s="19"/>
      <c r="G54" s="33"/>
      <c r="H54" s="19">
        <v>101501</v>
      </c>
      <c r="I54" s="19" t="s">
        <v>111</v>
      </c>
      <c r="J54" s="34">
        <v>44322</v>
      </c>
      <c r="K54" s="34"/>
      <c r="L54" s="34"/>
      <c r="M54" s="34"/>
      <c r="N54" s="34"/>
      <c r="O54" s="34"/>
      <c r="P54" s="19"/>
      <c r="Q54" s="19"/>
      <c r="R54" s="136" t="s">
        <v>69</v>
      </c>
      <c r="S54" s="137" t="s">
        <v>84</v>
      </c>
      <c r="T54" s="136" t="s">
        <v>85</v>
      </c>
      <c r="U54" s="19"/>
      <c r="V54" s="19"/>
      <c r="W54" s="36"/>
      <c r="X54" s="36">
        <v>1</v>
      </c>
      <c r="Y54" s="37">
        <v>3602.3700000000008</v>
      </c>
      <c r="Z54" s="102">
        <f t="shared" si="0"/>
        <v>3602.3700000000008</v>
      </c>
      <c r="AA54" s="138"/>
      <c r="AB54" s="37">
        <f t="shared" si="2"/>
        <v>0</v>
      </c>
      <c r="AC54" s="41">
        <f t="shared" si="1"/>
        <v>3602.3700000000008</v>
      </c>
      <c r="AD54" s="19" t="s">
        <v>47</v>
      </c>
      <c r="AE54" s="19">
        <v>100</v>
      </c>
      <c r="AF54" s="19" t="s">
        <v>114</v>
      </c>
      <c r="AG54" s="34" t="s">
        <v>115</v>
      </c>
      <c r="AH54" s="42" t="s">
        <v>50</v>
      </c>
      <c r="AI54" s="42" t="s">
        <v>116</v>
      </c>
      <c r="AJ54" s="19" t="s">
        <v>52</v>
      </c>
      <c r="AK54" s="19"/>
      <c r="AL54" s="43"/>
    </row>
    <row r="55" spans="1:38" ht="14.25" customHeight="1" thickBot="1">
      <c r="A55" s="30"/>
      <c r="B55" s="31"/>
      <c r="C55" s="19"/>
      <c r="D55" s="32">
        <v>2021</v>
      </c>
      <c r="E55" s="19"/>
      <c r="F55" s="19"/>
      <c r="G55" s="33"/>
      <c r="H55" s="19">
        <v>101501</v>
      </c>
      <c r="I55" s="19" t="s">
        <v>111</v>
      </c>
      <c r="J55" s="34">
        <v>44322</v>
      </c>
      <c r="K55" s="34"/>
      <c r="L55" s="34"/>
      <c r="M55" s="34"/>
      <c r="N55" s="34"/>
      <c r="O55" s="34"/>
      <c r="P55" s="19"/>
      <c r="Q55" s="19"/>
      <c r="R55" s="139" t="s">
        <v>69</v>
      </c>
      <c r="S55" s="140" t="s">
        <v>153</v>
      </c>
      <c r="T55" s="141" t="s">
        <v>71</v>
      </c>
      <c r="U55" s="46"/>
      <c r="V55" s="46"/>
      <c r="W55" s="52"/>
      <c r="X55" s="52">
        <v>1</v>
      </c>
      <c r="Y55" s="53">
        <v>9120</v>
      </c>
      <c r="Z55" s="104">
        <f t="shared" si="0"/>
        <v>9120</v>
      </c>
      <c r="AA55" s="138"/>
      <c r="AB55" s="37">
        <f t="shared" si="2"/>
        <v>0</v>
      </c>
      <c r="AC55" s="41">
        <f t="shared" si="1"/>
        <v>9120</v>
      </c>
      <c r="AD55" s="19" t="s">
        <v>47</v>
      </c>
      <c r="AE55" s="19">
        <v>100</v>
      </c>
      <c r="AF55" s="19" t="s">
        <v>114</v>
      </c>
      <c r="AG55" s="34" t="s">
        <v>115</v>
      </c>
      <c r="AH55" s="42" t="s">
        <v>50</v>
      </c>
      <c r="AI55" s="42" t="s">
        <v>116</v>
      </c>
      <c r="AJ55" s="19" t="s">
        <v>52</v>
      </c>
      <c r="AK55" s="19"/>
      <c r="AL55" s="43"/>
    </row>
    <row r="56" spans="1:38" ht="14.25" customHeight="1">
      <c r="A56" s="30"/>
      <c r="B56" s="31"/>
      <c r="C56" s="19"/>
      <c r="D56" s="32">
        <v>2021</v>
      </c>
      <c r="E56" s="19"/>
      <c r="F56" s="19"/>
      <c r="G56" s="33"/>
      <c r="H56" s="19">
        <v>101501</v>
      </c>
      <c r="I56" s="19" t="s">
        <v>111</v>
      </c>
      <c r="J56" s="34">
        <v>44322</v>
      </c>
      <c r="K56" s="34"/>
      <c r="L56" s="34"/>
      <c r="M56" s="34"/>
      <c r="N56" s="34"/>
      <c r="O56" s="34"/>
      <c r="P56" s="19"/>
      <c r="Q56" s="19"/>
      <c r="R56" s="77" t="s">
        <v>69</v>
      </c>
      <c r="S56" s="142" t="s">
        <v>73</v>
      </c>
      <c r="T56" s="143" t="s">
        <v>74</v>
      </c>
      <c r="U56" s="16"/>
      <c r="V56" s="16"/>
      <c r="W56" s="22"/>
      <c r="X56" s="22">
        <v>1</v>
      </c>
      <c r="Y56" s="23">
        <v>1710</v>
      </c>
      <c r="Z56" s="115">
        <f t="shared" si="0"/>
        <v>1710</v>
      </c>
      <c r="AA56" s="138"/>
      <c r="AB56" s="37">
        <f t="shared" si="2"/>
        <v>0</v>
      </c>
      <c r="AC56" s="41">
        <f t="shared" si="1"/>
        <v>1710</v>
      </c>
      <c r="AD56" s="19" t="s">
        <v>47</v>
      </c>
      <c r="AE56" s="19">
        <v>100</v>
      </c>
      <c r="AF56" s="19" t="s">
        <v>114</v>
      </c>
      <c r="AG56" s="34" t="s">
        <v>115</v>
      </c>
      <c r="AH56" s="42" t="s">
        <v>50</v>
      </c>
      <c r="AI56" s="42" t="s">
        <v>116</v>
      </c>
      <c r="AJ56" s="19" t="s">
        <v>52</v>
      </c>
      <c r="AK56" s="19"/>
      <c r="AL56" s="43"/>
    </row>
    <row r="57" spans="1:38" ht="14.25" customHeight="1">
      <c r="A57" s="30"/>
      <c r="B57" s="31"/>
      <c r="C57" s="19"/>
      <c r="D57" s="32">
        <v>2021</v>
      </c>
      <c r="E57" s="19"/>
      <c r="F57" s="19"/>
      <c r="G57" s="33"/>
      <c r="H57" s="19">
        <v>101501</v>
      </c>
      <c r="I57" s="19" t="s">
        <v>111</v>
      </c>
      <c r="J57" s="34">
        <v>44322</v>
      </c>
      <c r="K57" s="34"/>
      <c r="L57" s="34"/>
      <c r="M57" s="34"/>
      <c r="N57" s="34"/>
      <c r="O57" s="34"/>
      <c r="P57" s="19"/>
      <c r="Q57" s="19"/>
      <c r="R57" s="77" t="s">
        <v>69</v>
      </c>
      <c r="S57" s="144" t="s">
        <v>75</v>
      </c>
      <c r="T57" s="77" t="s">
        <v>76</v>
      </c>
      <c r="U57" s="19"/>
      <c r="V57" s="19"/>
      <c r="W57" s="36"/>
      <c r="X57" s="36">
        <v>1</v>
      </c>
      <c r="Y57" s="37">
        <v>2850</v>
      </c>
      <c r="Z57" s="102">
        <f t="shared" si="0"/>
        <v>2850</v>
      </c>
      <c r="AA57" s="138"/>
      <c r="AB57" s="37">
        <f t="shared" si="2"/>
        <v>0</v>
      </c>
      <c r="AC57" s="41">
        <f t="shared" si="1"/>
        <v>2850</v>
      </c>
      <c r="AD57" s="19" t="s">
        <v>47</v>
      </c>
      <c r="AE57" s="19">
        <v>100</v>
      </c>
      <c r="AF57" s="19" t="s">
        <v>114</v>
      </c>
      <c r="AG57" s="34" t="s">
        <v>115</v>
      </c>
      <c r="AH57" s="42" t="s">
        <v>50</v>
      </c>
      <c r="AI57" s="42" t="s">
        <v>116</v>
      </c>
      <c r="AJ57" s="19" t="s">
        <v>52</v>
      </c>
      <c r="AK57" s="19"/>
      <c r="AL57" s="43"/>
    </row>
    <row r="58" spans="1:38" ht="14.25" customHeight="1" thickBot="1">
      <c r="A58" s="30"/>
      <c r="B58" s="31"/>
      <c r="C58" s="19"/>
      <c r="D58" s="32">
        <v>2021</v>
      </c>
      <c r="E58" s="19"/>
      <c r="F58" s="19"/>
      <c r="G58" s="33"/>
      <c r="H58" s="19">
        <v>101501</v>
      </c>
      <c r="I58" s="19" t="s">
        <v>111</v>
      </c>
      <c r="J58" s="34">
        <v>44322</v>
      </c>
      <c r="K58" s="34"/>
      <c r="L58" s="34"/>
      <c r="M58" s="34"/>
      <c r="N58" s="34"/>
      <c r="O58" s="34"/>
      <c r="P58" s="19"/>
      <c r="Q58" s="19"/>
      <c r="R58" s="77" t="s">
        <v>69</v>
      </c>
      <c r="S58" s="145" t="s">
        <v>77</v>
      </c>
      <c r="T58" s="146" t="s">
        <v>78</v>
      </c>
      <c r="U58" s="49"/>
      <c r="V58" s="49"/>
      <c r="W58" s="65"/>
      <c r="X58" s="65">
        <v>1</v>
      </c>
      <c r="Y58" s="66">
        <v>1140</v>
      </c>
      <c r="Z58" s="102">
        <f t="shared" si="0"/>
        <v>1140</v>
      </c>
      <c r="AA58" s="138"/>
      <c r="AB58" s="37">
        <f t="shared" si="2"/>
        <v>0</v>
      </c>
      <c r="AC58" s="41">
        <f t="shared" si="1"/>
        <v>1140</v>
      </c>
      <c r="AD58" s="19" t="s">
        <v>47</v>
      </c>
      <c r="AE58" s="19">
        <v>100</v>
      </c>
      <c r="AF58" s="19" t="s">
        <v>114</v>
      </c>
      <c r="AG58" s="34" t="s">
        <v>115</v>
      </c>
      <c r="AH58" s="42" t="s">
        <v>50</v>
      </c>
      <c r="AI58" s="42" t="s">
        <v>116</v>
      </c>
      <c r="AJ58" s="19" t="s">
        <v>52</v>
      </c>
      <c r="AK58" s="19"/>
      <c r="AL58" s="43"/>
    </row>
    <row r="60" spans="1:38" ht="13.5" customHeight="1">
      <c r="A60" s="5" t="s">
        <v>1</v>
      </c>
      <c r="B60" s="5" t="s">
        <v>2</v>
      </c>
      <c r="C60" s="6" t="s">
        <v>3</v>
      </c>
      <c r="D60" s="7" t="s">
        <v>4</v>
      </c>
      <c r="E60" s="7" t="s">
        <v>5</v>
      </c>
      <c r="F60" s="5" t="s">
        <v>6</v>
      </c>
      <c r="G60" s="8" t="s">
        <v>7</v>
      </c>
      <c r="H60" s="5" t="s">
        <v>8</v>
      </c>
      <c r="I60" s="5" t="s">
        <v>9</v>
      </c>
      <c r="J60" s="8" t="s">
        <v>10</v>
      </c>
      <c r="K60" s="8" t="s">
        <v>11</v>
      </c>
      <c r="L60" s="9" t="s">
        <v>12</v>
      </c>
      <c r="M60" s="8" t="s">
        <v>13</v>
      </c>
      <c r="N60" s="8" t="s">
        <v>14</v>
      </c>
      <c r="O60" s="8" t="s">
        <v>15</v>
      </c>
      <c r="P60" s="5" t="s">
        <v>16</v>
      </c>
      <c r="Q60" s="5" t="s">
        <v>17</v>
      </c>
      <c r="R60" s="5"/>
      <c r="S60" s="5" t="s">
        <v>19</v>
      </c>
      <c r="T60" s="5" t="s">
        <v>20</v>
      </c>
      <c r="U60" s="5" t="s">
        <v>21</v>
      </c>
      <c r="V60" s="5" t="s">
        <v>22</v>
      </c>
      <c r="W60" s="6" t="s">
        <v>23</v>
      </c>
      <c r="X60" s="6" t="s">
        <v>24</v>
      </c>
      <c r="Y60" s="10" t="s">
        <v>25</v>
      </c>
      <c r="Z60" s="11" t="s">
        <v>26</v>
      </c>
      <c r="AA60" s="12" t="s">
        <v>27</v>
      </c>
      <c r="AB60" s="13" t="s">
        <v>28</v>
      </c>
      <c r="AC60" s="13" t="s">
        <v>29</v>
      </c>
      <c r="AD60" s="13" t="s">
        <v>30</v>
      </c>
      <c r="AE60" s="13" t="s">
        <v>31</v>
      </c>
      <c r="AF60" s="13" t="s">
        <v>32</v>
      </c>
      <c r="AG60" s="11" t="s">
        <v>33</v>
      </c>
      <c r="AH60" s="11" t="s">
        <v>34</v>
      </c>
      <c r="AI60" s="11" t="s">
        <v>35</v>
      </c>
      <c r="AJ60" s="11" t="s">
        <v>36</v>
      </c>
      <c r="AK60" s="5" t="s">
        <v>37</v>
      </c>
      <c r="AL60" s="5" t="s">
        <v>38</v>
      </c>
    </row>
    <row r="61" spans="1:38" ht="14.25" customHeight="1" thickBot="1">
      <c r="A61" s="30"/>
      <c r="B61" s="31"/>
      <c r="C61" s="19"/>
      <c r="D61" s="32">
        <v>2021</v>
      </c>
      <c r="E61" s="19"/>
      <c r="F61" s="19"/>
      <c r="G61" s="33"/>
      <c r="H61" s="19" t="s">
        <v>154</v>
      </c>
      <c r="I61" s="19" t="s">
        <v>155</v>
      </c>
      <c r="J61" s="34">
        <v>44469</v>
      </c>
      <c r="K61" s="34"/>
      <c r="L61" s="34"/>
      <c r="M61" s="34"/>
      <c r="N61" s="34"/>
      <c r="O61" s="34"/>
      <c r="P61" s="19"/>
      <c r="Q61" s="19"/>
      <c r="R61" s="19"/>
      <c r="S61" s="98" t="s">
        <v>156</v>
      </c>
      <c r="T61" s="19" t="s">
        <v>157</v>
      </c>
      <c r="U61" s="19" t="s">
        <v>100</v>
      </c>
      <c r="V61" s="19">
        <v>250</v>
      </c>
      <c r="W61" s="36">
        <v>932</v>
      </c>
      <c r="X61" s="36">
        <v>1</v>
      </c>
      <c r="Y61" s="37">
        <v>358378.72</v>
      </c>
      <c r="Z61" s="147">
        <f t="shared" ref="Z61:Z76" si="3">X61*Y61</f>
        <v>358378.72</v>
      </c>
      <c r="AA61" s="138">
        <v>8.2500000000000004E-2</v>
      </c>
      <c r="AB61" s="37">
        <f t="shared" ref="AB61:AB76" si="4">Z61*AA61</f>
        <v>29566.2444</v>
      </c>
      <c r="AC61" s="41">
        <f t="shared" ref="AC61:AC76" si="5">Z61+AB61</f>
        <v>387944.9644</v>
      </c>
      <c r="AD61" s="19" t="s">
        <v>47</v>
      </c>
      <c r="AE61" s="19">
        <v>30</v>
      </c>
      <c r="AF61" s="19">
        <v>30</v>
      </c>
      <c r="AG61" s="34" t="s">
        <v>158</v>
      </c>
      <c r="AH61" s="42" t="s">
        <v>50</v>
      </c>
      <c r="AI61" s="42" t="s">
        <v>159</v>
      </c>
      <c r="AJ61" s="19" t="s">
        <v>52</v>
      </c>
      <c r="AK61" s="19"/>
      <c r="AL61" s="43"/>
    </row>
    <row r="62" spans="1:38" ht="14.25" customHeight="1">
      <c r="A62" s="30"/>
      <c r="B62" s="31"/>
      <c r="C62" s="19"/>
      <c r="D62" s="32">
        <v>2021</v>
      </c>
      <c r="E62" s="19"/>
      <c r="F62" s="19"/>
      <c r="G62" s="33"/>
      <c r="H62" s="19" t="s">
        <v>154</v>
      </c>
      <c r="I62" s="19" t="s">
        <v>155</v>
      </c>
      <c r="J62" s="34">
        <v>44469</v>
      </c>
      <c r="K62" s="34"/>
      <c r="L62" s="34"/>
      <c r="M62" s="34"/>
      <c r="N62" s="34"/>
      <c r="O62" s="34"/>
      <c r="P62" s="19"/>
      <c r="Q62" s="19"/>
      <c r="R62" s="19"/>
      <c r="S62" s="98" t="s">
        <v>156</v>
      </c>
      <c r="T62" s="19" t="s">
        <v>157</v>
      </c>
      <c r="U62" s="19" t="s">
        <v>100</v>
      </c>
      <c r="V62" s="19">
        <v>250</v>
      </c>
      <c r="W62" s="36">
        <v>932</v>
      </c>
      <c r="X62" s="36">
        <v>1</v>
      </c>
      <c r="Y62" s="37">
        <v>5392.86</v>
      </c>
      <c r="Z62" s="148">
        <f t="shared" si="3"/>
        <v>5392.86</v>
      </c>
      <c r="AA62" s="138"/>
      <c r="AB62" s="37">
        <f t="shared" si="4"/>
        <v>0</v>
      </c>
      <c r="AC62" s="41">
        <f t="shared" si="5"/>
        <v>5392.86</v>
      </c>
      <c r="AD62" s="19" t="s">
        <v>47</v>
      </c>
      <c r="AE62" s="19">
        <v>30</v>
      </c>
      <c r="AF62" s="19">
        <v>30</v>
      </c>
      <c r="AG62" s="34" t="s">
        <v>158</v>
      </c>
      <c r="AH62" s="42" t="s">
        <v>50</v>
      </c>
      <c r="AI62" s="42" t="s">
        <v>159</v>
      </c>
      <c r="AJ62" s="19" t="s">
        <v>52</v>
      </c>
      <c r="AK62" s="19"/>
      <c r="AL62" s="43"/>
    </row>
    <row r="63" spans="1:38" ht="14.25" customHeight="1">
      <c r="A63" s="30"/>
      <c r="B63" s="31"/>
      <c r="C63" s="19"/>
      <c r="D63" s="32">
        <v>2021</v>
      </c>
      <c r="E63" s="19"/>
      <c r="F63" s="19"/>
      <c r="G63" s="33"/>
      <c r="H63" s="19" t="s">
        <v>154</v>
      </c>
      <c r="I63" s="19" t="s">
        <v>155</v>
      </c>
      <c r="J63" s="34">
        <v>44469</v>
      </c>
      <c r="K63" s="34"/>
      <c r="L63" s="34"/>
      <c r="M63" s="34"/>
      <c r="N63" s="34"/>
      <c r="O63" s="34"/>
      <c r="P63" s="19"/>
      <c r="Q63" s="19"/>
      <c r="R63" s="19"/>
      <c r="S63" s="98" t="s">
        <v>160</v>
      </c>
      <c r="T63" s="19" t="s">
        <v>157</v>
      </c>
      <c r="U63" s="19" t="s">
        <v>100</v>
      </c>
      <c r="V63" s="19">
        <v>150</v>
      </c>
      <c r="W63" s="36">
        <v>559</v>
      </c>
      <c r="X63" s="36">
        <v>1</v>
      </c>
      <c r="Y63" s="37">
        <v>221673.60000000001</v>
      </c>
      <c r="Z63" s="147">
        <f t="shared" si="3"/>
        <v>221673.60000000001</v>
      </c>
      <c r="AA63" s="138">
        <v>8.2500000000000004E-2</v>
      </c>
      <c r="AB63" s="37">
        <f t="shared" si="4"/>
        <v>18288.072</v>
      </c>
      <c r="AC63" s="41">
        <f t="shared" si="5"/>
        <v>239961.67200000002</v>
      </c>
      <c r="AD63" s="19" t="s">
        <v>47</v>
      </c>
      <c r="AE63" s="19">
        <v>30</v>
      </c>
      <c r="AF63" s="19">
        <v>30</v>
      </c>
      <c r="AG63" s="34" t="s">
        <v>158</v>
      </c>
      <c r="AH63" s="42" t="s">
        <v>50</v>
      </c>
      <c r="AI63" s="42" t="s">
        <v>159</v>
      </c>
      <c r="AJ63" s="19" t="s">
        <v>52</v>
      </c>
      <c r="AK63" s="19"/>
      <c r="AL63" s="43"/>
    </row>
    <row r="64" spans="1:38" ht="14.25" customHeight="1">
      <c r="A64" s="30"/>
      <c r="B64" s="31"/>
      <c r="C64" s="19"/>
      <c r="D64" s="32">
        <v>2021</v>
      </c>
      <c r="E64" s="19"/>
      <c r="F64" s="19"/>
      <c r="G64" s="33"/>
      <c r="H64" s="19" t="s">
        <v>154</v>
      </c>
      <c r="I64" s="19" t="s">
        <v>155</v>
      </c>
      <c r="J64" s="34">
        <v>44469</v>
      </c>
      <c r="K64" s="34"/>
      <c r="L64" s="34"/>
      <c r="M64" s="34"/>
      <c r="N64" s="34"/>
      <c r="O64" s="34"/>
      <c r="P64" s="19"/>
      <c r="Q64" s="19"/>
      <c r="R64" s="19"/>
      <c r="S64" s="98" t="s">
        <v>160</v>
      </c>
      <c r="T64" s="19" t="s">
        <v>157</v>
      </c>
      <c r="U64" s="19" t="s">
        <v>100</v>
      </c>
      <c r="V64" s="19">
        <v>150</v>
      </c>
      <c r="W64" s="36">
        <v>559</v>
      </c>
      <c r="X64" s="36">
        <v>1</v>
      </c>
      <c r="Y64" s="37">
        <v>3335.73</v>
      </c>
      <c r="Z64" s="147">
        <f t="shared" si="3"/>
        <v>3335.73</v>
      </c>
      <c r="AA64" s="138"/>
      <c r="AB64" s="37">
        <f t="shared" si="4"/>
        <v>0</v>
      </c>
      <c r="AC64" s="41">
        <f t="shared" si="5"/>
        <v>3335.73</v>
      </c>
      <c r="AD64" s="19" t="s">
        <v>47</v>
      </c>
      <c r="AE64" s="19">
        <v>30</v>
      </c>
      <c r="AF64" s="19">
        <v>30</v>
      </c>
      <c r="AG64" s="34" t="s">
        <v>158</v>
      </c>
      <c r="AH64" s="42" t="s">
        <v>50</v>
      </c>
      <c r="AI64" s="42" t="s">
        <v>159</v>
      </c>
      <c r="AJ64" s="19" t="s">
        <v>52</v>
      </c>
      <c r="AK64" s="19"/>
      <c r="AL64" s="43"/>
    </row>
    <row r="65" spans="1:38" ht="14.25" customHeight="1">
      <c r="A65" s="30"/>
      <c r="B65" s="31"/>
      <c r="C65" s="19"/>
      <c r="D65" s="32">
        <v>2021</v>
      </c>
      <c r="E65" s="19"/>
      <c r="F65" s="19"/>
      <c r="G65" s="33"/>
      <c r="H65" s="19" t="s">
        <v>154</v>
      </c>
      <c r="I65" s="19" t="s">
        <v>155</v>
      </c>
      <c r="J65" s="34">
        <v>44469</v>
      </c>
      <c r="K65" s="34"/>
      <c r="L65" s="34"/>
      <c r="M65" s="34"/>
      <c r="N65" s="34"/>
      <c r="O65" s="34"/>
      <c r="P65" s="19"/>
      <c r="Q65" s="19"/>
      <c r="R65" s="19"/>
      <c r="S65" s="98" t="s">
        <v>65</v>
      </c>
      <c r="T65" s="19" t="s">
        <v>66</v>
      </c>
      <c r="U65" s="19" t="s">
        <v>100</v>
      </c>
      <c r="V65" s="19"/>
      <c r="W65" s="36"/>
      <c r="X65" s="36">
        <v>1</v>
      </c>
      <c r="Y65" s="37">
        <v>74254.3</v>
      </c>
      <c r="Z65" s="147">
        <f t="shared" si="3"/>
        <v>74254.3</v>
      </c>
      <c r="AA65" s="138"/>
      <c r="AB65" s="37">
        <f t="shared" si="4"/>
        <v>0</v>
      </c>
      <c r="AC65" s="41">
        <f t="shared" si="5"/>
        <v>74254.3</v>
      </c>
      <c r="AD65" s="19" t="s">
        <v>47</v>
      </c>
      <c r="AE65" s="19">
        <v>30</v>
      </c>
      <c r="AF65" s="19">
        <v>30</v>
      </c>
      <c r="AG65" s="34" t="s">
        <v>158</v>
      </c>
      <c r="AH65" s="42" t="s">
        <v>50</v>
      </c>
      <c r="AI65" s="42" t="s">
        <v>159</v>
      </c>
      <c r="AJ65" s="19" t="s">
        <v>52</v>
      </c>
      <c r="AK65" s="19"/>
      <c r="AL65" s="43"/>
    </row>
    <row r="66" spans="1:38" ht="14.25" customHeight="1">
      <c r="A66" s="30"/>
      <c r="B66" s="31"/>
      <c r="C66" s="19"/>
      <c r="D66" s="32">
        <v>2021</v>
      </c>
      <c r="E66" s="19"/>
      <c r="F66" s="19"/>
      <c r="G66" s="33"/>
      <c r="H66" s="19" t="s">
        <v>154</v>
      </c>
      <c r="I66" s="19" t="s">
        <v>155</v>
      </c>
      <c r="J66" s="34">
        <v>44469</v>
      </c>
      <c r="K66" s="34"/>
      <c r="L66" s="34"/>
      <c r="M66" s="34"/>
      <c r="N66" s="34"/>
      <c r="O66" s="34"/>
      <c r="P66" s="19"/>
      <c r="Q66" s="19"/>
      <c r="R66" s="19"/>
      <c r="S66" s="98" t="s">
        <v>67</v>
      </c>
      <c r="T66" s="19" t="s">
        <v>161</v>
      </c>
      <c r="U66" s="19" t="s">
        <v>100</v>
      </c>
      <c r="V66" s="19"/>
      <c r="W66" s="36"/>
      <c r="X66" s="36">
        <v>1</v>
      </c>
      <c r="Y66" s="37">
        <v>33976.410000000003</v>
      </c>
      <c r="Z66" s="147">
        <f t="shared" si="3"/>
        <v>33976.410000000003</v>
      </c>
      <c r="AA66" s="138"/>
      <c r="AB66" s="37">
        <f t="shared" si="4"/>
        <v>0</v>
      </c>
      <c r="AC66" s="41">
        <f t="shared" si="5"/>
        <v>33976.410000000003</v>
      </c>
      <c r="AD66" s="19" t="s">
        <v>47</v>
      </c>
      <c r="AE66" s="19">
        <v>30</v>
      </c>
      <c r="AF66" s="19">
        <v>30</v>
      </c>
      <c r="AG66" s="34" t="s">
        <v>158</v>
      </c>
      <c r="AH66" s="42" t="s">
        <v>50</v>
      </c>
      <c r="AI66" s="42" t="s">
        <v>159</v>
      </c>
      <c r="AJ66" s="19" t="s">
        <v>52</v>
      </c>
      <c r="AK66" s="19"/>
      <c r="AL66" s="43"/>
    </row>
    <row r="67" spans="1:38" ht="14.25" customHeight="1">
      <c r="A67" s="30"/>
      <c r="B67" s="31"/>
      <c r="C67" s="19"/>
      <c r="D67" s="32">
        <v>2021</v>
      </c>
      <c r="E67" s="19"/>
      <c r="F67" s="19"/>
      <c r="G67" s="33"/>
      <c r="H67" s="19" t="s">
        <v>154</v>
      </c>
      <c r="I67" s="19" t="s">
        <v>155</v>
      </c>
      <c r="J67" s="34">
        <v>44469</v>
      </c>
      <c r="K67" s="34"/>
      <c r="L67" s="34"/>
      <c r="M67" s="34"/>
      <c r="N67" s="34"/>
      <c r="O67" s="34"/>
      <c r="P67" s="19"/>
      <c r="Q67" s="19"/>
      <c r="R67" s="19"/>
      <c r="S67" s="98" t="s">
        <v>104</v>
      </c>
      <c r="T67" s="19" t="s">
        <v>105</v>
      </c>
      <c r="U67" s="19" t="s">
        <v>100</v>
      </c>
      <c r="V67" s="19"/>
      <c r="W67" s="36"/>
      <c r="X67" s="36">
        <v>1</v>
      </c>
      <c r="Y67" s="37">
        <v>5115.9883999998201</v>
      </c>
      <c r="Z67" s="147">
        <f t="shared" si="3"/>
        <v>5115.9883999998201</v>
      </c>
      <c r="AA67" s="138">
        <v>8.2500000000000004E-2</v>
      </c>
      <c r="AB67" s="37">
        <f t="shared" si="4"/>
        <v>422.06904299998519</v>
      </c>
      <c r="AC67" s="41">
        <f t="shared" si="5"/>
        <v>5538.0574429998051</v>
      </c>
      <c r="AD67" s="19" t="s">
        <v>47</v>
      </c>
      <c r="AE67" s="19">
        <v>30</v>
      </c>
      <c r="AF67" s="19">
        <v>30</v>
      </c>
      <c r="AG67" s="34" t="s">
        <v>158</v>
      </c>
      <c r="AH67" s="42" t="s">
        <v>50</v>
      </c>
      <c r="AI67" s="42" t="s">
        <v>159</v>
      </c>
      <c r="AJ67" s="19" t="s">
        <v>52</v>
      </c>
      <c r="AK67" s="19"/>
      <c r="AL67" s="43"/>
    </row>
    <row r="68" spans="1:38" ht="14.25" customHeight="1" thickBot="1">
      <c r="A68" s="30"/>
      <c r="B68" s="31"/>
      <c r="C68" s="19"/>
      <c r="D68" s="32">
        <v>2021</v>
      </c>
      <c r="E68" s="19"/>
      <c r="F68" s="19"/>
      <c r="G68" s="33"/>
      <c r="H68" s="19" t="s">
        <v>154</v>
      </c>
      <c r="I68" s="19" t="s">
        <v>155</v>
      </c>
      <c r="J68" s="34">
        <v>44469</v>
      </c>
      <c r="K68" s="34"/>
      <c r="L68" s="34"/>
      <c r="M68" s="34"/>
      <c r="N68" s="34"/>
      <c r="O68" s="34"/>
      <c r="P68" s="19"/>
      <c r="Q68" s="19"/>
      <c r="R68" s="19"/>
      <c r="S68" s="103" t="s">
        <v>162</v>
      </c>
      <c r="T68" s="49" t="s">
        <v>107</v>
      </c>
      <c r="U68" s="49" t="s">
        <v>100</v>
      </c>
      <c r="V68" s="49"/>
      <c r="W68" s="65"/>
      <c r="X68" s="65">
        <v>3</v>
      </c>
      <c r="Y68" s="66">
        <v>2934.12</v>
      </c>
      <c r="Z68" s="149">
        <f t="shared" si="3"/>
        <v>8802.36</v>
      </c>
      <c r="AA68" s="138">
        <v>8.2500000000000004E-2</v>
      </c>
      <c r="AB68" s="37">
        <f t="shared" si="4"/>
        <v>726.19470000000013</v>
      </c>
      <c r="AC68" s="41">
        <f t="shared" si="5"/>
        <v>9528.5547000000006</v>
      </c>
      <c r="AD68" s="19" t="s">
        <v>47</v>
      </c>
      <c r="AE68" s="19">
        <v>30</v>
      </c>
      <c r="AF68" s="19">
        <v>30</v>
      </c>
      <c r="AG68" s="34" t="s">
        <v>158</v>
      </c>
      <c r="AH68" s="42" t="s">
        <v>50</v>
      </c>
      <c r="AI68" s="42" t="s">
        <v>159</v>
      </c>
      <c r="AJ68" s="19" t="s">
        <v>52</v>
      </c>
      <c r="AK68" s="19"/>
      <c r="AL68" s="43"/>
    </row>
    <row r="69" spans="1:38" ht="14.25" customHeight="1">
      <c r="A69" s="30"/>
      <c r="B69" s="31"/>
      <c r="C69" s="19"/>
      <c r="D69" s="32">
        <v>2021</v>
      </c>
      <c r="E69" s="19"/>
      <c r="F69" s="19"/>
      <c r="G69" s="33"/>
      <c r="H69" s="19" t="s">
        <v>154</v>
      </c>
      <c r="I69" s="19" t="s">
        <v>155</v>
      </c>
      <c r="J69" s="34">
        <v>44469</v>
      </c>
      <c r="K69" s="34"/>
      <c r="L69" s="34"/>
      <c r="M69" s="34"/>
      <c r="N69" s="34"/>
      <c r="O69" s="34"/>
      <c r="P69" s="19"/>
      <c r="Q69" s="19"/>
      <c r="R69" s="19"/>
      <c r="S69" s="99" t="s">
        <v>82</v>
      </c>
      <c r="T69" s="16" t="s">
        <v>163</v>
      </c>
      <c r="U69" s="16"/>
      <c r="V69" s="16"/>
      <c r="W69" s="22"/>
      <c r="X69" s="22">
        <v>1</v>
      </c>
      <c r="Y69" s="23">
        <v>2400</v>
      </c>
      <c r="Z69" s="148">
        <f t="shared" si="3"/>
        <v>2400</v>
      </c>
      <c r="AA69" s="138">
        <v>8.2500000000000004E-2</v>
      </c>
      <c r="AB69" s="37">
        <f t="shared" si="4"/>
        <v>198</v>
      </c>
      <c r="AC69" s="41">
        <f t="shared" si="5"/>
        <v>2598</v>
      </c>
      <c r="AD69" s="19" t="s">
        <v>47</v>
      </c>
      <c r="AE69" s="19">
        <v>30</v>
      </c>
      <c r="AF69" s="19">
        <v>30</v>
      </c>
      <c r="AG69" s="34" t="s">
        <v>158</v>
      </c>
      <c r="AH69" s="42" t="s">
        <v>50</v>
      </c>
      <c r="AI69" s="42" t="s">
        <v>159</v>
      </c>
      <c r="AJ69" s="19" t="s">
        <v>52</v>
      </c>
      <c r="AK69" s="19"/>
      <c r="AL69" s="43"/>
    </row>
    <row r="70" spans="1:38" ht="14.25" customHeight="1">
      <c r="A70" s="30"/>
      <c r="B70" s="31"/>
      <c r="C70" s="19"/>
      <c r="D70" s="32">
        <v>2021</v>
      </c>
      <c r="E70" s="19"/>
      <c r="F70" s="19"/>
      <c r="G70" s="33"/>
      <c r="H70" s="19" t="s">
        <v>154</v>
      </c>
      <c r="I70" s="19" t="s">
        <v>155</v>
      </c>
      <c r="J70" s="34">
        <v>44469</v>
      </c>
      <c r="K70" s="34"/>
      <c r="L70" s="34"/>
      <c r="M70" s="34"/>
      <c r="N70" s="34"/>
      <c r="O70" s="34"/>
      <c r="P70" s="19"/>
      <c r="Q70" s="19"/>
      <c r="R70" s="19"/>
      <c r="S70" s="98" t="s">
        <v>84</v>
      </c>
      <c r="T70" s="19" t="s">
        <v>164</v>
      </c>
      <c r="U70" s="19"/>
      <c r="V70" s="19"/>
      <c r="W70" s="36"/>
      <c r="X70" s="36">
        <v>1</v>
      </c>
      <c r="Y70" s="37">
        <v>3600</v>
      </c>
      <c r="Z70" s="147">
        <f t="shared" si="3"/>
        <v>3600</v>
      </c>
      <c r="AA70" s="138"/>
      <c r="AB70" s="37">
        <f t="shared" si="4"/>
        <v>0</v>
      </c>
      <c r="AC70" s="41">
        <f t="shared" si="5"/>
        <v>3600</v>
      </c>
      <c r="AD70" s="19" t="s">
        <v>47</v>
      </c>
      <c r="AE70" s="19">
        <v>30</v>
      </c>
      <c r="AF70" s="19">
        <v>30</v>
      </c>
      <c r="AG70" s="34" t="s">
        <v>158</v>
      </c>
      <c r="AH70" s="42" t="s">
        <v>50</v>
      </c>
      <c r="AI70" s="42" t="s">
        <v>159</v>
      </c>
      <c r="AJ70" s="19" t="s">
        <v>52</v>
      </c>
      <c r="AK70" s="19"/>
      <c r="AL70" s="43"/>
    </row>
    <row r="71" spans="1:38" ht="14.25" customHeight="1">
      <c r="A71" s="30"/>
      <c r="B71" s="31"/>
      <c r="C71" s="19"/>
      <c r="D71" s="32">
        <v>2021</v>
      </c>
      <c r="E71" s="19"/>
      <c r="F71" s="19"/>
      <c r="G71" s="33"/>
      <c r="H71" s="19" t="s">
        <v>154</v>
      </c>
      <c r="I71" s="19" t="s">
        <v>155</v>
      </c>
      <c r="J71" s="34">
        <v>44469</v>
      </c>
      <c r="K71" s="34"/>
      <c r="L71" s="34"/>
      <c r="M71" s="34"/>
      <c r="N71" s="34"/>
      <c r="O71" s="34"/>
      <c r="P71" s="19"/>
      <c r="Q71" s="19"/>
      <c r="R71" s="19"/>
      <c r="S71" s="98" t="s">
        <v>165</v>
      </c>
      <c r="T71" s="19" t="s">
        <v>166</v>
      </c>
      <c r="U71" s="19"/>
      <c r="V71" s="19"/>
      <c r="W71" s="36"/>
      <c r="X71" s="36">
        <v>1</v>
      </c>
      <c r="Y71" s="37">
        <v>5000</v>
      </c>
      <c r="Z71" s="147">
        <f t="shared" si="3"/>
        <v>5000</v>
      </c>
      <c r="AA71" s="138"/>
      <c r="AB71" s="37">
        <f t="shared" si="4"/>
        <v>0</v>
      </c>
      <c r="AC71" s="41">
        <f t="shared" si="5"/>
        <v>5000</v>
      </c>
      <c r="AD71" s="19" t="s">
        <v>47</v>
      </c>
      <c r="AE71" s="19">
        <v>30</v>
      </c>
      <c r="AF71" s="19">
        <v>30</v>
      </c>
      <c r="AG71" s="34" t="s">
        <v>158</v>
      </c>
      <c r="AH71" s="42" t="s">
        <v>50</v>
      </c>
      <c r="AI71" s="42" t="s">
        <v>159</v>
      </c>
      <c r="AJ71" s="19" t="s">
        <v>52</v>
      </c>
      <c r="AK71" s="19"/>
      <c r="AL71" s="43"/>
    </row>
    <row r="72" spans="1:38" ht="14.25" customHeight="1" thickBot="1">
      <c r="A72" s="30"/>
      <c r="B72" s="31"/>
      <c r="C72" s="19"/>
      <c r="D72" s="32">
        <v>2021</v>
      </c>
      <c r="E72" s="19"/>
      <c r="F72" s="19"/>
      <c r="G72" s="33"/>
      <c r="H72" s="19" t="s">
        <v>154</v>
      </c>
      <c r="I72" s="19" t="s">
        <v>155</v>
      </c>
      <c r="J72" s="34">
        <v>44469</v>
      </c>
      <c r="K72" s="34"/>
      <c r="L72" s="34"/>
      <c r="M72" s="34"/>
      <c r="N72" s="34"/>
      <c r="O72" s="34"/>
      <c r="P72" s="19"/>
      <c r="Q72" s="19"/>
      <c r="R72" s="19"/>
      <c r="S72" s="103" t="s">
        <v>153</v>
      </c>
      <c r="T72" s="49" t="s">
        <v>167</v>
      </c>
      <c r="U72" s="49"/>
      <c r="V72" s="49"/>
      <c r="W72" s="65"/>
      <c r="X72" s="65">
        <v>362</v>
      </c>
      <c r="Y72" s="66">
        <v>32.619999999999997</v>
      </c>
      <c r="Z72" s="149">
        <f t="shared" si="3"/>
        <v>11808.439999999999</v>
      </c>
      <c r="AA72" s="138"/>
      <c r="AB72" s="37">
        <f t="shared" si="4"/>
        <v>0</v>
      </c>
      <c r="AC72" s="41">
        <f t="shared" si="5"/>
        <v>11808.439999999999</v>
      </c>
      <c r="AD72" s="19" t="s">
        <v>47</v>
      </c>
      <c r="AE72" s="19">
        <v>30</v>
      </c>
      <c r="AF72" s="19">
        <v>30</v>
      </c>
      <c r="AG72" s="34" t="s">
        <v>158</v>
      </c>
      <c r="AH72" s="42" t="s">
        <v>50</v>
      </c>
      <c r="AI72" s="42" t="s">
        <v>159</v>
      </c>
      <c r="AJ72" s="19" t="s">
        <v>52</v>
      </c>
      <c r="AK72" s="19"/>
      <c r="AL72" s="43"/>
    </row>
    <row r="73" spans="1:38" ht="14.25" customHeight="1">
      <c r="A73" s="30"/>
      <c r="B73" s="31"/>
      <c r="C73" s="19"/>
      <c r="D73" s="32">
        <v>2021</v>
      </c>
      <c r="E73" s="19"/>
      <c r="F73" s="19"/>
      <c r="G73" s="33"/>
      <c r="H73" s="19" t="s">
        <v>154</v>
      </c>
      <c r="I73" s="19" t="s">
        <v>155</v>
      </c>
      <c r="J73" s="34">
        <v>44469</v>
      </c>
      <c r="K73" s="34"/>
      <c r="L73" s="34"/>
      <c r="M73" s="34"/>
      <c r="N73" s="34"/>
      <c r="O73" s="34"/>
      <c r="P73" s="19"/>
      <c r="Q73" s="19"/>
      <c r="R73" s="19"/>
      <c r="S73" s="99" t="s">
        <v>168</v>
      </c>
      <c r="T73" s="16" t="s">
        <v>169</v>
      </c>
      <c r="U73" s="16" t="s">
        <v>72</v>
      </c>
      <c r="V73" s="16"/>
      <c r="W73" s="22"/>
      <c r="X73" s="22">
        <v>362</v>
      </c>
      <c r="Y73" s="23">
        <v>41.18</v>
      </c>
      <c r="Z73" s="148">
        <f t="shared" si="3"/>
        <v>14907.16</v>
      </c>
      <c r="AA73" s="138"/>
      <c r="AB73" s="37">
        <f t="shared" si="4"/>
        <v>0</v>
      </c>
      <c r="AC73" s="41">
        <f t="shared" si="5"/>
        <v>14907.16</v>
      </c>
      <c r="AD73" s="19" t="s">
        <v>47</v>
      </c>
      <c r="AE73" s="19">
        <v>30</v>
      </c>
      <c r="AF73" s="19">
        <v>30</v>
      </c>
      <c r="AG73" s="34" t="s">
        <v>158</v>
      </c>
      <c r="AH73" s="42" t="s">
        <v>50</v>
      </c>
      <c r="AI73" s="42" t="s">
        <v>159</v>
      </c>
      <c r="AJ73" s="19" t="s">
        <v>52</v>
      </c>
      <c r="AK73" s="19"/>
      <c r="AL73" s="43"/>
    </row>
    <row r="74" spans="1:38" ht="14.25" customHeight="1">
      <c r="A74" s="30"/>
      <c r="B74" s="31"/>
      <c r="C74" s="19"/>
      <c r="D74" s="32">
        <v>2021</v>
      </c>
      <c r="E74" s="19"/>
      <c r="F74" s="19"/>
      <c r="G74" s="33"/>
      <c r="H74" s="19" t="s">
        <v>154</v>
      </c>
      <c r="I74" s="19" t="s">
        <v>155</v>
      </c>
      <c r="J74" s="34">
        <v>44469</v>
      </c>
      <c r="K74" s="34"/>
      <c r="L74" s="34"/>
      <c r="M74" s="34"/>
      <c r="N74" s="34"/>
      <c r="O74" s="34"/>
      <c r="P74" s="19"/>
      <c r="Q74" s="19"/>
      <c r="R74" s="19"/>
      <c r="S74" s="98" t="s">
        <v>170</v>
      </c>
      <c r="T74" s="19" t="s">
        <v>171</v>
      </c>
      <c r="U74" s="19" t="s">
        <v>72</v>
      </c>
      <c r="V74" s="19"/>
      <c r="W74" s="36"/>
      <c r="X74" s="36">
        <v>362</v>
      </c>
      <c r="Y74" s="37">
        <v>68.91</v>
      </c>
      <c r="Z74" s="147">
        <f t="shared" si="3"/>
        <v>24945.42</v>
      </c>
      <c r="AA74" s="138"/>
      <c r="AB74" s="37">
        <f t="shared" si="4"/>
        <v>0</v>
      </c>
      <c r="AC74" s="41">
        <f t="shared" si="5"/>
        <v>24945.42</v>
      </c>
      <c r="AD74" s="19" t="s">
        <v>47</v>
      </c>
      <c r="AE74" s="19">
        <v>30</v>
      </c>
      <c r="AF74" s="19">
        <v>30</v>
      </c>
      <c r="AG74" s="34" t="s">
        <v>158</v>
      </c>
      <c r="AH74" s="42" t="s">
        <v>50</v>
      </c>
      <c r="AI74" s="42" t="s">
        <v>159</v>
      </c>
      <c r="AJ74" s="19" t="s">
        <v>52</v>
      </c>
      <c r="AK74" s="19"/>
      <c r="AL74" s="43"/>
    </row>
    <row r="75" spans="1:38" ht="14.25" customHeight="1">
      <c r="A75" s="30"/>
      <c r="B75" s="31"/>
      <c r="C75" s="19"/>
      <c r="D75" s="32">
        <v>2021</v>
      </c>
      <c r="E75" s="19"/>
      <c r="F75" s="19"/>
      <c r="G75" s="33"/>
      <c r="H75" s="19" t="s">
        <v>154</v>
      </c>
      <c r="I75" s="19" t="s">
        <v>155</v>
      </c>
      <c r="J75" s="34">
        <v>44469</v>
      </c>
      <c r="K75" s="34"/>
      <c r="L75" s="34"/>
      <c r="M75" s="34"/>
      <c r="N75" s="34"/>
      <c r="O75" s="34"/>
      <c r="P75" s="19"/>
      <c r="Q75" s="19"/>
      <c r="R75" s="19"/>
      <c r="S75" s="98" t="s">
        <v>172</v>
      </c>
      <c r="T75" s="19" t="s">
        <v>173</v>
      </c>
      <c r="U75" s="19" t="s">
        <v>72</v>
      </c>
      <c r="V75" s="19"/>
      <c r="W75" s="36"/>
      <c r="X75" s="36">
        <v>362</v>
      </c>
      <c r="Y75" s="37">
        <v>27.73</v>
      </c>
      <c r="Z75" s="147">
        <f t="shared" si="3"/>
        <v>10038.26</v>
      </c>
      <c r="AA75" s="138"/>
      <c r="AB75" s="37">
        <f t="shared" si="4"/>
        <v>0</v>
      </c>
      <c r="AC75" s="41">
        <f t="shared" si="5"/>
        <v>10038.26</v>
      </c>
      <c r="AD75" s="19" t="s">
        <v>47</v>
      </c>
      <c r="AE75" s="19">
        <v>30</v>
      </c>
      <c r="AF75" s="19">
        <v>30</v>
      </c>
      <c r="AG75" s="34" t="s">
        <v>158</v>
      </c>
      <c r="AH75" s="42" t="s">
        <v>50</v>
      </c>
      <c r="AI75" s="42" t="s">
        <v>159</v>
      </c>
      <c r="AJ75" s="19" t="s">
        <v>52</v>
      </c>
      <c r="AK75" s="19"/>
      <c r="AL75" s="43"/>
    </row>
    <row r="76" spans="1:38" ht="14.25" customHeight="1" thickBot="1">
      <c r="A76" s="30"/>
      <c r="B76" s="31"/>
      <c r="C76" s="19"/>
      <c r="D76" s="32">
        <v>2021</v>
      </c>
      <c r="E76" s="19"/>
      <c r="F76" s="19"/>
      <c r="G76" s="33"/>
      <c r="H76" s="19" t="s">
        <v>154</v>
      </c>
      <c r="I76" s="19" t="s">
        <v>155</v>
      </c>
      <c r="J76" s="34">
        <v>44469</v>
      </c>
      <c r="K76" s="34"/>
      <c r="L76" s="34"/>
      <c r="M76" s="34"/>
      <c r="N76" s="34"/>
      <c r="O76" s="34"/>
      <c r="P76" s="19"/>
      <c r="Q76" s="19"/>
      <c r="R76" s="19"/>
      <c r="S76" s="103" t="s">
        <v>174</v>
      </c>
      <c r="T76" s="49" t="s">
        <v>175</v>
      </c>
      <c r="U76" s="49" t="s">
        <v>72</v>
      </c>
      <c r="V76" s="49"/>
      <c r="W76" s="65"/>
      <c r="X76" s="65">
        <v>362</v>
      </c>
      <c r="Y76" s="66">
        <v>13.86</v>
      </c>
      <c r="Z76" s="149">
        <f t="shared" si="3"/>
        <v>5017.32</v>
      </c>
      <c r="AA76" s="138"/>
      <c r="AB76" s="37">
        <f t="shared" si="4"/>
        <v>0</v>
      </c>
      <c r="AC76" s="41">
        <f t="shared" si="5"/>
        <v>5017.32</v>
      </c>
      <c r="AD76" s="19" t="s">
        <v>47</v>
      </c>
      <c r="AE76" s="19">
        <v>30</v>
      </c>
      <c r="AF76" s="19">
        <v>30</v>
      </c>
      <c r="AG76" s="34" t="s">
        <v>158</v>
      </c>
      <c r="AH76" s="42" t="s">
        <v>50</v>
      </c>
      <c r="AI76" s="42" t="s">
        <v>159</v>
      </c>
      <c r="AJ76" s="19" t="s">
        <v>52</v>
      </c>
      <c r="AK76" s="19"/>
      <c r="AL76" s="43"/>
    </row>
    <row r="79" spans="1:38" ht="13.5" customHeight="1" thickBot="1">
      <c r="A79" s="5" t="s">
        <v>1</v>
      </c>
      <c r="B79" s="5" t="s">
        <v>2</v>
      </c>
      <c r="C79" s="6" t="s">
        <v>3</v>
      </c>
      <c r="D79" s="7" t="s">
        <v>4</v>
      </c>
      <c r="E79" s="7" t="s">
        <v>5</v>
      </c>
      <c r="F79" s="5" t="s">
        <v>6</v>
      </c>
      <c r="G79" s="8" t="s">
        <v>7</v>
      </c>
      <c r="H79" s="5" t="s">
        <v>8</v>
      </c>
      <c r="I79" s="5" t="s">
        <v>9</v>
      </c>
      <c r="J79" s="8" t="s">
        <v>10</v>
      </c>
      <c r="K79" s="8" t="s">
        <v>11</v>
      </c>
      <c r="L79" s="9" t="s">
        <v>12</v>
      </c>
      <c r="M79" s="8" t="s">
        <v>13</v>
      </c>
      <c r="N79" s="8" t="s">
        <v>14</v>
      </c>
      <c r="O79" s="8" t="s">
        <v>15</v>
      </c>
      <c r="P79" s="5" t="s">
        <v>16</v>
      </c>
      <c r="Q79" s="5" t="s">
        <v>17</v>
      </c>
      <c r="R79" s="5"/>
      <c r="S79" s="5" t="s">
        <v>19</v>
      </c>
      <c r="T79" s="5" t="s">
        <v>20</v>
      </c>
      <c r="U79" s="5" t="s">
        <v>21</v>
      </c>
      <c r="V79" s="5" t="s">
        <v>22</v>
      </c>
      <c r="W79" s="6" t="s">
        <v>23</v>
      </c>
      <c r="X79" s="6" t="s">
        <v>24</v>
      </c>
      <c r="Y79" s="10" t="s">
        <v>25</v>
      </c>
      <c r="Z79" s="11" t="s">
        <v>26</v>
      </c>
      <c r="AA79" s="12" t="s">
        <v>27</v>
      </c>
      <c r="AB79" s="13" t="s">
        <v>28</v>
      </c>
      <c r="AC79" s="13" t="s">
        <v>29</v>
      </c>
      <c r="AD79" s="13" t="s">
        <v>30</v>
      </c>
      <c r="AE79" s="13" t="s">
        <v>31</v>
      </c>
      <c r="AF79" s="13" t="s">
        <v>32</v>
      </c>
      <c r="AG79" s="11" t="s">
        <v>33</v>
      </c>
      <c r="AH79" s="11" t="s">
        <v>34</v>
      </c>
      <c r="AI79" s="11" t="s">
        <v>35</v>
      </c>
      <c r="AJ79" s="11" t="s">
        <v>36</v>
      </c>
      <c r="AK79" s="5" t="s">
        <v>37</v>
      </c>
      <c r="AL79" s="5" t="s">
        <v>38</v>
      </c>
    </row>
    <row r="80" spans="1:38" ht="14.25" customHeight="1">
      <c r="A80" s="30"/>
      <c r="B80" s="31"/>
      <c r="C80" s="19"/>
      <c r="D80" s="32">
        <v>2022</v>
      </c>
      <c r="E80" s="19"/>
      <c r="F80" s="19"/>
      <c r="G80" s="33"/>
      <c r="H80" s="19" t="s">
        <v>176</v>
      </c>
      <c r="I80" s="19" t="s">
        <v>177</v>
      </c>
      <c r="J80" s="34">
        <v>44412</v>
      </c>
      <c r="K80" s="34"/>
      <c r="L80" s="34"/>
      <c r="M80" s="34"/>
      <c r="N80" s="34"/>
      <c r="O80" s="34"/>
      <c r="P80" s="19"/>
      <c r="Q80" s="19"/>
      <c r="R80" s="19"/>
      <c r="S80" s="98" t="s">
        <v>178</v>
      </c>
      <c r="T80" s="19" t="s">
        <v>157</v>
      </c>
      <c r="U80" s="19" t="s">
        <v>100</v>
      </c>
      <c r="V80" s="19">
        <v>150</v>
      </c>
      <c r="W80" s="36">
        <v>373</v>
      </c>
      <c r="X80" s="36">
        <v>1</v>
      </c>
      <c r="Y80" s="37">
        <v>158883.75</v>
      </c>
      <c r="Z80" s="148">
        <f t="shared" ref="Z80:Z87" si="6">X80*Y80</f>
        <v>158883.75</v>
      </c>
      <c r="AA80" s="138">
        <v>7.2499999999999995E-2</v>
      </c>
      <c r="AB80" s="37">
        <f t="shared" ref="AB80:AB87" si="7">Z80*AA80</f>
        <v>11519.071875</v>
      </c>
      <c r="AC80" s="41">
        <f t="shared" ref="AC80:AC87" si="8">Z80+AB80</f>
        <v>170402.82187499999</v>
      </c>
      <c r="AD80" s="19" t="s">
        <v>47</v>
      </c>
      <c r="AE80" s="19">
        <v>30</v>
      </c>
      <c r="AF80" s="19">
        <v>30</v>
      </c>
      <c r="AG80" s="34" t="s">
        <v>179</v>
      </c>
      <c r="AH80" s="42" t="s">
        <v>50</v>
      </c>
      <c r="AI80" s="42" t="s">
        <v>180</v>
      </c>
      <c r="AJ80" s="19" t="s">
        <v>52</v>
      </c>
      <c r="AK80" s="19"/>
      <c r="AL80" s="43"/>
    </row>
    <row r="81" spans="1:38" ht="14.25" customHeight="1">
      <c r="A81" s="30"/>
      <c r="B81" s="31"/>
      <c r="C81" s="19"/>
      <c r="D81" s="32">
        <v>2022</v>
      </c>
      <c r="E81" s="19"/>
      <c r="F81" s="19"/>
      <c r="G81" s="33"/>
      <c r="H81" s="19" t="s">
        <v>176</v>
      </c>
      <c r="I81" s="19" t="s">
        <v>177</v>
      </c>
      <c r="J81" s="34">
        <v>44412</v>
      </c>
      <c r="K81" s="34"/>
      <c r="L81" s="34"/>
      <c r="M81" s="34"/>
      <c r="N81" s="34"/>
      <c r="O81" s="34"/>
      <c r="P81" s="19"/>
      <c r="Q81" s="19"/>
      <c r="R81" s="19"/>
      <c r="S81" s="98" t="s">
        <v>178</v>
      </c>
      <c r="T81" s="19" t="s">
        <v>157</v>
      </c>
      <c r="U81" s="19" t="s">
        <v>100</v>
      </c>
      <c r="V81" s="19"/>
      <c r="W81" s="36"/>
      <c r="X81" s="36">
        <v>1</v>
      </c>
      <c r="Y81" s="37">
        <v>35254.25</v>
      </c>
      <c r="Z81" s="147">
        <f t="shared" si="6"/>
        <v>35254.25</v>
      </c>
      <c r="AA81" s="138"/>
      <c r="AB81" s="37"/>
      <c r="AC81" s="41">
        <f t="shared" si="8"/>
        <v>35254.25</v>
      </c>
      <c r="AD81" s="19" t="s">
        <v>47</v>
      </c>
      <c r="AE81" s="19">
        <v>30</v>
      </c>
      <c r="AF81" s="19">
        <v>30</v>
      </c>
      <c r="AG81" s="34" t="s">
        <v>179</v>
      </c>
      <c r="AH81" s="42" t="s">
        <v>50</v>
      </c>
      <c r="AI81" s="42" t="s">
        <v>180</v>
      </c>
      <c r="AJ81" s="19" t="s">
        <v>52</v>
      </c>
      <c r="AK81" s="19"/>
      <c r="AL81" s="43"/>
    </row>
    <row r="82" spans="1:38" ht="14.25" customHeight="1">
      <c r="A82" s="30"/>
      <c r="B82" s="31"/>
      <c r="C82" s="19"/>
      <c r="D82" s="32">
        <v>2022</v>
      </c>
      <c r="E82" s="19"/>
      <c r="F82" s="19"/>
      <c r="G82" s="33"/>
      <c r="H82" s="19" t="s">
        <v>176</v>
      </c>
      <c r="I82" s="19" t="s">
        <v>177</v>
      </c>
      <c r="J82" s="34">
        <v>44412</v>
      </c>
      <c r="K82" s="34"/>
      <c r="L82" s="34"/>
      <c r="M82" s="34"/>
      <c r="N82" s="34"/>
      <c r="O82" s="34"/>
      <c r="P82" s="19"/>
      <c r="Q82" s="19"/>
      <c r="R82" s="19"/>
      <c r="S82" s="98" t="s">
        <v>181</v>
      </c>
      <c r="T82" s="19" t="s">
        <v>157</v>
      </c>
      <c r="U82" s="19" t="s">
        <v>100</v>
      </c>
      <c r="V82" s="19"/>
      <c r="W82" s="36"/>
      <c r="X82" s="36">
        <v>1</v>
      </c>
      <c r="Y82" s="37">
        <v>8613</v>
      </c>
      <c r="Z82" s="147">
        <f t="shared" si="6"/>
        <v>8613</v>
      </c>
      <c r="AA82" s="138">
        <v>7.2499999999999995E-2</v>
      </c>
      <c r="AB82" s="37">
        <f t="shared" si="7"/>
        <v>624.4425</v>
      </c>
      <c r="AC82" s="41">
        <f t="shared" si="8"/>
        <v>9237.4424999999992</v>
      </c>
      <c r="AD82" s="19" t="s">
        <v>47</v>
      </c>
      <c r="AE82" s="19">
        <v>30</v>
      </c>
      <c r="AF82" s="19">
        <v>30</v>
      </c>
      <c r="AG82" s="34" t="s">
        <v>179</v>
      </c>
      <c r="AH82" s="42" t="s">
        <v>50</v>
      </c>
      <c r="AI82" s="42" t="s">
        <v>180</v>
      </c>
      <c r="AJ82" s="19" t="s">
        <v>52</v>
      </c>
      <c r="AK82" s="19"/>
      <c r="AL82" s="43"/>
    </row>
    <row r="83" spans="1:38" ht="14.25" customHeight="1" thickBot="1">
      <c r="A83" s="30"/>
      <c r="B83" s="31"/>
      <c r="C83" s="19"/>
      <c r="D83" s="32">
        <v>2022</v>
      </c>
      <c r="E83" s="19"/>
      <c r="F83" s="19"/>
      <c r="G83" s="33"/>
      <c r="H83" s="19" t="s">
        <v>176</v>
      </c>
      <c r="I83" s="19" t="s">
        <v>177</v>
      </c>
      <c r="J83" s="34">
        <v>44412</v>
      </c>
      <c r="K83" s="34"/>
      <c r="L83" s="34"/>
      <c r="M83" s="34"/>
      <c r="N83" s="34"/>
      <c r="O83" s="34"/>
      <c r="P83" s="19"/>
      <c r="Q83" s="19"/>
      <c r="R83" s="19"/>
      <c r="S83" s="98" t="s">
        <v>104</v>
      </c>
      <c r="T83" s="19"/>
      <c r="U83" s="19" t="s">
        <v>100</v>
      </c>
      <c r="V83" s="19"/>
      <c r="W83" s="36"/>
      <c r="X83" s="36">
        <v>1</v>
      </c>
      <c r="Y83" s="37">
        <v>5220</v>
      </c>
      <c r="Z83" s="147">
        <f t="shared" si="6"/>
        <v>5220</v>
      </c>
      <c r="AA83" s="138">
        <v>7.2499999999999995E-2</v>
      </c>
      <c r="AB83" s="37">
        <f t="shared" si="7"/>
        <v>378.45</v>
      </c>
      <c r="AC83" s="41">
        <f t="shared" si="8"/>
        <v>5598.45</v>
      </c>
      <c r="AD83" s="19" t="s">
        <v>47</v>
      </c>
      <c r="AE83" s="19">
        <v>30</v>
      </c>
      <c r="AF83" s="19">
        <v>30</v>
      </c>
      <c r="AG83" s="34" t="s">
        <v>179</v>
      </c>
      <c r="AH83" s="42" t="s">
        <v>50</v>
      </c>
      <c r="AI83" s="42" t="s">
        <v>180</v>
      </c>
      <c r="AJ83" s="19" t="s">
        <v>52</v>
      </c>
      <c r="AK83" s="19"/>
      <c r="AL83" s="43"/>
    </row>
    <row r="84" spans="1:38" ht="14.25" customHeight="1">
      <c r="A84" s="30"/>
      <c r="B84" s="31"/>
      <c r="C84" s="19"/>
      <c r="D84" s="32">
        <v>2022</v>
      </c>
      <c r="E84" s="19"/>
      <c r="F84" s="19"/>
      <c r="G84" s="33"/>
      <c r="H84" s="19" t="s">
        <v>176</v>
      </c>
      <c r="I84" s="19" t="s">
        <v>177</v>
      </c>
      <c r="J84" s="34">
        <v>44412</v>
      </c>
      <c r="K84" s="34"/>
      <c r="L84" s="34"/>
      <c r="M84" s="34"/>
      <c r="N84" s="34"/>
      <c r="O84" s="34"/>
      <c r="P84" s="19"/>
      <c r="Q84" s="19"/>
      <c r="R84" s="19"/>
      <c r="S84" s="99" t="s">
        <v>82</v>
      </c>
      <c r="T84" s="16" t="s">
        <v>163</v>
      </c>
      <c r="U84" s="16"/>
      <c r="V84" s="16"/>
      <c r="W84" s="22"/>
      <c r="X84" s="22">
        <v>1</v>
      </c>
      <c r="Y84" s="23">
        <v>2800</v>
      </c>
      <c r="Z84" s="148">
        <f t="shared" si="6"/>
        <v>2800</v>
      </c>
      <c r="AA84" s="138">
        <v>7.2499999999999995E-2</v>
      </c>
      <c r="AB84" s="37">
        <f t="shared" si="7"/>
        <v>203</v>
      </c>
      <c r="AC84" s="41">
        <f t="shared" si="8"/>
        <v>3003</v>
      </c>
      <c r="AD84" s="19" t="s">
        <v>47</v>
      </c>
      <c r="AE84" s="19">
        <v>30</v>
      </c>
      <c r="AF84" s="19">
        <v>30</v>
      </c>
      <c r="AG84" s="34" t="s">
        <v>179</v>
      </c>
      <c r="AH84" s="42" t="s">
        <v>50</v>
      </c>
      <c r="AI84" s="42" t="s">
        <v>180</v>
      </c>
      <c r="AJ84" s="19" t="s">
        <v>52</v>
      </c>
      <c r="AK84" s="19"/>
      <c r="AL84" s="43"/>
    </row>
    <row r="85" spans="1:38" ht="14.25" customHeight="1">
      <c r="A85" s="30"/>
      <c r="B85" s="31"/>
      <c r="C85" s="19"/>
      <c r="D85" s="32">
        <v>2022</v>
      </c>
      <c r="E85" s="19"/>
      <c r="F85" s="19"/>
      <c r="G85" s="33"/>
      <c r="H85" s="19" t="s">
        <v>176</v>
      </c>
      <c r="I85" s="19" t="s">
        <v>177</v>
      </c>
      <c r="J85" s="34">
        <v>44412</v>
      </c>
      <c r="K85" s="34"/>
      <c r="L85" s="34"/>
      <c r="M85" s="34"/>
      <c r="N85" s="34"/>
      <c r="O85" s="34"/>
      <c r="P85" s="19"/>
      <c r="Q85" s="19"/>
      <c r="R85" s="19"/>
      <c r="S85" s="98" t="s">
        <v>84</v>
      </c>
      <c r="T85" s="19" t="s">
        <v>164</v>
      </c>
      <c r="U85" s="19"/>
      <c r="V85" s="19"/>
      <c r="W85" s="36"/>
      <c r="X85" s="36">
        <v>1</v>
      </c>
      <c r="Y85" s="37">
        <v>4200</v>
      </c>
      <c r="Z85" s="147">
        <f t="shared" si="6"/>
        <v>4200</v>
      </c>
      <c r="AA85" s="138"/>
      <c r="AB85" s="37">
        <f t="shared" si="7"/>
        <v>0</v>
      </c>
      <c r="AC85" s="41">
        <f t="shared" si="8"/>
        <v>4200</v>
      </c>
      <c r="AD85" s="19" t="s">
        <v>47</v>
      </c>
      <c r="AE85" s="19">
        <v>30</v>
      </c>
      <c r="AF85" s="19">
        <v>30</v>
      </c>
      <c r="AG85" s="34" t="s">
        <v>179</v>
      </c>
      <c r="AH85" s="42" t="s">
        <v>50</v>
      </c>
      <c r="AI85" s="42" t="s">
        <v>180</v>
      </c>
      <c r="AJ85" s="19" t="s">
        <v>52</v>
      </c>
      <c r="AK85" s="19"/>
      <c r="AL85" s="43"/>
    </row>
    <row r="86" spans="1:38" ht="14.25" customHeight="1" thickBot="1">
      <c r="A86" s="30"/>
      <c r="B86" s="31"/>
      <c r="C86" s="19"/>
      <c r="D86" s="32">
        <v>2022</v>
      </c>
      <c r="E86" s="19"/>
      <c r="F86" s="19"/>
      <c r="G86" s="33"/>
      <c r="H86" s="19" t="s">
        <v>176</v>
      </c>
      <c r="I86" s="19" t="s">
        <v>177</v>
      </c>
      <c r="J86" s="34">
        <v>44412</v>
      </c>
      <c r="K86" s="34"/>
      <c r="L86" s="34"/>
      <c r="M86" s="34"/>
      <c r="N86" s="34"/>
      <c r="O86" s="34"/>
      <c r="P86" s="19"/>
      <c r="Q86" s="19"/>
      <c r="R86" s="19"/>
      <c r="S86" s="103" t="s">
        <v>153</v>
      </c>
      <c r="T86" s="49" t="s">
        <v>167</v>
      </c>
      <c r="U86" s="49"/>
      <c r="V86" s="49"/>
      <c r="W86" s="65"/>
      <c r="X86" s="65">
        <v>100</v>
      </c>
      <c r="Y86" s="66">
        <v>56</v>
      </c>
      <c r="Z86" s="149">
        <f t="shared" si="6"/>
        <v>5600</v>
      </c>
      <c r="AA86" s="138"/>
      <c r="AB86" s="37">
        <f t="shared" si="7"/>
        <v>0</v>
      </c>
      <c r="AC86" s="41">
        <f t="shared" si="8"/>
        <v>5600</v>
      </c>
      <c r="AD86" s="19" t="s">
        <v>47</v>
      </c>
      <c r="AE86" s="19">
        <v>30</v>
      </c>
      <c r="AF86" s="19">
        <v>30</v>
      </c>
      <c r="AG86" s="34" t="s">
        <v>179</v>
      </c>
      <c r="AH86" s="42" t="s">
        <v>50</v>
      </c>
      <c r="AI86" s="42" t="s">
        <v>180</v>
      </c>
      <c r="AJ86" s="19" t="s">
        <v>52</v>
      </c>
      <c r="AK86" s="19"/>
      <c r="AL86" s="43"/>
    </row>
    <row r="87" spans="1:38" ht="14.25" customHeight="1">
      <c r="A87" s="30"/>
      <c r="B87" s="31"/>
      <c r="C87" s="19"/>
      <c r="D87" s="32">
        <v>2022</v>
      </c>
      <c r="E87" s="19"/>
      <c r="F87" s="19"/>
      <c r="G87" s="33"/>
      <c r="H87" s="19" t="s">
        <v>176</v>
      </c>
      <c r="I87" s="19" t="s">
        <v>177</v>
      </c>
      <c r="J87" s="34">
        <v>44412</v>
      </c>
      <c r="K87" s="34"/>
      <c r="L87" s="34"/>
      <c r="M87" s="34"/>
      <c r="N87" s="34"/>
      <c r="O87" s="34"/>
      <c r="P87" s="19"/>
      <c r="Q87" s="19"/>
      <c r="R87" s="19"/>
      <c r="S87" s="99" t="s">
        <v>73</v>
      </c>
      <c r="T87" s="16" t="s">
        <v>182</v>
      </c>
      <c r="U87" s="16" t="s">
        <v>72</v>
      </c>
      <c r="V87" s="16"/>
      <c r="W87" s="22"/>
      <c r="X87" s="22">
        <v>100</v>
      </c>
      <c r="Y87" s="23">
        <v>10.5</v>
      </c>
      <c r="Z87" s="148">
        <f t="shared" si="6"/>
        <v>1050</v>
      </c>
      <c r="AA87" s="138"/>
      <c r="AB87" s="37">
        <f t="shared" si="7"/>
        <v>0</v>
      </c>
      <c r="AC87" s="41">
        <f t="shared" si="8"/>
        <v>1050</v>
      </c>
      <c r="AD87" s="19" t="s">
        <v>47</v>
      </c>
      <c r="AE87" s="19">
        <v>30</v>
      </c>
      <c r="AF87" s="19">
        <v>30</v>
      </c>
      <c r="AG87" s="34" t="s">
        <v>179</v>
      </c>
      <c r="AH87" s="42" t="s">
        <v>50</v>
      </c>
      <c r="AI87" s="42" t="s">
        <v>180</v>
      </c>
      <c r="AJ87" s="19" t="s">
        <v>52</v>
      </c>
      <c r="AK87" s="19"/>
      <c r="AL87" s="43"/>
    </row>
    <row r="90" spans="1:38" ht="13.5" customHeight="1" thickBot="1">
      <c r="A90" s="5" t="s">
        <v>1</v>
      </c>
      <c r="B90" s="5" t="s">
        <v>2</v>
      </c>
      <c r="C90" s="6" t="s">
        <v>3</v>
      </c>
      <c r="D90" s="7" t="s">
        <v>4</v>
      </c>
      <c r="E90" s="7" t="s">
        <v>5</v>
      </c>
      <c r="F90" s="5" t="s">
        <v>6</v>
      </c>
      <c r="G90" s="8" t="s">
        <v>7</v>
      </c>
      <c r="H90" s="5" t="s">
        <v>8</v>
      </c>
      <c r="I90" s="5" t="s">
        <v>9</v>
      </c>
      <c r="J90" s="8" t="s">
        <v>10</v>
      </c>
      <c r="K90" s="8" t="s">
        <v>11</v>
      </c>
      <c r="L90" s="9" t="s">
        <v>12</v>
      </c>
      <c r="M90" s="8" t="s">
        <v>13</v>
      </c>
      <c r="N90" s="8" t="s">
        <v>14</v>
      </c>
      <c r="O90" s="8" t="s">
        <v>15</v>
      </c>
      <c r="P90" s="5" t="s">
        <v>16</v>
      </c>
      <c r="Q90" s="5" t="s">
        <v>17</v>
      </c>
      <c r="R90" s="5"/>
      <c r="S90" s="5" t="s">
        <v>19</v>
      </c>
      <c r="T90" s="5" t="s">
        <v>20</v>
      </c>
      <c r="U90" s="5" t="s">
        <v>21</v>
      </c>
      <c r="V90" s="5" t="s">
        <v>22</v>
      </c>
      <c r="W90" s="6" t="s">
        <v>23</v>
      </c>
      <c r="X90" s="6" t="s">
        <v>24</v>
      </c>
      <c r="Y90" s="10" t="s">
        <v>25</v>
      </c>
      <c r="Z90" s="11" t="s">
        <v>26</v>
      </c>
      <c r="AA90" s="12" t="s">
        <v>27</v>
      </c>
      <c r="AB90" s="13" t="s">
        <v>28</v>
      </c>
      <c r="AC90" s="13" t="s">
        <v>29</v>
      </c>
      <c r="AD90" s="13" t="s">
        <v>30</v>
      </c>
      <c r="AE90" s="13" t="s">
        <v>31</v>
      </c>
      <c r="AF90" s="13" t="s">
        <v>32</v>
      </c>
      <c r="AG90" s="11" t="s">
        <v>33</v>
      </c>
      <c r="AH90" s="11" t="s">
        <v>34</v>
      </c>
      <c r="AI90" s="11" t="s">
        <v>35</v>
      </c>
      <c r="AJ90" s="11" t="s">
        <v>36</v>
      </c>
      <c r="AK90" s="5" t="s">
        <v>37</v>
      </c>
      <c r="AL90" s="5" t="s">
        <v>38</v>
      </c>
    </row>
    <row r="91" spans="1:38" ht="14.25" customHeight="1">
      <c r="A91" s="30"/>
      <c r="B91" s="31"/>
      <c r="C91" s="19"/>
      <c r="D91" s="32">
        <v>2022</v>
      </c>
      <c r="E91" s="19"/>
      <c r="F91" s="19"/>
      <c r="G91" s="33"/>
      <c r="H91" s="19" t="s">
        <v>183</v>
      </c>
      <c r="I91" s="19" t="s">
        <v>177</v>
      </c>
      <c r="J91" s="34">
        <v>44412</v>
      </c>
      <c r="K91" s="34"/>
      <c r="L91" s="34"/>
      <c r="M91" s="34"/>
      <c r="N91" s="34"/>
      <c r="O91" s="34"/>
      <c r="P91" s="19"/>
      <c r="Q91" s="19"/>
      <c r="R91" s="19"/>
      <c r="S91" s="98" t="s">
        <v>178</v>
      </c>
      <c r="T91" s="19" t="s">
        <v>157</v>
      </c>
      <c r="U91" s="19" t="s">
        <v>100</v>
      </c>
      <c r="V91" s="19">
        <v>150</v>
      </c>
      <c r="W91" s="36">
        <v>373</v>
      </c>
      <c r="X91" s="36">
        <v>1</v>
      </c>
      <c r="Y91" s="37">
        <v>158883.75</v>
      </c>
      <c r="Z91" s="148">
        <f t="shared" ref="Z91:Z98" si="9">X91*Y91</f>
        <v>158883.75</v>
      </c>
      <c r="AA91" s="138">
        <v>7.2499999999999995E-2</v>
      </c>
      <c r="AB91" s="37">
        <f>Z91*AA91</f>
        <v>11519.071875</v>
      </c>
      <c r="AC91" s="41">
        <f t="shared" ref="AC91:AC98" si="10">Z91+AB91</f>
        <v>170402.82187499999</v>
      </c>
      <c r="AD91" s="19" t="s">
        <v>47</v>
      </c>
      <c r="AE91" s="19">
        <v>30</v>
      </c>
      <c r="AF91" s="19">
        <v>30</v>
      </c>
      <c r="AG91" s="34" t="s">
        <v>179</v>
      </c>
      <c r="AH91" s="42" t="s">
        <v>50</v>
      </c>
      <c r="AI91" s="42" t="s">
        <v>180</v>
      </c>
      <c r="AJ91" s="19" t="s">
        <v>52</v>
      </c>
      <c r="AK91" s="19"/>
      <c r="AL91" s="43"/>
    </row>
    <row r="92" spans="1:38" ht="14.25" customHeight="1">
      <c r="A92" s="30"/>
      <c r="B92" s="31"/>
      <c r="C92" s="19"/>
      <c r="D92" s="32">
        <v>2022</v>
      </c>
      <c r="E92" s="19"/>
      <c r="F92" s="19"/>
      <c r="G92" s="33"/>
      <c r="H92" s="19" t="s">
        <v>183</v>
      </c>
      <c r="I92" s="19" t="s">
        <v>177</v>
      </c>
      <c r="J92" s="34">
        <v>44412</v>
      </c>
      <c r="K92" s="34"/>
      <c r="L92" s="34"/>
      <c r="M92" s="34"/>
      <c r="N92" s="34"/>
      <c r="O92" s="34"/>
      <c r="P92" s="19"/>
      <c r="Q92" s="19"/>
      <c r="R92" s="19"/>
      <c r="S92" s="98" t="s">
        <v>178</v>
      </c>
      <c r="T92" s="19" t="s">
        <v>157</v>
      </c>
      <c r="U92" s="19" t="s">
        <v>100</v>
      </c>
      <c r="V92" s="19"/>
      <c r="W92" s="36"/>
      <c r="X92" s="36">
        <v>1</v>
      </c>
      <c r="Y92" s="37">
        <v>35254.25</v>
      </c>
      <c r="Z92" s="147">
        <f t="shared" si="9"/>
        <v>35254.25</v>
      </c>
      <c r="AA92" s="138"/>
      <c r="AB92" s="37"/>
      <c r="AC92" s="41">
        <f t="shared" si="10"/>
        <v>35254.25</v>
      </c>
      <c r="AD92" s="19" t="s">
        <v>47</v>
      </c>
      <c r="AE92" s="19">
        <v>30</v>
      </c>
      <c r="AF92" s="19">
        <v>30</v>
      </c>
      <c r="AG92" s="34" t="s">
        <v>179</v>
      </c>
      <c r="AH92" s="42" t="s">
        <v>50</v>
      </c>
      <c r="AI92" s="42" t="s">
        <v>180</v>
      </c>
      <c r="AJ92" s="19" t="s">
        <v>52</v>
      </c>
      <c r="AK92" s="19"/>
      <c r="AL92" s="43"/>
    </row>
    <row r="93" spans="1:38" ht="14.25" customHeight="1">
      <c r="A93" s="30"/>
      <c r="B93" s="31"/>
      <c r="C93" s="19"/>
      <c r="D93" s="32">
        <v>2022</v>
      </c>
      <c r="E93" s="19"/>
      <c r="F93" s="19"/>
      <c r="G93" s="33"/>
      <c r="H93" s="19" t="s">
        <v>183</v>
      </c>
      <c r="I93" s="19" t="s">
        <v>177</v>
      </c>
      <c r="J93" s="34">
        <v>44412</v>
      </c>
      <c r="K93" s="34"/>
      <c r="L93" s="34"/>
      <c r="M93" s="34"/>
      <c r="N93" s="34"/>
      <c r="O93" s="34"/>
      <c r="P93" s="19"/>
      <c r="Q93" s="19"/>
      <c r="R93" s="19"/>
      <c r="S93" s="98" t="s">
        <v>181</v>
      </c>
      <c r="T93" s="19" t="s">
        <v>157</v>
      </c>
      <c r="U93" s="19" t="s">
        <v>100</v>
      </c>
      <c r="V93" s="19"/>
      <c r="W93" s="36"/>
      <c r="X93" s="36">
        <v>1</v>
      </c>
      <c r="Y93" s="37">
        <v>8613</v>
      </c>
      <c r="Z93" s="147">
        <f t="shared" si="9"/>
        <v>8613</v>
      </c>
      <c r="AA93" s="138">
        <v>7.2499999999999995E-2</v>
      </c>
      <c r="AB93" s="37">
        <f t="shared" ref="AB93:AB98" si="11">Z93*AA93</f>
        <v>624.4425</v>
      </c>
      <c r="AC93" s="41">
        <f t="shared" si="10"/>
        <v>9237.4424999999992</v>
      </c>
      <c r="AD93" s="19" t="s">
        <v>47</v>
      </c>
      <c r="AE93" s="19">
        <v>30</v>
      </c>
      <c r="AF93" s="19">
        <v>30</v>
      </c>
      <c r="AG93" s="34" t="s">
        <v>179</v>
      </c>
      <c r="AH93" s="42" t="s">
        <v>50</v>
      </c>
      <c r="AI93" s="42" t="s">
        <v>180</v>
      </c>
      <c r="AJ93" s="19" t="s">
        <v>52</v>
      </c>
      <c r="AK93" s="19"/>
      <c r="AL93" s="43"/>
    </row>
    <row r="94" spans="1:38" ht="14.25" customHeight="1" thickBot="1">
      <c r="A94" s="30"/>
      <c r="B94" s="31"/>
      <c r="C94" s="19"/>
      <c r="D94" s="32">
        <v>2022</v>
      </c>
      <c r="E94" s="19"/>
      <c r="F94" s="19"/>
      <c r="G94" s="33"/>
      <c r="H94" s="19" t="s">
        <v>183</v>
      </c>
      <c r="I94" s="19" t="s">
        <v>177</v>
      </c>
      <c r="J94" s="34">
        <v>44412</v>
      </c>
      <c r="K94" s="34"/>
      <c r="L94" s="34"/>
      <c r="M94" s="34"/>
      <c r="N94" s="34"/>
      <c r="O94" s="34"/>
      <c r="P94" s="19"/>
      <c r="Q94" s="19"/>
      <c r="R94" s="19"/>
      <c r="S94" s="98" t="s">
        <v>104</v>
      </c>
      <c r="T94" s="19"/>
      <c r="U94" s="19" t="s">
        <v>100</v>
      </c>
      <c r="V94" s="19"/>
      <c r="W94" s="36"/>
      <c r="X94" s="36">
        <v>1</v>
      </c>
      <c r="Y94" s="37">
        <v>5220</v>
      </c>
      <c r="Z94" s="147">
        <f t="shared" si="9"/>
        <v>5220</v>
      </c>
      <c r="AA94" s="138">
        <v>7.2499999999999995E-2</v>
      </c>
      <c r="AB94" s="37">
        <f t="shared" si="11"/>
        <v>378.45</v>
      </c>
      <c r="AC94" s="41">
        <f t="shared" si="10"/>
        <v>5598.45</v>
      </c>
      <c r="AD94" s="19" t="s">
        <v>47</v>
      </c>
      <c r="AE94" s="19">
        <v>30</v>
      </c>
      <c r="AF94" s="19">
        <v>30</v>
      </c>
      <c r="AG94" s="34" t="s">
        <v>179</v>
      </c>
      <c r="AH94" s="42" t="s">
        <v>50</v>
      </c>
      <c r="AI94" s="42" t="s">
        <v>180</v>
      </c>
      <c r="AJ94" s="19" t="s">
        <v>52</v>
      </c>
      <c r="AK94" s="19"/>
      <c r="AL94" s="43"/>
    </row>
    <row r="95" spans="1:38" ht="14.25" customHeight="1">
      <c r="A95" s="30"/>
      <c r="B95" s="31"/>
      <c r="C95" s="19"/>
      <c r="D95" s="32">
        <v>2022</v>
      </c>
      <c r="E95" s="19"/>
      <c r="F95" s="19"/>
      <c r="G95" s="33"/>
      <c r="H95" s="19" t="s">
        <v>183</v>
      </c>
      <c r="I95" s="19" t="s">
        <v>177</v>
      </c>
      <c r="J95" s="34">
        <v>44412</v>
      </c>
      <c r="K95" s="34"/>
      <c r="L95" s="34"/>
      <c r="M95" s="34"/>
      <c r="N95" s="34"/>
      <c r="O95" s="34"/>
      <c r="P95" s="19"/>
      <c r="Q95" s="19"/>
      <c r="R95" s="19"/>
      <c r="S95" s="99" t="s">
        <v>82</v>
      </c>
      <c r="T95" s="16" t="s">
        <v>163</v>
      </c>
      <c r="U95" s="16"/>
      <c r="V95" s="16"/>
      <c r="W95" s="22"/>
      <c r="X95" s="22">
        <v>1</v>
      </c>
      <c r="Y95" s="23">
        <v>2800</v>
      </c>
      <c r="Z95" s="148">
        <f t="shared" si="9"/>
        <v>2800</v>
      </c>
      <c r="AA95" s="138">
        <v>7.2499999999999995E-2</v>
      </c>
      <c r="AB95" s="37">
        <f t="shared" si="11"/>
        <v>203</v>
      </c>
      <c r="AC95" s="41">
        <f t="shared" si="10"/>
        <v>3003</v>
      </c>
      <c r="AD95" s="19" t="s">
        <v>47</v>
      </c>
      <c r="AE95" s="19">
        <v>30</v>
      </c>
      <c r="AF95" s="19">
        <v>30</v>
      </c>
      <c r="AG95" s="34" t="s">
        <v>179</v>
      </c>
      <c r="AH95" s="42" t="s">
        <v>50</v>
      </c>
      <c r="AI95" s="42" t="s">
        <v>180</v>
      </c>
      <c r="AJ95" s="19" t="s">
        <v>52</v>
      </c>
      <c r="AK95" s="19"/>
      <c r="AL95" s="43"/>
    </row>
    <row r="96" spans="1:38" ht="14.25" customHeight="1">
      <c r="A96" s="30"/>
      <c r="B96" s="31"/>
      <c r="C96" s="19"/>
      <c r="D96" s="32">
        <v>2022</v>
      </c>
      <c r="E96" s="19"/>
      <c r="F96" s="19"/>
      <c r="G96" s="33"/>
      <c r="H96" s="19" t="s">
        <v>183</v>
      </c>
      <c r="I96" s="19" t="s">
        <v>177</v>
      </c>
      <c r="J96" s="34">
        <v>44412</v>
      </c>
      <c r="K96" s="34"/>
      <c r="L96" s="34"/>
      <c r="M96" s="34"/>
      <c r="N96" s="34"/>
      <c r="O96" s="34"/>
      <c r="P96" s="19"/>
      <c r="Q96" s="19"/>
      <c r="R96" s="19"/>
      <c r="S96" s="98" t="s">
        <v>84</v>
      </c>
      <c r="T96" s="19" t="s">
        <v>164</v>
      </c>
      <c r="U96" s="19"/>
      <c r="V96" s="19"/>
      <c r="W96" s="36"/>
      <c r="X96" s="36">
        <v>1</v>
      </c>
      <c r="Y96" s="37">
        <v>4200</v>
      </c>
      <c r="Z96" s="147">
        <f t="shared" si="9"/>
        <v>4200</v>
      </c>
      <c r="AA96" s="138"/>
      <c r="AB96" s="37">
        <f t="shared" si="11"/>
        <v>0</v>
      </c>
      <c r="AC96" s="41">
        <f t="shared" si="10"/>
        <v>4200</v>
      </c>
      <c r="AD96" s="19" t="s">
        <v>47</v>
      </c>
      <c r="AE96" s="19">
        <v>30</v>
      </c>
      <c r="AF96" s="19">
        <v>30</v>
      </c>
      <c r="AG96" s="34" t="s">
        <v>179</v>
      </c>
      <c r="AH96" s="42" t="s">
        <v>50</v>
      </c>
      <c r="AI96" s="42" t="s">
        <v>180</v>
      </c>
      <c r="AJ96" s="19" t="s">
        <v>52</v>
      </c>
      <c r="AK96" s="19"/>
      <c r="AL96" s="43"/>
    </row>
    <row r="97" spans="1:38" ht="14.25" customHeight="1" thickBot="1">
      <c r="A97" s="30"/>
      <c r="B97" s="31"/>
      <c r="C97" s="19"/>
      <c r="D97" s="32">
        <v>2022</v>
      </c>
      <c r="E97" s="19"/>
      <c r="F97" s="19"/>
      <c r="G97" s="33"/>
      <c r="H97" s="19" t="s">
        <v>183</v>
      </c>
      <c r="I97" s="19" t="s">
        <v>177</v>
      </c>
      <c r="J97" s="34">
        <v>44412</v>
      </c>
      <c r="K97" s="34"/>
      <c r="L97" s="34"/>
      <c r="M97" s="34"/>
      <c r="N97" s="34"/>
      <c r="O97" s="34"/>
      <c r="P97" s="19"/>
      <c r="Q97" s="19"/>
      <c r="R97" s="19"/>
      <c r="S97" s="103" t="s">
        <v>153</v>
      </c>
      <c r="T97" s="49" t="s">
        <v>167</v>
      </c>
      <c r="U97" s="49"/>
      <c r="V97" s="49"/>
      <c r="W97" s="65"/>
      <c r="X97" s="65">
        <v>100</v>
      </c>
      <c r="Y97" s="66">
        <v>56</v>
      </c>
      <c r="Z97" s="149">
        <f t="shared" si="9"/>
        <v>5600</v>
      </c>
      <c r="AA97" s="138"/>
      <c r="AB97" s="37">
        <f t="shared" si="11"/>
        <v>0</v>
      </c>
      <c r="AC97" s="41">
        <f t="shared" si="10"/>
        <v>5600</v>
      </c>
      <c r="AD97" s="19" t="s">
        <v>47</v>
      </c>
      <c r="AE97" s="19">
        <v>30</v>
      </c>
      <c r="AF97" s="19">
        <v>30</v>
      </c>
      <c r="AG97" s="34" t="s">
        <v>179</v>
      </c>
      <c r="AH97" s="42" t="s">
        <v>50</v>
      </c>
      <c r="AI97" s="42" t="s">
        <v>180</v>
      </c>
      <c r="AJ97" s="19" t="s">
        <v>52</v>
      </c>
      <c r="AK97" s="19"/>
      <c r="AL97" s="43"/>
    </row>
    <row r="98" spans="1:38" ht="14.25" customHeight="1">
      <c r="A98" s="30"/>
      <c r="B98" s="31"/>
      <c r="C98" s="19"/>
      <c r="D98" s="32">
        <v>2022</v>
      </c>
      <c r="E98" s="19"/>
      <c r="F98" s="19"/>
      <c r="G98" s="33"/>
      <c r="H98" s="19" t="s">
        <v>183</v>
      </c>
      <c r="I98" s="19" t="s">
        <v>177</v>
      </c>
      <c r="J98" s="34">
        <v>44412</v>
      </c>
      <c r="K98" s="34"/>
      <c r="L98" s="34"/>
      <c r="M98" s="34"/>
      <c r="N98" s="34"/>
      <c r="O98" s="34"/>
      <c r="P98" s="19"/>
      <c r="Q98" s="19"/>
      <c r="R98" s="19"/>
      <c r="S98" s="99" t="s">
        <v>73</v>
      </c>
      <c r="T98" s="16" t="s">
        <v>182</v>
      </c>
      <c r="U98" s="16" t="s">
        <v>72</v>
      </c>
      <c r="V98" s="16"/>
      <c r="W98" s="22"/>
      <c r="X98" s="22">
        <v>100</v>
      </c>
      <c r="Y98" s="23">
        <v>10.5</v>
      </c>
      <c r="Z98" s="148">
        <f t="shared" si="9"/>
        <v>1050</v>
      </c>
      <c r="AA98" s="138"/>
      <c r="AB98" s="37">
        <f t="shared" si="11"/>
        <v>0</v>
      </c>
      <c r="AC98" s="41">
        <f t="shared" si="10"/>
        <v>1050</v>
      </c>
      <c r="AD98" s="19" t="s">
        <v>47</v>
      </c>
      <c r="AE98" s="19">
        <v>30</v>
      </c>
      <c r="AF98" s="19">
        <v>30</v>
      </c>
      <c r="AG98" s="34" t="s">
        <v>179</v>
      </c>
      <c r="AH98" s="42" t="s">
        <v>50</v>
      </c>
      <c r="AI98" s="42" t="s">
        <v>180</v>
      </c>
      <c r="AJ98" s="19" t="s">
        <v>52</v>
      </c>
      <c r="AK98" s="19"/>
      <c r="AL98" s="43"/>
    </row>
    <row r="101" spans="1:38" ht="13.5" customHeight="1">
      <c r="A101" s="5" t="s">
        <v>1</v>
      </c>
      <c r="B101" s="5" t="s">
        <v>2</v>
      </c>
      <c r="C101" s="6" t="s">
        <v>3</v>
      </c>
      <c r="D101" s="7" t="s">
        <v>4</v>
      </c>
      <c r="E101" s="7" t="s">
        <v>5</v>
      </c>
      <c r="F101" s="5" t="s">
        <v>6</v>
      </c>
      <c r="G101" s="8" t="s">
        <v>7</v>
      </c>
      <c r="H101" s="5" t="s">
        <v>8</v>
      </c>
      <c r="I101" s="5" t="s">
        <v>9</v>
      </c>
      <c r="J101" s="8" t="s">
        <v>10</v>
      </c>
      <c r="K101" s="8" t="s">
        <v>11</v>
      </c>
      <c r="L101" s="9" t="s">
        <v>12</v>
      </c>
      <c r="M101" s="8" t="s">
        <v>13</v>
      </c>
      <c r="N101" s="8" t="s">
        <v>14</v>
      </c>
      <c r="O101" s="8" t="s">
        <v>15</v>
      </c>
      <c r="P101" s="5" t="s">
        <v>16</v>
      </c>
      <c r="Q101" s="5" t="s">
        <v>17</v>
      </c>
      <c r="R101" s="5"/>
      <c r="S101" s="5" t="s">
        <v>19</v>
      </c>
      <c r="T101" s="5" t="s">
        <v>20</v>
      </c>
      <c r="U101" s="5" t="s">
        <v>21</v>
      </c>
      <c r="V101" s="5" t="s">
        <v>22</v>
      </c>
      <c r="W101" s="6" t="s">
        <v>23</v>
      </c>
      <c r="X101" s="6" t="s">
        <v>24</v>
      </c>
      <c r="Y101" s="10" t="s">
        <v>25</v>
      </c>
      <c r="Z101" s="11" t="s">
        <v>26</v>
      </c>
      <c r="AA101" s="12" t="s">
        <v>27</v>
      </c>
      <c r="AB101" s="13" t="s">
        <v>28</v>
      </c>
      <c r="AC101" s="13" t="s">
        <v>29</v>
      </c>
      <c r="AD101" s="13" t="s">
        <v>30</v>
      </c>
      <c r="AE101" s="13" t="s">
        <v>31</v>
      </c>
      <c r="AF101" s="13" t="s">
        <v>32</v>
      </c>
      <c r="AG101" s="11" t="s">
        <v>33</v>
      </c>
      <c r="AH101" s="11" t="s">
        <v>34</v>
      </c>
      <c r="AI101" s="11" t="s">
        <v>35</v>
      </c>
      <c r="AJ101" s="11" t="s">
        <v>36</v>
      </c>
      <c r="AK101" s="5" t="s">
        <v>37</v>
      </c>
      <c r="AL101" s="5" t="s">
        <v>38</v>
      </c>
    </row>
    <row r="102" spans="1:38" ht="14.25" customHeight="1">
      <c r="A102" s="30"/>
      <c r="B102" s="31"/>
      <c r="C102" s="19"/>
      <c r="D102" s="32">
        <v>2022</v>
      </c>
      <c r="E102" s="19"/>
      <c r="F102" s="19"/>
      <c r="G102" s="33"/>
      <c r="H102" s="42" t="s">
        <v>184</v>
      </c>
      <c r="I102" s="19" t="s">
        <v>155</v>
      </c>
      <c r="J102" s="34">
        <v>44546</v>
      </c>
      <c r="K102" s="34"/>
      <c r="L102" s="34"/>
      <c r="M102" s="34"/>
      <c r="N102" s="34"/>
      <c r="O102" s="34"/>
      <c r="P102" s="19"/>
      <c r="Q102" s="19"/>
      <c r="R102" s="19"/>
      <c r="S102" s="98" t="s">
        <v>185</v>
      </c>
      <c r="T102" s="19" t="s">
        <v>157</v>
      </c>
      <c r="U102" s="19" t="s">
        <v>100</v>
      </c>
      <c r="V102" s="19">
        <v>250</v>
      </c>
      <c r="W102" s="36">
        <v>932</v>
      </c>
      <c r="X102" s="36">
        <v>1</v>
      </c>
      <c r="Y102" s="37">
        <v>358378.72</v>
      </c>
      <c r="Z102" s="147">
        <f t="shared" ref="Z102:Z118" si="12">X102*Y102</f>
        <v>358378.72</v>
      </c>
      <c r="AA102" s="138">
        <v>8.2500000000000004E-2</v>
      </c>
      <c r="AB102" s="37">
        <f t="shared" ref="AB102:AB118" si="13">Z102*AA102</f>
        <v>29566.2444</v>
      </c>
      <c r="AC102" s="41">
        <f t="shared" ref="AC102:AC118" si="14">Z102+AB102</f>
        <v>387944.9644</v>
      </c>
      <c r="AD102" s="19" t="s">
        <v>47</v>
      </c>
      <c r="AE102" s="19">
        <v>30</v>
      </c>
      <c r="AF102" s="19">
        <v>30</v>
      </c>
      <c r="AG102" s="34" t="s">
        <v>158</v>
      </c>
      <c r="AH102" s="42" t="s">
        <v>50</v>
      </c>
      <c r="AI102" s="42" t="s">
        <v>159</v>
      </c>
      <c r="AJ102" s="19" t="s">
        <v>52</v>
      </c>
      <c r="AK102" s="19"/>
      <c r="AL102" s="43"/>
    </row>
    <row r="103" spans="1:38" ht="14.25" customHeight="1" thickBot="1">
      <c r="A103" s="30"/>
      <c r="B103" s="31"/>
      <c r="C103" s="19"/>
      <c r="D103" s="32">
        <v>2022</v>
      </c>
      <c r="E103" s="19"/>
      <c r="F103" s="19"/>
      <c r="G103" s="33"/>
      <c r="H103" s="42" t="s">
        <v>186</v>
      </c>
      <c r="I103" s="19" t="s">
        <v>155</v>
      </c>
      <c r="J103" s="34">
        <v>44546</v>
      </c>
      <c r="K103" s="34"/>
      <c r="L103" s="34"/>
      <c r="M103" s="34"/>
      <c r="N103" s="34"/>
      <c r="O103" s="34"/>
      <c r="P103" s="19"/>
      <c r="Q103" s="19"/>
      <c r="R103" s="19"/>
      <c r="S103" s="98" t="s">
        <v>185</v>
      </c>
      <c r="T103" s="19" t="s">
        <v>157</v>
      </c>
      <c r="U103" s="19" t="s">
        <v>100</v>
      </c>
      <c r="V103" s="19">
        <v>250</v>
      </c>
      <c r="W103" s="36">
        <v>932</v>
      </c>
      <c r="X103" s="36">
        <v>1</v>
      </c>
      <c r="Y103" s="37">
        <v>358378.72</v>
      </c>
      <c r="Z103" s="147">
        <f t="shared" si="12"/>
        <v>358378.72</v>
      </c>
      <c r="AA103" s="138">
        <v>8.2500000000000004E-2</v>
      </c>
      <c r="AB103" s="37">
        <f t="shared" si="13"/>
        <v>29566.2444</v>
      </c>
      <c r="AC103" s="41">
        <f t="shared" si="14"/>
        <v>387944.9644</v>
      </c>
      <c r="AD103" s="19" t="s">
        <v>47</v>
      </c>
      <c r="AE103" s="19">
        <v>30</v>
      </c>
      <c r="AF103" s="19">
        <v>30</v>
      </c>
      <c r="AG103" s="34" t="s">
        <v>158</v>
      </c>
      <c r="AH103" s="42" t="s">
        <v>50</v>
      </c>
      <c r="AI103" s="42" t="s">
        <v>159</v>
      </c>
      <c r="AJ103" s="19" t="s">
        <v>52</v>
      </c>
      <c r="AK103" s="19"/>
      <c r="AL103" s="43"/>
    </row>
    <row r="104" spans="1:38" ht="14.25" customHeight="1">
      <c r="A104" s="30"/>
      <c r="B104" s="31"/>
      <c r="C104" s="19"/>
      <c r="D104" s="32">
        <v>2022</v>
      </c>
      <c r="E104" s="19"/>
      <c r="F104" s="19"/>
      <c r="G104" s="33"/>
      <c r="H104" s="42" t="s">
        <v>186</v>
      </c>
      <c r="I104" s="19" t="s">
        <v>155</v>
      </c>
      <c r="J104" s="34">
        <v>44546</v>
      </c>
      <c r="K104" s="34"/>
      <c r="L104" s="34"/>
      <c r="M104" s="34"/>
      <c r="N104" s="34"/>
      <c r="O104" s="34"/>
      <c r="P104" s="19"/>
      <c r="Q104" s="19"/>
      <c r="R104" s="19"/>
      <c r="S104" s="98" t="s">
        <v>156</v>
      </c>
      <c r="T104" s="19" t="s">
        <v>157</v>
      </c>
      <c r="U104" s="19" t="s">
        <v>100</v>
      </c>
      <c r="V104" s="19">
        <v>250</v>
      </c>
      <c r="W104" s="36">
        <v>932</v>
      </c>
      <c r="X104" s="36">
        <v>1</v>
      </c>
      <c r="Y104" s="37">
        <v>5392.86</v>
      </c>
      <c r="Z104" s="148">
        <f t="shared" si="12"/>
        <v>5392.86</v>
      </c>
      <c r="AA104" s="138"/>
      <c r="AB104" s="37">
        <f t="shared" si="13"/>
        <v>0</v>
      </c>
      <c r="AC104" s="41">
        <f t="shared" si="14"/>
        <v>5392.86</v>
      </c>
      <c r="AD104" s="19" t="s">
        <v>47</v>
      </c>
      <c r="AE104" s="19">
        <v>30</v>
      </c>
      <c r="AF104" s="19">
        <v>30</v>
      </c>
      <c r="AG104" s="34" t="s">
        <v>158</v>
      </c>
      <c r="AH104" s="42" t="s">
        <v>50</v>
      </c>
      <c r="AI104" s="42" t="s">
        <v>159</v>
      </c>
      <c r="AJ104" s="19" t="s">
        <v>52</v>
      </c>
      <c r="AK104" s="19"/>
      <c r="AL104" s="43"/>
    </row>
    <row r="105" spans="1:38" ht="14.25" customHeight="1">
      <c r="A105" s="30"/>
      <c r="B105" s="31"/>
      <c r="C105" s="19"/>
      <c r="D105" s="32">
        <v>2022</v>
      </c>
      <c r="E105" s="19"/>
      <c r="F105" s="19"/>
      <c r="G105" s="33"/>
      <c r="H105" s="42" t="s">
        <v>186</v>
      </c>
      <c r="I105" s="19" t="s">
        <v>155</v>
      </c>
      <c r="J105" s="34">
        <v>44546</v>
      </c>
      <c r="K105" s="34"/>
      <c r="L105" s="34"/>
      <c r="M105" s="34"/>
      <c r="N105" s="34"/>
      <c r="O105" s="34"/>
      <c r="P105" s="19"/>
      <c r="Q105" s="19"/>
      <c r="R105" s="19"/>
      <c r="S105" s="98" t="s">
        <v>160</v>
      </c>
      <c r="T105" s="19" t="s">
        <v>157</v>
      </c>
      <c r="U105" s="19" t="s">
        <v>100</v>
      </c>
      <c r="V105" s="19">
        <v>150</v>
      </c>
      <c r="W105" s="36">
        <v>559</v>
      </c>
      <c r="X105" s="36">
        <v>1</v>
      </c>
      <c r="Y105" s="37">
        <v>221673.60000000001</v>
      </c>
      <c r="Z105" s="147">
        <f t="shared" si="12"/>
        <v>221673.60000000001</v>
      </c>
      <c r="AA105" s="138">
        <v>8.2500000000000004E-2</v>
      </c>
      <c r="AB105" s="37">
        <f t="shared" si="13"/>
        <v>18288.072</v>
      </c>
      <c r="AC105" s="41">
        <f t="shared" si="14"/>
        <v>239961.67200000002</v>
      </c>
      <c r="AD105" s="19" t="s">
        <v>47</v>
      </c>
      <c r="AE105" s="19">
        <v>30</v>
      </c>
      <c r="AF105" s="19">
        <v>30</v>
      </c>
      <c r="AG105" s="34" t="s">
        <v>158</v>
      </c>
      <c r="AH105" s="42" t="s">
        <v>50</v>
      </c>
      <c r="AI105" s="42" t="s">
        <v>159</v>
      </c>
      <c r="AJ105" s="19" t="s">
        <v>52</v>
      </c>
      <c r="AK105" s="19"/>
      <c r="AL105" s="43"/>
    </row>
    <row r="106" spans="1:38" ht="14.25" customHeight="1">
      <c r="A106" s="30"/>
      <c r="B106" s="31"/>
      <c r="C106" s="19"/>
      <c r="D106" s="32">
        <v>2022</v>
      </c>
      <c r="E106" s="19"/>
      <c r="F106" s="19"/>
      <c r="G106" s="33"/>
      <c r="H106" s="42" t="s">
        <v>186</v>
      </c>
      <c r="I106" s="19" t="s">
        <v>155</v>
      </c>
      <c r="J106" s="34">
        <v>44546</v>
      </c>
      <c r="K106" s="34"/>
      <c r="L106" s="34"/>
      <c r="M106" s="34"/>
      <c r="N106" s="34"/>
      <c r="O106" s="34"/>
      <c r="P106" s="19"/>
      <c r="Q106" s="19"/>
      <c r="R106" s="19"/>
      <c r="S106" s="98" t="s">
        <v>160</v>
      </c>
      <c r="T106" s="19" t="s">
        <v>157</v>
      </c>
      <c r="U106" s="19" t="s">
        <v>100</v>
      </c>
      <c r="V106" s="19">
        <v>150</v>
      </c>
      <c r="W106" s="36">
        <v>559</v>
      </c>
      <c r="X106" s="36">
        <v>1</v>
      </c>
      <c r="Y106" s="37">
        <v>3335.73</v>
      </c>
      <c r="Z106" s="147">
        <f t="shared" si="12"/>
        <v>3335.73</v>
      </c>
      <c r="AA106" s="138"/>
      <c r="AB106" s="37">
        <f t="shared" si="13"/>
        <v>0</v>
      </c>
      <c r="AC106" s="41">
        <f t="shared" si="14"/>
        <v>3335.73</v>
      </c>
      <c r="AD106" s="19" t="s">
        <v>47</v>
      </c>
      <c r="AE106" s="19">
        <v>30</v>
      </c>
      <c r="AF106" s="19">
        <v>30</v>
      </c>
      <c r="AG106" s="34" t="s">
        <v>158</v>
      </c>
      <c r="AH106" s="42" t="s">
        <v>50</v>
      </c>
      <c r="AI106" s="42" t="s">
        <v>159</v>
      </c>
      <c r="AJ106" s="19" t="s">
        <v>52</v>
      </c>
      <c r="AK106" s="19"/>
      <c r="AL106" s="43"/>
    </row>
    <row r="107" spans="1:38" ht="14.25" customHeight="1">
      <c r="A107" s="30"/>
      <c r="B107" s="31"/>
      <c r="C107" s="19"/>
      <c r="D107" s="32">
        <v>2022</v>
      </c>
      <c r="E107" s="19"/>
      <c r="F107" s="19"/>
      <c r="G107" s="33"/>
      <c r="H107" s="42" t="s">
        <v>186</v>
      </c>
      <c r="I107" s="19" t="s">
        <v>155</v>
      </c>
      <c r="J107" s="34">
        <v>44546</v>
      </c>
      <c r="K107" s="34"/>
      <c r="L107" s="34"/>
      <c r="M107" s="34"/>
      <c r="N107" s="34"/>
      <c r="O107" s="34"/>
      <c r="P107" s="19"/>
      <c r="Q107" s="19"/>
      <c r="R107" s="19"/>
      <c r="S107" s="98" t="s">
        <v>65</v>
      </c>
      <c r="T107" s="19" t="s">
        <v>66</v>
      </c>
      <c r="U107" s="19" t="s">
        <v>100</v>
      </c>
      <c r="V107" s="19"/>
      <c r="W107" s="36"/>
      <c r="X107" s="36">
        <v>1</v>
      </c>
      <c r="Y107" s="37">
        <v>74254.3</v>
      </c>
      <c r="Z107" s="147">
        <f t="shared" si="12"/>
        <v>74254.3</v>
      </c>
      <c r="AA107" s="138"/>
      <c r="AB107" s="37">
        <f t="shared" si="13"/>
        <v>0</v>
      </c>
      <c r="AC107" s="41">
        <f t="shared" si="14"/>
        <v>74254.3</v>
      </c>
      <c r="AD107" s="19" t="s">
        <v>47</v>
      </c>
      <c r="AE107" s="19">
        <v>30</v>
      </c>
      <c r="AF107" s="19">
        <v>30</v>
      </c>
      <c r="AG107" s="34" t="s">
        <v>158</v>
      </c>
      <c r="AH107" s="42" t="s">
        <v>50</v>
      </c>
      <c r="AI107" s="42" t="s">
        <v>159</v>
      </c>
      <c r="AJ107" s="19" t="s">
        <v>52</v>
      </c>
      <c r="AK107" s="19"/>
      <c r="AL107" s="43"/>
    </row>
    <row r="108" spans="1:38" ht="14.25" customHeight="1">
      <c r="A108" s="30"/>
      <c r="B108" s="31"/>
      <c r="C108" s="19"/>
      <c r="D108" s="32">
        <v>2022</v>
      </c>
      <c r="E108" s="19"/>
      <c r="F108" s="19"/>
      <c r="G108" s="33"/>
      <c r="H108" s="42" t="s">
        <v>186</v>
      </c>
      <c r="I108" s="19" t="s">
        <v>155</v>
      </c>
      <c r="J108" s="34">
        <v>44546</v>
      </c>
      <c r="K108" s="34"/>
      <c r="L108" s="34"/>
      <c r="M108" s="34"/>
      <c r="N108" s="34"/>
      <c r="O108" s="34"/>
      <c r="P108" s="19"/>
      <c r="Q108" s="19"/>
      <c r="R108" s="19"/>
      <c r="S108" s="98" t="s">
        <v>67</v>
      </c>
      <c r="T108" s="19" t="s">
        <v>161</v>
      </c>
      <c r="U108" s="19" t="s">
        <v>100</v>
      </c>
      <c r="V108" s="19"/>
      <c r="W108" s="36"/>
      <c r="X108" s="36">
        <v>1</v>
      </c>
      <c r="Y108" s="37">
        <v>33976.410000000003</v>
      </c>
      <c r="Z108" s="147">
        <f t="shared" si="12"/>
        <v>33976.410000000003</v>
      </c>
      <c r="AA108" s="138"/>
      <c r="AB108" s="37">
        <f t="shared" si="13"/>
        <v>0</v>
      </c>
      <c r="AC108" s="41">
        <f t="shared" si="14"/>
        <v>33976.410000000003</v>
      </c>
      <c r="AD108" s="19" t="s">
        <v>47</v>
      </c>
      <c r="AE108" s="19">
        <v>30</v>
      </c>
      <c r="AF108" s="19">
        <v>30</v>
      </c>
      <c r="AG108" s="34" t="s">
        <v>158</v>
      </c>
      <c r="AH108" s="42" t="s">
        <v>50</v>
      </c>
      <c r="AI108" s="42" t="s">
        <v>159</v>
      </c>
      <c r="AJ108" s="19" t="s">
        <v>52</v>
      </c>
      <c r="AK108" s="19"/>
      <c r="AL108" s="43"/>
    </row>
    <row r="109" spans="1:38" ht="14.25" customHeight="1">
      <c r="A109" s="30"/>
      <c r="B109" s="31"/>
      <c r="C109" s="19"/>
      <c r="D109" s="32">
        <v>2022</v>
      </c>
      <c r="E109" s="19"/>
      <c r="F109" s="19"/>
      <c r="G109" s="33"/>
      <c r="H109" s="42" t="s">
        <v>186</v>
      </c>
      <c r="I109" s="19" t="s">
        <v>155</v>
      </c>
      <c r="J109" s="34">
        <v>44546</v>
      </c>
      <c r="K109" s="34"/>
      <c r="L109" s="34"/>
      <c r="M109" s="34"/>
      <c r="N109" s="34"/>
      <c r="O109" s="34"/>
      <c r="P109" s="19"/>
      <c r="Q109" s="19"/>
      <c r="R109" s="19"/>
      <c r="S109" s="98" t="s">
        <v>104</v>
      </c>
      <c r="T109" s="19" t="s">
        <v>105</v>
      </c>
      <c r="U109" s="19" t="s">
        <v>100</v>
      </c>
      <c r="V109" s="19"/>
      <c r="W109" s="36"/>
      <c r="X109" s="36">
        <v>1</v>
      </c>
      <c r="Y109" s="37">
        <v>5115.9883999998201</v>
      </c>
      <c r="Z109" s="147">
        <f t="shared" si="12"/>
        <v>5115.9883999998201</v>
      </c>
      <c r="AA109" s="138">
        <v>8.2500000000000004E-2</v>
      </c>
      <c r="AB109" s="37">
        <f t="shared" si="13"/>
        <v>422.06904299998519</v>
      </c>
      <c r="AC109" s="41">
        <f t="shared" si="14"/>
        <v>5538.0574429998051</v>
      </c>
      <c r="AD109" s="19" t="s">
        <v>47</v>
      </c>
      <c r="AE109" s="19">
        <v>30</v>
      </c>
      <c r="AF109" s="19">
        <v>30</v>
      </c>
      <c r="AG109" s="34" t="s">
        <v>158</v>
      </c>
      <c r="AH109" s="42" t="s">
        <v>50</v>
      </c>
      <c r="AI109" s="42" t="s">
        <v>159</v>
      </c>
      <c r="AJ109" s="19" t="s">
        <v>52</v>
      </c>
      <c r="AK109" s="19"/>
      <c r="AL109" s="43"/>
    </row>
    <row r="110" spans="1:38" ht="14.25" customHeight="1" thickBot="1">
      <c r="A110" s="30"/>
      <c r="B110" s="31"/>
      <c r="C110" s="19"/>
      <c r="D110" s="32">
        <v>2022</v>
      </c>
      <c r="E110" s="19"/>
      <c r="F110" s="19"/>
      <c r="G110" s="33"/>
      <c r="H110" s="42" t="s">
        <v>186</v>
      </c>
      <c r="I110" s="19" t="s">
        <v>155</v>
      </c>
      <c r="J110" s="34">
        <v>44546</v>
      </c>
      <c r="K110" s="34"/>
      <c r="L110" s="34"/>
      <c r="M110" s="34"/>
      <c r="N110" s="34"/>
      <c r="O110" s="34"/>
      <c r="P110" s="19"/>
      <c r="Q110" s="19"/>
      <c r="R110" s="19"/>
      <c r="S110" s="103" t="s">
        <v>162</v>
      </c>
      <c r="T110" s="49" t="s">
        <v>107</v>
      </c>
      <c r="U110" s="49" t="s">
        <v>100</v>
      </c>
      <c r="V110" s="49"/>
      <c r="W110" s="65"/>
      <c r="X110" s="65">
        <v>3</v>
      </c>
      <c r="Y110" s="66">
        <v>2934.12</v>
      </c>
      <c r="Z110" s="149">
        <f t="shared" si="12"/>
        <v>8802.36</v>
      </c>
      <c r="AA110" s="138">
        <v>8.2500000000000004E-2</v>
      </c>
      <c r="AB110" s="37">
        <f t="shared" si="13"/>
        <v>726.19470000000013</v>
      </c>
      <c r="AC110" s="41">
        <f t="shared" si="14"/>
        <v>9528.5547000000006</v>
      </c>
      <c r="AD110" s="19" t="s">
        <v>47</v>
      </c>
      <c r="AE110" s="19">
        <v>30</v>
      </c>
      <c r="AF110" s="19">
        <v>30</v>
      </c>
      <c r="AG110" s="34" t="s">
        <v>158</v>
      </c>
      <c r="AH110" s="42" t="s">
        <v>50</v>
      </c>
      <c r="AI110" s="42" t="s">
        <v>159</v>
      </c>
      <c r="AJ110" s="19" t="s">
        <v>52</v>
      </c>
      <c r="AK110" s="19"/>
      <c r="AL110" s="43"/>
    </row>
    <row r="111" spans="1:38" ht="14.25" customHeight="1">
      <c r="A111" s="30"/>
      <c r="B111" s="31"/>
      <c r="C111" s="19"/>
      <c r="D111" s="32">
        <v>2022</v>
      </c>
      <c r="E111" s="19"/>
      <c r="F111" s="19"/>
      <c r="G111" s="33"/>
      <c r="H111" s="42" t="s">
        <v>186</v>
      </c>
      <c r="I111" s="19" t="s">
        <v>155</v>
      </c>
      <c r="J111" s="34">
        <v>44546</v>
      </c>
      <c r="K111" s="34"/>
      <c r="L111" s="34"/>
      <c r="M111" s="34"/>
      <c r="N111" s="34"/>
      <c r="O111" s="34"/>
      <c r="P111" s="19"/>
      <c r="Q111" s="19"/>
      <c r="R111" s="19"/>
      <c r="S111" s="99" t="s">
        <v>82</v>
      </c>
      <c r="T111" s="16" t="s">
        <v>163</v>
      </c>
      <c r="U111" s="16"/>
      <c r="V111" s="16"/>
      <c r="W111" s="22"/>
      <c r="X111" s="22">
        <v>1</v>
      </c>
      <c r="Y111" s="23">
        <v>2400</v>
      </c>
      <c r="Z111" s="148">
        <f t="shared" si="12"/>
        <v>2400</v>
      </c>
      <c r="AA111" s="138">
        <v>8.2500000000000004E-2</v>
      </c>
      <c r="AB111" s="37">
        <f t="shared" si="13"/>
        <v>198</v>
      </c>
      <c r="AC111" s="41">
        <f t="shared" si="14"/>
        <v>2598</v>
      </c>
      <c r="AD111" s="19" t="s">
        <v>47</v>
      </c>
      <c r="AE111" s="19">
        <v>30</v>
      </c>
      <c r="AF111" s="19">
        <v>30</v>
      </c>
      <c r="AG111" s="34" t="s">
        <v>158</v>
      </c>
      <c r="AH111" s="42" t="s">
        <v>50</v>
      </c>
      <c r="AI111" s="42" t="s">
        <v>159</v>
      </c>
      <c r="AJ111" s="19" t="s">
        <v>52</v>
      </c>
      <c r="AK111" s="19"/>
      <c r="AL111" s="43"/>
    </row>
    <row r="112" spans="1:38" ht="14.25" customHeight="1">
      <c r="A112" s="30"/>
      <c r="B112" s="31"/>
      <c r="C112" s="19"/>
      <c r="D112" s="32">
        <v>2022</v>
      </c>
      <c r="E112" s="19"/>
      <c r="F112" s="19"/>
      <c r="G112" s="33"/>
      <c r="H112" s="42" t="s">
        <v>186</v>
      </c>
      <c r="I112" s="19" t="s">
        <v>155</v>
      </c>
      <c r="J112" s="34">
        <v>44546</v>
      </c>
      <c r="K112" s="34"/>
      <c r="L112" s="34"/>
      <c r="M112" s="34"/>
      <c r="N112" s="34"/>
      <c r="O112" s="34"/>
      <c r="P112" s="19"/>
      <c r="Q112" s="19"/>
      <c r="R112" s="19"/>
      <c r="S112" s="98" t="s">
        <v>84</v>
      </c>
      <c r="T112" s="19" t="s">
        <v>164</v>
      </c>
      <c r="U112" s="19"/>
      <c r="V112" s="19"/>
      <c r="W112" s="36"/>
      <c r="X112" s="36">
        <v>1</v>
      </c>
      <c r="Y112" s="37">
        <v>3600</v>
      </c>
      <c r="Z112" s="147">
        <f t="shared" si="12"/>
        <v>3600</v>
      </c>
      <c r="AA112" s="138"/>
      <c r="AB112" s="37">
        <f t="shared" si="13"/>
        <v>0</v>
      </c>
      <c r="AC112" s="41">
        <f t="shared" si="14"/>
        <v>3600</v>
      </c>
      <c r="AD112" s="19" t="s">
        <v>47</v>
      </c>
      <c r="AE112" s="19">
        <v>30</v>
      </c>
      <c r="AF112" s="19">
        <v>30</v>
      </c>
      <c r="AG112" s="34" t="s">
        <v>158</v>
      </c>
      <c r="AH112" s="42" t="s">
        <v>50</v>
      </c>
      <c r="AI112" s="42" t="s">
        <v>159</v>
      </c>
      <c r="AJ112" s="19" t="s">
        <v>52</v>
      </c>
      <c r="AK112" s="19"/>
      <c r="AL112" s="43"/>
    </row>
    <row r="113" spans="1:38" ht="14.25" customHeight="1">
      <c r="A113" s="30"/>
      <c r="B113" s="31"/>
      <c r="C113" s="19"/>
      <c r="D113" s="32">
        <v>2022</v>
      </c>
      <c r="E113" s="19"/>
      <c r="F113" s="19"/>
      <c r="G113" s="33"/>
      <c r="H113" s="42" t="s">
        <v>186</v>
      </c>
      <c r="I113" s="19" t="s">
        <v>155</v>
      </c>
      <c r="J113" s="34">
        <v>44546</v>
      </c>
      <c r="K113" s="34"/>
      <c r="L113" s="34"/>
      <c r="M113" s="34"/>
      <c r="N113" s="34"/>
      <c r="O113" s="34"/>
      <c r="P113" s="19"/>
      <c r="Q113" s="19"/>
      <c r="R113" s="19"/>
      <c r="S113" s="98" t="s">
        <v>165</v>
      </c>
      <c r="T113" s="19" t="s">
        <v>166</v>
      </c>
      <c r="U113" s="19"/>
      <c r="V113" s="19"/>
      <c r="W113" s="36"/>
      <c r="X113" s="36">
        <v>1</v>
      </c>
      <c r="Y113" s="37">
        <v>5000</v>
      </c>
      <c r="Z113" s="147">
        <f t="shared" si="12"/>
        <v>5000</v>
      </c>
      <c r="AA113" s="138"/>
      <c r="AB113" s="37">
        <f t="shared" si="13"/>
        <v>0</v>
      </c>
      <c r="AC113" s="41">
        <f t="shared" si="14"/>
        <v>5000</v>
      </c>
      <c r="AD113" s="19" t="s">
        <v>47</v>
      </c>
      <c r="AE113" s="19">
        <v>30</v>
      </c>
      <c r="AF113" s="19">
        <v>30</v>
      </c>
      <c r="AG113" s="34" t="s">
        <v>158</v>
      </c>
      <c r="AH113" s="42" t="s">
        <v>50</v>
      </c>
      <c r="AI113" s="42" t="s">
        <v>159</v>
      </c>
      <c r="AJ113" s="19" t="s">
        <v>52</v>
      </c>
      <c r="AK113" s="19"/>
      <c r="AL113" s="43"/>
    </row>
    <row r="114" spans="1:38" ht="14.25" customHeight="1" thickBot="1">
      <c r="A114" s="30"/>
      <c r="B114" s="31"/>
      <c r="C114" s="19"/>
      <c r="D114" s="32">
        <v>2022</v>
      </c>
      <c r="E114" s="19"/>
      <c r="F114" s="19"/>
      <c r="G114" s="33"/>
      <c r="H114" s="42" t="s">
        <v>186</v>
      </c>
      <c r="I114" s="19" t="s">
        <v>155</v>
      </c>
      <c r="J114" s="34">
        <v>44546</v>
      </c>
      <c r="K114" s="34"/>
      <c r="L114" s="34"/>
      <c r="M114" s="34"/>
      <c r="N114" s="34"/>
      <c r="O114" s="34"/>
      <c r="P114" s="19"/>
      <c r="Q114" s="19"/>
      <c r="R114" s="19"/>
      <c r="S114" s="103" t="s">
        <v>153</v>
      </c>
      <c r="T114" s="49" t="s">
        <v>167</v>
      </c>
      <c r="U114" s="49"/>
      <c r="V114" s="49"/>
      <c r="W114" s="65"/>
      <c r="X114" s="65">
        <v>362</v>
      </c>
      <c r="Y114" s="66">
        <v>32.619999999999997</v>
      </c>
      <c r="Z114" s="149">
        <f t="shared" si="12"/>
        <v>11808.439999999999</v>
      </c>
      <c r="AA114" s="138"/>
      <c r="AB114" s="37">
        <f t="shared" si="13"/>
        <v>0</v>
      </c>
      <c r="AC114" s="41">
        <f t="shared" si="14"/>
        <v>11808.439999999999</v>
      </c>
      <c r="AD114" s="19" t="s">
        <v>47</v>
      </c>
      <c r="AE114" s="19">
        <v>30</v>
      </c>
      <c r="AF114" s="19">
        <v>30</v>
      </c>
      <c r="AG114" s="34" t="s">
        <v>158</v>
      </c>
      <c r="AH114" s="42" t="s">
        <v>50</v>
      </c>
      <c r="AI114" s="42" t="s">
        <v>159</v>
      </c>
      <c r="AJ114" s="19" t="s">
        <v>52</v>
      </c>
      <c r="AK114" s="19"/>
      <c r="AL114" s="43"/>
    </row>
    <row r="115" spans="1:38" ht="14.25" customHeight="1">
      <c r="A115" s="30"/>
      <c r="B115" s="31"/>
      <c r="C115" s="19"/>
      <c r="D115" s="32">
        <v>2022</v>
      </c>
      <c r="E115" s="19"/>
      <c r="F115" s="19"/>
      <c r="G115" s="33"/>
      <c r="H115" s="42" t="s">
        <v>186</v>
      </c>
      <c r="I115" s="19" t="s">
        <v>155</v>
      </c>
      <c r="J115" s="34">
        <v>44546</v>
      </c>
      <c r="K115" s="34"/>
      <c r="L115" s="34"/>
      <c r="M115" s="34"/>
      <c r="N115" s="34"/>
      <c r="O115" s="34"/>
      <c r="P115" s="19"/>
      <c r="Q115" s="19"/>
      <c r="R115" s="19"/>
      <c r="S115" s="99" t="s">
        <v>168</v>
      </c>
      <c r="T115" s="16" t="s">
        <v>169</v>
      </c>
      <c r="U115" s="16" t="s">
        <v>72</v>
      </c>
      <c r="V115" s="16"/>
      <c r="W115" s="22"/>
      <c r="X115" s="22">
        <v>362</v>
      </c>
      <c r="Y115" s="23">
        <v>41.18</v>
      </c>
      <c r="Z115" s="148">
        <f t="shared" si="12"/>
        <v>14907.16</v>
      </c>
      <c r="AA115" s="138"/>
      <c r="AB115" s="37">
        <f t="shared" si="13"/>
        <v>0</v>
      </c>
      <c r="AC115" s="41">
        <f t="shared" si="14"/>
        <v>14907.16</v>
      </c>
      <c r="AD115" s="19" t="s">
        <v>47</v>
      </c>
      <c r="AE115" s="19">
        <v>30</v>
      </c>
      <c r="AF115" s="19">
        <v>30</v>
      </c>
      <c r="AG115" s="34" t="s">
        <v>158</v>
      </c>
      <c r="AH115" s="42" t="s">
        <v>50</v>
      </c>
      <c r="AI115" s="42" t="s">
        <v>159</v>
      </c>
      <c r="AJ115" s="19" t="s">
        <v>52</v>
      </c>
      <c r="AK115" s="19"/>
      <c r="AL115" s="43"/>
    </row>
    <row r="116" spans="1:38" ht="14.25" customHeight="1">
      <c r="A116" s="30"/>
      <c r="B116" s="31"/>
      <c r="C116" s="19"/>
      <c r="D116" s="32">
        <v>2022</v>
      </c>
      <c r="E116" s="19"/>
      <c r="F116" s="19"/>
      <c r="G116" s="33"/>
      <c r="H116" s="42" t="s">
        <v>186</v>
      </c>
      <c r="I116" s="19" t="s">
        <v>155</v>
      </c>
      <c r="J116" s="34">
        <v>44546</v>
      </c>
      <c r="K116" s="34"/>
      <c r="L116" s="34"/>
      <c r="M116" s="34"/>
      <c r="N116" s="34"/>
      <c r="O116" s="34"/>
      <c r="P116" s="19"/>
      <c r="Q116" s="19"/>
      <c r="R116" s="19"/>
      <c r="S116" s="98" t="s">
        <v>170</v>
      </c>
      <c r="T116" s="19" t="s">
        <v>171</v>
      </c>
      <c r="U116" s="19" t="s">
        <v>72</v>
      </c>
      <c r="V116" s="19"/>
      <c r="W116" s="36"/>
      <c r="X116" s="36">
        <v>362</v>
      </c>
      <c r="Y116" s="37">
        <v>68.91</v>
      </c>
      <c r="Z116" s="147">
        <f t="shared" si="12"/>
        <v>24945.42</v>
      </c>
      <c r="AA116" s="138"/>
      <c r="AB116" s="37">
        <f t="shared" si="13"/>
        <v>0</v>
      </c>
      <c r="AC116" s="41">
        <f t="shared" si="14"/>
        <v>24945.42</v>
      </c>
      <c r="AD116" s="19" t="s">
        <v>47</v>
      </c>
      <c r="AE116" s="19">
        <v>30</v>
      </c>
      <c r="AF116" s="19">
        <v>30</v>
      </c>
      <c r="AG116" s="34" t="s">
        <v>158</v>
      </c>
      <c r="AH116" s="42" t="s">
        <v>50</v>
      </c>
      <c r="AI116" s="42" t="s">
        <v>159</v>
      </c>
      <c r="AJ116" s="19" t="s">
        <v>52</v>
      </c>
      <c r="AK116" s="19"/>
      <c r="AL116" s="43"/>
    </row>
    <row r="117" spans="1:38" ht="14.25" customHeight="1">
      <c r="A117" s="30"/>
      <c r="B117" s="31"/>
      <c r="C117" s="19"/>
      <c r="D117" s="32">
        <v>2022</v>
      </c>
      <c r="E117" s="19"/>
      <c r="F117" s="19"/>
      <c r="G117" s="33"/>
      <c r="H117" s="42" t="s">
        <v>186</v>
      </c>
      <c r="I117" s="19" t="s">
        <v>155</v>
      </c>
      <c r="J117" s="34">
        <v>44546</v>
      </c>
      <c r="K117" s="34"/>
      <c r="L117" s="34"/>
      <c r="M117" s="34"/>
      <c r="N117" s="34"/>
      <c r="O117" s="34"/>
      <c r="P117" s="19"/>
      <c r="Q117" s="19"/>
      <c r="R117" s="19"/>
      <c r="S117" s="98" t="s">
        <v>172</v>
      </c>
      <c r="T117" s="19" t="s">
        <v>173</v>
      </c>
      <c r="U117" s="19" t="s">
        <v>72</v>
      </c>
      <c r="V117" s="19"/>
      <c r="W117" s="36"/>
      <c r="X117" s="36">
        <v>362</v>
      </c>
      <c r="Y117" s="37">
        <v>27.73</v>
      </c>
      <c r="Z117" s="147">
        <f t="shared" si="12"/>
        <v>10038.26</v>
      </c>
      <c r="AA117" s="138"/>
      <c r="AB117" s="37">
        <f t="shared" si="13"/>
        <v>0</v>
      </c>
      <c r="AC117" s="41">
        <f t="shared" si="14"/>
        <v>10038.26</v>
      </c>
      <c r="AD117" s="19" t="s">
        <v>47</v>
      </c>
      <c r="AE117" s="19">
        <v>30</v>
      </c>
      <c r="AF117" s="19">
        <v>30</v>
      </c>
      <c r="AG117" s="34" t="s">
        <v>158</v>
      </c>
      <c r="AH117" s="42" t="s">
        <v>50</v>
      </c>
      <c r="AI117" s="42" t="s">
        <v>159</v>
      </c>
      <c r="AJ117" s="19" t="s">
        <v>52</v>
      </c>
      <c r="AK117" s="19"/>
      <c r="AL117" s="43"/>
    </row>
    <row r="118" spans="1:38" ht="14.25" customHeight="1" thickBot="1">
      <c r="A118" s="30"/>
      <c r="B118" s="31"/>
      <c r="C118" s="19"/>
      <c r="D118" s="32">
        <v>2022</v>
      </c>
      <c r="E118" s="19"/>
      <c r="F118" s="19"/>
      <c r="G118" s="33"/>
      <c r="H118" s="42" t="s">
        <v>186</v>
      </c>
      <c r="I118" s="19" t="s">
        <v>155</v>
      </c>
      <c r="J118" s="34">
        <v>44546</v>
      </c>
      <c r="K118" s="34"/>
      <c r="L118" s="34"/>
      <c r="M118" s="34"/>
      <c r="N118" s="34"/>
      <c r="O118" s="34"/>
      <c r="P118" s="19"/>
      <c r="Q118" s="19"/>
      <c r="R118" s="19"/>
      <c r="S118" s="103" t="s">
        <v>174</v>
      </c>
      <c r="T118" s="49" t="s">
        <v>175</v>
      </c>
      <c r="U118" s="49" t="s">
        <v>72</v>
      </c>
      <c r="V118" s="49"/>
      <c r="W118" s="65"/>
      <c r="X118" s="65">
        <v>362</v>
      </c>
      <c r="Y118" s="66">
        <v>13.86</v>
      </c>
      <c r="Z118" s="149">
        <f t="shared" si="12"/>
        <v>5017.32</v>
      </c>
      <c r="AA118" s="138"/>
      <c r="AB118" s="37">
        <f t="shared" si="13"/>
        <v>0</v>
      </c>
      <c r="AC118" s="41">
        <f t="shared" si="14"/>
        <v>5017.32</v>
      </c>
      <c r="AD118" s="19" t="s">
        <v>47</v>
      </c>
      <c r="AE118" s="19">
        <v>30</v>
      </c>
      <c r="AF118" s="19">
        <v>30</v>
      </c>
      <c r="AG118" s="34" t="s">
        <v>158</v>
      </c>
      <c r="AH118" s="42" t="s">
        <v>50</v>
      </c>
      <c r="AI118" s="42" t="s">
        <v>159</v>
      </c>
      <c r="AJ118" s="19" t="s">
        <v>52</v>
      </c>
      <c r="AK118" s="19"/>
      <c r="AL118" s="43"/>
    </row>
    <row r="119" spans="1:38" ht="15.75" thickBot="1">
      <c r="S119" s="5" t="s">
        <v>18</v>
      </c>
      <c r="T119" s="5" t="s">
        <v>20</v>
      </c>
      <c r="U119" s="11" t="s">
        <v>26</v>
      </c>
      <c r="V119" s="12" t="s">
        <v>27</v>
      </c>
      <c r="W119" s="13" t="s">
        <v>28</v>
      </c>
      <c r="X119" s="13" t="s">
        <v>29</v>
      </c>
    </row>
    <row r="120" spans="1:38">
      <c r="S120" s="75" t="s">
        <v>69</v>
      </c>
      <c r="T120" s="75" t="s">
        <v>71</v>
      </c>
      <c r="U120" s="24">
        <v>38092.999499999998</v>
      </c>
      <c r="V120" s="73"/>
      <c r="W120" s="26"/>
      <c r="X120" s="27">
        <v>38092.999499999998</v>
      </c>
    </row>
    <row r="121" spans="1:38">
      <c r="S121" s="77" t="s">
        <v>69</v>
      </c>
      <c r="T121" s="77" t="s">
        <v>74</v>
      </c>
      <c r="U121" s="38">
        <v>26213</v>
      </c>
      <c r="V121" s="39"/>
      <c r="W121" s="40"/>
      <c r="X121" s="41">
        <v>26213</v>
      </c>
    </row>
    <row r="122" spans="1:38" ht="15.75" thickBot="1">
      <c r="S122" s="81" t="s">
        <v>69</v>
      </c>
      <c r="T122" s="81" t="s">
        <v>85</v>
      </c>
      <c r="U122" s="67">
        <v>6000</v>
      </c>
      <c r="V122" s="68"/>
      <c r="W122" s="69"/>
      <c r="X122" s="70">
        <v>6000</v>
      </c>
    </row>
    <row r="123" spans="1:38">
      <c r="S123" s="79" t="s">
        <v>187</v>
      </c>
      <c r="T123" s="79" t="s">
        <v>83</v>
      </c>
      <c r="U123" s="38">
        <v>2000</v>
      </c>
      <c r="V123" s="80">
        <v>5.5625000000000001E-2</v>
      </c>
      <c r="W123" s="40">
        <v>111.25</v>
      </c>
      <c r="X123" s="41">
        <v>2111.25</v>
      </c>
    </row>
    <row r="124" spans="1:38">
      <c r="S124" s="79" t="s">
        <v>188</v>
      </c>
      <c r="T124" s="79" t="s">
        <v>83</v>
      </c>
      <c r="U124" s="38">
        <v>0</v>
      </c>
      <c r="V124" s="39"/>
      <c r="W124" s="40"/>
      <c r="X124" s="41">
        <v>0</v>
      </c>
    </row>
    <row r="125" spans="1:38">
      <c r="U125">
        <f>SUBTOTAL(9,U120:U124)</f>
        <v>72305.999500000005</v>
      </c>
    </row>
    <row r="127" spans="1:38" ht="15.75" thickBot="1">
      <c r="R127" s="5" t="s">
        <v>189</v>
      </c>
      <c r="S127" s="5" t="s">
        <v>18</v>
      </c>
      <c r="T127" s="5" t="s">
        <v>20</v>
      </c>
      <c r="U127" s="11" t="s">
        <v>26</v>
      </c>
      <c r="V127" s="12" t="s">
        <v>27</v>
      </c>
      <c r="W127" s="13" t="s">
        <v>28</v>
      </c>
      <c r="X127" s="13" t="s">
        <v>29</v>
      </c>
    </row>
    <row r="128" spans="1:38">
      <c r="R128" s="151">
        <v>1</v>
      </c>
      <c r="S128" s="77" t="s">
        <v>69</v>
      </c>
      <c r="T128" s="143" t="s">
        <v>74</v>
      </c>
      <c r="U128" s="38">
        <v>5700</v>
      </c>
      <c r="V128" s="39"/>
      <c r="W128" s="40"/>
      <c r="X128" s="41">
        <v>5700</v>
      </c>
    </row>
    <row r="129" spans="18:24">
      <c r="R129" s="151">
        <v>1</v>
      </c>
      <c r="S129" s="136" t="s">
        <v>69</v>
      </c>
      <c r="T129" s="136" t="s">
        <v>85</v>
      </c>
      <c r="U129" s="41">
        <v>3602.3700000000008</v>
      </c>
      <c r="V129" s="39"/>
      <c r="W129" s="40"/>
      <c r="X129" s="41">
        <v>3602.3700000000008</v>
      </c>
    </row>
    <row r="130" spans="18:24">
      <c r="R130" s="151">
        <v>1</v>
      </c>
      <c r="S130" s="139" t="s">
        <v>69</v>
      </c>
      <c r="T130" s="141" t="s">
        <v>71</v>
      </c>
      <c r="U130" s="41">
        <v>9120</v>
      </c>
      <c r="V130" s="39"/>
      <c r="W130" s="40"/>
      <c r="X130" s="41">
        <v>9120</v>
      </c>
    </row>
    <row r="131" spans="18:24">
      <c r="R131" s="151">
        <v>1</v>
      </c>
      <c r="S131" s="134" t="s">
        <v>81</v>
      </c>
      <c r="T131" s="134" t="s">
        <v>83</v>
      </c>
      <c r="U131" s="41">
        <v>2397.6341463414951</v>
      </c>
      <c r="V131" s="97">
        <v>0.10249999999999999</v>
      </c>
      <c r="W131" s="37">
        <f>U131*V131</f>
        <v>245.75750000000323</v>
      </c>
      <c r="X131" s="41">
        <f>U131+W131</f>
        <v>2643.3916463414985</v>
      </c>
    </row>
    <row r="132" spans="18:24">
      <c r="R132" s="151">
        <v>1</v>
      </c>
      <c r="S132" s="130" t="s">
        <v>134</v>
      </c>
      <c r="T132" s="130" t="s">
        <v>135</v>
      </c>
      <c r="U132" s="41">
        <v>10949.67</v>
      </c>
      <c r="V132" s="116">
        <v>0.10249999999999999</v>
      </c>
      <c r="W132" s="114">
        <f>U132*V132</f>
        <v>1122.341175</v>
      </c>
      <c r="X132" s="117">
        <f>U132+W132</f>
        <v>12072.011175</v>
      </c>
    </row>
    <row r="133" spans="18:24">
      <c r="R133" s="151">
        <v>1</v>
      </c>
      <c r="S133" s="133" t="s">
        <v>136</v>
      </c>
      <c r="T133" s="133" t="s">
        <v>137</v>
      </c>
      <c r="U133" s="151">
        <v>0</v>
      </c>
      <c r="V133" s="151"/>
      <c r="W133" s="151"/>
      <c r="X133" s="151"/>
    </row>
    <row r="134" spans="18:24">
      <c r="R134" s="151">
        <v>3</v>
      </c>
      <c r="S134" s="133" t="s">
        <v>138</v>
      </c>
      <c r="T134" s="133" t="s">
        <v>139</v>
      </c>
      <c r="U134" s="151">
        <v>0</v>
      </c>
      <c r="V134" s="151"/>
      <c r="W134" s="151"/>
      <c r="X134" s="151"/>
    </row>
    <row r="135" spans="18:24">
      <c r="R135" s="151">
        <v>3</v>
      </c>
      <c r="S135" s="133" t="s">
        <v>140</v>
      </c>
      <c r="T135" s="133" t="s">
        <v>139</v>
      </c>
      <c r="U135" s="151">
        <v>0</v>
      </c>
      <c r="V135" s="151"/>
      <c r="W135" s="151"/>
      <c r="X135" s="151"/>
    </row>
    <row r="136" spans="18:24">
      <c r="R136" s="151">
        <v>3</v>
      </c>
      <c r="S136" s="133" t="s">
        <v>141</v>
      </c>
      <c r="T136" s="133" t="s">
        <v>142</v>
      </c>
      <c r="U136" s="151">
        <v>0</v>
      </c>
      <c r="V136" s="151"/>
      <c r="W136" s="151"/>
      <c r="X136" s="151"/>
    </row>
    <row r="137" spans="18:24">
      <c r="R137" s="151">
        <v>3</v>
      </c>
      <c r="S137" s="133" t="s">
        <v>143</v>
      </c>
      <c r="T137" s="133" t="s">
        <v>144</v>
      </c>
      <c r="U137" s="151">
        <v>0</v>
      </c>
      <c r="V137" s="151"/>
      <c r="W137" s="151"/>
      <c r="X137" s="151"/>
    </row>
    <row r="138" spans="18:24">
      <c r="R138" s="151">
        <v>1</v>
      </c>
      <c r="S138" s="133" t="s">
        <v>145</v>
      </c>
      <c r="T138" s="133" t="s">
        <v>146</v>
      </c>
      <c r="U138" s="151">
        <v>0</v>
      </c>
      <c r="V138" s="151"/>
      <c r="W138" s="151"/>
      <c r="X138" s="151"/>
    </row>
    <row r="139" spans="18:24">
      <c r="R139" s="151">
        <v>3</v>
      </c>
      <c r="S139" s="133" t="s">
        <v>147</v>
      </c>
      <c r="T139" s="133" t="s">
        <v>148</v>
      </c>
      <c r="U139" s="151">
        <v>0</v>
      </c>
      <c r="V139" s="151"/>
      <c r="W139" s="151"/>
      <c r="X139" s="151"/>
    </row>
  </sheetData>
  <autoFilter ref="A2:AL31" xr:uid="{E653134B-F1AD-485A-8366-AAFDE2EF2215}"/>
  <mergeCells count="1">
    <mergeCell ref="A1:B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0A71D-E253-48C8-A934-72313E9408AE}">
  <sheetPr>
    <tabColor theme="0" tint="-0.499984740745262"/>
  </sheetPr>
  <dimension ref="A1:AD702"/>
  <sheetViews>
    <sheetView showGridLines="0" zoomScaleNormal="100" workbookViewId="0">
      <selection activeCell="B30" sqref="B30"/>
    </sheetView>
  </sheetViews>
  <sheetFormatPr defaultColWidth="8.85546875" defaultRowHeight="15"/>
  <cols>
    <col min="1" max="1" width="35.42578125" style="159" customWidth="1"/>
    <col min="2" max="2" width="48.85546875" style="159" customWidth="1"/>
    <col min="3" max="3" width="12.140625" style="159" customWidth="1"/>
    <col min="4" max="6" width="12.42578125" style="159" customWidth="1"/>
    <col min="7" max="7" width="39.5703125" style="159" customWidth="1"/>
    <col min="8" max="8" width="20.140625" style="159" bestFit="1" customWidth="1"/>
    <col min="9" max="9" width="3.5703125" style="159" bestFit="1" customWidth="1"/>
    <col min="10" max="10" width="11.7109375" style="159" bestFit="1" customWidth="1"/>
    <col min="11" max="11" width="22" style="159" bestFit="1" customWidth="1"/>
    <col min="12" max="12" width="3.5703125" style="159" bestFit="1" customWidth="1"/>
    <col min="13" max="13" width="15.5703125" style="159" customWidth="1"/>
    <col min="14" max="14" width="31" style="159" customWidth="1"/>
    <col min="15" max="15" width="14.5703125" style="159" customWidth="1"/>
    <col min="16" max="16" width="21.7109375" style="159" customWidth="1"/>
    <col min="17" max="17" width="42.140625" style="159" customWidth="1"/>
    <col min="18" max="18" width="15.7109375" style="159" customWidth="1"/>
    <col min="19" max="19" width="48.140625" style="159" customWidth="1"/>
    <col min="20" max="20" width="49.140625" style="159" customWidth="1"/>
    <col min="21" max="21" width="16.42578125" style="159" customWidth="1"/>
    <col min="22" max="22" width="46.42578125" style="159" customWidth="1"/>
    <col min="23" max="23" width="45.42578125" style="159" customWidth="1"/>
    <col min="24" max="24" width="16" style="159" customWidth="1"/>
    <col min="25" max="25" width="17.140625" style="159" customWidth="1"/>
    <col min="26" max="26" width="39.85546875" style="162" customWidth="1"/>
    <col min="27" max="27" width="15.7109375" style="162" customWidth="1"/>
    <col min="28" max="28" width="17.7109375" style="159" customWidth="1"/>
    <col min="29" max="29" width="46.28515625" style="159" customWidth="1"/>
    <col min="30" max="30" width="15.7109375" style="162" customWidth="1"/>
    <col min="31" max="16384" width="8.85546875" style="159"/>
  </cols>
  <sheetData>
    <row r="1" spans="1:30" s="155" customFormat="1" ht="15" customHeight="1">
      <c r="A1" s="152" t="s">
        <v>190</v>
      </c>
      <c r="B1" s="152" t="s">
        <v>191</v>
      </c>
      <c r="C1" s="153" t="s">
        <v>22</v>
      </c>
      <c r="D1" s="153" t="s">
        <v>23</v>
      </c>
      <c r="E1" s="153" t="s">
        <v>192</v>
      </c>
      <c r="F1" s="153" t="s">
        <v>193</v>
      </c>
      <c r="G1" s="154" t="s">
        <v>194</v>
      </c>
      <c r="H1" s="152" t="s">
        <v>195</v>
      </c>
    </row>
    <row r="2" spans="1:30">
      <c r="A2" s="156" t="s">
        <v>196</v>
      </c>
      <c r="B2" s="156" t="s">
        <v>197</v>
      </c>
      <c r="C2" s="157">
        <v>6</v>
      </c>
      <c r="D2" s="157">
        <v>0</v>
      </c>
      <c r="E2" s="156" t="s">
        <v>198</v>
      </c>
      <c r="F2" s="158">
        <v>1710</v>
      </c>
      <c r="G2" s="156" t="s">
        <v>199</v>
      </c>
      <c r="H2" s="156" t="s">
        <v>200</v>
      </c>
      <c r="L2" s="160"/>
      <c r="M2" s="161"/>
      <c r="W2" s="162"/>
      <c r="X2" s="162"/>
      <c r="Z2" s="159"/>
      <c r="AD2" s="159"/>
    </row>
    <row r="3" spans="1:30">
      <c r="A3" s="156" t="s">
        <v>201</v>
      </c>
      <c r="B3" s="156" t="s">
        <v>202</v>
      </c>
      <c r="C3" s="157">
        <v>7</v>
      </c>
      <c r="D3" s="157">
        <v>0</v>
      </c>
      <c r="E3" s="156" t="s">
        <v>198</v>
      </c>
      <c r="F3" s="158">
        <v>1735</v>
      </c>
      <c r="G3" s="156" t="s">
        <v>203</v>
      </c>
      <c r="H3" s="156" t="s">
        <v>204</v>
      </c>
      <c r="W3" s="162"/>
      <c r="X3" s="162"/>
      <c r="Z3" s="159"/>
      <c r="AD3" s="159"/>
    </row>
    <row r="4" spans="1:30">
      <c r="A4" s="156" t="s">
        <v>205</v>
      </c>
      <c r="B4" s="156" t="s">
        <v>206</v>
      </c>
      <c r="C4" s="157">
        <v>7.6</v>
      </c>
      <c r="D4" s="157">
        <v>0</v>
      </c>
      <c r="E4" s="156" t="s">
        <v>198</v>
      </c>
      <c r="F4" s="158">
        <v>1760</v>
      </c>
      <c r="G4" s="156" t="s">
        <v>207</v>
      </c>
      <c r="H4" s="156" t="s">
        <v>208</v>
      </c>
      <c r="W4" s="162"/>
      <c r="X4" s="162"/>
      <c r="Z4" s="159"/>
      <c r="AD4" s="159"/>
    </row>
    <row r="5" spans="1:30">
      <c r="A5" s="156" t="s">
        <v>209</v>
      </c>
      <c r="B5" s="156" t="s">
        <v>210</v>
      </c>
      <c r="C5" s="157">
        <v>8.6</v>
      </c>
      <c r="D5" s="157">
        <v>0</v>
      </c>
      <c r="E5" s="156" t="s">
        <v>198</v>
      </c>
      <c r="F5" s="158">
        <v>2205</v>
      </c>
      <c r="G5" s="156" t="s">
        <v>211</v>
      </c>
      <c r="H5" s="156" t="s">
        <v>212</v>
      </c>
      <c r="W5" s="162"/>
      <c r="X5" s="162"/>
      <c r="Z5" s="159"/>
      <c r="AD5" s="159"/>
    </row>
    <row r="6" spans="1:30">
      <c r="A6" s="156" t="s">
        <v>213</v>
      </c>
      <c r="B6" s="156" t="s">
        <v>214</v>
      </c>
      <c r="C6" s="157">
        <v>6</v>
      </c>
      <c r="D6" s="157">
        <v>0</v>
      </c>
      <c r="E6" s="156" t="s">
        <v>198</v>
      </c>
      <c r="F6" s="158">
        <v>1510</v>
      </c>
      <c r="G6" s="156" t="s">
        <v>215</v>
      </c>
      <c r="H6" s="156" t="s">
        <v>216</v>
      </c>
      <c r="W6" s="162"/>
      <c r="X6" s="162"/>
      <c r="Z6" s="159"/>
      <c r="AD6" s="159"/>
    </row>
    <row r="7" spans="1:30">
      <c r="A7" s="156" t="s">
        <v>217</v>
      </c>
      <c r="B7" s="156" t="s">
        <v>218</v>
      </c>
      <c r="C7" s="157">
        <v>7</v>
      </c>
      <c r="D7" s="157">
        <v>0</v>
      </c>
      <c r="E7" s="156" t="s">
        <v>198</v>
      </c>
      <c r="F7" s="158">
        <v>1530</v>
      </c>
      <c r="G7" s="156" t="s">
        <v>219</v>
      </c>
      <c r="H7" s="156" t="s">
        <v>220</v>
      </c>
      <c r="W7" s="162"/>
      <c r="X7" s="162"/>
      <c r="Z7" s="159"/>
      <c r="AD7" s="159"/>
    </row>
    <row r="8" spans="1:30">
      <c r="A8" s="156" t="s">
        <v>221</v>
      </c>
      <c r="B8" s="156" t="s">
        <v>222</v>
      </c>
      <c r="C8" s="157">
        <v>7.6</v>
      </c>
      <c r="D8" s="157">
        <v>0</v>
      </c>
      <c r="E8" s="156" t="s">
        <v>198</v>
      </c>
      <c r="F8" s="158">
        <v>1580</v>
      </c>
      <c r="G8" s="156" t="s">
        <v>223</v>
      </c>
      <c r="H8" s="156" t="s">
        <v>224</v>
      </c>
      <c r="W8" s="162"/>
      <c r="X8" s="162"/>
      <c r="Z8" s="159"/>
      <c r="AD8" s="159"/>
    </row>
    <row r="9" spans="1:30">
      <c r="A9" s="156" t="s">
        <v>225</v>
      </c>
      <c r="B9" s="156" t="s">
        <v>226</v>
      </c>
      <c r="C9" s="157">
        <v>8.6</v>
      </c>
      <c r="D9" s="157">
        <v>0</v>
      </c>
      <c r="E9" s="156" t="s">
        <v>198</v>
      </c>
      <c r="F9" s="158">
        <v>1720</v>
      </c>
      <c r="G9" s="156" t="s">
        <v>227</v>
      </c>
      <c r="H9" s="156" t="s">
        <v>212</v>
      </c>
      <c r="W9" s="162"/>
      <c r="X9" s="162"/>
      <c r="Z9" s="159"/>
      <c r="AD9" s="159"/>
    </row>
    <row r="10" spans="1:30">
      <c r="A10" s="156" t="s">
        <v>228</v>
      </c>
      <c r="B10" s="156" t="s">
        <v>229</v>
      </c>
      <c r="C10" s="157">
        <v>0</v>
      </c>
      <c r="D10" s="157">
        <v>4.5</v>
      </c>
      <c r="E10" s="156" t="s">
        <v>230</v>
      </c>
      <c r="F10" s="158">
        <v>1628</v>
      </c>
      <c r="G10" s="156" t="s">
        <v>231</v>
      </c>
      <c r="H10" s="156" t="s">
        <v>232</v>
      </c>
      <c r="W10" s="162"/>
      <c r="X10" s="162"/>
      <c r="Z10" s="159"/>
      <c r="AD10" s="159"/>
    </row>
    <row r="11" spans="1:30">
      <c r="A11" s="156" t="s">
        <v>233</v>
      </c>
      <c r="B11" s="156" t="s">
        <v>234</v>
      </c>
      <c r="C11" s="157">
        <v>0</v>
      </c>
      <c r="D11" s="157">
        <v>6.3</v>
      </c>
      <c r="E11" s="156" t="s">
        <v>230</v>
      </c>
      <c r="F11" s="158">
        <v>2251</v>
      </c>
      <c r="G11" s="156" t="s">
        <v>235</v>
      </c>
      <c r="H11" s="156" t="s">
        <v>232</v>
      </c>
      <c r="W11" s="162"/>
      <c r="X11" s="162"/>
      <c r="Z11" s="159"/>
      <c r="AD11" s="159"/>
    </row>
    <row r="12" spans="1:30">
      <c r="A12" s="163" t="s">
        <v>236</v>
      </c>
      <c r="B12" s="156" t="s">
        <v>237</v>
      </c>
      <c r="C12" s="157">
        <v>0</v>
      </c>
      <c r="D12" s="157">
        <v>0</v>
      </c>
      <c r="E12" s="156" t="s">
        <v>230</v>
      </c>
      <c r="F12" s="158">
        <v>465</v>
      </c>
      <c r="G12" s="156" t="s">
        <v>238</v>
      </c>
      <c r="H12" s="156" t="s">
        <v>232</v>
      </c>
      <c r="W12" s="162"/>
      <c r="X12" s="162"/>
      <c r="Z12" s="159"/>
      <c r="AD12" s="159"/>
    </row>
    <row r="13" spans="1:30">
      <c r="A13" s="163" t="s">
        <v>239</v>
      </c>
      <c r="B13" s="156" t="s">
        <v>240</v>
      </c>
      <c r="C13" s="157">
        <v>0</v>
      </c>
      <c r="D13" s="157">
        <v>0</v>
      </c>
      <c r="E13" s="156" t="s">
        <v>241</v>
      </c>
      <c r="F13" s="158">
        <v>350</v>
      </c>
      <c r="G13" s="156" t="s">
        <v>242</v>
      </c>
      <c r="H13" s="156" t="s">
        <v>243</v>
      </c>
      <c r="W13" s="162"/>
      <c r="X13" s="162"/>
      <c r="Z13" s="159"/>
      <c r="AD13" s="159"/>
    </row>
    <row r="14" spans="1:30">
      <c r="A14" s="163" t="s">
        <v>244</v>
      </c>
      <c r="B14" s="156" t="s">
        <v>245</v>
      </c>
      <c r="C14" s="157">
        <v>0</v>
      </c>
      <c r="D14" s="157">
        <v>0</v>
      </c>
      <c r="E14" s="156" t="s">
        <v>241</v>
      </c>
      <c r="F14" s="158" t="s">
        <v>246</v>
      </c>
      <c r="G14" s="156" t="s">
        <v>247</v>
      </c>
      <c r="H14" s="156"/>
      <c r="W14" s="162"/>
      <c r="X14" s="162"/>
      <c r="Z14" s="159"/>
      <c r="AD14" s="159"/>
    </row>
    <row r="15" spans="1:30">
      <c r="A15" s="163" t="s">
        <v>248</v>
      </c>
      <c r="B15" s="156" t="s">
        <v>249</v>
      </c>
      <c r="C15" s="157">
        <v>0</v>
      </c>
      <c r="D15" s="157">
        <v>0</v>
      </c>
      <c r="E15" s="156" t="s">
        <v>241</v>
      </c>
      <c r="F15" s="158" t="s">
        <v>246</v>
      </c>
      <c r="G15" s="156" t="s">
        <v>250</v>
      </c>
      <c r="H15" s="156"/>
      <c r="W15" s="162"/>
      <c r="X15" s="162"/>
      <c r="Z15" s="159"/>
      <c r="AD15" s="159"/>
    </row>
    <row r="16" spans="1:30">
      <c r="A16" s="163" t="s">
        <v>251</v>
      </c>
      <c r="B16" s="156" t="s">
        <v>252</v>
      </c>
      <c r="C16" s="157">
        <v>0</v>
      </c>
      <c r="D16" s="157">
        <v>0</v>
      </c>
      <c r="E16" s="156" t="s">
        <v>241</v>
      </c>
      <c r="F16" s="158">
        <v>40</v>
      </c>
      <c r="G16" s="156" t="s">
        <v>253</v>
      </c>
      <c r="H16" s="156"/>
      <c r="W16" s="162"/>
      <c r="X16" s="162"/>
      <c r="Z16" s="159"/>
      <c r="AD16" s="159"/>
    </row>
    <row r="17" spans="1:30" ht="15.75" thickBot="1">
      <c r="A17" s="164" t="s">
        <v>254</v>
      </c>
      <c r="B17" s="165" t="s">
        <v>255</v>
      </c>
      <c r="C17" s="166">
        <v>0</v>
      </c>
      <c r="D17" s="166">
        <v>0</v>
      </c>
      <c r="E17" s="165" t="s">
        <v>256</v>
      </c>
      <c r="F17" s="167">
        <v>80</v>
      </c>
      <c r="G17" s="165" t="s">
        <v>257</v>
      </c>
      <c r="H17" s="165"/>
      <c r="W17" s="162"/>
      <c r="X17" s="162"/>
      <c r="Z17" s="159"/>
      <c r="AD17" s="159"/>
    </row>
    <row r="18" spans="1:30">
      <c r="A18" s="168" t="s">
        <v>258</v>
      </c>
      <c r="B18" s="169" t="s">
        <v>259</v>
      </c>
      <c r="C18" s="170"/>
      <c r="D18" s="170"/>
      <c r="E18" s="169" t="s">
        <v>260</v>
      </c>
      <c r="F18" s="170"/>
      <c r="G18" s="170"/>
      <c r="H18" s="170"/>
      <c r="I18" s="170"/>
      <c r="W18" s="162"/>
      <c r="X18" s="162"/>
      <c r="Z18" s="159"/>
      <c r="AD18" s="159"/>
    </row>
    <row r="19" spans="1:30">
      <c r="A19" s="517" t="s">
        <v>261</v>
      </c>
      <c r="B19" s="517" t="s">
        <v>262</v>
      </c>
      <c r="C19" s="516" t="s">
        <v>22</v>
      </c>
      <c r="D19" s="516" t="s">
        <v>23</v>
      </c>
      <c r="E19" s="516" t="s">
        <v>192</v>
      </c>
      <c r="F19" s="516" t="s">
        <v>193</v>
      </c>
      <c r="G19" s="514" t="s">
        <v>263</v>
      </c>
      <c r="H19" s="515"/>
      <c r="I19" s="515"/>
      <c r="J19" s="514" t="s">
        <v>264</v>
      </c>
      <c r="K19" s="515"/>
      <c r="L19" s="515"/>
      <c r="M19" s="514" t="s">
        <v>265</v>
      </c>
      <c r="N19" s="515"/>
      <c r="O19" s="515"/>
      <c r="P19" s="514" t="s">
        <v>266</v>
      </c>
      <c r="Q19" s="515"/>
      <c r="R19" s="515"/>
      <c r="S19" s="514" t="s">
        <v>267</v>
      </c>
      <c r="T19" s="515"/>
      <c r="U19" s="515"/>
      <c r="V19" s="514" t="s">
        <v>268</v>
      </c>
      <c r="W19" s="515"/>
      <c r="X19" s="515"/>
      <c r="Y19" s="514" t="s">
        <v>269</v>
      </c>
      <c r="Z19" s="515"/>
      <c r="AA19" s="515"/>
      <c r="AB19" s="514" t="s">
        <v>270</v>
      </c>
      <c r="AC19" s="515"/>
      <c r="AD19" s="515"/>
    </row>
    <row r="20" spans="1:30" s="160" customFormat="1">
      <c r="A20" s="517"/>
      <c r="B20" s="517"/>
      <c r="C20" s="516"/>
      <c r="D20" s="516"/>
      <c r="E20" s="516"/>
      <c r="F20" s="516"/>
      <c r="G20" s="171" t="s">
        <v>271</v>
      </c>
      <c r="H20" s="172" t="s">
        <v>272</v>
      </c>
      <c r="I20" s="172" t="s">
        <v>24</v>
      </c>
      <c r="J20" s="171" t="s">
        <v>271</v>
      </c>
      <c r="K20" s="172" t="s">
        <v>272</v>
      </c>
      <c r="L20" s="172" t="s">
        <v>24</v>
      </c>
      <c r="M20" s="171" t="s">
        <v>271</v>
      </c>
      <c r="N20" s="172" t="s">
        <v>272</v>
      </c>
      <c r="O20" s="172" t="s">
        <v>24</v>
      </c>
      <c r="P20" s="171" t="s">
        <v>271</v>
      </c>
      <c r="Q20" s="172" t="s">
        <v>272</v>
      </c>
      <c r="R20" s="172" t="s">
        <v>24</v>
      </c>
      <c r="S20" s="171" t="s">
        <v>271</v>
      </c>
      <c r="T20" s="172" t="s">
        <v>272</v>
      </c>
      <c r="U20" s="172" t="s">
        <v>24</v>
      </c>
      <c r="V20" s="171" t="s">
        <v>271</v>
      </c>
      <c r="W20" s="172" t="s">
        <v>272</v>
      </c>
      <c r="X20" s="172" t="s">
        <v>24</v>
      </c>
      <c r="Y20" s="171" t="s">
        <v>271</v>
      </c>
      <c r="Z20" s="172" t="s">
        <v>272</v>
      </c>
      <c r="AA20" s="172" t="s">
        <v>24</v>
      </c>
      <c r="AB20" s="171" t="s">
        <v>271</v>
      </c>
      <c r="AC20" s="172" t="s">
        <v>272</v>
      </c>
      <c r="AD20" s="172" t="s">
        <v>24</v>
      </c>
    </row>
    <row r="21" spans="1:30">
      <c r="A21" s="173" t="s">
        <v>273</v>
      </c>
      <c r="B21" s="174" t="s">
        <v>274</v>
      </c>
      <c r="C21" s="175">
        <v>6</v>
      </c>
      <c r="D21" s="175">
        <v>4.5</v>
      </c>
      <c r="E21" s="175" t="s">
        <v>275</v>
      </c>
      <c r="F21" s="176">
        <v>4273</v>
      </c>
      <c r="G21" s="174" t="s">
        <v>197</v>
      </c>
      <c r="H21" s="174" t="s">
        <v>196</v>
      </c>
      <c r="I21" s="174">
        <v>1</v>
      </c>
      <c r="J21" s="177" t="s">
        <v>237</v>
      </c>
      <c r="K21" s="178" t="s">
        <v>276</v>
      </c>
      <c r="L21" s="174">
        <v>1</v>
      </c>
      <c r="M21" s="177" t="s">
        <v>229</v>
      </c>
      <c r="N21" s="174" t="s">
        <v>228</v>
      </c>
      <c r="O21" s="174">
        <v>1</v>
      </c>
      <c r="P21" s="177" t="s">
        <v>240</v>
      </c>
      <c r="Q21" s="178" t="s">
        <v>277</v>
      </c>
      <c r="R21" s="174">
        <v>1</v>
      </c>
      <c r="S21" s="174" t="s">
        <v>245</v>
      </c>
      <c r="T21" s="178" t="s">
        <v>278</v>
      </c>
      <c r="U21" s="174">
        <v>1</v>
      </c>
      <c r="V21" s="174" t="s">
        <v>249</v>
      </c>
      <c r="W21" s="178" t="s">
        <v>279</v>
      </c>
      <c r="X21" s="179">
        <v>1</v>
      </c>
      <c r="Y21" s="180" t="s">
        <v>252</v>
      </c>
      <c r="Z21" s="181" t="s">
        <v>251</v>
      </c>
      <c r="AA21" s="182">
        <v>1</v>
      </c>
      <c r="AB21" s="180" t="s">
        <v>255</v>
      </c>
      <c r="AC21" s="181" t="s">
        <v>254</v>
      </c>
      <c r="AD21" s="182">
        <v>1</v>
      </c>
    </row>
    <row r="22" spans="1:30">
      <c r="A22" s="183" t="s">
        <v>280</v>
      </c>
      <c r="B22" s="184" t="s">
        <v>281</v>
      </c>
      <c r="C22" s="185">
        <v>6</v>
      </c>
      <c r="D22" s="185">
        <v>6.3</v>
      </c>
      <c r="E22" s="185" t="s">
        <v>275</v>
      </c>
      <c r="F22" s="186">
        <v>4896</v>
      </c>
      <c r="G22" s="184" t="s">
        <v>197</v>
      </c>
      <c r="H22" s="184" t="s">
        <v>196</v>
      </c>
      <c r="I22" s="184">
        <v>1</v>
      </c>
      <c r="J22" s="187" t="s">
        <v>237</v>
      </c>
      <c r="K22" s="188" t="s">
        <v>276</v>
      </c>
      <c r="L22" s="184">
        <v>1</v>
      </c>
      <c r="M22" s="187" t="s">
        <v>234</v>
      </c>
      <c r="N22" s="184" t="s">
        <v>233</v>
      </c>
      <c r="O22" s="184">
        <v>1</v>
      </c>
      <c r="P22" s="187" t="s">
        <v>240</v>
      </c>
      <c r="Q22" s="188" t="s">
        <v>277</v>
      </c>
      <c r="R22" s="184">
        <v>1</v>
      </c>
      <c r="S22" s="184" t="s">
        <v>245</v>
      </c>
      <c r="T22" s="188" t="s">
        <v>278</v>
      </c>
      <c r="U22" s="184">
        <v>1</v>
      </c>
      <c r="V22" s="184" t="s">
        <v>249</v>
      </c>
      <c r="W22" s="188" t="s">
        <v>279</v>
      </c>
      <c r="X22" s="189">
        <v>1</v>
      </c>
      <c r="Y22" s="190" t="s">
        <v>252</v>
      </c>
      <c r="Z22" s="191" t="s">
        <v>251</v>
      </c>
      <c r="AA22" s="192">
        <v>1</v>
      </c>
      <c r="AB22" s="190" t="s">
        <v>255</v>
      </c>
      <c r="AC22" s="191" t="s">
        <v>254</v>
      </c>
      <c r="AD22" s="192">
        <v>1</v>
      </c>
    </row>
    <row r="23" spans="1:30">
      <c r="A23" s="183" t="s">
        <v>282</v>
      </c>
      <c r="B23" s="184" t="s">
        <v>283</v>
      </c>
      <c r="C23" s="185">
        <v>6</v>
      </c>
      <c r="D23" s="185">
        <v>9</v>
      </c>
      <c r="E23" s="185" t="s">
        <v>275</v>
      </c>
      <c r="F23" s="186">
        <v>5901</v>
      </c>
      <c r="G23" s="184" t="s">
        <v>197</v>
      </c>
      <c r="H23" s="184" t="s">
        <v>196</v>
      </c>
      <c r="I23" s="184">
        <v>1</v>
      </c>
      <c r="J23" s="187" t="s">
        <v>237</v>
      </c>
      <c r="K23" s="188" t="s">
        <v>276</v>
      </c>
      <c r="L23" s="184">
        <v>1</v>
      </c>
      <c r="M23" s="187" t="s">
        <v>229</v>
      </c>
      <c r="N23" s="184" t="s">
        <v>228</v>
      </c>
      <c r="O23" s="184">
        <v>2</v>
      </c>
      <c r="P23" s="187" t="s">
        <v>240</v>
      </c>
      <c r="Q23" s="188" t="s">
        <v>277</v>
      </c>
      <c r="R23" s="184">
        <v>1</v>
      </c>
      <c r="S23" s="184" t="s">
        <v>245</v>
      </c>
      <c r="T23" s="188" t="s">
        <v>278</v>
      </c>
      <c r="U23" s="184">
        <v>1</v>
      </c>
      <c r="V23" s="184" t="s">
        <v>249</v>
      </c>
      <c r="W23" s="188" t="s">
        <v>279</v>
      </c>
      <c r="X23" s="189">
        <v>2</v>
      </c>
      <c r="Y23" s="190" t="s">
        <v>252</v>
      </c>
      <c r="Z23" s="191" t="s">
        <v>251</v>
      </c>
      <c r="AA23" s="192">
        <v>1</v>
      </c>
      <c r="AB23" s="190" t="s">
        <v>255</v>
      </c>
      <c r="AC23" s="191" t="s">
        <v>254</v>
      </c>
      <c r="AD23" s="192">
        <v>1</v>
      </c>
    </row>
    <row r="24" spans="1:30">
      <c r="A24" s="183" t="s">
        <v>284</v>
      </c>
      <c r="B24" s="184" t="s">
        <v>285</v>
      </c>
      <c r="C24" s="185">
        <v>6</v>
      </c>
      <c r="D24" s="185">
        <v>12.6</v>
      </c>
      <c r="E24" s="185" t="s">
        <v>275</v>
      </c>
      <c r="F24" s="186">
        <v>7147</v>
      </c>
      <c r="G24" s="184" t="s">
        <v>197</v>
      </c>
      <c r="H24" s="184" t="s">
        <v>196</v>
      </c>
      <c r="I24" s="184">
        <v>1</v>
      </c>
      <c r="J24" s="187" t="s">
        <v>237</v>
      </c>
      <c r="K24" s="188" t="s">
        <v>276</v>
      </c>
      <c r="L24" s="184">
        <v>1</v>
      </c>
      <c r="M24" s="187" t="s">
        <v>234</v>
      </c>
      <c r="N24" s="184" t="s">
        <v>233</v>
      </c>
      <c r="O24" s="184">
        <v>2</v>
      </c>
      <c r="P24" s="187" t="s">
        <v>240</v>
      </c>
      <c r="Q24" s="188" t="s">
        <v>277</v>
      </c>
      <c r="R24" s="184">
        <v>1</v>
      </c>
      <c r="S24" s="184" t="s">
        <v>245</v>
      </c>
      <c r="T24" s="188" t="s">
        <v>278</v>
      </c>
      <c r="U24" s="184">
        <v>1</v>
      </c>
      <c r="V24" s="184" t="s">
        <v>249</v>
      </c>
      <c r="W24" s="188" t="s">
        <v>279</v>
      </c>
      <c r="X24" s="189">
        <v>2</v>
      </c>
      <c r="Y24" s="190" t="s">
        <v>252</v>
      </c>
      <c r="Z24" s="191" t="s">
        <v>251</v>
      </c>
      <c r="AA24" s="192">
        <v>1</v>
      </c>
      <c r="AB24" s="190" t="s">
        <v>255</v>
      </c>
      <c r="AC24" s="191" t="s">
        <v>254</v>
      </c>
      <c r="AD24" s="192">
        <v>1</v>
      </c>
    </row>
    <row r="25" spans="1:30">
      <c r="A25" s="183" t="s">
        <v>286</v>
      </c>
      <c r="B25" s="184" t="s">
        <v>287</v>
      </c>
      <c r="C25" s="185">
        <v>6</v>
      </c>
      <c r="D25" s="185">
        <v>13.5</v>
      </c>
      <c r="E25" s="185" t="s">
        <v>275</v>
      </c>
      <c r="F25" s="186">
        <v>7529</v>
      </c>
      <c r="G25" s="184" t="s">
        <v>197</v>
      </c>
      <c r="H25" s="184" t="s">
        <v>196</v>
      </c>
      <c r="I25" s="184">
        <v>1</v>
      </c>
      <c r="J25" s="187" t="s">
        <v>237</v>
      </c>
      <c r="K25" s="188" t="s">
        <v>276</v>
      </c>
      <c r="L25" s="184">
        <v>1</v>
      </c>
      <c r="M25" s="187" t="s">
        <v>229</v>
      </c>
      <c r="N25" s="184" t="s">
        <v>228</v>
      </c>
      <c r="O25" s="184">
        <v>3</v>
      </c>
      <c r="P25" s="187" t="s">
        <v>240</v>
      </c>
      <c r="Q25" s="188" t="s">
        <v>277</v>
      </c>
      <c r="R25" s="184">
        <v>1</v>
      </c>
      <c r="S25" s="184" t="s">
        <v>245</v>
      </c>
      <c r="T25" s="188" t="s">
        <v>278</v>
      </c>
      <c r="U25" s="184">
        <v>1</v>
      </c>
      <c r="V25" s="184" t="s">
        <v>249</v>
      </c>
      <c r="W25" s="188" t="s">
        <v>279</v>
      </c>
      <c r="X25" s="189">
        <v>3</v>
      </c>
      <c r="Y25" s="190" t="s">
        <v>252</v>
      </c>
      <c r="Z25" s="191" t="s">
        <v>251</v>
      </c>
      <c r="AA25" s="192">
        <v>1</v>
      </c>
      <c r="AB25" s="190" t="s">
        <v>255</v>
      </c>
      <c r="AC25" s="191" t="s">
        <v>254</v>
      </c>
      <c r="AD25" s="192">
        <v>1</v>
      </c>
    </row>
    <row r="26" spans="1:30">
      <c r="A26" s="183" t="s">
        <v>288</v>
      </c>
      <c r="B26" s="184" t="s">
        <v>289</v>
      </c>
      <c r="C26" s="185">
        <v>6</v>
      </c>
      <c r="D26" s="185">
        <v>18.899999999999999</v>
      </c>
      <c r="E26" s="185" t="s">
        <v>275</v>
      </c>
      <c r="F26" s="186">
        <v>9398</v>
      </c>
      <c r="G26" s="184" t="s">
        <v>197</v>
      </c>
      <c r="H26" s="184" t="s">
        <v>196</v>
      </c>
      <c r="I26" s="184">
        <v>1</v>
      </c>
      <c r="J26" s="187" t="s">
        <v>237</v>
      </c>
      <c r="K26" s="188" t="s">
        <v>276</v>
      </c>
      <c r="L26" s="184">
        <v>1</v>
      </c>
      <c r="M26" s="187" t="s">
        <v>234</v>
      </c>
      <c r="N26" s="184" t="s">
        <v>233</v>
      </c>
      <c r="O26" s="184">
        <v>3</v>
      </c>
      <c r="P26" s="187" t="s">
        <v>240</v>
      </c>
      <c r="Q26" s="188" t="s">
        <v>277</v>
      </c>
      <c r="R26" s="184">
        <v>1</v>
      </c>
      <c r="S26" s="184" t="s">
        <v>245</v>
      </c>
      <c r="T26" s="188" t="s">
        <v>278</v>
      </c>
      <c r="U26" s="184">
        <v>1</v>
      </c>
      <c r="V26" s="184" t="s">
        <v>249</v>
      </c>
      <c r="W26" s="188" t="s">
        <v>279</v>
      </c>
      <c r="X26" s="189">
        <v>3</v>
      </c>
      <c r="Y26" s="190" t="s">
        <v>252</v>
      </c>
      <c r="Z26" s="191" t="s">
        <v>251</v>
      </c>
      <c r="AA26" s="192">
        <v>1</v>
      </c>
      <c r="AB26" s="190" t="s">
        <v>255</v>
      </c>
      <c r="AC26" s="191" t="s">
        <v>254</v>
      </c>
      <c r="AD26" s="192">
        <v>1</v>
      </c>
    </row>
    <row r="27" spans="1:30">
      <c r="A27" s="193" t="s">
        <v>290</v>
      </c>
      <c r="B27" s="174" t="s">
        <v>291</v>
      </c>
      <c r="C27" s="175">
        <v>7</v>
      </c>
      <c r="D27" s="175">
        <v>4.5</v>
      </c>
      <c r="E27" s="175" t="s">
        <v>275</v>
      </c>
      <c r="F27" s="176">
        <v>4298</v>
      </c>
      <c r="G27" s="174" t="s">
        <v>202</v>
      </c>
      <c r="H27" s="174" t="s">
        <v>201</v>
      </c>
      <c r="I27" s="174">
        <v>1</v>
      </c>
      <c r="J27" s="177" t="s">
        <v>237</v>
      </c>
      <c r="K27" s="178" t="s">
        <v>276</v>
      </c>
      <c r="L27" s="174">
        <v>1</v>
      </c>
      <c r="M27" s="177" t="s">
        <v>229</v>
      </c>
      <c r="N27" s="174" t="s">
        <v>228</v>
      </c>
      <c r="O27" s="174">
        <v>1</v>
      </c>
      <c r="P27" s="177" t="s">
        <v>240</v>
      </c>
      <c r="Q27" s="178" t="s">
        <v>277</v>
      </c>
      <c r="R27" s="174">
        <v>1</v>
      </c>
      <c r="S27" s="174" t="s">
        <v>245</v>
      </c>
      <c r="T27" s="178" t="s">
        <v>278</v>
      </c>
      <c r="U27" s="174">
        <v>1</v>
      </c>
      <c r="V27" s="174" t="s">
        <v>249</v>
      </c>
      <c r="W27" s="178" t="s">
        <v>279</v>
      </c>
      <c r="X27" s="179">
        <v>1</v>
      </c>
      <c r="Y27" s="180" t="s">
        <v>252</v>
      </c>
      <c r="Z27" s="194" t="s">
        <v>251</v>
      </c>
      <c r="AA27" s="195">
        <v>1</v>
      </c>
      <c r="AB27" s="196" t="s">
        <v>255</v>
      </c>
      <c r="AC27" s="194" t="s">
        <v>254</v>
      </c>
      <c r="AD27" s="195">
        <v>1</v>
      </c>
    </row>
    <row r="28" spans="1:30">
      <c r="A28" s="183" t="s">
        <v>292</v>
      </c>
      <c r="B28" s="184" t="s">
        <v>293</v>
      </c>
      <c r="C28" s="185">
        <v>7</v>
      </c>
      <c r="D28" s="185">
        <v>6.3</v>
      </c>
      <c r="E28" s="185" t="s">
        <v>275</v>
      </c>
      <c r="F28" s="186">
        <v>4921</v>
      </c>
      <c r="G28" s="184" t="s">
        <v>202</v>
      </c>
      <c r="H28" s="184" t="s">
        <v>201</v>
      </c>
      <c r="I28" s="184">
        <v>1</v>
      </c>
      <c r="J28" s="187" t="s">
        <v>237</v>
      </c>
      <c r="K28" s="188" t="s">
        <v>276</v>
      </c>
      <c r="L28" s="184">
        <v>1</v>
      </c>
      <c r="M28" s="187" t="s">
        <v>234</v>
      </c>
      <c r="N28" s="184" t="s">
        <v>233</v>
      </c>
      <c r="O28" s="184">
        <v>1</v>
      </c>
      <c r="P28" s="187" t="s">
        <v>240</v>
      </c>
      <c r="Q28" s="188" t="s">
        <v>277</v>
      </c>
      <c r="R28" s="184">
        <v>1</v>
      </c>
      <c r="S28" s="184" t="s">
        <v>245</v>
      </c>
      <c r="T28" s="188" t="s">
        <v>278</v>
      </c>
      <c r="U28" s="184">
        <v>1</v>
      </c>
      <c r="V28" s="184" t="s">
        <v>249</v>
      </c>
      <c r="W28" s="188" t="s">
        <v>279</v>
      </c>
      <c r="X28" s="189">
        <v>1</v>
      </c>
      <c r="Y28" s="190" t="s">
        <v>252</v>
      </c>
      <c r="Z28" s="191" t="s">
        <v>251</v>
      </c>
      <c r="AA28" s="192">
        <v>1</v>
      </c>
      <c r="AB28" s="190" t="s">
        <v>255</v>
      </c>
      <c r="AC28" s="191" t="s">
        <v>254</v>
      </c>
      <c r="AD28" s="192">
        <v>1</v>
      </c>
    </row>
    <row r="29" spans="1:30">
      <c r="A29" s="183" t="s">
        <v>294</v>
      </c>
      <c r="B29" s="184" t="s">
        <v>295</v>
      </c>
      <c r="C29" s="185">
        <v>7</v>
      </c>
      <c r="D29" s="185">
        <v>9</v>
      </c>
      <c r="E29" s="185" t="s">
        <v>275</v>
      </c>
      <c r="F29" s="186">
        <v>5926</v>
      </c>
      <c r="G29" s="184" t="s">
        <v>202</v>
      </c>
      <c r="H29" s="184" t="s">
        <v>201</v>
      </c>
      <c r="I29" s="184">
        <v>1</v>
      </c>
      <c r="J29" s="187" t="s">
        <v>237</v>
      </c>
      <c r="K29" s="188" t="s">
        <v>276</v>
      </c>
      <c r="L29" s="184">
        <v>1</v>
      </c>
      <c r="M29" s="187" t="s">
        <v>229</v>
      </c>
      <c r="N29" s="184" t="s">
        <v>228</v>
      </c>
      <c r="O29" s="184">
        <v>2</v>
      </c>
      <c r="P29" s="187" t="s">
        <v>240</v>
      </c>
      <c r="Q29" s="188" t="s">
        <v>277</v>
      </c>
      <c r="R29" s="184">
        <v>1</v>
      </c>
      <c r="S29" s="184" t="s">
        <v>245</v>
      </c>
      <c r="T29" s="188" t="s">
        <v>278</v>
      </c>
      <c r="U29" s="184">
        <v>1</v>
      </c>
      <c r="V29" s="184" t="s">
        <v>249</v>
      </c>
      <c r="W29" s="188" t="s">
        <v>279</v>
      </c>
      <c r="X29" s="189">
        <v>2</v>
      </c>
      <c r="Y29" s="190" t="s">
        <v>252</v>
      </c>
      <c r="Z29" s="191" t="s">
        <v>251</v>
      </c>
      <c r="AA29" s="192">
        <v>1</v>
      </c>
      <c r="AB29" s="190" t="s">
        <v>255</v>
      </c>
      <c r="AC29" s="191" t="s">
        <v>254</v>
      </c>
      <c r="AD29" s="192">
        <v>1</v>
      </c>
    </row>
    <row r="30" spans="1:30">
      <c r="A30" s="183" t="s">
        <v>296</v>
      </c>
      <c r="B30" s="184" t="s">
        <v>297</v>
      </c>
      <c r="C30" s="185">
        <v>7</v>
      </c>
      <c r="D30" s="185">
        <v>12.6</v>
      </c>
      <c r="E30" s="185" t="s">
        <v>275</v>
      </c>
      <c r="F30" s="186">
        <v>7172</v>
      </c>
      <c r="G30" s="184" t="s">
        <v>202</v>
      </c>
      <c r="H30" s="184" t="s">
        <v>201</v>
      </c>
      <c r="I30" s="184">
        <v>1</v>
      </c>
      <c r="J30" s="187" t="s">
        <v>237</v>
      </c>
      <c r="K30" s="188" t="s">
        <v>276</v>
      </c>
      <c r="L30" s="184">
        <v>1</v>
      </c>
      <c r="M30" s="187" t="s">
        <v>234</v>
      </c>
      <c r="N30" s="184" t="s">
        <v>233</v>
      </c>
      <c r="O30" s="184">
        <v>2</v>
      </c>
      <c r="P30" s="187" t="s">
        <v>240</v>
      </c>
      <c r="Q30" s="188" t="s">
        <v>277</v>
      </c>
      <c r="R30" s="184">
        <v>1</v>
      </c>
      <c r="S30" s="184" t="s">
        <v>245</v>
      </c>
      <c r="T30" s="188" t="s">
        <v>278</v>
      </c>
      <c r="U30" s="184">
        <v>1</v>
      </c>
      <c r="V30" s="184" t="s">
        <v>249</v>
      </c>
      <c r="W30" s="188" t="s">
        <v>279</v>
      </c>
      <c r="X30" s="189">
        <v>2</v>
      </c>
      <c r="Y30" s="190" t="s">
        <v>252</v>
      </c>
      <c r="Z30" s="191" t="s">
        <v>251</v>
      </c>
      <c r="AA30" s="192">
        <v>1</v>
      </c>
      <c r="AB30" s="190" t="s">
        <v>255</v>
      </c>
      <c r="AC30" s="191" t="s">
        <v>254</v>
      </c>
      <c r="AD30" s="192">
        <v>1</v>
      </c>
    </row>
    <row r="31" spans="1:30">
      <c r="A31" s="183" t="s">
        <v>298</v>
      </c>
      <c r="B31" s="184" t="s">
        <v>299</v>
      </c>
      <c r="C31" s="185">
        <v>7</v>
      </c>
      <c r="D31" s="185">
        <v>13.5</v>
      </c>
      <c r="E31" s="185" t="s">
        <v>275</v>
      </c>
      <c r="F31" s="186">
        <v>7554</v>
      </c>
      <c r="G31" s="184" t="s">
        <v>202</v>
      </c>
      <c r="H31" s="184" t="s">
        <v>201</v>
      </c>
      <c r="I31" s="184">
        <v>1</v>
      </c>
      <c r="J31" s="187" t="s">
        <v>237</v>
      </c>
      <c r="K31" s="188" t="s">
        <v>276</v>
      </c>
      <c r="L31" s="184">
        <v>1</v>
      </c>
      <c r="M31" s="187" t="s">
        <v>229</v>
      </c>
      <c r="N31" s="184" t="s">
        <v>228</v>
      </c>
      <c r="O31" s="184">
        <v>3</v>
      </c>
      <c r="P31" s="187" t="s">
        <v>240</v>
      </c>
      <c r="Q31" s="188" t="s">
        <v>277</v>
      </c>
      <c r="R31" s="184">
        <v>1</v>
      </c>
      <c r="S31" s="184" t="s">
        <v>245</v>
      </c>
      <c r="T31" s="188" t="s">
        <v>278</v>
      </c>
      <c r="U31" s="184">
        <v>1</v>
      </c>
      <c r="V31" s="184" t="s">
        <v>249</v>
      </c>
      <c r="W31" s="188" t="s">
        <v>279</v>
      </c>
      <c r="X31" s="189">
        <v>3</v>
      </c>
      <c r="Y31" s="190" t="s">
        <v>252</v>
      </c>
      <c r="Z31" s="191" t="s">
        <v>251</v>
      </c>
      <c r="AA31" s="192">
        <v>1</v>
      </c>
      <c r="AB31" s="190" t="s">
        <v>255</v>
      </c>
      <c r="AC31" s="191" t="s">
        <v>254</v>
      </c>
      <c r="AD31" s="192">
        <v>1</v>
      </c>
    </row>
    <row r="32" spans="1:30">
      <c r="A32" s="183" t="s">
        <v>300</v>
      </c>
      <c r="B32" s="184" t="s">
        <v>301</v>
      </c>
      <c r="C32" s="185">
        <v>7</v>
      </c>
      <c r="D32" s="185">
        <v>18.899999999999999</v>
      </c>
      <c r="E32" s="185" t="s">
        <v>275</v>
      </c>
      <c r="F32" s="186">
        <v>9423</v>
      </c>
      <c r="G32" s="184" t="s">
        <v>202</v>
      </c>
      <c r="H32" s="184" t="s">
        <v>201</v>
      </c>
      <c r="I32" s="184">
        <v>1</v>
      </c>
      <c r="J32" s="187" t="s">
        <v>237</v>
      </c>
      <c r="K32" s="188" t="s">
        <v>276</v>
      </c>
      <c r="L32" s="184">
        <v>1</v>
      </c>
      <c r="M32" s="187" t="s">
        <v>234</v>
      </c>
      <c r="N32" s="184" t="s">
        <v>233</v>
      </c>
      <c r="O32" s="184">
        <v>3</v>
      </c>
      <c r="P32" s="187" t="s">
        <v>240</v>
      </c>
      <c r="Q32" s="188" t="s">
        <v>277</v>
      </c>
      <c r="R32" s="184">
        <v>1</v>
      </c>
      <c r="S32" s="184" t="s">
        <v>245</v>
      </c>
      <c r="T32" s="188" t="s">
        <v>278</v>
      </c>
      <c r="U32" s="184">
        <v>1</v>
      </c>
      <c r="V32" s="184" t="s">
        <v>249</v>
      </c>
      <c r="W32" s="188" t="s">
        <v>279</v>
      </c>
      <c r="X32" s="189">
        <v>3</v>
      </c>
      <c r="Y32" s="190" t="s">
        <v>252</v>
      </c>
      <c r="Z32" s="191" t="s">
        <v>251</v>
      </c>
      <c r="AA32" s="192">
        <v>1</v>
      </c>
      <c r="AB32" s="190" t="s">
        <v>255</v>
      </c>
      <c r="AC32" s="191" t="s">
        <v>254</v>
      </c>
      <c r="AD32" s="192">
        <v>1</v>
      </c>
    </row>
    <row r="33" spans="1:30">
      <c r="A33" s="197" t="s">
        <v>302</v>
      </c>
      <c r="B33" s="174" t="s">
        <v>303</v>
      </c>
      <c r="C33" s="175">
        <v>7.6</v>
      </c>
      <c r="D33" s="175">
        <v>4.5</v>
      </c>
      <c r="E33" s="175" t="s">
        <v>275</v>
      </c>
      <c r="F33" s="176">
        <v>4323</v>
      </c>
      <c r="G33" s="174" t="s">
        <v>206</v>
      </c>
      <c r="H33" s="174" t="s">
        <v>205</v>
      </c>
      <c r="I33" s="174">
        <v>1</v>
      </c>
      <c r="J33" s="177" t="s">
        <v>237</v>
      </c>
      <c r="K33" s="178" t="s">
        <v>276</v>
      </c>
      <c r="L33" s="174">
        <v>1</v>
      </c>
      <c r="M33" s="177" t="s">
        <v>229</v>
      </c>
      <c r="N33" s="174" t="s">
        <v>228</v>
      </c>
      <c r="O33" s="174">
        <v>1</v>
      </c>
      <c r="P33" s="177" t="s">
        <v>240</v>
      </c>
      <c r="Q33" s="178" t="s">
        <v>277</v>
      </c>
      <c r="R33" s="174">
        <v>1</v>
      </c>
      <c r="S33" s="174" t="s">
        <v>245</v>
      </c>
      <c r="T33" s="178" t="s">
        <v>278</v>
      </c>
      <c r="U33" s="174">
        <v>1</v>
      </c>
      <c r="V33" s="174" t="s">
        <v>249</v>
      </c>
      <c r="W33" s="178" t="s">
        <v>279</v>
      </c>
      <c r="X33" s="179">
        <v>1</v>
      </c>
      <c r="Y33" s="180" t="s">
        <v>252</v>
      </c>
      <c r="Z33" s="194" t="s">
        <v>251</v>
      </c>
      <c r="AA33" s="195">
        <v>1</v>
      </c>
      <c r="AB33" s="196" t="s">
        <v>255</v>
      </c>
      <c r="AC33" s="194" t="s">
        <v>254</v>
      </c>
      <c r="AD33" s="195">
        <v>1</v>
      </c>
    </row>
    <row r="34" spans="1:30">
      <c r="A34" s="198" t="s">
        <v>304</v>
      </c>
      <c r="B34" s="199" t="s">
        <v>305</v>
      </c>
      <c r="C34" s="200">
        <v>7.6</v>
      </c>
      <c r="D34" s="200">
        <v>6.3</v>
      </c>
      <c r="E34" s="200" t="s">
        <v>275</v>
      </c>
      <c r="F34" s="201">
        <v>4946</v>
      </c>
      <c r="G34" s="199" t="s">
        <v>206</v>
      </c>
      <c r="H34" s="199" t="s">
        <v>205</v>
      </c>
      <c r="I34" s="199">
        <v>1</v>
      </c>
      <c r="J34" s="202" t="s">
        <v>237</v>
      </c>
      <c r="K34" s="203" t="s">
        <v>276</v>
      </c>
      <c r="L34" s="199">
        <v>1</v>
      </c>
      <c r="M34" s="202" t="s">
        <v>234</v>
      </c>
      <c r="N34" s="199" t="s">
        <v>233</v>
      </c>
      <c r="O34" s="199">
        <v>1</v>
      </c>
      <c r="P34" s="202" t="s">
        <v>240</v>
      </c>
      <c r="Q34" s="203" t="s">
        <v>277</v>
      </c>
      <c r="R34" s="199">
        <v>1</v>
      </c>
      <c r="S34" s="199" t="s">
        <v>245</v>
      </c>
      <c r="T34" s="203" t="s">
        <v>278</v>
      </c>
      <c r="U34" s="199">
        <v>1</v>
      </c>
      <c r="V34" s="199" t="s">
        <v>249</v>
      </c>
      <c r="W34" s="203" t="s">
        <v>279</v>
      </c>
      <c r="X34" s="204">
        <v>1</v>
      </c>
      <c r="Y34" s="205" t="s">
        <v>252</v>
      </c>
      <c r="Z34" s="206" t="s">
        <v>251</v>
      </c>
      <c r="AA34" s="207">
        <v>1</v>
      </c>
      <c r="AB34" s="205" t="s">
        <v>255</v>
      </c>
      <c r="AC34" s="206" t="s">
        <v>254</v>
      </c>
      <c r="AD34" s="207">
        <v>1</v>
      </c>
    </row>
    <row r="35" spans="1:30">
      <c r="A35" s="208" t="s">
        <v>306</v>
      </c>
      <c r="B35" s="184" t="s">
        <v>307</v>
      </c>
      <c r="C35" s="185">
        <v>7.6</v>
      </c>
      <c r="D35" s="185">
        <v>9</v>
      </c>
      <c r="E35" s="185" t="s">
        <v>275</v>
      </c>
      <c r="F35" s="186">
        <v>5951</v>
      </c>
      <c r="G35" s="184" t="s">
        <v>206</v>
      </c>
      <c r="H35" s="184" t="s">
        <v>205</v>
      </c>
      <c r="I35" s="184">
        <v>1</v>
      </c>
      <c r="J35" s="187" t="s">
        <v>237</v>
      </c>
      <c r="K35" s="188" t="s">
        <v>276</v>
      </c>
      <c r="L35" s="184">
        <v>1</v>
      </c>
      <c r="M35" s="187" t="s">
        <v>229</v>
      </c>
      <c r="N35" s="184" t="s">
        <v>228</v>
      </c>
      <c r="O35" s="184">
        <v>2</v>
      </c>
      <c r="P35" s="187" t="s">
        <v>240</v>
      </c>
      <c r="Q35" s="188" t="s">
        <v>277</v>
      </c>
      <c r="R35" s="184">
        <v>1</v>
      </c>
      <c r="S35" s="184" t="s">
        <v>245</v>
      </c>
      <c r="T35" s="188" t="s">
        <v>278</v>
      </c>
      <c r="U35" s="184">
        <v>1</v>
      </c>
      <c r="V35" s="184" t="s">
        <v>249</v>
      </c>
      <c r="W35" s="188" t="s">
        <v>279</v>
      </c>
      <c r="X35" s="189">
        <v>2</v>
      </c>
      <c r="Y35" s="190" t="s">
        <v>252</v>
      </c>
      <c r="Z35" s="191" t="s">
        <v>251</v>
      </c>
      <c r="AA35" s="192">
        <v>1</v>
      </c>
      <c r="AB35" s="190" t="s">
        <v>255</v>
      </c>
      <c r="AC35" s="191" t="s">
        <v>254</v>
      </c>
      <c r="AD35" s="192">
        <v>1</v>
      </c>
    </row>
    <row r="36" spans="1:30">
      <c r="A36" s="198" t="s">
        <v>308</v>
      </c>
      <c r="B36" s="199" t="s">
        <v>309</v>
      </c>
      <c r="C36" s="200">
        <v>7.6</v>
      </c>
      <c r="D36" s="200">
        <v>12.6</v>
      </c>
      <c r="E36" s="200" t="s">
        <v>275</v>
      </c>
      <c r="F36" s="201">
        <v>7197</v>
      </c>
      <c r="G36" s="199" t="s">
        <v>206</v>
      </c>
      <c r="H36" s="199" t="s">
        <v>205</v>
      </c>
      <c r="I36" s="199">
        <v>1</v>
      </c>
      <c r="J36" s="202" t="s">
        <v>237</v>
      </c>
      <c r="K36" s="203" t="s">
        <v>276</v>
      </c>
      <c r="L36" s="199">
        <v>1</v>
      </c>
      <c r="M36" s="202" t="s">
        <v>234</v>
      </c>
      <c r="N36" s="199" t="s">
        <v>233</v>
      </c>
      <c r="O36" s="199">
        <v>2</v>
      </c>
      <c r="P36" s="202" t="s">
        <v>240</v>
      </c>
      <c r="Q36" s="203" t="s">
        <v>277</v>
      </c>
      <c r="R36" s="199">
        <v>1</v>
      </c>
      <c r="S36" s="199" t="s">
        <v>245</v>
      </c>
      <c r="T36" s="203" t="s">
        <v>278</v>
      </c>
      <c r="U36" s="199">
        <v>1</v>
      </c>
      <c r="V36" s="199" t="s">
        <v>249</v>
      </c>
      <c r="W36" s="203" t="s">
        <v>279</v>
      </c>
      <c r="X36" s="204">
        <v>2</v>
      </c>
      <c r="Y36" s="205" t="s">
        <v>252</v>
      </c>
      <c r="Z36" s="206" t="s">
        <v>251</v>
      </c>
      <c r="AA36" s="207">
        <v>1</v>
      </c>
      <c r="AB36" s="205" t="s">
        <v>255</v>
      </c>
      <c r="AC36" s="206" t="s">
        <v>254</v>
      </c>
      <c r="AD36" s="207">
        <v>1</v>
      </c>
    </row>
    <row r="37" spans="1:30">
      <c r="A37" s="208" t="s">
        <v>310</v>
      </c>
      <c r="B37" s="184" t="s">
        <v>311</v>
      </c>
      <c r="C37" s="185">
        <v>7.6</v>
      </c>
      <c r="D37" s="185">
        <v>13.5</v>
      </c>
      <c r="E37" s="185" t="s">
        <v>275</v>
      </c>
      <c r="F37" s="186">
        <v>7579</v>
      </c>
      <c r="G37" s="184" t="s">
        <v>206</v>
      </c>
      <c r="H37" s="184" t="s">
        <v>205</v>
      </c>
      <c r="I37" s="184">
        <v>1</v>
      </c>
      <c r="J37" s="187" t="s">
        <v>237</v>
      </c>
      <c r="K37" s="188" t="s">
        <v>276</v>
      </c>
      <c r="L37" s="184">
        <v>1</v>
      </c>
      <c r="M37" s="187" t="s">
        <v>229</v>
      </c>
      <c r="N37" s="184" t="s">
        <v>228</v>
      </c>
      <c r="O37" s="184">
        <v>3</v>
      </c>
      <c r="P37" s="187" t="s">
        <v>240</v>
      </c>
      <c r="Q37" s="188" t="s">
        <v>277</v>
      </c>
      <c r="R37" s="184">
        <v>1</v>
      </c>
      <c r="S37" s="184" t="s">
        <v>245</v>
      </c>
      <c r="T37" s="188" t="s">
        <v>278</v>
      </c>
      <c r="U37" s="184">
        <v>1</v>
      </c>
      <c r="V37" s="184" t="s">
        <v>249</v>
      </c>
      <c r="W37" s="188" t="s">
        <v>279</v>
      </c>
      <c r="X37" s="189">
        <v>3</v>
      </c>
      <c r="Y37" s="190" t="s">
        <v>252</v>
      </c>
      <c r="Z37" s="191" t="s">
        <v>251</v>
      </c>
      <c r="AA37" s="192">
        <v>1</v>
      </c>
      <c r="AB37" s="190" t="s">
        <v>255</v>
      </c>
      <c r="AC37" s="191" t="s">
        <v>254</v>
      </c>
      <c r="AD37" s="192">
        <v>1</v>
      </c>
    </row>
    <row r="38" spans="1:30">
      <c r="A38" s="198" t="s">
        <v>312</v>
      </c>
      <c r="B38" s="199" t="s">
        <v>313</v>
      </c>
      <c r="C38" s="200">
        <v>7.6</v>
      </c>
      <c r="D38" s="200">
        <v>18.899999999999999</v>
      </c>
      <c r="E38" s="200" t="s">
        <v>275</v>
      </c>
      <c r="F38" s="201">
        <v>9448</v>
      </c>
      <c r="G38" s="199" t="s">
        <v>206</v>
      </c>
      <c r="H38" s="199" t="s">
        <v>205</v>
      </c>
      <c r="I38" s="199">
        <v>1</v>
      </c>
      <c r="J38" s="202" t="s">
        <v>237</v>
      </c>
      <c r="K38" s="203" t="s">
        <v>276</v>
      </c>
      <c r="L38" s="199">
        <v>1</v>
      </c>
      <c r="M38" s="202" t="s">
        <v>234</v>
      </c>
      <c r="N38" s="199" t="s">
        <v>233</v>
      </c>
      <c r="O38" s="199">
        <v>3</v>
      </c>
      <c r="P38" s="202" t="s">
        <v>240</v>
      </c>
      <c r="Q38" s="203" t="s">
        <v>277</v>
      </c>
      <c r="R38" s="199">
        <v>1</v>
      </c>
      <c r="S38" s="199" t="s">
        <v>245</v>
      </c>
      <c r="T38" s="203" t="s">
        <v>278</v>
      </c>
      <c r="U38" s="199">
        <v>1</v>
      </c>
      <c r="V38" s="199" t="s">
        <v>249</v>
      </c>
      <c r="W38" s="203" t="s">
        <v>279</v>
      </c>
      <c r="X38" s="204">
        <v>3</v>
      </c>
      <c r="Y38" s="205" t="s">
        <v>252</v>
      </c>
      <c r="Z38" s="206" t="s">
        <v>251</v>
      </c>
      <c r="AA38" s="207">
        <v>1</v>
      </c>
      <c r="AB38" s="205" t="s">
        <v>255</v>
      </c>
      <c r="AC38" s="206" t="s">
        <v>254</v>
      </c>
      <c r="AD38" s="207">
        <v>1</v>
      </c>
    </row>
    <row r="39" spans="1:30">
      <c r="A39" s="197" t="s">
        <v>314</v>
      </c>
      <c r="B39" s="174" t="s">
        <v>315</v>
      </c>
      <c r="C39" s="175">
        <v>8.6</v>
      </c>
      <c r="D39" s="175">
        <v>4.5</v>
      </c>
      <c r="E39" s="175" t="s">
        <v>275</v>
      </c>
      <c r="F39" s="176">
        <v>4768</v>
      </c>
      <c r="G39" s="174" t="s">
        <v>210</v>
      </c>
      <c r="H39" s="174" t="s">
        <v>209</v>
      </c>
      <c r="I39" s="174">
        <v>1</v>
      </c>
      <c r="J39" s="177" t="s">
        <v>237</v>
      </c>
      <c r="K39" s="178" t="s">
        <v>276</v>
      </c>
      <c r="L39" s="174">
        <v>1</v>
      </c>
      <c r="M39" s="177" t="s">
        <v>229</v>
      </c>
      <c r="N39" s="174" t="s">
        <v>228</v>
      </c>
      <c r="O39" s="174">
        <v>1</v>
      </c>
      <c r="P39" s="177" t="s">
        <v>240</v>
      </c>
      <c r="Q39" s="178" t="s">
        <v>277</v>
      </c>
      <c r="R39" s="174">
        <v>1</v>
      </c>
      <c r="S39" s="174" t="s">
        <v>245</v>
      </c>
      <c r="T39" s="178" t="s">
        <v>278</v>
      </c>
      <c r="U39" s="174">
        <v>1</v>
      </c>
      <c r="V39" s="174" t="s">
        <v>249</v>
      </c>
      <c r="W39" s="178" t="s">
        <v>279</v>
      </c>
      <c r="X39" s="179">
        <v>1</v>
      </c>
      <c r="Y39" s="180" t="s">
        <v>252</v>
      </c>
      <c r="Z39" s="191" t="s">
        <v>251</v>
      </c>
      <c r="AA39" s="182">
        <v>1</v>
      </c>
      <c r="AB39" s="180" t="s">
        <v>255</v>
      </c>
      <c r="AC39" s="191" t="s">
        <v>254</v>
      </c>
      <c r="AD39" s="182">
        <v>1</v>
      </c>
    </row>
    <row r="40" spans="1:30">
      <c r="A40" s="208" t="s">
        <v>316</v>
      </c>
      <c r="B40" s="184" t="s">
        <v>317</v>
      </c>
      <c r="C40" s="185">
        <v>8.6</v>
      </c>
      <c r="D40" s="185">
        <v>6.3</v>
      </c>
      <c r="E40" s="185" t="s">
        <v>275</v>
      </c>
      <c r="F40" s="186">
        <v>5391</v>
      </c>
      <c r="G40" s="184" t="s">
        <v>210</v>
      </c>
      <c r="H40" s="184" t="s">
        <v>209</v>
      </c>
      <c r="I40" s="184">
        <v>1</v>
      </c>
      <c r="J40" s="187" t="s">
        <v>237</v>
      </c>
      <c r="K40" s="188" t="s">
        <v>276</v>
      </c>
      <c r="L40" s="184">
        <v>1</v>
      </c>
      <c r="M40" s="187" t="s">
        <v>234</v>
      </c>
      <c r="N40" s="184" t="s">
        <v>233</v>
      </c>
      <c r="O40" s="184">
        <v>1</v>
      </c>
      <c r="P40" s="187" t="s">
        <v>240</v>
      </c>
      <c r="Q40" s="188" t="s">
        <v>277</v>
      </c>
      <c r="R40" s="184">
        <v>1</v>
      </c>
      <c r="S40" s="184" t="s">
        <v>245</v>
      </c>
      <c r="T40" s="188" t="s">
        <v>278</v>
      </c>
      <c r="U40" s="184">
        <v>1</v>
      </c>
      <c r="V40" s="184" t="s">
        <v>249</v>
      </c>
      <c r="W40" s="188" t="s">
        <v>279</v>
      </c>
      <c r="X40" s="189">
        <v>1</v>
      </c>
      <c r="Y40" s="190" t="s">
        <v>252</v>
      </c>
      <c r="Z40" s="191" t="s">
        <v>251</v>
      </c>
      <c r="AA40" s="192">
        <v>1</v>
      </c>
      <c r="AB40" s="190" t="s">
        <v>255</v>
      </c>
      <c r="AC40" s="191" t="s">
        <v>254</v>
      </c>
      <c r="AD40" s="192">
        <v>1</v>
      </c>
    </row>
    <row r="41" spans="1:30">
      <c r="A41" s="208" t="s">
        <v>318</v>
      </c>
      <c r="B41" s="184" t="s">
        <v>319</v>
      </c>
      <c r="C41" s="185">
        <v>8.6</v>
      </c>
      <c r="D41" s="185">
        <v>9</v>
      </c>
      <c r="E41" s="185" t="s">
        <v>275</v>
      </c>
      <c r="F41" s="186">
        <v>6396</v>
      </c>
      <c r="G41" s="184" t="s">
        <v>210</v>
      </c>
      <c r="H41" s="184" t="s">
        <v>209</v>
      </c>
      <c r="I41" s="184">
        <v>1</v>
      </c>
      <c r="J41" s="187" t="s">
        <v>237</v>
      </c>
      <c r="K41" s="188" t="s">
        <v>276</v>
      </c>
      <c r="L41" s="184">
        <v>1</v>
      </c>
      <c r="M41" s="187" t="s">
        <v>229</v>
      </c>
      <c r="N41" s="184" t="s">
        <v>228</v>
      </c>
      <c r="O41" s="184">
        <v>2</v>
      </c>
      <c r="P41" s="187" t="s">
        <v>240</v>
      </c>
      <c r="Q41" s="188" t="s">
        <v>277</v>
      </c>
      <c r="R41" s="184">
        <v>1</v>
      </c>
      <c r="S41" s="184" t="s">
        <v>245</v>
      </c>
      <c r="T41" s="188" t="s">
        <v>278</v>
      </c>
      <c r="U41" s="184">
        <v>1</v>
      </c>
      <c r="V41" s="184" t="s">
        <v>249</v>
      </c>
      <c r="W41" s="188" t="s">
        <v>279</v>
      </c>
      <c r="X41" s="189">
        <v>2</v>
      </c>
      <c r="Y41" s="190" t="s">
        <v>252</v>
      </c>
      <c r="Z41" s="191" t="s">
        <v>251</v>
      </c>
      <c r="AA41" s="192">
        <v>1</v>
      </c>
      <c r="AB41" s="190" t="s">
        <v>255</v>
      </c>
      <c r="AC41" s="191" t="s">
        <v>254</v>
      </c>
      <c r="AD41" s="192">
        <v>1</v>
      </c>
    </row>
    <row r="42" spans="1:30">
      <c r="A42" s="208" t="s">
        <v>320</v>
      </c>
      <c r="B42" s="184" t="s">
        <v>321</v>
      </c>
      <c r="C42" s="185">
        <v>8.6</v>
      </c>
      <c r="D42" s="185">
        <v>12.6</v>
      </c>
      <c r="E42" s="185" t="s">
        <v>275</v>
      </c>
      <c r="F42" s="186">
        <v>7642</v>
      </c>
      <c r="G42" s="184" t="s">
        <v>210</v>
      </c>
      <c r="H42" s="184" t="s">
        <v>209</v>
      </c>
      <c r="I42" s="184">
        <v>1</v>
      </c>
      <c r="J42" s="187" t="s">
        <v>237</v>
      </c>
      <c r="K42" s="188" t="s">
        <v>276</v>
      </c>
      <c r="L42" s="184">
        <v>1</v>
      </c>
      <c r="M42" s="187" t="s">
        <v>234</v>
      </c>
      <c r="N42" s="184" t="s">
        <v>233</v>
      </c>
      <c r="O42" s="184">
        <v>2</v>
      </c>
      <c r="P42" s="187" t="s">
        <v>240</v>
      </c>
      <c r="Q42" s="188" t="s">
        <v>277</v>
      </c>
      <c r="R42" s="184">
        <v>1</v>
      </c>
      <c r="S42" s="184" t="s">
        <v>245</v>
      </c>
      <c r="T42" s="188" t="s">
        <v>278</v>
      </c>
      <c r="U42" s="184">
        <v>1</v>
      </c>
      <c r="V42" s="184" t="s">
        <v>249</v>
      </c>
      <c r="W42" s="188" t="s">
        <v>279</v>
      </c>
      <c r="X42" s="189">
        <v>2</v>
      </c>
      <c r="Y42" s="190" t="s">
        <v>252</v>
      </c>
      <c r="Z42" s="191" t="s">
        <v>251</v>
      </c>
      <c r="AA42" s="192">
        <v>1</v>
      </c>
      <c r="AB42" s="190" t="s">
        <v>255</v>
      </c>
      <c r="AC42" s="191" t="s">
        <v>254</v>
      </c>
      <c r="AD42" s="192">
        <v>1</v>
      </c>
    </row>
    <row r="43" spans="1:30">
      <c r="A43" s="208" t="s">
        <v>322</v>
      </c>
      <c r="B43" s="184" t="s">
        <v>323</v>
      </c>
      <c r="C43" s="185">
        <v>8.6</v>
      </c>
      <c r="D43" s="185">
        <v>13.5</v>
      </c>
      <c r="E43" s="185" t="s">
        <v>275</v>
      </c>
      <c r="F43" s="186">
        <v>8024</v>
      </c>
      <c r="G43" s="184" t="s">
        <v>210</v>
      </c>
      <c r="H43" s="184" t="s">
        <v>209</v>
      </c>
      <c r="I43" s="184">
        <v>1</v>
      </c>
      <c r="J43" s="187" t="s">
        <v>237</v>
      </c>
      <c r="K43" s="188" t="s">
        <v>276</v>
      </c>
      <c r="L43" s="184">
        <v>1</v>
      </c>
      <c r="M43" s="187" t="s">
        <v>229</v>
      </c>
      <c r="N43" s="184" t="s">
        <v>228</v>
      </c>
      <c r="O43" s="184">
        <v>3</v>
      </c>
      <c r="P43" s="187" t="s">
        <v>240</v>
      </c>
      <c r="Q43" s="188" t="s">
        <v>277</v>
      </c>
      <c r="R43" s="184">
        <v>1</v>
      </c>
      <c r="S43" s="184" t="s">
        <v>245</v>
      </c>
      <c r="T43" s="188" t="s">
        <v>278</v>
      </c>
      <c r="U43" s="184">
        <v>1</v>
      </c>
      <c r="V43" s="184" t="s">
        <v>249</v>
      </c>
      <c r="W43" s="188" t="s">
        <v>279</v>
      </c>
      <c r="X43" s="189">
        <v>3</v>
      </c>
      <c r="Y43" s="190" t="s">
        <v>252</v>
      </c>
      <c r="Z43" s="191" t="s">
        <v>251</v>
      </c>
      <c r="AA43" s="192">
        <v>1</v>
      </c>
      <c r="AB43" s="190" t="s">
        <v>255</v>
      </c>
      <c r="AC43" s="191" t="s">
        <v>254</v>
      </c>
      <c r="AD43" s="192">
        <v>1</v>
      </c>
    </row>
    <row r="44" spans="1:30">
      <c r="A44" s="208" t="s">
        <v>324</v>
      </c>
      <c r="B44" s="184" t="s">
        <v>325</v>
      </c>
      <c r="C44" s="185">
        <v>8.6</v>
      </c>
      <c r="D44" s="185">
        <v>18.899999999999999</v>
      </c>
      <c r="E44" s="185" t="s">
        <v>275</v>
      </c>
      <c r="F44" s="186">
        <v>9893</v>
      </c>
      <c r="G44" s="184" t="s">
        <v>210</v>
      </c>
      <c r="H44" s="184" t="s">
        <v>209</v>
      </c>
      <c r="I44" s="184">
        <v>1</v>
      </c>
      <c r="J44" s="187" t="s">
        <v>237</v>
      </c>
      <c r="K44" s="188" t="s">
        <v>276</v>
      </c>
      <c r="L44" s="184">
        <v>1</v>
      </c>
      <c r="M44" s="187" t="s">
        <v>234</v>
      </c>
      <c r="N44" s="184" t="s">
        <v>233</v>
      </c>
      <c r="O44" s="184">
        <v>3</v>
      </c>
      <c r="P44" s="187" t="s">
        <v>240</v>
      </c>
      <c r="Q44" s="188" t="s">
        <v>277</v>
      </c>
      <c r="R44" s="184">
        <v>1</v>
      </c>
      <c r="S44" s="184" t="s">
        <v>245</v>
      </c>
      <c r="T44" s="188" t="s">
        <v>278</v>
      </c>
      <c r="U44" s="184">
        <v>1</v>
      </c>
      <c r="V44" s="184" t="s">
        <v>249</v>
      </c>
      <c r="W44" s="188" t="s">
        <v>279</v>
      </c>
      <c r="X44" s="189">
        <v>3</v>
      </c>
      <c r="Y44" s="190" t="s">
        <v>252</v>
      </c>
      <c r="Z44" s="191" t="s">
        <v>251</v>
      </c>
      <c r="AA44" s="192">
        <v>1</v>
      </c>
      <c r="AB44" s="190" t="s">
        <v>255</v>
      </c>
      <c r="AC44" s="191" t="s">
        <v>254</v>
      </c>
      <c r="AD44" s="192">
        <v>1</v>
      </c>
    </row>
    <row r="45" spans="1:30">
      <c r="A45" s="173" t="s">
        <v>326</v>
      </c>
      <c r="B45" s="174" t="s">
        <v>327</v>
      </c>
      <c r="C45" s="175">
        <v>6</v>
      </c>
      <c r="D45" s="175">
        <v>4.5</v>
      </c>
      <c r="E45" s="175" t="s">
        <v>275</v>
      </c>
      <c r="F45" s="176">
        <v>4073</v>
      </c>
      <c r="G45" s="177" t="s">
        <v>214</v>
      </c>
      <c r="H45" s="174" t="s">
        <v>213</v>
      </c>
      <c r="I45" s="174">
        <v>1</v>
      </c>
      <c r="J45" s="177" t="s">
        <v>237</v>
      </c>
      <c r="K45" s="178" t="s">
        <v>276</v>
      </c>
      <c r="L45" s="174">
        <v>1</v>
      </c>
      <c r="M45" s="177" t="s">
        <v>229</v>
      </c>
      <c r="N45" s="174" t="s">
        <v>228</v>
      </c>
      <c r="O45" s="174">
        <v>1</v>
      </c>
      <c r="P45" s="177" t="s">
        <v>240</v>
      </c>
      <c r="Q45" s="178" t="s">
        <v>277</v>
      </c>
      <c r="R45" s="174">
        <v>1</v>
      </c>
      <c r="S45" s="174" t="s">
        <v>245</v>
      </c>
      <c r="T45" s="178" t="s">
        <v>278</v>
      </c>
      <c r="U45" s="174">
        <v>1</v>
      </c>
      <c r="V45" s="174" t="s">
        <v>249</v>
      </c>
      <c r="W45" s="178" t="s">
        <v>279</v>
      </c>
      <c r="X45" s="179">
        <v>1</v>
      </c>
      <c r="Y45" s="180" t="s">
        <v>252</v>
      </c>
      <c r="Z45" s="191" t="s">
        <v>251</v>
      </c>
      <c r="AA45" s="182">
        <v>1</v>
      </c>
      <c r="AB45" s="180" t="s">
        <v>255</v>
      </c>
      <c r="AC45" s="191" t="s">
        <v>254</v>
      </c>
      <c r="AD45" s="182">
        <v>1</v>
      </c>
    </row>
    <row r="46" spans="1:30">
      <c r="A46" s="183" t="s">
        <v>328</v>
      </c>
      <c r="B46" s="184" t="s">
        <v>329</v>
      </c>
      <c r="C46" s="185">
        <v>6</v>
      </c>
      <c r="D46" s="185">
        <v>6.3</v>
      </c>
      <c r="E46" s="185" t="s">
        <v>275</v>
      </c>
      <c r="F46" s="186">
        <v>4696</v>
      </c>
      <c r="G46" s="187" t="s">
        <v>214</v>
      </c>
      <c r="H46" s="184" t="s">
        <v>213</v>
      </c>
      <c r="I46" s="184">
        <v>1</v>
      </c>
      <c r="J46" s="187" t="s">
        <v>237</v>
      </c>
      <c r="K46" s="188" t="s">
        <v>276</v>
      </c>
      <c r="L46" s="184">
        <v>1</v>
      </c>
      <c r="M46" s="187" t="s">
        <v>234</v>
      </c>
      <c r="N46" s="184" t="s">
        <v>233</v>
      </c>
      <c r="O46" s="184">
        <v>1</v>
      </c>
      <c r="P46" s="187" t="s">
        <v>240</v>
      </c>
      <c r="Q46" s="188" t="s">
        <v>277</v>
      </c>
      <c r="R46" s="184">
        <v>1</v>
      </c>
      <c r="S46" s="184" t="s">
        <v>245</v>
      </c>
      <c r="T46" s="188" t="s">
        <v>278</v>
      </c>
      <c r="U46" s="184">
        <v>1</v>
      </c>
      <c r="V46" s="184" t="s">
        <v>249</v>
      </c>
      <c r="W46" s="188" t="s">
        <v>279</v>
      </c>
      <c r="X46" s="189">
        <v>1</v>
      </c>
      <c r="Y46" s="190" t="s">
        <v>252</v>
      </c>
      <c r="Z46" s="191" t="s">
        <v>251</v>
      </c>
      <c r="AA46" s="192">
        <v>1</v>
      </c>
      <c r="AB46" s="190" t="s">
        <v>255</v>
      </c>
      <c r="AC46" s="191" t="s">
        <v>254</v>
      </c>
      <c r="AD46" s="192">
        <v>1</v>
      </c>
    </row>
    <row r="47" spans="1:30">
      <c r="A47" s="183" t="s">
        <v>330</v>
      </c>
      <c r="B47" s="184" t="s">
        <v>331</v>
      </c>
      <c r="C47" s="185">
        <v>6</v>
      </c>
      <c r="D47" s="185">
        <v>9</v>
      </c>
      <c r="E47" s="185" t="s">
        <v>275</v>
      </c>
      <c r="F47" s="186">
        <v>5701</v>
      </c>
      <c r="G47" s="187" t="s">
        <v>214</v>
      </c>
      <c r="H47" s="184" t="s">
        <v>213</v>
      </c>
      <c r="I47" s="184">
        <v>1</v>
      </c>
      <c r="J47" s="187" t="s">
        <v>237</v>
      </c>
      <c r="K47" s="188" t="s">
        <v>276</v>
      </c>
      <c r="L47" s="184">
        <v>1</v>
      </c>
      <c r="M47" s="187" t="s">
        <v>229</v>
      </c>
      <c r="N47" s="184" t="s">
        <v>228</v>
      </c>
      <c r="O47" s="184">
        <v>2</v>
      </c>
      <c r="P47" s="187" t="s">
        <v>240</v>
      </c>
      <c r="Q47" s="188" t="s">
        <v>277</v>
      </c>
      <c r="R47" s="184">
        <v>1</v>
      </c>
      <c r="S47" s="184" t="s">
        <v>245</v>
      </c>
      <c r="T47" s="188" t="s">
        <v>278</v>
      </c>
      <c r="U47" s="184">
        <v>1</v>
      </c>
      <c r="V47" s="184" t="s">
        <v>249</v>
      </c>
      <c r="W47" s="188" t="s">
        <v>279</v>
      </c>
      <c r="X47" s="189">
        <v>2</v>
      </c>
      <c r="Y47" s="190" t="s">
        <v>252</v>
      </c>
      <c r="Z47" s="191" t="s">
        <v>251</v>
      </c>
      <c r="AA47" s="192">
        <v>1</v>
      </c>
      <c r="AB47" s="190" t="s">
        <v>255</v>
      </c>
      <c r="AC47" s="191" t="s">
        <v>254</v>
      </c>
      <c r="AD47" s="192">
        <v>1</v>
      </c>
    </row>
    <row r="48" spans="1:30">
      <c r="A48" s="183" t="s">
        <v>332</v>
      </c>
      <c r="B48" s="184" t="s">
        <v>333</v>
      </c>
      <c r="C48" s="185">
        <v>6</v>
      </c>
      <c r="D48" s="185">
        <v>12.6</v>
      </c>
      <c r="E48" s="185" t="s">
        <v>275</v>
      </c>
      <c r="F48" s="186">
        <v>6947</v>
      </c>
      <c r="G48" s="187" t="s">
        <v>214</v>
      </c>
      <c r="H48" s="184" t="s">
        <v>213</v>
      </c>
      <c r="I48" s="184">
        <v>1</v>
      </c>
      <c r="J48" s="187" t="s">
        <v>237</v>
      </c>
      <c r="K48" s="188" t="s">
        <v>276</v>
      </c>
      <c r="L48" s="184">
        <v>1</v>
      </c>
      <c r="M48" s="187" t="s">
        <v>234</v>
      </c>
      <c r="N48" s="184" t="s">
        <v>233</v>
      </c>
      <c r="O48" s="184">
        <v>2</v>
      </c>
      <c r="P48" s="187" t="s">
        <v>240</v>
      </c>
      <c r="Q48" s="188" t="s">
        <v>277</v>
      </c>
      <c r="R48" s="184">
        <v>1</v>
      </c>
      <c r="S48" s="184" t="s">
        <v>245</v>
      </c>
      <c r="T48" s="188" t="s">
        <v>278</v>
      </c>
      <c r="U48" s="184">
        <v>1</v>
      </c>
      <c r="V48" s="184" t="s">
        <v>249</v>
      </c>
      <c r="W48" s="188" t="s">
        <v>279</v>
      </c>
      <c r="X48" s="189">
        <v>2</v>
      </c>
      <c r="Y48" s="190" t="s">
        <v>252</v>
      </c>
      <c r="Z48" s="191" t="s">
        <v>251</v>
      </c>
      <c r="AA48" s="192">
        <v>1</v>
      </c>
      <c r="AB48" s="190" t="s">
        <v>255</v>
      </c>
      <c r="AC48" s="191" t="s">
        <v>254</v>
      </c>
      <c r="AD48" s="192">
        <v>1</v>
      </c>
    </row>
    <row r="49" spans="1:30">
      <c r="A49" s="183" t="s">
        <v>334</v>
      </c>
      <c r="B49" s="184" t="s">
        <v>335</v>
      </c>
      <c r="C49" s="185">
        <v>6</v>
      </c>
      <c r="D49" s="185">
        <v>13.5</v>
      </c>
      <c r="E49" s="185" t="s">
        <v>275</v>
      </c>
      <c r="F49" s="186">
        <v>7329</v>
      </c>
      <c r="G49" s="187" t="s">
        <v>214</v>
      </c>
      <c r="H49" s="184" t="s">
        <v>213</v>
      </c>
      <c r="I49" s="184">
        <v>1</v>
      </c>
      <c r="J49" s="187" t="s">
        <v>237</v>
      </c>
      <c r="K49" s="188" t="s">
        <v>276</v>
      </c>
      <c r="L49" s="184">
        <v>1</v>
      </c>
      <c r="M49" s="187" t="s">
        <v>229</v>
      </c>
      <c r="N49" s="184" t="s">
        <v>228</v>
      </c>
      <c r="O49" s="184">
        <v>3</v>
      </c>
      <c r="P49" s="187" t="s">
        <v>240</v>
      </c>
      <c r="Q49" s="188" t="s">
        <v>277</v>
      </c>
      <c r="R49" s="184">
        <v>1</v>
      </c>
      <c r="S49" s="184" t="s">
        <v>245</v>
      </c>
      <c r="T49" s="188" t="s">
        <v>278</v>
      </c>
      <c r="U49" s="184">
        <v>1</v>
      </c>
      <c r="V49" s="184" t="s">
        <v>249</v>
      </c>
      <c r="W49" s="188" t="s">
        <v>279</v>
      </c>
      <c r="X49" s="189">
        <v>3</v>
      </c>
      <c r="Y49" s="190" t="s">
        <v>252</v>
      </c>
      <c r="Z49" s="191" t="s">
        <v>251</v>
      </c>
      <c r="AA49" s="192">
        <v>1</v>
      </c>
      <c r="AB49" s="190" t="s">
        <v>255</v>
      </c>
      <c r="AC49" s="191" t="s">
        <v>254</v>
      </c>
      <c r="AD49" s="192">
        <v>1</v>
      </c>
    </row>
    <row r="50" spans="1:30">
      <c r="A50" s="183" t="s">
        <v>336</v>
      </c>
      <c r="B50" s="184" t="s">
        <v>337</v>
      </c>
      <c r="C50" s="185">
        <v>6</v>
      </c>
      <c r="D50" s="185">
        <v>18.899999999999999</v>
      </c>
      <c r="E50" s="185" t="s">
        <v>275</v>
      </c>
      <c r="F50" s="186">
        <v>9198</v>
      </c>
      <c r="G50" s="187" t="s">
        <v>214</v>
      </c>
      <c r="H50" s="184" t="s">
        <v>213</v>
      </c>
      <c r="I50" s="184">
        <v>1</v>
      </c>
      <c r="J50" s="187" t="s">
        <v>237</v>
      </c>
      <c r="K50" s="188" t="s">
        <v>276</v>
      </c>
      <c r="L50" s="184">
        <v>1</v>
      </c>
      <c r="M50" s="187" t="s">
        <v>234</v>
      </c>
      <c r="N50" s="184" t="s">
        <v>233</v>
      </c>
      <c r="O50" s="184">
        <v>3</v>
      </c>
      <c r="P50" s="187" t="s">
        <v>240</v>
      </c>
      <c r="Q50" s="188" t="s">
        <v>277</v>
      </c>
      <c r="R50" s="184">
        <v>1</v>
      </c>
      <c r="S50" s="184" t="s">
        <v>245</v>
      </c>
      <c r="T50" s="188" t="s">
        <v>278</v>
      </c>
      <c r="U50" s="184">
        <v>1</v>
      </c>
      <c r="V50" s="184" t="s">
        <v>249</v>
      </c>
      <c r="W50" s="188" t="s">
        <v>279</v>
      </c>
      <c r="X50" s="189">
        <v>3</v>
      </c>
      <c r="Y50" s="190" t="s">
        <v>252</v>
      </c>
      <c r="Z50" s="191" t="s">
        <v>251</v>
      </c>
      <c r="AA50" s="192">
        <v>1</v>
      </c>
      <c r="AB50" s="190" t="s">
        <v>255</v>
      </c>
      <c r="AC50" s="191" t="s">
        <v>254</v>
      </c>
      <c r="AD50" s="192">
        <v>1</v>
      </c>
    </row>
    <row r="51" spans="1:30">
      <c r="A51" s="173" t="s">
        <v>338</v>
      </c>
      <c r="B51" s="174" t="s">
        <v>339</v>
      </c>
      <c r="C51" s="175">
        <v>7</v>
      </c>
      <c r="D51" s="175">
        <v>4.5</v>
      </c>
      <c r="E51" s="175" t="s">
        <v>275</v>
      </c>
      <c r="F51" s="176">
        <v>4093</v>
      </c>
      <c r="G51" s="177" t="s">
        <v>218</v>
      </c>
      <c r="H51" s="174" t="s">
        <v>217</v>
      </c>
      <c r="I51" s="174">
        <v>1</v>
      </c>
      <c r="J51" s="177" t="s">
        <v>237</v>
      </c>
      <c r="K51" s="178" t="s">
        <v>276</v>
      </c>
      <c r="L51" s="174">
        <v>1</v>
      </c>
      <c r="M51" s="177" t="s">
        <v>229</v>
      </c>
      <c r="N51" s="174" t="s">
        <v>228</v>
      </c>
      <c r="O51" s="174">
        <v>1</v>
      </c>
      <c r="P51" s="177" t="s">
        <v>240</v>
      </c>
      <c r="Q51" s="178" t="s">
        <v>277</v>
      </c>
      <c r="R51" s="174">
        <v>1</v>
      </c>
      <c r="S51" s="174" t="s">
        <v>245</v>
      </c>
      <c r="T51" s="178" t="s">
        <v>278</v>
      </c>
      <c r="U51" s="174">
        <v>1</v>
      </c>
      <c r="V51" s="174" t="s">
        <v>249</v>
      </c>
      <c r="W51" s="178" t="s">
        <v>279</v>
      </c>
      <c r="X51" s="179">
        <v>1</v>
      </c>
      <c r="Y51" s="180" t="s">
        <v>252</v>
      </c>
      <c r="Z51" s="191" t="s">
        <v>251</v>
      </c>
      <c r="AA51" s="182">
        <v>1</v>
      </c>
      <c r="AB51" s="180" t="s">
        <v>255</v>
      </c>
      <c r="AC51" s="191" t="s">
        <v>254</v>
      </c>
      <c r="AD51" s="182">
        <v>1</v>
      </c>
    </row>
    <row r="52" spans="1:30">
      <c r="A52" s="183" t="s">
        <v>340</v>
      </c>
      <c r="B52" s="184" t="s">
        <v>341</v>
      </c>
      <c r="C52" s="185">
        <v>7</v>
      </c>
      <c r="D52" s="185">
        <v>6.3</v>
      </c>
      <c r="E52" s="185" t="s">
        <v>275</v>
      </c>
      <c r="F52" s="186">
        <v>4716</v>
      </c>
      <c r="G52" s="187" t="s">
        <v>218</v>
      </c>
      <c r="H52" s="184" t="s">
        <v>217</v>
      </c>
      <c r="I52" s="184">
        <v>1</v>
      </c>
      <c r="J52" s="187" t="s">
        <v>237</v>
      </c>
      <c r="K52" s="188" t="s">
        <v>276</v>
      </c>
      <c r="L52" s="184">
        <v>1</v>
      </c>
      <c r="M52" s="187" t="s">
        <v>234</v>
      </c>
      <c r="N52" s="184" t="s">
        <v>233</v>
      </c>
      <c r="O52" s="184">
        <v>1</v>
      </c>
      <c r="P52" s="187" t="s">
        <v>240</v>
      </c>
      <c r="Q52" s="188" t="s">
        <v>277</v>
      </c>
      <c r="R52" s="184">
        <v>1</v>
      </c>
      <c r="S52" s="184" t="s">
        <v>245</v>
      </c>
      <c r="T52" s="188" t="s">
        <v>278</v>
      </c>
      <c r="U52" s="184">
        <v>1</v>
      </c>
      <c r="V52" s="184" t="s">
        <v>249</v>
      </c>
      <c r="W52" s="188" t="s">
        <v>279</v>
      </c>
      <c r="X52" s="189">
        <v>1</v>
      </c>
      <c r="Y52" s="190" t="s">
        <v>252</v>
      </c>
      <c r="Z52" s="191" t="s">
        <v>251</v>
      </c>
      <c r="AA52" s="192">
        <v>1</v>
      </c>
      <c r="AB52" s="190" t="s">
        <v>255</v>
      </c>
      <c r="AC52" s="191" t="s">
        <v>254</v>
      </c>
      <c r="AD52" s="192">
        <v>1</v>
      </c>
    </row>
    <row r="53" spans="1:30">
      <c r="A53" s="183" t="s">
        <v>342</v>
      </c>
      <c r="B53" s="184" t="s">
        <v>343</v>
      </c>
      <c r="C53" s="185">
        <v>7</v>
      </c>
      <c r="D53" s="185">
        <v>9</v>
      </c>
      <c r="E53" s="185" t="s">
        <v>275</v>
      </c>
      <c r="F53" s="186">
        <v>5721</v>
      </c>
      <c r="G53" s="187" t="s">
        <v>218</v>
      </c>
      <c r="H53" s="184" t="s">
        <v>217</v>
      </c>
      <c r="I53" s="184">
        <v>1</v>
      </c>
      <c r="J53" s="187" t="s">
        <v>237</v>
      </c>
      <c r="K53" s="188" t="s">
        <v>276</v>
      </c>
      <c r="L53" s="184">
        <v>1</v>
      </c>
      <c r="M53" s="187" t="s">
        <v>229</v>
      </c>
      <c r="N53" s="184" t="s">
        <v>228</v>
      </c>
      <c r="O53" s="184">
        <v>2</v>
      </c>
      <c r="P53" s="187" t="s">
        <v>240</v>
      </c>
      <c r="Q53" s="188" t="s">
        <v>277</v>
      </c>
      <c r="R53" s="184">
        <v>1</v>
      </c>
      <c r="S53" s="184" t="s">
        <v>245</v>
      </c>
      <c r="T53" s="188" t="s">
        <v>278</v>
      </c>
      <c r="U53" s="184">
        <v>1</v>
      </c>
      <c r="V53" s="184" t="s">
        <v>249</v>
      </c>
      <c r="W53" s="188" t="s">
        <v>279</v>
      </c>
      <c r="X53" s="189">
        <v>2</v>
      </c>
      <c r="Y53" s="190" t="s">
        <v>252</v>
      </c>
      <c r="Z53" s="191" t="s">
        <v>251</v>
      </c>
      <c r="AA53" s="192">
        <v>1</v>
      </c>
      <c r="AB53" s="190" t="s">
        <v>255</v>
      </c>
      <c r="AC53" s="191" t="s">
        <v>254</v>
      </c>
      <c r="AD53" s="192">
        <v>1</v>
      </c>
    </row>
    <row r="54" spans="1:30">
      <c r="A54" s="183" t="s">
        <v>344</v>
      </c>
      <c r="B54" s="184" t="s">
        <v>345</v>
      </c>
      <c r="C54" s="185">
        <v>7</v>
      </c>
      <c r="D54" s="185">
        <v>12.6</v>
      </c>
      <c r="E54" s="185" t="s">
        <v>275</v>
      </c>
      <c r="F54" s="186">
        <v>6967</v>
      </c>
      <c r="G54" s="187" t="s">
        <v>218</v>
      </c>
      <c r="H54" s="184" t="s">
        <v>217</v>
      </c>
      <c r="I54" s="184">
        <v>1</v>
      </c>
      <c r="J54" s="187" t="s">
        <v>237</v>
      </c>
      <c r="K54" s="188" t="s">
        <v>276</v>
      </c>
      <c r="L54" s="184">
        <v>1</v>
      </c>
      <c r="M54" s="187" t="s">
        <v>234</v>
      </c>
      <c r="N54" s="184" t="s">
        <v>233</v>
      </c>
      <c r="O54" s="184">
        <v>2</v>
      </c>
      <c r="P54" s="187" t="s">
        <v>240</v>
      </c>
      <c r="Q54" s="188" t="s">
        <v>277</v>
      </c>
      <c r="R54" s="184">
        <v>1</v>
      </c>
      <c r="S54" s="184" t="s">
        <v>245</v>
      </c>
      <c r="T54" s="188" t="s">
        <v>278</v>
      </c>
      <c r="U54" s="184">
        <v>1</v>
      </c>
      <c r="V54" s="184" t="s">
        <v>249</v>
      </c>
      <c r="W54" s="188" t="s">
        <v>279</v>
      </c>
      <c r="X54" s="189">
        <v>2</v>
      </c>
      <c r="Y54" s="190" t="s">
        <v>252</v>
      </c>
      <c r="Z54" s="191" t="s">
        <v>251</v>
      </c>
      <c r="AA54" s="192">
        <v>1</v>
      </c>
      <c r="AB54" s="190" t="s">
        <v>255</v>
      </c>
      <c r="AC54" s="191" t="s">
        <v>254</v>
      </c>
      <c r="AD54" s="192">
        <v>1</v>
      </c>
    </row>
    <row r="55" spans="1:30">
      <c r="A55" s="183" t="s">
        <v>346</v>
      </c>
      <c r="B55" s="184" t="s">
        <v>347</v>
      </c>
      <c r="C55" s="185">
        <v>7</v>
      </c>
      <c r="D55" s="185">
        <v>13.5</v>
      </c>
      <c r="E55" s="185" t="s">
        <v>275</v>
      </c>
      <c r="F55" s="186">
        <v>7349</v>
      </c>
      <c r="G55" s="187" t="s">
        <v>218</v>
      </c>
      <c r="H55" s="184" t="s">
        <v>217</v>
      </c>
      <c r="I55" s="184">
        <v>1</v>
      </c>
      <c r="J55" s="187" t="s">
        <v>237</v>
      </c>
      <c r="K55" s="188" t="s">
        <v>276</v>
      </c>
      <c r="L55" s="184">
        <v>1</v>
      </c>
      <c r="M55" s="187" t="s">
        <v>229</v>
      </c>
      <c r="N55" s="184" t="s">
        <v>228</v>
      </c>
      <c r="O55" s="184">
        <v>3</v>
      </c>
      <c r="P55" s="187" t="s">
        <v>240</v>
      </c>
      <c r="Q55" s="188" t="s">
        <v>277</v>
      </c>
      <c r="R55" s="184">
        <v>1</v>
      </c>
      <c r="S55" s="184" t="s">
        <v>245</v>
      </c>
      <c r="T55" s="188" t="s">
        <v>278</v>
      </c>
      <c r="U55" s="184">
        <v>1</v>
      </c>
      <c r="V55" s="184" t="s">
        <v>249</v>
      </c>
      <c r="W55" s="188" t="s">
        <v>279</v>
      </c>
      <c r="X55" s="189">
        <v>3</v>
      </c>
      <c r="Y55" s="190" t="s">
        <v>252</v>
      </c>
      <c r="Z55" s="191" t="s">
        <v>251</v>
      </c>
      <c r="AA55" s="192">
        <v>1</v>
      </c>
      <c r="AB55" s="190" t="s">
        <v>255</v>
      </c>
      <c r="AC55" s="191" t="s">
        <v>254</v>
      </c>
      <c r="AD55" s="192">
        <v>1</v>
      </c>
    </row>
    <row r="56" spans="1:30">
      <c r="A56" s="183" t="s">
        <v>348</v>
      </c>
      <c r="B56" s="184" t="s">
        <v>349</v>
      </c>
      <c r="C56" s="185">
        <v>7</v>
      </c>
      <c r="D56" s="185">
        <v>18.899999999999999</v>
      </c>
      <c r="E56" s="185" t="s">
        <v>275</v>
      </c>
      <c r="F56" s="186">
        <v>9218</v>
      </c>
      <c r="G56" s="187" t="s">
        <v>218</v>
      </c>
      <c r="H56" s="184" t="s">
        <v>217</v>
      </c>
      <c r="I56" s="184">
        <v>1</v>
      </c>
      <c r="J56" s="187" t="s">
        <v>237</v>
      </c>
      <c r="K56" s="188" t="s">
        <v>276</v>
      </c>
      <c r="L56" s="184">
        <v>1</v>
      </c>
      <c r="M56" s="187" t="s">
        <v>234</v>
      </c>
      <c r="N56" s="184" t="s">
        <v>233</v>
      </c>
      <c r="O56" s="184">
        <v>3</v>
      </c>
      <c r="P56" s="187" t="s">
        <v>240</v>
      </c>
      <c r="Q56" s="188" t="s">
        <v>277</v>
      </c>
      <c r="R56" s="184">
        <v>1</v>
      </c>
      <c r="S56" s="184" t="s">
        <v>245</v>
      </c>
      <c r="T56" s="188" t="s">
        <v>278</v>
      </c>
      <c r="U56" s="184">
        <v>1</v>
      </c>
      <c r="V56" s="184" t="s">
        <v>249</v>
      </c>
      <c r="W56" s="188" t="s">
        <v>279</v>
      </c>
      <c r="X56" s="189">
        <v>3</v>
      </c>
      <c r="Y56" s="190" t="s">
        <v>252</v>
      </c>
      <c r="Z56" s="191" t="s">
        <v>251</v>
      </c>
      <c r="AA56" s="192">
        <v>1</v>
      </c>
      <c r="AB56" s="190" t="s">
        <v>255</v>
      </c>
      <c r="AC56" s="191" t="s">
        <v>254</v>
      </c>
      <c r="AD56" s="192">
        <v>1</v>
      </c>
    </row>
    <row r="57" spans="1:30">
      <c r="A57" s="173" t="s">
        <v>350</v>
      </c>
      <c r="B57" s="174" t="s">
        <v>351</v>
      </c>
      <c r="C57" s="175">
        <v>7.6</v>
      </c>
      <c r="D57" s="175">
        <v>4.5</v>
      </c>
      <c r="E57" s="175" t="s">
        <v>275</v>
      </c>
      <c r="F57" s="176">
        <v>4143</v>
      </c>
      <c r="G57" s="177" t="s">
        <v>222</v>
      </c>
      <c r="H57" s="174" t="s">
        <v>221</v>
      </c>
      <c r="I57" s="174">
        <v>1</v>
      </c>
      <c r="J57" s="177" t="s">
        <v>237</v>
      </c>
      <c r="K57" s="178" t="s">
        <v>276</v>
      </c>
      <c r="L57" s="174">
        <v>1</v>
      </c>
      <c r="M57" s="177" t="s">
        <v>229</v>
      </c>
      <c r="N57" s="174" t="s">
        <v>228</v>
      </c>
      <c r="O57" s="174">
        <v>1</v>
      </c>
      <c r="P57" s="177" t="s">
        <v>240</v>
      </c>
      <c r="Q57" s="178" t="s">
        <v>277</v>
      </c>
      <c r="R57" s="174">
        <v>1</v>
      </c>
      <c r="S57" s="174" t="s">
        <v>245</v>
      </c>
      <c r="T57" s="178" t="s">
        <v>278</v>
      </c>
      <c r="U57" s="174">
        <v>1</v>
      </c>
      <c r="V57" s="174" t="s">
        <v>249</v>
      </c>
      <c r="W57" s="178" t="s">
        <v>279</v>
      </c>
      <c r="X57" s="179">
        <v>1</v>
      </c>
      <c r="Y57" s="180" t="s">
        <v>252</v>
      </c>
      <c r="Z57" s="191" t="s">
        <v>251</v>
      </c>
      <c r="AA57" s="182">
        <v>1</v>
      </c>
      <c r="AB57" s="180" t="s">
        <v>255</v>
      </c>
      <c r="AC57" s="191" t="s">
        <v>254</v>
      </c>
      <c r="AD57" s="182">
        <v>1</v>
      </c>
    </row>
    <row r="58" spans="1:30">
      <c r="A58" s="183" t="s">
        <v>352</v>
      </c>
      <c r="B58" s="184" t="s">
        <v>353</v>
      </c>
      <c r="C58" s="185">
        <v>7.6</v>
      </c>
      <c r="D58" s="185">
        <v>6.3</v>
      </c>
      <c r="E58" s="185" t="s">
        <v>275</v>
      </c>
      <c r="F58" s="186">
        <v>4766</v>
      </c>
      <c r="G58" s="187" t="s">
        <v>222</v>
      </c>
      <c r="H58" s="184" t="s">
        <v>221</v>
      </c>
      <c r="I58" s="184">
        <v>1</v>
      </c>
      <c r="J58" s="187" t="s">
        <v>237</v>
      </c>
      <c r="K58" s="188" t="s">
        <v>276</v>
      </c>
      <c r="L58" s="184">
        <v>1</v>
      </c>
      <c r="M58" s="187" t="s">
        <v>234</v>
      </c>
      <c r="N58" s="184" t="s">
        <v>233</v>
      </c>
      <c r="O58" s="184">
        <v>1</v>
      </c>
      <c r="P58" s="187" t="s">
        <v>240</v>
      </c>
      <c r="Q58" s="188" t="s">
        <v>277</v>
      </c>
      <c r="R58" s="184">
        <v>1</v>
      </c>
      <c r="S58" s="184" t="s">
        <v>245</v>
      </c>
      <c r="T58" s="188" t="s">
        <v>278</v>
      </c>
      <c r="U58" s="184">
        <v>1</v>
      </c>
      <c r="V58" s="184" t="s">
        <v>249</v>
      </c>
      <c r="W58" s="188" t="s">
        <v>279</v>
      </c>
      <c r="X58" s="189">
        <v>1</v>
      </c>
      <c r="Y58" s="190" t="s">
        <v>252</v>
      </c>
      <c r="Z58" s="191" t="s">
        <v>251</v>
      </c>
      <c r="AA58" s="192">
        <v>1</v>
      </c>
      <c r="AB58" s="190" t="s">
        <v>255</v>
      </c>
      <c r="AC58" s="191" t="s">
        <v>254</v>
      </c>
      <c r="AD58" s="192">
        <v>1</v>
      </c>
    </row>
    <row r="59" spans="1:30">
      <c r="A59" s="183" t="s">
        <v>354</v>
      </c>
      <c r="B59" s="184" t="s">
        <v>355</v>
      </c>
      <c r="C59" s="185">
        <v>7.6</v>
      </c>
      <c r="D59" s="185">
        <v>9</v>
      </c>
      <c r="E59" s="185" t="s">
        <v>275</v>
      </c>
      <c r="F59" s="186">
        <v>5771</v>
      </c>
      <c r="G59" s="187" t="s">
        <v>222</v>
      </c>
      <c r="H59" s="184" t="s">
        <v>221</v>
      </c>
      <c r="I59" s="184">
        <v>1</v>
      </c>
      <c r="J59" s="187" t="s">
        <v>237</v>
      </c>
      <c r="K59" s="188" t="s">
        <v>276</v>
      </c>
      <c r="L59" s="184">
        <v>1</v>
      </c>
      <c r="M59" s="187" t="s">
        <v>229</v>
      </c>
      <c r="N59" s="184" t="s">
        <v>228</v>
      </c>
      <c r="O59" s="184">
        <v>2</v>
      </c>
      <c r="P59" s="187" t="s">
        <v>240</v>
      </c>
      <c r="Q59" s="188" t="s">
        <v>277</v>
      </c>
      <c r="R59" s="184">
        <v>1</v>
      </c>
      <c r="S59" s="184" t="s">
        <v>245</v>
      </c>
      <c r="T59" s="188" t="s">
        <v>278</v>
      </c>
      <c r="U59" s="184">
        <v>1</v>
      </c>
      <c r="V59" s="184" t="s">
        <v>249</v>
      </c>
      <c r="W59" s="188" t="s">
        <v>279</v>
      </c>
      <c r="X59" s="189">
        <v>2</v>
      </c>
      <c r="Y59" s="190" t="s">
        <v>252</v>
      </c>
      <c r="Z59" s="191" t="s">
        <v>251</v>
      </c>
      <c r="AA59" s="192">
        <v>1</v>
      </c>
      <c r="AB59" s="190" t="s">
        <v>255</v>
      </c>
      <c r="AC59" s="191" t="s">
        <v>254</v>
      </c>
      <c r="AD59" s="192">
        <v>1</v>
      </c>
    </row>
    <row r="60" spans="1:30">
      <c r="A60" s="183" t="s">
        <v>356</v>
      </c>
      <c r="B60" s="184" t="s">
        <v>357</v>
      </c>
      <c r="C60" s="185">
        <v>7.6</v>
      </c>
      <c r="D60" s="185">
        <v>12.6</v>
      </c>
      <c r="E60" s="185" t="s">
        <v>275</v>
      </c>
      <c r="F60" s="186">
        <v>7017</v>
      </c>
      <c r="G60" s="187" t="s">
        <v>222</v>
      </c>
      <c r="H60" s="184" t="s">
        <v>221</v>
      </c>
      <c r="I60" s="184">
        <v>1</v>
      </c>
      <c r="J60" s="187" t="s">
        <v>237</v>
      </c>
      <c r="K60" s="188" t="s">
        <v>276</v>
      </c>
      <c r="L60" s="184">
        <v>1</v>
      </c>
      <c r="M60" s="187" t="s">
        <v>234</v>
      </c>
      <c r="N60" s="184" t="s">
        <v>233</v>
      </c>
      <c r="O60" s="184">
        <v>2</v>
      </c>
      <c r="P60" s="187" t="s">
        <v>240</v>
      </c>
      <c r="Q60" s="188" t="s">
        <v>277</v>
      </c>
      <c r="R60" s="184">
        <v>1</v>
      </c>
      <c r="S60" s="184" t="s">
        <v>245</v>
      </c>
      <c r="T60" s="188" t="s">
        <v>278</v>
      </c>
      <c r="U60" s="184">
        <v>1</v>
      </c>
      <c r="V60" s="184" t="s">
        <v>249</v>
      </c>
      <c r="W60" s="188" t="s">
        <v>279</v>
      </c>
      <c r="X60" s="189">
        <v>2</v>
      </c>
      <c r="Y60" s="190" t="s">
        <v>252</v>
      </c>
      <c r="Z60" s="191" t="s">
        <v>251</v>
      </c>
      <c r="AA60" s="192">
        <v>1</v>
      </c>
      <c r="AB60" s="190" t="s">
        <v>255</v>
      </c>
      <c r="AC60" s="191" t="s">
        <v>254</v>
      </c>
      <c r="AD60" s="192">
        <v>1</v>
      </c>
    </row>
    <row r="61" spans="1:30">
      <c r="A61" s="183" t="s">
        <v>358</v>
      </c>
      <c r="B61" s="184" t="s">
        <v>359</v>
      </c>
      <c r="C61" s="185">
        <v>7.6</v>
      </c>
      <c r="D61" s="185">
        <v>13.5</v>
      </c>
      <c r="E61" s="185" t="s">
        <v>275</v>
      </c>
      <c r="F61" s="186">
        <v>7399</v>
      </c>
      <c r="G61" s="187" t="s">
        <v>222</v>
      </c>
      <c r="H61" s="184" t="s">
        <v>221</v>
      </c>
      <c r="I61" s="184">
        <v>1</v>
      </c>
      <c r="J61" s="187" t="s">
        <v>237</v>
      </c>
      <c r="K61" s="188" t="s">
        <v>276</v>
      </c>
      <c r="L61" s="184">
        <v>1</v>
      </c>
      <c r="M61" s="187" t="s">
        <v>229</v>
      </c>
      <c r="N61" s="184" t="s">
        <v>228</v>
      </c>
      <c r="O61" s="184">
        <v>3</v>
      </c>
      <c r="P61" s="187" t="s">
        <v>240</v>
      </c>
      <c r="Q61" s="188" t="s">
        <v>277</v>
      </c>
      <c r="R61" s="184">
        <v>1</v>
      </c>
      <c r="S61" s="184" t="s">
        <v>245</v>
      </c>
      <c r="T61" s="188" t="s">
        <v>278</v>
      </c>
      <c r="U61" s="184">
        <v>1</v>
      </c>
      <c r="V61" s="184" t="s">
        <v>249</v>
      </c>
      <c r="W61" s="188" t="s">
        <v>279</v>
      </c>
      <c r="X61" s="189">
        <v>3</v>
      </c>
      <c r="Y61" s="190" t="s">
        <v>252</v>
      </c>
      <c r="Z61" s="191" t="s">
        <v>251</v>
      </c>
      <c r="AA61" s="192">
        <v>1</v>
      </c>
      <c r="AB61" s="190" t="s">
        <v>255</v>
      </c>
      <c r="AC61" s="191" t="s">
        <v>254</v>
      </c>
      <c r="AD61" s="192">
        <v>1</v>
      </c>
    </row>
    <row r="62" spans="1:30">
      <c r="A62" s="183" t="s">
        <v>360</v>
      </c>
      <c r="B62" s="184" t="s">
        <v>361</v>
      </c>
      <c r="C62" s="185">
        <v>7.6</v>
      </c>
      <c r="D62" s="185">
        <v>18.899999999999999</v>
      </c>
      <c r="E62" s="185" t="s">
        <v>275</v>
      </c>
      <c r="F62" s="186">
        <v>9268</v>
      </c>
      <c r="G62" s="187" t="s">
        <v>222</v>
      </c>
      <c r="H62" s="184" t="s">
        <v>221</v>
      </c>
      <c r="I62" s="184">
        <v>1</v>
      </c>
      <c r="J62" s="187" t="s">
        <v>237</v>
      </c>
      <c r="K62" s="188" t="s">
        <v>276</v>
      </c>
      <c r="L62" s="184">
        <v>1</v>
      </c>
      <c r="M62" s="187" t="s">
        <v>234</v>
      </c>
      <c r="N62" s="184" t="s">
        <v>233</v>
      </c>
      <c r="O62" s="184">
        <v>3</v>
      </c>
      <c r="P62" s="187" t="s">
        <v>240</v>
      </c>
      <c r="Q62" s="188" t="s">
        <v>277</v>
      </c>
      <c r="R62" s="184">
        <v>1</v>
      </c>
      <c r="S62" s="184" t="s">
        <v>245</v>
      </c>
      <c r="T62" s="188" t="s">
        <v>278</v>
      </c>
      <c r="U62" s="184">
        <v>1</v>
      </c>
      <c r="V62" s="184" t="s">
        <v>249</v>
      </c>
      <c r="W62" s="188" t="s">
        <v>279</v>
      </c>
      <c r="X62" s="189">
        <v>3</v>
      </c>
      <c r="Y62" s="190" t="s">
        <v>252</v>
      </c>
      <c r="Z62" s="191" t="s">
        <v>251</v>
      </c>
      <c r="AA62" s="192">
        <v>1</v>
      </c>
      <c r="AB62" s="190" t="s">
        <v>255</v>
      </c>
      <c r="AC62" s="191" t="s">
        <v>254</v>
      </c>
      <c r="AD62" s="192">
        <v>1</v>
      </c>
    </row>
    <row r="63" spans="1:30">
      <c r="A63" s="173" t="s">
        <v>362</v>
      </c>
      <c r="B63" s="174" t="s">
        <v>363</v>
      </c>
      <c r="C63" s="175">
        <v>8.6</v>
      </c>
      <c r="D63" s="175">
        <v>4.5</v>
      </c>
      <c r="E63" s="175" t="s">
        <v>275</v>
      </c>
      <c r="F63" s="176">
        <v>4283</v>
      </c>
      <c r="G63" s="177" t="s">
        <v>226</v>
      </c>
      <c r="H63" s="174" t="s">
        <v>209</v>
      </c>
      <c r="I63" s="174">
        <v>1</v>
      </c>
      <c r="J63" s="177" t="s">
        <v>237</v>
      </c>
      <c r="K63" s="178" t="s">
        <v>276</v>
      </c>
      <c r="L63" s="174">
        <v>1</v>
      </c>
      <c r="M63" s="177" t="s">
        <v>229</v>
      </c>
      <c r="N63" s="174" t="s">
        <v>228</v>
      </c>
      <c r="O63" s="174">
        <v>1</v>
      </c>
      <c r="P63" s="177" t="s">
        <v>240</v>
      </c>
      <c r="Q63" s="178" t="s">
        <v>277</v>
      </c>
      <c r="R63" s="174">
        <v>1</v>
      </c>
      <c r="S63" s="174" t="s">
        <v>245</v>
      </c>
      <c r="T63" s="178" t="s">
        <v>278</v>
      </c>
      <c r="U63" s="174">
        <v>1</v>
      </c>
      <c r="V63" s="174" t="s">
        <v>249</v>
      </c>
      <c r="W63" s="178" t="s">
        <v>279</v>
      </c>
      <c r="X63" s="179">
        <v>1</v>
      </c>
      <c r="Y63" s="180" t="s">
        <v>252</v>
      </c>
      <c r="Z63" s="191" t="s">
        <v>251</v>
      </c>
      <c r="AA63" s="182">
        <v>1</v>
      </c>
      <c r="AB63" s="180" t="s">
        <v>255</v>
      </c>
      <c r="AC63" s="191" t="s">
        <v>254</v>
      </c>
      <c r="AD63" s="182">
        <v>1</v>
      </c>
    </row>
    <row r="64" spans="1:30">
      <c r="A64" s="183" t="s">
        <v>364</v>
      </c>
      <c r="B64" s="184" t="s">
        <v>365</v>
      </c>
      <c r="C64" s="185">
        <v>8.6</v>
      </c>
      <c r="D64" s="185">
        <v>6.3</v>
      </c>
      <c r="E64" s="185" t="s">
        <v>275</v>
      </c>
      <c r="F64" s="186">
        <v>4906</v>
      </c>
      <c r="G64" s="187" t="s">
        <v>226</v>
      </c>
      <c r="H64" s="184" t="s">
        <v>209</v>
      </c>
      <c r="I64" s="184">
        <v>1</v>
      </c>
      <c r="J64" s="187" t="s">
        <v>237</v>
      </c>
      <c r="K64" s="188" t="s">
        <v>276</v>
      </c>
      <c r="L64" s="184">
        <v>1</v>
      </c>
      <c r="M64" s="187" t="s">
        <v>234</v>
      </c>
      <c r="N64" s="184" t="s">
        <v>233</v>
      </c>
      <c r="O64" s="184">
        <v>1</v>
      </c>
      <c r="P64" s="187" t="s">
        <v>240</v>
      </c>
      <c r="Q64" s="188" t="s">
        <v>277</v>
      </c>
      <c r="R64" s="184">
        <v>1</v>
      </c>
      <c r="S64" s="184" t="s">
        <v>245</v>
      </c>
      <c r="T64" s="188" t="s">
        <v>278</v>
      </c>
      <c r="U64" s="184">
        <v>1</v>
      </c>
      <c r="V64" s="184" t="s">
        <v>249</v>
      </c>
      <c r="W64" s="188" t="s">
        <v>279</v>
      </c>
      <c r="X64" s="189">
        <v>1</v>
      </c>
      <c r="Y64" s="190" t="s">
        <v>252</v>
      </c>
      <c r="Z64" s="191" t="s">
        <v>251</v>
      </c>
      <c r="AA64" s="192">
        <v>1</v>
      </c>
      <c r="AB64" s="190" t="s">
        <v>255</v>
      </c>
      <c r="AC64" s="191" t="s">
        <v>254</v>
      </c>
      <c r="AD64" s="192">
        <v>1</v>
      </c>
    </row>
    <row r="65" spans="1:30">
      <c r="A65" s="183" t="s">
        <v>366</v>
      </c>
      <c r="B65" s="184" t="s">
        <v>367</v>
      </c>
      <c r="C65" s="185">
        <v>8.6</v>
      </c>
      <c r="D65" s="185">
        <v>9</v>
      </c>
      <c r="E65" s="185" t="s">
        <v>275</v>
      </c>
      <c r="F65" s="186">
        <v>5911</v>
      </c>
      <c r="G65" s="187" t="s">
        <v>226</v>
      </c>
      <c r="H65" s="184" t="s">
        <v>209</v>
      </c>
      <c r="I65" s="184">
        <v>1</v>
      </c>
      <c r="J65" s="187" t="s">
        <v>237</v>
      </c>
      <c r="K65" s="188" t="s">
        <v>276</v>
      </c>
      <c r="L65" s="184">
        <v>1</v>
      </c>
      <c r="M65" s="187" t="s">
        <v>229</v>
      </c>
      <c r="N65" s="184" t="s">
        <v>228</v>
      </c>
      <c r="O65" s="184">
        <v>2</v>
      </c>
      <c r="P65" s="187" t="s">
        <v>240</v>
      </c>
      <c r="Q65" s="188" t="s">
        <v>277</v>
      </c>
      <c r="R65" s="184">
        <v>1</v>
      </c>
      <c r="S65" s="184" t="s">
        <v>245</v>
      </c>
      <c r="T65" s="188" t="s">
        <v>278</v>
      </c>
      <c r="U65" s="184">
        <v>1</v>
      </c>
      <c r="V65" s="184" t="s">
        <v>249</v>
      </c>
      <c r="W65" s="188" t="s">
        <v>279</v>
      </c>
      <c r="X65" s="189">
        <v>2</v>
      </c>
      <c r="Y65" s="190" t="s">
        <v>252</v>
      </c>
      <c r="Z65" s="191" t="s">
        <v>251</v>
      </c>
      <c r="AA65" s="192">
        <v>1</v>
      </c>
      <c r="AB65" s="190" t="s">
        <v>255</v>
      </c>
      <c r="AC65" s="191" t="s">
        <v>254</v>
      </c>
      <c r="AD65" s="192">
        <v>1</v>
      </c>
    </row>
    <row r="66" spans="1:30">
      <c r="A66" s="183" t="s">
        <v>368</v>
      </c>
      <c r="B66" s="184" t="s">
        <v>369</v>
      </c>
      <c r="C66" s="185">
        <v>8.6</v>
      </c>
      <c r="D66" s="185">
        <v>12.6</v>
      </c>
      <c r="E66" s="185" t="s">
        <v>275</v>
      </c>
      <c r="F66" s="186">
        <v>7157</v>
      </c>
      <c r="G66" s="187" t="s">
        <v>226</v>
      </c>
      <c r="H66" s="184" t="s">
        <v>209</v>
      </c>
      <c r="I66" s="184">
        <v>1</v>
      </c>
      <c r="J66" s="187" t="s">
        <v>237</v>
      </c>
      <c r="K66" s="188" t="s">
        <v>276</v>
      </c>
      <c r="L66" s="184">
        <v>1</v>
      </c>
      <c r="M66" s="187" t="s">
        <v>234</v>
      </c>
      <c r="N66" s="184" t="s">
        <v>233</v>
      </c>
      <c r="O66" s="184">
        <v>2</v>
      </c>
      <c r="P66" s="187" t="s">
        <v>240</v>
      </c>
      <c r="Q66" s="188" t="s">
        <v>277</v>
      </c>
      <c r="R66" s="184">
        <v>1</v>
      </c>
      <c r="S66" s="184" t="s">
        <v>245</v>
      </c>
      <c r="T66" s="188" t="s">
        <v>278</v>
      </c>
      <c r="U66" s="184">
        <v>1</v>
      </c>
      <c r="V66" s="184" t="s">
        <v>249</v>
      </c>
      <c r="W66" s="188" t="s">
        <v>279</v>
      </c>
      <c r="X66" s="189">
        <v>2</v>
      </c>
      <c r="Y66" s="190" t="s">
        <v>252</v>
      </c>
      <c r="Z66" s="191" t="s">
        <v>251</v>
      </c>
      <c r="AA66" s="192">
        <v>1</v>
      </c>
      <c r="AB66" s="190" t="s">
        <v>255</v>
      </c>
      <c r="AC66" s="191" t="s">
        <v>254</v>
      </c>
      <c r="AD66" s="192">
        <v>1</v>
      </c>
    </row>
    <row r="67" spans="1:30">
      <c r="A67" s="183" t="s">
        <v>370</v>
      </c>
      <c r="B67" s="184" t="s">
        <v>371</v>
      </c>
      <c r="C67" s="185">
        <v>8.6</v>
      </c>
      <c r="D67" s="185">
        <v>13.5</v>
      </c>
      <c r="E67" s="185" t="s">
        <v>275</v>
      </c>
      <c r="F67" s="186">
        <v>7539</v>
      </c>
      <c r="G67" s="187" t="s">
        <v>226</v>
      </c>
      <c r="H67" s="184" t="s">
        <v>209</v>
      </c>
      <c r="I67" s="184">
        <v>1</v>
      </c>
      <c r="J67" s="187" t="s">
        <v>237</v>
      </c>
      <c r="K67" s="188" t="s">
        <v>276</v>
      </c>
      <c r="L67" s="184">
        <v>1</v>
      </c>
      <c r="M67" s="187" t="s">
        <v>229</v>
      </c>
      <c r="N67" s="184" t="s">
        <v>228</v>
      </c>
      <c r="O67" s="184">
        <v>3</v>
      </c>
      <c r="P67" s="187" t="s">
        <v>240</v>
      </c>
      <c r="Q67" s="188" t="s">
        <v>277</v>
      </c>
      <c r="R67" s="184">
        <v>1</v>
      </c>
      <c r="S67" s="184" t="s">
        <v>245</v>
      </c>
      <c r="T67" s="188" t="s">
        <v>278</v>
      </c>
      <c r="U67" s="184">
        <v>1</v>
      </c>
      <c r="V67" s="184" t="s">
        <v>249</v>
      </c>
      <c r="W67" s="188" t="s">
        <v>279</v>
      </c>
      <c r="X67" s="189">
        <v>3</v>
      </c>
      <c r="Y67" s="190" t="s">
        <v>252</v>
      </c>
      <c r="Z67" s="191" t="s">
        <v>251</v>
      </c>
      <c r="AA67" s="192">
        <v>1</v>
      </c>
      <c r="AB67" s="190" t="s">
        <v>255</v>
      </c>
      <c r="AC67" s="191" t="s">
        <v>254</v>
      </c>
      <c r="AD67" s="192">
        <v>1</v>
      </c>
    </row>
    <row r="68" spans="1:30">
      <c r="A68" s="183" t="s">
        <v>372</v>
      </c>
      <c r="B68" s="184" t="s">
        <v>373</v>
      </c>
      <c r="C68" s="185">
        <v>8.6</v>
      </c>
      <c r="D68" s="185">
        <v>18.899999999999999</v>
      </c>
      <c r="E68" s="185" t="s">
        <v>275</v>
      </c>
      <c r="F68" s="186">
        <v>9408</v>
      </c>
      <c r="G68" s="187" t="s">
        <v>226</v>
      </c>
      <c r="H68" s="184" t="s">
        <v>209</v>
      </c>
      <c r="I68" s="184">
        <v>1</v>
      </c>
      <c r="J68" s="187" t="s">
        <v>237</v>
      </c>
      <c r="K68" s="188" t="s">
        <v>276</v>
      </c>
      <c r="L68" s="184">
        <v>1</v>
      </c>
      <c r="M68" s="187" t="s">
        <v>234</v>
      </c>
      <c r="N68" s="184" t="s">
        <v>233</v>
      </c>
      <c r="O68" s="184">
        <v>3</v>
      </c>
      <c r="P68" s="187" t="s">
        <v>240</v>
      </c>
      <c r="Q68" s="188" t="s">
        <v>277</v>
      </c>
      <c r="R68" s="184">
        <v>1</v>
      </c>
      <c r="S68" s="184" t="s">
        <v>245</v>
      </c>
      <c r="T68" s="188" t="s">
        <v>278</v>
      </c>
      <c r="U68" s="184">
        <v>1</v>
      </c>
      <c r="V68" s="184" t="s">
        <v>249</v>
      </c>
      <c r="W68" s="188" t="s">
        <v>279</v>
      </c>
      <c r="X68" s="189">
        <v>3</v>
      </c>
      <c r="Y68" s="190" t="s">
        <v>252</v>
      </c>
      <c r="Z68" s="191" t="s">
        <v>251</v>
      </c>
      <c r="AA68" s="192">
        <v>1</v>
      </c>
      <c r="AB68" s="190" t="s">
        <v>255</v>
      </c>
      <c r="AC68" s="191" t="s">
        <v>254</v>
      </c>
      <c r="AD68" s="192">
        <v>1</v>
      </c>
    </row>
    <row r="69" spans="1:30">
      <c r="A69" s="209"/>
      <c r="I69" s="209"/>
    </row>
    <row r="70" spans="1:30">
      <c r="A70" s="209"/>
      <c r="I70" s="209"/>
    </row>
    <row r="71" spans="1:30">
      <c r="A71" s="209"/>
      <c r="I71" s="209"/>
    </row>
    <row r="72" spans="1:30">
      <c r="A72" s="209"/>
      <c r="I72" s="209"/>
    </row>
    <row r="73" spans="1:30">
      <c r="A73" s="209"/>
      <c r="I73" s="209"/>
    </row>
    <row r="74" spans="1:30">
      <c r="A74" s="209"/>
      <c r="I74" s="209"/>
    </row>
    <row r="75" spans="1:30">
      <c r="A75" s="209"/>
      <c r="I75" s="209"/>
    </row>
    <row r="76" spans="1:30">
      <c r="A76" s="209"/>
      <c r="C76" s="210" t="s">
        <v>17</v>
      </c>
      <c r="D76" s="211" t="s">
        <v>374</v>
      </c>
      <c r="E76" s="210" t="s">
        <v>375</v>
      </c>
      <c r="I76" s="209"/>
    </row>
    <row r="77" spans="1:30">
      <c r="A77" s="209"/>
      <c r="C77" s="169" t="s">
        <v>260</v>
      </c>
      <c r="D77" s="168" t="s">
        <v>258</v>
      </c>
      <c r="E77" s="169" t="s">
        <v>376</v>
      </c>
      <c r="I77" s="209"/>
    </row>
    <row r="78" spans="1:30">
      <c r="A78" s="209"/>
      <c r="I78" s="209"/>
    </row>
    <row r="79" spans="1:30">
      <c r="A79" s="209"/>
      <c r="I79" s="209"/>
    </row>
    <row r="80" spans="1:30">
      <c r="A80" s="209"/>
      <c r="I80" s="209"/>
    </row>
    <row r="81" spans="1:9">
      <c r="A81" s="209"/>
      <c r="I81" s="209"/>
    </row>
    <row r="82" spans="1:9">
      <c r="A82" s="209"/>
      <c r="I82" s="209"/>
    </row>
    <row r="83" spans="1:9">
      <c r="A83" s="209"/>
      <c r="I83" s="209"/>
    </row>
    <row r="84" spans="1:9">
      <c r="A84" s="209"/>
      <c r="I84" s="209"/>
    </row>
    <row r="85" spans="1:9">
      <c r="A85" s="209"/>
      <c r="I85" s="209"/>
    </row>
    <row r="86" spans="1:9">
      <c r="A86" s="209"/>
      <c r="I86" s="209"/>
    </row>
    <row r="87" spans="1:9">
      <c r="A87" s="209"/>
      <c r="I87" s="209"/>
    </row>
    <row r="88" spans="1:9">
      <c r="A88" s="209"/>
      <c r="I88" s="209"/>
    </row>
    <row r="89" spans="1:9">
      <c r="A89" s="209"/>
      <c r="I89" s="209"/>
    </row>
    <row r="90" spans="1:9">
      <c r="A90" s="209"/>
      <c r="I90" s="209"/>
    </row>
    <row r="91" spans="1:9">
      <c r="A91" s="209"/>
      <c r="I91" s="209"/>
    </row>
    <row r="92" spans="1:9">
      <c r="A92" s="209"/>
      <c r="I92" s="209"/>
    </row>
    <row r="93" spans="1:9">
      <c r="A93" s="209"/>
      <c r="I93" s="209"/>
    </row>
    <row r="94" spans="1:9">
      <c r="A94" s="209"/>
      <c r="I94" s="209"/>
    </row>
    <row r="95" spans="1:9">
      <c r="A95" s="209"/>
      <c r="I95" s="209"/>
    </row>
    <row r="96" spans="1:9">
      <c r="A96" s="209"/>
      <c r="I96" s="209"/>
    </row>
    <row r="97" spans="1:9">
      <c r="A97" s="209"/>
      <c r="I97" s="209"/>
    </row>
    <row r="98" spans="1:9">
      <c r="A98" s="209"/>
      <c r="I98" s="209"/>
    </row>
    <row r="99" spans="1:9">
      <c r="A99" s="209"/>
      <c r="I99" s="209"/>
    </row>
    <row r="100" spans="1:9">
      <c r="A100" s="209"/>
      <c r="I100" s="209"/>
    </row>
    <row r="101" spans="1:9">
      <c r="A101" s="209"/>
      <c r="I101" s="209"/>
    </row>
    <row r="102" spans="1:9">
      <c r="A102" s="209"/>
      <c r="I102" s="209"/>
    </row>
    <row r="103" spans="1:9">
      <c r="A103" s="209"/>
      <c r="I103" s="209"/>
    </row>
    <row r="104" spans="1:9">
      <c r="A104" s="209"/>
      <c r="I104" s="209"/>
    </row>
    <row r="105" spans="1:9">
      <c r="A105" s="209"/>
      <c r="I105" s="209"/>
    </row>
    <row r="106" spans="1:9">
      <c r="A106" s="209"/>
      <c r="I106" s="209"/>
    </row>
    <row r="107" spans="1:9">
      <c r="A107" s="209"/>
      <c r="I107" s="209"/>
    </row>
    <row r="108" spans="1:9">
      <c r="A108" s="209"/>
      <c r="I108" s="209"/>
    </row>
    <row r="109" spans="1:9">
      <c r="A109" s="209"/>
      <c r="I109" s="209"/>
    </row>
    <row r="110" spans="1:9">
      <c r="A110" s="209"/>
      <c r="I110" s="209"/>
    </row>
    <row r="111" spans="1:9">
      <c r="A111" s="209"/>
      <c r="I111" s="209"/>
    </row>
    <row r="112" spans="1:9">
      <c r="A112" s="209"/>
      <c r="I112" s="209"/>
    </row>
    <row r="113" spans="1:9">
      <c r="A113" s="209"/>
      <c r="I113" s="209"/>
    </row>
    <row r="114" spans="1:9">
      <c r="A114" s="209"/>
      <c r="I114" s="209"/>
    </row>
    <row r="115" spans="1:9">
      <c r="A115" s="209"/>
      <c r="I115" s="209"/>
    </row>
    <row r="116" spans="1:9">
      <c r="A116" s="209"/>
      <c r="I116" s="209"/>
    </row>
    <row r="117" spans="1:9">
      <c r="A117" s="209"/>
      <c r="I117" s="209"/>
    </row>
    <row r="118" spans="1:9">
      <c r="A118" s="209"/>
      <c r="I118" s="209"/>
    </row>
    <row r="119" spans="1:9">
      <c r="A119" s="209"/>
      <c r="I119" s="209"/>
    </row>
    <row r="120" spans="1:9">
      <c r="A120" s="209"/>
      <c r="I120" s="209"/>
    </row>
    <row r="121" spans="1:9">
      <c r="A121" s="209"/>
      <c r="I121" s="209"/>
    </row>
    <row r="122" spans="1:9">
      <c r="A122" s="209"/>
      <c r="I122" s="209"/>
    </row>
    <row r="123" spans="1:9">
      <c r="A123" s="209"/>
      <c r="I123" s="209"/>
    </row>
    <row r="124" spans="1:9">
      <c r="A124" s="209"/>
      <c r="I124" s="209"/>
    </row>
    <row r="125" spans="1:9">
      <c r="A125" s="209"/>
      <c r="I125" s="209"/>
    </row>
    <row r="126" spans="1:9">
      <c r="A126" s="209"/>
      <c r="I126" s="209"/>
    </row>
    <row r="127" spans="1:9">
      <c r="A127" s="209"/>
      <c r="I127" s="209"/>
    </row>
    <row r="128" spans="1:9">
      <c r="A128" s="209"/>
      <c r="I128" s="209"/>
    </row>
    <row r="129" spans="1:9">
      <c r="A129" s="209"/>
      <c r="I129" s="209"/>
    </row>
    <row r="130" spans="1:9">
      <c r="A130" s="209"/>
      <c r="I130" s="209"/>
    </row>
    <row r="131" spans="1:9">
      <c r="A131" s="209"/>
      <c r="I131" s="209"/>
    </row>
    <row r="132" spans="1:9">
      <c r="A132" s="209"/>
      <c r="I132" s="209"/>
    </row>
    <row r="133" spans="1:9">
      <c r="A133" s="209"/>
      <c r="I133" s="209"/>
    </row>
    <row r="134" spans="1:9">
      <c r="A134" s="209"/>
      <c r="I134" s="209"/>
    </row>
    <row r="135" spans="1:9">
      <c r="A135" s="209"/>
      <c r="I135" s="209"/>
    </row>
    <row r="136" spans="1:9">
      <c r="A136" s="209"/>
      <c r="I136" s="209"/>
    </row>
    <row r="137" spans="1:9">
      <c r="A137" s="209"/>
      <c r="I137" s="209"/>
    </row>
    <row r="138" spans="1:9">
      <c r="A138" s="209"/>
      <c r="I138" s="209"/>
    </row>
    <row r="139" spans="1:9">
      <c r="A139" s="209"/>
      <c r="I139" s="209"/>
    </row>
    <row r="140" spans="1:9">
      <c r="A140" s="209"/>
      <c r="I140" s="209"/>
    </row>
    <row r="141" spans="1:9">
      <c r="A141" s="209"/>
      <c r="I141" s="209"/>
    </row>
    <row r="142" spans="1:9">
      <c r="A142" s="209"/>
      <c r="I142" s="209"/>
    </row>
    <row r="143" spans="1:9">
      <c r="A143" s="209"/>
      <c r="I143" s="209"/>
    </row>
    <row r="144" spans="1:9">
      <c r="A144" s="209"/>
      <c r="I144" s="209"/>
    </row>
    <row r="145" spans="1:9">
      <c r="A145" s="209"/>
      <c r="I145" s="209"/>
    </row>
    <row r="146" spans="1:9">
      <c r="A146" s="209"/>
      <c r="I146" s="209"/>
    </row>
    <row r="147" spans="1:9">
      <c r="A147" s="209"/>
      <c r="I147" s="209"/>
    </row>
    <row r="148" spans="1:9">
      <c r="A148" s="209"/>
      <c r="I148" s="209"/>
    </row>
    <row r="149" spans="1:9">
      <c r="A149" s="209"/>
      <c r="I149" s="209"/>
    </row>
    <row r="150" spans="1:9">
      <c r="A150" s="209"/>
      <c r="I150" s="209"/>
    </row>
    <row r="151" spans="1:9">
      <c r="A151" s="209"/>
      <c r="I151" s="209"/>
    </row>
    <row r="152" spans="1:9">
      <c r="A152" s="209"/>
      <c r="I152" s="209"/>
    </row>
    <row r="153" spans="1:9">
      <c r="A153" s="209"/>
      <c r="I153" s="209"/>
    </row>
    <row r="154" spans="1:9">
      <c r="A154" s="209"/>
      <c r="I154" s="209"/>
    </row>
    <row r="155" spans="1:9">
      <c r="A155" s="209"/>
      <c r="I155" s="209"/>
    </row>
    <row r="156" spans="1:9">
      <c r="A156" s="209"/>
      <c r="I156" s="209"/>
    </row>
    <row r="157" spans="1:9">
      <c r="A157" s="209"/>
      <c r="I157" s="209"/>
    </row>
    <row r="158" spans="1:9">
      <c r="A158" s="209"/>
      <c r="I158" s="209"/>
    </row>
    <row r="159" spans="1:9">
      <c r="A159" s="209"/>
      <c r="I159" s="209"/>
    </row>
    <row r="160" spans="1:9">
      <c r="A160" s="209"/>
      <c r="I160" s="209"/>
    </row>
    <row r="161" spans="1:9">
      <c r="A161" s="209"/>
      <c r="I161" s="209"/>
    </row>
    <row r="162" spans="1:9">
      <c r="A162" s="209"/>
      <c r="I162" s="209"/>
    </row>
    <row r="163" spans="1:9">
      <c r="A163" s="209"/>
      <c r="I163" s="209"/>
    </row>
    <row r="164" spans="1:9">
      <c r="A164" s="209"/>
      <c r="I164" s="209"/>
    </row>
    <row r="165" spans="1:9">
      <c r="A165" s="209"/>
      <c r="I165" s="209"/>
    </row>
    <row r="166" spans="1:9">
      <c r="A166" s="209"/>
      <c r="I166" s="209"/>
    </row>
    <row r="167" spans="1:9">
      <c r="A167" s="209"/>
      <c r="I167" s="209"/>
    </row>
    <row r="168" spans="1:9">
      <c r="A168" s="209"/>
      <c r="I168" s="209"/>
    </row>
    <row r="169" spans="1:9">
      <c r="A169" s="209"/>
      <c r="I169" s="209"/>
    </row>
    <row r="170" spans="1:9">
      <c r="A170" s="209"/>
      <c r="I170" s="209"/>
    </row>
    <row r="171" spans="1:9">
      <c r="A171" s="209"/>
      <c r="I171" s="209"/>
    </row>
    <row r="172" spans="1:9">
      <c r="A172" s="209"/>
      <c r="I172" s="209"/>
    </row>
    <row r="173" spans="1:9">
      <c r="A173" s="209"/>
      <c r="I173" s="209"/>
    </row>
    <row r="174" spans="1:9">
      <c r="A174" s="209"/>
      <c r="I174" s="209"/>
    </row>
    <row r="175" spans="1:9">
      <c r="A175" s="209"/>
      <c r="I175" s="209"/>
    </row>
    <row r="176" spans="1:9">
      <c r="A176" s="209"/>
      <c r="I176" s="209"/>
    </row>
    <row r="177" spans="1:9">
      <c r="A177" s="209"/>
      <c r="I177" s="209"/>
    </row>
    <row r="178" spans="1:9">
      <c r="A178" s="209"/>
      <c r="I178" s="209"/>
    </row>
    <row r="179" spans="1:9">
      <c r="A179" s="209"/>
      <c r="I179" s="209"/>
    </row>
    <row r="180" spans="1:9">
      <c r="A180" s="209"/>
      <c r="I180" s="209"/>
    </row>
    <row r="181" spans="1:9">
      <c r="A181" s="209"/>
      <c r="I181" s="209"/>
    </row>
    <row r="182" spans="1:9">
      <c r="A182" s="209"/>
      <c r="I182" s="209"/>
    </row>
    <row r="183" spans="1:9">
      <c r="A183" s="209"/>
      <c r="I183" s="209"/>
    </row>
    <row r="184" spans="1:9">
      <c r="A184" s="209"/>
      <c r="I184" s="209"/>
    </row>
    <row r="185" spans="1:9">
      <c r="A185" s="209"/>
      <c r="I185" s="209"/>
    </row>
    <row r="186" spans="1:9">
      <c r="A186" s="209"/>
      <c r="I186" s="209"/>
    </row>
    <row r="187" spans="1:9">
      <c r="A187" s="209"/>
      <c r="I187" s="209"/>
    </row>
    <row r="188" spans="1:9">
      <c r="A188" s="209"/>
      <c r="I188" s="209"/>
    </row>
    <row r="189" spans="1:9">
      <c r="A189" s="209"/>
      <c r="I189" s="209"/>
    </row>
    <row r="190" spans="1:9">
      <c r="A190" s="209"/>
      <c r="I190" s="209"/>
    </row>
    <row r="191" spans="1:9">
      <c r="A191" s="209"/>
      <c r="I191" s="209"/>
    </row>
    <row r="192" spans="1:9">
      <c r="A192" s="209"/>
      <c r="I192" s="209"/>
    </row>
    <row r="193" spans="1:9">
      <c r="A193" s="209"/>
      <c r="I193" s="209"/>
    </row>
    <row r="194" spans="1:9">
      <c r="A194" s="209"/>
      <c r="I194" s="209"/>
    </row>
    <row r="195" spans="1:9">
      <c r="A195" s="209"/>
      <c r="I195" s="209"/>
    </row>
    <row r="196" spans="1:9">
      <c r="A196" s="209"/>
      <c r="I196" s="209"/>
    </row>
    <row r="197" spans="1:9">
      <c r="A197" s="209"/>
      <c r="I197" s="209"/>
    </row>
    <row r="198" spans="1:9">
      <c r="A198" s="209"/>
      <c r="I198" s="209"/>
    </row>
    <row r="199" spans="1:9">
      <c r="A199" s="209"/>
      <c r="I199" s="209"/>
    </row>
    <row r="200" spans="1:9">
      <c r="A200" s="209"/>
      <c r="I200" s="209"/>
    </row>
    <row r="201" spans="1:9">
      <c r="A201" s="209"/>
      <c r="I201" s="209"/>
    </row>
    <row r="202" spans="1:9">
      <c r="A202" s="209"/>
      <c r="I202" s="209"/>
    </row>
    <row r="203" spans="1:9">
      <c r="A203" s="209"/>
      <c r="I203" s="209"/>
    </row>
    <row r="204" spans="1:9">
      <c r="A204" s="209"/>
      <c r="I204" s="209"/>
    </row>
    <row r="205" spans="1:9">
      <c r="A205" s="209"/>
      <c r="I205" s="209"/>
    </row>
    <row r="206" spans="1:9">
      <c r="A206" s="209"/>
      <c r="I206" s="209"/>
    </row>
    <row r="207" spans="1:9">
      <c r="A207" s="209"/>
      <c r="I207" s="209"/>
    </row>
    <row r="208" spans="1:9">
      <c r="A208" s="209"/>
      <c r="I208" s="209"/>
    </row>
    <row r="209" spans="1:9">
      <c r="A209" s="209"/>
      <c r="I209" s="209"/>
    </row>
    <row r="210" spans="1:9">
      <c r="A210" s="209"/>
      <c r="I210" s="209"/>
    </row>
    <row r="211" spans="1:9">
      <c r="A211" s="209"/>
      <c r="I211" s="209"/>
    </row>
    <row r="212" spans="1:9">
      <c r="A212" s="209"/>
      <c r="I212" s="209"/>
    </row>
    <row r="213" spans="1:9">
      <c r="A213" s="209"/>
      <c r="I213" s="209"/>
    </row>
    <row r="214" spans="1:9">
      <c r="A214" s="209"/>
      <c r="I214" s="209"/>
    </row>
    <row r="215" spans="1:9">
      <c r="A215" s="209"/>
      <c r="I215" s="209"/>
    </row>
    <row r="216" spans="1:9">
      <c r="A216" s="209"/>
      <c r="I216" s="209"/>
    </row>
    <row r="217" spans="1:9">
      <c r="A217" s="209"/>
      <c r="I217" s="209"/>
    </row>
    <row r="218" spans="1:9">
      <c r="A218" s="209"/>
      <c r="I218" s="209"/>
    </row>
    <row r="219" spans="1:9">
      <c r="A219" s="209"/>
      <c r="I219" s="209"/>
    </row>
    <row r="220" spans="1:9">
      <c r="A220" s="209"/>
      <c r="I220" s="209"/>
    </row>
    <row r="221" spans="1:9">
      <c r="A221" s="209"/>
      <c r="I221" s="209"/>
    </row>
    <row r="222" spans="1:9">
      <c r="A222" s="209"/>
      <c r="I222" s="209"/>
    </row>
    <row r="223" spans="1:9">
      <c r="A223" s="209"/>
      <c r="I223" s="209"/>
    </row>
    <row r="224" spans="1:9">
      <c r="A224" s="209"/>
      <c r="I224" s="209"/>
    </row>
    <row r="225" spans="1:9">
      <c r="A225" s="209"/>
      <c r="I225" s="209"/>
    </row>
    <row r="226" spans="1:9">
      <c r="A226" s="209"/>
      <c r="I226" s="209"/>
    </row>
    <row r="227" spans="1:9">
      <c r="A227" s="209"/>
      <c r="I227" s="209"/>
    </row>
    <row r="228" spans="1:9">
      <c r="A228" s="209"/>
      <c r="I228" s="209"/>
    </row>
    <row r="229" spans="1:9">
      <c r="A229" s="209"/>
      <c r="I229" s="209"/>
    </row>
    <row r="230" spans="1:9">
      <c r="A230" s="209"/>
      <c r="I230" s="209"/>
    </row>
    <row r="231" spans="1:9">
      <c r="A231" s="209"/>
      <c r="I231" s="209"/>
    </row>
    <row r="232" spans="1:9">
      <c r="A232" s="209"/>
      <c r="I232" s="209"/>
    </row>
    <row r="233" spans="1:9">
      <c r="A233" s="209"/>
      <c r="I233" s="209"/>
    </row>
    <row r="234" spans="1:9">
      <c r="A234" s="209"/>
      <c r="I234" s="209"/>
    </row>
    <row r="235" spans="1:9">
      <c r="A235" s="209"/>
      <c r="I235" s="209"/>
    </row>
    <row r="236" spans="1:9">
      <c r="A236" s="209"/>
      <c r="I236" s="209"/>
    </row>
    <row r="237" spans="1:9">
      <c r="A237" s="209"/>
      <c r="I237" s="209"/>
    </row>
    <row r="238" spans="1:9">
      <c r="A238" s="209"/>
      <c r="I238" s="209"/>
    </row>
    <row r="239" spans="1:9">
      <c r="A239" s="209"/>
      <c r="I239" s="209"/>
    </row>
    <row r="240" spans="1:9">
      <c r="A240" s="209"/>
      <c r="I240" s="209"/>
    </row>
    <row r="241" spans="1:9">
      <c r="A241" s="209"/>
      <c r="I241" s="209"/>
    </row>
    <row r="242" spans="1:9">
      <c r="A242" s="209"/>
      <c r="I242" s="209"/>
    </row>
    <row r="243" spans="1:9">
      <c r="A243" s="209"/>
      <c r="I243" s="209"/>
    </row>
    <row r="244" spans="1:9">
      <c r="A244" s="209"/>
      <c r="I244" s="209"/>
    </row>
    <row r="245" spans="1:9">
      <c r="A245" s="209"/>
      <c r="I245" s="209"/>
    </row>
    <row r="246" spans="1:9">
      <c r="A246" s="209"/>
      <c r="I246" s="209"/>
    </row>
    <row r="247" spans="1:9">
      <c r="A247" s="209"/>
      <c r="I247" s="209"/>
    </row>
    <row r="248" spans="1:9">
      <c r="A248" s="209"/>
      <c r="I248" s="209"/>
    </row>
    <row r="249" spans="1:9">
      <c r="A249" s="209"/>
      <c r="I249" s="209"/>
    </row>
    <row r="250" spans="1:9">
      <c r="A250" s="209"/>
      <c r="I250" s="209"/>
    </row>
    <row r="251" spans="1:9">
      <c r="A251" s="209"/>
      <c r="I251" s="209"/>
    </row>
    <row r="252" spans="1:9">
      <c r="A252" s="209"/>
      <c r="I252" s="209"/>
    </row>
    <row r="253" spans="1:9">
      <c r="A253" s="209"/>
      <c r="I253" s="209"/>
    </row>
    <row r="254" spans="1:9">
      <c r="A254" s="209"/>
      <c r="I254" s="209"/>
    </row>
    <row r="255" spans="1:9">
      <c r="A255" s="209"/>
      <c r="I255" s="209"/>
    </row>
    <row r="256" spans="1:9">
      <c r="A256" s="209"/>
      <c r="I256" s="209"/>
    </row>
    <row r="257" spans="1:9">
      <c r="A257" s="209"/>
      <c r="I257" s="209"/>
    </row>
    <row r="258" spans="1:9">
      <c r="A258" s="209"/>
      <c r="I258" s="209"/>
    </row>
    <row r="259" spans="1:9">
      <c r="A259" s="209"/>
      <c r="I259" s="209"/>
    </row>
    <row r="260" spans="1:9">
      <c r="A260" s="209"/>
      <c r="I260" s="209"/>
    </row>
    <row r="261" spans="1:9">
      <c r="A261" s="209"/>
      <c r="I261" s="209"/>
    </row>
    <row r="262" spans="1:9">
      <c r="A262" s="209"/>
      <c r="I262" s="209"/>
    </row>
    <row r="263" spans="1:9">
      <c r="A263" s="209"/>
      <c r="I263" s="209"/>
    </row>
    <row r="264" spans="1:9">
      <c r="A264" s="209"/>
      <c r="I264" s="209"/>
    </row>
    <row r="265" spans="1:9">
      <c r="A265" s="209"/>
      <c r="I265" s="209"/>
    </row>
    <row r="266" spans="1:9">
      <c r="A266" s="209"/>
      <c r="I266" s="209"/>
    </row>
    <row r="267" spans="1:9">
      <c r="A267" s="209"/>
      <c r="I267" s="209"/>
    </row>
    <row r="268" spans="1:9">
      <c r="A268" s="209"/>
      <c r="I268" s="209"/>
    </row>
    <row r="269" spans="1:9">
      <c r="A269" s="209"/>
      <c r="I269" s="209"/>
    </row>
    <row r="270" spans="1:9">
      <c r="A270" s="209"/>
      <c r="I270" s="209"/>
    </row>
    <row r="271" spans="1:9">
      <c r="A271" s="209"/>
      <c r="I271" s="209"/>
    </row>
    <row r="272" spans="1:9">
      <c r="A272" s="209"/>
      <c r="I272" s="209"/>
    </row>
    <row r="273" spans="1:9">
      <c r="A273" s="209"/>
      <c r="I273" s="209"/>
    </row>
    <row r="274" spans="1:9">
      <c r="A274" s="209"/>
      <c r="I274" s="209"/>
    </row>
    <row r="275" spans="1:9">
      <c r="A275" s="209"/>
      <c r="I275" s="209"/>
    </row>
    <row r="276" spans="1:9">
      <c r="A276" s="209"/>
      <c r="I276" s="209"/>
    </row>
    <row r="277" spans="1:9">
      <c r="A277" s="209"/>
      <c r="I277" s="209"/>
    </row>
    <row r="278" spans="1:9">
      <c r="A278" s="209"/>
      <c r="I278" s="209"/>
    </row>
    <row r="279" spans="1:9">
      <c r="A279" s="209"/>
      <c r="I279" s="209"/>
    </row>
    <row r="280" spans="1:9">
      <c r="A280" s="209"/>
      <c r="I280" s="209"/>
    </row>
    <row r="281" spans="1:9">
      <c r="A281" s="209"/>
      <c r="I281" s="209"/>
    </row>
    <row r="282" spans="1:9">
      <c r="A282" s="209"/>
      <c r="I282" s="209"/>
    </row>
    <row r="283" spans="1:9">
      <c r="A283" s="209"/>
      <c r="I283" s="209"/>
    </row>
    <row r="284" spans="1:9">
      <c r="A284" s="209"/>
      <c r="I284" s="209"/>
    </row>
    <row r="285" spans="1:9">
      <c r="A285" s="209"/>
      <c r="I285" s="209"/>
    </row>
    <row r="286" spans="1:9">
      <c r="A286" s="209"/>
      <c r="I286" s="209"/>
    </row>
    <row r="287" spans="1:9">
      <c r="A287" s="209"/>
      <c r="I287" s="209"/>
    </row>
    <row r="288" spans="1:9">
      <c r="A288" s="209"/>
      <c r="I288" s="209"/>
    </row>
    <row r="289" spans="1:9">
      <c r="A289" s="209"/>
      <c r="I289" s="209"/>
    </row>
    <row r="290" spans="1:9">
      <c r="A290" s="209"/>
      <c r="I290" s="209"/>
    </row>
    <row r="291" spans="1:9">
      <c r="A291" s="209"/>
      <c r="I291" s="209"/>
    </row>
    <row r="292" spans="1:9">
      <c r="A292" s="209"/>
      <c r="I292" s="209"/>
    </row>
    <row r="293" spans="1:9">
      <c r="A293" s="209"/>
      <c r="I293" s="209"/>
    </row>
    <row r="294" spans="1:9">
      <c r="A294" s="209"/>
      <c r="I294" s="209"/>
    </row>
    <row r="295" spans="1:9">
      <c r="A295" s="209"/>
      <c r="I295" s="209"/>
    </row>
    <row r="296" spans="1:9">
      <c r="A296" s="209"/>
      <c r="I296" s="209"/>
    </row>
    <row r="297" spans="1:9">
      <c r="A297" s="209"/>
      <c r="I297" s="209"/>
    </row>
    <row r="298" spans="1:9">
      <c r="A298" s="209"/>
      <c r="I298" s="209"/>
    </row>
    <row r="299" spans="1:9">
      <c r="A299" s="209"/>
      <c r="I299" s="209"/>
    </row>
    <row r="300" spans="1:9">
      <c r="A300" s="209"/>
      <c r="I300" s="209"/>
    </row>
    <row r="301" spans="1:9">
      <c r="A301" s="209"/>
      <c r="I301" s="209"/>
    </row>
    <row r="302" spans="1:9">
      <c r="A302" s="209"/>
      <c r="I302" s="209"/>
    </row>
    <row r="303" spans="1:9">
      <c r="A303" s="209"/>
      <c r="I303" s="209"/>
    </row>
    <row r="304" spans="1:9">
      <c r="A304" s="209"/>
      <c r="I304" s="209"/>
    </row>
    <row r="305" spans="1:9">
      <c r="A305" s="209"/>
      <c r="I305" s="209"/>
    </row>
    <row r="306" spans="1:9">
      <c r="A306" s="209"/>
      <c r="I306" s="209"/>
    </row>
    <row r="307" spans="1:9">
      <c r="A307" s="209"/>
      <c r="I307" s="209"/>
    </row>
    <row r="308" spans="1:9">
      <c r="A308" s="209"/>
      <c r="I308" s="209"/>
    </row>
    <row r="309" spans="1:9">
      <c r="A309" s="209"/>
      <c r="I309" s="209"/>
    </row>
    <row r="310" spans="1:9">
      <c r="A310" s="209"/>
      <c r="I310" s="209"/>
    </row>
    <row r="311" spans="1:9">
      <c r="A311" s="209"/>
      <c r="I311" s="209"/>
    </row>
    <row r="312" spans="1:9">
      <c r="A312" s="209"/>
      <c r="I312" s="209"/>
    </row>
    <row r="313" spans="1:9">
      <c r="A313" s="209"/>
      <c r="I313" s="209"/>
    </row>
    <row r="314" spans="1:9">
      <c r="A314" s="209"/>
      <c r="I314" s="209"/>
    </row>
    <row r="315" spans="1:9">
      <c r="A315" s="209"/>
      <c r="I315" s="209"/>
    </row>
    <row r="316" spans="1:9">
      <c r="A316" s="209"/>
      <c r="I316" s="209"/>
    </row>
    <row r="317" spans="1:9">
      <c r="A317" s="209"/>
      <c r="I317" s="209"/>
    </row>
    <row r="318" spans="1:9">
      <c r="A318" s="209"/>
      <c r="I318" s="209"/>
    </row>
    <row r="319" spans="1:9">
      <c r="A319" s="209"/>
      <c r="I319" s="209"/>
    </row>
    <row r="320" spans="1:9">
      <c r="A320" s="209"/>
      <c r="I320" s="209"/>
    </row>
    <row r="321" spans="1:9">
      <c r="A321" s="209"/>
      <c r="I321" s="209"/>
    </row>
    <row r="322" spans="1:9">
      <c r="A322" s="209"/>
      <c r="I322" s="209"/>
    </row>
    <row r="323" spans="1:9">
      <c r="A323" s="209"/>
      <c r="I323" s="209"/>
    </row>
    <row r="324" spans="1:9">
      <c r="A324" s="209"/>
      <c r="I324" s="209"/>
    </row>
    <row r="325" spans="1:9">
      <c r="A325" s="209"/>
      <c r="I325" s="209"/>
    </row>
    <row r="326" spans="1:9">
      <c r="A326" s="209"/>
      <c r="I326" s="209"/>
    </row>
    <row r="327" spans="1:9">
      <c r="A327" s="209"/>
      <c r="I327" s="209"/>
    </row>
    <row r="328" spans="1:9">
      <c r="A328" s="209"/>
      <c r="I328" s="209"/>
    </row>
    <row r="329" spans="1:9">
      <c r="A329" s="209"/>
      <c r="I329" s="209"/>
    </row>
    <row r="330" spans="1:9">
      <c r="A330" s="209"/>
      <c r="I330" s="209"/>
    </row>
    <row r="331" spans="1:9">
      <c r="A331" s="209"/>
      <c r="I331" s="209"/>
    </row>
    <row r="332" spans="1:9">
      <c r="A332" s="209"/>
      <c r="I332" s="209"/>
    </row>
    <row r="333" spans="1:9">
      <c r="A333" s="209"/>
      <c r="I333" s="209"/>
    </row>
    <row r="334" spans="1:9">
      <c r="A334" s="209"/>
      <c r="I334" s="209"/>
    </row>
    <row r="335" spans="1:9">
      <c r="A335" s="209"/>
      <c r="I335" s="209"/>
    </row>
    <row r="336" spans="1:9">
      <c r="A336" s="209"/>
      <c r="I336" s="209"/>
    </row>
    <row r="337" spans="1:9">
      <c r="A337" s="209"/>
      <c r="I337" s="209"/>
    </row>
    <row r="338" spans="1:9">
      <c r="A338" s="209"/>
      <c r="I338" s="209"/>
    </row>
    <row r="339" spans="1:9">
      <c r="A339" s="209"/>
      <c r="I339" s="209"/>
    </row>
    <row r="340" spans="1:9">
      <c r="A340" s="209"/>
      <c r="I340" s="209"/>
    </row>
    <row r="341" spans="1:9">
      <c r="A341" s="209"/>
      <c r="I341" s="209"/>
    </row>
    <row r="342" spans="1:9">
      <c r="A342" s="209"/>
      <c r="I342" s="209"/>
    </row>
    <row r="343" spans="1:9">
      <c r="A343" s="209"/>
      <c r="I343" s="209"/>
    </row>
    <row r="344" spans="1:9">
      <c r="A344" s="209"/>
      <c r="I344" s="209"/>
    </row>
    <row r="345" spans="1:9">
      <c r="A345" s="209"/>
      <c r="I345" s="209"/>
    </row>
    <row r="346" spans="1:9">
      <c r="A346" s="209"/>
      <c r="I346" s="209"/>
    </row>
    <row r="347" spans="1:9">
      <c r="A347" s="209"/>
      <c r="I347" s="209"/>
    </row>
    <row r="348" spans="1:9">
      <c r="A348" s="209"/>
      <c r="I348" s="209"/>
    </row>
    <row r="349" spans="1:9">
      <c r="A349" s="209"/>
      <c r="I349" s="209"/>
    </row>
    <row r="350" spans="1:9">
      <c r="A350" s="209"/>
      <c r="I350" s="209"/>
    </row>
    <row r="351" spans="1:9">
      <c r="A351" s="209"/>
      <c r="I351" s="209"/>
    </row>
    <row r="352" spans="1:9">
      <c r="A352" s="209"/>
      <c r="I352" s="209"/>
    </row>
    <row r="353" spans="1:9">
      <c r="A353" s="209"/>
      <c r="I353" s="209"/>
    </row>
    <row r="354" spans="1:9">
      <c r="A354" s="209"/>
      <c r="I354" s="209"/>
    </row>
    <row r="355" spans="1:9">
      <c r="A355" s="209"/>
      <c r="I355" s="209"/>
    </row>
    <row r="356" spans="1:9">
      <c r="A356" s="209"/>
      <c r="I356" s="209"/>
    </row>
    <row r="357" spans="1:9">
      <c r="A357" s="209"/>
      <c r="I357" s="209"/>
    </row>
    <row r="358" spans="1:9">
      <c r="A358" s="209"/>
      <c r="I358" s="209"/>
    </row>
    <row r="359" spans="1:9">
      <c r="A359" s="209"/>
      <c r="I359" s="209"/>
    </row>
    <row r="360" spans="1:9">
      <c r="A360" s="209"/>
      <c r="I360" s="209"/>
    </row>
    <row r="361" spans="1:9">
      <c r="A361" s="209"/>
      <c r="I361" s="209"/>
    </row>
    <row r="362" spans="1:9">
      <c r="A362" s="209"/>
      <c r="I362" s="209"/>
    </row>
    <row r="363" spans="1:9">
      <c r="A363" s="209"/>
      <c r="I363" s="209"/>
    </row>
    <row r="364" spans="1:9">
      <c r="A364" s="209"/>
      <c r="I364" s="209"/>
    </row>
    <row r="365" spans="1:9">
      <c r="A365" s="209"/>
      <c r="I365" s="209"/>
    </row>
    <row r="366" spans="1:9">
      <c r="A366" s="209"/>
      <c r="I366" s="209"/>
    </row>
    <row r="367" spans="1:9">
      <c r="A367" s="209"/>
      <c r="I367" s="209"/>
    </row>
    <row r="368" spans="1:9">
      <c r="A368" s="209"/>
      <c r="I368" s="209"/>
    </row>
    <row r="369" spans="1:9">
      <c r="A369" s="209"/>
      <c r="I369" s="209"/>
    </row>
    <row r="370" spans="1:9">
      <c r="A370" s="209"/>
      <c r="I370" s="209"/>
    </row>
    <row r="371" spans="1:9">
      <c r="A371" s="209"/>
      <c r="I371" s="209"/>
    </row>
    <row r="372" spans="1:9">
      <c r="A372" s="209"/>
      <c r="I372" s="209"/>
    </row>
    <row r="373" spans="1:9">
      <c r="A373" s="209"/>
      <c r="I373" s="209"/>
    </row>
    <row r="374" spans="1:9">
      <c r="A374" s="209"/>
      <c r="I374" s="209"/>
    </row>
    <row r="375" spans="1:9">
      <c r="A375" s="209"/>
      <c r="I375" s="209"/>
    </row>
    <row r="376" spans="1:9">
      <c r="A376" s="209"/>
      <c r="I376" s="209"/>
    </row>
    <row r="377" spans="1:9">
      <c r="A377" s="209"/>
      <c r="I377" s="209"/>
    </row>
    <row r="378" spans="1:9">
      <c r="A378" s="209"/>
      <c r="I378" s="209"/>
    </row>
    <row r="379" spans="1:9">
      <c r="A379" s="209"/>
      <c r="I379" s="209"/>
    </row>
    <row r="380" spans="1:9">
      <c r="A380" s="209"/>
      <c r="I380" s="209"/>
    </row>
    <row r="381" spans="1:9">
      <c r="A381" s="209"/>
      <c r="I381" s="209"/>
    </row>
    <row r="382" spans="1:9">
      <c r="A382" s="209"/>
      <c r="I382" s="209"/>
    </row>
    <row r="383" spans="1:9">
      <c r="A383" s="209"/>
      <c r="I383" s="209"/>
    </row>
    <row r="384" spans="1:9">
      <c r="A384" s="209"/>
      <c r="I384" s="209"/>
    </row>
    <row r="385" spans="1:9">
      <c r="A385" s="209"/>
      <c r="I385" s="209"/>
    </row>
    <row r="386" spans="1:9">
      <c r="A386" s="209"/>
      <c r="I386" s="209"/>
    </row>
    <row r="387" spans="1:9">
      <c r="A387" s="209"/>
      <c r="I387" s="209"/>
    </row>
    <row r="388" spans="1:9">
      <c r="A388" s="209"/>
      <c r="I388" s="209"/>
    </row>
    <row r="389" spans="1:9">
      <c r="A389" s="209"/>
      <c r="I389" s="209"/>
    </row>
    <row r="390" spans="1:9">
      <c r="A390" s="209"/>
      <c r="I390" s="209"/>
    </row>
    <row r="391" spans="1:9">
      <c r="A391" s="209"/>
      <c r="I391" s="209"/>
    </row>
    <row r="392" spans="1:9">
      <c r="A392" s="209"/>
      <c r="I392" s="209"/>
    </row>
    <row r="393" spans="1:9">
      <c r="A393" s="209"/>
      <c r="I393" s="209"/>
    </row>
    <row r="394" spans="1:9">
      <c r="A394" s="209"/>
      <c r="I394" s="209"/>
    </row>
    <row r="395" spans="1:9">
      <c r="A395" s="209"/>
      <c r="I395" s="209"/>
    </row>
    <row r="396" spans="1:9">
      <c r="A396" s="209"/>
      <c r="I396" s="209"/>
    </row>
    <row r="397" spans="1:9">
      <c r="A397" s="209"/>
      <c r="I397" s="209"/>
    </row>
    <row r="398" spans="1:9">
      <c r="A398" s="209"/>
      <c r="I398" s="209"/>
    </row>
    <row r="399" spans="1:9">
      <c r="A399" s="209"/>
      <c r="I399" s="209"/>
    </row>
    <row r="400" spans="1:9">
      <c r="A400" s="209"/>
      <c r="I400" s="209"/>
    </row>
    <row r="401" spans="1:9">
      <c r="A401" s="209"/>
      <c r="I401" s="209"/>
    </row>
    <row r="402" spans="1:9">
      <c r="A402" s="209"/>
      <c r="I402" s="209"/>
    </row>
    <row r="403" spans="1:9">
      <c r="A403" s="209"/>
      <c r="I403" s="209"/>
    </row>
    <row r="404" spans="1:9">
      <c r="A404" s="209"/>
      <c r="I404" s="209"/>
    </row>
    <row r="405" spans="1:9">
      <c r="A405" s="209"/>
      <c r="I405" s="209"/>
    </row>
    <row r="406" spans="1:9">
      <c r="A406" s="209"/>
      <c r="I406" s="209"/>
    </row>
    <row r="407" spans="1:9">
      <c r="A407" s="209"/>
      <c r="I407" s="209"/>
    </row>
    <row r="408" spans="1:9">
      <c r="A408" s="209"/>
      <c r="I408" s="209"/>
    </row>
    <row r="409" spans="1:9">
      <c r="A409" s="209"/>
      <c r="I409" s="209"/>
    </row>
    <row r="410" spans="1:9">
      <c r="A410" s="209"/>
      <c r="I410" s="209"/>
    </row>
    <row r="411" spans="1:9">
      <c r="A411" s="209"/>
      <c r="I411" s="209"/>
    </row>
    <row r="412" spans="1:9">
      <c r="A412" s="209"/>
      <c r="I412" s="209"/>
    </row>
    <row r="413" spans="1:9">
      <c r="A413" s="209"/>
      <c r="I413" s="209"/>
    </row>
    <row r="414" spans="1:9">
      <c r="A414" s="209"/>
      <c r="I414" s="209"/>
    </row>
    <row r="415" spans="1:9">
      <c r="A415" s="209"/>
      <c r="I415" s="209"/>
    </row>
    <row r="416" spans="1:9">
      <c r="A416" s="209"/>
      <c r="I416" s="209"/>
    </row>
    <row r="417" spans="1:9">
      <c r="A417" s="209"/>
      <c r="I417" s="209"/>
    </row>
    <row r="418" spans="1:9">
      <c r="A418" s="209"/>
      <c r="I418" s="209"/>
    </row>
    <row r="419" spans="1:9">
      <c r="A419" s="209"/>
      <c r="I419" s="209"/>
    </row>
    <row r="420" spans="1:9">
      <c r="A420" s="209"/>
      <c r="I420" s="209"/>
    </row>
    <row r="421" spans="1:9">
      <c r="A421" s="209"/>
      <c r="I421" s="209"/>
    </row>
    <row r="422" spans="1:9">
      <c r="A422" s="209"/>
      <c r="I422" s="209"/>
    </row>
    <row r="423" spans="1:9">
      <c r="A423" s="209"/>
      <c r="I423" s="209"/>
    </row>
    <row r="424" spans="1:9">
      <c r="A424" s="209"/>
      <c r="I424" s="209"/>
    </row>
    <row r="425" spans="1:9">
      <c r="A425" s="209"/>
      <c r="I425" s="209"/>
    </row>
    <row r="426" spans="1:9">
      <c r="A426" s="209"/>
      <c r="I426" s="209"/>
    </row>
    <row r="427" spans="1:9">
      <c r="A427" s="209"/>
      <c r="I427" s="209"/>
    </row>
    <row r="428" spans="1:9">
      <c r="A428" s="209"/>
      <c r="I428" s="209"/>
    </row>
    <row r="429" spans="1:9">
      <c r="A429" s="209"/>
      <c r="I429" s="209"/>
    </row>
    <row r="430" spans="1:9">
      <c r="A430" s="209"/>
      <c r="I430" s="209"/>
    </row>
    <row r="431" spans="1:9">
      <c r="A431" s="209"/>
      <c r="I431" s="209"/>
    </row>
    <row r="432" spans="1:9">
      <c r="A432" s="209"/>
      <c r="I432" s="209"/>
    </row>
    <row r="433" spans="1:9">
      <c r="A433" s="209"/>
      <c r="I433" s="209"/>
    </row>
    <row r="434" spans="1:9">
      <c r="A434" s="209"/>
      <c r="I434" s="209"/>
    </row>
    <row r="435" spans="1:9">
      <c r="A435" s="209"/>
      <c r="I435" s="209"/>
    </row>
    <row r="436" spans="1:9">
      <c r="A436" s="209"/>
      <c r="I436" s="209"/>
    </row>
    <row r="437" spans="1:9">
      <c r="A437" s="209"/>
      <c r="I437" s="209"/>
    </row>
    <row r="438" spans="1:9">
      <c r="A438" s="209"/>
      <c r="I438" s="209"/>
    </row>
    <row r="439" spans="1:9">
      <c r="A439" s="209"/>
      <c r="I439" s="209"/>
    </row>
    <row r="440" spans="1:9">
      <c r="A440" s="209"/>
      <c r="I440" s="209"/>
    </row>
    <row r="441" spans="1:9">
      <c r="A441" s="209"/>
      <c r="I441" s="209"/>
    </row>
    <row r="442" spans="1:9">
      <c r="A442" s="209"/>
      <c r="I442" s="209"/>
    </row>
    <row r="443" spans="1:9">
      <c r="A443" s="212"/>
      <c r="I443" s="209"/>
    </row>
    <row r="444" spans="1:9">
      <c r="A444" s="212"/>
      <c r="I444" s="209"/>
    </row>
    <row r="445" spans="1:9">
      <c r="A445" s="212"/>
      <c r="I445" s="209"/>
    </row>
    <row r="446" spans="1:9">
      <c r="A446" s="212"/>
      <c r="I446" s="209"/>
    </row>
    <row r="447" spans="1:9">
      <c r="A447" s="212"/>
      <c r="I447" s="209"/>
    </row>
    <row r="448" spans="1:9">
      <c r="A448" s="212"/>
      <c r="I448" s="209"/>
    </row>
    <row r="449" spans="1:9">
      <c r="A449" s="212"/>
      <c r="I449" s="209"/>
    </row>
    <row r="450" spans="1:9">
      <c r="A450" s="212"/>
      <c r="I450" s="209"/>
    </row>
    <row r="451" spans="1:9">
      <c r="A451" s="212"/>
      <c r="I451" s="209"/>
    </row>
    <row r="452" spans="1:9">
      <c r="A452" s="209"/>
      <c r="I452" s="209"/>
    </row>
    <row r="453" spans="1:9">
      <c r="A453" s="209"/>
      <c r="I453" s="209"/>
    </row>
    <row r="454" spans="1:9">
      <c r="A454" s="209"/>
      <c r="I454" s="209"/>
    </row>
    <row r="455" spans="1:9">
      <c r="A455" s="209"/>
      <c r="I455" s="209"/>
    </row>
    <row r="456" spans="1:9">
      <c r="A456" s="209"/>
      <c r="I456" s="209"/>
    </row>
    <row r="457" spans="1:9">
      <c r="A457" s="209"/>
      <c r="I457" s="209"/>
    </row>
    <row r="458" spans="1:9">
      <c r="A458" s="209"/>
      <c r="I458" s="209"/>
    </row>
    <row r="459" spans="1:9">
      <c r="A459" s="209"/>
      <c r="I459" s="209"/>
    </row>
    <row r="460" spans="1:9">
      <c r="A460" s="209"/>
      <c r="I460" s="209"/>
    </row>
    <row r="461" spans="1:9">
      <c r="A461" s="209"/>
      <c r="I461" s="209"/>
    </row>
    <row r="462" spans="1:9">
      <c r="A462" s="209"/>
      <c r="I462" s="209"/>
    </row>
    <row r="463" spans="1:9">
      <c r="A463" s="209"/>
      <c r="I463" s="209"/>
    </row>
    <row r="464" spans="1:9">
      <c r="A464" s="209"/>
      <c r="I464" s="209"/>
    </row>
    <row r="465" spans="1:9">
      <c r="A465" s="209"/>
      <c r="I465" s="209"/>
    </row>
    <row r="466" spans="1:9">
      <c r="A466" s="209"/>
      <c r="I466" s="209"/>
    </row>
    <row r="467" spans="1:9">
      <c r="A467" s="209"/>
      <c r="I467" s="209"/>
    </row>
    <row r="468" spans="1:9">
      <c r="A468" s="209"/>
      <c r="I468" s="209"/>
    </row>
    <row r="469" spans="1:9">
      <c r="A469" s="209"/>
      <c r="I469" s="209"/>
    </row>
    <row r="470" spans="1:9">
      <c r="A470" s="209"/>
      <c r="I470" s="209"/>
    </row>
    <row r="471" spans="1:9">
      <c r="A471" s="209"/>
      <c r="I471" s="209"/>
    </row>
    <row r="472" spans="1:9">
      <c r="A472" s="209"/>
      <c r="I472" s="209"/>
    </row>
    <row r="473" spans="1:9">
      <c r="A473" s="209"/>
      <c r="I473" s="209"/>
    </row>
    <row r="474" spans="1:9">
      <c r="A474" s="209"/>
      <c r="I474" s="209"/>
    </row>
    <row r="475" spans="1:9">
      <c r="A475" s="209"/>
      <c r="I475" s="209"/>
    </row>
    <row r="476" spans="1:9">
      <c r="A476" s="209"/>
      <c r="I476" s="209"/>
    </row>
    <row r="477" spans="1:9">
      <c r="A477" s="209"/>
      <c r="I477" s="209"/>
    </row>
    <row r="478" spans="1:9">
      <c r="A478" s="209"/>
      <c r="I478" s="209"/>
    </row>
    <row r="479" spans="1:9">
      <c r="A479" s="209"/>
      <c r="I479" s="209"/>
    </row>
    <row r="480" spans="1:9">
      <c r="A480" s="209"/>
      <c r="I480" s="209"/>
    </row>
    <row r="481" spans="1:9">
      <c r="A481" s="209"/>
      <c r="I481" s="209"/>
    </row>
    <row r="482" spans="1:9">
      <c r="A482" s="209"/>
      <c r="I482" s="209"/>
    </row>
    <row r="483" spans="1:9">
      <c r="A483" s="209"/>
      <c r="I483" s="209"/>
    </row>
    <row r="484" spans="1:9">
      <c r="A484" s="209"/>
      <c r="I484" s="209"/>
    </row>
    <row r="485" spans="1:9">
      <c r="A485" s="209"/>
      <c r="I485" s="209"/>
    </row>
    <row r="486" spans="1:9">
      <c r="A486" s="209"/>
      <c r="I486" s="209"/>
    </row>
    <row r="487" spans="1:9">
      <c r="A487" s="209"/>
      <c r="I487" s="209"/>
    </row>
    <row r="488" spans="1:9">
      <c r="A488" s="209"/>
      <c r="I488" s="209"/>
    </row>
    <row r="489" spans="1:9">
      <c r="A489" s="209"/>
      <c r="I489" s="209"/>
    </row>
    <row r="490" spans="1:9">
      <c r="A490" s="209"/>
      <c r="I490" s="209"/>
    </row>
    <row r="491" spans="1:9">
      <c r="A491" s="209"/>
      <c r="I491" s="209"/>
    </row>
    <row r="492" spans="1:9">
      <c r="A492" s="209"/>
      <c r="I492" s="209"/>
    </row>
    <row r="493" spans="1:9">
      <c r="A493" s="209"/>
      <c r="I493" s="209"/>
    </row>
    <row r="494" spans="1:9">
      <c r="A494" s="209"/>
      <c r="I494" s="209"/>
    </row>
    <row r="495" spans="1:9">
      <c r="A495" s="209"/>
      <c r="I495" s="209"/>
    </row>
    <row r="496" spans="1:9">
      <c r="A496" s="209"/>
      <c r="I496" s="209"/>
    </row>
    <row r="497" spans="1:9">
      <c r="A497" s="209"/>
      <c r="I497" s="209"/>
    </row>
    <row r="498" spans="1:9">
      <c r="A498" s="209"/>
      <c r="I498" s="209"/>
    </row>
    <row r="499" spans="1:9">
      <c r="A499" s="209"/>
      <c r="I499" s="209"/>
    </row>
    <row r="500" spans="1:9">
      <c r="A500" s="209"/>
      <c r="I500" s="209"/>
    </row>
    <row r="501" spans="1:9">
      <c r="A501" s="209"/>
      <c r="I501" s="209"/>
    </row>
    <row r="502" spans="1:9">
      <c r="A502" s="209"/>
      <c r="I502" s="209"/>
    </row>
    <row r="503" spans="1:9">
      <c r="A503" s="209"/>
      <c r="I503" s="209"/>
    </row>
    <row r="504" spans="1:9">
      <c r="A504" s="209"/>
      <c r="I504" s="209"/>
    </row>
    <row r="505" spans="1:9">
      <c r="A505" s="209"/>
      <c r="I505" s="209"/>
    </row>
    <row r="506" spans="1:9">
      <c r="A506" s="209"/>
      <c r="I506" s="209"/>
    </row>
    <row r="507" spans="1:9">
      <c r="A507" s="209"/>
      <c r="I507" s="209"/>
    </row>
    <row r="508" spans="1:9">
      <c r="A508" s="209"/>
      <c r="I508" s="209"/>
    </row>
    <row r="509" spans="1:9">
      <c r="A509" s="209"/>
      <c r="I509" s="209"/>
    </row>
    <row r="510" spans="1:9">
      <c r="A510" s="209"/>
      <c r="I510" s="209"/>
    </row>
    <row r="511" spans="1:9">
      <c r="A511" s="209"/>
      <c r="I511" s="209"/>
    </row>
    <row r="512" spans="1:9">
      <c r="A512" s="209"/>
      <c r="I512" s="209"/>
    </row>
    <row r="513" spans="1:9">
      <c r="A513" s="209"/>
      <c r="I513" s="209"/>
    </row>
    <row r="514" spans="1:9">
      <c r="A514" s="209"/>
      <c r="I514" s="209"/>
    </row>
    <row r="515" spans="1:9">
      <c r="A515" s="209"/>
      <c r="I515" s="209"/>
    </row>
    <row r="516" spans="1:9">
      <c r="A516" s="209"/>
      <c r="I516" s="209"/>
    </row>
    <row r="517" spans="1:9">
      <c r="A517" s="209"/>
      <c r="I517" s="209"/>
    </row>
    <row r="518" spans="1:9">
      <c r="A518" s="209"/>
      <c r="I518" s="209"/>
    </row>
    <row r="519" spans="1:9">
      <c r="A519" s="209"/>
      <c r="I519" s="209"/>
    </row>
    <row r="520" spans="1:9">
      <c r="A520" s="209"/>
      <c r="I520" s="209"/>
    </row>
    <row r="521" spans="1:9">
      <c r="A521" s="209"/>
      <c r="I521" s="209"/>
    </row>
    <row r="522" spans="1:9">
      <c r="A522" s="209"/>
      <c r="I522" s="209"/>
    </row>
    <row r="523" spans="1:9">
      <c r="A523" s="209"/>
      <c r="I523" s="209"/>
    </row>
    <row r="524" spans="1:9">
      <c r="A524" s="209"/>
      <c r="I524" s="209"/>
    </row>
    <row r="525" spans="1:9">
      <c r="A525" s="209"/>
      <c r="I525" s="209"/>
    </row>
    <row r="526" spans="1:9">
      <c r="A526" s="209"/>
      <c r="I526" s="209"/>
    </row>
    <row r="527" spans="1:9">
      <c r="A527" s="209"/>
      <c r="I527" s="209"/>
    </row>
    <row r="528" spans="1:9">
      <c r="A528" s="209"/>
      <c r="I528" s="209"/>
    </row>
    <row r="529" spans="1:9">
      <c r="A529" s="209"/>
      <c r="I529" s="209"/>
    </row>
    <row r="530" spans="1:9">
      <c r="A530" s="209"/>
      <c r="I530" s="209"/>
    </row>
    <row r="531" spans="1:9">
      <c r="A531" s="209"/>
      <c r="I531" s="209"/>
    </row>
    <row r="532" spans="1:9">
      <c r="A532" s="209"/>
      <c r="I532" s="209"/>
    </row>
    <row r="533" spans="1:9">
      <c r="A533" s="209"/>
      <c r="I533" s="209"/>
    </row>
    <row r="534" spans="1:9">
      <c r="A534" s="209"/>
      <c r="I534" s="209"/>
    </row>
    <row r="535" spans="1:9">
      <c r="A535" s="209"/>
      <c r="I535" s="209"/>
    </row>
    <row r="536" spans="1:9">
      <c r="A536" s="209"/>
      <c r="I536" s="209"/>
    </row>
    <row r="537" spans="1:9">
      <c r="A537" s="209"/>
      <c r="I537" s="209"/>
    </row>
    <row r="538" spans="1:9">
      <c r="A538" s="209"/>
      <c r="I538" s="209"/>
    </row>
    <row r="539" spans="1:9">
      <c r="A539" s="209"/>
      <c r="I539" s="209"/>
    </row>
    <row r="540" spans="1:9">
      <c r="A540" s="209"/>
      <c r="I540" s="209"/>
    </row>
    <row r="541" spans="1:9">
      <c r="A541" s="209"/>
      <c r="I541" s="209"/>
    </row>
    <row r="542" spans="1:9">
      <c r="A542" s="209"/>
      <c r="I542" s="209"/>
    </row>
    <row r="543" spans="1:9">
      <c r="A543" s="209"/>
      <c r="I543" s="209"/>
    </row>
    <row r="544" spans="1:9">
      <c r="A544" s="209"/>
      <c r="I544" s="209"/>
    </row>
    <row r="545" spans="1:9">
      <c r="A545" s="209"/>
      <c r="I545" s="209"/>
    </row>
    <row r="546" spans="1:9">
      <c r="A546" s="209"/>
      <c r="I546" s="209"/>
    </row>
    <row r="547" spans="1:9">
      <c r="A547" s="209"/>
      <c r="I547" s="209"/>
    </row>
    <row r="548" spans="1:9">
      <c r="A548" s="209"/>
      <c r="I548" s="209"/>
    </row>
    <row r="549" spans="1:9">
      <c r="A549" s="209"/>
      <c r="I549" s="209"/>
    </row>
    <row r="550" spans="1:9">
      <c r="A550" s="209"/>
      <c r="I550" s="209"/>
    </row>
    <row r="551" spans="1:9">
      <c r="A551" s="209"/>
      <c r="I551" s="209"/>
    </row>
    <row r="552" spans="1:9">
      <c r="A552" s="209"/>
      <c r="I552" s="209"/>
    </row>
    <row r="553" spans="1:9">
      <c r="A553" s="209"/>
      <c r="I553" s="209"/>
    </row>
    <row r="554" spans="1:9">
      <c r="A554" s="209"/>
      <c r="I554" s="209"/>
    </row>
    <row r="555" spans="1:9">
      <c r="A555" s="209"/>
      <c r="I555" s="209"/>
    </row>
    <row r="556" spans="1:9">
      <c r="A556" s="209"/>
      <c r="I556" s="209"/>
    </row>
    <row r="557" spans="1:9">
      <c r="A557" s="209"/>
      <c r="I557" s="209"/>
    </row>
    <row r="558" spans="1:9">
      <c r="A558" s="209"/>
      <c r="I558" s="209"/>
    </row>
    <row r="559" spans="1:9">
      <c r="A559" s="209"/>
      <c r="I559" s="209"/>
    </row>
    <row r="560" spans="1:9">
      <c r="A560" s="209"/>
      <c r="I560" s="209"/>
    </row>
    <row r="561" spans="1:9">
      <c r="A561" s="209"/>
      <c r="I561" s="209"/>
    </row>
    <row r="562" spans="1:9">
      <c r="A562" s="209"/>
      <c r="I562" s="209"/>
    </row>
    <row r="563" spans="1:9">
      <c r="A563" s="209"/>
      <c r="I563" s="209"/>
    </row>
    <row r="564" spans="1:9">
      <c r="A564" s="209"/>
      <c r="I564" s="209"/>
    </row>
    <row r="565" spans="1:9">
      <c r="A565" s="209"/>
      <c r="I565" s="209"/>
    </row>
    <row r="566" spans="1:9">
      <c r="A566" s="209"/>
      <c r="I566" s="209"/>
    </row>
    <row r="567" spans="1:9">
      <c r="A567" s="209"/>
      <c r="I567" s="209"/>
    </row>
    <row r="568" spans="1:9">
      <c r="A568" s="209"/>
      <c r="I568" s="209"/>
    </row>
    <row r="569" spans="1:9">
      <c r="A569" s="209"/>
      <c r="I569" s="209"/>
    </row>
    <row r="570" spans="1:9">
      <c r="A570" s="209"/>
      <c r="I570" s="209"/>
    </row>
    <row r="571" spans="1:9">
      <c r="A571" s="209"/>
      <c r="I571" s="209"/>
    </row>
    <row r="572" spans="1:9">
      <c r="A572" s="209"/>
      <c r="I572" s="209"/>
    </row>
    <row r="573" spans="1:9">
      <c r="A573" s="209"/>
      <c r="I573" s="209"/>
    </row>
    <row r="574" spans="1:9">
      <c r="A574" s="209"/>
      <c r="I574" s="209"/>
    </row>
    <row r="575" spans="1:9">
      <c r="A575" s="209"/>
      <c r="I575" s="209"/>
    </row>
    <row r="576" spans="1:9">
      <c r="A576" s="209"/>
      <c r="I576" s="209"/>
    </row>
    <row r="577" spans="1:9">
      <c r="A577" s="209"/>
      <c r="I577" s="209"/>
    </row>
    <row r="578" spans="1:9">
      <c r="A578" s="209"/>
      <c r="I578" s="209"/>
    </row>
    <row r="579" spans="1:9">
      <c r="A579" s="209"/>
      <c r="I579" s="209"/>
    </row>
    <row r="580" spans="1:9">
      <c r="A580" s="209"/>
      <c r="I580" s="209"/>
    </row>
    <row r="581" spans="1:9">
      <c r="A581" s="209"/>
      <c r="I581" s="209"/>
    </row>
    <row r="582" spans="1:9">
      <c r="A582" s="209"/>
      <c r="I582" s="209"/>
    </row>
    <row r="583" spans="1:9">
      <c r="A583" s="209"/>
      <c r="I583" s="209"/>
    </row>
    <row r="584" spans="1:9">
      <c r="A584" s="209"/>
      <c r="I584" s="209"/>
    </row>
    <row r="585" spans="1:9">
      <c r="A585" s="209"/>
      <c r="I585" s="209"/>
    </row>
    <row r="586" spans="1:9">
      <c r="A586" s="209"/>
      <c r="I586" s="209"/>
    </row>
    <row r="587" spans="1:9">
      <c r="A587" s="209"/>
      <c r="I587" s="209"/>
    </row>
    <row r="588" spans="1:9">
      <c r="A588" s="209"/>
      <c r="I588" s="209"/>
    </row>
    <row r="589" spans="1:9">
      <c r="A589" s="209"/>
      <c r="I589" s="209"/>
    </row>
    <row r="590" spans="1:9">
      <c r="A590" s="209"/>
      <c r="I590" s="209"/>
    </row>
    <row r="591" spans="1:9">
      <c r="A591" s="209"/>
      <c r="I591" s="209"/>
    </row>
    <row r="592" spans="1:9">
      <c r="A592" s="209"/>
      <c r="I592" s="209"/>
    </row>
    <row r="593" spans="1:9">
      <c r="A593" s="209"/>
      <c r="I593" s="209"/>
    </row>
    <row r="594" spans="1:9">
      <c r="A594" s="209"/>
      <c r="I594" s="209"/>
    </row>
    <row r="595" spans="1:9">
      <c r="A595" s="209"/>
      <c r="I595" s="209"/>
    </row>
    <row r="596" spans="1:9">
      <c r="A596" s="209"/>
      <c r="I596" s="209"/>
    </row>
    <row r="597" spans="1:9">
      <c r="A597" s="209"/>
      <c r="I597" s="209"/>
    </row>
    <row r="598" spans="1:9">
      <c r="A598" s="209"/>
      <c r="I598" s="209"/>
    </row>
    <row r="599" spans="1:9">
      <c r="A599" s="209"/>
      <c r="I599" s="209"/>
    </row>
    <row r="600" spans="1:9">
      <c r="A600" s="209"/>
      <c r="I600" s="209"/>
    </row>
    <row r="601" spans="1:9">
      <c r="A601" s="209"/>
      <c r="I601" s="209"/>
    </row>
    <row r="602" spans="1:9">
      <c r="A602" s="209"/>
      <c r="I602" s="209"/>
    </row>
    <row r="603" spans="1:9">
      <c r="A603" s="209"/>
      <c r="I603" s="209"/>
    </row>
    <row r="604" spans="1:9">
      <c r="A604" s="209"/>
      <c r="I604" s="209"/>
    </row>
    <row r="605" spans="1:9">
      <c r="A605" s="209"/>
      <c r="I605" s="209"/>
    </row>
    <row r="606" spans="1:9">
      <c r="A606" s="209"/>
      <c r="I606" s="209"/>
    </row>
    <row r="607" spans="1:9">
      <c r="A607" s="209"/>
      <c r="I607" s="209"/>
    </row>
    <row r="608" spans="1:9">
      <c r="A608" s="209"/>
      <c r="I608" s="209"/>
    </row>
    <row r="609" spans="1:9">
      <c r="A609" s="209"/>
      <c r="I609" s="209"/>
    </row>
    <row r="610" spans="1:9">
      <c r="A610" s="209"/>
      <c r="I610" s="209"/>
    </row>
    <row r="611" spans="1:9">
      <c r="A611" s="209"/>
      <c r="I611" s="209"/>
    </row>
    <row r="612" spans="1:9">
      <c r="A612" s="209"/>
      <c r="I612" s="209"/>
    </row>
    <row r="613" spans="1:9">
      <c r="A613" s="209"/>
      <c r="I613" s="209"/>
    </row>
    <row r="614" spans="1:9">
      <c r="A614" s="209"/>
      <c r="I614" s="209"/>
    </row>
    <row r="615" spans="1:9">
      <c r="A615" s="209"/>
      <c r="I615" s="209"/>
    </row>
    <row r="616" spans="1:9">
      <c r="A616" s="209"/>
      <c r="I616" s="209"/>
    </row>
    <row r="617" spans="1:9">
      <c r="A617" s="209"/>
      <c r="I617" s="209"/>
    </row>
    <row r="618" spans="1:9">
      <c r="A618" s="209"/>
      <c r="I618" s="209"/>
    </row>
    <row r="619" spans="1:9">
      <c r="A619" s="209"/>
      <c r="I619" s="209"/>
    </row>
    <row r="620" spans="1:9">
      <c r="A620" s="209"/>
      <c r="I620" s="209"/>
    </row>
    <row r="621" spans="1:9">
      <c r="A621" s="209"/>
      <c r="I621" s="209"/>
    </row>
    <row r="622" spans="1:9">
      <c r="A622" s="209"/>
      <c r="I622" s="209"/>
    </row>
    <row r="623" spans="1:9">
      <c r="A623" s="209"/>
      <c r="I623" s="209"/>
    </row>
    <row r="624" spans="1:9">
      <c r="A624" s="209"/>
      <c r="I624" s="209"/>
    </row>
    <row r="625" spans="1:9">
      <c r="A625" s="209"/>
      <c r="I625" s="209"/>
    </row>
    <row r="626" spans="1:9">
      <c r="A626" s="209"/>
      <c r="I626" s="209"/>
    </row>
    <row r="627" spans="1:9">
      <c r="A627" s="209"/>
      <c r="I627" s="209"/>
    </row>
    <row r="628" spans="1:9">
      <c r="A628" s="209"/>
      <c r="I628" s="209"/>
    </row>
    <row r="629" spans="1:9">
      <c r="A629" s="209"/>
      <c r="I629" s="209"/>
    </row>
    <row r="630" spans="1:9">
      <c r="A630" s="209"/>
      <c r="I630" s="209"/>
    </row>
    <row r="631" spans="1:9">
      <c r="A631" s="209"/>
      <c r="I631" s="209"/>
    </row>
    <row r="632" spans="1:9">
      <c r="A632" s="209"/>
      <c r="I632" s="209"/>
    </row>
    <row r="633" spans="1:9">
      <c r="A633" s="209"/>
      <c r="I633" s="209"/>
    </row>
    <row r="634" spans="1:9">
      <c r="A634" s="209"/>
      <c r="I634" s="209"/>
    </row>
    <row r="635" spans="1:9">
      <c r="A635" s="209"/>
      <c r="I635" s="209"/>
    </row>
    <row r="636" spans="1:9">
      <c r="A636" s="209"/>
      <c r="I636" s="209"/>
    </row>
    <row r="637" spans="1:9">
      <c r="A637" s="209"/>
      <c r="I637" s="209"/>
    </row>
    <row r="638" spans="1:9">
      <c r="A638" s="209"/>
      <c r="I638" s="209"/>
    </row>
    <row r="639" spans="1:9">
      <c r="A639" s="209"/>
      <c r="I639" s="209"/>
    </row>
    <row r="640" spans="1:9">
      <c r="A640" s="209"/>
      <c r="I640" s="209"/>
    </row>
    <row r="641" spans="1:9">
      <c r="A641" s="209"/>
      <c r="I641" s="209"/>
    </row>
    <row r="642" spans="1:9">
      <c r="A642" s="209"/>
      <c r="I642" s="209"/>
    </row>
    <row r="643" spans="1:9">
      <c r="A643" s="209"/>
      <c r="I643" s="209"/>
    </row>
    <row r="644" spans="1:9">
      <c r="A644" s="209"/>
      <c r="I644" s="209"/>
    </row>
    <row r="645" spans="1:9">
      <c r="A645" s="209"/>
      <c r="I645" s="209"/>
    </row>
    <row r="646" spans="1:9">
      <c r="A646" s="209"/>
      <c r="I646" s="209"/>
    </row>
    <row r="647" spans="1:9">
      <c r="A647" s="209"/>
      <c r="I647" s="209"/>
    </row>
    <row r="648" spans="1:9">
      <c r="A648" s="209"/>
      <c r="I648" s="209"/>
    </row>
    <row r="649" spans="1:9">
      <c r="A649" s="209"/>
      <c r="I649" s="209"/>
    </row>
    <row r="650" spans="1:9">
      <c r="A650" s="209"/>
      <c r="I650" s="209"/>
    </row>
    <row r="651" spans="1:9">
      <c r="A651" s="209"/>
      <c r="I651" s="209"/>
    </row>
    <row r="652" spans="1:9">
      <c r="A652" s="209"/>
      <c r="I652" s="209"/>
    </row>
    <row r="653" spans="1:9">
      <c r="A653" s="209"/>
      <c r="I653" s="209"/>
    </row>
    <row r="654" spans="1:9">
      <c r="A654" s="209"/>
      <c r="I654" s="209"/>
    </row>
    <row r="655" spans="1:9">
      <c r="A655" s="209"/>
      <c r="I655" s="209"/>
    </row>
    <row r="656" spans="1:9">
      <c r="A656" s="209"/>
      <c r="I656" s="209"/>
    </row>
    <row r="657" spans="1:9">
      <c r="A657" s="209"/>
      <c r="I657" s="209"/>
    </row>
    <row r="658" spans="1:9">
      <c r="A658" s="209"/>
      <c r="I658" s="209"/>
    </row>
    <row r="659" spans="1:9">
      <c r="A659" s="209"/>
      <c r="I659" s="209"/>
    </row>
    <row r="660" spans="1:9">
      <c r="A660" s="209"/>
      <c r="I660" s="209"/>
    </row>
    <row r="661" spans="1:9">
      <c r="A661" s="209"/>
      <c r="I661" s="209"/>
    </row>
    <row r="662" spans="1:9">
      <c r="A662" s="209"/>
      <c r="I662" s="209"/>
    </row>
    <row r="663" spans="1:9">
      <c r="A663" s="209"/>
      <c r="I663" s="209"/>
    </row>
    <row r="664" spans="1:9">
      <c r="A664" s="209"/>
      <c r="I664" s="209"/>
    </row>
    <row r="665" spans="1:9">
      <c r="A665" s="209"/>
      <c r="I665" s="209"/>
    </row>
    <row r="666" spans="1:9">
      <c r="A666" s="209"/>
      <c r="I666" s="209"/>
    </row>
    <row r="667" spans="1:9">
      <c r="A667" s="209"/>
      <c r="I667" s="209"/>
    </row>
    <row r="668" spans="1:9">
      <c r="A668" s="209"/>
      <c r="I668" s="209"/>
    </row>
    <row r="669" spans="1:9">
      <c r="A669" s="209"/>
      <c r="I669" s="209"/>
    </row>
    <row r="670" spans="1:9">
      <c r="A670" s="209"/>
      <c r="I670" s="209"/>
    </row>
    <row r="671" spans="1:9">
      <c r="A671" s="209"/>
      <c r="I671" s="209"/>
    </row>
    <row r="672" spans="1:9">
      <c r="A672" s="209"/>
      <c r="I672" s="209"/>
    </row>
    <row r="673" spans="1:9">
      <c r="A673" s="209"/>
      <c r="I673" s="209"/>
    </row>
    <row r="674" spans="1:9">
      <c r="A674" s="209"/>
      <c r="I674" s="209"/>
    </row>
    <row r="675" spans="1:9">
      <c r="A675" s="209"/>
      <c r="I675" s="209"/>
    </row>
    <row r="676" spans="1:9">
      <c r="A676" s="209"/>
      <c r="I676" s="209"/>
    </row>
    <row r="677" spans="1:9">
      <c r="A677" s="209"/>
      <c r="I677" s="209"/>
    </row>
    <row r="678" spans="1:9">
      <c r="A678" s="209"/>
      <c r="I678" s="209"/>
    </row>
    <row r="679" spans="1:9">
      <c r="A679" s="209"/>
      <c r="I679" s="209"/>
    </row>
    <row r="680" spans="1:9">
      <c r="A680" s="209"/>
      <c r="I680" s="209"/>
    </row>
    <row r="681" spans="1:9">
      <c r="A681" s="209"/>
      <c r="I681" s="209"/>
    </row>
    <row r="682" spans="1:9">
      <c r="A682" s="209"/>
      <c r="I682" s="209"/>
    </row>
    <row r="683" spans="1:9">
      <c r="A683" s="209"/>
      <c r="I683" s="209"/>
    </row>
    <row r="684" spans="1:9">
      <c r="A684" s="209"/>
      <c r="I684" s="209"/>
    </row>
    <row r="685" spans="1:9">
      <c r="A685" s="209"/>
      <c r="I685" s="209"/>
    </row>
    <row r="686" spans="1:9">
      <c r="A686" s="209"/>
      <c r="I686" s="209"/>
    </row>
    <row r="687" spans="1:9">
      <c r="A687" s="209"/>
      <c r="I687" s="209"/>
    </row>
    <row r="688" spans="1:9">
      <c r="A688" s="209"/>
      <c r="I688" s="209"/>
    </row>
    <row r="689" spans="1:9">
      <c r="A689" s="209"/>
      <c r="I689" s="209"/>
    </row>
    <row r="690" spans="1:9">
      <c r="A690" s="209"/>
      <c r="I690" s="209"/>
    </row>
    <row r="691" spans="1:9">
      <c r="A691" s="209"/>
      <c r="I691" s="209"/>
    </row>
    <row r="692" spans="1:9">
      <c r="A692" s="209"/>
      <c r="I692" s="209"/>
    </row>
    <row r="693" spans="1:9">
      <c r="A693" s="209"/>
      <c r="I693" s="209"/>
    </row>
    <row r="694" spans="1:9">
      <c r="A694" s="209"/>
      <c r="I694" s="209"/>
    </row>
    <row r="695" spans="1:9">
      <c r="A695" s="209"/>
    </row>
    <row r="696" spans="1:9">
      <c r="A696" s="209"/>
    </row>
    <row r="697" spans="1:9">
      <c r="A697" s="209"/>
    </row>
    <row r="698" spans="1:9">
      <c r="A698" s="209"/>
    </row>
    <row r="699" spans="1:9">
      <c r="A699" s="209"/>
    </row>
    <row r="700" spans="1:9">
      <c r="A700" s="209"/>
    </row>
    <row r="701" spans="1:9">
      <c r="A701" s="209"/>
    </row>
    <row r="702" spans="1:9">
      <c r="I702" s="209"/>
    </row>
  </sheetData>
  <mergeCells count="14">
    <mergeCell ref="F19:F20"/>
    <mergeCell ref="A19:A20"/>
    <mergeCell ref="B19:B20"/>
    <mergeCell ref="C19:C20"/>
    <mergeCell ref="D19:D20"/>
    <mergeCell ref="E19:E20"/>
    <mergeCell ref="Y19:AA19"/>
    <mergeCell ref="AB19:AD19"/>
    <mergeCell ref="G19:I19"/>
    <mergeCell ref="J19:L19"/>
    <mergeCell ref="M19:O19"/>
    <mergeCell ref="P19:R19"/>
    <mergeCell ref="S19:U19"/>
    <mergeCell ref="V19:X19"/>
  </mergeCells>
  <conditionalFormatting sqref="A21:A1048576">
    <cfRule type="duplicateValues" dxfId="341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663C5-D31B-452B-8410-FE9FF80AEB1B}">
  <sheetPr filterMode="1"/>
  <dimension ref="A1:N1094"/>
  <sheetViews>
    <sheetView zoomScale="85" zoomScaleNormal="85" workbookViewId="0">
      <pane ySplit="1" topLeftCell="A2" activePane="bottomLeft" state="frozen"/>
      <selection pane="bottomLeft" activeCell="G945" sqref="G945"/>
    </sheetView>
  </sheetViews>
  <sheetFormatPr defaultRowHeight="15"/>
  <cols>
    <col min="1" max="1" width="21.42578125" customWidth="1"/>
    <col min="2" max="2" width="28.7109375" customWidth="1"/>
    <col min="3" max="3" width="28.140625" customWidth="1"/>
    <col min="4" max="4" width="22.140625" bestFit="1" customWidth="1"/>
    <col min="5" max="5" width="14" bestFit="1" customWidth="1"/>
    <col min="6" max="6" width="16" bestFit="1" customWidth="1"/>
    <col min="7" max="7" width="13.42578125" bestFit="1" customWidth="1"/>
    <col min="8" max="8" width="12" bestFit="1" customWidth="1"/>
    <col min="9" max="9" width="12.42578125" bestFit="1" customWidth="1"/>
    <col min="10" max="10" width="12" bestFit="1" customWidth="1"/>
    <col min="11" max="11" width="12.42578125" bestFit="1" customWidth="1"/>
  </cols>
  <sheetData>
    <row r="1" spans="1:14" s="216" customFormat="1" ht="33" customHeight="1">
      <c r="A1" s="213" t="s">
        <v>272</v>
      </c>
      <c r="B1" s="151" t="s">
        <v>377</v>
      </c>
      <c r="C1" s="214" t="s">
        <v>378</v>
      </c>
      <c r="D1" s="151" t="s">
        <v>379</v>
      </c>
      <c r="E1" s="151" t="s">
        <v>380</v>
      </c>
      <c r="F1" s="213" t="s">
        <v>381</v>
      </c>
      <c r="G1" s="213" t="s">
        <v>382</v>
      </c>
      <c r="H1" s="213" t="s">
        <v>383</v>
      </c>
      <c r="I1" s="213" t="s">
        <v>384</v>
      </c>
      <c r="J1" s="213" t="s">
        <v>385</v>
      </c>
      <c r="K1" s="213" t="s">
        <v>386</v>
      </c>
      <c r="L1" s="215"/>
      <c r="N1" s="217">
        <v>0</v>
      </c>
    </row>
    <row r="2" spans="1:14" hidden="1">
      <c r="A2" s="213">
        <v>12000103</v>
      </c>
      <c r="B2" s="151" t="s">
        <v>387</v>
      </c>
      <c r="C2" s="151" t="s">
        <v>388</v>
      </c>
      <c r="D2" s="151" t="s">
        <v>389</v>
      </c>
      <c r="E2" s="151" t="s">
        <v>390</v>
      </c>
      <c r="F2" s="213">
        <v>340</v>
      </c>
      <c r="G2" s="151">
        <v>29</v>
      </c>
      <c r="H2" s="151">
        <v>22</v>
      </c>
      <c r="I2" s="151">
        <v>638</v>
      </c>
      <c r="J2" s="151">
        <v>26</v>
      </c>
      <c r="K2" s="151">
        <v>754</v>
      </c>
      <c r="L2" s="151"/>
      <c r="M2" s="218"/>
      <c r="N2" s="219">
        <v>0.14749999999999999</v>
      </c>
    </row>
    <row r="3" spans="1:14" hidden="1">
      <c r="A3" s="213">
        <v>12000129</v>
      </c>
      <c r="B3" s="151" t="s">
        <v>391</v>
      </c>
      <c r="C3" s="151" t="s">
        <v>392</v>
      </c>
      <c r="D3" s="151" t="s">
        <v>389</v>
      </c>
      <c r="E3" s="151" t="s">
        <v>390</v>
      </c>
      <c r="F3" s="213">
        <v>340</v>
      </c>
      <c r="G3" s="151">
        <v>29</v>
      </c>
      <c r="H3" s="151">
        <v>22</v>
      </c>
      <c r="I3" s="151">
        <v>638</v>
      </c>
      <c r="J3" s="151">
        <v>26</v>
      </c>
      <c r="K3" s="151">
        <v>754</v>
      </c>
      <c r="L3" s="151"/>
      <c r="N3" s="217">
        <v>0.15</v>
      </c>
    </row>
    <row r="4" spans="1:14" hidden="1">
      <c r="A4" s="213">
        <v>12000162</v>
      </c>
      <c r="B4" s="151" t="s">
        <v>393</v>
      </c>
      <c r="C4" s="151" t="s">
        <v>388</v>
      </c>
      <c r="D4" s="151" t="s">
        <v>389</v>
      </c>
      <c r="E4" s="151" t="s">
        <v>390</v>
      </c>
      <c r="F4" s="213">
        <v>335</v>
      </c>
      <c r="G4" s="151">
        <v>29</v>
      </c>
      <c r="H4" s="151">
        <v>22</v>
      </c>
      <c r="I4" s="151">
        <v>638</v>
      </c>
      <c r="J4" s="151">
        <v>26</v>
      </c>
      <c r="K4" s="151">
        <v>754</v>
      </c>
      <c r="L4" s="151"/>
      <c r="N4" s="217">
        <v>0.18</v>
      </c>
    </row>
    <row r="5" spans="1:14" hidden="1">
      <c r="A5" s="213">
        <v>12000163</v>
      </c>
      <c r="B5" s="151" t="s">
        <v>394</v>
      </c>
      <c r="C5" s="220" t="s">
        <v>388</v>
      </c>
      <c r="D5" s="151" t="s">
        <v>389</v>
      </c>
      <c r="E5" s="151" t="s">
        <v>390</v>
      </c>
      <c r="F5" s="213">
        <v>340</v>
      </c>
      <c r="G5" s="151">
        <v>29</v>
      </c>
      <c r="H5" s="151">
        <v>22</v>
      </c>
      <c r="I5" s="151">
        <v>638</v>
      </c>
      <c r="J5" s="151">
        <v>26</v>
      </c>
      <c r="K5" s="151">
        <v>754</v>
      </c>
      <c r="L5" s="220" t="s">
        <v>395</v>
      </c>
      <c r="N5" s="217">
        <v>0.2</v>
      </c>
    </row>
    <row r="6" spans="1:14" hidden="1">
      <c r="A6" s="213">
        <v>12000173</v>
      </c>
      <c r="B6" s="151" t="s">
        <v>396</v>
      </c>
      <c r="C6" s="151" t="s">
        <v>388</v>
      </c>
      <c r="D6" s="151" t="s">
        <v>389</v>
      </c>
      <c r="E6" s="151" t="s">
        <v>390</v>
      </c>
      <c r="F6" s="213">
        <v>345</v>
      </c>
      <c r="G6" s="151">
        <v>29</v>
      </c>
      <c r="H6" s="151">
        <v>22</v>
      </c>
      <c r="I6" s="151">
        <v>638</v>
      </c>
      <c r="J6" s="151">
        <v>26</v>
      </c>
      <c r="K6" s="151">
        <v>754</v>
      </c>
      <c r="L6" s="151"/>
      <c r="N6" s="221">
        <v>0.25</v>
      </c>
    </row>
    <row r="7" spans="1:14" hidden="1">
      <c r="A7" s="213">
        <v>12000192</v>
      </c>
      <c r="B7" s="151" t="s">
        <v>397</v>
      </c>
      <c r="C7" s="151" t="s">
        <v>388</v>
      </c>
      <c r="D7" s="151" t="s">
        <v>389</v>
      </c>
      <c r="E7" s="151" t="s">
        <v>390</v>
      </c>
      <c r="F7" s="213">
        <v>345</v>
      </c>
      <c r="G7" s="151">
        <v>29</v>
      </c>
      <c r="H7" s="151">
        <v>22</v>
      </c>
      <c r="I7" s="151">
        <v>638</v>
      </c>
      <c r="J7" s="151">
        <v>26</v>
      </c>
      <c r="K7" s="151">
        <v>754</v>
      </c>
      <c r="L7" s="151"/>
      <c r="N7" s="221">
        <v>0.3</v>
      </c>
    </row>
    <row r="8" spans="1:14" hidden="1">
      <c r="A8" s="213">
        <v>12000193</v>
      </c>
      <c r="B8" s="151" t="s">
        <v>387</v>
      </c>
      <c r="C8" s="151" t="s">
        <v>388</v>
      </c>
      <c r="D8" s="151" t="s">
        <v>389</v>
      </c>
      <c r="E8" s="151" t="s">
        <v>390</v>
      </c>
      <c r="F8" s="213">
        <v>340</v>
      </c>
      <c r="G8" s="151">
        <v>29</v>
      </c>
      <c r="H8" s="151">
        <v>22</v>
      </c>
      <c r="I8" s="151">
        <v>638</v>
      </c>
      <c r="J8" s="151">
        <v>26</v>
      </c>
      <c r="K8" s="151">
        <v>754</v>
      </c>
      <c r="L8" s="151"/>
    </row>
    <row r="9" spans="1:14" hidden="1">
      <c r="A9" s="213">
        <v>12000196</v>
      </c>
      <c r="B9" s="151" t="s">
        <v>397</v>
      </c>
      <c r="C9" s="220" t="s">
        <v>388</v>
      </c>
      <c r="D9" s="151" t="s">
        <v>389</v>
      </c>
      <c r="E9" s="151" t="s">
        <v>390</v>
      </c>
      <c r="F9" s="213">
        <v>345</v>
      </c>
      <c r="G9" s="151">
        <v>29</v>
      </c>
      <c r="H9" s="151">
        <v>22</v>
      </c>
      <c r="I9" s="151">
        <v>638</v>
      </c>
      <c r="J9" s="151">
        <v>26</v>
      </c>
      <c r="K9" s="151">
        <v>754</v>
      </c>
      <c r="L9" s="220" t="s">
        <v>395</v>
      </c>
    </row>
    <row r="10" spans="1:14" hidden="1">
      <c r="A10" s="213">
        <v>12000361</v>
      </c>
      <c r="B10" s="151" t="s">
        <v>398</v>
      </c>
      <c r="C10" s="151" t="s">
        <v>388</v>
      </c>
      <c r="D10" s="151" t="s">
        <v>389</v>
      </c>
      <c r="E10" s="151" t="s">
        <v>390</v>
      </c>
      <c r="F10" s="213">
        <v>345</v>
      </c>
      <c r="G10" s="151">
        <v>29</v>
      </c>
      <c r="H10" s="151">
        <v>22</v>
      </c>
      <c r="I10" s="151">
        <v>638</v>
      </c>
      <c r="J10" s="151">
        <v>26</v>
      </c>
      <c r="K10" s="151">
        <v>754</v>
      </c>
      <c r="L10" s="151"/>
    </row>
    <row r="11" spans="1:14" hidden="1">
      <c r="A11" s="213">
        <v>12000364</v>
      </c>
      <c r="B11" s="151" t="s">
        <v>387</v>
      </c>
      <c r="C11" s="151" t="s">
        <v>388</v>
      </c>
      <c r="D11" s="151" t="s">
        <v>389</v>
      </c>
      <c r="E11" s="151" t="s">
        <v>390</v>
      </c>
      <c r="F11" s="213">
        <v>340</v>
      </c>
      <c r="G11" s="151">
        <v>29</v>
      </c>
      <c r="H11" s="151">
        <v>22</v>
      </c>
      <c r="I11" s="151">
        <v>638</v>
      </c>
      <c r="J11" s="151">
        <v>26</v>
      </c>
      <c r="K11" s="151">
        <v>754</v>
      </c>
      <c r="L11" s="151"/>
    </row>
    <row r="12" spans="1:14" hidden="1">
      <c r="A12" s="213">
        <v>12000365</v>
      </c>
      <c r="B12" s="151" t="s">
        <v>397</v>
      </c>
      <c r="C12" s="151" t="s">
        <v>388</v>
      </c>
      <c r="D12" s="151" t="s">
        <v>389</v>
      </c>
      <c r="E12" s="151" t="s">
        <v>390</v>
      </c>
      <c r="F12" s="213">
        <v>345</v>
      </c>
      <c r="G12" s="151">
        <v>29</v>
      </c>
      <c r="H12" s="151">
        <v>22</v>
      </c>
      <c r="I12" s="151">
        <v>638</v>
      </c>
      <c r="J12" s="151">
        <v>26</v>
      </c>
      <c r="K12" s="151">
        <v>754</v>
      </c>
      <c r="L12" s="151"/>
    </row>
    <row r="13" spans="1:14" hidden="1">
      <c r="A13" s="213">
        <v>12000411</v>
      </c>
      <c r="B13" s="151" t="s">
        <v>399</v>
      </c>
      <c r="C13" s="151" t="s">
        <v>388</v>
      </c>
      <c r="D13" s="151" t="s">
        <v>389</v>
      </c>
      <c r="E13" s="151" t="s">
        <v>390</v>
      </c>
      <c r="F13" s="213">
        <v>345</v>
      </c>
      <c r="G13" s="151">
        <v>29</v>
      </c>
      <c r="H13" s="151">
        <v>22</v>
      </c>
      <c r="I13" s="151">
        <v>638</v>
      </c>
      <c r="J13" s="151">
        <v>26</v>
      </c>
      <c r="K13" s="151">
        <v>754</v>
      </c>
      <c r="L13" s="151"/>
    </row>
    <row r="14" spans="1:14" hidden="1">
      <c r="A14" s="213">
        <v>12000623</v>
      </c>
      <c r="B14" s="151" t="s">
        <v>387</v>
      </c>
      <c r="C14" s="151" t="s">
        <v>388</v>
      </c>
      <c r="D14" s="151" t="s">
        <v>389</v>
      </c>
      <c r="E14" s="151" t="s">
        <v>390</v>
      </c>
      <c r="F14" s="213">
        <v>340</v>
      </c>
      <c r="G14" s="151">
        <v>29</v>
      </c>
      <c r="H14" s="151">
        <v>22</v>
      </c>
      <c r="I14" s="151">
        <v>638</v>
      </c>
      <c r="J14" s="151">
        <v>26</v>
      </c>
      <c r="K14" s="151">
        <v>754</v>
      </c>
      <c r="L14" s="151"/>
    </row>
    <row r="15" spans="1:14" hidden="1">
      <c r="A15" s="213">
        <v>12000624</v>
      </c>
      <c r="B15" s="151" t="s">
        <v>397</v>
      </c>
      <c r="C15" s="151" t="s">
        <v>388</v>
      </c>
      <c r="D15" s="151" t="s">
        <v>389</v>
      </c>
      <c r="E15" s="151" t="s">
        <v>390</v>
      </c>
      <c r="F15" s="213">
        <v>345</v>
      </c>
      <c r="G15" s="151">
        <v>29</v>
      </c>
      <c r="H15" s="151">
        <v>22</v>
      </c>
      <c r="I15" s="151">
        <v>638</v>
      </c>
      <c r="J15" s="151">
        <v>26</v>
      </c>
      <c r="K15" s="151">
        <v>754</v>
      </c>
      <c r="L15" s="151"/>
    </row>
    <row r="16" spans="1:14" hidden="1">
      <c r="A16" s="213">
        <v>12000631</v>
      </c>
      <c r="B16" s="151" t="s">
        <v>387</v>
      </c>
      <c r="C16" s="151" t="s">
        <v>388</v>
      </c>
      <c r="D16" s="151" t="s">
        <v>389</v>
      </c>
      <c r="E16" s="151" t="s">
        <v>390</v>
      </c>
      <c r="F16" s="213">
        <v>340</v>
      </c>
      <c r="G16" s="151">
        <v>29</v>
      </c>
      <c r="H16" s="151">
        <v>22</v>
      </c>
      <c r="I16" s="151">
        <v>638</v>
      </c>
      <c r="J16" s="151">
        <v>26</v>
      </c>
      <c r="K16" s="151">
        <v>754</v>
      </c>
      <c r="L16" s="151"/>
    </row>
    <row r="17" spans="1:12" hidden="1">
      <c r="A17" s="213">
        <v>12000632</v>
      </c>
      <c r="B17" s="151" t="s">
        <v>397</v>
      </c>
      <c r="C17" s="151" t="s">
        <v>388</v>
      </c>
      <c r="D17" s="151" t="s">
        <v>389</v>
      </c>
      <c r="E17" s="151" t="s">
        <v>390</v>
      </c>
      <c r="F17" s="213">
        <v>345</v>
      </c>
      <c r="G17" s="151">
        <v>29</v>
      </c>
      <c r="H17" s="151">
        <v>22</v>
      </c>
      <c r="I17" s="151">
        <v>638</v>
      </c>
      <c r="J17" s="151">
        <v>26</v>
      </c>
      <c r="K17" s="151">
        <v>754</v>
      </c>
      <c r="L17" s="151"/>
    </row>
    <row r="18" spans="1:12" hidden="1">
      <c r="A18" s="213">
        <v>12000670</v>
      </c>
      <c r="B18" s="151" t="s">
        <v>387</v>
      </c>
      <c r="C18" s="151" t="s">
        <v>388</v>
      </c>
      <c r="D18" s="151" t="s">
        <v>389</v>
      </c>
      <c r="E18" s="151" t="s">
        <v>390</v>
      </c>
      <c r="F18" s="213">
        <v>340</v>
      </c>
      <c r="G18" s="151">
        <v>29</v>
      </c>
      <c r="H18" s="151">
        <v>22</v>
      </c>
      <c r="I18" s="151">
        <v>638</v>
      </c>
      <c r="J18" s="151">
        <v>26</v>
      </c>
      <c r="K18" s="151">
        <v>754</v>
      </c>
      <c r="L18" s="151"/>
    </row>
    <row r="19" spans="1:12" hidden="1">
      <c r="A19" s="213">
        <v>12000671</v>
      </c>
      <c r="B19" s="151" t="s">
        <v>397</v>
      </c>
      <c r="C19" s="151" t="s">
        <v>388</v>
      </c>
      <c r="D19" s="151" t="s">
        <v>389</v>
      </c>
      <c r="E19" s="151" t="s">
        <v>390</v>
      </c>
      <c r="F19" s="213">
        <v>345</v>
      </c>
      <c r="G19" s="151">
        <v>29</v>
      </c>
      <c r="H19" s="151">
        <v>22</v>
      </c>
      <c r="I19" s="151">
        <v>638</v>
      </c>
      <c r="J19" s="151">
        <v>26</v>
      </c>
      <c r="K19" s="151">
        <v>754</v>
      </c>
      <c r="L19" s="151"/>
    </row>
    <row r="20" spans="1:12" hidden="1">
      <c r="A20" s="213">
        <v>12000808</v>
      </c>
      <c r="B20" s="151" t="s">
        <v>400</v>
      </c>
      <c r="C20" s="151" t="s">
        <v>401</v>
      </c>
      <c r="D20" s="151" t="s">
        <v>402</v>
      </c>
      <c r="E20" s="151" t="s">
        <v>390</v>
      </c>
      <c r="F20" s="213">
        <v>285</v>
      </c>
      <c r="G20" s="151">
        <v>32</v>
      </c>
      <c r="H20" s="151">
        <v>26</v>
      </c>
      <c r="I20" s="151">
        <v>832</v>
      </c>
      <c r="J20" s="151">
        <v>30</v>
      </c>
      <c r="K20" s="151">
        <v>960</v>
      </c>
      <c r="L20" s="151"/>
    </row>
    <row r="21" spans="1:12" hidden="1">
      <c r="A21" s="213">
        <v>12001226</v>
      </c>
      <c r="B21" s="151" t="s">
        <v>403</v>
      </c>
      <c r="C21" s="151" t="s">
        <v>388</v>
      </c>
      <c r="D21" s="151" t="s">
        <v>389</v>
      </c>
      <c r="E21" s="151" t="s">
        <v>390</v>
      </c>
      <c r="F21" s="213">
        <v>350</v>
      </c>
      <c r="G21" s="151">
        <v>29</v>
      </c>
      <c r="H21" s="151">
        <v>22</v>
      </c>
      <c r="I21" s="151">
        <v>638</v>
      </c>
      <c r="J21" s="151">
        <v>26</v>
      </c>
      <c r="K21" s="151">
        <v>754</v>
      </c>
      <c r="L21" s="151"/>
    </row>
    <row r="22" spans="1:12" hidden="1">
      <c r="A22" s="213">
        <v>12001227</v>
      </c>
      <c r="B22" s="151" t="s">
        <v>404</v>
      </c>
      <c r="C22" s="151" t="s">
        <v>388</v>
      </c>
      <c r="D22" s="151" t="s">
        <v>389</v>
      </c>
      <c r="E22" s="151" t="s">
        <v>390</v>
      </c>
      <c r="F22" s="213">
        <v>345</v>
      </c>
      <c r="G22" s="151">
        <v>29</v>
      </c>
      <c r="H22" s="151">
        <v>22</v>
      </c>
      <c r="I22" s="151">
        <v>638</v>
      </c>
      <c r="J22" s="151">
        <v>26</v>
      </c>
      <c r="K22" s="151">
        <v>754</v>
      </c>
      <c r="L22" s="151"/>
    </row>
    <row r="23" spans="1:12" hidden="1">
      <c r="A23" s="213">
        <v>12001333</v>
      </c>
      <c r="B23" s="151" t="s">
        <v>398</v>
      </c>
      <c r="C23" s="151" t="s">
        <v>388</v>
      </c>
      <c r="D23" s="151" t="s">
        <v>389</v>
      </c>
      <c r="E23" s="151" t="s">
        <v>390</v>
      </c>
      <c r="F23" s="213">
        <v>345</v>
      </c>
      <c r="G23" s="151">
        <v>29</v>
      </c>
      <c r="H23" s="151">
        <v>22</v>
      </c>
      <c r="I23" s="151">
        <v>638</v>
      </c>
      <c r="J23" s="151">
        <v>26</v>
      </c>
      <c r="K23" s="151">
        <v>754</v>
      </c>
      <c r="L23" s="151"/>
    </row>
    <row r="24" spans="1:12" hidden="1">
      <c r="A24" s="213">
        <v>12001334</v>
      </c>
      <c r="B24" s="151" t="s">
        <v>405</v>
      </c>
      <c r="C24" s="151" t="s">
        <v>388</v>
      </c>
      <c r="D24" s="151" t="s">
        <v>389</v>
      </c>
      <c r="E24" s="151" t="s">
        <v>390</v>
      </c>
      <c r="F24" s="213">
        <v>340</v>
      </c>
      <c r="G24" s="151">
        <v>29</v>
      </c>
      <c r="H24" s="151">
        <v>22</v>
      </c>
      <c r="I24" s="151">
        <v>638</v>
      </c>
      <c r="J24" s="151">
        <v>26</v>
      </c>
      <c r="K24" s="151">
        <v>754</v>
      </c>
      <c r="L24" s="151"/>
    </row>
    <row r="25" spans="1:12" hidden="1">
      <c r="A25" s="213">
        <v>12001373</v>
      </c>
      <c r="B25" s="151" t="s">
        <v>406</v>
      </c>
      <c r="C25" s="151" t="s">
        <v>388</v>
      </c>
      <c r="D25" s="151" t="s">
        <v>389</v>
      </c>
      <c r="E25" s="151" t="s">
        <v>390</v>
      </c>
      <c r="F25" s="213">
        <v>345</v>
      </c>
      <c r="G25" s="151">
        <v>29</v>
      </c>
      <c r="H25" s="151">
        <v>22</v>
      </c>
      <c r="I25" s="151">
        <v>638</v>
      </c>
      <c r="J25" s="151">
        <v>26</v>
      </c>
      <c r="K25" s="151">
        <v>754</v>
      </c>
      <c r="L25" s="151"/>
    </row>
    <row r="26" spans="1:12" hidden="1">
      <c r="A26" s="213">
        <v>12001374</v>
      </c>
      <c r="B26" s="151" t="s">
        <v>406</v>
      </c>
      <c r="C26" s="151" t="s">
        <v>388</v>
      </c>
      <c r="D26" s="151" t="s">
        <v>389</v>
      </c>
      <c r="E26" s="151" t="s">
        <v>390</v>
      </c>
      <c r="F26" s="213">
        <v>345</v>
      </c>
      <c r="G26" s="151">
        <v>29</v>
      </c>
      <c r="H26" s="151">
        <v>22</v>
      </c>
      <c r="I26" s="151">
        <v>638</v>
      </c>
      <c r="J26" s="151">
        <v>26</v>
      </c>
      <c r="K26" s="151">
        <v>754</v>
      </c>
      <c r="L26" s="151"/>
    </row>
    <row r="27" spans="1:12" hidden="1">
      <c r="A27" s="213">
        <v>12001375</v>
      </c>
      <c r="B27" s="151" t="s">
        <v>406</v>
      </c>
      <c r="C27" s="151" t="s">
        <v>388</v>
      </c>
      <c r="D27" s="151" t="s">
        <v>389</v>
      </c>
      <c r="E27" s="151" t="s">
        <v>390</v>
      </c>
      <c r="F27" s="213">
        <v>345</v>
      </c>
      <c r="G27" s="151">
        <v>29</v>
      </c>
      <c r="H27" s="151">
        <v>22</v>
      </c>
      <c r="I27" s="151">
        <v>638</v>
      </c>
      <c r="J27" s="151">
        <v>26</v>
      </c>
      <c r="K27" s="151">
        <v>754</v>
      </c>
      <c r="L27" s="151"/>
    </row>
    <row r="28" spans="1:12" hidden="1">
      <c r="A28" s="213">
        <v>12001434</v>
      </c>
      <c r="B28" s="151" t="s">
        <v>406</v>
      </c>
      <c r="C28" s="151" t="s">
        <v>388</v>
      </c>
      <c r="D28" s="151" t="s">
        <v>389</v>
      </c>
      <c r="E28" s="151" t="s">
        <v>390</v>
      </c>
      <c r="F28" s="213">
        <v>345</v>
      </c>
      <c r="G28" s="151">
        <v>29</v>
      </c>
      <c r="H28" s="151">
        <v>22</v>
      </c>
      <c r="I28" s="151">
        <v>638</v>
      </c>
      <c r="J28" s="151">
        <v>26</v>
      </c>
      <c r="K28" s="151">
        <v>754</v>
      </c>
      <c r="L28" s="151"/>
    </row>
    <row r="29" spans="1:12" hidden="1">
      <c r="A29" s="213">
        <v>12001507</v>
      </c>
      <c r="B29" s="151" t="s">
        <v>407</v>
      </c>
      <c r="C29" s="151" t="s">
        <v>388</v>
      </c>
      <c r="D29" s="151" t="s">
        <v>389</v>
      </c>
      <c r="E29" s="151" t="s">
        <v>390</v>
      </c>
      <c r="F29" s="213">
        <v>345</v>
      </c>
      <c r="G29" s="151">
        <v>29</v>
      </c>
      <c r="H29" s="151">
        <v>22</v>
      </c>
      <c r="I29" s="151">
        <v>638</v>
      </c>
      <c r="J29" s="151">
        <v>26</v>
      </c>
      <c r="K29" s="151">
        <v>754</v>
      </c>
      <c r="L29" s="151"/>
    </row>
    <row r="30" spans="1:12" hidden="1">
      <c r="A30" s="213">
        <v>12001820</v>
      </c>
      <c r="B30" s="151" t="s">
        <v>408</v>
      </c>
      <c r="C30" s="151" t="s">
        <v>401</v>
      </c>
      <c r="D30" s="151" t="s">
        <v>402</v>
      </c>
      <c r="E30" s="151" t="s">
        <v>390</v>
      </c>
      <c r="F30" s="213">
        <v>285</v>
      </c>
      <c r="G30" s="151">
        <v>32</v>
      </c>
      <c r="H30" s="151">
        <v>26</v>
      </c>
      <c r="I30" s="151">
        <v>832</v>
      </c>
      <c r="J30" s="151">
        <v>30</v>
      </c>
      <c r="K30" s="151">
        <v>960</v>
      </c>
      <c r="L30" s="151"/>
    </row>
    <row r="31" spans="1:12" hidden="1">
      <c r="A31" s="213">
        <v>12002138</v>
      </c>
      <c r="B31" s="151" t="s">
        <v>409</v>
      </c>
      <c r="C31" s="151" t="s">
        <v>410</v>
      </c>
      <c r="D31" s="151" t="s">
        <v>411</v>
      </c>
      <c r="E31" s="151" t="s">
        <v>412</v>
      </c>
      <c r="F31" s="213">
        <v>370</v>
      </c>
      <c r="G31" s="151">
        <v>29</v>
      </c>
      <c r="H31" s="151">
        <v>22</v>
      </c>
      <c r="I31" s="151">
        <v>638</v>
      </c>
      <c r="J31" s="151">
        <v>26</v>
      </c>
      <c r="K31" s="151">
        <v>754</v>
      </c>
      <c r="L31" s="151"/>
    </row>
    <row r="32" spans="1:12" hidden="1">
      <c r="A32" s="213">
        <v>12002139</v>
      </c>
      <c r="B32" s="151" t="s">
        <v>413</v>
      </c>
      <c r="C32" s="151" t="s">
        <v>410</v>
      </c>
      <c r="D32" s="151" t="s">
        <v>411</v>
      </c>
      <c r="E32" s="151" t="s">
        <v>412</v>
      </c>
      <c r="F32" s="213">
        <v>365</v>
      </c>
      <c r="G32" s="151">
        <v>29</v>
      </c>
      <c r="H32" s="151">
        <v>22</v>
      </c>
      <c r="I32" s="151">
        <v>638</v>
      </c>
      <c r="J32" s="151">
        <v>26</v>
      </c>
      <c r="K32" s="151">
        <v>754</v>
      </c>
      <c r="L32" s="151"/>
    </row>
    <row r="33" spans="1:12" hidden="1">
      <c r="A33" s="213">
        <v>12003546</v>
      </c>
      <c r="B33" s="151" t="s">
        <v>413</v>
      </c>
      <c r="C33" s="151" t="s">
        <v>410</v>
      </c>
      <c r="D33" s="151" t="s">
        <v>411</v>
      </c>
      <c r="E33" s="151" t="s">
        <v>412</v>
      </c>
      <c r="F33" s="213">
        <v>365</v>
      </c>
      <c r="G33" s="151">
        <v>29</v>
      </c>
      <c r="H33" s="151">
        <v>22</v>
      </c>
      <c r="I33" s="151">
        <v>638</v>
      </c>
      <c r="J33" s="151">
        <v>26</v>
      </c>
      <c r="K33" s="151">
        <v>754</v>
      </c>
      <c r="L33" s="151"/>
    </row>
    <row r="34" spans="1:12" hidden="1">
      <c r="A34" s="213">
        <v>12003547</v>
      </c>
      <c r="B34" s="151" t="s">
        <v>414</v>
      </c>
      <c r="C34" s="220" t="s">
        <v>410</v>
      </c>
      <c r="D34" s="151" t="s">
        <v>411</v>
      </c>
      <c r="E34" s="151" t="s">
        <v>412</v>
      </c>
      <c r="F34" s="213">
        <v>360</v>
      </c>
      <c r="G34" s="151">
        <v>29</v>
      </c>
      <c r="H34" s="151">
        <v>22</v>
      </c>
      <c r="I34" s="151">
        <v>638</v>
      </c>
      <c r="J34" s="151">
        <v>26</v>
      </c>
      <c r="K34" s="151">
        <v>754</v>
      </c>
      <c r="L34" s="220" t="s">
        <v>395</v>
      </c>
    </row>
    <row r="35" spans="1:12" hidden="1">
      <c r="A35" s="213">
        <v>12002141</v>
      </c>
      <c r="B35" s="151" t="s">
        <v>415</v>
      </c>
      <c r="C35" s="151" t="s">
        <v>410</v>
      </c>
      <c r="D35" s="151" t="s">
        <v>411</v>
      </c>
      <c r="E35" s="151" t="s">
        <v>412</v>
      </c>
      <c r="F35" s="213">
        <v>355</v>
      </c>
      <c r="G35" s="151">
        <v>29</v>
      </c>
      <c r="H35" s="151">
        <v>22</v>
      </c>
      <c r="I35" s="151">
        <v>638</v>
      </c>
      <c r="J35" s="151">
        <v>26</v>
      </c>
      <c r="K35" s="151">
        <v>754</v>
      </c>
      <c r="L35" s="151"/>
    </row>
    <row r="36" spans="1:12" hidden="1">
      <c r="A36" s="213">
        <v>12002197</v>
      </c>
      <c r="B36" s="151" t="s">
        <v>416</v>
      </c>
      <c r="C36" s="151" t="s">
        <v>410</v>
      </c>
      <c r="D36" s="151" t="s">
        <v>411</v>
      </c>
      <c r="E36" s="151" t="s">
        <v>412</v>
      </c>
      <c r="F36" s="213">
        <v>360</v>
      </c>
      <c r="G36" s="151">
        <v>29</v>
      </c>
      <c r="H36" s="151">
        <v>22</v>
      </c>
      <c r="I36" s="151">
        <v>638</v>
      </c>
      <c r="J36" s="151">
        <v>26</v>
      </c>
      <c r="K36" s="151">
        <v>754</v>
      </c>
      <c r="L36" s="151"/>
    </row>
    <row r="37" spans="1:12" hidden="1">
      <c r="A37" s="213">
        <v>30111007</v>
      </c>
      <c r="B37" s="151" t="s">
        <v>417</v>
      </c>
      <c r="C37" s="151" t="s">
        <v>418</v>
      </c>
      <c r="D37" s="151" t="s">
        <v>389</v>
      </c>
      <c r="E37" s="151" t="s">
        <v>390</v>
      </c>
      <c r="F37" s="213">
        <v>330</v>
      </c>
      <c r="G37" s="151">
        <v>29</v>
      </c>
      <c r="H37" s="151">
        <v>22</v>
      </c>
      <c r="I37" s="151">
        <v>638</v>
      </c>
      <c r="J37" s="151">
        <v>26</v>
      </c>
      <c r="K37" s="151">
        <v>754</v>
      </c>
      <c r="L37" s="151"/>
    </row>
    <row r="38" spans="1:12" hidden="1">
      <c r="A38" s="213">
        <v>30111008</v>
      </c>
      <c r="B38" s="151" t="s">
        <v>419</v>
      </c>
      <c r="C38" s="151" t="s">
        <v>418</v>
      </c>
      <c r="D38" s="151" t="s">
        <v>389</v>
      </c>
      <c r="E38" s="151" t="s">
        <v>390</v>
      </c>
      <c r="F38" s="213">
        <v>335</v>
      </c>
      <c r="G38" s="151">
        <v>29</v>
      </c>
      <c r="H38" s="151">
        <v>22</v>
      </c>
      <c r="I38" s="151">
        <v>638</v>
      </c>
      <c r="J38" s="151">
        <v>26</v>
      </c>
      <c r="K38" s="151">
        <v>754</v>
      </c>
      <c r="L38" s="151"/>
    </row>
    <row r="39" spans="1:12" hidden="1">
      <c r="A39" s="213">
        <v>30111205</v>
      </c>
      <c r="B39" s="151" t="s">
        <v>420</v>
      </c>
      <c r="C39" s="151" t="s">
        <v>418</v>
      </c>
      <c r="D39" s="151" t="s">
        <v>389</v>
      </c>
      <c r="E39" s="151" t="s">
        <v>390</v>
      </c>
      <c r="F39" s="213">
        <v>320</v>
      </c>
      <c r="G39" s="151">
        <v>29</v>
      </c>
      <c r="H39" s="151">
        <v>22</v>
      </c>
      <c r="I39" s="151">
        <v>638</v>
      </c>
      <c r="J39" s="151">
        <v>26</v>
      </c>
      <c r="K39" s="151">
        <v>754</v>
      </c>
      <c r="L39" s="151"/>
    </row>
    <row r="40" spans="1:12" hidden="1">
      <c r="A40" s="213">
        <v>30111206</v>
      </c>
      <c r="B40" s="151" t="s">
        <v>421</v>
      </c>
      <c r="C40" s="151" t="s">
        <v>392</v>
      </c>
      <c r="D40" s="151" t="s">
        <v>389</v>
      </c>
      <c r="E40" s="151" t="s">
        <v>390</v>
      </c>
      <c r="F40" s="213">
        <v>325</v>
      </c>
      <c r="G40" s="151">
        <v>29</v>
      </c>
      <c r="H40" s="151">
        <v>22</v>
      </c>
      <c r="I40" s="151">
        <v>638</v>
      </c>
      <c r="J40" s="151">
        <v>26</v>
      </c>
      <c r="K40" s="151">
        <v>754</v>
      </c>
      <c r="L40" s="151"/>
    </row>
    <row r="41" spans="1:12" hidden="1">
      <c r="A41" s="213">
        <v>30111305</v>
      </c>
      <c r="B41" s="151" t="s">
        <v>422</v>
      </c>
      <c r="C41" s="151" t="s">
        <v>388</v>
      </c>
      <c r="D41" s="151" t="s">
        <v>389</v>
      </c>
      <c r="E41" s="151" t="s">
        <v>390</v>
      </c>
      <c r="F41" s="213">
        <v>320</v>
      </c>
      <c r="G41" s="151">
        <v>29</v>
      </c>
      <c r="H41" s="151">
        <v>22</v>
      </c>
      <c r="I41" s="151">
        <v>638</v>
      </c>
      <c r="J41" s="151">
        <v>26</v>
      </c>
      <c r="K41" s="151">
        <v>754</v>
      </c>
      <c r="L41" s="151"/>
    </row>
    <row r="42" spans="1:12" hidden="1">
      <c r="A42" s="213">
        <v>30111306</v>
      </c>
      <c r="B42" s="151" t="s">
        <v>423</v>
      </c>
      <c r="C42" s="151" t="s">
        <v>388</v>
      </c>
      <c r="D42" s="151" t="s">
        <v>389</v>
      </c>
      <c r="E42" s="151" t="s">
        <v>390</v>
      </c>
      <c r="F42" s="213">
        <v>325</v>
      </c>
      <c r="G42" s="151">
        <v>29</v>
      </c>
      <c r="H42" s="151">
        <v>22</v>
      </c>
      <c r="I42" s="151">
        <v>638</v>
      </c>
      <c r="J42" s="151">
        <v>26</v>
      </c>
      <c r="K42" s="151">
        <v>754</v>
      </c>
      <c r="L42" s="151"/>
    </row>
    <row r="43" spans="1:12" hidden="1">
      <c r="A43" s="213">
        <v>30111307</v>
      </c>
      <c r="B43" s="151" t="s">
        <v>424</v>
      </c>
      <c r="C43" s="151" t="s">
        <v>388</v>
      </c>
      <c r="D43" s="151" t="s">
        <v>389</v>
      </c>
      <c r="E43" s="151" t="s">
        <v>390</v>
      </c>
      <c r="F43" s="213">
        <v>330</v>
      </c>
      <c r="G43" s="151">
        <v>29</v>
      </c>
      <c r="H43" s="151">
        <v>22</v>
      </c>
      <c r="I43" s="151">
        <v>638</v>
      </c>
      <c r="J43" s="151">
        <v>26</v>
      </c>
      <c r="K43" s="151">
        <v>754</v>
      </c>
      <c r="L43" s="151"/>
    </row>
    <row r="44" spans="1:12" hidden="1">
      <c r="A44" s="213">
        <v>30111308</v>
      </c>
      <c r="B44" s="151" t="s">
        <v>425</v>
      </c>
      <c r="C44" s="151" t="s">
        <v>388</v>
      </c>
      <c r="D44" s="151" t="s">
        <v>389</v>
      </c>
      <c r="E44" s="151" t="s">
        <v>390</v>
      </c>
      <c r="F44" s="213">
        <v>335</v>
      </c>
      <c r="G44" s="151">
        <v>29</v>
      </c>
      <c r="H44" s="151">
        <v>22</v>
      </c>
      <c r="I44" s="151">
        <v>638</v>
      </c>
      <c r="J44" s="151">
        <v>26</v>
      </c>
      <c r="K44" s="151">
        <v>754</v>
      </c>
      <c r="L44" s="151"/>
    </row>
    <row r="45" spans="1:12" hidden="1">
      <c r="A45" s="213">
        <v>30111309</v>
      </c>
      <c r="B45" s="151" t="s">
        <v>387</v>
      </c>
      <c r="C45" s="151" t="s">
        <v>388</v>
      </c>
      <c r="D45" s="151" t="s">
        <v>389</v>
      </c>
      <c r="E45" s="151" t="s">
        <v>390</v>
      </c>
      <c r="F45" s="213">
        <v>340</v>
      </c>
      <c r="G45" s="151">
        <v>29</v>
      </c>
      <c r="H45" s="151">
        <v>22</v>
      </c>
      <c r="I45" s="151">
        <v>638</v>
      </c>
      <c r="J45" s="151">
        <v>26</v>
      </c>
      <c r="K45" s="151">
        <v>754</v>
      </c>
      <c r="L45" s="151"/>
    </row>
    <row r="46" spans="1:12" hidden="1">
      <c r="A46" s="213">
        <v>30111310</v>
      </c>
      <c r="B46" s="151" t="s">
        <v>397</v>
      </c>
      <c r="C46" s="151" t="s">
        <v>388</v>
      </c>
      <c r="D46" s="151" t="s">
        <v>389</v>
      </c>
      <c r="E46" s="151" t="s">
        <v>390</v>
      </c>
      <c r="F46" s="213">
        <v>345</v>
      </c>
      <c r="G46" s="151">
        <v>29</v>
      </c>
      <c r="H46" s="151">
        <v>22</v>
      </c>
      <c r="I46" s="151">
        <v>638</v>
      </c>
      <c r="J46" s="151">
        <v>26</v>
      </c>
      <c r="K46" s="151">
        <v>754</v>
      </c>
      <c r="L46" s="151"/>
    </row>
    <row r="47" spans="1:12" hidden="1">
      <c r="A47" s="213">
        <v>30111406</v>
      </c>
      <c r="B47" s="151" t="s">
        <v>426</v>
      </c>
      <c r="C47" s="151" t="s">
        <v>388</v>
      </c>
      <c r="D47" s="151" t="s">
        <v>389</v>
      </c>
      <c r="E47" s="151" t="s">
        <v>390</v>
      </c>
      <c r="F47" s="213">
        <v>325</v>
      </c>
      <c r="G47" s="151">
        <v>29</v>
      </c>
      <c r="H47" s="151">
        <v>22</v>
      </c>
      <c r="I47" s="151">
        <v>638</v>
      </c>
      <c r="J47" s="151">
        <v>26</v>
      </c>
      <c r="K47" s="151">
        <v>754</v>
      </c>
      <c r="L47" s="151"/>
    </row>
    <row r="48" spans="1:12" hidden="1">
      <c r="A48" s="213">
        <v>30111407</v>
      </c>
      <c r="B48" s="151" t="s">
        <v>427</v>
      </c>
      <c r="C48" s="151" t="s">
        <v>388</v>
      </c>
      <c r="D48" s="151" t="s">
        <v>389</v>
      </c>
      <c r="E48" s="151" t="s">
        <v>390</v>
      </c>
      <c r="F48" s="213">
        <v>330</v>
      </c>
      <c r="G48" s="151">
        <v>29</v>
      </c>
      <c r="H48" s="151">
        <v>22</v>
      </c>
      <c r="I48" s="151">
        <v>638</v>
      </c>
      <c r="J48" s="151">
        <v>26</v>
      </c>
      <c r="K48" s="151">
        <v>754</v>
      </c>
      <c r="L48" s="151"/>
    </row>
    <row r="49" spans="1:12" hidden="1">
      <c r="A49" s="213">
        <v>30111408</v>
      </c>
      <c r="B49" s="151" t="s">
        <v>428</v>
      </c>
      <c r="C49" s="151" t="s">
        <v>388</v>
      </c>
      <c r="D49" s="151" t="s">
        <v>389</v>
      </c>
      <c r="E49" s="151" t="s">
        <v>390</v>
      </c>
      <c r="F49" s="213">
        <v>335</v>
      </c>
      <c r="G49" s="151">
        <v>29</v>
      </c>
      <c r="H49" s="151">
        <v>22</v>
      </c>
      <c r="I49" s="151">
        <v>638</v>
      </c>
      <c r="J49" s="151">
        <v>26</v>
      </c>
      <c r="K49" s="151">
        <v>754</v>
      </c>
      <c r="L49" s="151"/>
    </row>
    <row r="50" spans="1:12" hidden="1">
      <c r="A50" s="213">
        <v>30111409</v>
      </c>
      <c r="B50" s="151" t="s">
        <v>429</v>
      </c>
      <c r="C50" s="151" t="s">
        <v>388</v>
      </c>
      <c r="D50" s="151" t="s">
        <v>389</v>
      </c>
      <c r="E50" s="151" t="s">
        <v>390</v>
      </c>
      <c r="F50" s="213">
        <v>340</v>
      </c>
      <c r="G50" s="151">
        <v>29</v>
      </c>
      <c r="H50" s="151">
        <v>22</v>
      </c>
      <c r="I50" s="151">
        <v>638</v>
      </c>
      <c r="J50" s="151">
        <v>26</v>
      </c>
      <c r="K50" s="151">
        <v>754</v>
      </c>
      <c r="L50" s="151"/>
    </row>
    <row r="51" spans="1:12" hidden="1">
      <c r="A51" s="213">
        <v>30111506</v>
      </c>
      <c r="B51" s="151" t="s">
        <v>430</v>
      </c>
      <c r="C51" s="151" t="s">
        <v>388</v>
      </c>
      <c r="D51" s="151" t="s">
        <v>389</v>
      </c>
      <c r="E51" s="151" t="s">
        <v>390</v>
      </c>
      <c r="F51" s="213">
        <v>325</v>
      </c>
      <c r="G51" s="151">
        <v>29</v>
      </c>
      <c r="H51" s="151">
        <v>22</v>
      </c>
      <c r="I51" s="151">
        <v>638</v>
      </c>
      <c r="J51" s="151">
        <v>26</v>
      </c>
      <c r="K51" s="151">
        <v>754</v>
      </c>
      <c r="L51" s="151"/>
    </row>
    <row r="52" spans="1:12" hidden="1">
      <c r="A52" s="213">
        <v>30111507</v>
      </c>
      <c r="B52" s="151" t="s">
        <v>431</v>
      </c>
      <c r="C52" s="151" t="s">
        <v>388</v>
      </c>
      <c r="D52" s="151" t="s">
        <v>389</v>
      </c>
      <c r="E52" s="151" t="s">
        <v>390</v>
      </c>
      <c r="F52" s="213">
        <v>330</v>
      </c>
      <c r="G52" s="151">
        <v>29</v>
      </c>
      <c r="H52" s="151">
        <v>22</v>
      </c>
      <c r="I52" s="151">
        <v>638</v>
      </c>
      <c r="J52" s="151">
        <v>26</v>
      </c>
      <c r="K52" s="151">
        <v>754</v>
      </c>
      <c r="L52" s="151"/>
    </row>
    <row r="53" spans="1:12" hidden="1">
      <c r="A53" s="213">
        <v>30111508</v>
      </c>
      <c r="B53" s="151" t="s">
        <v>432</v>
      </c>
      <c r="C53" s="151" t="s">
        <v>388</v>
      </c>
      <c r="D53" s="151" t="s">
        <v>389</v>
      </c>
      <c r="E53" s="151" t="s">
        <v>390</v>
      </c>
      <c r="F53" s="213">
        <v>335</v>
      </c>
      <c r="G53" s="151">
        <v>29</v>
      </c>
      <c r="H53" s="151">
        <v>22</v>
      </c>
      <c r="I53" s="151">
        <v>638</v>
      </c>
      <c r="J53" s="151">
        <v>26</v>
      </c>
      <c r="K53" s="151">
        <v>754</v>
      </c>
      <c r="L53" s="151"/>
    </row>
    <row r="54" spans="1:12" hidden="1">
      <c r="A54" s="213">
        <v>30111607</v>
      </c>
      <c r="B54" s="151" t="s">
        <v>433</v>
      </c>
      <c r="C54" s="151" t="s">
        <v>388</v>
      </c>
      <c r="D54" s="151" t="s">
        <v>389</v>
      </c>
      <c r="E54" s="151" t="s">
        <v>390</v>
      </c>
      <c r="F54" s="213">
        <v>330</v>
      </c>
      <c r="G54" s="151">
        <v>29</v>
      </c>
      <c r="H54" s="151">
        <v>22</v>
      </c>
      <c r="I54" s="151">
        <v>638</v>
      </c>
      <c r="J54" s="151">
        <v>26</v>
      </c>
      <c r="K54" s="151">
        <v>754</v>
      </c>
      <c r="L54" s="151"/>
    </row>
    <row r="55" spans="1:12" hidden="1">
      <c r="A55" s="213">
        <v>30111608</v>
      </c>
      <c r="B55" s="151" t="s">
        <v>434</v>
      </c>
      <c r="C55" s="151" t="s">
        <v>388</v>
      </c>
      <c r="D55" s="151" t="s">
        <v>389</v>
      </c>
      <c r="E55" s="151" t="s">
        <v>390</v>
      </c>
      <c r="F55" s="213">
        <v>335</v>
      </c>
      <c r="G55" s="151">
        <v>29</v>
      </c>
      <c r="H55" s="151">
        <v>22</v>
      </c>
      <c r="I55" s="151">
        <v>638</v>
      </c>
      <c r="J55" s="151">
        <v>26</v>
      </c>
      <c r="K55" s="151">
        <v>754</v>
      </c>
      <c r="L55" s="151"/>
    </row>
    <row r="56" spans="1:12" hidden="1">
      <c r="A56" s="213">
        <v>30111609</v>
      </c>
      <c r="B56" s="151" t="s">
        <v>419</v>
      </c>
      <c r="C56" s="220" t="s">
        <v>418</v>
      </c>
      <c r="D56" s="151" t="s">
        <v>389</v>
      </c>
      <c r="E56" s="151" t="s">
        <v>390</v>
      </c>
      <c r="F56" s="213">
        <v>335</v>
      </c>
      <c r="G56" s="151">
        <v>29</v>
      </c>
      <c r="H56" s="151">
        <v>22</v>
      </c>
      <c r="I56" s="151">
        <v>638</v>
      </c>
      <c r="J56" s="151">
        <v>26</v>
      </c>
      <c r="K56" s="151">
        <v>754</v>
      </c>
      <c r="L56" s="220" t="s">
        <v>395</v>
      </c>
    </row>
    <row r="57" spans="1:12" hidden="1">
      <c r="A57" s="213">
        <v>30111610</v>
      </c>
      <c r="B57" s="151" t="s">
        <v>417</v>
      </c>
      <c r="C57" s="220" t="s">
        <v>418</v>
      </c>
      <c r="D57" s="151" t="s">
        <v>389</v>
      </c>
      <c r="E57" s="151" t="s">
        <v>390</v>
      </c>
      <c r="F57" s="213">
        <v>330</v>
      </c>
      <c r="G57" s="151">
        <v>29</v>
      </c>
      <c r="H57" s="151">
        <v>22</v>
      </c>
      <c r="I57" s="151">
        <v>638</v>
      </c>
      <c r="J57" s="151">
        <v>26</v>
      </c>
      <c r="K57" s="151">
        <v>754</v>
      </c>
      <c r="L57" s="220" t="s">
        <v>395</v>
      </c>
    </row>
    <row r="58" spans="1:12" hidden="1">
      <c r="A58" s="213">
        <v>30111707</v>
      </c>
      <c r="B58" s="151" t="s">
        <v>435</v>
      </c>
      <c r="C58" s="151" t="s">
        <v>388</v>
      </c>
      <c r="D58" s="151" t="s">
        <v>389</v>
      </c>
      <c r="E58" s="151" t="s">
        <v>390</v>
      </c>
      <c r="F58" s="213">
        <v>330</v>
      </c>
      <c r="G58" s="151">
        <v>29</v>
      </c>
      <c r="H58" s="151">
        <v>22</v>
      </c>
      <c r="I58" s="151">
        <v>638</v>
      </c>
      <c r="J58" s="151">
        <v>26</v>
      </c>
      <c r="K58" s="151">
        <v>754</v>
      </c>
      <c r="L58" s="151"/>
    </row>
    <row r="59" spans="1:12" hidden="1">
      <c r="A59" s="213">
        <v>30111708</v>
      </c>
      <c r="B59" s="151" t="s">
        <v>436</v>
      </c>
      <c r="C59" s="151" t="s">
        <v>388</v>
      </c>
      <c r="D59" s="151" t="s">
        <v>389</v>
      </c>
      <c r="E59" s="151" t="s">
        <v>390</v>
      </c>
      <c r="F59" s="213">
        <v>335</v>
      </c>
      <c r="G59" s="151">
        <v>29</v>
      </c>
      <c r="H59" s="151">
        <v>22</v>
      </c>
      <c r="I59" s="151">
        <v>638</v>
      </c>
      <c r="J59" s="151">
        <v>26</v>
      </c>
      <c r="K59" s="151">
        <v>754</v>
      </c>
      <c r="L59" s="151"/>
    </row>
    <row r="60" spans="1:12" hidden="1">
      <c r="A60" s="213">
        <v>30111808</v>
      </c>
      <c r="B60" s="151" t="s">
        <v>437</v>
      </c>
      <c r="C60" s="151" t="s">
        <v>388</v>
      </c>
      <c r="D60" s="151" t="s">
        <v>389</v>
      </c>
      <c r="E60" s="151" t="s">
        <v>390</v>
      </c>
      <c r="F60" s="213">
        <v>335</v>
      </c>
      <c r="G60" s="151">
        <v>29</v>
      </c>
      <c r="H60" s="151">
        <v>22</v>
      </c>
      <c r="I60" s="151">
        <v>638</v>
      </c>
      <c r="J60" s="151">
        <v>26</v>
      </c>
      <c r="K60" s="151">
        <v>754</v>
      </c>
      <c r="L60" s="151"/>
    </row>
    <row r="61" spans="1:12" hidden="1">
      <c r="A61" s="213">
        <v>30111809</v>
      </c>
      <c r="B61" s="151" t="s">
        <v>438</v>
      </c>
      <c r="C61" s="151" t="s">
        <v>388</v>
      </c>
      <c r="D61" s="151" t="s">
        <v>389</v>
      </c>
      <c r="E61" s="151" t="s">
        <v>390</v>
      </c>
      <c r="F61" s="213">
        <v>340</v>
      </c>
      <c r="G61" s="151">
        <v>29</v>
      </c>
      <c r="H61" s="151">
        <v>22</v>
      </c>
      <c r="I61" s="151">
        <v>638</v>
      </c>
      <c r="J61" s="151">
        <v>26</v>
      </c>
      <c r="K61" s="151">
        <v>754</v>
      </c>
      <c r="L61" s="151"/>
    </row>
    <row r="62" spans="1:12" hidden="1">
      <c r="A62" s="213">
        <v>30111908</v>
      </c>
      <c r="B62" s="151" t="s">
        <v>439</v>
      </c>
      <c r="C62" s="151" t="s">
        <v>388</v>
      </c>
      <c r="D62" s="151" t="s">
        <v>389</v>
      </c>
      <c r="E62" s="151" t="s">
        <v>390</v>
      </c>
      <c r="F62" s="213">
        <v>335</v>
      </c>
      <c r="G62" s="151">
        <v>29</v>
      </c>
      <c r="H62" s="151">
        <v>22</v>
      </c>
      <c r="I62" s="151">
        <v>638</v>
      </c>
      <c r="J62" s="151">
        <v>26</v>
      </c>
      <c r="K62" s="151">
        <v>754</v>
      </c>
      <c r="L62" s="151"/>
    </row>
    <row r="63" spans="1:12" hidden="1">
      <c r="A63" s="213">
        <v>30111909</v>
      </c>
      <c r="B63" s="151" t="s">
        <v>440</v>
      </c>
      <c r="C63" s="151" t="s">
        <v>388</v>
      </c>
      <c r="D63" s="151" t="s">
        <v>389</v>
      </c>
      <c r="E63" s="151" t="s">
        <v>390</v>
      </c>
      <c r="F63" s="213">
        <v>340</v>
      </c>
      <c r="G63" s="151">
        <v>29</v>
      </c>
      <c r="H63" s="151">
        <v>22</v>
      </c>
      <c r="I63" s="151">
        <v>638</v>
      </c>
      <c r="J63" s="151">
        <v>26</v>
      </c>
      <c r="K63" s="151">
        <v>754</v>
      </c>
      <c r="L63" s="151"/>
    </row>
    <row r="64" spans="1:12" hidden="1">
      <c r="A64" s="213">
        <v>30111910</v>
      </c>
      <c r="B64" s="151" t="s">
        <v>441</v>
      </c>
      <c r="C64" s="151" t="s">
        <v>388</v>
      </c>
      <c r="D64" s="151" t="s">
        <v>389</v>
      </c>
      <c r="E64" s="151" t="s">
        <v>390</v>
      </c>
      <c r="F64" s="213">
        <v>345</v>
      </c>
      <c r="G64" s="151">
        <v>29</v>
      </c>
      <c r="H64" s="151">
        <v>22</v>
      </c>
      <c r="I64" s="151">
        <v>638</v>
      </c>
      <c r="J64" s="151">
        <v>26</v>
      </c>
      <c r="K64" s="151">
        <v>754</v>
      </c>
      <c r="L64" s="151"/>
    </row>
    <row r="65" spans="1:12" hidden="1">
      <c r="A65" s="213">
        <v>30111911</v>
      </c>
      <c r="B65" s="151" t="s">
        <v>442</v>
      </c>
      <c r="C65" s="151" t="s">
        <v>443</v>
      </c>
      <c r="D65" s="151" t="s">
        <v>389</v>
      </c>
      <c r="E65" s="151" t="s">
        <v>390</v>
      </c>
      <c r="F65" s="213">
        <v>350</v>
      </c>
      <c r="G65" s="151">
        <v>29</v>
      </c>
      <c r="H65" s="151">
        <v>22</v>
      </c>
      <c r="I65" s="151">
        <v>638</v>
      </c>
      <c r="J65" s="151">
        <v>26</v>
      </c>
      <c r="K65" s="151">
        <v>754</v>
      </c>
      <c r="L65" s="151"/>
    </row>
    <row r="66" spans="1:12" hidden="1">
      <c r="A66" s="213">
        <v>30112006</v>
      </c>
      <c r="B66" s="151" t="s">
        <v>444</v>
      </c>
      <c r="C66" s="220" t="s">
        <v>388</v>
      </c>
      <c r="D66" s="151" t="s">
        <v>389</v>
      </c>
      <c r="E66" s="151" t="s">
        <v>390</v>
      </c>
      <c r="F66" s="213">
        <v>325</v>
      </c>
      <c r="G66" s="151">
        <v>29</v>
      </c>
      <c r="H66" s="151">
        <v>22</v>
      </c>
      <c r="I66" s="151">
        <v>638</v>
      </c>
      <c r="J66" s="151">
        <v>26</v>
      </c>
      <c r="K66" s="151">
        <v>754</v>
      </c>
      <c r="L66" s="220" t="s">
        <v>395</v>
      </c>
    </row>
    <row r="67" spans="1:12" hidden="1">
      <c r="A67" s="213">
        <v>30112007</v>
      </c>
      <c r="B67" s="151" t="s">
        <v>445</v>
      </c>
      <c r="C67" s="220" t="s">
        <v>388</v>
      </c>
      <c r="D67" s="151" t="s">
        <v>389</v>
      </c>
      <c r="E67" s="151" t="s">
        <v>390</v>
      </c>
      <c r="F67" s="213">
        <v>330</v>
      </c>
      <c r="G67" s="151">
        <v>29</v>
      </c>
      <c r="H67" s="151">
        <v>22</v>
      </c>
      <c r="I67" s="151">
        <v>638</v>
      </c>
      <c r="J67" s="151">
        <v>26</v>
      </c>
      <c r="K67" s="151">
        <v>754</v>
      </c>
      <c r="L67" s="220" t="s">
        <v>395</v>
      </c>
    </row>
    <row r="68" spans="1:12" hidden="1">
      <c r="A68" s="213">
        <v>30112008</v>
      </c>
      <c r="B68" s="151" t="s">
        <v>446</v>
      </c>
      <c r="C68" s="151" t="s">
        <v>388</v>
      </c>
      <c r="D68" s="151" t="s">
        <v>389</v>
      </c>
      <c r="E68" s="151" t="s">
        <v>390</v>
      </c>
      <c r="F68" s="213">
        <v>335</v>
      </c>
      <c r="G68" s="151">
        <v>29</v>
      </c>
      <c r="H68" s="151">
        <v>22</v>
      </c>
      <c r="I68" s="151">
        <v>638</v>
      </c>
      <c r="J68" s="151">
        <v>26</v>
      </c>
      <c r="K68" s="151">
        <v>754</v>
      </c>
      <c r="L68" s="151"/>
    </row>
    <row r="69" spans="1:12" hidden="1">
      <c r="A69" s="213">
        <v>30112009</v>
      </c>
      <c r="B69" s="151" t="s">
        <v>447</v>
      </c>
      <c r="C69" s="151" t="s">
        <v>388</v>
      </c>
      <c r="D69" s="151" t="s">
        <v>389</v>
      </c>
      <c r="E69" s="151" t="s">
        <v>390</v>
      </c>
      <c r="F69" s="213">
        <v>340</v>
      </c>
      <c r="G69" s="151">
        <v>29</v>
      </c>
      <c r="H69" s="151">
        <v>22</v>
      </c>
      <c r="I69" s="151">
        <v>638</v>
      </c>
      <c r="J69" s="151">
        <v>26</v>
      </c>
      <c r="K69" s="151">
        <v>754</v>
      </c>
      <c r="L69" s="151"/>
    </row>
    <row r="70" spans="1:12" hidden="1">
      <c r="A70" s="213">
        <v>30112010</v>
      </c>
      <c r="B70" s="151" t="s">
        <v>448</v>
      </c>
      <c r="C70" s="151" t="s">
        <v>388</v>
      </c>
      <c r="D70" s="151" t="s">
        <v>389</v>
      </c>
      <c r="E70" s="151" t="s">
        <v>390</v>
      </c>
      <c r="F70" s="213">
        <v>345</v>
      </c>
      <c r="G70" s="151">
        <v>29</v>
      </c>
      <c r="H70" s="151">
        <v>22</v>
      </c>
      <c r="I70" s="151">
        <v>638</v>
      </c>
      <c r="J70" s="151">
        <v>26</v>
      </c>
      <c r="K70" s="151">
        <v>754</v>
      </c>
      <c r="L70" s="151"/>
    </row>
    <row r="71" spans="1:12" hidden="1">
      <c r="A71" s="213">
        <v>30112011</v>
      </c>
      <c r="B71" s="151" t="s">
        <v>449</v>
      </c>
      <c r="C71" s="151" t="s">
        <v>388</v>
      </c>
      <c r="D71" s="151" t="s">
        <v>389</v>
      </c>
      <c r="E71" s="151" t="s">
        <v>390</v>
      </c>
      <c r="F71" s="213">
        <v>350</v>
      </c>
      <c r="G71" s="151">
        <v>29</v>
      </c>
      <c r="H71" s="151">
        <v>22</v>
      </c>
      <c r="I71" s="151">
        <v>638</v>
      </c>
      <c r="J71" s="151">
        <v>26</v>
      </c>
      <c r="K71" s="151">
        <v>754</v>
      </c>
      <c r="L71" s="151"/>
    </row>
    <row r="72" spans="1:12" hidden="1">
      <c r="A72" s="213">
        <v>30112012</v>
      </c>
      <c r="B72" s="151" t="s">
        <v>450</v>
      </c>
      <c r="C72" s="220" t="s">
        <v>388</v>
      </c>
      <c r="D72" s="151" t="s">
        <v>389</v>
      </c>
      <c r="E72" s="151" t="s">
        <v>390</v>
      </c>
      <c r="F72" s="213">
        <v>355</v>
      </c>
      <c r="G72" s="151">
        <v>29</v>
      </c>
      <c r="H72" s="151">
        <v>22</v>
      </c>
      <c r="I72" s="151">
        <v>638</v>
      </c>
      <c r="J72" s="151">
        <v>26</v>
      </c>
      <c r="K72" s="151">
        <v>754</v>
      </c>
      <c r="L72" s="220" t="s">
        <v>395</v>
      </c>
    </row>
    <row r="73" spans="1:12" hidden="1">
      <c r="A73" s="213">
        <v>30112106</v>
      </c>
      <c r="B73" s="151" t="s">
        <v>451</v>
      </c>
      <c r="C73" s="220" t="s">
        <v>388</v>
      </c>
      <c r="D73" s="151" t="s">
        <v>389</v>
      </c>
      <c r="E73" s="151" t="s">
        <v>390</v>
      </c>
      <c r="F73" s="213">
        <v>325</v>
      </c>
      <c r="G73" s="151">
        <v>29</v>
      </c>
      <c r="H73" s="151">
        <v>22</v>
      </c>
      <c r="I73" s="151">
        <v>638</v>
      </c>
      <c r="J73" s="151">
        <v>26</v>
      </c>
      <c r="K73" s="151">
        <v>754</v>
      </c>
      <c r="L73" s="220" t="s">
        <v>395</v>
      </c>
    </row>
    <row r="74" spans="1:12" hidden="1">
      <c r="A74" s="213">
        <v>30112107</v>
      </c>
      <c r="B74" s="151" t="s">
        <v>452</v>
      </c>
      <c r="C74" s="220" t="s">
        <v>388</v>
      </c>
      <c r="D74" s="151" t="s">
        <v>389</v>
      </c>
      <c r="E74" s="151" t="s">
        <v>390</v>
      </c>
      <c r="F74" s="213">
        <v>330</v>
      </c>
      <c r="G74" s="151">
        <v>29</v>
      </c>
      <c r="H74" s="151">
        <v>22</v>
      </c>
      <c r="I74" s="151">
        <v>638</v>
      </c>
      <c r="J74" s="151">
        <v>26</v>
      </c>
      <c r="K74" s="151">
        <v>754</v>
      </c>
      <c r="L74" s="220" t="s">
        <v>395</v>
      </c>
    </row>
    <row r="75" spans="1:12" hidden="1">
      <c r="A75" s="213">
        <v>30112108</v>
      </c>
      <c r="B75" s="151" t="s">
        <v>453</v>
      </c>
      <c r="C75" s="151" t="s">
        <v>388</v>
      </c>
      <c r="D75" s="151" t="s">
        <v>389</v>
      </c>
      <c r="E75" s="151" t="s">
        <v>390</v>
      </c>
      <c r="F75" s="213">
        <v>335</v>
      </c>
      <c r="G75" s="151">
        <v>29</v>
      </c>
      <c r="H75" s="151">
        <v>22</v>
      </c>
      <c r="I75" s="151">
        <v>638</v>
      </c>
      <c r="J75" s="151">
        <v>26</v>
      </c>
      <c r="K75" s="151">
        <v>754</v>
      </c>
      <c r="L75" s="151"/>
    </row>
    <row r="76" spans="1:12" hidden="1">
      <c r="A76" s="213">
        <v>30112109</v>
      </c>
      <c r="B76" s="151" t="s">
        <v>454</v>
      </c>
      <c r="C76" s="151" t="s">
        <v>388</v>
      </c>
      <c r="D76" s="151" t="s">
        <v>389</v>
      </c>
      <c r="E76" s="151" t="s">
        <v>390</v>
      </c>
      <c r="F76" s="213">
        <v>340</v>
      </c>
      <c r="G76" s="151">
        <v>29</v>
      </c>
      <c r="H76" s="151">
        <v>22</v>
      </c>
      <c r="I76" s="151">
        <v>638</v>
      </c>
      <c r="J76" s="151">
        <v>26</v>
      </c>
      <c r="K76" s="151">
        <v>754</v>
      </c>
      <c r="L76" s="151"/>
    </row>
    <row r="77" spans="1:12" hidden="1">
      <c r="A77" s="213">
        <v>30112110</v>
      </c>
      <c r="B77" s="151" t="s">
        <v>455</v>
      </c>
      <c r="C77" s="151" t="s">
        <v>443</v>
      </c>
      <c r="D77" s="151" t="s">
        <v>389</v>
      </c>
      <c r="E77" s="151" t="s">
        <v>390</v>
      </c>
      <c r="F77" s="213">
        <v>345</v>
      </c>
      <c r="G77" s="151">
        <v>29</v>
      </c>
      <c r="H77" s="151">
        <v>22</v>
      </c>
      <c r="I77" s="151">
        <v>638</v>
      </c>
      <c r="J77" s="151">
        <v>26</v>
      </c>
      <c r="K77" s="151">
        <v>754</v>
      </c>
      <c r="L77" s="151"/>
    </row>
    <row r="78" spans="1:12" hidden="1">
      <c r="A78" s="213">
        <v>30112111</v>
      </c>
      <c r="B78" s="151" t="s">
        <v>456</v>
      </c>
      <c r="C78" s="151" t="s">
        <v>443</v>
      </c>
      <c r="D78" s="151" t="s">
        <v>389</v>
      </c>
      <c r="E78" s="151" t="s">
        <v>390</v>
      </c>
      <c r="F78" s="213">
        <v>350</v>
      </c>
      <c r="G78" s="151">
        <v>29</v>
      </c>
      <c r="H78" s="151">
        <v>22</v>
      </c>
      <c r="I78" s="151">
        <v>638</v>
      </c>
      <c r="J78" s="151">
        <v>26</v>
      </c>
      <c r="K78" s="151">
        <v>754</v>
      </c>
      <c r="L78" s="151"/>
    </row>
    <row r="79" spans="1:12" hidden="1">
      <c r="A79" s="213">
        <v>30112208</v>
      </c>
      <c r="B79" s="151" t="s">
        <v>457</v>
      </c>
      <c r="C79" s="151" t="s">
        <v>388</v>
      </c>
      <c r="D79" s="151" t="s">
        <v>389</v>
      </c>
      <c r="E79" s="151" t="s">
        <v>390</v>
      </c>
      <c r="F79" s="213">
        <v>335</v>
      </c>
      <c r="G79" s="151">
        <v>29</v>
      </c>
      <c r="H79" s="151">
        <v>22</v>
      </c>
      <c r="I79" s="151">
        <v>638</v>
      </c>
      <c r="J79" s="151">
        <v>26</v>
      </c>
      <c r="K79" s="151">
        <v>754</v>
      </c>
      <c r="L79" s="151"/>
    </row>
    <row r="80" spans="1:12" hidden="1">
      <c r="A80" s="213">
        <v>30112209</v>
      </c>
      <c r="B80" s="151" t="s">
        <v>458</v>
      </c>
      <c r="C80" s="151" t="s">
        <v>388</v>
      </c>
      <c r="D80" s="151" t="s">
        <v>389</v>
      </c>
      <c r="E80" s="151" t="s">
        <v>390</v>
      </c>
      <c r="F80" s="213">
        <v>340</v>
      </c>
      <c r="G80" s="151">
        <v>29</v>
      </c>
      <c r="H80" s="151">
        <v>22</v>
      </c>
      <c r="I80" s="151">
        <v>638</v>
      </c>
      <c r="J80" s="151">
        <v>26</v>
      </c>
      <c r="K80" s="151">
        <v>754</v>
      </c>
      <c r="L80" s="151"/>
    </row>
    <row r="81" spans="1:12" hidden="1">
      <c r="A81" s="213">
        <v>30112210</v>
      </c>
      <c r="B81" s="151" t="s">
        <v>459</v>
      </c>
      <c r="C81" s="151" t="s">
        <v>388</v>
      </c>
      <c r="D81" s="151" t="s">
        <v>389</v>
      </c>
      <c r="E81" s="151" t="s">
        <v>390</v>
      </c>
      <c r="F81" s="213">
        <v>345</v>
      </c>
      <c r="G81" s="151">
        <v>29</v>
      </c>
      <c r="H81" s="151">
        <v>22</v>
      </c>
      <c r="I81" s="151">
        <v>638</v>
      </c>
      <c r="J81" s="151">
        <v>26</v>
      </c>
      <c r="K81" s="151">
        <v>754</v>
      </c>
      <c r="L81" s="151"/>
    </row>
    <row r="82" spans="1:12" hidden="1">
      <c r="A82" s="213">
        <v>30112308</v>
      </c>
      <c r="B82" s="151" t="s">
        <v>460</v>
      </c>
      <c r="C82" s="151" t="s">
        <v>388</v>
      </c>
      <c r="D82" s="151" t="s">
        <v>389</v>
      </c>
      <c r="E82" s="151" t="s">
        <v>390</v>
      </c>
      <c r="F82" s="213">
        <v>335</v>
      </c>
      <c r="G82" s="151">
        <v>29</v>
      </c>
      <c r="H82" s="151">
        <v>22</v>
      </c>
      <c r="I82" s="151">
        <v>638</v>
      </c>
      <c r="J82" s="151">
        <v>26</v>
      </c>
      <c r="K82" s="151">
        <v>754</v>
      </c>
      <c r="L82" s="151"/>
    </row>
    <row r="83" spans="1:12" hidden="1">
      <c r="A83" s="213">
        <v>30112309</v>
      </c>
      <c r="B83" s="151" t="s">
        <v>461</v>
      </c>
      <c r="C83" s="151" t="s">
        <v>388</v>
      </c>
      <c r="D83" s="151" t="s">
        <v>389</v>
      </c>
      <c r="E83" s="151" t="s">
        <v>390</v>
      </c>
      <c r="F83" s="213">
        <v>340</v>
      </c>
      <c r="G83" s="151">
        <v>29</v>
      </c>
      <c r="H83" s="151">
        <v>22</v>
      </c>
      <c r="I83" s="151">
        <v>638</v>
      </c>
      <c r="J83" s="151">
        <v>26</v>
      </c>
      <c r="K83" s="151">
        <v>754</v>
      </c>
      <c r="L83" s="151"/>
    </row>
    <row r="84" spans="1:12" hidden="1">
      <c r="A84" s="213">
        <v>30112310</v>
      </c>
      <c r="B84" s="151" t="s">
        <v>462</v>
      </c>
      <c r="C84" s="151" t="s">
        <v>388</v>
      </c>
      <c r="D84" s="151" t="s">
        <v>389</v>
      </c>
      <c r="E84" s="151" t="s">
        <v>390</v>
      </c>
      <c r="F84" s="213">
        <v>345</v>
      </c>
      <c r="G84" s="151">
        <v>29</v>
      </c>
      <c r="H84" s="151">
        <v>22</v>
      </c>
      <c r="I84" s="151">
        <v>638</v>
      </c>
      <c r="J84" s="151">
        <v>26</v>
      </c>
      <c r="K84" s="151">
        <v>754</v>
      </c>
      <c r="L84" s="151"/>
    </row>
    <row r="85" spans="1:12" hidden="1">
      <c r="A85" s="213">
        <v>30112408</v>
      </c>
      <c r="B85" s="151" t="s">
        <v>463</v>
      </c>
      <c r="C85" s="151" t="s">
        <v>388</v>
      </c>
      <c r="D85" s="151" t="s">
        <v>389</v>
      </c>
      <c r="E85" s="151" t="s">
        <v>390</v>
      </c>
      <c r="F85" s="213">
        <v>335</v>
      </c>
      <c r="G85" s="151">
        <v>29</v>
      </c>
      <c r="H85" s="151">
        <v>22</v>
      </c>
      <c r="I85" s="151">
        <v>638</v>
      </c>
      <c r="J85" s="151">
        <v>26</v>
      </c>
      <c r="K85" s="151">
        <v>754</v>
      </c>
      <c r="L85" s="151"/>
    </row>
    <row r="86" spans="1:12" hidden="1">
      <c r="A86" s="213">
        <v>30112409</v>
      </c>
      <c r="B86" s="151" t="s">
        <v>464</v>
      </c>
      <c r="C86" s="151" t="s">
        <v>388</v>
      </c>
      <c r="D86" s="151" t="s">
        <v>389</v>
      </c>
      <c r="E86" s="151" t="s">
        <v>390</v>
      </c>
      <c r="F86" s="213">
        <v>340</v>
      </c>
      <c r="G86" s="151">
        <v>29</v>
      </c>
      <c r="H86" s="151">
        <v>22</v>
      </c>
      <c r="I86" s="151">
        <v>638</v>
      </c>
      <c r="J86" s="151">
        <v>26</v>
      </c>
      <c r="K86" s="151">
        <v>754</v>
      </c>
      <c r="L86" s="151"/>
    </row>
    <row r="87" spans="1:12" hidden="1">
      <c r="A87" s="213">
        <v>30112410</v>
      </c>
      <c r="B87" s="151" t="s">
        <v>465</v>
      </c>
      <c r="C87" s="151" t="s">
        <v>388</v>
      </c>
      <c r="D87" s="151" t="s">
        <v>389</v>
      </c>
      <c r="E87" s="151" t="s">
        <v>390</v>
      </c>
      <c r="F87" s="213">
        <v>345</v>
      </c>
      <c r="G87" s="151">
        <v>29</v>
      </c>
      <c r="H87" s="151">
        <v>22</v>
      </c>
      <c r="I87" s="151">
        <v>638</v>
      </c>
      <c r="J87" s="151">
        <v>26</v>
      </c>
      <c r="K87" s="151">
        <v>754</v>
      </c>
      <c r="L87" s="151"/>
    </row>
    <row r="88" spans="1:12" hidden="1">
      <c r="A88" s="213">
        <v>30112508</v>
      </c>
      <c r="B88" s="151" t="s">
        <v>466</v>
      </c>
      <c r="C88" s="151" t="s">
        <v>388</v>
      </c>
      <c r="D88" s="151" t="s">
        <v>389</v>
      </c>
      <c r="E88" s="151" t="s">
        <v>390</v>
      </c>
      <c r="F88" s="213">
        <v>335</v>
      </c>
      <c r="G88" s="151">
        <v>29</v>
      </c>
      <c r="H88" s="151">
        <v>22</v>
      </c>
      <c r="I88" s="151">
        <v>638</v>
      </c>
      <c r="J88" s="151">
        <v>26</v>
      </c>
      <c r="K88" s="151">
        <v>754</v>
      </c>
      <c r="L88" s="151"/>
    </row>
    <row r="89" spans="1:12" hidden="1">
      <c r="A89" s="213">
        <v>30112509</v>
      </c>
      <c r="B89" s="151" t="s">
        <v>467</v>
      </c>
      <c r="C89" s="151" t="s">
        <v>388</v>
      </c>
      <c r="D89" s="151" t="s">
        <v>389</v>
      </c>
      <c r="E89" s="151" t="s">
        <v>390</v>
      </c>
      <c r="F89" s="213">
        <v>340</v>
      </c>
      <c r="G89" s="151">
        <v>29</v>
      </c>
      <c r="H89" s="151">
        <v>22</v>
      </c>
      <c r="I89" s="151">
        <v>638</v>
      </c>
      <c r="J89" s="151">
        <v>26</v>
      </c>
      <c r="K89" s="151">
        <v>754</v>
      </c>
      <c r="L89" s="151"/>
    </row>
    <row r="90" spans="1:12" hidden="1">
      <c r="A90" s="213">
        <v>30112510</v>
      </c>
      <c r="B90" s="151" t="s">
        <v>468</v>
      </c>
      <c r="C90" s="151" t="s">
        <v>388</v>
      </c>
      <c r="D90" s="151" t="s">
        <v>389</v>
      </c>
      <c r="E90" s="151" t="s">
        <v>390</v>
      </c>
      <c r="F90" s="213">
        <v>345</v>
      </c>
      <c r="G90" s="151">
        <v>29</v>
      </c>
      <c r="H90" s="151">
        <v>22</v>
      </c>
      <c r="I90" s="151">
        <v>638</v>
      </c>
      <c r="J90" s="151">
        <v>26</v>
      </c>
      <c r="K90" s="151">
        <v>754</v>
      </c>
      <c r="L90" s="151"/>
    </row>
    <row r="91" spans="1:12" hidden="1">
      <c r="A91" s="213">
        <v>30112511</v>
      </c>
      <c r="B91" s="151" t="s">
        <v>469</v>
      </c>
      <c r="C91" s="151" t="s">
        <v>388</v>
      </c>
      <c r="D91" s="151" t="s">
        <v>389</v>
      </c>
      <c r="E91" s="151" t="s">
        <v>390</v>
      </c>
      <c r="F91" s="213">
        <v>350</v>
      </c>
      <c r="G91" s="151">
        <v>29</v>
      </c>
      <c r="H91" s="151">
        <v>22</v>
      </c>
      <c r="I91" s="151">
        <v>638</v>
      </c>
      <c r="J91" s="151">
        <v>26</v>
      </c>
      <c r="K91" s="151">
        <v>754</v>
      </c>
      <c r="L91" s="151"/>
    </row>
    <row r="92" spans="1:12" hidden="1">
      <c r="A92" s="213">
        <v>30115212</v>
      </c>
      <c r="B92" s="151" t="s">
        <v>470</v>
      </c>
      <c r="C92" s="151" t="s">
        <v>471</v>
      </c>
      <c r="D92" s="151" t="s">
        <v>472</v>
      </c>
      <c r="E92" s="151" t="s">
        <v>473</v>
      </c>
      <c r="F92" s="213">
        <v>355</v>
      </c>
      <c r="G92" s="151">
        <v>29</v>
      </c>
      <c r="H92" s="151">
        <v>22</v>
      </c>
      <c r="I92" s="151">
        <v>638</v>
      </c>
      <c r="J92" s="151">
        <v>26</v>
      </c>
      <c r="K92" s="151">
        <v>754</v>
      </c>
      <c r="L92" s="151"/>
    </row>
    <row r="93" spans="1:12" hidden="1">
      <c r="A93" s="213">
        <v>30115213</v>
      </c>
      <c r="B93" s="151" t="s">
        <v>474</v>
      </c>
      <c r="C93" s="151" t="s">
        <v>471</v>
      </c>
      <c r="D93" s="151" t="s">
        <v>472</v>
      </c>
      <c r="E93" s="151" t="s">
        <v>473</v>
      </c>
      <c r="F93" s="213">
        <v>360</v>
      </c>
      <c r="G93" s="151">
        <v>29</v>
      </c>
      <c r="H93" s="151">
        <v>22</v>
      </c>
      <c r="I93" s="151">
        <v>638</v>
      </c>
      <c r="J93" s="151">
        <v>26</v>
      </c>
      <c r="K93" s="151">
        <v>754</v>
      </c>
      <c r="L93" s="151"/>
    </row>
    <row r="94" spans="1:12" hidden="1">
      <c r="A94" s="213">
        <v>30115214</v>
      </c>
      <c r="B94" s="151" t="s">
        <v>475</v>
      </c>
      <c r="C94" s="151" t="s">
        <v>471</v>
      </c>
      <c r="D94" s="151" t="s">
        <v>472</v>
      </c>
      <c r="E94" s="151" t="s">
        <v>473</v>
      </c>
      <c r="F94" s="213">
        <v>365</v>
      </c>
      <c r="G94" s="151">
        <v>29</v>
      </c>
      <c r="H94" s="151">
        <v>22</v>
      </c>
      <c r="I94" s="151">
        <v>638</v>
      </c>
      <c r="J94" s="151">
        <v>26</v>
      </c>
      <c r="K94" s="151">
        <v>754</v>
      </c>
      <c r="L94" s="151"/>
    </row>
    <row r="95" spans="1:12" hidden="1">
      <c r="A95" s="213">
        <v>30115215</v>
      </c>
      <c r="B95" s="151" t="s">
        <v>476</v>
      </c>
      <c r="C95" s="151" t="s">
        <v>471</v>
      </c>
      <c r="D95" s="151" t="s">
        <v>472</v>
      </c>
      <c r="E95" s="151" t="s">
        <v>473</v>
      </c>
      <c r="F95" s="213">
        <v>370</v>
      </c>
      <c r="G95" s="151">
        <v>29</v>
      </c>
      <c r="H95" s="151">
        <v>22</v>
      </c>
      <c r="I95" s="151">
        <v>638</v>
      </c>
      <c r="J95" s="151">
        <v>26</v>
      </c>
      <c r="K95" s="151">
        <v>754</v>
      </c>
      <c r="L95" s="151"/>
    </row>
    <row r="96" spans="1:12" hidden="1">
      <c r="A96" s="213">
        <v>30121126</v>
      </c>
      <c r="B96" s="151" t="s">
        <v>477</v>
      </c>
      <c r="C96" s="151" t="s">
        <v>401</v>
      </c>
      <c r="D96" s="151" t="s">
        <v>402</v>
      </c>
      <c r="E96" s="151" t="s">
        <v>390</v>
      </c>
      <c r="F96" s="213">
        <v>275</v>
      </c>
      <c r="G96" s="151">
        <v>32</v>
      </c>
      <c r="H96" s="151">
        <v>26</v>
      </c>
      <c r="I96" s="151">
        <v>832</v>
      </c>
      <c r="J96" s="151">
        <v>30</v>
      </c>
      <c r="K96" s="151">
        <v>960</v>
      </c>
      <c r="L96" s="151"/>
    </row>
    <row r="97" spans="1:12" hidden="1">
      <c r="A97" s="213">
        <v>30121127</v>
      </c>
      <c r="B97" s="151" t="s">
        <v>478</v>
      </c>
      <c r="C97" s="151" t="s">
        <v>401</v>
      </c>
      <c r="D97" s="151" t="s">
        <v>402</v>
      </c>
      <c r="E97" s="151" t="s">
        <v>390</v>
      </c>
      <c r="F97" s="213">
        <v>280</v>
      </c>
      <c r="G97" s="151">
        <v>32</v>
      </c>
      <c r="H97" s="151">
        <v>26</v>
      </c>
      <c r="I97" s="151">
        <v>832</v>
      </c>
      <c r="J97" s="151">
        <v>30</v>
      </c>
      <c r="K97" s="151">
        <v>960</v>
      </c>
      <c r="L97" s="151"/>
    </row>
    <row r="98" spans="1:12" hidden="1">
      <c r="A98" s="213">
        <v>30121128</v>
      </c>
      <c r="B98" s="151" t="s">
        <v>479</v>
      </c>
      <c r="C98" s="151" t="s">
        <v>401</v>
      </c>
      <c r="D98" s="151" t="s">
        <v>402</v>
      </c>
      <c r="E98" s="151" t="s">
        <v>390</v>
      </c>
      <c r="F98" s="213">
        <v>285</v>
      </c>
      <c r="G98" s="151">
        <v>32</v>
      </c>
      <c r="H98" s="151">
        <v>26</v>
      </c>
      <c r="I98" s="151">
        <v>832</v>
      </c>
      <c r="J98" s="151">
        <v>30</v>
      </c>
      <c r="K98" s="151">
        <v>960</v>
      </c>
      <c r="L98" s="151"/>
    </row>
    <row r="99" spans="1:12" hidden="1">
      <c r="A99" s="213">
        <v>30121129</v>
      </c>
      <c r="B99" s="151" t="s">
        <v>480</v>
      </c>
      <c r="C99" s="151" t="s">
        <v>401</v>
      </c>
      <c r="D99" s="151" t="s">
        <v>402</v>
      </c>
      <c r="E99" s="151" t="s">
        <v>390</v>
      </c>
      <c r="F99" s="213">
        <v>290</v>
      </c>
      <c r="G99" s="151">
        <v>32</v>
      </c>
      <c r="H99" s="151">
        <v>26</v>
      </c>
      <c r="I99" s="151">
        <v>832</v>
      </c>
      <c r="J99" s="151">
        <v>30</v>
      </c>
      <c r="K99" s="151">
        <v>960</v>
      </c>
      <c r="L99" s="151"/>
    </row>
    <row r="100" spans="1:12" hidden="1">
      <c r="A100" s="213">
        <v>30121325</v>
      </c>
      <c r="B100" s="151" t="s">
        <v>481</v>
      </c>
      <c r="C100" s="220" t="s">
        <v>401</v>
      </c>
      <c r="D100" s="151" t="s">
        <v>402</v>
      </c>
      <c r="E100" s="151" t="s">
        <v>390</v>
      </c>
      <c r="F100" s="213">
        <v>270</v>
      </c>
      <c r="G100" s="151">
        <v>32</v>
      </c>
      <c r="H100" s="151">
        <v>26</v>
      </c>
      <c r="I100" s="151">
        <v>832</v>
      </c>
      <c r="J100" s="151">
        <v>30</v>
      </c>
      <c r="K100" s="151">
        <v>960</v>
      </c>
      <c r="L100" s="220" t="s">
        <v>395</v>
      </c>
    </row>
    <row r="101" spans="1:12" hidden="1">
      <c r="A101" s="213">
        <v>30121326</v>
      </c>
      <c r="B101" s="151" t="s">
        <v>482</v>
      </c>
      <c r="C101" s="220" t="s">
        <v>401</v>
      </c>
      <c r="D101" s="151" t="s">
        <v>402</v>
      </c>
      <c r="E101" s="151" t="s">
        <v>390</v>
      </c>
      <c r="F101" s="213">
        <v>275</v>
      </c>
      <c r="G101" s="151">
        <v>32</v>
      </c>
      <c r="H101" s="151">
        <v>26</v>
      </c>
      <c r="I101" s="151">
        <v>832</v>
      </c>
      <c r="J101" s="151">
        <v>30</v>
      </c>
      <c r="K101" s="151">
        <v>960</v>
      </c>
      <c r="L101" s="220" t="s">
        <v>395</v>
      </c>
    </row>
    <row r="102" spans="1:12" hidden="1">
      <c r="A102" s="213">
        <v>30121327</v>
      </c>
      <c r="B102" s="151" t="s">
        <v>483</v>
      </c>
      <c r="C102" s="220" t="s">
        <v>401</v>
      </c>
      <c r="D102" s="151" t="s">
        <v>402</v>
      </c>
      <c r="E102" s="151" t="s">
        <v>390</v>
      </c>
      <c r="F102" s="213">
        <v>280</v>
      </c>
      <c r="G102" s="151">
        <v>32</v>
      </c>
      <c r="H102" s="151">
        <v>26</v>
      </c>
      <c r="I102" s="151">
        <v>832</v>
      </c>
      <c r="J102" s="151">
        <v>30</v>
      </c>
      <c r="K102" s="151">
        <v>960</v>
      </c>
      <c r="L102" s="220" t="s">
        <v>395</v>
      </c>
    </row>
    <row r="103" spans="1:12" hidden="1">
      <c r="A103" s="213">
        <v>30121328</v>
      </c>
      <c r="B103" s="151" t="s">
        <v>484</v>
      </c>
      <c r="C103" s="151" t="s">
        <v>401</v>
      </c>
      <c r="D103" s="151" t="s">
        <v>402</v>
      </c>
      <c r="E103" s="151" t="s">
        <v>390</v>
      </c>
      <c r="F103" s="213">
        <v>285</v>
      </c>
      <c r="G103" s="151">
        <v>32</v>
      </c>
      <c r="H103" s="151">
        <v>26</v>
      </c>
      <c r="I103" s="151">
        <v>832</v>
      </c>
      <c r="J103" s="151">
        <v>30</v>
      </c>
      <c r="K103" s="151">
        <v>960</v>
      </c>
      <c r="L103" s="151"/>
    </row>
    <row r="104" spans="1:12" hidden="1">
      <c r="A104" s="213">
        <v>30121329</v>
      </c>
      <c r="B104" s="151" t="s">
        <v>485</v>
      </c>
      <c r="C104" s="151" t="s">
        <v>401</v>
      </c>
      <c r="D104" s="151" t="s">
        <v>402</v>
      </c>
      <c r="E104" s="151" t="s">
        <v>390</v>
      </c>
      <c r="F104" s="213">
        <v>290</v>
      </c>
      <c r="G104" s="151">
        <v>32</v>
      </c>
      <c r="H104" s="151">
        <v>26</v>
      </c>
      <c r="I104" s="151">
        <v>832</v>
      </c>
      <c r="J104" s="151">
        <v>30</v>
      </c>
      <c r="K104" s="151">
        <v>960</v>
      </c>
      <c r="L104" s="151"/>
    </row>
    <row r="105" spans="1:12" hidden="1">
      <c r="A105" s="213">
        <v>30124901</v>
      </c>
      <c r="B105" s="151" t="s">
        <v>486</v>
      </c>
      <c r="C105" s="151" t="s">
        <v>487</v>
      </c>
      <c r="D105" s="151" t="s">
        <v>473</v>
      </c>
      <c r="E105" s="151" t="s">
        <v>473</v>
      </c>
      <c r="F105" s="213">
        <v>300</v>
      </c>
      <c r="G105" s="151">
        <v>32</v>
      </c>
      <c r="H105" s="151">
        <v>26</v>
      </c>
      <c r="I105" s="151">
        <v>832</v>
      </c>
      <c r="J105" s="151">
        <v>30</v>
      </c>
      <c r="K105" s="151">
        <v>960</v>
      </c>
      <c r="L105" s="151"/>
    </row>
    <row r="106" spans="1:12" hidden="1">
      <c r="A106" s="213">
        <v>30124902</v>
      </c>
      <c r="B106" s="151" t="s">
        <v>488</v>
      </c>
      <c r="C106" s="151" t="s">
        <v>487</v>
      </c>
      <c r="D106" s="151" t="s">
        <v>473</v>
      </c>
      <c r="E106" s="151" t="s">
        <v>473</v>
      </c>
      <c r="F106" s="213">
        <v>305</v>
      </c>
      <c r="G106" s="151">
        <v>32</v>
      </c>
      <c r="H106" s="151">
        <v>26</v>
      </c>
      <c r="I106" s="151">
        <v>832</v>
      </c>
      <c r="J106" s="151">
        <v>30</v>
      </c>
      <c r="K106" s="151">
        <v>960</v>
      </c>
      <c r="L106" s="151"/>
    </row>
    <row r="107" spans="1:12" hidden="1">
      <c r="A107" s="213">
        <v>30124903</v>
      </c>
      <c r="B107" s="151" t="s">
        <v>489</v>
      </c>
      <c r="C107" s="151" t="s">
        <v>487</v>
      </c>
      <c r="D107" s="151" t="s">
        <v>473</v>
      </c>
      <c r="E107" s="151" t="s">
        <v>473</v>
      </c>
      <c r="F107" s="213">
        <v>310</v>
      </c>
      <c r="G107" s="151">
        <v>32</v>
      </c>
      <c r="H107" s="151">
        <v>26</v>
      </c>
      <c r="I107" s="151">
        <v>832</v>
      </c>
      <c r="J107" s="151">
        <v>30</v>
      </c>
      <c r="K107" s="151">
        <v>960</v>
      </c>
      <c r="L107" s="151"/>
    </row>
    <row r="108" spans="1:12" hidden="1">
      <c r="A108" s="213">
        <v>30124904</v>
      </c>
      <c r="B108" s="151" t="s">
        <v>490</v>
      </c>
      <c r="C108" s="220" t="s">
        <v>487</v>
      </c>
      <c r="D108" s="151" t="s">
        <v>473</v>
      </c>
      <c r="E108" s="151" t="s">
        <v>473</v>
      </c>
      <c r="F108" s="213">
        <v>315</v>
      </c>
      <c r="G108" s="151">
        <v>32</v>
      </c>
      <c r="H108" s="151">
        <v>26</v>
      </c>
      <c r="I108" s="151">
        <v>832</v>
      </c>
      <c r="J108" s="151">
        <v>30</v>
      </c>
      <c r="K108" s="151">
        <v>960</v>
      </c>
      <c r="L108" s="220" t="s">
        <v>395</v>
      </c>
    </row>
    <row r="109" spans="1:12" hidden="1">
      <c r="A109" s="213">
        <v>30124927</v>
      </c>
      <c r="B109" s="151" t="s">
        <v>491</v>
      </c>
      <c r="C109" s="220" t="s">
        <v>487</v>
      </c>
      <c r="D109" s="151" t="s">
        <v>473</v>
      </c>
      <c r="E109" s="151" t="s">
        <v>473</v>
      </c>
      <c r="F109" s="213">
        <v>280</v>
      </c>
      <c r="G109" s="151">
        <v>32</v>
      </c>
      <c r="H109" s="151">
        <v>26</v>
      </c>
      <c r="I109" s="151">
        <v>832</v>
      </c>
      <c r="J109" s="151">
        <v>30</v>
      </c>
      <c r="K109" s="151">
        <v>960</v>
      </c>
      <c r="L109" s="220" t="s">
        <v>395</v>
      </c>
    </row>
    <row r="110" spans="1:12" hidden="1">
      <c r="A110" s="213">
        <v>30124928</v>
      </c>
      <c r="B110" s="151" t="s">
        <v>492</v>
      </c>
      <c r="C110" s="220" t="s">
        <v>487</v>
      </c>
      <c r="D110" s="151" t="s">
        <v>473</v>
      </c>
      <c r="E110" s="151" t="s">
        <v>473</v>
      </c>
      <c r="F110" s="213">
        <v>285</v>
      </c>
      <c r="G110" s="151">
        <v>32</v>
      </c>
      <c r="H110" s="151">
        <v>26</v>
      </c>
      <c r="I110" s="151">
        <v>832</v>
      </c>
      <c r="J110" s="151">
        <v>30</v>
      </c>
      <c r="K110" s="151">
        <v>960</v>
      </c>
      <c r="L110" s="220" t="s">
        <v>395</v>
      </c>
    </row>
    <row r="111" spans="1:12" hidden="1">
      <c r="A111" s="213">
        <v>30124929</v>
      </c>
      <c r="B111" s="151" t="s">
        <v>493</v>
      </c>
      <c r="C111" s="220" t="s">
        <v>487</v>
      </c>
      <c r="D111" s="151" t="s">
        <v>473</v>
      </c>
      <c r="E111" s="151" t="s">
        <v>473</v>
      </c>
      <c r="F111" s="213">
        <v>290</v>
      </c>
      <c r="G111" s="151">
        <v>32</v>
      </c>
      <c r="H111" s="151">
        <v>26</v>
      </c>
      <c r="I111" s="151">
        <v>832</v>
      </c>
      <c r="J111" s="151">
        <v>30</v>
      </c>
      <c r="K111" s="151">
        <v>960</v>
      </c>
      <c r="L111" s="220" t="s">
        <v>395</v>
      </c>
    </row>
    <row r="112" spans="1:12" hidden="1">
      <c r="A112" s="213">
        <v>30124930</v>
      </c>
      <c r="B112" s="151" t="s">
        <v>494</v>
      </c>
      <c r="C112" s="151" t="s">
        <v>487</v>
      </c>
      <c r="D112" s="151" t="s">
        <v>473</v>
      </c>
      <c r="E112" s="151" t="s">
        <v>473</v>
      </c>
      <c r="F112" s="213">
        <v>295</v>
      </c>
      <c r="G112" s="151">
        <v>32</v>
      </c>
      <c r="H112" s="151">
        <v>26</v>
      </c>
      <c r="I112" s="151">
        <v>832</v>
      </c>
      <c r="J112" s="151">
        <v>30</v>
      </c>
      <c r="K112" s="151">
        <v>960</v>
      </c>
      <c r="L112" s="151"/>
    </row>
    <row r="113" spans="1:12" hidden="1">
      <c r="A113" s="213">
        <v>30125001</v>
      </c>
      <c r="B113" s="151" t="s">
        <v>495</v>
      </c>
      <c r="C113" s="151" t="s">
        <v>496</v>
      </c>
      <c r="D113" s="151" t="s">
        <v>473</v>
      </c>
      <c r="E113" s="151" t="s">
        <v>473</v>
      </c>
      <c r="F113" s="213">
        <v>300</v>
      </c>
      <c r="G113" s="151">
        <v>32</v>
      </c>
      <c r="H113" s="151">
        <v>26</v>
      </c>
      <c r="I113" s="151">
        <v>832</v>
      </c>
      <c r="J113" s="151">
        <v>30</v>
      </c>
      <c r="K113" s="151">
        <v>960</v>
      </c>
      <c r="L113" s="151"/>
    </row>
    <row r="114" spans="1:12" hidden="1">
      <c r="A114" s="213">
        <v>30125002</v>
      </c>
      <c r="B114" s="151" t="s">
        <v>497</v>
      </c>
      <c r="C114" s="151" t="s">
        <v>496</v>
      </c>
      <c r="D114" s="151" t="s">
        <v>473</v>
      </c>
      <c r="E114" s="151" t="s">
        <v>473</v>
      </c>
      <c r="F114" s="213">
        <v>305</v>
      </c>
      <c r="G114" s="151">
        <v>32</v>
      </c>
      <c r="H114" s="151">
        <v>26</v>
      </c>
      <c r="I114" s="151">
        <v>832</v>
      </c>
      <c r="J114" s="151">
        <v>30</v>
      </c>
      <c r="K114" s="151">
        <v>960</v>
      </c>
      <c r="L114" s="151"/>
    </row>
    <row r="115" spans="1:12" hidden="1">
      <c r="A115" s="213">
        <v>30125003</v>
      </c>
      <c r="B115" s="151" t="s">
        <v>498</v>
      </c>
      <c r="C115" s="220" t="s">
        <v>487</v>
      </c>
      <c r="D115" s="151" t="s">
        <v>473</v>
      </c>
      <c r="E115" s="151" t="s">
        <v>473</v>
      </c>
      <c r="F115" s="213">
        <v>310</v>
      </c>
      <c r="G115" s="151">
        <v>32</v>
      </c>
      <c r="H115" s="151">
        <v>26</v>
      </c>
      <c r="I115" s="151">
        <v>832</v>
      </c>
      <c r="J115" s="151">
        <v>30</v>
      </c>
      <c r="K115" s="151">
        <v>960</v>
      </c>
      <c r="L115" s="220" t="s">
        <v>395</v>
      </c>
    </row>
    <row r="116" spans="1:12" hidden="1">
      <c r="A116" s="213">
        <v>30125028</v>
      </c>
      <c r="B116" s="151" t="s">
        <v>499</v>
      </c>
      <c r="C116" s="220" t="s">
        <v>487</v>
      </c>
      <c r="D116" s="151" t="s">
        <v>473</v>
      </c>
      <c r="E116" s="151" t="s">
        <v>473</v>
      </c>
      <c r="F116" s="213">
        <v>285</v>
      </c>
      <c r="G116" s="151">
        <v>32</v>
      </c>
      <c r="H116" s="151">
        <v>26</v>
      </c>
      <c r="I116" s="151">
        <v>832</v>
      </c>
      <c r="J116" s="151">
        <v>30</v>
      </c>
      <c r="K116" s="151">
        <v>960</v>
      </c>
      <c r="L116" s="220" t="s">
        <v>395</v>
      </c>
    </row>
    <row r="117" spans="1:12" hidden="1">
      <c r="A117" s="213">
        <v>30125029</v>
      </c>
      <c r="B117" s="151" t="s">
        <v>500</v>
      </c>
      <c r="C117" s="220" t="s">
        <v>487</v>
      </c>
      <c r="D117" s="151" t="s">
        <v>473</v>
      </c>
      <c r="E117" s="151" t="s">
        <v>473</v>
      </c>
      <c r="F117" s="213">
        <v>290</v>
      </c>
      <c r="G117" s="151">
        <v>32</v>
      </c>
      <c r="H117" s="151">
        <v>26</v>
      </c>
      <c r="I117" s="151">
        <v>832</v>
      </c>
      <c r="J117" s="151">
        <v>30</v>
      </c>
      <c r="K117" s="151">
        <v>960</v>
      </c>
      <c r="L117" s="220" t="s">
        <v>395</v>
      </c>
    </row>
    <row r="118" spans="1:12" hidden="1">
      <c r="A118" s="213">
        <v>30125030</v>
      </c>
      <c r="B118" s="151" t="s">
        <v>501</v>
      </c>
      <c r="C118" s="151" t="s">
        <v>496</v>
      </c>
      <c r="D118" s="151" t="s">
        <v>473</v>
      </c>
      <c r="E118" s="151" t="s">
        <v>473</v>
      </c>
      <c r="F118" s="213">
        <v>295</v>
      </c>
      <c r="G118" s="151">
        <v>32</v>
      </c>
      <c r="H118" s="151">
        <v>26</v>
      </c>
      <c r="I118" s="151">
        <v>832</v>
      </c>
      <c r="J118" s="151">
        <v>30</v>
      </c>
      <c r="K118" s="151">
        <v>960</v>
      </c>
      <c r="L118" s="151"/>
    </row>
    <row r="119" spans="1:12" hidden="1">
      <c r="A119" s="213">
        <v>30125201</v>
      </c>
      <c r="B119" s="151" t="s">
        <v>502</v>
      </c>
      <c r="C119" s="151" t="s">
        <v>496</v>
      </c>
      <c r="D119" s="151" t="s">
        <v>473</v>
      </c>
      <c r="E119" s="151" t="s">
        <v>473</v>
      </c>
      <c r="F119" s="213">
        <v>300</v>
      </c>
      <c r="G119" s="151">
        <v>32</v>
      </c>
      <c r="H119" s="151">
        <v>26</v>
      </c>
      <c r="I119" s="151">
        <v>832</v>
      </c>
      <c r="J119" s="151">
        <v>30</v>
      </c>
      <c r="K119" s="151">
        <v>960</v>
      </c>
      <c r="L119" s="151"/>
    </row>
    <row r="120" spans="1:12" hidden="1">
      <c r="A120" s="213">
        <v>30125202</v>
      </c>
      <c r="B120" s="151" t="s">
        <v>503</v>
      </c>
      <c r="C120" s="220" t="s">
        <v>487</v>
      </c>
      <c r="D120" s="151" t="s">
        <v>473</v>
      </c>
      <c r="E120" s="151" t="s">
        <v>473</v>
      </c>
      <c r="F120" s="213">
        <v>305</v>
      </c>
      <c r="G120" s="151">
        <v>32</v>
      </c>
      <c r="H120" s="151">
        <v>26</v>
      </c>
      <c r="I120" s="151">
        <v>832</v>
      </c>
      <c r="J120" s="151">
        <v>30</v>
      </c>
      <c r="K120" s="151">
        <v>960</v>
      </c>
      <c r="L120" s="220" t="s">
        <v>395</v>
      </c>
    </row>
    <row r="121" spans="1:12" hidden="1">
      <c r="A121" s="213">
        <v>30125203</v>
      </c>
      <c r="B121" s="151" t="s">
        <v>498</v>
      </c>
      <c r="C121" s="220" t="s">
        <v>487</v>
      </c>
      <c r="D121" s="151" t="s">
        <v>473</v>
      </c>
      <c r="E121" s="151" t="s">
        <v>473</v>
      </c>
      <c r="F121" s="213">
        <v>310</v>
      </c>
      <c r="G121" s="151">
        <v>32</v>
      </c>
      <c r="H121" s="151">
        <v>26</v>
      </c>
      <c r="I121" s="151">
        <v>832</v>
      </c>
      <c r="J121" s="151">
        <v>30</v>
      </c>
      <c r="K121" s="151">
        <v>960</v>
      </c>
      <c r="L121" s="220" t="s">
        <v>395</v>
      </c>
    </row>
    <row r="122" spans="1:12" hidden="1">
      <c r="A122" s="213">
        <v>30125228</v>
      </c>
      <c r="B122" s="151" t="s">
        <v>499</v>
      </c>
      <c r="C122" s="220" t="s">
        <v>487</v>
      </c>
      <c r="D122" s="151" t="s">
        <v>473</v>
      </c>
      <c r="E122" s="151" t="s">
        <v>473</v>
      </c>
      <c r="F122" s="213">
        <v>285</v>
      </c>
      <c r="G122" s="151">
        <v>32</v>
      </c>
      <c r="H122" s="151">
        <v>26</v>
      </c>
      <c r="I122" s="151">
        <v>832</v>
      </c>
      <c r="J122" s="151">
        <v>30</v>
      </c>
      <c r="K122" s="151">
        <v>960</v>
      </c>
      <c r="L122" s="220" t="s">
        <v>395</v>
      </c>
    </row>
    <row r="123" spans="1:12" hidden="1">
      <c r="A123" s="213">
        <v>30125229</v>
      </c>
      <c r="B123" s="151" t="s">
        <v>500</v>
      </c>
      <c r="C123" s="220" t="s">
        <v>487</v>
      </c>
      <c r="D123" s="151" t="s">
        <v>473</v>
      </c>
      <c r="E123" s="151" t="s">
        <v>473</v>
      </c>
      <c r="F123" s="213">
        <v>290</v>
      </c>
      <c r="G123" s="151">
        <v>32</v>
      </c>
      <c r="H123" s="151">
        <v>26</v>
      </c>
      <c r="I123" s="151">
        <v>832</v>
      </c>
      <c r="J123" s="151">
        <v>30</v>
      </c>
      <c r="K123" s="151">
        <v>960</v>
      </c>
      <c r="L123" s="220" t="s">
        <v>395</v>
      </c>
    </row>
    <row r="124" spans="1:12" hidden="1">
      <c r="A124" s="213">
        <v>30125230</v>
      </c>
      <c r="B124" s="151" t="s">
        <v>504</v>
      </c>
      <c r="C124" s="151" t="s">
        <v>487</v>
      </c>
      <c r="D124" s="151" t="s">
        <v>473</v>
      </c>
      <c r="E124" s="151" t="s">
        <v>473</v>
      </c>
      <c r="F124" s="213">
        <v>295</v>
      </c>
      <c r="G124" s="151">
        <v>32</v>
      </c>
      <c r="H124" s="151">
        <v>26</v>
      </c>
      <c r="I124" s="151">
        <v>832</v>
      </c>
      <c r="J124" s="151">
        <v>30</v>
      </c>
      <c r="K124" s="151">
        <v>960</v>
      </c>
      <c r="L124" s="151"/>
    </row>
    <row r="125" spans="1:12" hidden="1">
      <c r="A125" s="213">
        <v>30125501</v>
      </c>
      <c r="B125" s="151" t="s">
        <v>505</v>
      </c>
      <c r="C125" s="151" t="s">
        <v>506</v>
      </c>
      <c r="D125" s="151" t="s">
        <v>507</v>
      </c>
      <c r="E125" s="151" t="s">
        <v>473</v>
      </c>
      <c r="F125" s="213">
        <v>300</v>
      </c>
      <c r="G125" s="151">
        <v>26</v>
      </c>
      <c r="H125" s="151">
        <v>26</v>
      </c>
      <c r="I125" s="151">
        <v>676</v>
      </c>
      <c r="J125" s="151">
        <v>30</v>
      </c>
      <c r="K125" s="151">
        <v>780</v>
      </c>
      <c r="L125" s="151"/>
    </row>
    <row r="126" spans="1:12" hidden="1">
      <c r="A126" s="213">
        <v>30125502</v>
      </c>
      <c r="B126" s="151" t="s">
        <v>508</v>
      </c>
      <c r="C126" s="151" t="s">
        <v>509</v>
      </c>
      <c r="D126" s="151" t="s">
        <v>507</v>
      </c>
      <c r="E126" s="151" t="s">
        <v>473</v>
      </c>
      <c r="F126" s="213">
        <v>305</v>
      </c>
      <c r="G126" s="151">
        <v>26</v>
      </c>
      <c r="H126" s="151">
        <v>26</v>
      </c>
      <c r="I126" s="151">
        <v>676</v>
      </c>
      <c r="J126" s="151">
        <v>30</v>
      </c>
      <c r="K126" s="151">
        <v>780</v>
      </c>
      <c r="L126" s="151"/>
    </row>
    <row r="127" spans="1:12" hidden="1">
      <c r="A127" s="213">
        <v>30125503</v>
      </c>
      <c r="B127" s="151" t="s">
        <v>510</v>
      </c>
      <c r="C127" s="151" t="s">
        <v>509</v>
      </c>
      <c r="D127" s="151" t="s">
        <v>507</v>
      </c>
      <c r="E127" s="151" t="s">
        <v>473</v>
      </c>
      <c r="F127" s="213">
        <v>310</v>
      </c>
      <c r="G127" s="151">
        <v>26</v>
      </c>
      <c r="H127" s="151">
        <v>26</v>
      </c>
      <c r="I127" s="151">
        <v>676</v>
      </c>
      <c r="J127" s="151">
        <v>30</v>
      </c>
      <c r="K127" s="151">
        <v>780</v>
      </c>
      <c r="L127" s="151"/>
    </row>
    <row r="128" spans="1:12" hidden="1">
      <c r="A128" s="213">
        <v>30125528</v>
      </c>
      <c r="B128" s="151" t="s">
        <v>511</v>
      </c>
      <c r="C128" s="220" t="s">
        <v>506</v>
      </c>
      <c r="D128" s="151" t="s">
        <v>507</v>
      </c>
      <c r="E128" s="151" t="s">
        <v>473</v>
      </c>
      <c r="F128" s="213">
        <v>285</v>
      </c>
      <c r="G128" s="151">
        <v>26</v>
      </c>
      <c r="H128" s="151">
        <v>26</v>
      </c>
      <c r="I128" s="151">
        <v>676</v>
      </c>
      <c r="J128" s="151">
        <v>30</v>
      </c>
      <c r="K128" s="151">
        <v>780</v>
      </c>
      <c r="L128" s="220" t="s">
        <v>395</v>
      </c>
    </row>
    <row r="129" spans="1:12" hidden="1">
      <c r="A129" s="213">
        <v>30125529</v>
      </c>
      <c r="B129" s="151" t="s">
        <v>512</v>
      </c>
      <c r="C129" s="151" t="s">
        <v>509</v>
      </c>
      <c r="D129" s="151" t="s">
        <v>507</v>
      </c>
      <c r="E129" s="151" t="s">
        <v>473</v>
      </c>
      <c r="F129" s="213">
        <v>290</v>
      </c>
      <c r="G129" s="151">
        <v>26</v>
      </c>
      <c r="H129" s="151">
        <v>26</v>
      </c>
      <c r="I129" s="151">
        <v>676</v>
      </c>
      <c r="J129" s="151">
        <v>30</v>
      </c>
      <c r="K129" s="151">
        <v>780</v>
      </c>
      <c r="L129" s="151"/>
    </row>
    <row r="130" spans="1:12" hidden="1">
      <c r="A130" s="213">
        <v>30125530</v>
      </c>
      <c r="B130" s="151" t="s">
        <v>513</v>
      </c>
      <c r="C130" s="151" t="s">
        <v>506</v>
      </c>
      <c r="D130" s="151" t="s">
        <v>507</v>
      </c>
      <c r="E130" s="151" t="s">
        <v>473</v>
      </c>
      <c r="F130" s="213">
        <v>295</v>
      </c>
      <c r="G130" s="151">
        <v>26</v>
      </c>
      <c r="H130" s="151">
        <v>26</v>
      </c>
      <c r="I130" s="151">
        <v>676</v>
      </c>
      <c r="J130" s="151">
        <v>30</v>
      </c>
      <c r="K130" s="151">
        <v>780</v>
      </c>
      <c r="L130" s="151"/>
    </row>
    <row r="131" spans="1:12" hidden="1">
      <c r="A131" s="213">
        <v>30125601</v>
      </c>
      <c r="B131" s="151" t="s">
        <v>514</v>
      </c>
      <c r="C131" s="151" t="s">
        <v>515</v>
      </c>
      <c r="D131" s="151" t="s">
        <v>516</v>
      </c>
      <c r="E131" s="151" t="s">
        <v>473</v>
      </c>
      <c r="F131" s="213">
        <v>300</v>
      </c>
      <c r="G131" s="151">
        <v>32</v>
      </c>
      <c r="H131" s="151">
        <v>26</v>
      </c>
      <c r="I131" s="151">
        <v>832</v>
      </c>
      <c r="J131" s="151">
        <v>30</v>
      </c>
      <c r="K131" s="151">
        <v>960</v>
      </c>
      <c r="L131" s="151"/>
    </row>
    <row r="132" spans="1:12" hidden="1">
      <c r="A132" s="213">
        <v>30125602</v>
      </c>
      <c r="B132" s="151" t="s">
        <v>517</v>
      </c>
      <c r="C132" s="220" t="s">
        <v>515</v>
      </c>
      <c r="D132" s="151" t="s">
        <v>516</v>
      </c>
      <c r="E132" s="151" t="s">
        <v>473</v>
      </c>
      <c r="F132" s="213">
        <v>305</v>
      </c>
      <c r="G132" s="151">
        <v>32</v>
      </c>
      <c r="H132" s="151">
        <v>26</v>
      </c>
      <c r="I132" s="151">
        <v>832</v>
      </c>
      <c r="J132" s="151">
        <v>30</v>
      </c>
      <c r="K132" s="151">
        <v>960</v>
      </c>
      <c r="L132" s="220" t="s">
        <v>395</v>
      </c>
    </row>
    <row r="133" spans="1:12" hidden="1">
      <c r="A133" s="213">
        <v>30125626</v>
      </c>
      <c r="B133" s="151" t="s">
        <v>518</v>
      </c>
      <c r="C133" s="220" t="s">
        <v>515</v>
      </c>
      <c r="D133" s="151" t="s">
        <v>516</v>
      </c>
      <c r="E133" s="151" t="s">
        <v>473</v>
      </c>
      <c r="F133" s="213">
        <v>275</v>
      </c>
      <c r="G133" s="151">
        <v>32</v>
      </c>
      <c r="H133" s="151">
        <v>26</v>
      </c>
      <c r="I133" s="151">
        <v>832</v>
      </c>
      <c r="J133" s="151">
        <v>30</v>
      </c>
      <c r="K133" s="151">
        <v>960</v>
      </c>
      <c r="L133" s="220" t="s">
        <v>395</v>
      </c>
    </row>
    <row r="134" spans="1:12" hidden="1">
      <c r="A134" s="213">
        <v>30125627</v>
      </c>
      <c r="B134" s="151" t="s">
        <v>519</v>
      </c>
      <c r="C134" s="220" t="s">
        <v>515</v>
      </c>
      <c r="D134" s="151" t="s">
        <v>516</v>
      </c>
      <c r="E134" s="151" t="s">
        <v>473</v>
      </c>
      <c r="F134" s="213">
        <v>280</v>
      </c>
      <c r="G134" s="151">
        <v>32</v>
      </c>
      <c r="H134" s="151">
        <v>26</v>
      </c>
      <c r="I134" s="151">
        <v>832</v>
      </c>
      <c r="J134" s="151">
        <v>30</v>
      </c>
      <c r="K134" s="151">
        <v>960</v>
      </c>
      <c r="L134" s="220" t="s">
        <v>395</v>
      </c>
    </row>
    <row r="135" spans="1:12" hidden="1">
      <c r="A135" s="213">
        <v>30125628</v>
      </c>
      <c r="B135" s="151" t="s">
        <v>520</v>
      </c>
      <c r="C135" s="151" t="s">
        <v>515</v>
      </c>
      <c r="D135" s="151" t="s">
        <v>516</v>
      </c>
      <c r="E135" s="151" t="s">
        <v>473</v>
      </c>
      <c r="F135" s="213">
        <v>285</v>
      </c>
      <c r="G135" s="151">
        <v>32</v>
      </c>
      <c r="H135" s="151">
        <v>26</v>
      </c>
      <c r="I135" s="151">
        <v>832</v>
      </c>
      <c r="J135" s="151">
        <v>30</v>
      </c>
      <c r="K135" s="151">
        <v>960</v>
      </c>
      <c r="L135" s="151"/>
    </row>
    <row r="136" spans="1:12" hidden="1">
      <c r="A136" s="213">
        <v>30125629</v>
      </c>
      <c r="B136" s="151" t="s">
        <v>521</v>
      </c>
      <c r="C136" s="151" t="s">
        <v>515</v>
      </c>
      <c r="D136" s="151" t="s">
        <v>516</v>
      </c>
      <c r="E136" s="151" t="s">
        <v>473</v>
      </c>
      <c r="F136" s="213">
        <v>290</v>
      </c>
      <c r="G136" s="151">
        <v>32</v>
      </c>
      <c r="H136" s="151">
        <v>26</v>
      </c>
      <c r="I136" s="151">
        <v>832</v>
      </c>
      <c r="J136" s="151">
        <v>30</v>
      </c>
      <c r="K136" s="151">
        <v>960</v>
      </c>
      <c r="L136" s="151"/>
    </row>
    <row r="137" spans="1:12" hidden="1">
      <c r="A137" s="213">
        <v>30125630</v>
      </c>
      <c r="B137" s="151" t="s">
        <v>522</v>
      </c>
      <c r="C137" s="151" t="s">
        <v>515</v>
      </c>
      <c r="D137" s="151" t="s">
        <v>516</v>
      </c>
      <c r="E137" s="151" t="s">
        <v>473</v>
      </c>
      <c r="F137" s="213">
        <v>295</v>
      </c>
      <c r="G137" s="151">
        <v>32</v>
      </c>
      <c r="H137" s="151">
        <v>26</v>
      </c>
      <c r="I137" s="151">
        <v>832</v>
      </c>
      <c r="J137" s="151">
        <v>30</v>
      </c>
      <c r="K137" s="151">
        <v>960</v>
      </c>
      <c r="L137" s="151"/>
    </row>
    <row r="138" spans="1:12" hidden="1">
      <c r="A138" s="213">
        <v>30125701</v>
      </c>
      <c r="B138" s="151" t="s">
        <v>523</v>
      </c>
      <c r="C138" s="151" t="s">
        <v>515</v>
      </c>
      <c r="D138" s="151" t="s">
        <v>516</v>
      </c>
      <c r="E138" s="151" t="s">
        <v>473</v>
      </c>
      <c r="F138" s="213">
        <v>300</v>
      </c>
      <c r="G138" s="151">
        <v>32</v>
      </c>
      <c r="H138" s="151">
        <v>26</v>
      </c>
      <c r="I138" s="151">
        <v>832</v>
      </c>
      <c r="J138" s="151">
        <v>30</v>
      </c>
      <c r="K138" s="151">
        <v>960</v>
      </c>
      <c r="L138" s="151"/>
    </row>
    <row r="139" spans="1:12" hidden="1">
      <c r="A139" s="213">
        <v>30125702</v>
      </c>
      <c r="B139" s="151" t="s">
        <v>517</v>
      </c>
      <c r="C139" s="151" t="s">
        <v>515</v>
      </c>
      <c r="D139" s="151" t="s">
        <v>516</v>
      </c>
      <c r="E139" s="151" t="s">
        <v>473</v>
      </c>
      <c r="F139" s="213">
        <v>305</v>
      </c>
      <c r="G139" s="151">
        <v>32</v>
      </c>
      <c r="H139" s="151">
        <v>26</v>
      </c>
      <c r="I139" s="151">
        <v>832</v>
      </c>
      <c r="J139" s="151">
        <v>30</v>
      </c>
      <c r="K139" s="151">
        <v>960</v>
      </c>
      <c r="L139" s="151"/>
    </row>
    <row r="140" spans="1:12" hidden="1">
      <c r="A140" s="213">
        <v>30125729</v>
      </c>
      <c r="B140" s="151" t="s">
        <v>524</v>
      </c>
      <c r="C140" s="220" t="s">
        <v>515</v>
      </c>
      <c r="D140" s="151" t="s">
        <v>516</v>
      </c>
      <c r="E140" s="151" t="s">
        <v>473</v>
      </c>
      <c r="F140" s="213">
        <v>290</v>
      </c>
      <c r="G140" s="151">
        <v>32</v>
      </c>
      <c r="H140" s="151">
        <v>26</v>
      </c>
      <c r="I140" s="151">
        <v>832</v>
      </c>
      <c r="J140" s="151">
        <v>30</v>
      </c>
      <c r="K140" s="151">
        <v>960</v>
      </c>
      <c r="L140" s="220" t="s">
        <v>395</v>
      </c>
    </row>
    <row r="141" spans="1:12" hidden="1">
      <c r="A141" s="213">
        <v>30125730</v>
      </c>
      <c r="B141" s="151" t="s">
        <v>525</v>
      </c>
      <c r="C141" s="151" t="s">
        <v>515</v>
      </c>
      <c r="D141" s="151" t="s">
        <v>516</v>
      </c>
      <c r="E141" s="151" t="s">
        <v>473</v>
      </c>
      <c r="F141" s="213">
        <v>295</v>
      </c>
      <c r="G141" s="151">
        <v>32</v>
      </c>
      <c r="H141" s="151">
        <v>26</v>
      </c>
      <c r="I141" s="151">
        <v>832</v>
      </c>
      <c r="J141" s="151">
        <v>30</v>
      </c>
      <c r="K141" s="151">
        <v>960</v>
      </c>
      <c r="L141" s="151"/>
    </row>
    <row r="142" spans="1:12" hidden="1">
      <c r="A142" s="213">
        <v>30140001</v>
      </c>
      <c r="B142" s="151" t="s">
        <v>526</v>
      </c>
      <c r="C142" s="220" t="s">
        <v>527</v>
      </c>
      <c r="D142" s="151" t="s">
        <v>528</v>
      </c>
      <c r="E142" s="151" t="s">
        <v>528</v>
      </c>
      <c r="F142" s="213">
        <v>300</v>
      </c>
      <c r="G142" s="151">
        <v>32</v>
      </c>
      <c r="H142" s="151">
        <v>26</v>
      </c>
      <c r="I142" s="151">
        <v>832</v>
      </c>
      <c r="J142" s="151">
        <v>30</v>
      </c>
      <c r="K142" s="151">
        <v>960</v>
      </c>
      <c r="L142" s="220" t="s">
        <v>395</v>
      </c>
    </row>
    <row r="143" spans="1:12" hidden="1">
      <c r="A143" s="213">
        <v>30140002</v>
      </c>
      <c r="B143" s="151" t="s">
        <v>529</v>
      </c>
      <c r="C143" s="220" t="s">
        <v>527</v>
      </c>
      <c r="D143" s="151" t="s">
        <v>528</v>
      </c>
      <c r="E143" s="151" t="s">
        <v>528</v>
      </c>
      <c r="F143" s="213">
        <v>305</v>
      </c>
      <c r="G143" s="151">
        <v>32</v>
      </c>
      <c r="H143" s="151">
        <v>26</v>
      </c>
      <c r="I143" s="151">
        <v>832</v>
      </c>
      <c r="J143" s="151">
        <v>30</v>
      </c>
      <c r="K143" s="151">
        <v>960</v>
      </c>
      <c r="L143" s="220" t="s">
        <v>395</v>
      </c>
    </row>
    <row r="144" spans="1:12" hidden="1">
      <c r="A144" s="213">
        <v>30140003</v>
      </c>
      <c r="B144" s="151" t="s">
        <v>530</v>
      </c>
      <c r="C144" s="151" t="s">
        <v>527</v>
      </c>
      <c r="D144" s="151" t="s">
        <v>528</v>
      </c>
      <c r="E144" s="151" t="s">
        <v>528</v>
      </c>
      <c r="F144" s="213">
        <v>310</v>
      </c>
      <c r="G144" s="151">
        <v>32</v>
      </c>
      <c r="H144" s="151">
        <v>26</v>
      </c>
      <c r="I144" s="151">
        <v>832</v>
      </c>
      <c r="J144" s="151">
        <v>30</v>
      </c>
      <c r="K144" s="151">
        <v>960</v>
      </c>
      <c r="L144" s="151"/>
    </row>
    <row r="145" spans="1:12" hidden="1">
      <c r="A145" s="213">
        <v>30140004</v>
      </c>
      <c r="B145" s="151" t="s">
        <v>531</v>
      </c>
      <c r="C145" s="151" t="s">
        <v>527</v>
      </c>
      <c r="D145" s="151" t="s">
        <v>528</v>
      </c>
      <c r="E145" s="151" t="s">
        <v>528</v>
      </c>
      <c r="F145" s="213">
        <v>315</v>
      </c>
      <c r="G145" s="151">
        <v>32</v>
      </c>
      <c r="H145" s="151">
        <v>26</v>
      </c>
      <c r="I145" s="151">
        <v>832</v>
      </c>
      <c r="J145" s="151">
        <v>30</v>
      </c>
      <c r="K145" s="151">
        <v>960</v>
      </c>
      <c r="L145" s="151"/>
    </row>
    <row r="146" spans="1:12" hidden="1">
      <c r="A146" s="213">
        <v>30140005</v>
      </c>
      <c r="B146" s="151" t="s">
        <v>532</v>
      </c>
      <c r="C146" s="151" t="s">
        <v>527</v>
      </c>
      <c r="D146" s="151" t="s">
        <v>528</v>
      </c>
      <c r="E146" s="151" t="s">
        <v>528</v>
      </c>
      <c r="F146" s="213">
        <v>320</v>
      </c>
      <c r="G146" s="151">
        <v>32</v>
      </c>
      <c r="H146" s="151">
        <v>26</v>
      </c>
      <c r="I146" s="151">
        <v>832</v>
      </c>
      <c r="J146" s="151">
        <v>30</v>
      </c>
      <c r="K146" s="151">
        <v>960</v>
      </c>
      <c r="L146" s="151"/>
    </row>
    <row r="147" spans="1:12" hidden="1">
      <c r="A147" s="213">
        <v>30140006</v>
      </c>
      <c r="B147" s="151" t="s">
        <v>533</v>
      </c>
      <c r="C147" s="151" t="s">
        <v>527</v>
      </c>
      <c r="D147" s="151" t="s">
        <v>528</v>
      </c>
      <c r="E147" s="151" t="s">
        <v>528</v>
      </c>
      <c r="F147" s="213">
        <v>325</v>
      </c>
      <c r="G147" s="151">
        <v>32</v>
      </c>
      <c r="H147" s="151">
        <v>26</v>
      </c>
      <c r="I147" s="151">
        <v>832</v>
      </c>
      <c r="J147" s="151">
        <v>30</v>
      </c>
      <c r="K147" s="151">
        <v>960</v>
      </c>
      <c r="L147" s="151"/>
    </row>
    <row r="148" spans="1:12" hidden="1">
      <c r="A148" s="213">
        <v>30140029</v>
      </c>
      <c r="B148" s="151" t="s">
        <v>534</v>
      </c>
      <c r="C148" s="220" t="s">
        <v>527</v>
      </c>
      <c r="D148" s="151" t="s">
        <v>528</v>
      </c>
      <c r="E148" s="151" t="s">
        <v>528</v>
      </c>
      <c r="F148" s="213">
        <v>290</v>
      </c>
      <c r="G148" s="151">
        <v>32</v>
      </c>
      <c r="H148" s="151">
        <v>26</v>
      </c>
      <c r="I148" s="151">
        <v>832</v>
      </c>
      <c r="J148" s="151">
        <v>30</v>
      </c>
      <c r="K148" s="151">
        <v>960</v>
      </c>
      <c r="L148" s="220" t="s">
        <v>395</v>
      </c>
    </row>
    <row r="149" spans="1:12" hidden="1">
      <c r="A149" s="213">
        <v>30140030</v>
      </c>
      <c r="B149" s="151" t="s">
        <v>535</v>
      </c>
      <c r="C149" s="220" t="s">
        <v>527</v>
      </c>
      <c r="D149" s="151" t="s">
        <v>528</v>
      </c>
      <c r="E149" s="151" t="s">
        <v>528</v>
      </c>
      <c r="F149" s="213">
        <v>295</v>
      </c>
      <c r="G149" s="151">
        <v>32</v>
      </c>
      <c r="H149" s="151">
        <v>26</v>
      </c>
      <c r="I149" s="151">
        <v>832</v>
      </c>
      <c r="J149" s="151">
        <v>30</v>
      </c>
      <c r="K149" s="151">
        <v>960</v>
      </c>
      <c r="L149" s="220" t="s">
        <v>395</v>
      </c>
    </row>
    <row r="150" spans="1:12" hidden="1">
      <c r="A150" s="213">
        <v>30140101</v>
      </c>
      <c r="B150" s="151" t="s">
        <v>526</v>
      </c>
      <c r="C150" s="220" t="s">
        <v>527</v>
      </c>
      <c r="D150" s="151" t="s">
        <v>528</v>
      </c>
      <c r="E150" s="151" t="s">
        <v>528</v>
      </c>
      <c r="F150" s="213">
        <v>300</v>
      </c>
      <c r="G150" s="151">
        <v>32</v>
      </c>
      <c r="H150" s="151">
        <v>26</v>
      </c>
      <c r="I150" s="151">
        <v>832</v>
      </c>
      <c r="J150" s="151">
        <v>30</v>
      </c>
      <c r="K150" s="151">
        <v>960</v>
      </c>
      <c r="L150" s="220" t="s">
        <v>395</v>
      </c>
    </row>
    <row r="151" spans="1:12" hidden="1">
      <c r="A151" s="213">
        <v>30140102</v>
      </c>
      <c r="B151" s="151" t="s">
        <v>529</v>
      </c>
      <c r="C151" s="220" t="s">
        <v>527</v>
      </c>
      <c r="D151" s="151" t="s">
        <v>528</v>
      </c>
      <c r="E151" s="151" t="s">
        <v>528</v>
      </c>
      <c r="F151" s="213">
        <v>305</v>
      </c>
      <c r="G151" s="151">
        <v>32</v>
      </c>
      <c r="H151" s="151">
        <v>26</v>
      </c>
      <c r="I151" s="151">
        <v>832</v>
      </c>
      <c r="J151" s="151">
        <v>30</v>
      </c>
      <c r="K151" s="151">
        <v>960</v>
      </c>
      <c r="L151" s="220" t="s">
        <v>395</v>
      </c>
    </row>
    <row r="152" spans="1:12" hidden="1">
      <c r="A152" s="213">
        <v>30140103</v>
      </c>
      <c r="B152" s="151" t="s">
        <v>530</v>
      </c>
      <c r="C152" s="220" t="s">
        <v>527</v>
      </c>
      <c r="D152" s="151" t="s">
        <v>528</v>
      </c>
      <c r="E152" s="151" t="s">
        <v>528</v>
      </c>
      <c r="F152" s="213">
        <v>310</v>
      </c>
      <c r="G152" s="151">
        <v>32</v>
      </c>
      <c r="H152" s="151">
        <v>26</v>
      </c>
      <c r="I152" s="151">
        <v>832</v>
      </c>
      <c r="J152" s="151">
        <v>30</v>
      </c>
      <c r="K152" s="151">
        <v>960</v>
      </c>
      <c r="L152" s="220" t="s">
        <v>395</v>
      </c>
    </row>
    <row r="153" spans="1:12" hidden="1">
      <c r="A153" s="213">
        <v>30140104</v>
      </c>
      <c r="B153" s="151" t="s">
        <v>536</v>
      </c>
      <c r="C153" s="151" t="s">
        <v>527</v>
      </c>
      <c r="D153" s="151" t="s">
        <v>528</v>
      </c>
      <c r="E153" s="151" t="s">
        <v>528</v>
      </c>
      <c r="F153" s="213">
        <v>315</v>
      </c>
      <c r="G153" s="151">
        <v>32</v>
      </c>
      <c r="H153" s="151">
        <v>26</v>
      </c>
      <c r="I153" s="151">
        <v>832</v>
      </c>
      <c r="J153" s="151">
        <v>30</v>
      </c>
      <c r="K153" s="151">
        <v>960</v>
      </c>
      <c r="L153" s="151"/>
    </row>
    <row r="154" spans="1:12" hidden="1">
      <c r="A154" s="213">
        <v>30140105</v>
      </c>
      <c r="B154" s="151" t="s">
        <v>537</v>
      </c>
      <c r="C154" s="151" t="s">
        <v>527</v>
      </c>
      <c r="D154" s="151" t="s">
        <v>528</v>
      </c>
      <c r="E154" s="151" t="s">
        <v>528</v>
      </c>
      <c r="F154" s="213">
        <v>320</v>
      </c>
      <c r="G154" s="151">
        <v>32</v>
      </c>
      <c r="H154" s="151">
        <v>26</v>
      </c>
      <c r="I154" s="151">
        <v>832</v>
      </c>
      <c r="J154" s="151">
        <v>30</v>
      </c>
      <c r="K154" s="151">
        <v>960</v>
      </c>
      <c r="L154" s="151"/>
    </row>
    <row r="155" spans="1:12" hidden="1">
      <c r="A155" s="213">
        <v>30140106</v>
      </c>
      <c r="B155" s="151" t="s">
        <v>538</v>
      </c>
      <c r="C155" s="151" t="s">
        <v>527</v>
      </c>
      <c r="D155" s="151" t="s">
        <v>528</v>
      </c>
      <c r="E155" s="151" t="s">
        <v>528</v>
      </c>
      <c r="F155" s="213">
        <v>325</v>
      </c>
      <c r="G155" s="151">
        <v>32</v>
      </c>
      <c r="H155" s="151">
        <v>26</v>
      </c>
      <c r="I155" s="151">
        <v>832</v>
      </c>
      <c r="J155" s="151">
        <v>30</v>
      </c>
      <c r="K155" s="151">
        <v>960</v>
      </c>
      <c r="L155" s="151"/>
    </row>
    <row r="156" spans="1:12" hidden="1">
      <c r="A156" s="213">
        <v>30140107</v>
      </c>
      <c r="B156" s="151" t="s">
        <v>539</v>
      </c>
      <c r="C156" s="220" t="s">
        <v>527</v>
      </c>
      <c r="D156" s="151" t="s">
        <v>528</v>
      </c>
      <c r="E156" s="151" t="s">
        <v>528</v>
      </c>
      <c r="F156" s="213">
        <v>330</v>
      </c>
      <c r="G156" s="151">
        <v>32</v>
      </c>
      <c r="H156" s="151">
        <v>26</v>
      </c>
      <c r="I156" s="151">
        <v>832</v>
      </c>
      <c r="J156" s="151">
        <v>30</v>
      </c>
      <c r="K156" s="151">
        <v>960</v>
      </c>
      <c r="L156" s="220" t="s">
        <v>395</v>
      </c>
    </row>
    <row r="157" spans="1:12" hidden="1">
      <c r="A157" s="213">
        <v>30140108</v>
      </c>
      <c r="B157" s="151" t="s">
        <v>540</v>
      </c>
      <c r="C157" s="220" t="s">
        <v>527</v>
      </c>
      <c r="D157" s="151" t="s">
        <v>528</v>
      </c>
      <c r="E157" s="151" t="s">
        <v>528</v>
      </c>
      <c r="F157" s="213">
        <v>335</v>
      </c>
      <c r="G157" s="151">
        <v>32</v>
      </c>
      <c r="H157" s="151">
        <v>26</v>
      </c>
      <c r="I157" s="151">
        <v>832</v>
      </c>
      <c r="J157" s="151">
        <v>30</v>
      </c>
      <c r="K157" s="151">
        <v>960</v>
      </c>
      <c r="L157" s="220" t="s">
        <v>395</v>
      </c>
    </row>
    <row r="158" spans="1:12" hidden="1">
      <c r="A158" s="213">
        <v>30140109</v>
      </c>
      <c r="B158" s="151" t="s">
        <v>541</v>
      </c>
      <c r="C158" s="220" t="s">
        <v>527</v>
      </c>
      <c r="D158" s="151" t="s">
        <v>528</v>
      </c>
      <c r="E158" s="151" t="s">
        <v>528</v>
      </c>
      <c r="F158" s="213">
        <v>340</v>
      </c>
      <c r="G158" s="151">
        <v>32</v>
      </c>
      <c r="H158" s="151">
        <v>26</v>
      </c>
      <c r="I158" s="151">
        <v>832</v>
      </c>
      <c r="J158" s="151">
        <v>30</v>
      </c>
      <c r="K158" s="151">
        <v>960</v>
      </c>
      <c r="L158" s="220" t="s">
        <v>395</v>
      </c>
    </row>
    <row r="159" spans="1:12" hidden="1">
      <c r="A159" s="213">
        <v>30140110</v>
      </c>
      <c r="B159" s="151" t="s">
        <v>542</v>
      </c>
      <c r="C159" s="220" t="s">
        <v>527</v>
      </c>
      <c r="D159" s="151" t="s">
        <v>528</v>
      </c>
      <c r="E159" s="151" t="s">
        <v>528</v>
      </c>
      <c r="F159" s="213">
        <v>345</v>
      </c>
      <c r="G159" s="151">
        <v>32</v>
      </c>
      <c r="H159" s="151">
        <v>26</v>
      </c>
      <c r="I159" s="151">
        <v>832</v>
      </c>
      <c r="J159" s="151">
        <v>30</v>
      </c>
      <c r="K159" s="151">
        <v>960</v>
      </c>
      <c r="L159" s="220" t="s">
        <v>395</v>
      </c>
    </row>
    <row r="160" spans="1:12" hidden="1">
      <c r="A160" s="213">
        <v>30140111</v>
      </c>
      <c r="B160" s="151" t="s">
        <v>543</v>
      </c>
      <c r="C160" s="220" t="s">
        <v>527</v>
      </c>
      <c r="D160" s="151" t="s">
        <v>528</v>
      </c>
      <c r="E160" s="151" t="s">
        <v>528</v>
      </c>
      <c r="F160" s="213">
        <v>350</v>
      </c>
      <c r="G160" s="151">
        <v>32</v>
      </c>
      <c r="H160" s="151">
        <v>26</v>
      </c>
      <c r="I160" s="151">
        <v>832</v>
      </c>
      <c r="J160" s="151">
        <v>30</v>
      </c>
      <c r="K160" s="151">
        <v>960</v>
      </c>
      <c r="L160" s="220" t="s">
        <v>395</v>
      </c>
    </row>
    <row r="161" spans="1:12" hidden="1">
      <c r="A161" s="213">
        <v>30140112</v>
      </c>
      <c r="B161" s="151" t="s">
        <v>544</v>
      </c>
      <c r="C161" s="220" t="s">
        <v>527</v>
      </c>
      <c r="D161" s="151" t="s">
        <v>528</v>
      </c>
      <c r="E161" s="151" t="s">
        <v>528</v>
      </c>
      <c r="F161" s="213">
        <v>355</v>
      </c>
      <c r="G161" s="151">
        <v>32</v>
      </c>
      <c r="H161" s="151">
        <v>26</v>
      </c>
      <c r="I161" s="151">
        <v>832</v>
      </c>
      <c r="J161" s="151">
        <v>30</v>
      </c>
      <c r="K161" s="151">
        <v>960</v>
      </c>
      <c r="L161" s="220" t="s">
        <v>395</v>
      </c>
    </row>
    <row r="162" spans="1:12" hidden="1">
      <c r="A162" s="213">
        <v>12002486</v>
      </c>
      <c r="B162" s="151" t="s">
        <v>545</v>
      </c>
      <c r="C162" s="151" t="s">
        <v>546</v>
      </c>
      <c r="D162" s="151" t="s">
        <v>528</v>
      </c>
      <c r="E162" s="151" t="s">
        <v>528</v>
      </c>
      <c r="F162" s="213">
        <v>315</v>
      </c>
      <c r="G162" s="151">
        <v>32</v>
      </c>
      <c r="H162" s="151">
        <v>26</v>
      </c>
      <c r="I162" s="151">
        <v>832</v>
      </c>
      <c r="J162" s="151">
        <v>30</v>
      </c>
      <c r="K162" s="151">
        <v>960</v>
      </c>
      <c r="L162" s="151"/>
    </row>
    <row r="163" spans="1:12" hidden="1">
      <c r="A163" s="213">
        <v>12002482</v>
      </c>
      <c r="B163" s="151" t="s">
        <v>547</v>
      </c>
      <c r="C163" s="151" t="s">
        <v>546</v>
      </c>
      <c r="D163" s="151" t="s">
        <v>528</v>
      </c>
      <c r="E163" s="151" t="s">
        <v>528</v>
      </c>
      <c r="F163" s="213">
        <v>335</v>
      </c>
      <c r="G163" s="151">
        <v>32</v>
      </c>
      <c r="H163" s="151">
        <v>26</v>
      </c>
      <c r="I163" s="151">
        <v>832</v>
      </c>
      <c r="J163" s="151">
        <v>30</v>
      </c>
      <c r="K163" s="151">
        <v>960</v>
      </c>
      <c r="L163" s="151"/>
    </row>
    <row r="164" spans="1:12" hidden="1">
      <c r="A164" s="213">
        <v>12002483</v>
      </c>
      <c r="B164" s="151" t="s">
        <v>548</v>
      </c>
      <c r="C164" s="151" t="s">
        <v>546</v>
      </c>
      <c r="D164" s="151" t="s">
        <v>528</v>
      </c>
      <c r="E164" s="151" t="s">
        <v>528</v>
      </c>
      <c r="F164" s="213">
        <v>330</v>
      </c>
      <c r="G164" s="151">
        <v>32</v>
      </c>
      <c r="H164" s="151">
        <v>26</v>
      </c>
      <c r="I164" s="151">
        <v>832</v>
      </c>
      <c r="J164" s="151">
        <v>30</v>
      </c>
      <c r="K164" s="151">
        <v>960</v>
      </c>
      <c r="L164" s="151"/>
    </row>
    <row r="165" spans="1:12" hidden="1">
      <c r="A165" s="213">
        <v>12002484</v>
      </c>
      <c r="B165" s="151" t="s">
        <v>549</v>
      </c>
      <c r="C165" s="151" t="s">
        <v>546</v>
      </c>
      <c r="D165" s="151" t="s">
        <v>528</v>
      </c>
      <c r="E165" s="151" t="s">
        <v>528</v>
      </c>
      <c r="F165" s="213">
        <v>325</v>
      </c>
      <c r="G165" s="151">
        <v>32</v>
      </c>
      <c r="H165" s="151">
        <v>26</v>
      </c>
      <c r="I165" s="151">
        <v>832</v>
      </c>
      <c r="J165" s="151">
        <v>30</v>
      </c>
      <c r="K165" s="151">
        <v>960</v>
      </c>
      <c r="L165" s="151"/>
    </row>
    <row r="166" spans="1:12" hidden="1">
      <c r="A166" s="213">
        <v>12002485</v>
      </c>
      <c r="B166" s="151" t="s">
        <v>550</v>
      </c>
      <c r="C166" s="151" t="s">
        <v>546</v>
      </c>
      <c r="D166" s="151" t="s">
        <v>528</v>
      </c>
      <c r="E166" s="151" t="s">
        <v>528</v>
      </c>
      <c r="F166" s="213">
        <v>320</v>
      </c>
      <c r="G166" s="151">
        <v>32</v>
      </c>
      <c r="H166" s="151">
        <v>26</v>
      </c>
      <c r="I166" s="151">
        <v>832</v>
      </c>
      <c r="J166" s="151">
        <v>30</v>
      </c>
      <c r="K166" s="151">
        <v>960</v>
      </c>
      <c r="L166" s="151"/>
    </row>
    <row r="167" spans="1:12" hidden="1">
      <c r="A167" s="213">
        <v>3035604</v>
      </c>
      <c r="B167" s="151" t="s">
        <v>551</v>
      </c>
      <c r="C167" s="151" t="s">
        <v>552</v>
      </c>
      <c r="D167" s="151" t="s">
        <v>553</v>
      </c>
      <c r="E167" s="151" t="s">
        <v>528</v>
      </c>
      <c r="F167" s="213">
        <v>315</v>
      </c>
      <c r="G167" s="151">
        <v>32</v>
      </c>
      <c r="H167" s="151">
        <v>26</v>
      </c>
      <c r="I167" s="151">
        <v>832</v>
      </c>
      <c r="J167" s="151">
        <v>30</v>
      </c>
      <c r="K167" s="151">
        <v>960</v>
      </c>
      <c r="L167" s="151"/>
    </row>
    <row r="168" spans="1:12" hidden="1">
      <c r="A168" s="213">
        <v>3035605</v>
      </c>
      <c r="B168" s="151" t="s">
        <v>554</v>
      </c>
      <c r="C168" s="151" t="s">
        <v>552</v>
      </c>
      <c r="D168" s="151" t="s">
        <v>553</v>
      </c>
      <c r="E168" s="151" t="s">
        <v>528</v>
      </c>
      <c r="F168" s="213">
        <v>320</v>
      </c>
      <c r="G168" s="151">
        <v>32</v>
      </c>
      <c r="H168" s="151">
        <v>26</v>
      </c>
      <c r="I168" s="151">
        <v>832</v>
      </c>
      <c r="J168" s="151">
        <v>30</v>
      </c>
      <c r="K168" s="151">
        <v>960</v>
      </c>
      <c r="L168" s="151"/>
    </row>
    <row r="169" spans="1:12" hidden="1">
      <c r="A169" s="213">
        <v>30356105</v>
      </c>
      <c r="B169" s="151" t="s">
        <v>555</v>
      </c>
      <c r="C169" s="151" t="s">
        <v>552</v>
      </c>
      <c r="D169" s="151" t="s">
        <v>553</v>
      </c>
      <c r="E169" s="151" t="s">
        <v>528</v>
      </c>
      <c r="F169" s="213">
        <v>320</v>
      </c>
      <c r="G169" s="151">
        <v>32</v>
      </c>
      <c r="H169" s="151">
        <v>26</v>
      </c>
      <c r="I169" s="151">
        <v>832</v>
      </c>
      <c r="J169" s="151">
        <v>30</v>
      </c>
      <c r="K169" s="151">
        <v>960</v>
      </c>
      <c r="L169" s="151"/>
    </row>
    <row r="170" spans="1:12" hidden="1">
      <c r="A170" s="215">
        <v>3035603</v>
      </c>
      <c r="B170" s="151" t="s">
        <v>556</v>
      </c>
      <c r="C170" s="151" t="s">
        <v>552</v>
      </c>
      <c r="D170" s="151" t="s">
        <v>553</v>
      </c>
      <c r="E170" s="151" t="s">
        <v>528</v>
      </c>
      <c r="F170" s="213">
        <v>310</v>
      </c>
      <c r="G170" s="151">
        <v>32</v>
      </c>
      <c r="H170" s="151">
        <v>26</v>
      </c>
      <c r="I170" s="151">
        <v>832</v>
      </c>
      <c r="J170" s="151">
        <v>30</v>
      </c>
      <c r="K170" s="151">
        <v>960</v>
      </c>
      <c r="L170" s="151"/>
    </row>
    <row r="171" spans="1:12" hidden="1">
      <c r="A171" s="213">
        <v>30141102</v>
      </c>
      <c r="B171" s="151" t="s">
        <v>557</v>
      </c>
      <c r="C171" s="151" t="s">
        <v>552</v>
      </c>
      <c r="D171" s="151" t="s">
        <v>553</v>
      </c>
      <c r="E171" s="151" t="s">
        <v>528</v>
      </c>
      <c r="F171" s="213">
        <v>305</v>
      </c>
      <c r="G171" s="151">
        <v>32</v>
      </c>
      <c r="H171" s="151">
        <v>26</v>
      </c>
      <c r="I171" s="151">
        <v>832</v>
      </c>
      <c r="J171" s="151">
        <v>30</v>
      </c>
      <c r="K171" s="151">
        <v>960</v>
      </c>
      <c r="L171" s="151"/>
    </row>
    <row r="172" spans="1:12" hidden="1">
      <c r="A172" s="213">
        <v>30141103</v>
      </c>
      <c r="B172" s="151" t="s">
        <v>558</v>
      </c>
      <c r="C172" s="151" t="s">
        <v>552</v>
      </c>
      <c r="D172" s="151" t="s">
        <v>553</v>
      </c>
      <c r="E172" s="151" t="s">
        <v>528</v>
      </c>
      <c r="F172" s="213">
        <v>310</v>
      </c>
      <c r="G172" s="151">
        <v>32</v>
      </c>
      <c r="H172" s="151">
        <v>26</v>
      </c>
      <c r="I172" s="151">
        <v>832</v>
      </c>
      <c r="J172" s="151">
        <v>30</v>
      </c>
      <c r="K172" s="151">
        <v>960</v>
      </c>
      <c r="L172" s="151"/>
    </row>
    <row r="173" spans="1:12" hidden="1">
      <c r="A173" s="213">
        <v>30141104</v>
      </c>
      <c r="B173" s="151" t="s">
        <v>559</v>
      </c>
      <c r="C173" s="151" t="s">
        <v>552</v>
      </c>
      <c r="D173" s="151" t="s">
        <v>553</v>
      </c>
      <c r="E173" s="151" t="s">
        <v>528</v>
      </c>
      <c r="F173" s="213">
        <v>315</v>
      </c>
      <c r="G173" s="151">
        <v>32</v>
      </c>
      <c r="H173" s="151">
        <v>26</v>
      </c>
      <c r="I173" s="151">
        <v>832</v>
      </c>
      <c r="J173" s="151">
        <v>30</v>
      </c>
      <c r="K173" s="151">
        <v>960</v>
      </c>
      <c r="L173" s="151"/>
    </row>
    <row r="174" spans="1:12" hidden="1">
      <c r="A174" s="213">
        <v>30141129</v>
      </c>
      <c r="B174" s="151" t="s">
        <v>560</v>
      </c>
      <c r="C174" s="220" t="s">
        <v>552</v>
      </c>
      <c r="D174" s="151" t="s">
        <v>553</v>
      </c>
      <c r="E174" s="151" t="s">
        <v>528</v>
      </c>
      <c r="F174" s="213">
        <v>290</v>
      </c>
      <c r="G174" s="151">
        <v>32</v>
      </c>
      <c r="H174" s="151">
        <v>26</v>
      </c>
      <c r="I174" s="151">
        <v>832</v>
      </c>
      <c r="J174" s="151">
        <v>30</v>
      </c>
      <c r="K174" s="151">
        <v>960</v>
      </c>
      <c r="L174" s="220" t="s">
        <v>395</v>
      </c>
    </row>
    <row r="175" spans="1:12" hidden="1">
      <c r="A175" s="213">
        <v>30141130</v>
      </c>
      <c r="B175" s="151" t="s">
        <v>561</v>
      </c>
      <c r="C175" s="220" t="s">
        <v>552</v>
      </c>
      <c r="D175" s="151" t="s">
        <v>553</v>
      </c>
      <c r="E175" s="151" t="s">
        <v>528</v>
      </c>
      <c r="F175" s="213">
        <v>295</v>
      </c>
      <c r="G175" s="151">
        <v>32</v>
      </c>
      <c r="H175" s="151">
        <v>26</v>
      </c>
      <c r="I175" s="151">
        <v>832</v>
      </c>
      <c r="J175" s="151">
        <v>30</v>
      </c>
      <c r="K175" s="151">
        <v>960</v>
      </c>
      <c r="L175" s="220" t="s">
        <v>395</v>
      </c>
    </row>
    <row r="176" spans="1:12" hidden="1">
      <c r="A176" s="213">
        <v>30160202</v>
      </c>
      <c r="B176" s="151" t="s">
        <v>562</v>
      </c>
      <c r="C176" s="220" t="s">
        <v>563</v>
      </c>
      <c r="D176" s="151" t="s">
        <v>564</v>
      </c>
      <c r="E176" s="151" t="s">
        <v>565</v>
      </c>
      <c r="F176" s="213">
        <v>322</v>
      </c>
      <c r="G176" s="151"/>
      <c r="H176" s="151"/>
      <c r="I176" s="151">
        <v>0</v>
      </c>
      <c r="J176" s="151"/>
      <c r="K176" s="151">
        <v>0</v>
      </c>
      <c r="L176" s="220" t="s">
        <v>395</v>
      </c>
    </row>
    <row r="177" spans="1:12" hidden="1">
      <c r="A177" s="213">
        <v>30160284</v>
      </c>
      <c r="B177" s="151" t="s">
        <v>562</v>
      </c>
      <c r="C177" s="151" t="s">
        <v>563</v>
      </c>
      <c r="D177" s="151" t="s">
        <v>564</v>
      </c>
      <c r="E177" s="151" t="s">
        <v>565</v>
      </c>
      <c r="F177" s="213">
        <v>322</v>
      </c>
      <c r="G177" s="151"/>
      <c r="H177" s="151"/>
      <c r="I177" s="151">
        <v>0</v>
      </c>
      <c r="J177" s="151"/>
      <c r="K177" s="151">
        <v>0</v>
      </c>
      <c r="L177" s="151"/>
    </row>
    <row r="178" spans="1:12" hidden="1">
      <c r="A178" s="213">
        <v>30161308</v>
      </c>
      <c r="B178" s="151" t="s">
        <v>566</v>
      </c>
      <c r="C178" s="151" t="s">
        <v>443</v>
      </c>
      <c r="D178" s="151" t="s">
        <v>389</v>
      </c>
      <c r="E178" s="151" t="s">
        <v>390</v>
      </c>
      <c r="F178" s="213">
        <v>335</v>
      </c>
      <c r="G178" s="151">
        <v>29</v>
      </c>
      <c r="H178" s="151">
        <v>22</v>
      </c>
      <c r="I178" s="151">
        <v>638</v>
      </c>
      <c r="J178" s="151">
        <v>26</v>
      </c>
      <c r="K178" s="151">
        <v>754</v>
      </c>
      <c r="L178" s="151"/>
    </row>
    <row r="179" spans="1:12" hidden="1">
      <c r="A179" s="213">
        <v>30161385</v>
      </c>
      <c r="B179" s="151" t="s">
        <v>567</v>
      </c>
      <c r="C179" s="151" t="s">
        <v>443</v>
      </c>
      <c r="D179" s="151" t="s">
        <v>389</v>
      </c>
      <c r="E179" s="151" t="s">
        <v>390</v>
      </c>
      <c r="F179" s="213">
        <v>332</v>
      </c>
      <c r="G179" s="151">
        <v>29</v>
      </c>
      <c r="H179" s="151">
        <v>22</v>
      </c>
      <c r="I179" s="151">
        <v>638</v>
      </c>
      <c r="J179" s="151">
        <v>26</v>
      </c>
      <c r="K179" s="151">
        <v>754</v>
      </c>
      <c r="L179" s="151"/>
    </row>
    <row r="180" spans="1:12" hidden="1">
      <c r="A180" s="213">
        <v>30170077</v>
      </c>
      <c r="B180" s="151" t="s">
        <v>568</v>
      </c>
      <c r="C180" s="151" t="s">
        <v>569</v>
      </c>
      <c r="D180" s="151" t="s">
        <v>570</v>
      </c>
      <c r="E180" s="151" t="s">
        <v>565</v>
      </c>
      <c r="F180" s="213">
        <v>267</v>
      </c>
      <c r="G180" s="151"/>
      <c r="H180" s="151"/>
      <c r="I180" s="151">
        <v>0</v>
      </c>
      <c r="J180" s="151"/>
      <c r="K180" s="151">
        <v>0</v>
      </c>
      <c r="L180" s="151"/>
    </row>
    <row r="181" spans="1:12" hidden="1">
      <c r="A181" s="213">
        <v>30170123</v>
      </c>
      <c r="B181" s="151" t="s">
        <v>571</v>
      </c>
      <c r="C181" s="151" t="s">
        <v>572</v>
      </c>
      <c r="D181" s="151" t="s">
        <v>573</v>
      </c>
      <c r="E181" s="151" t="s">
        <v>565</v>
      </c>
      <c r="F181" s="213">
        <v>260</v>
      </c>
      <c r="G181" s="151"/>
      <c r="H181" s="151"/>
      <c r="I181" s="151">
        <v>0</v>
      </c>
      <c r="J181" s="151"/>
      <c r="K181" s="151">
        <v>0</v>
      </c>
      <c r="L181" s="151"/>
    </row>
    <row r="182" spans="1:12" hidden="1">
      <c r="A182" s="213">
        <v>30170124</v>
      </c>
      <c r="B182" s="151" t="s">
        <v>574</v>
      </c>
      <c r="C182" s="151" t="s">
        <v>572</v>
      </c>
      <c r="D182" s="151" t="s">
        <v>573</v>
      </c>
      <c r="E182" s="151" t="s">
        <v>565</v>
      </c>
      <c r="F182" s="213">
        <v>265</v>
      </c>
      <c r="G182" s="151"/>
      <c r="H182" s="151"/>
      <c r="I182" s="151">
        <v>0</v>
      </c>
      <c r="J182" s="151"/>
      <c r="K182" s="151">
        <v>0</v>
      </c>
      <c r="L182" s="151"/>
    </row>
    <row r="183" spans="1:12" hidden="1">
      <c r="A183" s="213">
        <v>30170176</v>
      </c>
      <c r="B183" s="151" t="s">
        <v>575</v>
      </c>
      <c r="C183" s="151" t="s">
        <v>572</v>
      </c>
      <c r="D183" s="151" t="s">
        <v>573</v>
      </c>
      <c r="E183" s="151" t="s">
        <v>565</v>
      </c>
      <c r="F183" s="213">
        <v>262</v>
      </c>
      <c r="G183" s="151"/>
      <c r="H183" s="151"/>
      <c r="I183" s="151">
        <v>0</v>
      </c>
      <c r="J183" s="151"/>
      <c r="K183" s="151">
        <v>0</v>
      </c>
      <c r="L183" s="151"/>
    </row>
    <row r="184" spans="1:12" hidden="1">
      <c r="A184" s="213">
        <v>30171126</v>
      </c>
      <c r="B184" s="151" t="s">
        <v>477</v>
      </c>
      <c r="C184" s="151" t="s">
        <v>401</v>
      </c>
      <c r="D184" s="151" t="s">
        <v>402</v>
      </c>
      <c r="E184" s="151" t="s">
        <v>390</v>
      </c>
      <c r="F184" s="213">
        <v>275</v>
      </c>
      <c r="G184" s="151">
        <v>32</v>
      </c>
      <c r="H184" s="151">
        <v>26</v>
      </c>
      <c r="I184" s="151">
        <v>832</v>
      </c>
      <c r="J184" s="151">
        <v>30</v>
      </c>
      <c r="K184" s="151">
        <v>960</v>
      </c>
      <c r="L184" s="151"/>
    </row>
    <row r="185" spans="1:12" hidden="1">
      <c r="A185" s="213">
        <v>30171127</v>
      </c>
      <c r="B185" s="151" t="s">
        <v>478</v>
      </c>
      <c r="C185" s="151" t="s">
        <v>401</v>
      </c>
      <c r="D185" s="151" t="s">
        <v>402</v>
      </c>
      <c r="E185" s="151" t="s">
        <v>390</v>
      </c>
      <c r="F185" s="213">
        <v>280</v>
      </c>
      <c r="G185" s="151">
        <v>32</v>
      </c>
      <c r="H185" s="151">
        <v>26</v>
      </c>
      <c r="I185" s="151">
        <v>832</v>
      </c>
      <c r="J185" s="151">
        <v>30</v>
      </c>
      <c r="K185" s="151">
        <v>960</v>
      </c>
      <c r="L185" s="151"/>
    </row>
    <row r="186" spans="1:12" hidden="1">
      <c r="A186" s="213">
        <v>30171727</v>
      </c>
      <c r="B186" s="151" t="s">
        <v>576</v>
      </c>
      <c r="C186" s="151" t="s">
        <v>577</v>
      </c>
      <c r="D186" s="151" t="s">
        <v>578</v>
      </c>
      <c r="E186" s="151" t="s">
        <v>390</v>
      </c>
      <c r="F186" s="213">
        <v>280</v>
      </c>
      <c r="G186" s="151"/>
      <c r="H186" s="151"/>
      <c r="I186" s="151">
        <v>0</v>
      </c>
      <c r="J186" s="151"/>
      <c r="K186" s="151">
        <v>0</v>
      </c>
      <c r="L186" s="151"/>
    </row>
    <row r="187" spans="1:12" hidden="1">
      <c r="A187" s="213">
        <v>30315001</v>
      </c>
      <c r="B187" s="151" t="s">
        <v>579</v>
      </c>
      <c r="C187" s="151" t="s">
        <v>515</v>
      </c>
      <c r="D187" s="151" t="s">
        <v>516</v>
      </c>
      <c r="E187" s="151" t="s">
        <v>473</v>
      </c>
      <c r="F187" s="213">
        <v>300</v>
      </c>
      <c r="G187" s="151">
        <v>32</v>
      </c>
      <c r="H187" s="151">
        <v>26</v>
      </c>
      <c r="I187" s="151">
        <v>832</v>
      </c>
      <c r="J187" s="151">
        <v>30</v>
      </c>
      <c r="K187" s="151">
        <v>960</v>
      </c>
      <c r="L187" s="151"/>
    </row>
    <row r="188" spans="1:12" hidden="1">
      <c r="A188" s="213">
        <v>30315002</v>
      </c>
      <c r="B188" s="151" t="s">
        <v>580</v>
      </c>
      <c r="C188" s="151" t="s">
        <v>515</v>
      </c>
      <c r="D188" s="151" t="s">
        <v>516</v>
      </c>
      <c r="E188" s="151" t="s">
        <v>473</v>
      </c>
      <c r="F188" s="213">
        <v>305</v>
      </c>
      <c r="G188" s="151">
        <v>32</v>
      </c>
      <c r="H188" s="151">
        <v>26</v>
      </c>
      <c r="I188" s="151">
        <v>832</v>
      </c>
      <c r="J188" s="151">
        <v>30</v>
      </c>
      <c r="K188" s="151">
        <v>960</v>
      </c>
      <c r="L188" s="151"/>
    </row>
    <row r="189" spans="1:12" hidden="1">
      <c r="A189" s="213">
        <v>30315027</v>
      </c>
      <c r="B189" s="151" t="s">
        <v>581</v>
      </c>
      <c r="C189" s="220" t="s">
        <v>515</v>
      </c>
      <c r="D189" s="151" t="s">
        <v>516</v>
      </c>
      <c r="E189" s="151" t="s">
        <v>473</v>
      </c>
      <c r="F189" s="213">
        <v>280</v>
      </c>
      <c r="G189" s="151">
        <v>32</v>
      </c>
      <c r="H189" s="151">
        <v>26</v>
      </c>
      <c r="I189" s="151">
        <v>832</v>
      </c>
      <c r="J189" s="151">
        <v>30</v>
      </c>
      <c r="K189" s="151">
        <v>960</v>
      </c>
      <c r="L189" s="220" t="s">
        <v>395</v>
      </c>
    </row>
    <row r="190" spans="1:12" hidden="1">
      <c r="A190" s="213">
        <v>30315028</v>
      </c>
      <c r="B190" s="151" t="s">
        <v>582</v>
      </c>
      <c r="C190" s="220" t="s">
        <v>515</v>
      </c>
      <c r="D190" s="151" t="s">
        <v>516</v>
      </c>
      <c r="E190" s="151" t="s">
        <v>473</v>
      </c>
      <c r="F190" s="213">
        <v>285</v>
      </c>
      <c r="G190" s="151">
        <v>32</v>
      </c>
      <c r="H190" s="151">
        <v>26</v>
      </c>
      <c r="I190" s="151">
        <v>832</v>
      </c>
      <c r="J190" s="151">
        <v>30</v>
      </c>
      <c r="K190" s="151">
        <v>960</v>
      </c>
      <c r="L190" s="220" t="s">
        <v>395</v>
      </c>
    </row>
    <row r="191" spans="1:12" hidden="1">
      <c r="A191" s="213">
        <v>30315029</v>
      </c>
      <c r="B191" s="151" t="s">
        <v>583</v>
      </c>
      <c r="C191" s="151" t="s">
        <v>515</v>
      </c>
      <c r="D191" s="151" t="s">
        <v>516</v>
      </c>
      <c r="E191" s="151" t="s">
        <v>473</v>
      </c>
      <c r="F191" s="213">
        <v>290</v>
      </c>
      <c r="G191" s="151">
        <v>32</v>
      </c>
      <c r="H191" s="151">
        <v>26</v>
      </c>
      <c r="I191" s="151">
        <v>832</v>
      </c>
      <c r="J191" s="151">
        <v>30</v>
      </c>
      <c r="K191" s="151">
        <v>960</v>
      </c>
      <c r="L191" s="151"/>
    </row>
    <row r="192" spans="1:12" hidden="1">
      <c r="A192" s="213">
        <v>30315030</v>
      </c>
      <c r="B192" s="151" t="s">
        <v>584</v>
      </c>
      <c r="C192" s="151" t="s">
        <v>515</v>
      </c>
      <c r="D192" s="151" t="s">
        <v>516</v>
      </c>
      <c r="E192" s="151" t="s">
        <v>473</v>
      </c>
      <c r="F192" s="213">
        <v>295</v>
      </c>
      <c r="G192" s="151">
        <v>32</v>
      </c>
      <c r="H192" s="151">
        <v>26</v>
      </c>
      <c r="I192" s="151">
        <v>832</v>
      </c>
      <c r="J192" s="151">
        <v>30</v>
      </c>
      <c r="K192" s="151">
        <v>960</v>
      </c>
      <c r="L192" s="151"/>
    </row>
    <row r="193" spans="1:12" hidden="1">
      <c r="A193" s="213">
        <v>30315201</v>
      </c>
      <c r="B193" s="151" t="s">
        <v>585</v>
      </c>
      <c r="C193" s="151" t="s">
        <v>515</v>
      </c>
      <c r="D193" s="151" t="s">
        <v>516</v>
      </c>
      <c r="E193" s="151" t="s">
        <v>473</v>
      </c>
      <c r="F193" s="213">
        <v>300</v>
      </c>
      <c r="G193" s="151"/>
      <c r="H193" s="151"/>
      <c r="I193" s="151">
        <v>0</v>
      </c>
      <c r="J193" s="151"/>
      <c r="K193" s="151">
        <v>0</v>
      </c>
      <c r="L193" s="151"/>
    </row>
    <row r="194" spans="1:12" hidden="1">
      <c r="A194" s="213">
        <v>30315202</v>
      </c>
      <c r="B194" s="151" t="s">
        <v>586</v>
      </c>
      <c r="C194" s="151" t="s">
        <v>515</v>
      </c>
      <c r="D194" s="151" t="s">
        <v>516</v>
      </c>
      <c r="E194" s="151" t="s">
        <v>473</v>
      </c>
      <c r="F194" s="213">
        <v>305</v>
      </c>
      <c r="G194" s="151"/>
      <c r="H194" s="151"/>
      <c r="I194" s="151">
        <v>0</v>
      </c>
      <c r="J194" s="151"/>
      <c r="K194" s="151">
        <v>0</v>
      </c>
      <c r="L194" s="151"/>
    </row>
    <row r="195" spans="1:12" hidden="1">
      <c r="A195" s="213">
        <v>30315230</v>
      </c>
      <c r="B195" s="151" t="s">
        <v>587</v>
      </c>
      <c r="C195" s="151" t="s">
        <v>515</v>
      </c>
      <c r="D195" s="151" t="s">
        <v>516</v>
      </c>
      <c r="E195" s="151" t="s">
        <v>473</v>
      </c>
      <c r="F195" s="213">
        <v>295</v>
      </c>
      <c r="G195" s="151">
        <v>32</v>
      </c>
      <c r="H195" s="151">
        <v>26</v>
      </c>
      <c r="I195" s="151">
        <v>832</v>
      </c>
      <c r="J195" s="151">
        <v>30</v>
      </c>
      <c r="K195" s="151">
        <v>960</v>
      </c>
      <c r="L195" s="151"/>
    </row>
    <row r="196" spans="1:12" hidden="1">
      <c r="A196" s="213">
        <v>30320112</v>
      </c>
      <c r="B196" s="151" t="s">
        <v>588</v>
      </c>
      <c r="C196" s="220" t="s">
        <v>471</v>
      </c>
      <c r="D196" s="151" t="s">
        <v>472</v>
      </c>
      <c r="E196" s="151" t="s">
        <v>473</v>
      </c>
      <c r="F196" s="213">
        <v>355</v>
      </c>
      <c r="G196" s="151">
        <v>29</v>
      </c>
      <c r="H196" s="151">
        <v>22</v>
      </c>
      <c r="I196" s="151">
        <v>638</v>
      </c>
      <c r="J196" s="151">
        <v>26</v>
      </c>
      <c r="K196" s="151">
        <v>754</v>
      </c>
      <c r="L196" s="220" t="s">
        <v>395</v>
      </c>
    </row>
    <row r="197" spans="1:12" hidden="1">
      <c r="A197" s="213">
        <v>30320113</v>
      </c>
      <c r="B197" s="151" t="s">
        <v>589</v>
      </c>
      <c r="C197" s="151" t="s">
        <v>471</v>
      </c>
      <c r="D197" s="151" t="s">
        <v>472</v>
      </c>
      <c r="E197" s="151" t="s">
        <v>473</v>
      </c>
      <c r="F197" s="213">
        <v>360</v>
      </c>
      <c r="G197" s="151">
        <v>29</v>
      </c>
      <c r="H197" s="151">
        <v>22</v>
      </c>
      <c r="I197" s="151">
        <v>638</v>
      </c>
      <c r="J197" s="151">
        <v>26</v>
      </c>
      <c r="K197" s="151">
        <v>754</v>
      </c>
      <c r="L197" s="151"/>
    </row>
    <row r="198" spans="1:12" hidden="1">
      <c r="A198" s="213">
        <v>30320114</v>
      </c>
      <c r="B198" s="151" t="s">
        <v>590</v>
      </c>
      <c r="C198" s="151" t="s">
        <v>471</v>
      </c>
      <c r="D198" s="151" t="s">
        <v>472</v>
      </c>
      <c r="E198" s="151" t="s">
        <v>473</v>
      </c>
      <c r="F198" s="213">
        <v>365</v>
      </c>
      <c r="G198" s="151">
        <v>29</v>
      </c>
      <c r="H198" s="151">
        <v>22</v>
      </c>
      <c r="I198" s="151">
        <v>638</v>
      </c>
      <c r="J198" s="151">
        <v>26</v>
      </c>
      <c r="K198" s="151">
        <v>754</v>
      </c>
      <c r="L198" s="151"/>
    </row>
    <row r="199" spans="1:12" hidden="1">
      <c r="A199" s="213">
        <v>30320115</v>
      </c>
      <c r="B199" s="151" t="s">
        <v>591</v>
      </c>
      <c r="C199" s="151" t="s">
        <v>471</v>
      </c>
      <c r="D199" s="151" t="s">
        <v>472</v>
      </c>
      <c r="E199" s="151" t="s">
        <v>473</v>
      </c>
      <c r="F199" s="213">
        <v>370</v>
      </c>
      <c r="G199" s="151">
        <v>29</v>
      </c>
      <c r="H199" s="151">
        <v>22</v>
      </c>
      <c r="I199" s="151">
        <v>638</v>
      </c>
      <c r="J199" s="151">
        <v>26</v>
      </c>
      <c r="K199" s="151">
        <v>754</v>
      </c>
      <c r="L199" s="151"/>
    </row>
    <row r="200" spans="1:12" hidden="1">
      <c r="A200" s="213">
        <v>30320116</v>
      </c>
      <c r="B200" s="151" t="s">
        <v>592</v>
      </c>
      <c r="C200" s="151" t="s">
        <v>471</v>
      </c>
      <c r="D200" s="151" t="s">
        <v>472</v>
      </c>
      <c r="E200" s="151" t="s">
        <v>473</v>
      </c>
      <c r="F200" s="213">
        <v>375</v>
      </c>
      <c r="G200" s="151">
        <v>29</v>
      </c>
      <c r="H200" s="151">
        <v>22</v>
      </c>
      <c r="I200" s="151">
        <v>638</v>
      </c>
      <c r="J200" s="151">
        <v>26</v>
      </c>
      <c r="K200" s="151">
        <v>754</v>
      </c>
      <c r="L200" s="151"/>
    </row>
    <row r="201" spans="1:12" hidden="1">
      <c r="A201" s="213">
        <v>30330026</v>
      </c>
      <c r="B201" s="151" t="s">
        <v>593</v>
      </c>
      <c r="C201" s="220" t="s">
        <v>401</v>
      </c>
      <c r="D201" s="151" t="s">
        <v>402</v>
      </c>
      <c r="E201" s="151" t="s">
        <v>390</v>
      </c>
      <c r="F201" s="213">
        <v>275</v>
      </c>
      <c r="G201" s="151">
        <v>32</v>
      </c>
      <c r="H201" s="151">
        <v>26</v>
      </c>
      <c r="I201" s="151">
        <v>832</v>
      </c>
      <c r="J201" s="151">
        <v>30</v>
      </c>
      <c r="K201" s="151">
        <v>960</v>
      </c>
      <c r="L201" s="220" t="s">
        <v>395</v>
      </c>
    </row>
    <row r="202" spans="1:12" hidden="1">
      <c r="A202" s="213">
        <v>30330027</v>
      </c>
      <c r="B202" s="151" t="s">
        <v>594</v>
      </c>
      <c r="C202" s="220" t="s">
        <v>401</v>
      </c>
      <c r="D202" s="151" t="s">
        <v>402</v>
      </c>
      <c r="E202" s="151" t="s">
        <v>390</v>
      </c>
      <c r="F202" s="213">
        <v>280</v>
      </c>
      <c r="G202" s="151">
        <v>32</v>
      </c>
      <c r="H202" s="151">
        <v>26</v>
      </c>
      <c r="I202" s="151">
        <v>832</v>
      </c>
      <c r="J202" s="151">
        <v>30</v>
      </c>
      <c r="K202" s="151">
        <v>960</v>
      </c>
      <c r="L202" s="220" t="s">
        <v>395</v>
      </c>
    </row>
    <row r="203" spans="1:12" hidden="1">
      <c r="A203" s="213">
        <v>30330028</v>
      </c>
      <c r="B203" s="151" t="s">
        <v>595</v>
      </c>
      <c r="C203" s="151" t="s">
        <v>401</v>
      </c>
      <c r="D203" s="151" t="s">
        <v>402</v>
      </c>
      <c r="E203" s="151" t="s">
        <v>390</v>
      </c>
      <c r="F203" s="213">
        <v>285</v>
      </c>
      <c r="G203" s="151">
        <v>32</v>
      </c>
      <c r="H203" s="151">
        <v>26</v>
      </c>
      <c r="I203" s="151">
        <v>832</v>
      </c>
      <c r="J203" s="151">
        <v>30</v>
      </c>
      <c r="K203" s="151">
        <v>960</v>
      </c>
      <c r="L203" s="151"/>
    </row>
    <row r="204" spans="1:12" hidden="1">
      <c r="A204" s="213">
        <v>30330029</v>
      </c>
      <c r="B204" s="151" t="s">
        <v>596</v>
      </c>
      <c r="C204" s="151" t="s">
        <v>401</v>
      </c>
      <c r="D204" s="151" t="s">
        <v>402</v>
      </c>
      <c r="E204" s="151" t="s">
        <v>390</v>
      </c>
      <c r="F204" s="213">
        <v>290</v>
      </c>
      <c r="G204" s="151">
        <v>32</v>
      </c>
      <c r="H204" s="151">
        <v>26</v>
      </c>
      <c r="I204" s="151">
        <v>832</v>
      </c>
      <c r="J204" s="151">
        <v>30</v>
      </c>
      <c r="K204" s="151">
        <v>960</v>
      </c>
      <c r="L204" s="151"/>
    </row>
    <row r="205" spans="1:12" hidden="1">
      <c r="A205" s="213">
        <v>30340308</v>
      </c>
      <c r="B205" s="151" t="s">
        <v>597</v>
      </c>
      <c r="C205" s="220" t="s">
        <v>392</v>
      </c>
      <c r="D205" s="151" t="s">
        <v>389</v>
      </c>
      <c r="E205" s="151" t="s">
        <v>390</v>
      </c>
      <c r="F205" s="213">
        <v>335</v>
      </c>
      <c r="G205" s="151">
        <v>29</v>
      </c>
      <c r="H205" s="151">
        <v>22</v>
      </c>
      <c r="I205" s="151">
        <v>638</v>
      </c>
      <c r="J205" s="151">
        <v>26</v>
      </c>
      <c r="K205" s="151">
        <v>754</v>
      </c>
      <c r="L205" s="220" t="s">
        <v>395</v>
      </c>
    </row>
    <row r="206" spans="1:12" hidden="1">
      <c r="A206" s="213">
        <v>30340309</v>
      </c>
      <c r="B206" s="151" t="s">
        <v>598</v>
      </c>
      <c r="C206" s="151" t="s">
        <v>392</v>
      </c>
      <c r="D206" s="151" t="s">
        <v>389</v>
      </c>
      <c r="E206" s="151" t="s">
        <v>390</v>
      </c>
      <c r="F206" s="213">
        <v>340</v>
      </c>
      <c r="G206" s="151">
        <v>29</v>
      </c>
      <c r="H206" s="151">
        <v>22</v>
      </c>
      <c r="I206" s="151">
        <v>638</v>
      </c>
      <c r="J206" s="151">
        <v>26</v>
      </c>
      <c r="K206" s="151">
        <v>754</v>
      </c>
      <c r="L206" s="151"/>
    </row>
    <row r="207" spans="1:12" hidden="1">
      <c r="A207" s="213">
        <v>30340310</v>
      </c>
      <c r="B207" s="151" t="s">
        <v>599</v>
      </c>
      <c r="C207" s="151" t="s">
        <v>392</v>
      </c>
      <c r="D207" s="151" t="s">
        <v>389</v>
      </c>
      <c r="E207" s="151" t="s">
        <v>390</v>
      </c>
      <c r="F207" s="213">
        <v>345</v>
      </c>
      <c r="G207" s="151">
        <v>29</v>
      </c>
      <c r="H207" s="151">
        <v>22</v>
      </c>
      <c r="I207" s="151">
        <v>638</v>
      </c>
      <c r="J207" s="151">
        <v>26</v>
      </c>
      <c r="K207" s="151">
        <v>754</v>
      </c>
      <c r="L207" s="151"/>
    </row>
    <row r="208" spans="1:12" hidden="1">
      <c r="A208" s="213">
        <v>30340311</v>
      </c>
      <c r="B208" s="151" t="s">
        <v>600</v>
      </c>
      <c r="C208" s="151" t="s">
        <v>392</v>
      </c>
      <c r="D208" s="151" t="s">
        <v>389</v>
      </c>
      <c r="E208" s="151" t="s">
        <v>390</v>
      </c>
      <c r="F208" s="213">
        <v>350</v>
      </c>
      <c r="G208" s="151">
        <v>29</v>
      </c>
      <c r="H208" s="151">
        <v>22</v>
      </c>
      <c r="I208" s="151">
        <v>638</v>
      </c>
      <c r="J208" s="151">
        <v>26</v>
      </c>
      <c r="K208" s="151">
        <v>754</v>
      </c>
      <c r="L208" s="151"/>
    </row>
    <row r="209" spans="1:12" hidden="1">
      <c r="A209" s="213">
        <v>30340609</v>
      </c>
      <c r="B209" s="151" t="s">
        <v>601</v>
      </c>
      <c r="C209" s="151" t="s">
        <v>388</v>
      </c>
      <c r="D209" s="151" t="s">
        <v>389</v>
      </c>
      <c r="E209" s="151" t="s">
        <v>390</v>
      </c>
      <c r="F209" s="213">
        <v>340</v>
      </c>
      <c r="G209" s="151">
        <v>29</v>
      </c>
      <c r="H209" s="151">
        <v>22</v>
      </c>
      <c r="I209" s="151">
        <v>638</v>
      </c>
      <c r="J209" s="151">
        <v>26</v>
      </c>
      <c r="K209" s="151">
        <v>754</v>
      </c>
      <c r="L209" s="151"/>
    </row>
    <row r="210" spans="1:12" hidden="1">
      <c r="A210" s="213">
        <v>30340610</v>
      </c>
      <c r="B210" s="151" t="s">
        <v>602</v>
      </c>
      <c r="C210" s="151" t="s">
        <v>388</v>
      </c>
      <c r="D210" s="151" t="s">
        <v>389</v>
      </c>
      <c r="E210" s="151" t="s">
        <v>390</v>
      </c>
      <c r="F210" s="213">
        <v>345</v>
      </c>
      <c r="G210" s="151">
        <v>29</v>
      </c>
      <c r="H210" s="151">
        <v>22</v>
      </c>
      <c r="I210" s="151">
        <v>638</v>
      </c>
      <c r="J210" s="151">
        <v>26</v>
      </c>
      <c r="K210" s="151">
        <v>754</v>
      </c>
      <c r="L210" s="151"/>
    </row>
    <row r="211" spans="1:12" hidden="1">
      <c r="A211" s="213">
        <v>30340707</v>
      </c>
      <c r="B211" s="151" t="s">
        <v>603</v>
      </c>
      <c r="C211" s="220" t="s">
        <v>388</v>
      </c>
      <c r="D211" s="151" t="s">
        <v>389</v>
      </c>
      <c r="E211" s="151" t="s">
        <v>390</v>
      </c>
      <c r="F211" s="213">
        <v>330</v>
      </c>
      <c r="G211" s="151">
        <v>29</v>
      </c>
      <c r="H211" s="151">
        <v>22</v>
      </c>
      <c r="I211" s="151">
        <v>638</v>
      </c>
      <c r="J211" s="151">
        <v>26</v>
      </c>
      <c r="K211" s="151">
        <v>754</v>
      </c>
      <c r="L211" s="220" t="s">
        <v>395</v>
      </c>
    </row>
    <row r="212" spans="1:12" hidden="1">
      <c r="A212" s="213">
        <v>30340708</v>
      </c>
      <c r="B212" s="151" t="s">
        <v>604</v>
      </c>
      <c r="C212" s="220" t="s">
        <v>388</v>
      </c>
      <c r="D212" s="151" t="s">
        <v>389</v>
      </c>
      <c r="E212" s="151" t="s">
        <v>390</v>
      </c>
      <c r="F212" s="213">
        <v>335</v>
      </c>
      <c r="G212" s="151">
        <v>29</v>
      </c>
      <c r="H212" s="151">
        <v>22</v>
      </c>
      <c r="I212" s="151">
        <v>638</v>
      </c>
      <c r="J212" s="151">
        <v>26</v>
      </c>
      <c r="K212" s="151">
        <v>754</v>
      </c>
      <c r="L212" s="220" t="s">
        <v>395</v>
      </c>
    </row>
    <row r="213" spans="1:12" hidden="1">
      <c r="A213" s="213">
        <v>30340709</v>
      </c>
      <c r="B213" s="151" t="s">
        <v>605</v>
      </c>
      <c r="C213" s="151" t="s">
        <v>388</v>
      </c>
      <c r="D213" s="151" t="s">
        <v>389</v>
      </c>
      <c r="E213" s="151" t="s">
        <v>390</v>
      </c>
      <c r="F213" s="213">
        <v>340</v>
      </c>
      <c r="G213" s="151">
        <v>29</v>
      </c>
      <c r="H213" s="151">
        <v>22</v>
      </c>
      <c r="I213" s="151">
        <v>638</v>
      </c>
      <c r="J213" s="151">
        <v>26</v>
      </c>
      <c r="K213" s="151">
        <v>754</v>
      </c>
      <c r="L213" s="151"/>
    </row>
    <row r="214" spans="1:12" hidden="1">
      <c r="A214" s="213">
        <v>30340710</v>
      </c>
      <c r="B214" s="151" t="s">
        <v>606</v>
      </c>
      <c r="C214" s="151" t="s">
        <v>388</v>
      </c>
      <c r="D214" s="151" t="s">
        <v>389</v>
      </c>
      <c r="E214" s="151" t="s">
        <v>390</v>
      </c>
      <c r="F214" s="213">
        <v>345</v>
      </c>
      <c r="G214" s="151">
        <v>29</v>
      </c>
      <c r="H214" s="151">
        <v>22</v>
      </c>
      <c r="I214" s="151">
        <v>638</v>
      </c>
      <c r="J214" s="151">
        <v>26</v>
      </c>
      <c r="K214" s="151">
        <v>754</v>
      </c>
      <c r="L214" s="151"/>
    </row>
    <row r="215" spans="1:12" hidden="1">
      <c r="A215" s="213">
        <v>30340711</v>
      </c>
      <c r="B215" s="151" t="s">
        <v>607</v>
      </c>
      <c r="C215" s="151" t="s">
        <v>388</v>
      </c>
      <c r="D215" s="151" t="s">
        <v>389</v>
      </c>
      <c r="E215" s="151" t="s">
        <v>390</v>
      </c>
      <c r="F215" s="213">
        <v>350</v>
      </c>
      <c r="G215" s="151">
        <v>29</v>
      </c>
      <c r="H215" s="151">
        <v>22</v>
      </c>
      <c r="I215" s="151">
        <v>638</v>
      </c>
      <c r="J215" s="151">
        <v>26</v>
      </c>
      <c r="K215" s="151">
        <v>754</v>
      </c>
      <c r="L215" s="151"/>
    </row>
    <row r="216" spans="1:12" hidden="1">
      <c r="A216" s="213">
        <v>30340712</v>
      </c>
      <c r="B216" s="151" t="s">
        <v>608</v>
      </c>
      <c r="C216" s="220" t="s">
        <v>388</v>
      </c>
      <c r="D216" s="151" t="s">
        <v>389</v>
      </c>
      <c r="E216" s="151" t="s">
        <v>390</v>
      </c>
      <c r="F216" s="213">
        <v>355</v>
      </c>
      <c r="G216" s="151">
        <v>29</v>
      </c>
      <c r="H216" s="151">
        <v>22</v>
      </c>
      <c r="I216" s="151">
        <v>638</v>
      </c>
      <c r="J216" s="151">
        <v>26</v>
      </c>
      <c r="K216" s="151">
        <v>754</v>
      </c>
      <c r="L216" s="220" t="s">
        <v>395</v>
      </c>
    </row>
    <row r="217" spans="1:12" hidden="1">
      <c r="A217" s="213">
        <v>30340807</v>
      </c>
      <c r="B217" s="151" t="s">
        <v>603</v>
      </c>
      <c r="C217" s="220" t="s">
        <v>388</v>
      </c>
      <c r="D217" s="151" t="s">
        <v>389</v>
      </c>
      <c r="E217" s="151" t="s">
        <v>390</v>
      </c>
      <c r="F217" s="213">
        <v>330</v>
      </c>
      <c r="G217" s="151">
        <v>29</v>
      </c>
      <c r="H217" s="151">
        <v>22</v>
      </c>
      <c r="I217" s="151">
        <v>638</v>
      </c>
      <c r="J217" s="151">
        <v>26</v>
      </c>
      <c r="K217" s="151">
        <v>754</v>
      </c>
      <c r="L217" s="220" t="s">
        <v>395</v>
      </c>
    </row>
    <row r="218" spans="1:12" hidden="1">
      <c r="A218" s="213">
        <v>30340808</v>
      </c>
      <c r="B218" s="151" t="s">
        <v>604</v>
      </c>
      <c r="C218" s="220" t="s">
        <v>388</v>
      </c>
      <c r="D218" s="151" t="s">
        <v>389</v>
      </c>
      <c r="E218" s="151" t="s">
        <v>390</v>
      </c>
      <c r="F218" s="213">
        <v>335</v>
      </c>
      <c r="G218" s="151">
        <v>29</v>
      </c>
      <c r="H218" s="151">
        <v>22</v>
      </c>
      <c r="I218" s="151">
        <v>638</v>
      </c>
      <c r="J218" s="151">
        <v>26</v>
      </c>
      <c r="K218" s="151">
        <v>754</v>
      </c>
      <c r="L218" s="220" t="s">
        <v>395</v>
      </c>
    </row>
    <row r="219" spans="1:12" hidden="1">
      <c r="A219" s="213">
        <v>30340809</v>
      </c>
      <c r="B219" s="151" t="s">
        <v>605</v>
      </c>
      <c r="C219" s="151" t="s">
        <v>388</v>
      </c>
      <c r="D219" s="151" t="s">
        <v>389</v>
      </c>
      <c r="E219" s="151" t="s">
        <v>390</v>
      </c>
      <c r="F219" s="213">
        <v>340</v>
      </c>
      <c r="G219" s="151">
        <v>29</v>
      </c>
      <c r="H219" s="151">
        <v>22</v>
      </c>
      <c r="I219" s="151">
        <v>638</v>
      </c>
      <c r="J219" s="151">
        <v>26</v>
      </c>
      <c r="K219" s="151">
        <v>754</v>
      </c>
      <c r="L219" s="151"/>
    </row>
    <row r="220" spans="1:12" hidden="1">
      <c r="A220" s="213">
        <v>30340810</v>
      </c>
      <c r="B220" s="151" t="s">
        <v>609</v>
      </c>
      <c r="C220" s="151" t="s">
        <v>388</v>
      </c>
      <c r="D220" s="151" t="s">
        <v>389</v>
      </c>
      <c r="E220" s="151" t="s">
        <v>390</v>
      </c>
      <c r="F220" s="213">
        <v>345</v>
      </c>
      <c r="G220" s="151">
        <v>29</v>
      </c>
      <c r="H220" s="151">
        <v>22</v>
      </c>
      <c r="I220" s="151">
        <v>638</v>
      </c>
      <c r="J220" s="151">
        <v>26</v>
      </c>
      <c r="K220" s="151">
        <v>754</v>
      </c>
      <c r="L220" s="151"/>
    </row>
    <row r="221" spans="1:12" hidden="1">
      <c r="A221" s="213">
        <v>30340811</v>
      </c>
      <c r="B221" s="151" t="s">
        <v>610</v>
      </c>
      <c r="C221" s="151" t="s">
        <v>388</v>
      </c>
      <c r="D221" s="151" t="s">
        <v>389</v>
      </c>
      <c r="E221" s="151" t="s">
        <v>390</v>
      </c>
      <c r="F221" s="213">
        <v>350</v>
      </c>
      <c r="G221" s="151">
        <v>29</v>
      </c>
      <c r="H221" s="151">
        <v>22</v>
      </c>
      <c r="I221" s="151">
        <v>638</v>
      </c>
      <c r="J221" s="151">
        <v>26</v>
      </c>
      <c r="K221" s="151">
        <v>754</v>
      </c>
      <c r="L221" s="151"/>
    </row>
    <row r="222" spans="1:12" hidden="1">
      <c r="A222" s="213">
        <v>30340812</v>
      </c>
      <c r="B222" s="151" t="s">
        <v>608</v>
      </c>
      <c r="C222" s="220" t="s">
        <v>388</v>
      </c>
      <c r="D222" s="151" t="s">
        <v>389</v>
      </c>
      <c r="E222" s="151" t="s">
        <v>390</v>
      </c>
      <c r="F222" s="213">
        <v>355</v>
      </c>
      <c r="G222" s="151">
        <v>29</v>
      </c>
      <c r="H222" s="151">
        <v>22</v>
      </c>
      <c r="I222" s="151">
        <v>638</v>
      </c>
      <c r="J222" s="151">
        <v>26</v>
      </c>
      <c r="K222" s="151">
        <v>754</v>
      </c>
      <c r="L222" s="220" t="s">
        <v>395</v>
      </c>
    </row>
    <row r="223" spans="1:12" hidden="1">
      <c r="A223" s="213">
        <v>30341007</v>
      </c>
      <c r="B223" s="151" t="s">
        <v>603</v>
      </c>
      <c r="C223" s="220" t="s">
        <v>388</v>
      </c>
      <c r="D223" s="151" t="s">
        <v>389</v>
      </c>
      <c r="E223" s="151" t="s">
        <v>390</v>
      </c>
      <c r="F223" s="213">
        <v>330</v>
      </c>
      <c r="G223" s="151">
        <v>29</v>
      </c>
      <c r="H223" s="151">
        <v>22</v>
      </c>
      <c r="I223" s="151">
        <v>638</v>
      </c>
      <c r="J223" s="151">
        <v>26</v>
      </c>
      <c r="K223" s="151">
        <v>754</v>
      </c>
      <c r="L223" s="220" t="s">
        <v>395</v>
      </c>
    </row>
    <row r="224" spans="1:12" hidden="1">
      <c r="A224" s="213">
        <v>30341008</v>
      </c>
      <c r="B224" s="151" t="s">
        <v>604</v>
      </c>
      <c r="C224" s="220" t="s">
        <v>388</v>
      </c>
      <c r="D224" s="151" t="s">
        <v>389</v>
      </c>
      <c r="E224" s="151" t="s">
        <v>390</v>
      </c>
      <c r="F224" s="213">
        <v>335</v>
      </c>
      <c r="G224" s="151">
        <v>29</v>
      </c>
      <c r="H224" s="151">
        <v>22</v>
      </c>
      <c r="I224" s="151">
        <v>638</v>
      </c>
      <c r="J224" s="151">
        <v>26</v>
      </c>
      <c r="K224" s="151">
        <v>754</v>
      </c>
      <c r="L224" s="220" t="s">
        <v>395</v>
      </c>
    </row>
    <row r="225" spans="1:12" hidden="1">
      <c r="A225" s="213">
        <v>30341009</v>
      </c>
      <c r="B225" s="151" t="s">
        <v>605</v>
      </c>
      <c r="C225" s="151" t="s">
        <v>388</v>
      </c>
      <c r="D225" s="151" t="s">
        <v>389</v>
      </c>
      <c r="E225" s="151" t="s">
        <v>390</v>
      </c>
      <c r="F225" s="213">
        <v>340</v>
      </c>
      <c r="G225" s="151">
        <v>29</v>
      </c>
      <c r="H225" s="151">
        <v>22</v>
      </c>
      <c r="I225" s="151">
        <v>638</v>
      </c>
      <c r="J225" s="151">
        <v>26</v>
      </c>
      <c r="K225" s="151">
        <v>754</v>
      </c>
      <c r="L225" s="151"/>
    </row>
    <row r="226" spans="1:12" hidden="1">
      <c r="A226" s="213">
        <v>30341010</v>
      </c>
      <c r="B226" s="151" t="s">
        <v>611</v>
      </c>
      <c r="C226" s="151" t="s">
        <v>388</v>
      </c>
      <c r="D226" s="151" t="s">
        <v>389</v>
      </c>
      <c r="E226" s="151" t="s">
        <v>390</v>
      </c>
      <c r="F226" s="213">
        <v>345</v>
      </c>
      <c r="G226" s="151">
        <v>29</v>
      </c>
      <c r="H226" s="151">
        <v>22</v>
      </c>
      <c r="I226" s="151">
        <v>638</v>
      </c>
      <c r="J226" s="151">
        <v>26</v>
      </c>
      <c r="K226" s="151">
        <v>754</v>
      </c>
      <c r="L226" s="151"/>
    </row>
    <row r="227" spans="1:12" hidden="1">
      <c r="A227" s="213">
        <v>30341011</v>
      </c>
      <c r="B227" s="151" t="s">
        <v>607</v>
      </c>
      <c r="C227" s="220" t="s">
        <v>388</v>
      </c>
      <c r="D227" s="151" t="s">
        <v>389</v>
      </c>
      <c r="E227" s="151" t="s">
        <v>390</v>
      </c>
      <c r="F227" s="213">
        <v>350</v>
      </c>
      <c r="G227" s="151">
        <v>29</v>
      </c>
      <c r="H227" s="151">
        <v>22</v>
      </c>
      <c r="I227" s="151">
        <v>638</v>
      </c>
      <c r="J227" s="151">
        <v>26</v>
      </c>
      <c r="K227" s="151">
        <v>754</v>
      </c>
      <c r="L227" s="220" t="s">
        <v>395</v>
      </c>
    </row>
    <row r="228" spans="1:12" hidden="1">
      <c r="A228" s="213">
        <v>30341012</v>
      </c>
      <c r="B228" s="151" t="s">
        <v>608</v>
      </c>
      <c r="C228" s="220" t="s">
        <v>388</v>
      </c>
      <c r="D228" s="151" t="s">
        <v>389</v>
      </c>
      <c r="E228" s="151" t="s">
        <v>390</v>
      </c>
      <c r="F228" s="213">
        <v>355</v>
      </c>
      <c r="G228" s="151">
        <v>29</v>
      </c>
      <c r="H228" s="151">
        <v>22</v>
      </c>
      <c r="I228" s="151">
        <v>638</v>
      </c>
      <c r="J228" s="151">
        <v>26</v>
      </c>
      <c r="K228" s="151">
        <v>754</v>
      </c>
      <c r="L228" s="220" t="s">
        <v>395</v>
      </c>
    </row>
    <row r="229" spans="1:12" hidden="1">
      <c r="A229" s="213">
        <v>12002819</v>
      </c>
      <c r="B229" s="151" t="s">
        <v>533</v>
      </c>
      <c r="C229" s="151" t="s">
        <v>527</v>
      </c>
      <c r="D229" s="151" t="s">
        <v>528</v>
      </c>
      <c r="E229" s="151" t="s">
        <v>528</v>
      </c>
      <c r="F229" s="213">
        <v>325</v>
      </c>
      <c r="G229" s="151">
        <v>32</v>
      </c>
      <c r="H229" s="151">
        <v>26</v>
      </c>
      <c r="I229" s="151">
        <v>832</v>
      </c>
      <c r="J229" s="151">
        <v>30</v>
      </c>
      <c r="K229" s="151">
        <v>960</v>
      </c>
      <c r="L229" s="151"/>
    </row>
    <row r="230" spans="1:12" hidden="1">
      <c r="A230" s="213">
        <v>12002820</v>
      </c>
      <c r="B230" s="151" t="s">
        <v>532</v>
      </c>
      <c r="C230" s="151" t="s">
        <v>527</v>
      </c>
      <c r="D230" s="151" t="s">
        <v>528</v>
      </c>
      <c r="E230" s="151" t="s">
        <v>528</v>
      </c>
      <c r="F230" s="213">
        <v>320</v>
      </c>
      <c r="G230" s="151">
        <v>32</v>
      </c>
      <c r="H230" s="151">
        <v>26</v>
      </c>
      <c r="I230" s="151">
        <v>832</v>
      </c>
      <c r="J230" s="151">
        <v>30</v>
      </c>
      <c r="K230" s="151">
        <v>960</v>
      </c>
      <c r="L230" s="151"/>
    </row>
    <row r="231" spans="1:12" hidden="1">
      <c r="A231" s="213">
        <v>12002818</v>
      </c>
      <c r="B231" s="151" t="s">
        <v>539</v>
      </c>
      <c r="C231" s="151" t="s">
        <v>527</v>
      </c>
      <c r="D231" s="151" t="s">
        <v>528</v>
      </c>
      <c r="E231" s="151" t="s">
        <v>528</v>
      </c>
      <c r="F231" s="213">
        <v>330</v>
      </c>
      <c r="G231" s="151">
        <v>32</v>
      </c>
      <c r="H231" s="151">
        <v>26</v>
      </c>
      <c r="I231" s="151">
        <v>832</v>
      </c>
      <c r="J231" s="151">
        <v>30</v>
      </c>
      <c r="K231" s="151">
        <v>960</v>
      </c>
      <c r="L231" s="151"/>
    </row>
    <row r="232" spans="1:12" hidden="1">
      <c r="A232" s="213">
        <v>30350002</v>
      </c>
      <c r="B232" s="151" t="s">
        <v>612</v>
      </c>
      <c r="C232" s="220" t="s">
        <v>527</v>
      </c>
      <c r="D232" s="151" t="s">
        <v>528</v>
      </c>
      <c r="E232" s="151" t="s">
        <v>528</v>
      </c>
      <c r="F232" s="213">
        <v>305</v>
      </c>
      <c r="G232" s="151">
        <v>32</v>
      </c>
      <c r="H232" s="151">
        <v>26</v>
      </c>
      <c r="I232" s="151">
        <v>832</v>
      </c>
      <c r="J232" s="151">
        <v>30</v>
      </c>
      <c r="K232" s="151">
        <v>960</v>
      </c>
      <c r="L232" s="220" t="s">
        <v>395</v>
      </c>
    </row>
    <row r="233" spans="1:12" hidden="1">
      <c r="A233" s="213">
        <v>30350003</v>
      </c>
      <c r="B233" s="151" t="s">
        <v>613</v>
      </c>
      <c r="C233" s="220" t="s">
        <v>527</v>
      </c>
      <c r="D233" s="151" t="s">
        <v>528</v>
      </c>
      <c r="E233" s="151" t="s">
        <v>528</v>
      </c>
      <c r="F233" s="213">
        <v>310</v>
      </c>
      <c r="G233" s="151">
        <v>32</v>
      </c>
      <c r="H233" s="151">
        <v>26</v>
      </c>
      <c r="I233" s="151">
        <v>832</v>
      </c>
      <c r="J233" s="151">
        <v>30</v>
      </c>
      <c r="K233" s="151">
        <v>960</v>
      </c>
      <c r="L233" s="220" t="s">
        <v>395</v>
      </c>
    </row>
    <row r="234" spans="1:12" hidden="1">
      <c r="A234" s="213">
        <v>30350004</v>
      </c>
      <c r="B234" s="151" t="s">
        <v>614</v>
      </c>
      <c r="C234" s="220" t="s">
        <v>527</v>
      </c>
      <c r="D234" s="151" t="s">
        <v>528</v>
      </c>
      <c r="E234" s="151" t="s">
        <v>528</v>
      </c>
      <c r="F234" s="213">
        <v>315</v>
      </c>
      <c r="G234" s="151">
        <v>32</v>
      </c>
      <c r="H234" s="151">
        <v>26</v>
      </c>
      <c r="I234" s="151">
        <v>832</v>
      </c>
      <c r="J234" s="151">
        <v>30</v>
      </c>
      <c r="K234" s="151">
        <v>960</v>
      </c>
      <c r="L234" s="220" t="s">
        <v>395</v>
      </c>
    </row>
    <row r="235" spans="1:12" hidden="1">
      <c r="A235" s="213">
        <v>30350005</v>
      </c>
      <c r="B235" s="151" t="s">
        <v>615</v>
      </c>
      <c r="C235" s="151" t="s">
        <v>527</v>
      </c>
      <c r="D235" s="151" t="s">
        <v>528</v>
      </c>
      <c r="E235" s="151" t="s">
        <v>528</v>
      </c>
      <c r="F235" s="213">
        <v>320</v>
      </c>
      <c r="G235" s="151">
        <v>32</v>
      </c>
      <c r="H235" s="151">
        <v>26</v>
      </c>
      <c r="I235" s="151">
        <v>832</v>
      </c>
      <c r="J235" s="151">
        <v>30</v>
      </c>
      <c r="K235" s="151">
        <v>960</v>
      </c>
      <c r="L235" s="151"/>
    </row>
    <row r="236" spans="1:12" hidden="1">
      <c r="A236" s="213">
        <v>30350006</v>
      </c>
      <c r="B236" s="151" t="s">
        <v>616</v>
      </c>
      <c r="C236" s="151" t="s">
        <v>527</v>
      </c>
      <c r="D236" s="151" t="s">
        <v>528</v>
      </c>
      <c r="E236" s="151" t="s">
        <v>528</v>
      </c>
      <c r="F236" s="213">
        <v>325</v>
      </c>
      <c r="G236" s="151">
        <v>32</v>
      </c>
      <c r="H236" s="151">
        <v>26</v>
      </c>
      <c r="I236" s="151">
        <v>832</v>
      </c>
      <c r="J236" s="151">
        <v>30</v>
      </c>
      <c r="K236" s="151">
        <v>960</v>
      </c>
      <c r="L236" s="151"/>
    </row>
    <row r="237" spans="1:12" hidden="1">
      <c r="A237" s="213">
        <v>30350007</v>
      </c>
      <c r="B237" s="151" t="s">
        <v>617</v>
      </c>
      <c r="C237" s="151" t="s">
        <v>527</v>
      </c>
      <c r="D237" s="151" t="s">
        <v>528</v>
      </c>
      <c r="E237" s="151" t="s">
        <v>528</v>
      </c>
      <c r="F237" s="213">
        <v>330</v>
      </c>
      <c r="G237" s="151">
        <v>32</v>
      </c>
      <c r="H237" s="151">
        <v>26</v>
      </c>
      <c r="I237" s="151">
        <v>832</v>
      </c>
      <c r="J237" s="151">
        <v>30</v>
      </c>
      <c r="K237" s="151">
        <v>960</v>
      </c>
      <c r="L237" s="151"/>
    </row>
    <row r="238" spans="1:12" hidden="1">
      <c r="A238" s="213">
        <v>30350008</v>
      </c>
      <c r="B238" s="151" t="s">
        <v>618</v>
      </c>
      <c r="C238" s="220" t="s">
        <v>527</v>
      </c>
      <c r="D238" s="151" t="s">
        <v>528</v>
      </c>
      <c r="E238" s="151" t="s">
        <v>528</v>
      </c>
      <c r="F238" s="213">
        <v>335</v>
      </c>
      <c r="G238" s="151">
        <v>32</v>
      </c>
      <c r="H238" s="151">
        <v>26</v>
      </c>
      <c r="I238" s="151">
        <v>832</v>
      </c>
      <c r="J238" s="151">
        <v>30</v>
      </c>
      <c r="K238" s="151">
        <v>960</v>
      </c>
      <c r="L238" s="220" t="s">
        <v>395</v>
      </c>
    </row>
    <row r="239" spans="1:12" hidden="1">
      <c r="A239" s="213">
        <v>30350102</v>
      </c>
      <c r="B239" s="151" t="s">
        <v>612</v>
      </c>
      <c r="C239" s="151" t="s">
        <v>527</v>
      </c>
      <c r="D239" s="151" t="s">
        <v>528</v>
      </c>
      <c r="E239" s="151" t="s">
        <v>528</v>
      </c>
      <c r="F239" s="213">
        <v>305</v>
      </c>
      <c r="G239" s="151">
        <v>32</v>
      </c>
      <c r="H239" s="151">
        <v>26</v>
      </c>
      <c r="I239" s="151">
        <v>832</v>
      </c>
      <c r="J239" s="151">
        <v>30</v>
      </c>
      <c r="K239" s="151">
        <v>960</v>
      </c>
      <c r="L239" s="151"/>
    </row>
    <row r="240" spans="1:12" hidden="1">
      <c r="A240" s="213">
        <v>30350103</v>
      </c>
      <c r="B240" s="151" t="s">
        <v>613</v>
      </c>
      <c r="C240" s="151" t="s">
        <v>527</v>
      </c>
      <c r="D240" s="151" t="s">
        <v>528</v>
      </c>
      <c r="E240" s="151" t="s">
        <v>528</v>
      </c>
      <c r="F240" s="213">
        <v>310</v>
      </c>
      <c r="G240" s="151">
        <v>32</v>
      </c>
      <c r="H240" s="151">
        <v>26</v>
      </c>
      <c r="I240" s="151">
        <v>832</v>
      </c>
      <c r="J240" s="151">
        <v>30</v>
      </c>
      <c r="K240" s="151">
        <v>960</v>
      </c>
      <c r="L240" s="151"/>
    </row>
    <row r="241" spans="1:12" hidden="1">
      <c r="A241" s="213">
        <v>30350104</v>
      </c>
      <c r="B241" s="151" t="s">
        <v>619</v>
      </c>
      <c r="C241" s="151" t="s">
        <v>527</v>
      </c>
      <c r="D241" s="151" t="s">
        <v>528</v>
      </c>
      <c r="E241" s="151" t="s">
        <v>528</v>
      </c>
      <c r="F241" s="213">
        <v>315</v>
      </c>
      <c r="G241" s="151">
        <v>32</v>
      </c>
      <c r="H241" s="151">
        <v>26</v>
      </c>
      <c r="I241" s="151">
        <v>832</v>
      </c>
      <c r="J241" s="151">
        <v>30</v>
      </c>
      <c r="K241" s="151">
        <v>960</v>
      </c>
      <c r="L241" s="151"/>
    </row>
    <row r="242" spans="1:12" hidden="1">
      <c r="A242" s="213">
        <v>30350105</v>
      </c>
      <c r="B242" s="151" t="s">
        <v>620</v>
      </c>
      <c r="C242" s="151" t="s">
        <v>527</v>
      </c>
      <c r="D242" s="151" t="s">
        <v>528</v>
      </c>
      <c r="E242" s="151" t="s">
        <v>528</v>
      </c>
      <c r="F242" s="213">
        <v>320</v>
      </c>
      <c r="G242" s="151">
        <v>32</v>
      </c>
      <c r="H242" s="151">
        <v>26</v>
      </c>
      <c r="I242" s="151">
        <v>832</v>
      </c>
      <c r="J242" s="151">
        <v>30</v>
      </c>
      <c r="K242" s="151">
        <v>960</v>
      </c>
      <c r="L242" s="151"/>
    </row>
    <row r="243" spans="1:12" hidden="1">
      <c r="A243" s="213">
        <v>30350106</v>
      </c>
      <c r="B243" s="151" t="s">
        <v>621</v>
      </c>
      <c r="C243" s="151" t="s">
        <v>527</v>
      </c>
      <c r="D243" s="151" t="s">
        <v>528</v>
      </c>
      <c r="E243" s="151" t="s">
        <v>528</v>
      </c>
      <c r="F243" s="213">
        <v>325</v>
      </c>
      <c r="G243" s="151">
        <v>32</v>
      </c>
      <c r="H243" s="151">
        <v>26</v>
      </c>
      <c r="I243" s="151">
        <v>832</v>
      </c>
      <c r="J243" s="151">
        <v>30</v>
      </c>
      <c r="K243" s="151">
        <v>960</v>
      </c>
      <c r="L243" s="151"/>
    </row>
    <row r="244" spans="1:12" hidden="1">
      <c r="A244" s="213">
        <v>30350107</v>
      </c>
      <c r="B244" s="151" t="s">
        <v>622</v>
      </c>
      <c r="C244" s="151" t="s">
        <v>527</v>
      </c>
      <c r="D244" s="151" t="s">
        <v>528</v>
      </c>
      <c r="E244" s="151" t="s">
        <v>528</v>
      </c>
      <c r="F244" s="213">
        <v>330</v>
      </c>
      <c r="G244" s="151">
        <v>32</v>
      </c>
      <c r="H244" s="151">
        <v>26</v>
      </c>
      <c r="I244" s="151">
        <v>832</v>
      </c>
      <c r="J244" s="151">
        <v>30</v>
      </c>
      <c r="K244" s="151">
        <v>960</v>
      </c>
      <c r="L244" s="151"/>
    </row>
    <row r="245" spans="1:12" hidden="1">
      <c r="A245" s="213">
        <v>30350108</v>
      </c>
      <c r="B245" s="151" t="s">
        <v>618</v>
      </c>
      <c r="C245" s="220" t="s">
        <v>527</v>
      </c>
      <c r="D245" s="151" t="s">
        <v>528</v>
      </c>
      <c r="E245" s="151" t="s">
        <v>528</v>
      </c>
      <c r="F245" s="213">
        <v>335</v>
      </c>
      <c r="G245" s="151">
        <v>32</v>
      </c>
      <c r="H245" s="151">
        <v>26</v>
      </c>
      <c r="I245" s="151">
        <v>832</v>
      </c>
      <c r="J245" s="151">
        <v>30</v>
      </c>
      <c r="K245" s="151">
        <v>960</v>
      </c>
      <c r="L245" s="220" t="s">
        <v>395</v>
      </c>
    </row>
    <row r="246" spans="1:12" hidden="1">
      <c r="A246" s="213">
        <v>30350203</v>
      </c>
      <c r="B246" s="151" t="s">
        <v>613</v>
      </c>
      <c r="C246" s="220" t="s">
        <v>527</v>
      </c>
      <c r="D246" s="151" t="s">
        <v>528</v>
      </c>
      <c r="E246" s="151" t="s">
        <v>528</v>
      </c>
      <c r="F246" s="213">
        <v>310</v>
      </c>
      <c r="G246" s="151">
        <v>32</v>
      </c>
      <c r="H246" s="151">
        <v>26</v>
      </c>
      <c r="I246" s="151">
        <v>832</v>
      </c>
      <c r="J246" s="151">
        <v>30</v>
      </c>
      <c r="K246" s="151">
        <v>960</v>
      </c>
      <c r="L246" s="220" t="s">
        <v>395</v>
      </c>
    </row>
    <row r="247" spans="1:12" hidden="1">
      <c r="A247" s="213">
        <v>30350204</v>
      </c>
      <c r="B247" s="151" t="s">
        <v>614</v>
      </c>
      <c r="C247" s="220" t="s">
        <v>527</v>
      </c>
      <c r="D247" s="151" t="s">
        <v>528</v>
      </c>
      <c r="E247" s="151" t="s">
        <v>528</v>
      </c>
      <c r="F247" s="213">
        <v>315</v>
      </c>
      <c r="G247" s="151">
        <v>32</v>
      </c>
      <c r="H247" s="151">
        <v>26</v>
      </c>
      <c r="I247" s="151">
        <v>832</v>
      </c>
      <c r="J247" s="151">
        <v>30</v>
      </c>
      <c r="K247" s="151">
        <v>960</v>
      </c>
      <c r="L247" s="220" t="s">
        <v>395</v>
      </c>
    </row>
    <row r="248" spans="1:12" hidden="1">
      <c r="A248" s="213">
        <v>30350205</v>
      </c>
      <c r="B248" s="151" t="s">
        <v>623</v>
      </c>
      <c r="C248" s="151" t="s">
        <v>527</v>
      </c>
      <c r="D248" s="151" t="s">
        <v>528</v>
      </c>
      <c r="E248" s="151" t="s">
        <v>528</v>
      </c>
      <c r="F248" s="213">
        <v>320</v>
      </c>
      <c r="G248" s="151">
        <v>32</v>
      </c>
      <c r="H248" s="151">
        <v>26</v>
      </c>
      <c r="I248" s="151">
        <v>832</v>
      </c>
      <c r="J248" s="151">
        <v>30</v>
      </c>
      <c r="K248" s="151">
        <v>960</v>
      </c>
      <c r="L248" s="151"/>
    </row>
    <row r="249" spans="1:12" hidden="1">
      <c r="A249" s="213">
        <v>30350206</v>
      </c>
      <c r="B249" s="151" t="s">
        <v>624</v>
      </c>
      <c r="C249" s="151" t="s">
        <v>527</v>
      </c>
      <c r="D249" s="151" t="s">
        <v>528</v>
      </c>
      <c r="E249" s="151" t="s">
        <v>528</v>
      </c>
      <c r="F249" s="213">
        <v>325</v>
      </c>
      <c r="G249" s="151">
        <v>32</v>
      </c>
      <c r="H249" s="151">
        <v>26</v>
      </c>
      <c r="I249" s="151">
        <v>832</v>
      </c>
      <c r="J249" s="151">
        <v>30</v>
      </c>
      <c r="K249" s="151">
        <v>960</v>
      </c>
      <c r="L249" s="151"/>
    </row>
    <row r="250" spans="1:12" hidden="1">
      <c r="A250" s="213">
        <v>43210125</v>
      </c>
      <c r="B250" s="151" t="s">
        <v>625</v>
      </c>
      <c r="C250" s="151" t="s">
        <v>527</v>
      </c>
      <c r="D250" s="151" t="s">
        <v>528</v>
      </c>
      <c r="E250" s="151" t="s">
        <v>528</v>
      </c>
      <c r="F250" s="213">
        <v>325</v>
      </c>
      <c r="G250" s="151">
        <v>32</v>
      </c>
      <c r="H250" s="151">
        <v>26</v>
      </c>
      <c r="I250" s="151">
        <v>832</v>
      </c>
      <c r="J250" s="151">
        <v>30</v>
      </c>
      <c r="K250" s="151">
        <v>960</v>
      </c>
      <c r="L250" s="151"/>
    </row>
    <row r="251" spans="1:12" hidden="1">
      <c r="A251" s="213">
        <v>43210127</v>
      </c>
      <c r="B251" s="151" t="s">
        <v>626</v>
      </c>
      <c r="C251" s="151" t="s">
        <v>527</v>
      </c>
      <c r="D251" s="151" t="s">
        <v>528</v>
      </c>
      <c r="E251" s="151" t="s">
        <v>528</v>
      </c>
      <c r="F251" s="213">
        <v>335</v>
      </c>
      <c r="G251" s="151">
        <v>32</v>
      </c>
      <c r="H251" s="151">
        <v>26</v>
      </c>
      <c r="I251" s="151">
        <v>832</v>
      </c>
      <c r="J251" s="151">
        <v>30</v>
      </c>
      <c r="K251" s="151">
        <v>960</v>
      </c>
      <c r="L251" s="151"/>
    </row>
    <row r="252" spans="1:12" hidden="1">
      <c r="A252" s="213">
        <v>43210124</v>
      </c>
      <c r="B252" s="151" t="s">
        <v>627</v>
      </c>
      <c r="C252" s="220" t="s">
        <v>527</v>
      </c>
      <c r="D252" s="151" t="s">
        <v>528</v>
      </c>
      <c r="E252" s="151" t="s">
        <v>528</v>
      </c>
      <c r="F252" s="213">
        <v>320</v>
      </c>
      <c r="G252" s="151">
        <v>32</v>
      </c>
      <c r="H252" s="151">
        <v>26</v>
      </c>
      <c r="I252" s="151">
        <v>832</v>
      </c>
      <c r="J252" s="151">
        <v>30</v>
      </c>
      <c r="K252" s="151">
        <v>960</v>
      </c>
      <c r="L252" s="220" t="s">
        <v>395</v>
      </c>
    </row>
    <row r="253" spans="1:12" hidden="1">
      <c r="A253" s="213">
        <v>43210128</v>
      </c>
      <c r="B253" s="151" t="s">
        <v>628</v>
      </c>
      <c r="C253" s="151" t="s">
        <v>527</v>
      </c>
      <c r="D253" s="151" t="s">
        <v>528</v>
      </c>
      <c r="E253" s="151" t="s">
        <v>528</v>
      </c>
      <c r="F253" s="213">
        <v>340</v>
      </c>
      <c r="G253" s="151">
        <v>32</v>
      </c>
      <c r="H253" s="151">
        <v>26</v>
      </c>
      <c r="I253" s="151">
        <v>832</v>
      </c>
      <c r="J253" s="151">
        <v>30</v>
      </c>
      <c r="K253" s="151">
        <v>960</v>
      </c>
      <c r="L253" s="151"/>
    </row>
    <row r="254" spans="1:12" hidden="1">
      <c r="A254" s="213">
        <v>30350207</v>
      </c>
      <c r="B254" s="151" t="s">
        <v>629</v>
      </c>
      <c r="C254" s="151" t="s">
        <v>527</v>
      </c>
      <c r="D254" s="151" t="s">
        <v>528</v>
      </c>
      <c r="E254" s="151" t="s">
        <v>528</v>
      </c>
      <c r="F254" s="213">
        <v>330</v>
      </c>
      <c r="G254" s="151">
        <v>32</v>
      </c>
      <c r="H254" s="151">
        <v>26</v>
      </c>
      <c r="I254" s="151">
        <v>832</v>
      </c>
      <c r="J254" s="151">
        <v>30</v>
      </c>
      <c r="K254" s="151">
        <v>960</v>
      </c>
      <c r="L254" s="151"/>
    </row>
    <row r="255" spans="1:12" hidden="1">
      <c r="A255" s="213">
        <v>30350208</v>
      </c>
      <c r="B255" s="151" t="s">
        <v>618</v>
      </c>
      <c r="C255" s="151" t="s">
        <v>527</v>
      </c>
      <c r="D255" s="151" t="s">
        <v>528</v>
      </c>
      <c r="E255" s="151" t="s">
        <v>528</v>
      </c>
      <c r="F255" s="213">
        <v>335</v>
      </c>
      <c r="G255" s="151">
        <v>32</v>
      </c>
      <c r="H255" s="151">
        <v>26</v>
      </c>
      <c r="I255" s="151">
        <v>832</v>
      </c>
      <c r="J255" s="151">
        <v>30</v>
      </c>
      <c r="K255" s="151">
        <v>960</v>
      </c>
      <c r="L255" s="151"/>
    </row>
    <row r="256" spans="1:12" hidden="1">
      <c r="A256" s="213">
        <v>30370610</v>
      </c>
      <c r="B256" s="151" t="s">
        <v>630</v>
      </c>
      <c r="C256" s="151" t="s">
        <v>631</v>
      </c>
      <c r="D256" s="151" t="s">
        <v>528</v>
      </c>
      <c r="E256" s="151" t="s">
        <v>528</v>
      </c>
      <c r="F256" s="213">
        <v>345</v>
      </c>
      <c r="G256" s="151">
        <v>32</v>
      </c>
      <c r="H256" s="151">
        <v>26</v>
      </c>
      <c r="I256" s="151">
        <v>832</v>
      </c>
      <c r="J256" s="151">
        <v>28</v>
      </c>
      <c r="K256" s="151">
        <v>896</v>
      </c>
      <c r="L256" s="151"/>
    </row>
    <row r="257" spans="1:12" hidden="1">
      <c r="A257" s="213">
        <v>30370710</v>
      </c>
      <c r="B257" s="151" t="s">
        <v>632</v>
      </c>
      <c r="C257" s="151" t="s">
        <v>631</v>
      </c>
      <c r="D257" s="151" t="s">
        <v>528</v>
      </c>
      <c r="E257" s="151" t="s">
        <v>528</v>
      </c>
      <c r="F257" s="213">
        <v>345</v>
      </c>
      <c r="G257" s="151">
        <v>32</v>
      </c>
      <c r="H257" s="151">
        <v>26</v>
      </c>
      <c r="I257" s="151">
        <v>832</v>
      </c>
      <c r="J257" s="151">
        <v>28</v>
      </c>
      <c r="K257" s="151">
        <v>896</v>
      </c>
      <c r="L257" s="151"/>
    </row>
    <row r="258" spans="1:12" hidden="1">
      <c r="A258" s="213">
        <v>30370810</v>
      </c>
      <c r="B258" s="151" t="s">
        <v>633</v>
      </c>
      <c r="C258" s="151" t="s">
        <v>631</v>
      </c>
      <c r="D258" s="151" t="s">
        <v>528</v>
      </c>
      <c r="E258" s="151" t="s">
        <v>528</v>
      </c>
      <c r="F258" s="213">
        <v>345</v>
      </c>
      <c r="G258" s="151">
        <v>32</v>
      </c>
      <c r="H258" s="151">
        <v>26</v>
      </c>
      <c r="I258" s="151">
        <v>832</v>
      </c>
      <c r="J258" s="151">
        <v>28</v>
      </c>
      <c r="K258" s="151">
        <v>896</v>
      </c>
      <c r="L258" s="151"/>
    </row>
    <row r="259" spans="1:12" hidden="1">
      <c r="A259" s="213">
        <v>30370711</v>
      </c>
      <c r="B259" s="151" t="s">
        <v>634</v>
      </c>
      <c r="C259" s="151" t="s">
        <v>631</v>
      </c>
      <c r="D259" s="151" t="s">
        <v>528</v>
      </c>
      <c r="E259" s="151" t="s">
        <v>528</v>
      </c>
      <c r="F259" s="213">
        <v>350</v>
      </c>
      <c r="G259" s="151">
        <v>32</v>
      </c>
      <c r="H259" s="151">
        <v>26</v>
      </c>
      <c r="I259" s="151">
        <v>832</v>
      </c>
      <c r="J259" s="151">
        <v>28</v>
      </c>
      <c r="K259" s="151">
        <v>896</v>
      </c>
      <c r="L259" s="151"/>
    </row>
    <row r="260" spans="1:12" hidden="1">
      <c r="A260" s="213">
        <v>30370811</v>
      </c>
      <c r="B260" s="151" t="s">
        <v>633</v>
      </c>
      <c r="C260" s="151" t="s">
        <v>631</v>
      </c>
      <c r="D260" s="151" t="s">
        <v>528</v>
      </c>
      <c r="E260" s="151" t="s">
        <v>528</v>
      </c>
      <c r="F260" s="213">
        <v>350</v>
      </c>
      <c r="G260" s="151">
        <v>32</v>
      </c>
      <c r="H260" s="151">
        <v>26</v>
      </c>
      <c r="I260" s="151">
        <v>832</v>
      </c>
      <c r="J260" s="151">
        <v>28</v>
      </c>
      <c r="K260" s="151">
        <v>896</v>
      </c>
      <c r="L260" s="151"/>
    </row>
    <row r="261" spans="1:12" hidden="1">
      <c r="A261" s="213">
        <v>46205131</v>
      </c>
      <c r="B261" s="151" t="s">
        <v>635</v>
      </c>
      <c r="C261" s="151" t="s">
        <v>631</v>
      </c>
      <c r="D261" s="151" t="s">
        <v>528</v>
      </c>
      <c r="E261" s="151" t="s">
        <v>528</v>
      </c>
      <c r="F261" s="213">
        <v>355</v>
      </c>
      <c r="G261" s="151">
        <v>32</v>
      </c>
      <c r="H261" s="151">
        <v>26</v>
      </c>
      <c r="I261" s="151">
        <v>832</v>
      </c>
      <c r="J261" s="151">
        <v>28</v>
      </c>
      <c r="K261" s="151">
        <v>896</v>
      </c>
      <c r="L261" s="151"/>
    </row>
    <row r="262" spans="1:12" hidden="1">
      <c r="A262" s="213">
        <v>46204130</v>
      </c>
      <c r="B262" s="151" t="s">
        <v>636</v>
      </c>
      <c r="C262" s="151" t="s">
        <v>631</v>
      </c>
      <c r="D262" s="151" t="s">
        <v>528</v>
      </c>
      <c r="E262" s="151" t="s">
        <v>528</v>
      </c>
      <c r="F262" s="213">
        <v>350</v>
      </c>
      <c r="G262" s="151">
        <v>32</v>
      </c>
      <c r="H262" s="151">
        <v>26</v>
      </c>
      <c r="I262" s="151">
        <v>832</v>
      </c>
      <c r="J262" s="151">
        <v>28</v>
      </c>
      <c r="K262" s="151">
        <v>896</v>
      </c>
      <c r="L262" s="151"/>
    </row>
    <row r="263" spans="1:12" hidden="1">
      <c r="A263" s="213">
        <v>46204129</v>
      </c>
      <c r="B263" s="151" t="s">
        <v>636</v>
      </c>
      <c r="C263" s="151" t="s">
        <v>631</v>
      </c>
      <c r="D263" s="151" t="s">
        <v>528</v>
      </c>
      <c r="E263" s="151" t="s">
        <v>528</v>
      </c>
      <c r="F263" s="213">
        <v>345</v>
      </c>
      <c r="G263" s="151">
        <v>32</v>
      </c>
      <c r="H263" s="151">
        <v>26</v>
      </c>
      <c r="I263" s="151">
        <v>832</v>
      </c>
      <c r="J263" s="151">
        <v>28</v>
      </c>
      <c r="K263" s="151">
        <v>896</v>
      </c>
      <c r="L263" s="151"/>
    </row>
    <row r="264" spans="1:12" hidden="1">
      <c r="A264" s="213">
        <v>46205129</v>
      </c>
      <c r="B264" s="151" t="s">
        <v>637</v>
      </c>
      <c r="C264" s="151" t="s">
        <v>631</v>
      </c>
      <c r="D264" s="151" t="s">
        <v>528</v>
      </c>
      <c r="E264" s="151" t="s">
        <v>528</v>
      </c>
      <c r="F264" s="213">
        <v>345</v>
      </c>
      <c r="G264" s="151">
        <v>32</v>
      </c>
      <c r="H264" s="151">
        <v>26</v>
      </c>
      <c r="I264" s="151">
        <v>832</v>
      </c>
      <c r="J264" s="151">
        <v>28</v>
      </c>
      <c r="K264" s="151">
        <v>896</v>
      </c>
      <c r="L264" s="151"/>
    </row>
    <row r="265" spans="1:12" hidden="1">
      <c r="A265" s="213">
        <v>46204128</v>
      </c>
      <c r="B265" s="151" t="s">
        <v>637</v>
      </c>
      <c r="C265" s="151" t="s">
        <v>631</v>
      </c>
      <c r="D265" s="151" t="s">
        <v>528</v>
      </c>
      <c r="E265" s="151" t="s">
        <v>528</v>
      </c>
      <c r="F265" s="213">
        <v>340</v>
      </c>
      <c r="G265" s="151">
        <v>32</v>
      </c>
      <c r="H265" s="151">
        <v>26</v>
      </c>
      <c r="I265" s="151">
        <v>832</v>
      </c>
      <c r="J265" s="151">
        <v>28</v>
      </c>
      <c r="K265" s="151">
        <v>896</v>
      </c>
      <c r="L265" s="151"/>
    </row>
    <row r="266" spans="1:12" hidden="1">
      <c r="A266" s="213">
        <v>46205127</v>
      </c>
      <c r="B266" s="151" t="s">
        <v>637</v>
      </c>
      <c r="C266" s="151" t="s">
        <v>631</v>
      </c>
      <c r="D266" s="151" t="s">
        <v>528</v>
      </c>
      <c r="E266" s="151" t="s">
        <v>528</v>
      </c>
      <c r="F266" s="213">
        <v>335</v>
      </c>
      <c r="G266" s="151">
        <v>32</v>
      </c>
      <c r="H266" s="151">
        <v>26</v>
      </c>
      <c r="I266" s="151">
        <v>832</v>
      </c>
      <c r="J266" s="151">
        <v>28</v>
      </c>
      <c r="K266" s="151">
        <v>896</v>
      </c>
      <c r="L266" s="151"/>
    </row>
    <row r="267" spans="1:12" hidden="1">
      <c r="A267" s="213">
        <v>46205128</v>
      </c>
      <c r="B267" s="151" t="s">
        <v>637</v>
      </c>
      <c r="C267" s="151" t="s">
        <v>631</v>
      </c>
      <c r="D267" s="151" t="s">
        <v>528</v>
      </c>
      <c r="E267" s="151" t="s">
        <v>528</v>
      </c>
      <c r="F267" s="213">
        <v>340</v>
      </c>
      <c r="G267" s="151">
        <v>32</v>
      </c>
      <c r="H267" s="151">
        <v>26</v>
      </c>
      <c r="I267" s="151">
        <v>832</v>
      </c>
      <c r="J267" s="151">
        <v>28</v>
      </c>
      <c r="K267" s="151">
        <v>896</v>
      </c>
      <c r="L267" s="151"/>
    </row>
    <row r="268" spans="1:12" hidden="1">
      <c r="A268" s="213">
        <v>30350519</v>
      </c>
      <c r="B268" s="151" t="s">
        <v>638</v>
      </c>
      <c r="C268" s="220" t="s">
        <v>639</v>
      </c>
      <c r="D268" s="151" t="s">
        <v>640</v>
      </c>
      <c r="E268" s="151" t="s">
        <v>528</v>
      </c>
      <c r="F268" s="213">
        <v>390</v>
      </c>
      <c r="G268" s="151">
        <v>29</v>
      </c>
      <c r="H268" s="151">
        <v>22</v>
      </c>
      <c r="I268" s="151">
        <v>638</v>
      </c>
      <c r="J268" s="151">
        <v>26</v>
      </c>
      <c r="K268" s="151">
        <v>754</v>
      </c>
      <c r="L268" s="220" t="s">
        <v>395</v>
      </c>
    </row>
    <row r="269" spans="1:12" hidden="1">
      <c r="A269" s="213">
        <v>30355001</v>
      </c>
      <c r="B269" s="151" t="s">
        <v>641</v>
      </c>
      <c r="C269" s="220" t="s">
        <v>552</v>
      </c>
      <c r="D269" s="151" t="s">
        <v>553</v>
      </c>
      <c r="E269" s="151" t="s">
        <v>528</v>
      </c>
      <c r="F269" s="213">
        <v>300</v>
      </c>
      <c r="G269" s="151">
        <v>32</v>
      </c>
      <c r="H269" s="151">
        <v>26</v>
      </c>
      <c r="I269" s="151">
        <v>832</v>
      </c>
      <c r="J269" s="151">
        <v>30</v>
      </c>
      <c r="K269" s="151">
        <v>960</v>
      </c>
      <c r="L269" s="220" t="s">
        <v>395</v>
      </c>
    </row>
    <row r="270" spans="1:12" hidden="1">
      <c r="A270" s="213">
        <v>30355002</v>
      </c>
      <c r="B270" s="151" t="s">
        <v>642</v>
      </c>
      <c r="C270" s="151" t="s">
        <v>552</v>
      </c>
      <c r="D270" s="151" t="s">
        <v>553</v>
      </c>
      <c r="E270" s="151" t="s">
        <v>528</v>
      </c>
      <c r="F270" s="213">
        <v>305</v>
      </c>
      <c r="G270" s="151">
        <v>32</v>
      </c>
      <c r="H270" s="151">
        <v>26</v>
      </c>
      <c r="I270" s="151">
        <v>832</v>
      </c>
      <c r="J270" s="151">
        <v>30</v>
      </c>
      <c r="K270" s="151">
        <v>960</v>
      </c>
      <c r="L270" s="151"/>
    </row>
    <row r="271" spans="1:12" hidden="1">
      <c r="A271" s="213">
        <v>30355003</v>
      </c>
      <c r="B271" s="151" t="s">
        <v>643</v>
      </c>
      <c r="C271" s="151" t="s">
        <v>552</v>
      </c>
      <c r="D271" s="151" t="s">
        <v>553</v>
      </c>
      <c r="E271" s="151" t="s">
        <v>528</v>
      </c>
      <c r="F271" s="213">
        <v>310</v>
      </c>
      <c r="G271" s="151">
        <v>32</v>
      </c>
      <c r="H271" s="151">
        <v>26</v>
      </c>
      <c r="I271" s="151">
        <v>832</v>
      </c>
      <c r="J271" s="151">
        <v>30</v>
      </c>
      <c r="K271" s="151">
        <v>960</v>
      </c>
      <c r="L271" s="151"/>
    </row>
    <row r="272" spans="1:12" hidden="1">
      <c r="A272" s="213">
        <v>30355004</v>
      </c>
      <c r="B272" s="151" t="s">
        <v>644</v>
      </c>
      <c r="C272" s="151" t="s">
        <v>552</v>
      </c>
      <c r="D272" s="151" t="s">
        <v>553</v>
      </c>
      <c r="E272" s="151" t="s">
        <v>528</v>
      </c>
      <c r="F272" s="213">
        <v>315</v>
      </c>
      <c r="G272" s="151">
        <v>32</v>
      </c>
      <c r="H272" s="151">
        <v>26</v>
      </c>
      <c r="I272" s="151">
        <v>832</v>
      </c>
      <c r="J272" s="151">
        <v>30</v>
      </c>
      <c r="K272" s="151">
        <v>960</v>
      </c>
      <c r="L272" s="151"/>
    </row>
    <row r="273" spans="1:12" hidden="1">
      <c r="A273" s="213">
        <v>30355005</v>
      </c>
      <c r="B273" s="151" t="s">
        <v>645</v>
      </c>
      <c r="C273" s="220" t="s">
        <v>552</v>
      </c>
      <c r="D273" s="151" t="s">
        <v>553</v>
      </c>
      <c r="E273" s="151" t="s">
        <v>528</v>
      </c>
      <c r="F273" s="213">
        <v>320</v>
      </c>
      <c r="G273" s="151">
        <v>32</v>
      </c>
      <c r="H273" s="151">
        <v>26</v>
      </c>
      <c r="I273" s="151">
        <v>832</v>
      </c>
      <c r="J273" s="151">
        <v>30</v>
      </c>
      <c r="K273" s="151">
        <v>960</v>
      </c>
      <c r="L273" s="220" t="s">
        <v>395</v>
      </c>
    </row>
    <row r="274" spans="1:12" hidden="1">
      <c r="A274" s="213">
        <v>30355006</v>
      </c>
      <c r="B274" s="151" t="s">
        <v>646</v>
      </c>
      <c r="C274" s="220" t="s">
        <v>552</v>
      </c>
      <c r="D274" s="151" t="s">
        <v>553</v>
      </c>
      <c r="E274" s="151" t="s">
        <v>528</v>
      </c>
      <c r="F274" s="213">
        <v>325</v>
      </c>
      <c r="G274" s="151">
        <v>32</v>
      </c>
      <c r="H274" s="151">
        <v>26</v>
      </c>
      <c r="I274" s="151">
        <v>832</v>
      </c>
      <c r="J274" s="151">
        <v>30</v>
      </c>
      <c r="K274" s="151">
        <v>960</v>
      </c>
      <c r="L274" s="220" t="s">
        <v>395</v>
      </c>
    </row>
    <row r="275" spans="1:12" hidden="1">
      <c r="A275" s="213">
        <v>30355030</v>
      </c>
      <c r="B275" s="151" t="s">
        <v>561</v>
      </c>
      <c r="C275" s="220" t="s">
        <v>552</v>
      </c>
      <c r="D275" s="151" t="s">
        <v>553</v>
      </c>
      <c r="E275" s="151" t="s">
        <v>528</v>
      </c>
      <c r="F275" s="213">
        <v>295</v>
      </c>
      <c r="G275" s="151">
        <v>32</v>
      </c>
      <c r="H275" s="151">
        <v>26</v>
      </c>
      <c r="I275" s="151">
        <v>832</v>
      </c>
      <c r="J275" s="151">
        <v>30</v>
      </c>
      <c r="K275" s="151">
        <v>960</v>
      </c>
      <c r="L275" s="220" t="s">
        <v>395</v>
      </c>
    </row>
    <row r="276" spans="1:12" hidden="1">
      <c r="A276" s="213">
        <v>30355101</v>
      </c>
      <c r="B276" s="151" t="s">
        <v>641</v>
      </c>
      <c r="C276" s="220" t="s">
        <v>552</v>
      </c>
      <c r="D276" s="151" t="s">
        <v>553</v>
      </c>
      <c r="E276" s="151" t="s">
        <v>528</v>
      </c>
      <c r="F276" s="213">
        <v>300</v>
      </c>
      <c r="G276" s="151">
        <v>32</v>
      </c>
      <c r="H276" s="151">
        <v>26</v>
      </c>
      <c r="I276" s="151">
        <v>832</v>
      </c>
      <c r="J276" s="151">
        <v>30</v>
      </c>
      <c r="K276" s="151">
        <v>960</v>
      </c>
      <c r="L276" s="220" t="s">
        <v>395</v>
      </c>
    </row>
    <row r="277" spans="1:12" hidden="1">
      <c r="A277" s="213">
        <v>30355102</v>
      </c>
      <c r="B277" s="151" t="s">
        <v>647</v>
      </c>
      <c r="C277" s="151" t="s">
        <v>552</v>
      </c>
      <c r="D277" s="151" t="s">
        <v>553</v>
      </c>
      <c r="E277" s="151" t="s">
        <v>528</v>
      </c>
      <c r="F277" s="213">
        <v>305</v>
      </c>
      <c r="G277" s="151">
        <v>32</v>
      </c>
      <c r="H277" s="151">
        <v>26</v>
      </c>
      <c r="I277" s="151">
        <v>832</v>
      </c>
      <c r="J277" s="151">
        <v>30</v>
      </c>
      <c r="K277" s="151">
        <v>960</v>
      </c>
      <c r="L277" s="151"/>
    </row>
    <row r="278" spans="1:12" hidden="1">
      <c r="A278" s="213">
        <v>30355103</v>
      </c>
      <c r="B278" s="151" t="s">
        <v>648</v>
      </c>
      <c r="C278" s="151" t="s">
        <v>552</v>
      </c>
      <c r="D278" s="151" t="s">
        <v>553</v>
      </c>
      <c r="E278" s="151" t="s">
        <v>528</v>
      </c>
      <c r="F278" s="213">
        <v>310</v>
      </c>
      <c r="G278" s="151">
        <v>32</v>
      </c>
      <c r="H278" s="151">
        <v>26</v>
      </c>
      <c r="I278" s="151">
        <v>832</v>
      </c>
      <c r="J278" s="151">
        <v>30</v>
      </c>
      <c r="K278" s="151">
        <v>960</v>
      </c>
      <c r="L278" s="151"/>
    </row>
    <row r="279" spans="1:12" hidden="1">
      <c r="A279" s="213">
        <v>30355104</v>
      </c>
      <c r="B279" s="151" t="s">
        <v>649</v>
      </c>
      <c r="C279" s="151" t="s">
        <v>552</v>
      </c>
      <c r="D279" s="151" t="s">
        <v>553</v>
      </c>
      <c r="E279" s="151" t="s">
        <v>528</v>
      </c>
      <c r="F279" s="213">
        <v>315</v>
      </c>
      <c r="G279" s="151">
        <v>32</v>
      </c>
      <c r="H279" s="151">
        <v>26</v>
      </c>
      <c r="I279" s="151">
        <v>832</v>
      </c>
      <c r="J279" s="151">
        <v>30</v>
      </c>
      <c r="K279" s="151">
        <v>960</v>
      </c>
      <c r="L279" s="151"/>
    </row>
    <row r="280" spans="1:12" hidden="1">
      <c r="A280" s="213">
        <v>30356104</v>
      </c>
      <c r="B280" s="151" t="s">
        <v>650</v>
      </c>
      <c r="C280" s="151" t="s">
        <v>552</v>
      </c>
      <c r="D280" s="151" t="s">
        <v>553</v>
      </c>
      <c r="E280" s="151" t="s">
        <v>528</v>
      </c>
      <c r="F280" s="213">
        <v>315</v>
      </c>
      <c r="G280" s="151">
        <v>32</v>
      </c>
      <c r="H280" s="151">
        <v>26</v>
      </c>
      <c r="I280" s="151">
        <v>832</v>
      </c>
      <c r="J280" s="151">
        <v>30</v>
      </c>
      <c r="K280" s="151">
        <v>960</v>
      </c>
      <c r="L280" s="151"/>
    </row>
    <row r="281" spans="1:12" hidden="1">
      <c r="A281" s="213">
        <v>30355106</v>
      </c>
      <c r="B281" s="151" t="s">
        <v>646</v>
      </c>
      <c r="C281" s="220" t="s">
        <v>552</v>
      </c>
      <c r="D281" s="151" t="s">
        <v>553</v>
      </c>
      <c r="E281" s="151" t="s">
        <v>528</v>
      </c>
      <c r="F281" s="213">
        <v>325</v>
      </c>
      <c r="G281" s="151">
        <v>32</v>
      </c>
      <c r="H281" s="151">
        <v>26</v>
      </c>
      <c r="I281" s="151">
        <v>832</v>
      </c>
      <c r="J281" s="151">
        <v>30</v>
      </c>
      <c r="K281" s="151">
        <v>960</v>
      </c>
      <c r="L281" s="220" t="s">
        <v>395</v>
      </c>
    </row>
    <row r="282" spans="1:12" hidden="1">
      <c r="A282" s="213">
        <v>30355201</v>
      </c>
      <c r="B282" s="151" t="s">
        <v>641</v>
      </c>
      <c r="C282" s="220" t="s">
        <v>552</v>
      </c>
      <c r="D282" s="151" t="s">
        <v>553</v>
      </c>
      <c r="E282" s="151" t="s">
        <v>528</v>
      </c>
      <c r="F282" s="213">
        <v>300</v>
      </c>
      <c r="G282" s="151">
        <v>32</v>
      </c>
      <c r="H282" s="151">
        <v>26</v>
      </c>
      <c r="I282" s="151">
        <v>832</v>
      </c>
      <c r="J282" s="151">
        <v>30</v>
      </c>
      <c r="K282" s="151">
        <v>960</v>
      </c>
      <c r="L282" s="220" t="s">
        <v>395</v>
      </c>
    </row>
    <row r="283" spans="1:12" hidden="1">
      <c r="A283" s="213">
        <v>30355202</v>
      </c>
      <c r="B283" s="151" t="s">
        <v>651</v>
      </c>
      <c r="C283" s="151" t="s">
        <v>552</v>
      </c>
      <c r="D283" s="151" t="s">
        <v>553</v>
      </c>
      <c r="E283" s="151" t="s">
        <v>528</v>
      </c>
      <c r="F283" s="213">
        <v>305</v>
      </c>
      <c r="G283" s="151">
        <v>32</v>
      </c>
      <c r="H283" s="151">
        <v>26</v>
      </c>
      <c r="I283" s="151">
        <v>832</v>
      </c>
      <c r="J283" s="151">
        <v>30</v>
      </c>
      <c r="K283" s="151">
        <v>960</v>
      </c>
      <c r="L283" s="151"/>
    </row>
    <row r="284" spans="1:12" hidden="1">
      <c r="A284" s="213">
        <v>30355203</v>
      </c>
      <c r="B284" s="151" t="s">
        <v>652</v>
      </c>
      <c r="C284" s="151" t="s">
        <v>552</v>
      </c>
      <c r="D284" s="151" t="s">
        <v>653</v>
      </c>
      <c r="E284" s="151" t="s">
        <v>528</v>
      </c>
      <c r="F284" s="213">
        <v>310</v>
      </c>
      <c r="G284" s="151">
        <v>32</v>
      </c>
      <c r="H284" s="151">
        <v>26</v>
      </c>
      <c r="I284" s="151">
        <v>832</v>
      </c>
      <c r="J284" s="151">
        <v>30</v>
      </c>
      <c r="K284" s="151">
        <v>960</v>
      </c>
      <c r="L284" s="151"/>
    </row>
    <row r="285" spans="1:12" hidden="1">
      <c r="A285" s="213">
        <v>30355204</v>
      </c>
      <c r="B285" s="151" t="s">
        <v>654</v>
      </c>
      <c r="C285" s="151" t="s">
        <v>552</v>
      </c>
      <c r="D285" s="151" t="s">
        <v>653</v>
      </c>
      <c r="E285" s="151" t="s">
        <v>528</v>
      </c>
      <c r="F285" s="213">
        <v>315</v>
      </c>
      <c r="G285" s="151">
        <v>32</v>
      </c>
      <c r="H285" s="151">
        <v>26</v>
      </c>
      <c r="I285" s="151">
        <v>832</v>
      </c>
      <c r="J285" s="151">
        <v>30</v>
      </c>
      <c r="K285" s="151">
        <v>960</v>
      </c>
      <c r="L285" s="151"/>
    </row>
    <row r="286" spans="1:12" hidden="1">
      <c r="A286" s="213">
        <v>30355205</v>
      </c>
      <c r="B286" s="151" t="s">
        <v>655</v>
      </c>
      <c r="C286" s="151" t="s">
        <v>552</v>
      </c>
      <c r="D286" s="151" t="s">
        <v>653</v>
      </c>
      <c r="E286" s="151" t="s">
        <v>528</v>
      </c>
      <c r="F286" s="213">
        <v>320</v>
      </c>
      <c r="G286" s="151">
        <v>32</v>
      </c>
      <c r="H286" s="151">
        <v>26</v>
      </c>
      <c r="I286" s="151">
        <v>832</v>
      </c>
      <c r="J286" s="151">
        <v>30</v>
      </c>
      <c r="K286" s="151">
        <v>960</v>
      </c>
      <c r="L286" s="151"/>
    </row>
    <row r="287" spans="1:12" hidden="1">
      <c r="A287" s="213">
        <v>30355206</v>
      </c>
      <c r="B287" s="151" t="s">
        <v>646</v>
      </c>
      <c r="C287" s="220" t="s">
        <v>552</v>
      </c>
      <c r="D287" s="151" t="s">
        <v>553</v>
      </c>
      <c r="E287" s="151" t="s">
        <v>528</v>
      </c>
      <c r="F287" s="213">
        <v>325</v>
      </c>
      <c r="G287" s="151">
        <v>32</v>
      </c>
      <c r="H287" s="151">
        <v>26</v>
      </c>
      <c r="I287" s="151">
        <v>832</v>
      </c>
      <c r="J287" s="151">
        <v>30</v>
      </c>
      <c r="K287" s="151">
        <v>960</v>
      </c>
      <c r="L287" s="220" t="s">
        <v>395</v>
      </c>
    </row>
    <row r="288" spans="1:12" hidden="1">
      <c r="A288" s="213">
        <v>30355301</v>
      </c>
      <c r="B288" s="151" t="s">
        <v>656</v>
      </c>
      <c r="C288" s="220" t="s">
        <v>552</v>
      </c>
      <c r="D288" s="151" t="s">
        <v>553</v>
      </c>
      <c r="E288" s="151" t="s">
        <v>528</v>
      </c>
      <c r="F288" s="213">
        <v>300</v>
      </c>
      <c r="G288" s="151">
        <v>32</v>
      </c>
      <c r="H288" s="151">
        <v>26</v>
      </c>
      <c r="I288" s="151">
        <v>832</v>
      </c>
      <c r="J288" s="151">
        <v>30</v>
      </c>
      <c r="K288" s="151">
        <v>960</v>
      </c>
      <c r="L288" s="220" t="s">
        <v>395</v>
      </c>
    </row>
    <row r="289" spans="1:12" hidden="1">
      <c r="A289" s="213">
        <v>30355302</v>
      </c>
      <c r="B289" s="151" t="s">
        <v>657</v>
      </c>
      <c r="C289" s="220" t="s">
        <v>552</v>
      </c>
      <c r="D289" s="151" t="s">
        <v>553</v>
      </c>
      <c r="E289" s="151" t="s">
        <v>528</v>
      </c>
      <c r="F289" s="213">
        <v>305</v>
      </c>
      <c r="G289" s="151">
        <v>32</v>
      </c>
      <c r="H289" s="151">
        <v>26</v>
      </c>
      <c r="I289" s="151">
        <v>832</v>
      </c>
      <c r="J289" s="151">
        <v>30</v>
      </c>
      <c r="K289" s="151">
        <v>960</v>
      </c>
      <c r="L289" s="220" t="s">
        <v>395</v>
      </c>
    </row>
    <row r="290" spans="1:12" hidden="1">
      <c r="A290" s="213">
        <v>30355303</v>
      </c>
      <c r="B290" s="151" t="s">
        <v>658</v>
      </c>
      <c r="C290" s="151" t="s">
        <v>552</v>
      </c>
      <c r="D290" s="151" t="s">
        <v>553</v>
      </c>
      <c r="E290" s="151" t="s">
        <v>528</v>
      </c>
      <c r="F290" s="213">
        <v>310</v>
      </c>
      <c r="G290" s="151">
        <v>32</v>
      </c>
      <c r="H290" s="151">
        <v>26</v>
      </c>
      <c r="I290" s="151">
        <v>832</v>
      </c>
      <c r="J290" s="151">
        <v>30</v>
      </c>
      <c r="K290" s="151">
        <v>960</v>
      </c>
      <c r="L290" s="151"/>
    </row>
    <row r="291" spans="1:12" hidden="1">
      <c r="A291" s="213">
        <v>30355304</v>
      </c>
      <c r="B291" s="151" t="s">
        <v>659</v>
      </c>
      <c r="C291" s="151" t="s">
        <v>552</v>
      </c>
      <c r="D291" s="151" t="s">
        <v>553</v>
      </c>
      <c r="E291" s="151" t="s">
        <v>528</v>
      </c>
      <c r="F291" s="213">
        <v>315</v>
      </c>
      <c r="G291" s="151">
        <v>32</v>
      </c>
      <c r="H291" s="151">
        <v>26</v>
      </c>
      <c r="I291" s="151">
        <v>832</v>
      </c>
      <c r="J291" s="151">
        <v>30</v>
      </c>
      <c r="K291" s="151">
        <v>960</v>
      </c>
      <c r="L291" s="151"/>
    </row>
    <row r="292" spans="1:12" hidden="1">
      <c r="A292" s="213">
        <v>30355305</v>
      </c>
      <c r="B292" s="151" t="s">
        <v>660</v>
      </c>
      <c r="C292" s="151" t="s">
        <v>552</v>
      </c>
      <c r="D292" s="151" t="s">
        <v>553</v>
      </c>
      <c r="E292" s="151" t="s">
        <v>528</v>
      </c>
      <c r="F292" s="213">
        <v>320</v>
      </c>
      <c r="G292" s="151">
        <v>32</v>
      </c>
      <c r="H292" s="151">
        <v>26</v>
      </c>
      <c r="I292" s="151">
        <v>832</v>
      </c>
      <c r="J292" s="151">
        <v>30</v>
      </c>
      <c r="K292" s="151">
        <v>960</v>
      </c>
      <c r="L292" s="151"/>
    </row>
    <row r="293" spans="1:12" hidden="1">
      <c r="A293" s="213">
        <v>30355306</v>
      </c>
      <c r="B293" s="151" t="s">
        <v>661</v>
      </c>
      <c r="C293" s="220" t="s">
        <v>552</v>
      </c>
      <c r="D293" s="151" t="s">
        <v>553</v>
      </c>
      <c r="E293" s="151" t="s">
        <v>528</v>
      </c>
      <c r="F293" s="213">
        <v>325</v>
      </c>
      <c r="G293" s="151">
        <v>32</v>
      </c>
      <c r="H293" s="151">
        <v>26</v>
      </c>
      <c r="I293" s="151">
        <v>832</v>
      </c>
      <c r="J293" s="151">
        <v>30</v>
      </c>
      <c r="K293" s="151">
        <v>960</v>
      </c>
      <c r="L293" s="220" t="s">
        <v>395</v>
      </c>
    </row>
    <row r="294" spans="1:12" hidden="1">
      <c r="A294" s="213">
        <v>30355307</v>
      </c>
      <c r="B294" s="151" t="s">
        <v>662</v>
      </c>
      <c r="C294" s="220" t="s">
        <v>552</v>
      </c>
      <c r="D294" s="151" t="s">
        <v>553</v>
      </c>
      <c r="E294" s="151" t="s">
        <v>528</v>
      </c>
      <c r="F294" s="213">
        <v>330</v>
      </c>
      <c r="G294" s="151">
        <v>32</v>
      </c>
      <c r="H294" s="151">
        <v>26</v>
      </c>
      <c r="I294" s="151">
        <v>832</v>
      </c>
      <c r="J294" s="151">
        <v>30</v>
      </c>
      <c r="K294" s="151">
        <v>960</v>
      </c>
      <c r="L294" s="220" t="s">
        <v>395</v>
      </c>
    </row>
    <row r="295" spans="1:12" hidden="1">
      <c r="A295" s="213">
        <v>30355329</v>
      </c>
      <c r="B295" s="151" t="s">
        <v>663</v>
      </c>
      <c r="C295" s="220" t="s">
        <v>552</v>
      </c>
      <c r="D295" s="151" t="s">
        <v>553</v>
      </c>
      <c r="E295" s="151" t="s">
        <v>528</v>
      </c>
      <c r="F295" s="213">
        <v>290</v>
      </c>
      <c r="G295" s="151">
        <v>32</v>
      </c>
      <c r="H295" s="151">
        <v>26</v>
      </c>
      <c r="I295" s="151">
        <v>832</v>
      </c>
      <c r="J295" s="151">
        <v>30</v>
      </c>
      <c r="K295" s="151">
        <v>960</v>
      </c>
      <c r="L295" s="220" t="s">
        <v>395</v>
      </c>
    </row>
    <row r="296" spans="1:12" hidden="1">
      <c r="A296" s="213">
        <v>30355330</v>
      </c>
      <c r="B296" s="151" t="s">
        <v>664</v>
      </c>
      <c r="C296" s="220" t="s">
        <v>552</v>
      </c>
      <c r="D296" s="151" t="s">
        <v>553</v>
      </c>
      <c r="E296" s="151" t="s">
        <v>528</v>
      </c>
      <c r="F296" s="213">
        <v>295</v>
      </c>
      <c r="G296" s="151">
        <v>32</v>
      </c>
      <c r="H296" s="151">
        <v>26</v>
      </c>
      <c r="I296" s="151">
        <v>832</v>
      </c>
      <c r="J296" s="151">
        <v>30</v>
      </c>
      <c r="K296" s="151">
        <v>960</v>
      </c>
      <c r="L296" s="220" t="s">
        <v>395</v>
      </c>
    </row>
    <row r="297" spans="1:12" hidden="1">
      <c r="A297" s="213">
        <v>30355401</v>
      </c>
      <c r="B297" s="151" t="s">
        <v>656</v>
      </c>
      <c r="C297" s="220" t="s">
        <v>552</v>
      </c>
      <c r="D297" s="151" t="s">
        <v>553</v>
      </c>
      <c r="E297" s="151" t="s">
        <v>528</v>
      </c>
      <c r="F297" s="213">
        <v>300</v>
      </c>
      <c r="G297" s="151">
        <v>32</v>
      </c>
      <c r="H297" s="151">
        <v>26</v>
      </c>
      <c r="I297" s="151">
        <v>832</v>
      </c>
      <c r="J297" s="151">
        <v>30</v>
      </c>
      <c r="K297" s="151">
        <v>960</v>
      </c>
      <c r="L297" s="220" t="s">
        <v>395</v>
      </c>
    </row>
    <row r="298" spans="1:12" hidden="1">
      <c r="A298" s="213">
        <v>30355402</v>
      </c>
      <c r="B298" s="151" t="s">
        <v>657</v>
      </c>
      <c r="C298" s="151" t="s">
        <v>552</v>
      </c>
      <c r="D298" s="151" t="s">
        <v>553</v>
      </c>
      <c r="E298" s="151" t="s">
        <v>528</v>
      </c>
      <c r="F298" s="213">
        <v>305</v>
      </c>
      <c r="G298" s="151">
        <v>32</v>
      </c>
      <c r="H298" s="151">
        <v>26</v>
      </c>
      <c r="I298" s="151">
        <v>832</v>
      </c>
      <c r="J298" s="151">
        <v>30</v>
      </c>
      <c r="K298" s="151">
        <v>960</v>
      </c>
      <c r="L298" s="151"/>
    </row>
    <row r="299" spans="1:12" hidden="1">
      <c r="A299" s="213">
        <v>30355403</v>
      </c>
      <c r="B299" s="151" t="s">
        <v>665</v>
      </c>
      <c r="C299" s="151" t="s">
        <v>552</v>
      </c>
      <c r="D299" s="151" t="s">
        <v>653</v>
      </c>
      <c r="E299" s="151" t="s">
        <v>528</v>
      </c>
      <c r="F299" s="213">
        <v>310</v>
      </c>
      <c r="G299" s="151">
        <v>32</v>
      </c>
      <c r="H299" s="151">
        <v>26</v>
      </c>
      <c r="I299" s="151">
        <v>832</v>
      </c>
      <c r="J299" s="151">
        <v>30</v>
      </c>
      <c r="K299" s="151">
        <v>960</v>
      </c>
      <c r="L299" s="151"/>
    </row>
    <row r="300" spans="1:12" hidden="1">
      <c r="A300" s="213">
        <v>30355404</v>
      </c>
      <c r="B300" s="151" t="s">
        <v>666</v>
      </c>
      <c r="C300" s="151" t="s">
        <v>552</v>
      </c>
      <c r="D300" s="151" t="s">
        <v>653</v>
      </c>
      <c r="E300" s="151" t="s">
        <v>528</v>
      </c>
      <c r="F300" s="213">
        <v>315</v>
      </c>
      <c r="G300" s="151">
        <v>32</v>
      </c>
      <c r="H300" s="151">
        <v>26</v>
      </c>
      <c r="I300" s="151">
        <v>832</v>
      </c>
      <c r="J300" s="151">
        <v>30</v>
      </c>
      <c r="K300" s="151">
        <v>960</v>
      </c>
      <c r="L300" s="151"/>
    </row>
    <row r="301" spans="1:12" hidden="1">
      <c r="A301" s="213">
        <v>30355405</v>
      </c>
      <c r="B301" s="151" t="s">
        <v>667</v>
      </c>
      <c r="C301" s="151" t="s">
        <v>552</v>
      </c>
      <c r="D301" s="151" t="s">
        <v>553</v>
      </c>
      <c r="E301" s="151" t="s">
        <v>528</v>
      </c>
      <c r="F301" s="213">
        <v>320</v>
      </c>
      <c r="G301" s="151">
        <v>32</v>
      </c>
      <c r="H301" s="151">
        <v>26</v>
      </c>
      <c r="I301" s="151">
        <v>832</v>
      </c>
      <c r="J301" s="151">
        <v>30</v>
      </c>
      <c r="K301" s="151">
        <v>960</v>
      </c>
      <c r="L301" s="151"/>
    </row>
    <row r="302" spans="1:12" hidden="1">
      <c r="A302" s="213">
        <v>30355406</v>
      </c>
      <c r="B302" s="151" t="s">
        <v>661</v>
      </c>
      <c r="C302" s="220" t="s">
        <v>552</v>
      </c>
      <c r="D302" s="151" t="s">
        <v>553</v>
      </c>
      <c r="E302" s="151" t="s">
        <v>528</v>
      </c>
      <c r="F302" s="213">
        <v>325</v>
      </c>
      <c r="G302" s="151">
        <v>32</v>
      </c>
      <c r="H302" s="151">
        <v>26</v>
      </c>
      <c r="I302" s="151">
        <v>832</v>
      </c>
      <c r="J302" s="151">
        <v>30</v>
      </c>
      <c r="K302" s="151">
        <v>960</v>
      </c>
      <c r="L302" s="220" t="s">
        <v>395</v>
      </c>
    </row>
    <row r="303" spans="1:12" hidden="1">
      <c r="A303" s="213">
        <v>30355407</v>
      </c>
      <c r="B303" s="151" t="s">
        <v>662</v>
      </c>
      <c r="C303" s="220" t="s">
        <v>552</v>
      </c>
      <c r="D303" s="151" t="s">
        <v>553</v>
      </c>
      <c r="E303" s="151" t="s">
        <v>528</v>
      </c>
      <c r="F303" s="213">
        <v>330</v>
      </c>
      <c r="G303" s="151">
        <v>32</v>
      </c>
      <c r="H303" s="151">
        <v>26</v>
      </c>
      <c r="I303" s="151">
        <v>832</v>
      </c>
      <c r="J303" s="151">
        <v>30</v>
      </c>
      <c r="K303" s="151">
        <v>960</v>
      </c>
      <c r="L303" s="220" t="s">
        <v>395</v>
      </c>
    </row>
    <row r="304" spans="1:12" hidden="1">
      <c r="A304" s="213">
        <v>30359001</v>
      </c>
      <c r="B304" s="151" t="s">
        <v>668</v>
      </c>
      <c r="C304" s="220" t="s">
        <v>669</v>
      </c>
      <c r="D304" s="151" t="s">
        <v>670</v>
      </c>
      <c r="E304" s="151" t="s">
        <v>528</v>
      </c>
      <c r="F304" s="213">
        <v>300</v>
      </c>
      <c r="G304" s="151">
        <v>26</v>
      </c>
      <c r="H304" s="151">
        <v>26</v>
      </c>
      <c r="I304" s="151">
        <v>676</v>
      </c>
      <c r="J304" s="151">
        <v>30</v>
      </c>
      <c r="K304" s="151">
        <v>780</v>
      </c>
      <c r="L304" s="220" t="s">
        <v>395</v>
      </c>
    </row>
    <row r="305" spans="1:12" hidden="1">
      <c r="A305" s="213">
        <v>30359002</v>
      </c>
      <c r="B305" s="151" t="s">
        <v>671</v>
      </c>
      <c r="C305" s="220" t="s">
        <v>669</v>
      </c>
      <c r="D305" s="151" t="s">
        <v>670</v>
      </c>
      <c r="E305" s="151" t="s">
        <v>528</v>
      </c>
      <c r="F305" s="213">
        <v>305</v>
      </c>
      <c r="G305" s="151">
        <v>26</v>
      </c>
      <c r="H305" s="151">
        <v>26</v>
      </c>
      <c r="I305" s="151">
        <v>676</v>
      </c>
      <c r="J305" s="151">
        <v>30</v>
      </c>
      <c r="K305" s="151">
        <v>780</v>
      </c>
      <c r="L305" s="220" t="s">
        <v>395</v>
      </c>
    </row>
    <row r="306" spans="1:12" hidden="1">
      <c r="A306" s="213">
        <v>30359003</v>
      </c>
      <c r="B306" s="151" t="s">
        <v>672</v>
      </c>
      <c r="C306" s="151" t="s">
        <v>669</v>
      </c>
      <c r="D306" s="151" t="s">
        <v>670</v>
      </c>
      <c r="E306" s="151" t="s">
        <v>528</v>
      </c>
      <c r="F306" s="213">
        <v>310</v>
      </c>
      <c r="G306" s="151">
        <v>26</v>
      </c>
      <c r="H306" s="151">
        <v>26</v>
      </c>
      <c r="I306" s="151">
        <v>676</v>
      </c>
      <c r="J306" s="151">
        <v>30</v>
      </c>
      <c r="K306" s="151">
        <v>780</v>
      </c>
      <c r="L306" s="151"/>
    </row>
    <row r="307" spans="1:12" hidden="1">
      <c r="A307" s="213">
        <v>30359004</v>
      </c>
      <c r="B307" s="151" t="s">
        <v>673</v>
      </c>
      <c r="C307" s="151" t="s">
        <v>669</v>
      </c>
      <c r="D307" s="151" t="s">
        <v>670</v>
      </c>
      <c r="E307" s="151" t="s">
        <v>528</v>
      </c>
      <c r="F307" s="213">
        <v>315</v>
      </c>
      <c r="G307" s="151">
        <v>26</v>
      </c>
      <c r="H307" s="151">
        <v>26</v>
      </c>
      <c r="I307" s="151">
        <v>676</v>
      </c>
      <c r="J307" s="151">
        <v>30</v>
      </c>
      <c r="K307" s="151">
        <v>780</v>
      </c>
      <c r="L307" s="151"/>
    </row>
    <row r="308" spans="1:12" hidden="1">
      <c r="A308" s="213">
        <v>30359005</v>
      </c>
      <c r="B308" s="151" t="s">
        <v>674</v>
      </c>
      <c r="C308" s="151" t="s">
        <v>669</v>
      </c>
      <c r="D308" s="151" t="s">
        <v>670</v>
      </c>
      <c r="E308" s="151" t="s">
        <v>528</v>
      </c>
      <c r="F308" s="213">
        <v>320</v>
      </c>
      <c r="G308" s="151">
        <v>26</v>
      </c>
      <c r="H308" s="151">
        <v>26</v>
      </c>
      <c r="I308" s="151">
        <v>676</v>
      </c>
      <c r="J308" s="151">
        <v>30</v>
      </c>
      <c r="K308" s="151">
        <v>780</v>
      </c>
      <c r="L308" s="151"/>
    </row>
    <row r="309" spans="1:12" hidden="1">
      <c r="A309" s="213">
        <v>30359006</v>
      </c>
      <c r="B309" s="151" t="s">
        <v>675</v>
      </c>
      <c r="C309" s="220" t="s">
        <v>669</v>
      </c>
      <c r="D309" s="151" t="s">
        <v>670</v>
      </c>
      <c r="E309" s="151" t="s">
        <v>528</v>
      </c>
      <c r="F309" s="213">
        <v>325</v>
      </c>
      <c r="G309" s="151">
        <v>26</v>
      </c>
      <c r="H309" s="151">
        <v>26</v>
      </c>
      <c r="I309" s="151">
        <v>676</v>
      </c>
      <c r="J309" s="151">
        <v>30</v>
      </c>
      <c r="K309" s="151">
        <v>780</v>
      </c>
      <c r="L309" s="220" t="s">
        <v>395</v>
      </c>
    </row>
    <row r="310" spans="1:12" hidden="1">
      <c r="A310" s="213">
        <v>30359101</v>
      </c>
      <c r="B310" s="151" t="s">
        <v>676</v>
      </c>
      <c r="C310" s="220" t="s">
        <v>552</v>
      </c>
      <c r="D310" s="151" t="s">
        <v>553</v>
      </c>
      <c r="E310" s="151" t="s">
        <v>528</v>
      </c>
      <c r="F310" s="213">
        <v>300</v>
      </c>
      <c r="G310" s="151">
        <v>32</v>
      </c>
      <c r="H310" s="151">
        <v>26</v>
      </c>
      <c r="I310" s="151">
        <v>832</v>
      </c>
      <c r="J310" s="151">
        <v>30</v>
      </c>
      <c r="K310" s="151">
        <v>960</v>
      </c>
      <c r="L310" s="220" t="s">
        <v>395</v>
      </c>
    </row>
    <row r="311" spans="1:12" hidden="1">
      <c r="A311" s="213">
        <v>30359102</v>
      </c>
      <c r="B311" s="151" t="s">
        <v>677</v>
      </c>
      <c r="C311" s="220" t="s">
        <v>552</v>
      </c>
      <c r="D311" s="151" t="s">
        <v>553</v>
      </c>
      <c r="E311" s="151" t="s">
        <v>528</v>
      </c>
      <c r="F311" s="213">
        <v>305</v>
      </c>
      <c r="G311" s="151">
        <v>32</v>
      </c>
      <c r="H311" s="151">
        <v>26</v>
      </c>
      <c r="I311" s="151">
        <v>832</v>
      </c>
      <c r="J311" s="151">
        <v>30</v>
      </c>
      <c r="K311" s="151">
        <v>960</v>
      </c>
      <c r="L311" s="220" t="s">
        <v>395</v>
      </c>
    </row>
    <row r="312" spans="1:12" hidden="1">
      <c r="A312" s="213">
        <v>30359103</v>
      </c>
      <c r="B312" s="151" t="s">
        <v>678</v>
      </c>
      <c r="C312" s="151" t="s">
        <v>552</v>
      </c>
      <c r="D312" s="151" t="s">
        <v>553</v>
      </c>
      <c r="E312" s="151" t="s">
        <v>528</v>
      </c>
      <c r="F312" s="213">
        <v>310</v>
      </c>
      <c r="G312" s="151">
        <v>32</v>
      </c>
      <c r="H312" s="151">
        <v>26</v>
      </c>
      <c r="I312" s="151">
        <v>832</v>
      </c>
      <c r="J312" s="151">
        <v>30</v>
      </c>
      <c r="K312" s="151">
        <v>960</v>
      </c>
      <c r="L312" s="151"/>
    </row>
    <row r="313" spans="1:12" hidden="1">
      <c r="A313" s="213">
        <v>30359104</v>
      </c>
      <c r="B313" s="151" t="s">
        <v>679</v>
      </c>
      <c r="C313" s="151" t="s">
        <v>552</v>
      </c>
      <c r="D313" s="151" t="s">
        <v>553</v>
      </c>
      <c r="E313" s="151" t="s">
        <v>528</v>
      </c>
      <c r="F313" s="213">
        <v>315</v>
      </c>
      <c r="G313" s="151">
        <v>32</v>
      </c>
      <c r="H313" s="151">
        <v>26</v>
      </c>
      <c r="I313" s="151">
        <v>832</v>
      </c>
      <c r="J313" s="151">
        <v>30</v>
      </c>
      <c r="K313" s="151">
        <v>960</v>
      </c>
      <c r="L313" s="151"/>
    </row>
    <row r="314" spans="1:12" hidden="1">
      <c r="A314" s="213">
        <v>30359105</v>
      </c>
      <c r="B314" s="151" t="s">
        <v>680</v>
      </c>
      <c r="C314" s="151" t="s">
        <v>552</v>
      </c>
      <c r="D314" s="151" t="s">
        <v>553</v>
      </c>
      <c r="E314" s="151" t="s">
        <v>528</v>
      </c>
      <c r="F314" s="213">
        <v>320</v>
      </c>
      <c r="G314" s="151">
        <v>32</v>
      </c>
      <c r="H314" s="151">
        <v>26</v>
      </c>
      <c r="I314" s="151">
        <v>832</v>
      </c>
      <c r="J314" s="151">
        <v>30</v>
      </c>
      <c r="K314" s="151">
        <v>960</v>
      </c>
      <c r="L314" s="151"/>
    </row>
    <row r="315" spans="1:12" hidden="1">
      <c r="A315" s="213">
        <v>30359106</v>
      </c>
      <c r="B315" s="151" t="s">
        <v>681</v>
      </c>
      <c r="C315" s="151" t="s">
        <v>552</v>
      </c>
      <c r="D315" s="151" t="s">
        <v>553</v>
      </c>
      <c r="E315" s="151" t="s">
        <v>528</v>
      </c>
      <c r="F315" s="213">
        <v>325</v>
      </c>
      <c r="G315" s="151">
        <v>32</v>
      </c>
      <c r="H315" s="151">
        <v>26</v>
      </c>
      <c r="I315" s="151">
        <v>832</v>
      </c>
      <c r="J315" s="151">
        <v>30</v>
      </c>
      <c r="K315" s="151">
        <v>960</v>
      </c>
      <c r="L315" s="151"/>
    </row>
    <row r="316" spans="1:12" hidden="1">
      <c r="A316" s="213">
        <v>30359107</v>
      </c>
      <c r="B316" s="151" t="s">
        <v>682</v>
      </c>
      <c r="C316" s="220" t="s">
        <v>552</v>
      </c>
      <c r="D316" s="151" t="s">
        <v>553</v>
      </c>
      <c r="E316" s="151" t="s">
        <v>528</v>
      </c>
      <c r="F316" s="213">
        <v>330</v>
      </c>
      <c r="G316" s="151">
        <v>32</v>
      </c>
      <c r="H316" s="151">
        <v>26</v>
      </c>
      <c r="I316" s="151">
        <v>832</v>
      </c>
      <c r="J316" s="151">
        <v>30</v>
      </c>
      <c r="K316" s="151">
        <v>960</v>
      </c>
      <c r="L316" s="220" t="s">
        <v>395</v>
      </c>
    </row>
    <row r="317" spans="1:12" hidden="1">
      <c r="A317" s="213">
        <v>30359201</v>
      </c>
      <c r="B317" s="151" t="s">
        <v>683</v>
      </c>
      <c r="C317" s="220" t="s">
        <v>669</v>
      </c>
      <c r="D317" s="151" t="s">
        <v>670</v>
      </c>
      <c r="E317" s="151" t="s">
        <v>528</v>
      </c>
      <c r="F317" s="213">
        <v>300</v>
      </c>
      <c r="G317" s="151">
        <v>26</v>
      </c>
      <c r="H317" s="151">
        <v>26</v>
      </c>
      <c r="I317" s="151">
        <v>676</v>
      </c>
      <c r="J317" s="151">
        <v>30</v>
      </c>
      <c r="K317" s="151">
        <v>780</v>
      </c>
      <c r="L317" s="220" t="s">
        <v>395</v>
      </c>
    </row>
    <row r="318" spans="1:12" hidden="1">
      <c r="A318" s="213">
        <v>30359202</v>
      </c>
      <c r="B318" s="151" t="s">
        <v>684</v>
      </c>
      <c r="C318" s="151" t="s">
        <v>669</v>
      </c>
      <c r="D318" s="151" t="s">
        <v>670</v>
      </c>
      <c r="E318" s="151" t="s">
        <v>528</v>
      </c>
      <c r="F318" s="213">
        <v>305</v>
      </c>
      <c r="G318" s="151">
        <v>26</v>
      </c>
      <c r="H318" s="151">
        <v>26</v>
      </c>
      <c r="I318" s="151">
        <v>676</v>
      </c>
      <c r="J318" s="151">
        <v>30</v>
      </c>
      <c r="K318" s="151">
        <v>780</v>
      </c>
      <c r="L318" s="151"/>
    </row>
    <row r="319" spans="1:12" hidden="1">
      <c r="A319" s="213">
        <v>30359203</v>
      </c>
      <c r="B319" s="151" t="s">
        <v>685</v>
      </c>
      <c r="C319" s="151" t="s">
        <v>669</v>
      </c>
      <c r="D319" s="151" t="s">
        <v>670</v>
      </c>
      <c r="E319" s="151" t="s">
        <v>528</v>
      </c>
      <c r="F319" s="213">
        <v>310</v>
      </c>
      <c r="G319" s="151">
        <v>26</v>
      </c>
      <c r="H319" s="151">
        <v>26</v>
      </c>
      <c r="I319" s="151">
        <v>676</v>
      </c>
      <c r="J319" s="151">
        <v>30</v>
      </c>
      <c r="K319" s="151">
        <v>780</v>
      </c>
      <c r="L319" s="151"/>
    </row>
    <row r="320" spans="1:12" hidden="1">
      <c r="A320" s="213">
        <v>30359204</v>
      </c>
      <c r="B320" s="151" t="s">
        <v>686</v>
      </c>
      <c r="C320" s="151" t="s">
        <v>669</v>
      </c>
      <c r="D320" s="151" t="s">
        <v>670</v>
      </c>
      <c r="E320" s="151" t="s">
        <v>528</v>
      </c>
      <c r="F320" s="213">
        <v>315</v>
      </c>
      <c r="G320" s="151">
        <v>26</v>
      </c>
      <c r="H320" s="151">
        <v>26</v>
      </c>
      <c r="I320" s="151">
        <v>676</v>
      </c>
      <c r="J320" s="151">
        <v>30</v>
      </c>
      <c r="K320" s="151">
        <v>780</v>
      </c>
      <c r="L320" s="151"/>
    </row>
    <row r="321" spans="1:12" hidden="1">
      <c r="A321" s="213">
        <v>30359205</v>
      </c>
      <c r="B321" s="151" t="s">
        <v>687</v>
      </c>
      <c r="C321" s="151" t="s">
        <v>669</v>
      </c>
      <c r="D321" s="151" t="s">
        <v>670</v>
      </c>
      <c r="E321" s="151" t="s">
        <v>528</v>
      </c>
      <c r="F321" s="213">
        <v>320</v>
      </c>
      <c r="G321" s="151">
        <v>26</v>
      </c>
      <c r="H321" s="151">
        <v>26</v>
      </c>
      <c r="I321" s="151">
        <v>676</v>
      </c>
      <c r="J321" s="151">
        <v>30</v>
      </c>
      <c r="K321" s="151">
        <v>780</v>
      </c>
      <c r="L321" s="151"/>
    </row>
    <row r="322" spans="1:12" hidden="1">
      <c r="A322" s="213">
        <v>30359206</v>
      </c>
      <c r="B322" s="151" t="s">
        <v>688</v>
      </c>
      <c r="C322" s="220" t="s">
        <v>669</v>
      </c>
      <c r="D322" s="151" t="s">
        <v>670</v>
      </c>
      <c r="E322" s="151" t="s">
        <v>528</v>
      </c>
      <c r="F322" s="213">
        <v>325</v>
      </c>
      <c r="G322" s="151">
        <v>26</v>
      </c>
      <c r="H322" s="151">
        <v>26</v>
      </c>
      <c r="I322" s="151">
        <v>676</v>
      </c>
      <c r="J322" s="151">
        <v>30</v>
      </c>
      <c r="K322" s="151">
        <v>780</v>
      </c>
      <c r="L322" s="220" t="s">
        <v>395</v>
      </c>
    </row>
    <row r="323" spans="1:12" hidden="1">
      <c r="A323" s="213">
        <v>30359207</v>
      </c>
      <c r="B323" s="151" t="s">
        <v>689</v>
      </c>
      <c r="C323" s="220" t="s">
        <v>669</v>
      </c>
      <c r="D323" s="151" t="s">
        <v>670</v>
      </c>
      <c r="E323" s="151" t="s">
        <v>528</v>
      </c>
      <c r="F323" s="213">
        <v>330</v>
      </c>
      <c r="G323" s="151">
        <v>26</v>
      </c>
      <c r="H323" s="151">
        <v>26</v>
      </c>
      <c r="I323" s="151">
        <v>676</v>
      </c>
      <c r="J323" s="151">
        <v>30</v>
      </c>
      <c r="K323" s="151">
        <v>780</v>
      </c>
      <c r="L323" s="220" t="s">
        <v>395</v>
      </c>
    </row>
    <row r="324" spans="1:12" hidden="1">
      <c r="A324" s="213">
        <v>30359301</v>
      </c>
      <c r="B324" s="151" t="s">
        <v>676</v>
      </c>
      <c r="C324" s="220" t="s">
        <v>552</v>
      </c>
      <c r="D324" s="151" t="s">
        <v>553</v>
      </c>
      <c r="E324" s="151" t="s">
        <v>528</v>
      </c>
      <c r="F324" s="213">
        <v>300</v>
      </c>
      <c r="G324" s="151">
        <v>32</v>
      </c>
      <c r="H324" s="151">
        <v>26</v>
      </c>
      <c r="I324" s="151">
        <v>832</v>
      </c>
      <c r="J324" s="151">
        <v>30</v>
      </c>
      <c r="K324" s="151">
        <v>960</v>
      </c>
      <c r="L324" s="220" t="s">
        <v>395</v>
      </c>
    </row>
    <row r="325" spans="1:12" hidden="1">
      <c r="A325" s="213">
        <v>30359302</v>
      </c>
      <c r="B325" s="151" t="s">
        <v>677</v>
      </c>
      <c r="C325" s="220" t="s">
        <v>552</v>
      </c>
      <c r="D325" s="151" t="s">
        <v>553</v>
      </c>
      <c r="E325" s="151" t="s">
        <v>528</v>
      </c>
      <c r="F325" s="213">
        <v>305</v>
      </c>
      <c r="G325" s="151">
        <v>32</v>
      </c>
      <c r="H325" s="151">
        <v>26</v>
      </c>
      <c r="I325" s="151">
        <v>832</v>
      </c>
      <c r="J325" s="151">
        <v>30</v>
      </c>
      <c r="K325" s="151">
        <v>960</v>
      </c>
      <c r="L325" s="220" t="s">
        <v>395</v>
      </c>
    </row>
    <row r="326" spans="1:12" hidden="1">
      <c r="A326" s="213">
        <v>30359303</v>
      </c>
      <c r="B326" s="151" t="s">
        <v>678</v>
      </c>
      <c r="C326" s="151" t="s">
        <v>552</v>
      </c>
      <c r="D326" s="151" t="s">
        <v>553</v>
      </c>
      <c r="E326" s="151" t="s">
        <v>528</v>
      </c>
      <c r="F326" s="213">
        <v>310</v>
      </c>
      <c r="G326" s="151">
        <v>32</v>
      </c>
      <c r="H326" s="151">
        <v>26</v>
      </c>
      <c r="I326" s="151">
        <v>832</v>
      </c>
      <c r="J326" s="151">
        <v>30</v>
      </c>
      <c r="K326" s="151">
        <v>960</v>
      </c>
      <c r="L326" s="151"/>
    </row>
    <row r="327" spans="1:12" hidden="1">
      <c r="A327" s="213">
        <v>30359304</v>
      </c>
      <c r="B327" s="151" t="s">
        <v>679</v>
      </c>
      <c r="C327" s="151" t="s">
        <v>552</v>
      </c>
      <c r="D327" s="151" t="s">
        <v>553</v>
      </c>
      <c r="E327" s="151" t="s">
        <v>528</v>
      </c>
      <c r="F327" s="213">
        <v>315</v>
      </c>
      <c r="G327" s="151">
        <v>32</v>
      </c>
      <c r="H327" s="151">
        <v>26</v>
      </c>
      <c r="I327" s="151">
        <v>832</v>
      </c>
      <c r="J327" s="151">
        <v>30</v>
      </c>
      <c r="K327" s="151">
        <v>960</v>
      </c>
      <c r="L327" s="151"/>
    </row>
    <row r="328" spans="1:12" hidden="1">
      <c r="A328" s="213">
        <v>30359305</v>
      </c>
      <c r="B328" s="151" t="s">
        <v>680</v>
      </c>
      <c r="C328" s="151" t="s">
        <v>552</v>
      </c>
      <c r="D328" s="151" t="s">
        <v>553</v>
      </c>
      <c r="E328" s="151" t="s">
        <v>528</v>
      </c>
      <c r="F328" s="213">
        <v>320</v>
      </c>
      <c r="G328" s="151">
        <v>32</v>
      </c>
      <c r="H328" s="151">
        <v>26</v>
      </c>
      <c r="I328" s="151">
        <v>832</v>
      </c>
      <c r="J328" s="151">
        <v>30</v>
      </c>
      <c r="K328" s="151">
        <v>960</v>
      </c>
      <c r="L328" s="151"/>
    </row>
    <row r="329" spans="1:12" hidden="1">
      <c r="A329" s="213">
        <v>30359306</v>
      </c>
      <c r="B329" s="151" t="s">
        <v>681</v>
      </c>
      <c r="C329" s="151" t="s">
        <v>552</v>
      </c>
      <c r="D329" s="151" t="s">
        <v>553</v>
      </c>
      <c r="E329" s="151" t="s">
        <v>528</v>
      </c>
      <c r="F329" s="213">
        <v>325</v>
      </c>
      <c r="G329" s="151">
        <v>32</v>
      </c>
      <c r="H329" s="151">
        <v>26</v>
      </c>
      <c r="I329" s="151">
        <v>832</v>
      </c>
      <c r="J329" s="151">
        <v>30</v>
      </c>
      <c r="K329" s="151">
        <v>960</v>
      </c>
      <c r="L329" s="151"/>
    </row>
    <row r="330" spans="1:12" hidden="1">
      <c r="A330" s="213">
        <v>30359307</v>
      </c>
      <c r="B330" s="151" t="s">
        <v>682</v>
      </c>
      <c r="C330" s="220" t="s">
        <v>552</v>
      </c>
      <c r="D330" s="151" t="s">
        <v>553</v>
      </c>
      <c r="E330" s="151" t="s">
        <v>528</v>
      </c>
      <c r="F330" s="213">
        <v>330</v>
      </c>
      <c r="G330" s="151">
        <v>32</v>
      </c>
      <c r="H330" s="151">
        <v>26</v>
      </c>
      <c r="I330" s="151">
        <v>832</v>
      </c>
      <c r="J330" s="151">
        <v>30</v>
      </c>
      <c r="K330" s="151">
        <v>960</v>
      </c>
      <c r="L330" s="220" t="s">
        <v>395</v>
      </c>
    </row>
    <row r="331" spans="1:12" hidden="1">
      <c r="A331" s="213">
        <v>30375107</v>
      </c>
      <c r="B331" s="151" t="s">
        <v>690</v>
      </c>
      <c r="C331" s="151" t="s">
        <v>691</v>
      </c>
      <c r="D331" s="151" t="s">
        <v>553</v>
      </c>
      <c r="E331" s="151" t="s">
        <v>528</v>
      </c>
      <c r="F331" s="213">
        <v>330</v>
      </c>
      <c r="G331" s="151">
        <v>32</v>
      </c>
      <c r="H331" s="151">
        <v>24</v>
      </c>
      <c r="I331" s="151">
        <v>768</v>
      </c>
      <c r="J331" s="151">
        <v>28</v>
      </c>
      <c r="K331" s="151">
        <v>896</v>
      </c>
      <c r="L331" s="151"/>
    </row>
    <row r="332" spans="1:12" hidden="1">
      <c r="A332" s="213">
        <v>30375108</v>
      </c>
      <c r="B332" s="151" t="s">
        <v>692</v>
      </c>
      <c r="C332" s="151" t="s">
        <v>691</v>
      </c>
      <c r="D332" s="151" t="s">
        <v>553</v>
      </c>
      <c r="E332" s="151" t="s">
        <v>528</v>
      </c>
      <c r="F332" s="213">
        <v>335</v>
      </c>
      <c r="G332" s="151">
        <v>32</v>
      </c>
      <c r="H332" s="151">
        <v>24</v>
      </c>
      <c r="I332" s="151">
        <v>768</v>
      </c>
      <c r="J332" s="151">
        <v>28</v>
      </c>
      <c r="K332" s="151">
        <v>896</v>
      </c>
      <c r="L332" s="151"/>
    </row>
    <row r="333" spans="1:12" hidden="1">
      <c r="A333" s="213">
        <v>30375208</v>
      </c>
      <c r="B333" s="151" t="s">
        <v>693</v>
      </c>
      <c r="C333" s="151" t="s">
        <v>691</v>
      </c>
      <c r="D333" s="151" t="s">
        <v>553</v>
      </c>
      <c r="E333" s="151" t="s">
        <v>528</v>
      </c>
      <c r="F333" s="213">
        <v>335</v>
      </c>
      <c r="G333" s="151">
        <v>32</v>
      </c>
      <c r="H333" s="151">
        <v>24</v>
      </c>
      <c r="I333" s="151">
        <v>768</v>
      </c>
      <c r="J333" s="151">
        <v>28</v>
      </c>
      <c r="K333" s="151">
        <v>896</v>
      </c>
      <c r="L333" s="151"/>
    </row>
    <row r="334" spans="1:12" hidden="1">
      <c r="A334" s="213">
        <v>30375908</v>
      </c>
      <c r="B334" s="151" t="s">
        <v>694</v>
      </c>
      <c r="C334" s="151" t="s">
        <v>691</v>
      </c>
      <c r="D334" s="151" t="s">
        <v>553</v>
      </c>
      <c r="E334" s="151" t="s">
        <v>528</v>
      </c>
      <c r="F334" s="213">
        <v>335</v>
      </c>
      <c r="G334" s="151">
        <v>32</v>
      </c>
      <c r="H334" s="151">
        <v>24</v>
      </c>
      <c r="I334" s="151">
        <v>768</v>
      </c>
      <c r="J334" s="151">
        <v>28</v>
      </c>
      <c r="K334" s="151">
        <v>896</v>
      </c>
      <c r="L334" s="151"/>
    </row>
    <row r="335" spans="1:12" hidden="1">
      <c r="A335" s="213">
        <v>30375109</v>
      </c>
      <c r="B335" s="151" t="s">
        <v>695</v>
      </c>
      <c r="C335" s="151" t="s">
        <v>691</v>
      </c>
      <c r="D335" s="151" t="s">
        <v>553</v>
      </c>
      <c r="E335" s="151" t="s">
        <v>528</v>
      </c>
      <c r="F335" s="213">
        <v>340</v>
      </c>
      <c r="G335" s="151">
        <v>32</v>
      </c>
      <c r="H335" s="151">
        <v>24</v>
      </c>
      <c r="I335" s="151">
        <v>768</v>
      </c>
      <c r="J335" s="151">
        <v>28</v>
      </c>
      <c r="K335" s="151">
        <v>896</v>
      </c>
      <c r="L335" s="151"/>
    </row>
    <row r="336" spans="1:12" hidden="1">
      <c r="A336" s="213">
        <v>30375209</v>
      </c>
      <c r="B336" s="151" t="s">
        <v>696</v>
      </c>
      <c r="C336" s="151" t="s">
        <v>691</v>
      </c>
      <c r="D336" s="151" t="s">
        <v>553</v>
      </c>
      <c r="E336" s="151" t="s">
        <v>528</v>
      </c>
      <c r="F336" s="213">
        <v>340</v>
      </c>
      <c r="G336" s="151">
        <v>32</v>
      </c>
      <c r="H336" s="151">
        <v>24</v>
      </c>
      <c r="I336" s="151">
        <v>768</v>
      </c>
      <c r="J336" s="151">
        <v>28</v>
      </c>
      <c r="K336" s="151">
        <v>896</v>
      </c>
      <c r="L336" s="151"/>
    </row>
    <row r="337" spans="1:12" hidden="1">
      <c r="A337" s="213">
        <v>30375207</v>
      </c>
      <c r="B337" s="151" t="s">
        <v>697</v>
      </c>
      <c r="C337" s="151" t="s">
        <v>691</v>
      </c>
      <c r="D337" s="151" t="s">
        <v>553</v>
      </c>
      <c r="E337" s="151" t="s">
        <v>528</v>
      </c>
      <c r="F337" s="213">
        <v>330</v>
      </c>
      <c r="G337" s="151">
        <v>32</v>
      </c>
      <c r="H337" s="151">
        <v>24</v>
      </c>
      <c r="I337" s="151">
        <v>768</v>
      </c>
      <c r="J337" s="151">
        <v>28</v>
      </c>
      <c r="K337" s="151">
        <v>896</v>
      </c>
      <c r="L337" s="151"/>
    </row>
    <row r="338" spans="1:12" hidden="1">
      <c r="A338" s="213">
        <v>30375110</v>
      </c>
      <c r="B338" s="151" t="s">
        <v>698</v>
      </c>
      <c r="C338" s="151" t="s">
        <v>691</v>
      </c>
      <c r="D338" s="151" t="s">
        <v>553</v>
      </c>
      <c r="E338" s="151" t="s">
        <v>528</v>
      </c>
      <c r="F338" s="213">
        <v>345</v>
      </c>
      <c r="G338" s="151">
        <v>32</v>
      </c>
      <c r="H338" s="151">
        <v>24</v>
      </c>
      <c r="I338" s="151">
        <v>768</v>
      </c>
      <c r="J338" s="151">
        <v>28</v>
      </c>
      <c r="K338" s="151">
        <v>896</v>
      </c>
      <c r="L338" s="151"/>
    </row>
    <row r="339" spans="1:12" hidden="1">
      <c r="A339" s="213">
        <v>30375307</v>
      </c>
      <c r="B339" s="151" t="s">
        <v>699</v>
      </c>
      <c r="C339" s="151" t="s">
        <v>700</v>
      </c>
      <c r="D339" s="151" t="s">
        <v>553</v>
      </c>
      <c r="E339" s="151" t="s">
        <v>528</v>
      </c>
      <c r="F339" s="213">
        <v>330</v>
      </c>
      <c r="G339" s="151">
        <v>26</v>
      </c>
      <c r="H339" s="151">
        <v>26</v>
      </c>
      <c r="I339" s="151">
        <v>676</v>
      </c>
      <c r="J339" s="151">
        <v>28</v>
      </c>
      <c r="K339" s="151">
        <v>728</v>
      </c>
      <c r="L339" s="151"/>
    </row>
    <row r="340" spans="1:12" hidden="1">
      <c r="A340" s="213">
        <v>30375308</v>
      </c>
      <c r="B340" s="151" t="s">
        <v>699</v>
      </c>
      <c r="C340" s="151" t="s">
        <v>700</v>
      </c>
      <c r="D340" s="151" t="s">
        <v>553</v>
      </c>
      <c r="E340" s="151" t="s">
        <v>528</v>
      </c>
      <c r="F340" s="213">
        <v>335</v>
      </c>
      <c r="G340" s="151">
        <v>26</v>
      </c>
      <c r="H340" s="151">
        <v>26</v>
      </c>
      <c r="I340" s="151">
        <v>676</v>
      </c>
      <c r="J340" s="151">
        <v>28</v>
      </c>
      <c r="K340" s="151">
        <v>728</v>
      </c>
      <c r="L340" s="151"/>
    </row>
    <row r="341" spans="1:12" hidden="1">
      <c r="A341" s="213">
        <v>30375808</v>
      </c>
      <c r="B341" s="151" t="s">
        <v>701</v>
      </c>
      <c r="C341" s="151" t="s">
        <v>702</v>
      </c>
      <c r="D341" s="151" t="s">
        <v>553</v>
      </c>
      <c r="E341" s="151" t="s">
        <v>528</v>
      </c>
      <c r="F341" s="213">
        <v>335</v>
      </c>
      <c r="G341" s="151">
        <v>26</v>
      </c>
      <c r="H341" s="151">
        <v>26</v>
      </c>
      <c r="I341" s="151">
        <v>676</v>
      </c>
      <c r="J341" s="151">
        <v>28</v>
      </c>
      <c r="K341" s="151">
        <v>728</v>
      </c>
      <c r="L341" s="151"/>
    </row>
    <row r="342" spans="1:12" hidden="1">
      <c r="A342" s="213">
        <v>30375309</v>
      </c>
      <c r="B342" s="151" t="s">
        <v>699</v>
      </c>
      <c r="C342" s="151" t="s">
        <v>700</v>
      </c>
      <c r="D342" s="151" t="s">
        <v>553</v>
      </c>
      <c r="E342" s="151" t="s">
        <v>528</v>
      </c>
      <c r="F342" s="213">
        <v>340</v>
      </c>
      <c r="G342" s="151">
        <v>26</v>
      </c>
      <c r="H342" s="151">
        <v>26</v>
      </c>
      <c r="I342" s="151">
        <v>676</v>
      </c>
      <c r="J342" s="151">
        <v>28</v>
      </c>
      <c r="K342" s="151">
        <v>728</v>
      </c>
      <c r="L342" s="151"/>
    </row>
    <row r="343" spans="1:12" hidden="1">
      <c r="A343" s="213">
        <v>30375311</v>
      </c>
      <c r="B343" s="151" t="s">
        <v>699</v>
      </c>
      <c r="C343" s="151" t="s">
        <v>700</v>
      </c>
      <c r="D343" s="151" t="s">
        <v>553</v>
      </c>
      <c r="E343" s="151" t="s">
        <v>528</v>
      </c>
      <c r="F343" s="213">
        <v>350</v>
      </c>
      <c r="G343" s="151">
        <v>26</v>
      </c>
      <c r="H343" s="151">
        <v>26</v>
      </c>
      <c r="I343" s="151">
        <v>676</v>
      </c>
      <c r="J343" s="151">
        <v>28</v>
      </c>
      <c r="K343" s="151">
        <v>728</v>
      </c>
      <c r="L343" s="151"/>
    </row>
    <row r="344" spans="1:12" hidden="1">
      <c r="A344" s="213">
        <v>30376108</v>
      </c>
      <c r="B344" s="151" t="s">
        <v>703</v>
      </c>
      <c r="C344" s="151" t="s">
        <v>704</v>
      </c>
      <c r="D344" s="151" t="s">
        <v>553</v>
      </c>
      <c r="E344" s="151" t="s">
        <v>528</v>
      </c>
      <c r="F344" s="213">
        <v>335</v>
      </c>
      <c r="G344" s="151">
        <v>32</v>
      </c>
      <c r="H344" s="151">
        <v>26</v>
      </c>
      <c r="I344" s="151">
        <v>832</v>
      </c>
      <c r="J344" s="151">
        <v>28</v>
      </c>
      <c r="K344" s="151">
        <v>896</v>
      </c>
      <c r="L344" s="151"/>
    </row>
    <row r="345" spans="1:12" hidden="1">
      <c r="A345" s="213">
        <v>30376109</v>
      </c>
      <c r="B345" s="151" t="s">
        <v>703</v>
      </c>
      <c r="C345" s="151" t="s">
        <v>704</v>
      </c>
      <c r="D345" s="151" t="s">
        <v>553</v>
      </c>
      <c r="E345" s="151" t="s">
        <v>528</v>
      </c>
      <c r="F345" s="213">
        <v>340</v>
      </c>
      <c r="G345" s="151">
        <v>32</v>
      </c>
      <c r="H345" s="151">
        <v>26</v>
      </c>
      <c r="I345" s="151">
        <v>832</v>
      </c>
      <c r="J345" s="151">
        <v>28</v>
      </c>
      <c r="K345" s="151">
        <v>896</v>
      </c>
      <c r="L345" s="151"/>
    </row>
    <row r="346" spans="1:12" hidden="1">
      <c r="A346" s="213">
        <v>30376408</v>
      </c>
      <c r="B346" s="151" t="s">
        <v>705</v>
      </c>
      <c r="C346" s="151" t="s">
        <v>704</v>
      </c>
      <c r="D346" s="151" t="s">
        <v>553</v>
      </c>
      <c r="E346" s="151" t="s">
        <v>528</v>
      </c>
      <c r="F346" s="213">
        <v>335</v>
      </c>
      <c r="G346" s="151">
        <v>32</v>
      </c>
      <c r="H346" s="151">
        <v>26</v>
      </c>
      <c r="I346" s="151">
        <v>832</v>
      </c>
      <c r="J346" s="151">
        <v>28</v>
      </c>
      <c r="K346" s="151">
        <v>896</v>
      </c>
      <c r="L346" s="151"/>
    </row>
    <row r="347" spans="1:12" hidden="1">
      <c r="A347" s="213">
        <v>30376409</v>
      </c>
      <c r="B347" s="151" t="s">
        <v>705</v>
      </c>
      <c r="C347" s="151" t="s">
        <v>704</v>
      </c>
      <c r="D347" s="151" t="s">
        <v>553</v>
      </c>
      <c r="E347" s="151" t="s">
        <v>528</v>
      </c>
      <c r="F347" s="213">
        <v>340</v>
      </c>
      <c r="G347" s="151">
        <v>32</v>
      </c>
      <c r="H347" s="151">
        <v>26</v>
      </c>
      <c r="I347" s="151">
        <v>832</v>
      </c>
      <c r="J347" s="151">
        <v>28</v>
      </c>
      <c r="K347" s="151">
        <v>896</v>
      </c>
      <c r="L347" s="151"/>
    </row>
    <row r="348" spans="1:12" hidden="1">
      <c r="A348" s="213">
        <v>30376209</v>
      </c>
      <c r="B348" t="s">
        <v>706</v>
      </c>
      <c r="C348" s="151" t="s">
        <v>704</v>
      </c>
      <c r="D348" s="151" t="s">
        <v>553</v>
      </c>
      <c r="E348" s="151" t="s">
        <v>528</v>
      </c>
      <c r="F348" s="213">
        <v>340</v>
      </c>
      <c r="G348" s="151">
        <v>32</v>
      </c>
      <c r="H348" s="151">
        <v>26</v>
      </c>
      <c r="I348" s="151">
        <v>832</v>
      </c>
      <c r="J348" s="151">
        <v>28</v>
      </c>
      <c r="K348" s="151">
        <v>896</v>
      </c>
      <c r="L348" s="151"/>
    </row>
    <row r="349" spans="1:12" hidden="1">
      <c r="A349" s="213">
        <v>30376110</v>
      </c>
      <c r="B349" s="151" t="s">
        <v>703</v>
      </c>
      <c r="C349" s="151" t="s">
        <v>704</v>
      </c>
      <c r="D349" s="151" t="s">
        <v>553</v>
      </c>
      <c r="E349" s="151" t="s">
        <v>528</v>
      </c>
      <c r="F349" s="213">
        <v>345</v>
      </c>
      <c r="G349" s="151">
        <v>32</v>
      </c>
      <c r="H349" s="151">
        <v>26</v>
      </c>
      <c r="I349" s="151">
        <v>832</v>
      </c>
      <c r="J349" s="151">
        <v>28</v>
      </c>
      <c r="K349" s="151">
        <v>896</v>
      </c>
      <c r="L349" s="151"/>
    </row>
    <row r="350" spans="1:12" hidden="1">
      <c r="A350" s="213">
        <v>30360214</v>
      </c>
      <c r="B350" s="151" t="s">
        <v>707</v>
      </c>
      <c r="C350" s="220" t="s">
        <v>639</v>
      </c>
      <c r="D350" s="151" t="s">
        <v>640</v>
      </c>
      <c r="E350" s="151" t="s">
        <v>528</v>
      </c>
      <c r="F350" s="213">
        <v>365</v>
      </c>
      <c r="G350" s="151">
        <v>29</v>
      </c>
      <c r="H350" s="151">
        <v>22</v>
      </c>
      <c r="I350" s="151">
        <v>638</v>
      </c>
      <c r="J350" s="151">
        <v>26</v>
      </c>
      <c r="K350" s="151">
        <v>754</v>
      </c>
      <c r="L350" s="220" t="s">
        <v>395</v>
      </c>
    </row>
    <row r="351" spans="1:12" hidden="1">
      <c r="A351" s="213">
        <v>30360215</v>
      </c>
      <c r="B351" s="151" t="s">
        <v>708</v>
      </c>
      <c r="C351" s="220" t="s">
        <v>639</v>
      </c>
      <c r="D351" s="151" t="s">
        <v>640</v>
      </c>
      <c r="E351" s="151" t="s">
        <v>528</v>
      </c>
      <c r="F351" s="213">
        <v>370</v>
      </c>
      <c r="G351" s="151">
        <v>29</v>
      </c>
      <c r="H351" s="151">
        <v>22</v>
      </c>
      <c r="I351" s="151">
        <v>638</v>
      </c>
      <c r="J351" s="151">
        <v>26</v>
      </c>
      <c r="K351" s="151">
        <v>754</v>
      </c>
      <c r="L351" s="220" t="s">
        <v>395</v>
      </c>
    </row>
    <row r="352" spans="1:12" hidden="1">
      <c r="A352" s="213">
        <v>30360216</v>
      </c>
      <c r="B352" s="151" t="s">
        <v>709</v>
      </c>
      <c r="C352" s="220" t="s">
        <v>639</v>
      </c>
      <c r="D352" s="151" t="s">
        <v>640</v>
      </c>
      <c r="E352" s="151" t="s">
        <v>528</v>
      </c>
      <c r="F352" s="213">
        <v>375</v>
      </c>
      <c r="G352" s="151">
        <v>29</v>
      </c>
      <c r="H352" s="151">
        <v>22</v>
      </c>
      <c r="I352" s="151">
        <v>638</v>
      </c>
      <c r="J352" s="151">
        <v>26</v>
      </c>
      <c r="K352" s="151">
        <v>754</v>
      </c>
      <c r="L352" s="220" t="s">
        <v>395</v>
      </c>
    </row>
    <row r="353" spans="1:12" hidden="1">
      <c r="A353" s="213">
        <v>30360217</v>
      </c>
      <c r="B353" s="151" t="s">
        <v>710</v>
      </c>
      <c r="C353" s="151" t="s">
        <v>639</v>
      </c>
      <c r="D353" s="151" t="s">
        <v>640</v>
      </c>
      <c r="E353" s="151" t="s">
        <v>528</v>
      </c>
      <c r="F353" s="213">
        <v>380</v>
      </c>
      <c r="G353" s="151">
        <v>29</v>
      </c>
      <c r="H353" s="151">
        <v>22</v>
      </c>
      <c r="I353" s="151">
        <v>638</v>
      </c>
      <c r="J353" s="151">
        <v>26</v>
      </c>
      <c r="K353" s="151">
        <v>754</v>
      </c>
      <c r="L353" s="151"/>
    </row>
    <row r="354" spans="1:12" hidden="1">
      <c r="A354" s="213">
        <v>30360218</v>
      </c>
      <c r="B354" s="151" t="s">
        <v>711</v>
      </c>
      <c r="C354" s="151" t="s">
        <v>639</v>
      </c>
      <c r="D354" s="151" t="s">
        <v>640</v>
      </c>
      <c r="E354" s="151" t="s">
        <v>528</v>
      </c>
      <c r="F354" s="213">
        <v>385</v>
      </c>
      <c r="G354" s="151">
        <v>29</v>
      </c>
      <c r="H354" s="151">
        <v>22</v>
      </c>
      <c r="I354" s="151">
        <v>638</v>
      </c>
      <c r="J354" s="151">
        <v>26</v>
      </c>
      <c r="K354" s="151">
        <v>754</v>
      </c>
      <c r="L354" s="151"/>
    </row>
    <row r="355" spans="1:12" hidden="1">
      <c r="A355" s="213">
        <v>30360219</v>
      </c>
      <c r="B355" s="151" t="s">
        <v>712</v>
      </c>
      <c r="C355" s="151" t="s">
        <v>639</v>
      </c>
      <c r="D355" s="151" t="s">
        <v>640</v>
      </c>
      <c r="E355" s="151" t="s">
        <v>528</v>
      </c>
      <c r="F355" s="213">
        <v>390</v>
      </c>
      <c r="G355" s="151">
        <v>29</v>
      </c>
      <c r="H355" s="151">
        <v>22</v>
      </c>
      <c r="I355" s="151">
        <v>638</v>
      </c>
      <c r="J355" s="151">
        <v>26</v>
      </c>
      <c r="K355" s="151">
        <v>754</v>
      </c>
      <c r="L355" s="151"/>
    </row>
    <row r="356" spans="1:12" hidden="1">
      <c r="A356" s="213">
        <v>30360255</v>
      </c>
      <c r="B356" s="151" t="s">
        <v>713</v>
      </c>
      <c r="C356" s="220" t="s">
        <v>639</v>
      </c>
      <c r="D356" s="151" t="s">
        <v>640</v>
      </c>
      <c r="E356" s="151" t="s">
        <v>528</v>
      </c>
      <c r="F356" s="213">
        <v>395</v>
      </c>
      <c r="G356" s="151">
        <v>29</v>
      </c>
      <c r="H356" s="151">
        <v>22</v>
      </c>
      <c r="I356" s="151">
        <v>638</v>
      </c>
      <c r="J356" s="151">
        <v>26</v>
      </c>
      <c r="K356" s="151">
        <v>754</v>
      </c>
      <c r="L356" s="220" t="s">
        <v>395</v>
      </c>
    </row>
    <row r="357" spans="1:12" hidden="1">
      <c r="A357" s="213">
        <v>30360256</v>
      </c>
      <c r="B357" s="151" t="s">
        <v>714</v>
      </c>
      <c r="C357" s="220" t="s">
        <v>639</v>
      </c>
      <c r="D357" s="151" t="s">
        <v>640</v>
      </c>
      <c r="E357" s="151" t="s">
        <v>528</v>
      </c>
      <c r="F357" s="213">
        <v>400</v>
      </c>
      <c r="G357" s="151">
        <v>29</v>
      </c>
      <c r="H357" s="151">
        <v>22</v>
      </c>
      <c r="I357" s="151">
        <v>638</v>
      </c>
      <c r="J357" s="151">
        <v>26</v>
      </c>
      <c r="K357" s="151">
        <v>754</v>
      </c>
      <c r="L357" s="220" t="s">
        <v>395</v>
      </c>
    </row>
    <row r="358" spans="1:12" hidden="1">
      <c r="A358" s="213">
        <v>30361057</v>
      </c>
      <c r="B358" s="151" t="s">
        <v>715</v>
      </c>
      <c r="C358" s="151" t="s">
        <v>639</v>
      </c>
      <c r="D358" s="151" t="s">
        <v>640</v>
      </c>
      <c r="E358" s="151" t="s">
        <v>528</v>
      </c>
      <c r="F358" s="213">
        <v>405</v>
      </c>
      <c r="G358" s="151">
        <v>29</v>
      </c>
      <c r="H358" s="151">
        <v>22</v>
      </c>
      <c r="I358" s="151">
        <v>638</v>
      </c>
      <c r="J358" s="151">
        <v>26</v>
      </c>
      <c r="K358" s="151">
        <v>754</v>
      </c>
      <c r="L358" s="151"/>
    </row>
    <row r="359" spans="1:12" hidden="1">
      <c r="A359" s="213">
        <v>30361457</v>
      </c>
      <c r="B359" s="151" t="s">
        <v>716</v>
      </c>
      <c r="C359" s="151" t="s">
        <v>639</v>
      </c>
      <c r="D359" s="151" t="s">
        <v>640</v>
      </c>
      <c r="E359" s="151" t="s">
        <v>528</v>
      </c>
      <c r="F359" s="213">
        <v>405</v>
      </c>
      <c r="G359" s="151">
        <v>29</v>
      </c>
      <c r="H359" s="151">
        <v>22</v>
      </c>
      <c r="I359" s="151">
        <v>638</v>
      </c>
      <c r="J359" s="151">
        <v>26</v>
      </c>
      <c r="K359" s="151">
        <v>754</v>
      </c>
      <c r="L359" s="151"/>
    </row>
    <row r="360" spans="1:12" hidden="1">
      <c r="A360" s="213">
        <v>30360314</v>
      </c>
      <c r="B360" s="151" t="s">
        <v>717</v>
      </c>
      <c r="C360" s="220" t="s">
        <v>639</v>
      </c>
      <c r="D360" s="151" t="s">
        <v>640</v>
      </c>
      <c r="E360" s="151" t="s">
        <v>528</v>
      </c>
      <c r="F360" s="213">
        <v>365</v>
      </c>
      <c r="G360" s="151">
        <v>29</v>
      </c>
      <c r="H360" s="151">
        <v>22</v>
      </c>
      <c r="I360" s="151">
        <v>638</v>
      </c>
      <c r="J360" s="151">
        <v>26</v>
      </c>
      <c r="K360" s="151">
        <v>754</v>
      </c>
      <c r="L360" s="220" t="s">
        <v>395</v>
      </c>
    </row>
    <row r="361" spans="1:12" hidden="1">
      <c r="A361" s="213">
        <v>30360315</v>
      </c>
      <c r="B361" s="151" t="s">
        <v>718</v>
      </c>
      <c r="C361" s="220" t="s">
        <v>639</v>
      </c>
      <c r="D361" s="151" t="s">
        <v>640</v>
      </c>
      <c r="E361" s="151" t="s">
        <v>528</v>
      </c>
      <c r="F361" s="213">
        <v>370</v>
      </c>
      <c r="G361" s="151">
        <v>29</v>
      </c>
      <c r="H361" s="151">
        <v>22</v>
      </c>
      <c r="I361" s="151">
        <v>638</v>
      </c>
      <c r="J361" s="151">
        <v>26</v>
      </c>
      <c r="K361" s="151">
        <v>754</v>
      </c>
      <c r="L361" s="220" t="s">
        <v>395</v>
      </c>
    </row>
    <row r="362" spans="1:12" hidden="1">
      <c r="A362" s="213">
        <v>30360316</v>
      </c>
      <c r="B362" s="151" t="s">
        <v>719</v>
      </c>
      <c r="C362" s="220" t="s">
        <v>639</v>
      </c>
      <c r="D362" s="151" t="s">
        <v>640</v>
      </c>
      <c r="E362" s="151" t="s">
        <v>528</v>
      </c>
      <c r="F362" s="213">
        <v>375</v>
      </c>
      <c r="G362" s="151">
        <v>29</v>
      </c>
      <c r="H362" s="151">
        <v>22</v>
      </c>
      <c r="I362" s="151">
        <v>638</v>
      </c>
      <c r="J362" s="151">
        <v>26</v>
      </c>
      <c r="K362" s="151">
        <v>754</v>
      </c>
      <c r="L362" s="220" t="s">
        <v>395</v>
      </c>
    </row>
    <row r="363" spans="1:12" hidden="1">
      <c r="A363" s="213">
        <v>30360317</v>
      </c>
      <c r="B363" s="151" t="s">
        <v>720</v>
      </c>
      <c r="C363" s="151" t="s">
        <v>639</v>
      </c>
      <c r="D363" s="151" t="s">
        <v>640</v>
      </c>
      <c r="E363" s="151" t="s">
        <v>528</v>
      </c>
      <c r="F363" s="213">
        <v>380</v>
      </c>
      <c r="G363" s="151">
        <v>29</v>
      </c>
      <c r="H363" s="151">
        <v>22</v>
      </c>
      <c r="I363" s="151">
        <v>638</v>
      </c>
      <c r="J363" s="151">
        <v>26</v>
      </c>
      <c r="K363" s="151">
        <v>754</v>
      </c>
      <c r="L363" s="151"/>
    </row>
    <row r="364" spans="1:12" hidden="1">
      <c r="A364" s="213">
        <v>30360318</v>
      </c>
      <c r="B364" s="151" t="s">
        <v>721</v>
      </c>
      <c r="C364" s="151" t="s">
        <v>639</v>
      </c>
      <c r="D364" s="151" t="s">
        <v>640</v>
      </c>
      <c r="E364" s="151" t="s">
        <v>528</v>
      </c>
      <c r="F364" s="213">
        <v>385</v>
      </c>
      <c r="G364" s="151">
        <v>29</v>
      </c>
      <c r="H364" s="151">
        <v>22</v>
      </c>
      <c r="I364" s="151">
        <v>638</v>
      </c>
      <c r="J364" s="151">
        <v>26</v>
      </c>
      <c r="K364" s="151">
        <v>754</v>
      </c>
      <c r="L364" s="151"/>
    </row>
    <row r="365" spans="1:12" hidden="1">
      <c r="A365" s="213">
        <v>30360319</v>
      </c>
      <c r="B365" s="151" t="s">
        <v>722</v>
      </c>
      <c r="C365" s="151" t="s">
        <v>639</v>
      </c>
      <c r="D365" s="151" t="s">
        <v>640</v>
      </c>
      <c r="E365" s="151" t="s">
        <v>528</v>
      </c>
      <c r="F365" s="213">
        <v>390</v>
      </c>
      <c r="G365" s="151">
        <v>29</v>
      </c>
      <c r="H365" s="151">
        <v>22</v>
      </c>
      <c r="I365" s="151">
        <v>638</v>
      </c>
      <c r="J365" s="151">
        <v>26</v>
      </c>
      <c r="K365" s="151">
        <v>754</v>
      </c>
      <c r="L365" s="151"/>
    </row>
    <row r="366" spans="1:12" hidden="1">
      <c r="A366" s="213">
        <v>30360355</v>
      </c>
      <c r="B366" s="151" t="s">
        <v>723</v>
      </c>
      <c r="C366" s="151" t="s">
        <v>639</v>
      </c>
      <c r="D366" s="151" t="s">
        <v>640</v>
      </c>
      <c r="E366" s="151" t="s">
        <v>528</v>
      </c>
      <c r="F366" s="213">
        <v>395</v>
      </c>
      <c r="G366" s="151">
        <v>29</v>
      </c>
      <c r="H366" s="151">
        <v>22</v>
      </c>
      <c r="I366" s="151">
        <v>638</v>
      </c>
      <c r="J366" s="151">
        <v>26</v>
      </c>
      <c r="K366" s="151">
        <v>754</v>
      </c>
      <c r="L366" s="151"/>
    </row>
    <row r="367" spans="1:12" hidden="1">
      <c r="A367" s="213">
        <v>30360356</v>
      </c>
      <c r="B367" s="151" t="s">
        <v>724</v>
      </c>
      <c r="C367" s="220" t="s">
        <v>639</v>
      </c>
      <c r="D367" s="151" t="s">
        <v>640</v>
      </c>
      <c r="E367" s="151" t="s">
        <v>528</v>
      </c>
      <c r="F367" s="213">
        <v>400</v>
      </c>
      <c r="G367" s="151">
        <v>29</v>
      </c>
      <c r="H367" s="151">
        <v>22</v>
      </c>
      <c r="I367" s="151">
        <v>638</v>
      </c>
      <c r="J367" s="151">
        <v>26</v>
      </c>
      <c r="K367" s="151">
        <v>754</v>
      </c>
      <c r="L367" s="220" t="s">
        <v>395</v>
      </c>
    </row>
    <row r="368" spans="1:12" hidden="1">
      <c r="A368" s="213">
        <v>30360357</v>
      </c>
      <c r="B368" s="151" t="s">
        <v>725</v>
      </c>
      <c r="C368" s="220" t="s">
        <v>639</v>
      </c>
      <c r="D368" s="151" t="s">
        <v>640</v>
      </c>
      <c r="E368" s="151" t="s">
        <v>528</v>
      </c>
      <c r="F368" s="213">
        <v>405</v>
      </c>
      <c r="G368" s="151">
        <v>29</v>
      </c>
      <c r="H368" s="151">
        <v>22</v>
      </c>
      <c r="I368" s="151">
        <v>638</v>
      </c>
      <c r="J368" s="151">
        <v>26</v>
      </c>
      <c r="K368" s="151">
        <v>754</v>
      </c>
      <c r="L368" s="220" t="s">
        <v>395</v>
      </c>
    </row>
    <row r="369" spans="1:12" hidden="1">
      <c r="A369" s="213">
        <v>30360358</v>
      </c>
      <c r="B369" s="151" t="s">
        <v>726</v>
      </c>
      <c r="C369" s="220" t="s">
        <v>639</v>
      </c>
      <c r="D369" s="151" t="s">
        <v>640</v>
      </c>
      <c r="E369" s="151" t="s">
        <v>528</v>
      </c>
      <c r="F369" s="213">
        <v>410</v>
      </c>
      <c r="G369" s="151">
        <v>29</v>
      </c>
      <c r="H369" s="151">
        <v>22</v>
      </c>
      <c r="I369" s="151">
        <v>638</v>
      </c>
      <c r="J369" s="151">
        <v>26</v>
      </c>
      <c r="K369" s="151">
        <v>754</v>
      </c>
      <c r="L369" s="220" t="s">
        <v>395</v>
      </c>
    </row>
    <row r="370" spans="1:12" hidden="1">
      <c r="A370" s="213">
        <v>30360359</v>
      </c>
      <c r="B370" s="151" t="s">
        <v>727</v>
      </c>
      <c r="C370" s="220" t="s">
        <v>639</v>
      </c>
      <c r="D370" s="151" t="s">
        <v>640</v>
      </c>
      <c r="E370" s="151" t="s">
        <v>528</v>
      </c>
      <c r="F370" s="213">
        <v>415</v>
      </c>
      <c r="G370" s="151">
        <v>29</v>
      </c>
      <c r="H370" s="151">
        <v>22</v>
      </c>
      <c r="I370" s="151">
        <v>638</v>
      </c>
      <c r="J370" s="151">
        <v>26</v>
      </c>
      <c r="K370" s="151">
        <v>754</v>
      </c>
      <c r="L370" s="220" t="s">
        <v>395</v>
      </c>
    </row>
    <row r="371" spans="1:12" hidden="1">
      <c r="A371" s="213">
        <v>30382759</v>
      </c>
      <c r="B371" s="151" t="s">
        <v>728</v>
      </c>
      <c r="C371" s="151" t="s">
        <v>729</v>
      </c>
      <c r="D371" s="151" t="s">
        <v>640</v>
      </c>
      <c r="E371" s="151" t="s">
        <v>528</v>
      </c>
      <c r="F371" s="213">
        <v>415</v>
      </c>
      <c r="G371" s="151">
        <v>29</v>
      </c>
      <c r="H371" s="151">
        <v>22</v>
      </c>
      <c r="I371" s="151">
        <v>638</v>
      </c>
      <c r="J371" s="151">
        <v>24</v>
      </c>
      <c r="K371" s="151">
        <v>696</v>
      </c>
      <c r="L371" s="151"/>
    </row>
    <row r="372" spans="1:12" hidden="1">
      <c r="A372" s="213">
        <v>30382959</v>
      </c>
      <c r="B372" s="151" t="s">
        <v>730</v>
      </c>
      <c r="C372" s="151" t="s">
        <v>729</v>
      </c>
      <c r="D372" s="151" t="s">
        <v>640</v>
      </c>
      <c r="E372" s="151" t="s">
        <v>528</v>
      </c>
      <c r="F372" s="213">
        <v>415</v>
      </c>
      <c r="G372" s="151">
        <v>29</v>
      </c>
      <c r="H372" s="151">
        <v>22</v>
      </c>
      <c r="I372" s="151">
        <v>638</v>
      </c>
      <c r="J372" s="151">
        <v>24</v>
      </c>
      <c r="K372" s="151">
        <v>696</v>
      </c>
      <c r="L372" s="151"/>
    </row>
    <row r="373" spans="1:12" hidden="1">
      <c r="A373" s="222">
        <v>12004244</v>
      </c>
      <c r="B373" s="223" t="s">
        <v>731</v>
      </c>
      <c r="C373" s="151" t="s">
        <v>729</v>
      </c>
      <c r="D373" s="223" t="s">
        <v>640</v>
      </c>
      <c r="E373" s="223" t="s">
        <v>528</v>
      </c>
      <c r="F373" s="222">
        <v>435</v>
      </c>
      <c r="G373" s="223">
        <v>30</v>
      </c>
      <c r="H373" s="223">
        <v>22</v>
      </c>
      <c r="I373" s="223">
        <v>660</v>
      </c>
      <c r="J373" s="223">
        <v>24</v>
      </c>
      <c r="K373" s="223">
        <v>720</v>
      </c>
      <c r="L373" s="151"/>
    </row>
    <row r="374" spans="1:12" hidden="1">
      <c r="A374" s="222">
        <v>12004245</v>
      </c>
      <c r="B374" s="223" t="s">
        <v>732</v>
      </c>
      <c r="C374" s="151" t="s">
        <v>729</v>
      </c>
      <c r="D374" s="223" t="s">
        <v>640</v>
      </c>
      <c r="E374" s="223" t="s">
        <v>528</v>
      </c>
      <c r="F374" s="222">
        <v>430</v>
      </c>
      <c r="G374" s="223">
        <v>30</v>
      </c>
      <c r="H374" s="223">
        <v>22</v>
      </c>
      <c r="I374" s="223">
        <v>660</v>
      </c>
      <c r="J374" s="223">
        <v>24</v>
      </c>
      <c r="K374" s="151">
        <v>720</v>
      </c>
      <c r="L374" s="151"/>
    </row>
    <row r="375" spans="1:12" hidden="1">
      <c r="A375" s="222" t="s">
        <v>733</v>
      </c>
      <c r="B375" s="223" t="s">
        <v>732</v>
      </c>
      <c r="C375" s="151" t="s">
        <v>729</v>
      </c>
      <c r="D375" s="223" t="s">
        <v>640</v>
      </c>
      <c r="E375" s="223" t="s">
        <v>528</v>
      </c>
      <c r="F375" s="222">
        <v>430</v>
      </c>
      <c r="G375" s="223">
        <v>29</v>
      </c>
      <c r="H375" s="223">
        <v>22</v>
      </c>
      <c r="I375" s="223">
        <v>638</v>
      </c>
      <c r="J375" s="223">
        <v>24</v>
      </c>
      <c r="K375" s="151">
        <v>696</v>
      </c>
      <c r="L375" s="151"/>
    </row>
    <row r="376" spans="1:12" hidden="1">
      <c r="A376" s="222">
        <v>12004246</v>
      </c>
      <c r="B376" s="223" t="s">
        <v>732</v>
      </c>
      <c r="C376" s="151" t="s">
        <v>729</v>
      </c>
      <c r="D376" s="223" t="s">
        <v>640</v>
      </c>
      <c r="E376" s="223" t="s">
        <v>528</v>
      </c>
      <c r="F376" s="222">
        <v>425</v>
      </c>
      <c r="G376" s="223">
        <v>30</v>
      </c>
      <c r="H376" s="223">
        <v>22</v>
      </c>
      <c r="I376" s="223">
        <v>660</v>
      </c>
      <c r="J376" s="223">
        <v>24</v>
      </c>
      <c r="K376" s="151">
        <v>720</v>
      </c>
      <c r="L376" s="151"/>
    </row>
    <row r="377" spans="1:12" hidden="1">
      <c r="A377" s="222" t="s">
        <v>734</v>
      </c>
      <c r="B377" s="223" t="s">
        <v>732</v>
      </c>
      <c r="C377" s="151" t="s">
        <v>729</v>
      </c>
      <c r="D377" s="223" t="s">
        <v>640</v>
      </c>
      <c r="E377" s="223" t="s">
        <v>528</v>
      </c>
      <c r="F377" s="222">
        <v>425</v>
      </c>
      <c r="G377" s="223">
        <v>29</v>
      </c>
      <c r="H377" s="223">
        <v>22</v>
      </c>
      <c r="I377" s="223">
        <v>638</v>
      </c>
      <c r="J377" s="223">
        <v>24</v>
      </c>
      <c r="K377" s="151">
        <v>696</v>
      </c>
      <c r="L377" s="151"/>
    </row>
    <row r="378" spans="1:12" hidden="1">
      <c r="A378" s="222">
        <v>12004247</v>
      </c>
      <c r="B378" s="223" t="s">
        <v>732</v>
      </c>
      <c r="C378" s="151" t="s">
        <v>729</v>
      </c>
      <c r="D378" s="223" t="s">
        <v>640</v>
      </c>
      <c r="E378" s="223" t="s">
        <v>528</v>
      </c>
      <c r="F378" s="222">
        <v>420</v>
      </c>
      <c r="G378" s="223">
        <v>30</v>
      </c>
      <c r="H378" s="223">
        <v>22</v>
      </c>
      <c r="I378" s="223">
        <v>660</v>
      </c>
      <c r="J378" s="223">
        <v>24</v>
      </c>
      <c r="K378" s="151">
        <v>720</v>
      </c>
      <c r="L378" s="151"/>
    </row>
    <row r="379" spans="1:12" hidden="1">
      <c r="A379" s="222" t="s">
        <v>735</v>
      </c>
      <c r="B379" s="223" t="s">
        <v>732</v>
      </c>
      <c r="C379" s="151" t="s">
        <v>729</v>
      </c>
      <c r="D379" s="223" t="s">
        <v>640</v>
      </c>
      <c r="E379" s="223" t="s">
        <v>528</v>
      </c>
      <c r="F379" s="222">
        <v>420</v>
      </c>
      <c r="G379" s="223">
        <v>29</v>
      </c>
      <c r="H379" s="223">
        <v>22</v>
      </c>
      <c r="I379" s="223">
        <v>638</v>
      </c>
      <c r="J379" s="223">
        <v>24</v>
      </c>
      <c r="K379" s="151">
        <v>696</v>
      </c>
      <c r="L379" s="151"/>
    </row>
    <row r="380" spans="1:12" hidden="1">
      <c r="A380" s="222">
        <v>12004248</v>
      </c>
      <c r="B380" s="223" t="s">
        <v>736</v>
      </c>
      <c r="C380" s="151" t="s">
        <v>729</v>
      </c>
      <c r="D380" s="223" t="s">
        <v>640</v>
      </c>
      <c r="E380" s="223" t="s">
        <v>528</v>
      </c>
      <c r="F380" s="222">
        <v>415</v>
      </c>
      <c r="G380" s="223">
        <v>30</v>
      </c>
      <c r="H380" s="223">
        <v>22</v>
      </c>
      <c r="I380" s="223">
        <v>660</v>
      </c>
      <c r="J380" s="223">
        <v>24</v>
      </c>
      <c r="K380" s="223">
        <v>720</v>
      </c>
      <c r="L380" s="151"/>
    </row>
    <row r="381" spans="1:12" hidden="1">
      <c r="A381" s="215">
        <v>12005802</v>
      </c>
      <c r="B381" s="223" t="s">
        <v>731</v>
      </c>
      <c r="C381" s="151" t="s">
        <v>729</v>
      </c>
      <c r="D381" s="223" t="s">
        <v>640</v>
      </c>
      <c r="E381" s="223" t="s">
        <v>528</v>
      </c>
      <c r="F381" s="222">
        <v>435</v>
      </c>
      <c r="G381" s="223">
        <v>30</v>
      </c>
      <c r="H381" s="223">
        <v>22</v>
      </c>
      <c r="I381" s="223">
        <v>660</v>
      </c>
      <c r="J381" s="223">
        <v>24</v>
      </c>
      <c r="K381" s="223">
        <v>720</v>
      </c>
      <c r="L381" s="151"/>
    </row>
    <row r="382" spans="1:12" hidden="1">
      <c r="A382" s="213">
        <v>30383260</v>
      </c>
      <c r="B382" s="151" t="s">
        <v>737</v>
      </c>
      <c r="C382" s="151" t="s">
        <v>729</v>
      </c>
      <c r="D382" s="151" t="s">
        <v>640</v>
      </c>
      <c r="E382" s="151" t="s">
        <v>528</v>
      </c>
      <c r="F382" s="213">
        <v>420</v>
      </c>
      <c r="G382" s="151">
        <v>29</v>
      </c>
      <c r="H382" s="151">
        <v>22</v>
      </c>
      <c r="I382" s="151">
        <v>638</v>
      </c>
      <c r="J382" s="151">
        <v>24</v>
      </c>
      <c r="K382" s="151">
        <v>696</v>
      </c>
      <c r="L382" s="151"/>
    </row>
    <row r="383" spans="1:12" hidden="1">
      <c r="A383" s="213">
        <v>30383258</v>
      </c>
      <c r="B383" s="151" t="s">
        <v>738</v>
      </c>
      <c r="C383" s="151" t="s">
        <v>729</v>
      </c>
      <c r="D383" s="151" t="s">
        <v>640</v>
      </c>
      <c r="E383" s="151" t="s">
        <v>528</v>
      </c>
      <c r="F383" s="213">
        <v>410</v>
      </c>
      <c r="G383" s="151">
        <v>29</v>
      </c>
      <c r="H383" s="151">
        <v>22</v>
      </c>
      <c r="I383" s="151">
        <v>638</v>
      </c>
      <c r="J383" s="151">
        <v>24</v>
      </c>
      <c r="K383" s="151">
        <v>696</v>
      </c>
      <c r="L383" s="151"/>
    </row>
    <row r="384" spans="1:12" hidden="1">
      <c r="A384" s="213">
        <v>30383259</v>
      </c>
      <c r="B384" s="151" t="s">
        <v>738</v>
      </c>
      <c r="C384" s="151" t="s">
        <v>729</v>
      </c>
      <c r="D384" s="151" t="s">
        <v>640</v>
      </c>
      <c r="E384" s="151" t="s">
        <v>528</v>
      </c>
      <c r="F384" s="213">
        <v>415</v>
      </c>
      <c r="G384" s="151">
        <v>29</v>
      </c>
      <c r="H384" s="151">
        <v>22</v>
      </c>
      <c r="I384" s="151">
        <v>638</v>
      </c>
      <c r="J384" s="151">
        <v>24</v>
      </c>
      <c r="K384" s="151">
        <v>696</v>
      </c>
      <c r="L384" s="151"/>
    </row>
    <row r="385" spans="1:12" hidden="1">
      <c r="A385" s="213">
        <v>30368357</v>
      </c>
      <c r="B385" s="151" t="s">
        <v>739</v>
      </c>
      <c r="C385" s="151" t="s">
        <v>740</v>
      </c>
      <c r="D385" s="151" t="s">
        <v>640</v>
      </c>
      <c r="E385" s="151" t="s">
        <v>528</v>
      </c>
      <c r="F385" s="213">
        <v>405</v>
      </c>
      <c r="G385" s="151">
        <v>29</v>
      </c>
      <c r="H385" s="151">
        <v>22</v>
      </c>
      <c r="I385" s="151">
        <v>638</v>
      </c>
      <c r="J385" s="151">
        <v>22</v>
      </c>
      <c r="K385" s="151">
        <v>638</v>
      </c>
      <c r="L385" s="151"/>
    </row>
    <row r="386" spans="1:12" hidden="1">
      <c r="A386" s="213">
        <v>30368358</v>
      </c>
      <c r="B386" s="151" t="s">
        <v>741</v>
      </c>
      <c r="C386" s="151" t="s">
        <v>740</v>
      </c>
      <c r="D386" s="151" t="s">
        <v>640</v>
      </c>
      <c r="E386" s="151" t="s">
        <v>528</v>
      </c>
      <c r="F386" s="213">
        <v>410</v>
      </c>
      <c r="G386" s="151">
        <v>29</v>
      </c>
      <c r="H386" s="151">
        <v>22</v>
      </c>
      <c r="I386" s="151">
        <v>638</v>
      </c>
      <c r="J386" s="151">
        <v>22</v>
      </c>
      <c r="K386" s="151">
        <v>638</v>
      </c>
      <c r="L386" s="151"/>
    </row>
    <row r="387" spans="1:12" hidden="1">
      <c r="A387" s="213">
        <v>30368359</v>
      </c>
      <c r="B387" s="151" t="s">
        <v>741</v>
      </c>
      <c r="C387" s="151" t="s">
        <v>740</v>
      </c>
      <c r="D387" s="151" t="s">
        <v>640</v>
      </c>
      <c r="E387" s="151" t="s">
        <v>528</v>
      </c>
      <c r="F387" s="213">
        <v>415</v>
      </c>
      <c r="G387" s="151">
        <v>29</v>
      </c>
      <c r="H387" s="151">
        <v>22</v>
      </c>
      <c r="I387" s="151">
        <v>638</v>
      </c>
      <c r="J387" s="151">
        <v>22</v>
      </c>
      <c r="K387" s="151">
        <v>638</v>
      </c>
      <c r="L387" s="151"/>
    </row>
    <row r="388" spans="1:12" hidden="1">
      <c r="A388" s="213">
        <v>30368360</v>
      </c>
      <c r="B388" s="151" t="s">
        <v>741</v>
      </c>
      <c r="C388" s="151" t="s">
        <v>740</v>
      </c>
      <c r="D388" s="151" t="s">
        <v>640</v>
      </c>
      <c r="E388" s="151" t="s">
        <v>528</v>
      </c>
      <c r="F388" s="213">
        <v>420</v>
      </c>
      <c r="G388" s="151">
        <v>29</v>
      </c>
      <c r="H388" s="151">
        <v>22</v>
      </c>
      <c r="I388" s="151">
        <v>638</v>
      </c>
      <c r="J388" s="151">
        <v>22</v>
      </c>
      <c r="K388" s="151">
        <v>638</v>
      </c>
      <c r="L388" s="151"/>
    </row>
    <row r="389" spans="1:12" hidden="1">
      <c r="A389" s="213">
        <v>30368257</v>
      </c>
      <c r="B389" s="151" t="s">
        <v>742</v>
      </c>
      <c r="C389" s="151" t="s">
        <v>740</v>
      </c>
      <c r="D389" s="151" t="s">
        <v>640</v>
      </c>
      <c r="E389" s="151" t="s">
        <v>528</v>
      </c>
      <c r="F389" s="213">
        <v>405</v>
      </c>
      <c r="G389" s="151">
        <v>29</v>
      </c>
      <c r="H389" s="151">
        <v>22</v>
      </c>
      <c r="I389" s="151">
        <v>638</v>
      </c>
      <c r="J389" s="151">
        <v>22</v>
      </c>
      <c r="K389" s="151">
        <v>638</v>
      </c>
      <c r="L389" s="151"/>
    </row>
    <row r="390" spans="1:12" hidden="1">
      <c r="A390" s="213">
        <v>30368158</v>
      </c>
      <c r="B390" s="151" t="s">
        <v>743</v>
      </c>
      <c r="C390" s="151" t="s">
        <v>744</v>
      </c>
      <c r="D390" s="151" t="s">
        <v>640</v>
      </c>
      <c r="E390" s="151" t="s">
        <v>528</v>
      </c>
      <c r="F390" s="213">
        <v>410</v>
      </c>
      <c r="G390" s="151">
        <v>29</v>
      </c>
      <c r="H390" s="151">
        <v>22</v>
      </c>
      <c r="I390" s="151">
        <v>638</v>
      </c>
      <c r="J390" s="151">
        <v>22</v>
      </c>
      <c r="K390" s="151">
        <v>638</v>
      </c>
      <c r="L390" s="151"/>
    </row>
    <row r="391" spans="1:12" hidden="1">
      <c r="A391" s="213">
        <v>30368159</v>
      </c>
      <c r="B391" s="151" t="s">
        <v>743</v>
      </c>
      <c r="C391" s="151" t="s">
        <v>744</v>
      </c>
      <c r="D391" s="151" t="s">
        <v>640</v>
      </c>
      <c r="E391" s="151" t="s">
        <v>528</v>
      </c>
      <c r="F391" s="213">
        <v>415</v>
      </c>
      <c r="G391" s="151">
        <v>29</v>
      </c>
      <c r="H391" s="151">
        <v>22</v>
      </c>
      <c r="I391" s="151">
        <v>638</v>
      </c>
      <c r="J391" s="151">
        <v>22</v>
      </c>
      <c r="K391" s="151">
        <v>638</v>
      </c>
      <c r="L391" s="151"/>
    </row>
    <row r="392" spans="1:12" hidden="1">
      <c r="A392" s="213">
        <v>30368160</v>
      </c>
      <c r="B392" s="151" t="s">
        <v>743</v>
      </c>
      <c r="C392" s="151" t="s">
        <v>744</v>
      </c>
      <c r="D392" s="151" t="s">
        <v>640</v>
      </c>
      <c r="E392" s="151" t="s">
        <v>528</v>
      </c>
      <c r="F392" s="213">
        <v>420</v>
      </c>
      <c r="G392" s="151">
        <v>29</v>
      </c>
      <c r="H392" s="151">
        <v>22</v>
      </c>
      <c r="I392" s="151">
        <v>638</v>
      </c>
      <c r="J392" s="151">
        <v>22</v>
      </c>
      <c r="K392" s="151">
        <v>638</v>
      </c>
      <c r="L392" s="151"/>
    </row>
    <row r="393" spans="1:12" hidden="1">
      <c r="A393" s="213">
        <v>30368161</v>
      </c>
      <c r="B393" s="151" t="s">
        <v>743</v>
      </c>
      <c r="C393" s="151" t="s">
        <v>744</v>
      </c>
      <c r="D393" s="151" t="s">
        <v>640</v>
      </c>
      <c r="E393" s="151" t="s">
        <v>528</v>
      </c>
      <c r="F393" s="213">
        <v>425</v>
      </c>
      <c r="G393" s="151">
        <v>29</v>
      </c>
      <c r="H393" s="151">
        <v>22</v>
      </c>
      <c r="I393" s="151">
        <v>638</v>
      </c>
      <c r="J393" s="151">
        <v>22</v>
      </c>
      <c r="K393" s="151">
        <v>638</v>
      </c>
      <c r="L393" s="151"/>
    </row>
    <row r="394" spans="1:12" hidden="1">
      <c r="A394" s="213">
        <v>30360360</v>
      </c>
      <c r="B394" s="151" t="s">
        <v>745</v>
      </c>
      <c r="C394" s="220" t="s">
        <v>639</v>
      </c>
      <c r="D394" s="151" t="s">
        <v>640</v>
      </c>
      <c r="E394" s="151" t="s">
        <v>528</v>
      </c>
      <c r="F394" s="213">
        <v>420</v>
      </c>
      <c r="G394" s="151">
        <v>29</v>
      </c>
      <c r="H394" s="151">
        <v>22</v>
      </c>
      <c r="I394" s="151">
        <v>638</v>
      </c>
      <c r="J394" s="151">
        <v>26</v>
      </c>
      <c r="K394" s="151">
        <v>754</v>
      </c>
      <c r="L394" s="220" t="s">
        <v>395</v>
      </c>
    </row>
    <row r="395" spans="1:12" hidden="1">
      <c r="A395" s="213">
        <v>30360413</v>
      </c>
      <c r="B395" s="151" t="s">
        <v>746</v>
      </c>
      <c r="C395" s="220" t="s">
        <v>639</v>
      </c>
      <c r="D395" s="151" t="s">
        <v>640</v>
      </c>
      <c r="E395" s="151" t="s">
        <v>528</v>
      </c>
      <c r="F395" s="213">
        <v>360</v>
      </c>
      <c r="G395" s="151">
        <v>29</v>
      </c>
      <c r="H395" s="151">
        <v>22</v>
      </c>
      <c r="I395" s="151">
        <v>638</v>
      </c>
      <c r="J395" s="151">
        <v>26</v>
      </c>
      <c r="K395" s="151">
        <v>754</v>
      </c>
      <c r="L395" s="220" t="s">
        <v>395</v>
      </c>
    </row>
    <row r="396" spans="1:12" hidden="1">
      <c r="A396" s="213">
        <v>30360414</v>
      </c>
      <c r="B396" s="151" t="s">
        <v>747</v>
      </c>
      <c r="C396" s="220" t="s">
        <v>639</v>
      </c>
      <c r="D396" s="151" t="s">
        <v>640</v>
      </c>
      <c r="E396" s="151" t="s">
        <v>528</v>
      </c>
      <c r="F396" s="213">
        <v>365</v>
      </c>
      <c r="G396" s="151">
        <v>29</v>
      </c>
      <c r="H396" s="151">
        <v>22</v>
      </c>
      <c r="I396" s="151">
        <v>638</v>
      </c>
      <c r="J396" s="151">
        <v>26</v>
      </c>
      <c r="K396" s="151">
        <v>754</v>
      </c>
      <c r="L396" s="220" t="s">
        <v>395</v>
      </c>
    </row>
    <row r="397" spans="1:12" hidden="1">
      <c r="A397" s="213">
        <v>30360415</v>
      </c>
      <c r="B397" s="151" t="s">
        <v>748</v>
      </c>
      <c r="C397" s="220" t="s">
        <v>639</v>
      </c>
      <c r="D397" s="151" t="s">
        <v>640</v>
      </c>
      <c r="E397" s="151" t="s">
        <v>528</v>
      </c>
      <c r="F397" s="213">
        <v>370</v>
      </c>
      <c r="G397" s="151">
        <v>29</v>
      </c>
      <c r="H397" s="151">
        <v>22</v>
      </c>
      <c r="I397" s="151">
        <v>638</v>
      </c>
      <c r="J397" s="151">
        <v>26</v>
      </c>
      <c r="K397" s="151">
        <v>754</v>
      </c>
      <c r="L397" s="220" t="s">
        <v>395</v>
      </c>
    </row>
    <row r="398" spans="1:12" hidden="1">
      <c r="A398" s="213">
        <v>30360416</v>
      </c>
      <c r="B398" s="151" t="s">
        <v>749</v>
      </c>
      <c r="C398" s="220" t="s">
        <v>639</v>
      </c>
      <c r="D398" s="151" t="s">
        <v>640</v>
      </c>
      <c r="E398" s="151" t="s">
        <v>528</v>
      </c>
      <c r="F398" s="213">
        <v>375</v>
      </c>
      <c r="G398" s="151">
        <v>29</v>
      </c>
      <c r="H398" s="151">
        <v>22</v>
      </c>
      <c r="I398" s="151">
        <v>638</v>
      </c>
      <c r="J398" s="151">
        <v>26</v>
      </c>
      <c r="K398" s="151">
        <v>754</v>
      </c>
      <c r="L398" s="220" t="s">
        <v>395</v>
      </c>
    </row>
    <row r="399" spans="1:12" hidden="1">
      <c r="A399" s="213">
        <v>30360417</v>
      </c>
      <c r="B399" s="151" t="s">
        <v>750</v>
      </c>
      <c r="C399" s="151" t="s">
        <v>639</v>
      </c>
      <c r="D399" s="151" t="s">
        <v>640</v>
      </c>
      <c r="E399" s="151" t="s">
        <v>528</v>
      </c>
      <c r="F399" s="213">
        <v>380</v>
      </c>
      <c r="G399" s="151">
        <v>29</v>
      </c>
      <c r="H399" s="151">
        <v>22</v>
      </c>
      <c r="I399" s="151">
        <v>638</v>
      </c>
      <c r="J399" s="151">
        <v>26</v>
      </c>
      <c r="K399" s="151">
        <v>754</v>
      </c>
      <c r="L399" s="151"/>
    </row>
    <row r="400" spans="1:12" hidden="1">
      <c r="A400" s="213">
        <v>30360418</v>
      </c>
      <c r="B400" s="151" t="s">
        <v>751</v>
      </c>
      <c r="C400" s="151" t="s">
        <v>639</v>
      </c>
      <c r="D400" s="151" t="s">
        <v>640</v>
      </c>
      <c r="E400" s="151" t="s">
        <v>528</v>
      </c>
      <c r="F400" s="213">
        <v>385</v>
      </c>
      <c r="G400" s="151">
        <v>29</v>
      </c>
      <c r="H400" s="151">
        <v>22</v>
      </c>
      <c r="I400" s="151">
        <v>638</v>
      </c>
      <c r="J400" s="151">
        <v>26</v>
      </c>
      <c r="K400" s="151">
        <v>754</v>
      </c>
      <c r="L400" s="151"/>
    </row>
    <row r="401" spans="1:12" hidden="1">
      <c r="A401" s="213">
        <v>30360419</v>
      </c>
      <c r="B401" s="151" t="s">
        <v>752</v>
      </c>
      <c r="C401" s="151" t="s">
        <v>639</v>
      </c>
      <c r="D401" s="151" t="s">
        <v>640</v>
      </c>
      <c r="E401" s="151" t="s">
        <v>528</v>
      </c>
      <c r="F401" s="213">
        <v>390</v>
      </c>
      <c r="G401" s="151">
        <v>29</v>
      </c>
      <c r="H401" s="151">
        <v>22</v>
      </c>
      <c r="I401" s="151">
        <v>638</v>
      </c>
      <c r="J401" s="151">
        <v>26</v>
      </c>
      <c r="K401" s="151">
        <v>754</v>
      </c>
      <c r="L401" s="151"/>
    </row>
    <row r="402" spans="1:12" hidden="1">
      <c r="A402" s="213">
        <v>30360455</v>
      </c>
      <c r="B402" s="151" t="s">
        <v>753</v>
      </c>
      <c r="C402" s="220" t="s">
        <v>639</v>
      </c>
      <c r="D402" s="151" t="s">
        <v>640</v>
      </c>
      <c r="E402" s="151" t="s">
        <v>528</v>
      </c>
      <c r="F402" s="213">
        <v>395</v>
      </c>
      <c r="G402" s="151">
        <v>29</v>
      </c>
      <c r="H402" s="151">
        <v>22</v>
      </c>
      <c r="I402" s="151">
        <v>638</v>
      </c>
      <c r="J402" s="151">
        <v>26</v>
      </c>
      <c r="K402" s="151">
        <v>754</v>
      </c>
      <c r="L402" s="220" t="s">
        <v>395</v>
      </c>
    </row>
    <row r="403" spans="1:12" hidden="1">
      <c r="A403" s="213">
        <v>30360456</v>
      </c>
      <c r="B403" s="151" t="s">
        <v>754</v>
      </c>
      <c r="C403" s="220" t="s">
        <v>639</v>
      </c>
      <c r="D403" s="151" t="s">
        <v>640</v>
      </c>
      <c r="E403" s="151" t="s">
        <v>528</v>
      </c>
      <c r="F403" s="213">
        <v>400</v>
      </c>
      <c r="G403" s="151">
        <v>29</v>
      </c>
      <c r="H403" s="151">
        <v>22</v>
      </c>
      <c r="I403" s="151">
        <v>638</v>
      </c>
      <c r="J403" s="151">
        <v>26</v>
      </c>
      <c r="K403" s="151">
        <v>754</v>
      </c>
      <c r="L403" s="220" t="s">
        <v>395</v>
      </c>
    </row>
    <row r="404" spans="1:12" hidden="1">
      <c r="A404" s="213">
        <v>30360514</v>
      </c>
      <c r="B404" s="151" t="s">
        <v>707</v>
      </c>
      <c r="C404" s="220" t="s">
        <v>639</v>
      </c>
      <c r="D404" s="151" t="s">
        <v>640</v>
      </c>
      <c r="E404" s="151" t="s">
        <v>528</v>
      </c>
      <c r="F404" s="213">
        <v>365</v>
      </c>
      <c r="G404" s="151">
        <v>29</v>
      </c>
      <c r="H404" s="151">
        <v>22</v>
      </c>
      <c r="I404" s="151">
        <v>638</v>
      </c>
      <c r="J404" s="151">
        <v>26</v>
      </c>
      <c r="K404" s="151">
        <v>754</v>
      </c>
      <c r="L404" s="220" t="s">
        <v>395</v>
      </c>
    </row>
    <row r="405" spans="1:12" hidden="1">
      <c r="A405" s="213">
        <v>30360515</v>
      </c>
      <c r="B405" s="151" t="s">
        <v>708</v>
      </c>
      <c r="C405" s="220" t="s">
        <v>639</v>
      </c>
      <c r="D405" s="151" t="s">
        <v>640</v>
      </c>
      <c r="E405" s="151" t="s">
        <v>528</v>
      </c>
      <c r="F405" s="213">
        <v>370</v>
      </c>
      <c r="G405" s="151">
        <v>29</v>
      </c>
      <c r="H405" s="151">
        <v>22</v>
      </c>
      <c r="I405" s="151">
        <v>638</v>
      </c>
      <c r="J405" s="151">
        <v>26</v>
      </c>
      <c r="K405" s="151">
        <v>754</v>
      </c>
      <c r="L405" s="220" t="s">
        <v>395</v>
      </c>
    </row>
    <row r="406" spans="1:12" hidden="1">
      <c r="A406" s="213">
        <v>30360516</v>
      </c>
      <c r="B406" s="151" t="s">
        <v>709</v>
      </c>
      <c r="C406" s="220" t="s">
        <v>639</v>
      </c>
      <c r="D406" s="151" t="s">
        <v>640</v>
      </c>
      <c r="E406" s="151" t="s">
        <v>528</v>
      </c>
      <c r="F406" s="213">
        <v>375</v>
      </c>
      <c r="G406" s="151">
        <v>29</v>
      </c>
      <c r="H406" s="151">
        <v>22</v>
      </c>
      <c r="I406" s="151">
        <v>638</v>
      </c>
      <c r="J406" s="151">
        <v>26</v>
      </c>
      <c r="K406" s="151">
        <v>754</v>
      </c>
      <c r="L406" s="220" t="s">
        <v>395</v>
      </c>
    </row>
    <row r="407" spans="1:12" hidden="1">
      <c r="A407" s="213">
        <v>30360517</v>
      </c>
      <c r="B407" s="151" t="s">
        <v>755</v>
      </c>
      <c r="C407" s="151" t="s">
        <v>639</v>
      </c>
      <c r="D407" s="151" t="s">
        <v>640</v>
      </c>
      <c r="E407" s="151" t="s">
        <v>528</v>
      </c>
      <c r="F407" s="213">
        <v>380</v>
      </c>
      <c r="G407" s="151">
        <v>29</v>
      </c>
      <c r="H407" s="151">
        <v>22</v>
      </c>
      <c r="I407" s="151">
        <v>638</v>
      </c>
      <c r="J407" s="151">
        <v>26</v>
      </c>
      <c r="K407" s="151">
        <v>754</v>
      </c>
      <c r="L407" s="151"/>
    </row>
    <row r="408" spans="1:12" hidden="1">
      <c r="A408" s="213">
        <v>30360518</v>
      </c>
      <c r="B408" s="151" t="s">
        <v>756</v>
      </c>
      <c r="C408" s="151" t="s">
        <v>639</v>
      </c>
      <c r="D408" s="151" t="s">
        <v>640</v>
      </c>
      <c r="E408" s="151" t="s">
        <v>528</v>
      </c>
      <c r="F408" s="213">
        <v>385</v>
      </c>
      <c r="G408" s="151">
        <v>29</v>
      </c>
      <c r="H408" s="151">
        <v>22</v>
      </c>
      <c r="I408" s="151">
        <v>638</v>
      </c>
      <c r="J408" s="151">
        <v>26</v>
      </c>
      <c r="K408" s="151">
        <v>754</v>
      </c>
      <c r="L408" s="151"/>
    </row>
    <row r="409" spans="1:12" hidden="1">
      <c r="A409" s="213">
        <v>30360519</v>
      </c>
      <c r="B409" s="151" t="s">
        <v>638</v>
      </c>
      <c r="C409" s="151" t="s">
        <v>639</v>
      </c>
      <c r="D409" s="151" t="s">
        <v>640</v>
      </c>
      <c r="E409" s="151" t="s">
        <v>528</v>
      </c>
      <c r="F409" s="213">
        <v>390</v>
      </c>
      <c r="G409" s="151">
        <v>29</v>
      </c>
      <c r="H409" s="151">
        <v>22</v>
      </c>
      <c r="I409" s="151">
        <v>638</v>
      </c>
      <c r="J409" s="151">
        <v>26</v>
      </c>
      <c r="K409" s="151">
        <v>754</v>
      </c>
      <c r="L409" s="151"/>
    </row>
    <row r="410" spans="1:12" hidden="1">
      <c r="A410" s="213">
        <v>30360555</v>
      </c>
      <c r="B410" s="151" t="s">
        <v>713</v>
      </c>
      <c r="C410" s="220" t="s">
        <v>639</v>
      </c>
      <c r="D410" s="151" t="s">
        <v>640</v>
      </c>
      <c r="E410" s="151" t="s">
        <v>528</v>
      </c>
      <c r="F410" s="213">
        <v>395</v>
      </c>
      <c r="G410" s="151">
        <v>29</v>
      </c>
      <c r="H410" s="151">
        <v>22</v>
      </c>
      <c r="I410" s="151">
        <v>638</v>
      </c>
      <c r="J410" s="151">
        <v>26</v>
      </c>
      <c r="K410" s="151">
        <v>754</v>
      </c>
      <c r="L410" s="220" t="s">
        <v>395</v>
      </c>
    </row>
    <row r="411" spans="1:12" hidden="1">
      <c r="A411" s="213">
        <v>30360556</v>
      </c>
      <c r="B411" s="151" t="s">
        <v>714</v>
      </c>
      <c r="C411" s="220" t="s">
        <v>639</v>
      </c>
      <c r="D411" s="151" t="s">
        <v>640</v>
      </c>
      <c r="E411" s="151" t="s">
        <v>528</v>
      </c>
      <c r="F411" s="213">
        <v>400</v>
      </c>
      <c r="G411" s="151">
        <v>29</v>
      </c>
      <c r="H411" s="151">
        <v>22</v>
      </c>
      <c r="I411" s="151">
        <v>638</v>
      </c>
      <c r="J411" s="151">
        <v>26</v>
      </c>
      <c r="K411" s="151">
        <v>754</v>
      </c>
      <c r="L411" s="220" t="s">
        <v>395</v>
      </c>
    </row>
    <row r="412" spans="1:12" hidden="1">
      <c r="A412" s="213">
        <v>30360614</v>
      </c>
      <c r="B412" s="151" t="s">
        <v>747</v>
      </c>
      <c r="C412" s="220" t="s">
        <v>639</v>
      </c>
      <c r="D412" s="151" t="s">
        <v>640</v>
      </c>
      <c r="E412" s="151" t="s">
        <v>528</v>
      </c>
      <c r="F412" s="213">
        <v>365</v>
      </c>
      <c r="G412" s="151">
        <v>29</v>
      </c>
      <c r="H412" s="151">
        <v>22</v>
      </c>
      <c r="I412" s="151">
        <v>638</v>
      </c>
      <c r="J412" s="151">
        <v>26</v>
      </c>
      <c r="K412" s="151">
        <v>754</v>
      </c>
      <c r="L412" s="220" t="s">
        <v>395</v>
      </c>
    </row>
    <row r="413" spans="1:12" hidden="1">
      <c r="A413" s="213">
        <v>30360615</v>
      </c>
      <c r="B413" s="151" t="s">
        <v>748</v>
      </c>
      <c r="C413" s="220" t="s">
        <v>639</v>
      </c>
      <c r="D413" s="151" t="s">
        <v>640</v>
      </c>
      <c r="E413" s="151" t="s">
        <v>528</v>
      </c>
      <c r="F413" s="213">
        <v>370</v>
      </c>
      <c r="G413" s="151">
        <v>29</v>
      </c>
      <c r="H413" s="151">
        <v>22</v>
      </c>
      <c r="I413" s="151">
        <v>638</v>
      </c>
      <c r="J413" s="151">
        <v>26</v>
      </c>
      <c r="K413" s="151">
        <v>754</v>
      </c>
      <c r="L413" s="220" t="s">
        <v>395</v>
      </c>
    </row>
    <row r="414" spans="1:12" hidden="1">
      <c r="A414" s="213">
        <v>30360616</v>
      </c>
      <c r="B414" s="151" t="s">
        <v>749</v>
      </c>
      <c r="C414" s="220" t="s">
        <v>639</v>
      </c>
      <c r="D414" s="151" t="s">
        <v>640</v>
      </c>
      <c r="E414" s="151" t="s">
        <v>528</v>
      </c>
      <c r="F414" s="213">
        <v>375</v>
      </c>
      <c r="G414" s="151">
        <v>29</v>
      </c>
      <c r="H414" s="151">
        <v>22</v>
      </c>
      <c r="I414" s="151">
        <v>638</v>
      </c>
      <c r="J414" s="151">
        <v>26</v>
      </c>
      <c r="K414" s="151">
        <v>754</v>
      </c>
      <c r="L414" s="220" t="s">
        <v>395</v>
      </c>
    </row>
    <row r="415" spans="1:12" hidden="1">
      <c r="A415" s="213">
        <v>30360617</v>
      </c>
      <c r="B415" s="151" t="s">
        <v>757</v>
      </c>
      <c r="C415" s="151" t="s">
        <v>639</v>
      </c>
      <c r="D415" s="151" t="s">
        <v>640</v>
      </c>
      <c r="E415" s="151" t="s">
        <v>528</v>
      </c>
      <c r="F415" s="213">
        <v>380</v>
      </c>
      <c r="G415" s="151">
        <v>29</v>
      </c>
      <c r="H415" s="151">
        <v>22</v>
      </c>
      <c r="I415" s="151">
        <v>638</v>
      </c>
      <c r="J415" s="151">
        <v>26</v>
      </c>
      <c r="K415" s="151">
        <v>754</v>
      </c>
      <c r="L415" s="151"/>
    </row>
    <row r="416" spans="1:12" hidden="1">
      <c r="A416" s="213">
        <v>30360618</v>
      </c>
      <c r="B416" s="151" t="s">
        <v>758</v>
      </c>
      <c r="C416" s="151" t="s">
        <v>639</v>
      </c>
      <c r="D416" s="151" t="s">
        <v>640</v>
      </c>
      <c r="E416" s="151" t="s">
        <v>528</v>
      </c>
      <c r="F416" s="213">
        <v>385</v>
      </c>
      <c r="G416" s="151">
        <v>29</v>
      </c>
      <c r="H416" s="151">
        <v>22</v>
      </c>
      <c r="I416" s="151">
        <v>638</v>
      </c>
      <c r="J416" s="151">
        <v>26</v>
      </c>
      <c r="K416" s="151">
        <v>754</v>
      </c>
      <c r="L416" s="151"/>
    </row>
    <row r="417" spans="1:12" hidden="1">
      <c r="A417" s="213">
        <v>30360619</v>
      </c>
      <c r="B417" s="151" t="s">
        <v>759</v>
      </c>
      <c r="C417" s="151" t="s">
        <v>639</v>
      </c>
      <c r="D417" s="151" t="s">
        <v>640</v>
      </c>
      <c r="E417" s="151" t="s">
        <v>528</v>
      </c>
      <c r="F417" s="213">
        <v>390</v>
      </c>
      <c r="G417" s="151">
        <v>29</v>
      </c>
      <c r="H417" s="151">
        <v>22</v>
      </c>
      <c r="I417" s="151">
        <v>638</v>
      </c>
      <c r="J417" s="151">
        <v>26</v>
      </c>
      <c r="K417" s="151">
        <v>754</v>
      </c>
      <c r="L417" s="151"/>
    </row>
    <row r="418" spans="1:12" hidden="1">
      <c r="A418" s="213">
        <v>30360655</v>
      </c>
      <c r="B418" s="151" t="s">
        <v>753</v>
      </c>
      <c r="C418" s="220" t="s">
        <v>639</v>
      </c>
      <c r="D418" s="151" t="s">
        <v>640</v>
      </c>
      <c r="E418" s="151" t="s">
        <v>528</v>
      </c>
      <c r="F418" s="213">
        <v>395</v>
      </c>
      <c r="G418" s="151">
        <v>29</v>
      </c>
      <c r="H418" s="151">
        <v>22</v>
      </c>
      <c r="I418" s="151">
        <v>638</v>
      </c>
      <c r="J418" s="151">
        <v>26</v>
      </c>
      <c r="K418" s="151">
        <v>754</v>
      </c>
      <c r="L418" s="220" t="s">
        <v>395</v>
      </c>
    </row>
    <row r="419" spans="1:12" hidden="1">
      <c r="A419" s="213">
        <v>30360656</v>
      </c>
      <c r="B419" s="151" t="s">
        <v>754</v>
      </c>
      <c r="C419" s="220" t="s">
        <v>639</v>
      </c>
      <c r="D419" s="151" t="s">
        <v>640</v>
      </c>
      <c r="E419" s="151" t="s">
        <v>528</v>
      </c>
      <c r="F419" s="213">
        <v>400</v>
      </c>
      <c r="G419" s="151">
        <v>29</v>
      </c>
      <c r="H419" s="151">
        <v>22</v>
      </c>
      <c r="I419" s="151">
        <v>638</v>
      </c>
      <c r="J419" s="151">
        <v>26</v>
      </c>
      <c r="K419" s="151">
        <v>754</v>
      </c>
      <c r="L419" s="220" t="s">
        <v>395</v>
      </c>
    </row>
    <row r="420" spans="1:12" hidden="1">
      <c r="A420" s="213">
        <v>30361015</v>
      </c>
      <c r="B420" s="151" t="s">
        <v>708</v>
      </c>
      <c r="C420" s="220" t="s">
        <v>639</v>
      </c>
      <c r="D420" s="151" t="s">
        <v>640</v>
      </c>
      <c r="E420" s="151" t="s">
        <v>528</v>
      </c>
      <c r="F420" s="213">
        <v>370</v>
      </c>
      <c r="G420" s="151">
        <v>29</v>
      </c>
      <c r="H420" s="151">
        <v>22</v>
      </c>
      <c r="I420" s="151">
        <v>638</v>
      </c>
      <c r="J420" s="151">
        <v>26</v>
      </c>
      <c r="K420" s="151">
        <v>754</v>
      </c>
      <c r="L420" s="220" t="s">
        <v>395</v>
      </c>
    </row>
    <row r="421" spans="1:12" hidden="1">
      <c r="A421" s="213">
        <v>30361016</v>
      </c>
      <c r="B421" s="151" t="s">
        <v>709</v>
      </c>
      <c r="C421" s="220" t="s">
        <v>639</v>
      </c>
      <c r="D421" s="151" t="s">
        <v>640</v>
      </c>
      <c r="E421" s="151" t="s">
        <v>528</v>
      </c>
      <c r="F421" s="213">
        <v>375</v>
      </c>
      <c r="G421" s="151">
        <v>29</v>
      </c>
      <c r="H421" s="151">
        <v>22</v>
      </c>
      <c r="I421" s="151">
        <v>638</v>
      </c>
      <c r="J421" s="151">
        <v>26</v>
      </c>
      <c r="K421" s="151">
        <v>754</v>
      </c>
      <c r="L421" s="220" t="s">
        <v>395</v>
      </c>
    </row>
    <row r="422" spans="1:12" hidden="1">
      <c r="A422" s="213">
        <v>30361017</v>
      </c>
      <c r="B422" s="151" t="s">
        <v>760</v>
      </c>
      <c r="C422" s="151" t="s">
        <v>639</v>
      </c>
      <c r="D422" s="151" t="s">
        <v>640</v>
      </c>
      <c r="E422" s="151" t="s">
        <v>528</v>
      </c>
      <c r="F422" s="213">
        <v>380</v>
      </c>
      <c r="G422" s="151">
        <v>29</v>
      </c>
      <c r="H422" s="151">
        <v>22</v>
      </c>
      <c r="I422" s="151">
        <v>638</v>
      </c>
      <c r="J422" s="151">
        <v>26</v>
      </c>
      <c r="K422" s="151">
        <v>754</v>
      </c>
      <c r="L422" s="151"/>
    </row>
    <row r="423" spans="1:12" hidden="1">
      <c r="A423" s="213">
        <v>30361018</v>
      </c>
      <c r="B423" s="151" t="s">
        <v>761</v>
      </c>
      <c r="C423" s="151" t="s">
        <v>639</v>
      </c>
      <c r="D423" s="151" t="s">
        <v>640</v>
      </c>
      <c r="E423" s="151" t="s">
        <v>528</v>
      </c>
      <c r="F423" s="213">
        <v>385</v>
      </c>
      <c r="G423" s="151">
        <v>29</v>
      </c>
      <c r="H423" s="151">
        <v>22</v>
      </c>
      <c r="I423" s="151">
        <v>638</v>
      </c>
      <c r="J423" s="151">
        <v>26</v>
      </c>
      <c r="K423" s="151">
        <v>754</v>
      </c>
      <c r="L423" s="151"/>
    </row>
    <row r="424" spans="1:12" hidden="1">
      <c r="A424" s="213">
        <v>30361019</v>
      </c>
      <c r="B424" s="151" t="s">
        <v>762</v>
      </c>
      <c r="C424" s="151" t="s">
        <v>639</v>
      </c>
      <c r="D424" s="151" t="s">
        <v>640</v>
      </c>
      <c r="E424" s="151" t="s">
        <v>528</v>
      </c>
      <c r="F424" s="213">
        <v>390</v>
      </c>
      <c r="G424" s="151">
        <v>29</v>
      </c>
      <c r="H424" s="151">
        <v>22</v>
      </c>
      <c r="I424" s="151">
        <v>638</v>
      </c>
      <c r="J424" s="151">
        <v>26</v>
      </c>
      <c r="K424" s="151">
        <v>754</v>
      </c>
      <c r="L424" s="151"/>
    </row>
    <row r="425" spans="1:12" hidden="1">
      <c r="A425" s="213">
        <v>30361055</v>
      </c>
      <c r="B425" s="151" t="s">
        <v>713</v>
      </c>
      <c r="C425" s="151" t="s">
        <v>639</v>
      </c>
      <c r="D425" s="151" t="s">
        <v>640</v>
      </c>
      <c r="E425" s="151" t="s">
        <v>528</v>
      </c>
      <c r="F425" s="213">
        <v>395</v>
      </c>
      <c r="G425" s="151">
        <v>29</v>
      </c>
      <c r="H425" s="151">
        <v>22</v>
      </c>
      <c r="I425" s="151">
        <v>638</v>
      </c>
      <c r="J425" s="151">
        <v>26</v>
      </c>
      <c r="K425" s="151">
        <v>754</v>
      </c>
      <c r="L425" s="151"/>
    </row>
    <row r="426" spans="1:12" hidden="1">
      <c r="A426" s="213">
        <v>30361056</v>
      </c>
      <c r="B426" s="151" t="s">
        <v>714</v>
      </c>
      <c r="C426" s="151" t="s">
        <v>639</v>
      </c>
      <c r="D426" s="151" t="s">
        <v>640</v>
      </c>
      <c r="E426" s="151" t="s">
        <v>528</v>
      </c>
      <c r="F426" s="213">
        <v>400</v>
      </c>
      <c r="G426" s="151">
        <v>29</v>
      </c>
      <c r="H426" s="151">
        <v>22</v>
      </c>
      <c r="I426" s="151">
        <v>638</v>
      </c>
      <c r="J426" s="151">
        <v>26</v>
      </c>
      <c r="K426" s="151">
        <v>754</v>
      </c>
      <c r="L426" s="151"/>
    </row>
    <row r="427" spans="1:12" hidden="1">
      <c r="A427" s="213">
        <v>30361115</v>
      </c>
      <c r="B427" s="151" t="s">
        <v>748</v>
      </c>
      <c r="C427" s="220" t="s">
        <v>639</v>
      </c>
      <c r="D427" s="151" t="s">
        <v>640</v>
      </c>
      <c r="E427" s="151" t="s">
        <v>528</v>
      </c>
      <c r="F427" s="213">
        <v>370</v>
      </c>
      <c r="G427" s="151">
        <v>29</v>
      </c>
      <c r="H427" s="151">
        <v>22</v>
      </c>
      <c r="I427" s="151">
        <v>638</v>
      </c>
      <c r="J427" s="151">
        <v>26</v>
      </c>
      <c r="K427" s="151">
        <v>754</v>
      </c>
      <c r="L427" s="220" t="s">
        <v>395</v>
      </c>
    </row>
    <row r="428" spans="1:12" hidden="1">
      <c r="A428" s="213">
        <v>30361116</v>
      </c>
      <c r="B428" s="151" t="s">
        <v>749</v>
      </c>
      <c r="C428" s="220" t="s">
        <v>639</v>
      </c>
      <c r="D428" s="151" t="s">
        <v>640</v>
      </c>
      <c r="E428" s="151" t="s">
        <v>528</v>
      </c>
      <c r="F428" s="213">
        <v>375</v>
      </c>
      <c r="G428" s="151">
        <v>29</v>
      </c>
      <c r="H428" s="151">
        <v>22</v>
      </c>
      <c r="I428" s="151">
        <v>638</v>
      </c>
      <c r="J428" s="151">
        <v>26</v>
      </c>
      <c r="K428" s="151">
        <v>754</v>
      </c>
      <c r="L428" s="220" t="s">
        <v>395</v>
      </c>
    </row>
    <row r="429" spans="1:12" hidden="1">
      <c r="A429" s="213">
        <v>30361117</v>
      </c>
      <c r="B429" s="151" t="s">
        <v>750</v>
      </c>
      <c r="C429" s="151" t="s">
        <v>639</v>
      </c>
      <c r="D429" s="151" t="s">
        <v>640</v>
      </c>
      <c r="E429" s="151" t="s">
        <v>528</v>
      </c>
      <c r="F429" s="213">
        <v>380</v>
      </c>
      <c r="G429" s="151">
        <v>29</v>
      </c>
      <c r="H429" s="151">
        <v>22</v>
      </c>
      <c r="I429" s="151">
        <v>638</v>
      </c>
      <c r="J429" s="151">
        <v>26</v>
      </c>
      <c r="K429" s="151">
        <v>754</v>
      </c>
      <c r="L429" s="151"/>
    </row>
    <row r="430" spans="1:12" hidden="1">
      <c r="A430" s="213">
        <v>30361118</v>
      </c>
      <c r="B430" s="151" t="s">
        <v>763</v>
      </c>
      <c r="C430" s="151" t="s">
        <v>639</v>
      </c>
      <c r="D430" s="151" t="s">
        <v>640</v>
      </c>
      <c r="E430" s="151" t="s">
        <v>528</v>
      </c>
      <c r="F430" s="213">
        <v>385</v>
      </c>
      <c r="G430" s="151">
        <v>29</v>
      </c>
      <c r="H430" s="151">
        <v>22</v>
      </c>
      <c r="I430" s="151">
        <v>638</v>
      </c>
      <c r="J430" s="151">
        <v>26</v>
      </c>
      <c r="K430" s="151">
        <v>754</v>
      </c>
      <c r="L430" s="151"/>
    </row>
    <row r="431" spans="1:12" hidden="1">
      <c r="A431" s="213">
        <v>30361119</v>
      </c>
      <c r="B431" s="151" t="s">
        <v>764</v>
      </c>
      <c r="C431" s="151" t="s">
        <v>639</v>
      </c>
      <c r="D431" s="151" t="s">
        <v>640</v>
      </c>
      <c r="E431" s="151" t="s">
        <v>528</v>
      </c>
      <c r="F431" s="213">
        <v>390</v>
      </c>
      <c r="G431" s="151">
        <v>29</v>
      </c>
      <c r="H431" s="151">
        <v>22</v>
      </c>
      <c r="I431" s="151">
        <v>638</v>
      </c>
      <c r="J431" s="151">
        <v>26</v>
      </c>
      <c r="K431" s="151">
        <v>754</v>
      </c>
      <c r="L431" s="151"/>
    </row>
    <row r="432" spans="1:12" hidden="1">
      <c r="A432" s="213">
        <v>30361155</v>
      </c>
      <c r="B432" s="151" t="s">
        <v>753</v>
      </c>
      <c r="C432" s="220" t="s">
        <v>639</v>
      </c>
      <c r="D432" s="151" t="s">
        <v>640</v>
      </c>
      <c r="E432" s="151" t="s">
        <v>528</v>
      </c>
      <c r="F432" s="213">
        <v>395</v>
      </c>
      <c r="G432" s="151">
        <v>29</v>
      </c>
      <c r="H432" s="151">
        <v>22</v>
      </c>
      <c r="I432" s="151">
        <v>638</v>
      </c>
      <c r="J432" s="151">
        <v>26</v>
      </c>
      <c r="K432" s="151">
        <v>754</v>
      </c>
      <c r="L432" s="220" t="s">
        <v>395</v>
      </c>
    </row>
    <row r="433" spans="1:12" hidden="1">
      <c r="A433" s="213">
        <v>30361156</v>
      </c>
      <c r="B433" s="151" t="s">
        <v>765</v>
      </c>
      <c r="C433" s="151" t="s">
        <v>639</v>
      </c>
      <c r="D433" s="151" t="s">
        <v>640</v>
      </c>
      <c r="E433" s="151" t="s">
        <v>528</v>
      </c>
      <c r="F433" s="213">
        <v>400</v>
      </c>
      <c r="G433" s="151">
        <v>29</v>
      </c>
      <c r="H433" s="151">
        <v>22</v>
      </c>
      <c r="I433" s="151">
        <v>638</v>
      </c>
      <c r="J433" s="151">
        <v>26</v>
      </c>
      <c r="K433" s="151">
        <v>754</v>
      </c>
      <c r="L433" s="151"/>
    </row>
    <row r="434" spans="1:12" hidden="1">
      <c r="A434" s="213">
        <v>30361455</v>
      </c>
      <c r="B434" s="151" t="s">
        <v>766</v>
      </c>
      <c r="C434" s="151" t="s">
        <v>639</v>
      </c>
      <c r="D434" s="151" t="s">
        <v>640</v>
      </c>
      <c r="E434" s="151" t="s">
        <v>528</v>
      </c>
      <c r="F434" s="213">
        <v>395</v>
      </c>
      <c r="G434" s="151">
        <v>29</v>
      </c>
      <c r="H434" s="151">
        <v>22</v>
      </c>
      <c r="I434" s="151">
        <v>638</v>
      </c>
      <c r="J434" s="151">
        <v>26</v>
      </c>
      <c r="K434" s="151">
        <v>754</v>
      </c>
      <c r="L434" s="151"/>
    </row>
    <row r="435" spans="1:12" hidden="1">
      <c r="A435" s="213">
        <v>30361555</v>
      </c>
      <c r="B435" s="151" t="s">
        <v>767</v>
      </c>
      <c r="C435" s="151" t="s">
        <v>639</v>
      </c>
      <c r="D435" s="151" t="s">
        <v>640</v>
      </c>
      <c r="E435" s="151" t="s">
        <v>528</v>
      </c>
      <c r="F435" s="213">
        <v>395</v>
      </c>
      <c r="G435" s="151">
        <v>29</v>
      </c>
      <c r="H435" s="151">
        <v>22</v>
      </c>
      <c r="I435" s="151">
        <v>638</v>
      </c>
      <c r="J435" s="151">
        <v>26</v>
      </c>
      <c r="K435" s="151">
        <v>754</v>
      </c>
      <c r="L435" s="151"/>
    </row>
    <row r="436" spans="1:12" hidden="1">
      <c r="A436" s="213">
        <v>30361456</v>
      </c>
      <c r="B436" s="151" t="s">
        <v>768</v>
      </c>
      <c r="C436" s="151" t="s">
        <v>639</v>
      </c>
      <c r="D436" s="151" t="s">
        <v>640</v>
      </c>
      <c r="E436" s="151" t="s">
        <v>528</v>
      </c>
      <c r="F436" s="213">
        <v>400</v>
      </c>
      <c r="G436" s="151">
        <v>29</v>
      </c>
      <c r="H436" s="151">
        <v>22</v>
      </c>
      <c r="I436" s="151">
        <v>638</v>
      </c>
      <c r="J436" s="151">
        <v>26</v>
      </c>
      <c r="K436" s="151">
        <v>754</v>
      </c>
      <c r="L436" s="151"/>
    </row>
    <row r="437" spans="1:12" hidden="1">
      <c r="A437" s="213">
        <v>30361556</v>
      </c>
      <c r="B437" s="151" t="s">
        <v>767</v>
      </c>
      <c r="C437" s="151" t="s">
        <v>639</v>
      </c>
      <c r="D437" s="151" t="s">
        <v>640</v>
      </c>
      <c r="E437" s="151" t="s">
        <v>528</v>
      </c>
      <c r="F437" s="213">
        <v>400</v>
      </c>
      <c r="G437" s="151">
        <v>29</v>
      </c>
      <c r="H437" s="151">
        <v>22</v>
      </c>
      <c r="I437" s="151">
        <v>638</v>
      </c>
      <c r="J437" s="151">
        <v>26</v>
      </c>
      <c r="K437" s="151">
        <v>754</v>
      </c>
      <c r="L437" s="151"/>
    </row>
    <row r="438" spans="1:12" hidden="1">
      <c r="A438" s="213">
        <v>30361755</v>
      </c>
      <c r="B438" s="151" t="s">
        <v>769</v>
      </c>
      <c r="C438" s="151" t="s">
        <v>639</v>
      </c>
      <c r="D438" s="151" t="s">
        <v>640</v>
      </c>
      <c r="E438" s="151" t="s">
        <v>528</v>
      </c>
      <c r="F438" s="213">
        <v>395</v>
      </c>
      <c r="G438" s="151">
        <v>29</v>
      </c>
      <c r="H438" s="151">
        <v>22</v>
      </c>
      <c r="I438" s="151">
        <v>638</v>
      </c>
      <c r="J438" s="151">
        <v>26</v>
      </c>
      <c r="K438" s="151">
        <v>754</v>
      </c>
      <c r="L438" s="151"/>
    </row>
    <row r="439" spans="1:12" hidden="1">
      <c r="A439" s="213">
        <v>30361756</v>
      </c>
      <c r="B439" s="151" t="s">
        <v>769</v>
      </c>
      <c r="C439" s="151" t="s">
        <v>639</v>
      </c>
      <c r="D439" s="151" t="s">
        <v>640</v>
      </c>
      <c r="E439" s="151" t="s">
        <v>528</v>
      </c>
      <c r="F439" s="213">
        <v>400</v>
      </c>
      <c r="G439" s="151">
        <v>29</v>
      </c>
      <c r="H439" s="151">
        <v>22</v>
      </c>
      <c r="I439" s="151">
        <v>638</v>
      </c>
      <c r="J439" s="151">
        <v>26</v>
      </c>
      <c r="K439" s="151">
        <v>754</v>
      </c>
      <c r="L439" s="151"/>
    </row>
    <row r="440" spans="1:12" hidden="1">
      <c r="A440" s="213">
        <v>30361757</v>
      </c>
      <c r="B440" s="151" t="s">
        <v>769</v>
      </c>
      <c r="C440" s="151" t="s">
        <v>639</v>
      </c>
      <c r="D440" s="151" t="s">
        <v>640</v>
      </c>
      <c r="E440" s="151" t="s">
        <v>528</v>
      </c>
      <c r="F440" s="213">
        <v>405</v>
      </c>
      <c r="G440" s="151">
        <v>29</v>
      </c>
      <c r="H440" s="151">
        <v>22</v>
      </c>
      <c r="I440" s="151">
        <v>638</v>
      </c>
      <c r="J440" s="151">
        <v>26</v>
      </c>
      <c r="K440" s="151">
        <v>754</v>
      </c>
      <c r="L440" s="151"/>
    </row>
    <row r="441" spans="1:12" hidden="1">
      <c r="A441" s="213">
        <v>30361758</v>
      </c>
      <c r="B441" s="151" t="s">
        <v>769</v>
      </c>
      <c r="C441" s="151" t="s">
        <v>639</v>
      </c>
      <c r="D441" s="151" t="s">
        <v>640</v>
      </c>
      <c r="E441" s="151" t="s">
        <v>528</v>
      </c>
      <c r="F441" s="213">
        <v>410</v>
      </c>
      <c r="G441" s="151">
        <v>29</v>
      </c>
      <c r="H441" s="151">
        <v>22</v>
      </c>
      <c r="I441" s="151">
        <v>638</v>
      </c>
      <c r="J441" s="151">
        <v>26</v>
      </c>
      <c r="K441" s="151">
        <v>754</v>
      </c>
      <c r="L441" s="151"/>
    </row>
    <row r="442" spans="1:12" hidden="1">
      <c r="A442" s="213">
        <v>30367255</v>
      </c>
      <c r="B442" s="151" t="s">
        <v>770</v>
      </c>
      <c r="C442" s="151" t="s">
        <v>771</v>
      </c>
      <c r="D442" s="151" t="s">
        <v>640</v>
      </c>
      <c r="E442" s="151" t="s">
        <v>528</v>
      </c>
      <c r="F442" s="213">
        <v>395</v>
      </c>
      <c r="G442" s="151">
        <v>29</v>
      </c>
      <c r="H442" s="151">
        <v>22</v>
      </c>
      <c r="I442" s="151">
        <v>638</v>
      </c>
      <c r="J442" s="151">
        <v>26</v>
      </c>
      <c r="K442" s="151">
        <v>754</v>
      </c>
      <c r="L442" s="151"/>
    </row>
    <row r="443" spans="1:12" hidden="1">
      <c r="A443" s="213">
        <v>30367755</v>
      </c>
      <c r="B443" s="151" t="s">
        <v>772</v>
      </c>
      <c r="C443" s="151" t="s">
        <v>771</v>
      </c>
      <c r="D443" s="151" t="s">
        <v>640</v>
      </c>
      <c r="E443" s="151" t="s">
        <v>528</v>
      </c>
      <c r="F443" s="213">
        <v>395</v>
      </c>
      <c r="G443" s="151">
        <v>29</v>
      </c>
      <c r="H443" s="151">
        <v>22</v>
      </c>
      <c r="I443" s="151">
        <v>638</v>
      </c>
      <c r="J443" s="151">
        <v>26</v>
      </c>
      <c r="K443" s="151">
        <v>754</v>
      </c>
      <c r="L443" s="151"/>
    </row>
    <row r="444" spans="1:12" hidden="1">
      <c r="A444" s="213">
        <v>30367758</v>
      </c>
      <c r="B444" s="151" t="s">
        <v>772</v>
      </c>
      <c r="C444" s="151" t="s">
        <v>771</v>
      </c>
      <c r="D444" s="151" t="s">
        <v>640</v>
      </c>
      <c r="E444" s="151" t="s">
        <v>528</v>
      </c>
      <c r="F444" s="213">
        <v>410</v>
      </c>
      <c r="G444" s="151">
        <v>29</v>
      </c>
      <c r="H444" s="151">
        <v>22</v>
      </c>
      <c r="I444" s="151">
        <v>638</v>
      </c>
      <c r="J444" s="151">
        <v>26</v>
      </c>
      <c r="K444" s="151">
        <v>754</v>
      </c>
      <c r="L444" s="151"/>
    </row>
    <row r="445" spans="1:12" hidden="1">
      <c r="A445" s="213">
        <v>30367655</v>
      </c>
      <c r="B445" s="151" t="s">
        <v>773</v>
      </c>
      <c r="C445" s="151" t="s">
        <v>771</v>
      </c>
      <c r="D445" s="151" t="s">
        <v>640</v>
      </c>
      <c r="E445" s="151" t="s">
        <v>528</v>
      </c>
      <c r="F445" s="213">
        <v>395</v>
      </c>
      <c r="G445" s="151">
        <v>29</v>
      </c>
      <c r="H445" s="151">
        <v>22</v>
      </c>
      <c r="I445" s="151">
        <v>638</v>
      </c>
      <c r="J445" s="151">
        <v>26</v>
      </c>
      <c r="K445" s="151">
        <v>754</v>
      </c>
      <c r="L445" s="151"/>
    </row>
    <row r="446" spans="1:12" hidden="1">
      <c r="A446" s="213">
        <v>30367256</v>
      </c>
      <c r="B446" s="151" t="s">
        <v>774</v>
      </c>
      <c r="C446" s="151" t="s">
        <v>771</v>
      </c>
      <c r="D446" s="151" t="s">
        <v>640</v>
      </c>
      <c r="E446" s="151" t="s">
        <v>528</v>
      </c>
      <c r="F446" s="213">
        <v>400</v>
      </c>
      <c r="G446" s="151">
        <v>29</v>
      </c>
      <c r="H446" s="151">
        <v>22</v>
      </c>
      <c r="I446" s="151">
        <v>638</v>
      </c>
      <c r="J446" s="151">
        <v>26</v>
      </c>
      <c r="K446" s="151">
        <v>754</v>
      </c>
      <c r="L446" s="151"/>
    </row>
    <row r="447" spans="1:12" hidden="1">
      <c r="A447" s="213">
        <v>30367257</v>
      </c>
      <c r="B447" s="151" t="s">
        <v>775</v>
      </c>
      <c r="C447" s="151" t="s">
        <v>771</v>
      </c>
      <c r="D447" s="151" t="s">
        <v>640</v>
      </c>
      <c r="E447" s="151" t="s">
        <v>528</v>
      </c>
      <c r="F447" s="213">
        <v>405</v>
      </c>
      <c r="G447" s="151">
        <v>29</v>
      </c>
      <c r="H447" s="151">
        <v>22</v>
      </c>
      <c r="I447" s="151">
        <v>638</v>
      </c>
      <c r="J447" s="151">
        <v>26</v>
      </c>
      <c r="K447" s="151">
        <v>754</v>
      </c>
      <c r="L447" s="151"/>
    </row>
    <row r="448" spans="1:12" hidden="1">
      <c r="A448" s="213">
        <v>30367455</v>
      </c>
      <c r="B448" s="151" t="s">
        <v>776</v>
      </c>
      <c r="C448" s="151" t="s">
        <v>771</v>
      </c>
      <c r="D448" s="151" t="s">
        <v>640</v>
      </c>
      <c r="E448" s="151" t="s">
        <v>528</v>
      </c>
      <c r="F448" s="213">
        <v>395</v>
      </c>
      <c r="G448" s="151">
        <v>29</v>
      </c>
      <c r="H448" s="151">
        <v>22</v>
      </c>
      <c r="I448" s="151">
        <v>638</v>
      </c>
      <c r="J448" s="151">
        <v>26</v>
      </c>
      <c r="K448" s="151">
        <v>754</v>
      </c>
      <c r="L448" s="151"/>
    </row>
    <row r="449" spans="1:12" hidden="1">
      <c r="A449" s="213">
        <v>30367555</v>
      </c>
      <c r="B449" s="151" t="s">
        <v>777</v>
      </c>
      <c r="C449" s="151" t="s">
        <v>771</v>
      </c>
      <c r="D449" s="151" t="s">
        <v>640</v>
      </c>
      <c r="E449" s="151" t="s">
        <v>528</v>
      </c>
      <c r="F449" s="213">
        <v>395</v>
      </c>
      <c r="G449" s="151">
        <v>29</v>
      </c>
      <c r="H449" s="151">
        <v>22</v>
      </c>
      <c r="I449" s="151">
        <v>638</v>
      </c>
      <c r="J449" s="151">
        <v>26</v>
      </c>
      <c r="K449" s="151">
        <v>754</v>
      </c>
      <c r="L449" s="151"/>
    </row>
    <row r="450" spans="1:12" hidden="1">
      <c r="A450" s="213">
        <v>30367456</v>
      </c>
      <c r="B450" s="151" t="s">
        <v>778</v>
      </c>
      <c r="C450" s="151" t="s">
        <v>771</v>
      </c>
      <c r="D450" s="151" t="s">
        <v>640</v>
      </c>
      <c r="E450" s="151" t="s">
        <v>528</v>
      </c>
      <c r="F450" s="213">
        <v>400</v>
      </c>
      <c r="G450" s="151">
        <v>29</v>
      </c>
      <c r="H450" s="151">
        <v>22</v>
      </c>
      <c r="I450" s="151">
        <v>638</v>
      </c>
      <c r="J450" s="151">
        <v>26</v>
      </c>
      <c r="K450" s="151">
        <v>754</v>
      </c>
      <c r="L450" s="151"/>
    </row>
    <row r="451" spans="1:12" hidden="1">
      <c r="A451" s="213">
        <v>30367457</v>
      </c>
      <c r="B451" s="151" t="s">
        <v>779</v>
      </c>
      <c r="C451" s="151" t="s">
        <v>771</v>
      </c>
      <c r="D451" s="151" t="s">
        <v>640</v>
      </c>
      <c r="E451" s="151" t="s">
        <v>528</v>
      </c>
      <c r="F451" s="213">
        <v>405</v>
      </c>
      <c r="G451" s="151">
        <v>29</v>
      </c>
      <c r="H451" s="151">
        <v>22</v>
      </c>
      <c r="I451" s="151">
        <v>638</v>
      </c>
      <c r="J451" s="151">
        <v>26</v>
      </c>
      <c r="K451" s="151">
        <v>754</v>
      </c>
      <c r="L451" s="151"/>
    </row>
    <row r="452" spans="1:12" hidden="1">
      <c r="A452" s="213">
        <v>30367458</v>
      </c>
      <c r="B452" s="151" t="s">
        <v>780</v>
      </c>
      <c r="C452" s="151" t="s">
        <v>771</v>
      </c>
      <c r="D452" s="151" t="s">
        <v>640</v>
      </c>
      <c r="E452" s="151" t="s">
        <v>528</v>
      </c>
      <c r="F452" s="213">
        <v>410</v>
      </c>
      <c r="G452" s="151">
        <v>29</v>
      </c>
      <c r="H452" s="151">
        <v>22</v>
      </c>
      <c r="I452" s="151">
        <v>638</v>
      </c>
      <c r="J452" s="151">
        <v>26</v>
      </c>
      <c r="K452" s="151">
        <v>754</v>
      </c>
      <c r="L452" s="151"/>
    </row>
    <row r="453" spans="1:12" hidden="1">
      <c r="A453" s="213">
        <v>30367658</v>
      </c>
      <c r="B453" s="151" t="s">
        <v>773</v>
      </c>
      <c r="C453" s="151" t="s">
        <v>771</v>
      </c>
      <c r="D453" s="151" t="s">
        <v>640</v>
      </c>
      <c r="E453" s="151" t="s">
        <v>528</v>
      </c>
      <c r="F453" s="213">
        <v>410</v>
      </c>
      <c r="G453" s="151">
        <v>29</v>
      </c>
      <c r="H453" s="151">
        <v>22</v>
      </c>
      <c r="I453" s="151">
        <v>638</v>
      </c>
      <c r="J453" s="151">
        <v>26</v>
      </c>
      <c r="K453" s="151">
        <v>754</v>
      </c>
      <c r="L453" s="151"/>
    </row>
    <row r="454" spans="1:12" hidden="1">
      <c r="A454" s="213">
        <v>30367656</v>
      </c>
      <c r="B454" s="151" t="s">
        <v>773</v>
      </c>
      <c r="C454" s="151" t="s">
        <v>771</v>
      </c>
      <c r="D454" s="151" t="s">
        <v>640</v>
      </c>
      <c r="E454" s="151" t="s">
        <v>528</v>
      </c>
      <c r="F454" s="213">
        <v>400</v>
      </c>
      <c r="G454" s="151">
        <v>29</v>
      </c>
      <c r="H454" s="151">
        <v>22</v>
      </c>
      <c r="I454" s="151">
        <v>638</v>
      </c>
      <c r="J454" s="151">
        <v>26</v>
      </c>
      <c r="K454" s="151">
        <v>754</v>
      </c>
      <c r="L454" s="151"/>
    </row>
    <row r="455" spans="1:12" hidden="1">
      <c r="A455" s="213">
        <v>30367556</v>
      </c>
      <c r="B455" s="151" t="s">
        <v>781</v>
      </c>
      <c r="C455" s="151" t="s">
        <v>771</v>
      </c>
      <c r="D455" s="151" t="s">
        <v>640</v>
      </c>
      <c r="E455" s="151" t="s">
        <v>528</v>
      </c>
      <c r="F455" s="213">
        <v>400</v>
      </c>
      <c r="G455" s="151">
        <v>29</v>
      </c>
      <c r="H455" s="151">
        <v>22</v>
      </c>
      <c r="I455" s="151">
        <v>638</v>
      </c>
      <c r="J455" s="151">
        <v>26</v>
      </c>
      <c r="K455" s="151">
        <v>754</v>
      </c>
      <c r="L455" s="151"/>
    </row>
    <row r="456" spans="1:12" hidden="1">
      <c r="A456" s="213">
        <v>30382960</v>
      </c>
      <c r="B456" s="151" t="s">
        <v>782</v>
      </c>
      <c r="C456" s="151" t="s">
        <v>729</v>
      </c>
      <c r="D456" s="151" t="s">
        <v>640</v>
      </c>
      <c r="E456" s="151" t="s">
        <v>528</v>
      </c>
      <c r="F456" s="213">
        <v>420</v>
      </c>
      <c r="G456" s="151">
        <v>29</v>
      </c>
      <c r="H456" s="151">
        <v>22</v>
      </c>
      <c r="I456" s="151">
        <v>638</v>
      </c>
      <c r="J456" s="151">
        <v>24</v>
      </c>
      <c r="K456" s="151">
        <v>696</v>
      </c>
      <c r="L456" s="151"/>
    </row>
    <row r="457" spans="1:12" hidden="1">
      <c r="A457" s="213">
        <v>30382761</v>
      </c>
      <c r="B457" s="151" t="s">
        <v>783</v>
      </c>
      <c r="C457" s="151" t="s">
        <v>729</v>
      </c>
      <c r="D457" s="151" t="s">
        <v>640</v>
      </c>
      <c r="E457" s="151" t="s">
        <v>528</v>
      </c>
      <c r="F457" s="213">
        <v>425</v>
      </c>
      <c r="G457" s="151">
        <v>29</v>
      </c>
      <c r="H457" s="151">
        <v>22</v>
      </c>
      <c r="I457" s="151">
        <v>638</v>
      </c>
      <c r="J457" s="151">
        <v>24</v>
      </c>
      <c r="K457" s="151">
        <v>696</v>
      </c>
      <c r="L457" s="151"/>
    </row>
    <row r="458" spans="1:12" hidden="1">
      <c r="A458" s="213">
        <v>30382859</v>
      </c>
      <c r="B458" s="151" t="s">
        <v>784</v>
      </c>
      <c r="C458" s="151" t="s">
        <v>729</v>
      </c>
      <c r="D458" s="151" t="s">
        <v>640</v>
      </c>
      <c r="E458" s="151" t="s">
        <v>528</v>
      </c>
      <c r="F458" s="213">
        <v>415</v>
      </c>
      <c r="G458" s="151">
        <v>29</v>
      </c>
      <c r="H458" s="151">
        <v>22</v>
      </c>
      <c r="I458" s="151">
        <v>638</v>
      </c>
      <c r="J458" s="151">
        <v>24</v>
      </c>
      <c r="K458" s="151">
        <v>696</v>
      </c>
      <c r="L458" s="151"/>
    </row>
    <row r="459" spans="1:12" hidden="1">
      <c r="A459" s="213">
        <v>30382860</v>
      </c>
      <c r="B459" s="151" t="s">
        <v>784</v>
      </c>
      <c r="C459" s="151" t="s">
        <v>729</v>
      </c>
      <c r="D459" s="151" t="s">
        <v>640</v>
      </c>
      <c r="E459" s="151" t="s">
        <v>528</v>
      </c>
      <c r="F459" s="213">
        <v>420</v>
      </c>
      <c r="G459" s="151">
        <v>29</v>
      </c>
      <c r="H459" s="151">
        <v>22</v>
      </c>
      <c r="I459" s="151">
        <v>638</v>
      </c>
      <c r="J459" s="151">
        <v>24</v>
      </c>
      <c r="K459" s="151">
        <v>696</v>
      </c>
      <c r="L459" s="151"/>
    </row>
    <row r="460" spans="1:12" hidden="1">
      <c r="A460" s="213">
        <v>30383059</v>
      </c>
      <c r="B460" s="151" t="s">
        <v>785</v>
      </c>
      <c r="C460" s="151" t="s">
        <v>729</v>
      </c>
      <c r="D460" s="151" t="s">
        <v>640</v>
      </c>
      <c r="E460" s="151" t="s">
        <v>528</v>
      </c>
      <c r="F460" s="213">
        <v>415</v>
      </c>
      <c r="G460" s="151">
        <v>29</v>
      </c>
      <c r="H460" s="151">
        <v>22</v>
      </c>
      <c r="I460" s="151">
        <v>638</v>
      </c>
      <c r="J460" s="151">
        <v>24</v>
      </c>
      <c r="K460" s="151">
        <v>696</v>
      </c>
      <c r="L460" s="151"/>
    </row>
    <row r="461" spans="1:12" hidden="1">
      <c r="A461" s="213">
        <v>30383060</v>
      </c>
      <c r="B461" s="151" t="s">
        <v>785</v>
      </c>
      <c r="C461" s="151" t="s">
        <v>729</v>
      </c>
      <c r="D461" s="151" t="s">
        <v>640</v>
      </c>
      <c r="E461" s="151" t="s">
        <v>528</v>
      </c>
      <c r="F461" s="213">
        <v>420</v>
      </c>
      <c r="G461" s="151">
        <v>29</v>
      </c>
      <c r="H461" s="151">
        <v>22</v>
      </c>
      <c r="I461" s="151">
        <v>638</v>
      </c>
      <c r="J461" s="151">
        <v>24</v>
      </c>
      <c r="K461" s="151">
        <v>696</v>
      </c>
      <c r="L461" s="151"/>
    </row>
    <row r="462" spans="1:12" hidden="1">
      <c r="A462" s="213">
        <v>30383360</v>
      </c>
      <c r="B462" s="151" t="s">
        <v>786</v>
      </c>
      <c r="C462" s="151" t="s">
        <v>729</v>
      </c>
      <c r="D462" s="151" t="s">
        <v>640</v>
      </c>
      <c r="E462" s="151" t="s">
        <v>528</v>
      </c>
      <c r="F462" s="213">
        <v>420</v>
      </c>
      <c r="G462" s="151">
        <v>29</v>
      </c>
      <c r="H462" s="151">
        <v>22</v>
      </c>
      <c r="I462" s="151">
        <v>638</v>
      </c>
      <c r="J462" s="151">
        <v>24</v>
      </c>
      <c r="K462" s="151">
        <v>696</v>
      </c>
      <c r="L462" s="151"/>
    </row>
    <row r="463" spans="1:12" hidden="1">
      <c r="A463" s="213">
        <v>12004236</v>
      </c>
      <c r="B463" s="151" t="s">
        <v>732</v>
      </c>
      <c r="C463" s="151" t="s">
        <v>729</v>
      </c>
      <c r="D463" s="151" t="s">
        <v>640</v>
      </c>
      <c r="E463" s="151" t="s">
        <v>528</v>
      </c>
      <c r="F463" s="213">
        <v>420</v>
      </c>
      <c r="G463" s="151">
        <v>29</v>
      </c>
      <c r="H463" s="151">
        <v>22</v>
      </c>
      <c r="I463" s="151">
        <v>638</v>
      </c>
      <c r="J463" s="151">
        <v>24</v>
      </c>
      <c r="K463" s="151">
        <v>696</v>
      </c>
      <c r="L463" s="151"/>
    </row>
    <row r="464" spans="1:12" hidden="1">
      <c r="A464" s="213">
        <v>12004237</v>
      </c>
      <c r="B464" s="151" t="s">
        <v>732</v>
      </c>
      <c r="C464" s="151" t="s">
        <v>729</v>
      </c>
      <c r="D464" s="151" t="s">
        <v>640</v>
      </c>
      <c r="E464" s="151" t="s">
        <v>528</v>
      </c>
      <c r="F464" s="213">
        <v>415</v>
      </c>
      <c r="G464" s="151">
        <v>29</v>
      </c>
      <c r="H464" s="151">
        <v>22</v>
      </c>
      <c r="I464" s="151">
        <v>638</v>
      </c>
      <c r="J464" s="151">
        <v>24</v>
      </c>
      <c r="K464" s="151">
        <v>696</v>
      </c>
      <c r="L464" s="151"/>
    </row>
    <row r="465" spans="1:12" hidden="1">
      <c r="A465" s="213">
        <v>12005803</v>
      </c>
      <c r="B465" s="151" t="s">
        <v>787</v>
      </c>
      <c r="C465" s="151" t="s">
        <v>729</v>
      </c>
      <c r="D465" s="151" t="s">
        <v>640</v>
      </c>
      <c r="E465" s="151" t="s">
        <v>528</v>
      </c>
      <c r="F465" s="213">
        <v>430</v>
      </c>
      <c r="G465" s="223">
        <v>30</v>
      </c>
      <c r="H465" s="223">
        <v>22</v>
      </c>
      <c r="I465" s="223">
        <v>660</v>
      </c>
      <c r="J465" s="223">
        <v>24</v>
      </c>
      <c r="K465" s="223">
        <v>720</v>
      </c>
      <c r="L465" s="151"/>
    </row>
    <row r="466" spans="1:12" hidden="1">
      <c r="A466" s="213">
        <v>12002651</v>
      </c>
      <c r="B466" s="151" t="s">
        <v>788</v>
      </c>
      <c r="C466" s="151" t="s">
        <v>639</v>
      </c>
      <c r="D466" s="151" t="s">
        <v>640</v>
      </c>
      <c r="E466" s="151" t="s">
        <v>528</v>
      </c>
      <c r="F466" s="213">
        <v>395</v>
      </c>
      <c r="G466" s="151">
        <v>29</v>
      </c>
      <c r="H466" s="151">
        <v>22</v>
      </c>
      <c r="I466" s="151">
        <v>638</v>
      </c>
      <c r="J466" s="151">
        <v>26</v>
      </c>
      <c r="K466" s="151">
        <v>754</v>
      </c>
      <c r="L466" s="151"/>
    </row>
    <row r="467" spans="1:12" hidden="1">
      <c r="A467" s="213">
        <v>12002652</v>
      </c>
      <c r="B467" s="151" t="s">
        <v>789</v>
      </c>
      <c r="C467" s="151" t="s">
        <v>639</v>
      </c>
      <c r="D467" s="151" t="s">
        <v>640</v>
      </c>
      <c r="E467" s="151" t="s">
        <v>528</v>
      </c>
      <c r="F467" s="213">
        <v>390</v>
      </c>
      <c r="G467" s="151">
        <v>29</v>
      </c>
      <c r="H467" s="151">
        <v>22</v>
      </c>
      <c r="I467" s="151">
        <v>638</v>
      </c>
      <c r="J467" s="151">
        <v>26</v>
      </c>
      <c r="K467" s="151">
        <v>754</v>
      </c>
      <c r="L467" s="151"/>
    </row>
    <row r="468" spans="1:12" hidden="1">
      <c r="A468" s="213">
        <v>12002920</v>
      </c>
      <c r="B468" s="151" t="s">
        <v>788</v>
      </c>
      <c r="C468" s="151" t="s">
        <v>639</v>
      </c>
      <c r="D468" s="151" t="s">
        <v>640</v>
      </c>
      <c r="E468" s="151" t="s">
        <v>528</v>
      </c>
      <c r="F468" s="213">
        <v>395</v>
      </c>
      <c r="G468" s="151">
        <v>29</v>
      </c>
      <c r="H468" s="151">
        <v>22</v>
      </c>
      <c r="I468" s="151">
        <v>638</v>
      </c>
      <c r="J468" s="151">
        <v>26</v>
      </c>
      <c r="K468" s="151">
        <v>754</v>
      </c>
      <c r="L468" s="151"/>
    </row>
    <row r="469" spans="1:12" hidden="1">
      <c r="A469" s="213">
        <v>12002972</v>
      </c>
      <c r="B469" s="151" t="s">
        <v>788</v>
      </c>
      <c r="C469" s="151" t="s">
        <v>639</v>
      </c>
      <c r="D469" s="151" t="s">
        <v>640</v>
      </c>
      <c r="E469" s="151" t="s">
        <v>528</v>
      </c>
      <c r="F469" s="213">
        <v>395</v>
      </c>
      <c r="G469" s="151">
        <v>29</v>
      </c>
      <c r="H469" s="151">
        <v>22</v>
      </c>
      <c r="I469" s="151">
        <v>638</v>
      </c>
      <c r="J469" s="151">
        <v>26</v>
      </c>
      <c r="K469" s="151">
        <v>754</v>
      </c>
      <c r="L469" s="151"/>
    </row>
    <row r="470" spans="1:12" hidden="1">
      <c r="A470" s="213">
        <v>12002973</v>
      </c>
      <c r="B470" s="151" t="s">
        <v>790</v>
      </c>
      <c r="C470" s="151" t="s">
        <v>639</v>
      </c>
      <c r="D470" s="151" t="s">
        <v>640</v>
      </c>
      <c r="E470" s="151" t="s">
        <v>528</v>
      </c>
      <c r="F470" s="213">
        <v>400</v>
      </c>
      <c r="G470" s="151">
        <v>29</v>
      </c>
      <c r="H470" s="151">
        <v>22</v>
      </c>
      <c r="I470" s="151">
        <v>638</v>
      </c>
      <c r="J470" s="151">
        <v>26</v>
      </c>
      <c r="K470" s="151">
        <v>754</v>
      </c>
      <c r="L470" s="151"/>
    </row>
    <row r="471" spans="1:12" hidden="1">
      <c r="A471" s="213">
        <v>12002919</v>
      </c>
      <c r="B471" s="151" t="s">
        <v>790</v>
      </c>
      <c r="C471" s="151" t="s">
        <v>639</v>
      </c>
      <c r="D471" s="151" t="s">
        <v>640</v>
      </c>
      <c r="E471" s="151" t="s">
        <v>528</v>
      </c>
      <c r="F471" s="213">
        <v>400</v>
      </c>
      <c r="G471" s="151">
        <v>29</v>
      </c>
      <c r="H471" s="151">
        <v>22</v>
      </c>
      <c r="I471" s="151">
        <v>638</v>
      </c>
      <c r="J471" s="151">
        <v>26</v>
      </c>
      <c r="K471" s="151">
        <v>754</v>
      </c>
      <c r="L471" s="151"/>
    </row>
    <row r="472" spans="1:12" hidden="1">
      <c r="A472" s="213">
        <v>12002918</v>
      </c>
      <c r="B472" s="151" t="s">
        <v>791</v>
      </c>
      <c r="C472" s="151" t="s">
        <v>639</v>
      </c>
      <c r="D472" s="151" t="s">
        <v>640</v>
      </c>
      <c r="E472" s="151" t="s">
        <v>528</v>
      </c>
      <c r="F472" s="213">
        <v>405</v>
      </c>
      <c r="G472" s="151">
        <v>29</v>
      </c>
      <c r="H472" s="151">
        <v>22</v>
      </c>
      <c r="I472" s="151">
        <v>638</v>
      </c>
      <c r="J472" s="151">
        <v>26</v>
      </c>
      <c r="K472" s="151">
        <v>754</v>
      </c>
      <c r="L472" s="151"/>
    </row>
    <row r="473" spans="1:12" hidden="1">
      <c r="A473" s="213">
        <v>12002650</v>
      </c>
      <c r="B473" s="151" t="s">
        <v>790</v>
      </c>
      <c r="C473" s="151" t="s">
        <v>639</v>
      </c>
      <c r="D473" s="151" t="s">
        <v>640</v>
      </c>
      <c r="E473" s="151" t="s">
        <v>528</v>
      </c>
      <c r="F473" s="213">
        <v>400</v>
      </c>
      <c r="G473" s="151">
        <v>29</v>
      </c>
      <c r="H473" s="151">
        <v>22</v>
      </c>
      <c r="I473" s="151">
        <v>638</v>
      </c>
      <c r="J473" s="151">
        <v>26</v>
      </c>
      <c r="K473" s="151">
        <v>754</v>
      </c>
      <c r="L473" s="151"/>
    </row>
    <row r="474" spans="1:12" hidden="1">
      <c r="A474" s="213">
        <v>12002921</v>
      </c>
      <c r="B474" s="151" t="s">
        <v>789</v>
      </c>
      <c r="C474" s="151" t="s">
        <v>639</v>
      </c>
      <c r="D474" s="151" t="s">
        <v>640</v>
      </c>
      <c r="E474" s="151" t="s">
        <v>528</v>
      </c>
      <c r="F474" s="213">
        <v>390</v>
      </c>
      <c r="G474" s="151">
        <v>29</v>
      </c>
      <c r="H474" s="151">
        <v>22</v>
      </c>
      <c r="I474" s="151">
        <v>638</v>
      </c>
      <c r="J474" s="151">
        <v>26</v>
      </c>
      <c r="K474" s="151">
        <v>754</v>
      </c>
      <c r="L474" s="151"/>
    </row>
    <row r="475" spans="1:12" hidden="1">
      <c r="A475" s="213">
        <v>12002922</v>
      </c>
      <c r="B475" s="151" t="s">
        <v>792</v>
      </c>
      <c r="C475" s="151" t="s">
        <v>639</v>
      </c>
      <c r="D475" s="151" t="s">
        <v>640</v>
      </c>
      <c r="E475" s="151" t="s">
        <v>528</v>
      </c>
      <c r="F475" s="213">
        <v>385</v>
      </c>
      <c r="G475" s="151">
        <v>29</v>
      </c>
      <c r="H475" s="151">
        <v>22</v>
      </c>
      <c r="I475" s="151">
        <v>638</v>
      </c>
      <c r="J475" s="151">
        <v>26</v>
      </c>
      <c r="K475" s="151">
        <v>754</v>
      </c>
      <c r="L475" s="151"/>
    </row>
    <row r="476" spans="1:12" hidden="1">
      <c r="A476" s="213">
        <v>12002679</v>
      </c>
      <c r="B476" s="151" t="s">
        <v>793</v>
      </c>
      <c r="C476" s="151" t="s">
        <v>771</v>
      </c>
      <c r="D476" s="151" t="s">
        <v>640</v>
      </c>
      <c r="E476" s="151" t="s">
        <v>528</v>
      </c>
      <c r="F476" s="213">
        <v>400</v>
      </c>
      <c r="G476" s="151">
        <v>29</v>
      </c>
      <c r="H476" s="151">
        <v>22</v>
      </c>
      <c r="I476" s="151">
        <v>638</v>
      </c>
      <c r="J476" s="151">
        <v>26</v>
      </c>
      <c r="K476" s="151">
        <v>754</v>
      </c>
      <c r="L476" s="151"/>
    </row>
    <row r="477" spans="1:12" hidden="1">
      <c r="A477" s="213">
        <v>12004928</v>
      </c>
      <c r="B477" s="151" t="s">
        <v>793</v>
      </c>
      <c r="C477" s="151" t="s">
        <v>771</v>
      </c>
      <c r="D477" s="151" t="s">
        <v>640</v>
      </c>
      <c r="E477" s="151" t="s">
        <v>528</v>
      </c>
      <c r="F477" s="213">
        <v>400</v>
      </c>
      <c r="G477" s="151">
        <v>29</v>
      </c>
      <c r="H477" s="151">
        <v>22</v>
      </c>
      <c r="I477" s="151">
        <v>638</v>
      </c>
      <c r="J477" s="151">
        <v>26</v>
      </c>
      <c r="K477" s="151">
        <v>754</v>
      </c>
      <c r="L477" s="151"/>
    </row>
    <row r="478" spans="1:12" hidden="1">
      <c r="A478" s="213">
        <v>12004927</v>
      </c>
      <c r="B478" s="151" t="s">
        <v>794</v>
      </c>
      <c r="C478" s="151" t="s">
        <v>771</v>
      </c>
      <c r="D478" s="151" t="s">
        <v>640</v>
      </c>
      <c r="E478" s="151" t="s">
        <v>528</v>
      </c>
      <c r="F478" s="213">
        <v>395</v>
      </c>
      <c r="G478" s="151">
        <v>29</v>
      </c>
      <c r="H478" s="151">
        <v>22</v>
      </c>
      <c r="I478" s="151">
        <v>638</v>
      </c>
      <c r="J478" s="151">
        <v>26</v>
      </c>
      <c r="K478" s="151">
        <v>754</v>
      </c>
      <c r="L478" s="151"/>
    </row>
    <row r="479" spans="1:12" hidden="1">
      <c r="A479" s="213">
        <v>12004285</v>
      </c>
      <c r="B479" s="151" t="s">
        <v>794</v>
      </c>
      <c r="C479" s="151" t="s">
        <v>771</v>
      </c>
      <c r="D479" s="151" t="s">
        <v>640</v>
      </c>
      <c r="E479" s="151" t="s">
        <v>528</v>
      </c>
      <c r="F479" s="213">
        <v>395</v>
      </c>
      <c r="G479" s="151">
        <v>29</v>
      </c>
      <c r="H479" s="151">
        <v>22</v>
      </c>
      <c r="I479" s="151">
        <v>638</v>
      </c>
      <c r="J479" s="151">
        <v>26</v>
      </c>
      <c r="K479" s="151">
        <v>754</v>
      </c>
      <c r="L479" s="151"/>
    </row>
    <row r="480" spans="1:12" hidden="1">
      <c r="A480" s="213">
        <v>12004284</v>
      </c>
      <c r="B480" s="151" t="s">
        <v>793</v>
      </c>
      <c r="C480" s="151" t="s">
        <v>771</v>
      </c>
      <c r="D480" s="151" t="s">
        <v>640</v>
      </c>
      <c r="E480" s="151" t="s">
        <v>528</v>
      </c>
      <c r="F480" s="213">
        <v>400</v>
      </c>
      <c r="G480" s="151">
        <v>29</v>
      </c>
      <c r="H480" s="151">
        <v>22</v>
      </c>
      <c r="I480" s="151">
        <v>638</v>
      </c>
      <c r="J480" s="151">
        <v>26</v>
      </c>
      <c r="K480" s="151">
        <v>754</v>
      </c>
      <c r="L480" s="151"/>
    </row>
    <row r="481" spans="1:12" hidden="1">
      <c r="A481" s="213">
        <v>12004283</v>
      </c>
      <c r="B481" s="151" t="s">
        <v>795</v>
      </c>
      <c r="C481" s="151" t="s">
        <v>771</v>
      </c>
      <c r="D481" s="151" t="s">
        <v>640</v>
      </c>
      <c r="E481" s="151" t="s">
        <v>528</v>
      </c>
      <c r="F481" s="213">
        <v>405</v>
      </c>
      <c r="G481" s="151">
        <v>29</v>
      </c>
      <c r="H481" s="151">
        <v>22</v>
      </c>
      <c r="I481" s="151">
        <v>638</v>
      </c>
      <c r="J481" s="151">
        <v>26</v>
      </c>
      <c r="K481" s="151">
        <v>754</v>
      </c>
      <c r="L481" s="151"/>
    </row>
    <row r="482" spans="1:12" hidden="1">
      <c r="A482" s="215">
        <v>12002678</v>
      </c>
      <c r="B482" t="s">
        <v>796</v>
      </c>
      <c r="C482" s="151" t="s">
        <v>771</v>
      </c>
      <c r="D482" s="151" t="s">
        <v>640</v>
      </c>
      <c r="E482" s="151" t="s">
        <v>528</v>
      </c>
      <c r="F482" s="213">
        <v>405</v>
      </c>
      <c r="G482" s="151">
        <v>29</v>
      </c>
      <c r="H482" s="151">
        <v>22</v>
      </c>
      <c r="I482" s="151">
        <v>638</v>
      </c>
      <c r="J482" s="151">
        <v>26</v>
      </c>
      <c r="K482" s="151">
        <v>754</v>
      </c>
      <c r="L482" s="151"/>
    </row>
    <row r="483" spans="1:12" hidden="1">
      <c r="A483" s="213">
        <v>12004273</v>
      </c>
      <c r="B483" s="151" t="s">
        <v>795</v>
      </c>
      <c r="C483" s="151" t="s">
        <v>771</v>
      </c>
      <c r="D483" s="151" t="s">
        <v>640</v>
      </c>
      <c r="E483" s="151" t="s">
        <v>528</v>
      </c>
      <c r="F483" s="213">
        <v>405</v>
      </c>
      <c r="G483" s="151">
        <v>29</v>
      </c>
      <c r="H483" s="151">
        <v>22</v>
      </c>
      <c r="I483" s="151">
        <v>638</v>
      </c>
      <c r="J483" s="151">
        <v>26</v>
      </c>
      <c r="K483" s="151">
        <v>754</v>
      </c>
      <c r="L483" s="151"/>
    </row>
    <row r="484" spans="1:12" hidden="1">
      <c r="A484" s="213">
        <v>12004274</v>
      </c>
      <c r="B484" s="151" t="s">
        <v>793</v>
      </c>
      <c r="C484" s="151" t="s">
        <v>771</v>
      </c>
      <c r="D484" s="151" t="s">
        <v>640</v>
      </c>
      <c r="E484" s="151" t="s">
        <v>528</v>
      </c>
      <c r="F484" s="213">
        <v>400</v>
      </c>
      <c r="G484" s="151">
        <v>29</v>
      </c>
      <c r="H484" s="151">
        <v>22</v>
      </c>
      <c r="I484" s="151">
        <v>638</v>
      </c>
      <c r="J484" s="151">
        <v>26</v>
      </c>
      <c r="K484" s="151">
        <v>754</v>
      </c>
      <c r="L484" s="151"/>
    </row>
    <row r="485" spans="1:12" hidden="1">
      <c r="A485" s="213">
        <v>12004275</v>
      </c>
      <c r="B485" s="151" t="s">
        <v>794</v>
      </c>
      <c r="C485" s="151" t="s">
        <v>771</v>
      </c>
      <c r="D485" s="151" t="s">
        <v>640</v>
      </c>
      <c r="E485" s="151" t="s">
        <v>528</v>
      </c>
      <c r="F485" s="213">
        <v>395</v>
      </c>
      <c r="G485" s="151">
        <v>29</v>
      </c>
      <c r="H485" s="151">
        <v>22</v>
      </c>
      <c r="I485" s="151">
        <v>638</v>
      </c>
      <c r="J485" s="151">
        <v>26</v>
      </c>
      <c r="K485" s="151">
        <v>754</v>
      </c>
      <c r="L485" s="151"/>
    </row>
    <row r="486" spans="1:12" hidden="1">
      <c r="A486" s="213">
        <v>12004082</v>
      </c>
      <c r="B486" s="151" t="s">
        <v>794</v>
      </c>
      <c r="C486" s="151" t="s">
        <v>771</v>
      </c>
      <c r="D486" s="151" t="s">
        <v>640</v>
      </c>
      <c r="E486" s="151" t="s">
        <v>528</v>
      </c>
      <c r="F486" s="213">
        <v>395</v>
      </c>
      <c r="G486" s="151">
        <v>29</v>
      </c>
      <c r="H486" s="151">
        <v>22</v>
      </c>
      <c r="I486" s="151">
        <v>638</v>
      </c>
      <c r="J486" s="151">
        <v>26</v>
      </c>
      <c r="K486" s="151">
        <v>754</v>
      </c>
      <c r="L486" s="151"/>
    </row>
    <row r="487" spans="1:12" hidden="1">
      <c r="A487" s="213">
        <v>12002680</v>
      </c>
      <c r="B487" s="151" t="s">
        <v>794</v>
      </c>
      <c r="C487" s="151" t="s">
        <v>771</v>
      </c>
      <c r="D487" s="151" t="s">
        <v>640</v>
      </c>
      <c r="E487" s="151" t="s">
        <v>528</v>
      </c>
      <c r="F487" s="213">
        <v>395</v>
      </c>
      <c r="G487" s="151">
        <v>29</v>
      </c>
      <c r="H487" s="151">
        <v>22</v>
      </c>
      <c r="I487" s="151">
        <v>638</v>
      </c>
      <c r="J487" s="151">
        <v>26</v>
      </c>
      <c r="K487" s="151">
        <v>754</v>
      </c>
      <c r="L487" s="151"/>
    </row>
    <row r="488" spans="1:12" hidden="1">
      <c r="A488" s="224">
        <v>12005804</v>
      </c>
      <c r="B488" s="224" t="s">
        <v>797</v>
      </c>
      <c r="C488" s="151" t="s">
        <v>729</v>
      </c>
      <c r="D488" s="213" t="s">
        <v>640</v>
      </c>
      <c r="E488" s="213" t="s">
        <v>528</v>
      </c>
      <c r="F488" s="213">
        <v>425</v>
      </c>
      <c r="G488" s="223">
        <v>30</v>
      </c>
      <c r="H488" s="225" t="s">
        <v>798</v>
      </c>
      <c r="I488" s="225" t="s">
        <v>799</v>
      </c>
      <c r="J488" s="225" t="s">
        <v>800</v>
      </c>
      <c r="K488" s="225" t="s">
        <v>801</v>
      </c>
      <c r="L488" s="151"/>
    </row>
    <row r="489" spans="1:12" hidden="1">
      <c r="A489" s="224">
        <v>12005805</v>
      </c>
      <c r="B489" s="224" t="s">
        <v>797</v>
      </c>
      <c r="C489" s="151" t="s">
        <v>729</v>
      </c>
      <c r="D489" s="213" t="s">
        <v>640</v>
      </c>
      <c r="E489" s="213" t="s">
        <v>528</v>
      </c>
      <c r="F489" s="213">
        <v>420</v>
      </c>
      <c r="G489" s="225" t="s">
        <v>802</v>
      </c>
      <c r="H489" s="225" t="s">
        <v>798</v>
      </c>
      <c r="I489" s="225" t="s">
        <v>799</v>
      </c>
      <c r="J489" s="225" t="s">
        <v>800</v>
      </c>
      <c r="K489" s="225" t="s">
        <v>801</v>
      </c>
      <c r="L489" s="151"/>
    </row>
    <row r="490" spans="1:12" hidden="1">
      <c r="A490" s="226">
        <v>30370008</v>
      </c>
      <c r="B490" s="227" t="s">
        <v>803</v>
      </c>
      <c r="C490" s="151" t="s">
        <v>804</v>
      </c>
      <c r="D490" s="227" t="s">
        <v>528</v>
      </c>
      <c r="E490" s="227" t="s">
        <v>528</v>
      </c>
      <c r="F490" s="226">
        <v>335</v>
      </c>
      <c r="G490" s="227">
        <v>32</v>
      </c>
      <c r="H490" s="227">
        <v>26</v>
      </c>
      <c r="I490" s="227">
        <v>832</v>
      </c>
      <c r="J490" s="227">
        <v>30</v>
      </c>
      <c r="K490" s="227">
        <v>960</v>
      </c>
      <c r="L490" s="151"/>
    </row>
    <row r="491" spans="1:12" hidden="1">
      <c r="A491" s="213">
        <v>30370009</v>
      </c>
      <c r="B491" s="151" t="s">
        <v>805</v>
      </c>
      <c r="C491" s="151" t="s">
        <v>804</v>
      </c>
      <c r="D491" s="151" t="s">
        <v>528</v>
      </c>
      <c r="E491" s="151" t="s">
        <v>528</v>
      </c>
      <c r="F491" s="213">
        <v>340</v>
      </c>
      <c r="G491" s="151">
        <v>32</v>
      </c>
      <c r="H491" s="151">
        <v>26</v>
      </c>
      <c r="I491" s="151">
        <v>832</v>
      </c>
      <c r="J491" s="151">
        <v>30</v>
      </c>
      <c r="K491" s="151">
        <v>960</v>
      </c>
      <c r="L491" s="151"/>
    </row>
    <row r="492" spans="1:12" hidden="1">
      <c r="A492" s="213">
        <v>30370010</v>
      </c>
      <c r="B492" s="151" t="s">
        <v>806</v>
      </c>
      <c r="C492" s="151" t="s">
        <v>804</v>
      </c>
      <c r="D492" s="151" t="s">
        <v>528</v>
      </c>
      <c r="E492" s="151" t="s">
        <v>528</v>
      </c>
      <c r="F492" s="213">
        <v>345</v>
      </c>
      <c r="G492" s="151">
        <v>32</v>
      </c>
      <c r="H492" s="151">
        <v>26</v>
      </c>
      <c r="I492" s="151">
        <v>832</v>
      </c>
      <c r="J492" s="151">
        <v>30</v>
      </c>
      <c r="K492" s="151">
        <v>960</v>
      </c>
      <c r="L492" s="151"/>
    </row>
    <row r="493" spans="1:12" hidden="1">
      <c r="A493" s="213">
        <v>12005041</v>
      </c>
      <c r="B493" s="151" t="s">
        <v>807</v>
      </c>
      <c r="C493" s="151" t="s">
        <v>808</v>
      </c>
      <c r="D493" s="151" t="s">
        <v>528</v>
      </c>
      <c r="E493" s="151" t="s">
        <v>528</v>
      </c>
      <c r="F493" s="213">
        <v>350</v>
      </c>
      <c r="G493" s="151">
        <v>32</v>
      </c>
      <c r="H493" s="151">
        <v>26</v>
      </c>
      <c r="I493" s="151">
        <v>832</v>
      </c>
      <c r="J493" s="151">
        <v>28</v>
      </c>
      <c r="K493" s="151">
        <v>896</v>
      </c>
      <c r="L493" s="151"/>
    </row>
    <row r="494" spans="1:12" hidden="1">
      <c r="A494" s="213">
        <v>12005040</v>
      </c>
      <c r="B494" s="151" t="s">
        <v>807</v>
      </c>
      <c r="C494" s="151" t="s">
        <v>808</v>
      </c>
      <c r="D494" s="151" t="s">
        <v>528</v>
      </c>
      <c r="E494" s="151" t="s">
        <v>528</v>
      </c>
      <c r="F494" s="213">
        <v>355</v>
      </c>
      <c r="G494" s="151">
        <v>32</v>
      </c>
      <c r="H494" s="151">
        <v>26</v>
      </c>
      <c r="I494" s="151">
        <v>832</v>
      </c>
      <c r="J494" s="151">
        <v>28</v>
      </c>
      <c r="K494" s="151">
        <v>896</v>
      </c>
      <c r="L494" s="151"/>
    </row>
    <row r="495" spans="1:12" hidden="1">
      <c r="A495" s="213" t="s">
        <v>809</v>
      </c>
      <c r="B495" s="220" t="s">
        <v>810</v>
      </c>
      <c r="C495" s="220" t="s">
        <v>811</v>
      </c>
      <c r="D495" s="151" t="s">
        <v>528</v>
      </c>
      <c r="E495" s="151" t="s">
        <v>528</v>
      </c>
      <c r="F495" s="213">
        <v>350</v>
      </c>
      <c r="G495" s="151">
        <v>32</v>
      </c>
      <c r="H495" s="151">
        <v>26</v>
      </c>
      <c r="I495" s="151">
        <v>832</v>
      </c>
      <c r="J495" s="151">
        <v>28</v>
      </c>
      <c r="K495" s="151">
        <v>896</v>
      </c>
      <c r="L495" s="151"/>
    </row>
    <row r="496" spans="1:12" hidden="1">
      <c r="A496" s="213" t="s">
        <v>812</v>
      </c>
      <c r="B496" s="220" t="s">
        <v>810</v>
      </c>
      <c r="C496" s="220" t="s">
        <v>811</v>
      </c>
      <c r="D496" s="151" t="s">
        <v>528</v>
      </c>
      <c r="E496" s="151" t="s">
        <v>528</v>
      </c>
      <c r="F496" s="213">
        <v>355</v>
      </c>
      <c r="G496" s="151">
        <v>32</v>
      </c>
      <c r="H496" s="151">
        <v>26</v>
      </c>
      <c r="I496" s="151">
        <v>832</v>
      </c>
      <c r="J496" s="151">
        <v>28</v>
      </c>
      <c r="K496" s="151">
        <v>896</v>
      </c>
      <c r="L496" s="151"/>
    </row>
    <row r="497" spans="1:12" hidden="1">
      <c r="A497" s="151" t="s">
        <v>813</v>
      </c>
      <c r="B497" s="220" t="s">
        <v>810</v>
      </c>
      <c r="C497" s="220" t="s">
        <v>811</v>
      </c>
      <c r="D497" s="151" t="s">
        <v>528</v>
      </c>
      <c r="E497" s="151" t="s">
        <v>528</v>
      </c>
      <c r="F497" s="213">
        <v>350</v>
      </c>
      <c r="G497" s="151">
        <v>32</v>
      </c>
      <c r="H497" s="151">
        <v>26</v>
      </c>
      <c r="I497" s="151">
        <v>832</v>
      </c>
      <c r="J497" s="151">
        <v>28</v>
      </c>
      <c r="K497" s="151">
        <v>896</v>
      </c>
      <c r="L497" s="151"/>
    </row>
    <row r="498" spans="1:12" hidden="1">
      <c r="A498" s="223" t="s">
        <v>814</v>
      </c>
      <c r="B498" s="220" t="s">
        <v>810</v>
      </c>
      <c r="C498" s="220" t="s">
        <v>811</v>
      </c>
      <c r="D498" s="151" t="s">
        <v>528</v>
      </c>
      <c r="E498" s="151" t="s">
        <v>528</v>
      </c>
      <c r="F498" s="213">
        <v>355</v>
      </c>
      <c r="G498" s="151">
        <v>32</v>
      </c>
      <c r="H498" s="151">
        <v>26</v>
      </c>
      <c r="I498" s="151">
        <v>832</v>
      </c>
      <c r="J498" s="151">
        <v>28</v>
      </c>
      <c r="K498" s="151">
        <v>896</v>
      </c>
      <c r="L498" s="151"/>
    </row>
    <row r="499" spans="1:12" hidden="1">
      <c r="A499" s="228">
        <v>661140407200021</v>
      </c>
      <c r="B499" s="151" t="s">
        <v>815</v>
      </c>
      <c r="C499" s="151" t="s">
        <v>815</v>
      </c>
      <c r="D499" s="151" t="s">
        <v>816</v>
      </c>
      <c r="E499" s="151" t="s">
        <v>816</v>
      </c>
      <c r="F499" s="213">
        <v>250</v>
      </c>
      <c r="G499" s="151"/>
      <c r="H499" s="151"/>
      <c r="I499" s="151">
        <v>0</v>
      </c>
      <c r="J499" s="151"/>
      <c r="K499" s="151">
        <v>0</v>
      </c>
      <c r="L499" s="151"/>
    </row>
    <row r="500" spans="1:12" hidden="1">
      <c r="A500" s="228">
        <v>661180407200021</v>
      </c>
      <c r="B500" s="151" t="s">
        <v>817</v>
      </c>
      <c r="C500" s="151" t="s">
        <v>817</v>
      </c>
      <c r="D500" s="151" t="s">
        <v>816</v>
      </c>
      <c r="E500" s="151" t="s">
        <v>816</v>
      </c>
      <c r="F500" s="213">
        <v>245</v>
      </c>
      <c r="G500" s="151"/>
      <c r="H500" s="151"/>
      <c r="I500" s="151">
        <v>0</v>
      </c>
      <c r="J500" s="151"/>
      <c r="K500" s="151">
        <v>0</v>
      </c>
      <c r="L500" s="151"/>
    </row>
    <row r="501" spans="1:12" hidden="1">
      <c r="A501" s="228">
        <v>661500407200021</v>
      </c>
      <c r="B501" s="151" t="s">
        <v>818</v>
      </c>
      <c r="C501" s="151" t="s">
        <v>818</v>
      </c>
      <c r="D501" s="151" t="s">
        <v>816</v>
      </c>
      <c r="E501" s="151" t="s">
        <v>816</v>
      </c>
      <c r="F501" s="213">
        <v>255</v>
      </c>
      <c r="G501" s="151"/>
      <c r="H501" s="151"/>
      <c r="I501" s="151">
        <v>0</v>
      </c>
      <c r="J501" s="151"/>
      <c r="K501" s="151">
        <v>0</v>
      </c>
      <c r="L501" s="151"/>
    </row>
    <row r="502" spans="1:12" hidden="1">
      <c r="A502" s="228">
        <v>661520407200021</v>
      </c>
      <c r="B502" s="151" t="s">
        <v>819</v>
      </c>
      <c r="C502" s="151" t="s">
        <v>819</v>
      </c>
      <c r="D502" s="151" t="s">
        <v>816</v>
      </c>
      <c r="E502" s="151" t="s">
        <v>816</v>
      </c>
      <c r="F502" s="213">
        <v>255</v>
      </c>
      <c r="G502" s="151"/>
      <c r="H502" s="151"/>
      <c r="I502" s="151">
        <v>0</v>
      </c>
      <c r="J502" s="151"/>
      <c r="K502" s="151">
        <v>0</v>
      </c>
      <c r="L502" s="151"/>
    </row>
    <row r="503" spans="1:12" hidden="1">
      <c r="A503" s="228">
        <v>661580411209016</v>
      </c>
      <c r="B503" s="151" t="s">
        <v>820</v>
      </c>
      <c r="C503" s="151" t="s">
        <v>821</v>
      </c>
      <c r="D503" s="151" t="s">
        <v>564</v>
      </c>
      <c r="E503" s="151" t="s">
        <v>565</v>
      </c>
      <c r="F503" s="213">
        <v>310</v>
      </c>
      <c r="G503" s="151"/>
      <c r="H503" s="151"/>
      <c r="I503" s="151">
        <v>0</v>
      </c>
      <c r="J503" s="151"/>
      <c r="K503" s="151">
        <v>0</v>
      </c>
      <c r="L503" s="151"/>
    </row>
    <row r="504" spans="1:12" hidden="1">
      <c r="A504" s="228">
        <v>661610411209006</v>
      </c>
      <c r="B504" s="151" t="s">
        <v>822</v>
      </c>
      <c r="C504" s="151" t="s">
        <v>823</v>
      </c>
      <c r="D504" s="151" t="s">
        <v>573</v>
      </c>
      <c r="E504" s="151" t="s">
        <v>565</v>
      </c>
      <c r="F504" s="213">
        <v>260</v>
      </c>
      <c r="G504" s="151"/>
      <c r="H504" s="151"/>
      <c r="I504" s="151">
        <v>0</v>
      </c>
      <c r="J504" s="151"/>
      <c r="K504" s="151">
        <v>0</v>
      </c>
      <c r="L504" s="151"/>
    </row>
    <row r="505" spans="1:12" hidden="1">
      <c r="A505" s="228">
        <v>661610411209007</v>
      </c>
      <c r="B505" s="151" t="s">
        <v>824</v>
      </c>
      <c r="C505" s="151" t="s">
        <v>823</v>
      </c>
      <c r="D505" s="151" t="s">
        <v>573</v>
      </c>
      <c r="E505" s="151" t="s">
        <v>565</v>
      </c>
      <c r="F505" s="213">
        <v>265</v>
      </c>
      <c r="G505" s="151"/>
      <c r="H505" s="151"/>
      <c r="I505" s="151">
        <v>0</v>
      </c>
      <c r="J505" s="151"/>
      <c r="K505" s="151">
        <v>0</v>
      </c>
      <c r="L505" s="151"/>
    </row>
    <row r="506" spans="1:12" hidden="1">
      <c r="A506" s="228">
        <v>661680414200021</v>
      </c>
      <c r="B506" s="151" t="s">
        <v>825</v>
      </c>
      <c r="C506" s="151" t="s">
        <v>825</v>
      </c>
      <c r="D506" s="151" t="s">
        <v>816</v>
      </c>
      <c r="E506" s="151" t="s">
        <v>816</v>
      </c>
      <c r="F506" s="213">
        <v>260</v>
      </c>
      <c r="G506" s="151"/>
      <c r="H506" s="151"/>
      <c r="I506" s="151">
        <v>0</v>
      </c>
      <c r="J506" s="151"/>
      <c r="K506" s="151">
        <v>0</v>
      </c>
      <c r="L506" s="151"/>
    </row>
    <row r="507" spans="1:12" hidden="1">
      <c r="A507" s="228">
        <v>6.9406111122713101E+17</v>
      </c>
      <c r="B507" s="151" t="s">
        <v>826</v>
      </c>
      <c r="C507" s="151" t="s">
        <v>826</v>
      </c>
      <c r="D507" s="151" t="s">
        <v>816</v>
      </c>
      <c r="E507" s="151" t="s">
        <v>816</v>
      </c>
      <c r="F507" s="213">
        <v>315</v>
      </c>
      <c r="G507" s="151"/>
      <c r="H507" s="151"/>
      <c r="I507" s="151">
        <v>0</v>
      </c>
      <c r="J507" s="151"/>
      <c r="K507" s="151">
        <v>0</v>
      </c>
      <c r="L507" s="151"/>
    </row>
    <row r="508" spans="1:12" hidden="1">
      <c r="A508" s="213" t="s">
        <v>827</v>
      </c>
      <c r="B508" s="151" t="s">
        <v>828</v>
      </c>
      <c r="C508" s="151" t="s">
        <v>828</v>
      </c>
      <c r="D508" s="151" t="s">
        <v>816</v>
      </c>
      <c r="E508" s="151" t="s">
        <v>816</v>
      </c>
      <c r="F508" s="213">
        <v>310</v>
      </c>
      <c r="G508" s="151"/>
      <c r="H508" s="151"/>
      <c r="I508" s="151">
        <v>0</v>
      </c>
      <c r="J508" s="151"/>
      <c r="K508" s="151">
        <v>0</v>
      </c>
      <c r="L508" s="151"/>
    </row>
    <row r="509" spans="1:12" hidden="1">
      <c r="A509" s="213" t="s">
        <v>829</v>
      </c>
      <c r="B509" s="151" t="s">
        <v>830</v>
      </c>
      <c r="C509" s="151" t="s">
        <v>830</v>
      </c>
      <c r="D509" s="151" t="s">
        <v>402</v>
      </c>
      <c r="E509" s="151" t="s">
        <v>390</v>
      </c>
      <c r="F509" s="213">
        <v>280</v>
      </c>
      <c r="G509" s="151">
        <v>32</v>
      </c>
      <c r="H509" s="151">
        <v>26</v>
      </c>
      <c r="I509" s="151">
        <v>832</v>
      </c>
      <c r="J509" s="151">
        <v>30</v>
      </c>
      <c r="K509" s="151">
        <v>960</v>
      </c>
      <c r="L509" s="151"/>
    </row>
    <row r="510" spans="1:12" hidden="1">
      <c r="A510" s="213" t="s">
        <v>831</v>
      </c>
      <c r="B510" s="151" t="s">
        <v>831</v>
      </c>
      <c r="C510" s="151" t="s">
        <v>831</v>
      </c>
      <c r="D510" s="151" t="s">
        <v>816</v>
      </c>
      <c r="E510" s="151" t="s">
        <v>816</v>
      </c>
      <c r="F510" s="213">
        <v>255</v>
      </c>
      <c r="G510" s="151"/>
      <c r="H510" s="151"/>
      <c r="I510" s="151">
        <v>0</v>
      </c>
      <c r="J510" s="151"/>
      <c r="K510" s="151">
        <v>0</v>
      </c>
      <c r="L510" s="151"/>
    </row>
    <row r="511" spans="1:12" hidden="1">
      <c r="A511" s="213" t="s">
        <v>832</v>
      </c>
      <c r="B511" s="151" t="s">
        <v>832</v>
      </c>
      <c r="C511" s="151" t="s">
        <v>832</v>
      </c>
      <c r="D511" s="151" t="s">
        <v>816</v>
      </c>
      <c r="E511" s="151" t="s">
        <v>816</v>
      </c>
      <c r="F511" s="213">
        <v>260</v>
      </c>
      <c r="G511" s="151"/>
      <c r="H511" s="151"/>
      <c r="I511" s="151">
        <v>0</v>
      </c>
      <c r="J511" s="151"/>
      <c r="K511" s="151">
        <v>0</v>
      </c>
      <c r="L511" s="151"/>
    </row>
    <row r="512" spans="1:12" hidden="1">
      <c r="A512" s="213" t="s">
        <v>833</v>
      </c>
      <c r="B512" s="151" t="s">
        <v>833</v>
      </c>
      <c r="C512" s="151" t="s">
        <v>833</v>
      </c>
      <c r="D512" s="151" t="s">
        <v>816</v>
      </c>
      <c r="E512" s="151" t="s">
        <v>816</v>
      </c>
      <c r="F512" s="213">
        <v>295</v>
      </c>
      <c r="G512" s="151"/>
      <c r="H512" s="151"/>
      <c r="I512" s="151">
        <v>0</v>
      </c>
      <c r="J512" s="151"/>
      <c r="K512" s="151">
        <v>0</v>
      </c>
      <c r="L512" s="151"/>
    </row>
    <row r="513" spans="1:12" hidden="1">
      <c r="A513" s="213" t="s">
        <v>834</v>
      </c>
      <c r="B513" s="151" t="s">
        <v>834</v>
      </c>
      <c r="C513" s="151" t="s">
        <v>834</v>
      </c>
      <c r="D513" s="151" t="s">
        <v>816</v>
      </c>
      <c r="E513" s="151" t="s">
        <v>816</v>
      </c>
      <c r="F513" s="213">
        <v>300</v>
      </c>
      <c r="G513" s="151"/>
      <c r="H513" s="151"/>
      <c r="I513" s="151">
        <v>0</v>
      </c>
      <c r="J513" s="151"/>
      <c r="K513" s="151">
        <v>0</v>
      </c>
      <c r="L513" s="151"/>
    </row>
    <row r="514" spans="1:12" hidden="1">
      <c r="A514" s="213" t="s">
        <v>835</v>
      </c>
      <c r="B514" s="151" t="s">
        <v>835</v>
      </c>
      <c r="C514" s="151" t="s">
        <v>835</v>
      </c>
      <c r="D514" s="151" t="s">
        <v>816</v>
      </c>
      <c r="E514" s="151" t="s">
        <v>816</v>
      </c>
      <c r="F514" s="213">
        <v>300</v>
      </c>
      <c r="G514" s="151"/>
      <c r="H514" s="151"/>
      <c r="I514" s="151">
        <v>0</v>
      </c>
      <c r="J514" s="151"/>
      <c r="K514" s="151">
        <v>0</v>
      </c>
      <c r="L514" s="151"/>
    </row>
    <row r="515" spans="1:12" hidden="1">
      <c r="A515" s="213" t="s">
        <v>836</v>
      </c>
      <c r="B515" s="151" t="s">
        <v>836</v>
      </c>
      <c r="C515" s="151" t="s">
        <v>836</v>
      </c>
      <c r="D515" s="151" t="s">
        <v>816</v>
      </c>
      <c r="E515" s="151" t="s">
        <v>816</v>
      </c>
      <c r="F515" s="213">
        <v>300</v>
      </c>
      <c r="G515" s="151"/>
      <c r="H515" s="151"/>
      <c r="I515" s="151">
        <v>0</v>
      </c>
      <c r="J515" s="151"/>
      <c r="K515" s="151">
        <v>0</v>
      </c>
      <c r="L515" s="151"/>
    </row>
    <row r="516" spans="1:12" hidden="1">
      <c r="A516" s="213" t="s">
        <v>837</v>
      </c>
      <c r="B516" s="151" t="s">
        <v>837</v>
      </c>
      <c r="C516" s="151" t="s">
        <v>837</v>
      </c>
      <c r="D516" s="151" t="s">
        <v>816</v>
      </c>
      <c r="E516" s="151" t="s">
        <v>816</v>
      </c>
      <c r="F516" s="213">
        <v>305</v>
      </c>
      <c r="G516" s="151"/>
      <c r="H516" s="151"/>
      <c r="I516" s="151">
        <v>0</v>
      </c>
      <c r="J516" s="151"/>
      <c r="K516" s="151">
        <v>0</v>
      </c>
      <c r="L516" s="151"/>
    </row>
    <row r="517" spans="1:12" hidden="1">
      <c r="A517" s="213" t="s">
        <v>838</v>
      </c>
      <c r="B517" s="151" t="s">
        <v>838</v>
      </c>
      <c r="C517" s="151" t="s">
        <v>838</v>
      </c>
      <c r="D517" s="151" t="s">
        <v>816</v>
      </c>
      <c r="E517" s="151" t="s">
        <v>816</v>
      </c>
      <c r="F517" s="213">
        <v>305</v>
      </c>
      <c r="G517" s="151"/>
      <c r="H517" s="151"/>
      <c r="I517" s="151">
        <v>0</v>
      </c>
      <c r="J517" s="151"/>
      <c r="K517" s="151">
        <v>0</v>
      </c>
      <c r="L517" s="151"/>
    </row>
    <row r="518" spans="1:12" hidden="1">
      <c r="A518" s="213" t="s">
        <v>839</v>
      </c>
      <c r="B518" s="151" t="s">
        <v>839</v>
      </c>
      <c r="C518" s="151" t="s">
        <v>839</v>
      </c>
      <c r="D518" s="151" t="s">
        <v>816</v>
      </c>
      <c r="E518" s="151" t="s">
        <v>816</v>
      </c>
      <c r="F518" s="213">
        <v>310</v>
      </c>
      <c r="G518" s="151"/>
      <c r="H518" s="151"/>
      <c r="I518" s="151">
        <v>0</v>
      </c>
      <c r="J518" s="151"/>
      <c r="K518" s="151">
        <v>0</v>
      </c>
      <c r="L518" s="151"/>
    </row>
    <row r="519" spans="1:12" hidden="1">
      <c r="A519" s="213">
        <v>41101132</v>
      </c>
      <c r="B519" s="151" t="s">
        <v>840</v>
      </c>
      <c r="C519" s="220" t="s">
        <v>639</v>
      </c>
      <c r="D519" s="151" t="s">
        <v>640</v>
      </c>
      <c r="E519" s="151" t="s">
        <v>841</v>
      </c>
      <c r="F519" s="213">
        <v>360</v>
      </c>
      <c r="G519" s="151">
        <v>29</v>
      </c>
      <c r="H519" s="151">
        <v>22</v>
      </c>
      <c r="I519" s="151">
        <v>638</v>
      </c>
      <c r="J519" s="151">
        <v>26</v>
      </c>
      <c r="K519" s="151">
        <v>754</v>
      </c>
      <c r="L519" s="220" t="s">
        <v>395</v>
      </c>
    </row>
    <row r="520" spans="1:12" hidden="1">
      <c r="A520" s="213">
        <v>41101133</v>
      </c>
      <c r="B520" s="151" t="s">
        <v>842</v>
      </c>
      <c r="C520" s="220" t="s">
        <v>639</v>
      </c>
      <c r="D520" s="151" t="s">
        <v>640</v>
      </c>
      <c r="E520" s="151" t="s">
        <v>841</v>
      </c>
      <c r="F520" s="213">
        <v>365</v>
      </c>
      <c r="G520" s="151">
        <v>29</v>
      </c>
      <c r="H520" s="151">
        <v>22</v>
      </c>
      <c r="I520" s="151">
        <v>638</v>
      </c>
      <c r="J520" s="151">
        <v>26</v>
      </c>
      <c r="K520" s="151">
        <v>754</v>
      </c>
      <c r="L520" s="220" t="s">
        <v>395</v>
      </c>
    </row>
    <row r="521" spans="1:12" hidden="1">
      <c r="A521" s="213">
        <v>41101134</v>
      </c>
      <c r="B521" s="151" t="s">
        <v>843</v>
      </c>
      <c r="C521" s="220" t="s">
        <v>639</v>
      </c>
      <c r="D521" s="151" t="s">
        <v>640</v>
      </c>
      <c r="E521" s="151" t="s">
        <v>841</v>
      </c>
      <c r="F521" s="213">
        <v>370</v>
      </c>
      <c r="G521" s="151">
        <v>29</v>
      </c>
      <c r="H521" s="151">
        <v>22</v>
      </c>
      <c r="I521" s="151">
        <v>638</v>
      </c>
      <c r="J521" s="151">
        <v>26</v>
      </c>
      <c r="K521" s="151">
        <v>754</v>
      </c>
      <c r="L521" s="220" t="s">
        <v>395</v>
      </c>
    </row>
    <row r="522" spans="1:12" hidden="1">
      <c r="A522" s="213">
        <v>41101135</v>
      </c>
      <c r="B522" s="151" t="s">
        <v>844</v>
      </c>
      <c r="C522" s="220" t="s">
        <v>639</v>
      </c>
      <c r="D522" s="151" t="s">
        <v>640</v>
      </c>
      <c r="E522" s="151" t="s">
        <v>841</v>
      </c>
      <c r="F522" s="213">
        <v>375</v>
      </c>
      <c r="G522" s="151">
        <v>29</v>
      </c>
      <c r="H522" s="151">
        <v>22</v>
      </c>
      <c r="I522" s="151">
        <v>638</v>
      </c>
      <c r="J522" s="151">
        <v>26</v>
      </c>
      <c r="K522" s="151">
        <v>754</v>
      </c>
      <c r="L522" s="220" t="s">
        <v>395</v>
      </c>
    </row>
    <row r="523" spans="1:12" hidden="1">
      <c r="A523" s="213">
        <v>41101136</v>
      </c>
      <c r="B523" s="151" t="s">
        <v>845</v>
      </c>
      <c r="C523" s="151" t="s">
        <v>639</v>
      </c>
      <c r="D523" s="151" t="s">
        <v>640</v>
      </c>
      <c r="E523" s="151" t="s">
        <v>841</v>
      </c>
      <c r="F523" s="213">
        <v>380</v>
      </c>
      <c r="G523" s="151">
        <v>29</v>
      </c>
      <c r="H523" s="151">
        <v>22</v>
      </c>
      <c r="I523" s="151">
        <v>638</v>
      </c>
      <c r="J523" s="151">
        <v>26</v>
      </c>
      <c r="K523" s="151">
        <v>754</v>
      </c>
      <c r="L523" s="151"/>
    </row>
    <row r="524" spans="1:12" hidden="1">
      <c r="A524" s="213">
        <v>41101137</v>
      </c>
      <c r="B524" s="151" t="s">
        <v>792</v>
      </c>
      <c r="C524" s="151" t="s">
        <v>639</v>
      </c>
      <c r="D524" s="151" t="s">
        <v>640</v>
      </c>
      <c r="E524" s="151" t="s">
        <v>841</v>
      </c>
      <c r="F524" s="213">
        <v>385</v>
      </c>
      <c r="G524" s="151">
        <v>29</v>
      </c>
      <c r="H524" s="151">
        <v>22</v>
      </c>
      <c r="I524" s="151">
        <v>638</v>
      </c>
      <c r="J524" s="151">
        <v>26</v>
      </c>
      <c r="K524" s="151">
        <v>754</v>
      </c>
      <c r="L524" s="151"/>
    </row>
    <row r="525" spans="1:12" hidden="1">
      <c r="A525" s="213">
        <v>41101138</v>
      </c>
      <c r="B525" s="151" t="s">
        <v>789</v>
      </c>
      <c r="C525" s="151" t="s">
        <v>639</v>
      </c>
      <c r="D525" s="151" t="s">
        <v>640</v>
      </c>
      <c r="E525" s="151" t="s">
        <v>841</v>
      </c>
      <c r="F525" s="213">
        <v>390</v>
      </c>
      <c r="G525" s="151">
        <v>29</v>
      </c>
      <c r="H525" s="151">
        <v>22</v>
      </c>
      <c r="I525" s="151">
        <v>638</v>
      </c>
      <c r="J525" s="151">
        <v>26</v>
      </c>
      <c r="K525" s="151">
        <v>754</v>
      </c>
      <c r="L525" s="151"/>
    </row>
    <row r="526" spans="1:12" hidden="1">
      <c r="A526" s="213">
        <v>43103138</v>
      </c>
      <c r="B526" s="151" t="s">
        <v>789</v>
      </c>
      <c r="C526" s="151" t="s">
        <v>639</v>
      </c>
      <c r="D526" s="151" t="s">
        <v>640</v>
      </c>
      <c r="E526" s="151" t="s">
        <v>841</v>
      </c>
      <c r="F526" s="213">
        <v>390</v>
      </c>
      <c r="G526" s="151">
        <v>29</v>
      </c>
      <c r="H526" s="151">
        <v>22</v>
      </c>
      <c r="I526" s="151">
        <v>638</v>
      </c>
      <c r="J526" s="151">
        <v>26</v>
      </c>
      <c r="K526" s="151">
        <v>754</v>
      </c>
      <c r="L526" s="151"/>
    </row>
    <row r="527" spans="1:12" hidden="1">
      <c r="A527" s="213">
        <v>41101139</v>
      </c>
      <c r="B527" s="151" t="s">
        <v>788</v>
      </c>
      <c r="C527" s="151" t="s">
        <v>639</v>
      </c>
      <c r="D527" s="151" t="s">
        <v>640</v>
      </c>
      <c r="E527" s="151" t="s">
        <v>841</v>
      </c>
      <c r="F527" s="213">
        <v>395</v>
      </c>
      <c r="G527" s="151">
        <v>29</v>
      </c>
      <c r="H527" s="151">
        <v>22</v>
      </c>
      <c r="I527" s="151">
        <v>638</v>
      </c>
      <c r="J527" s="151">
        <v>26</v>
      </c>
      <c r="K527" s="151">
        <v>754</v>
      </c>
      <c r="L527" s="151"/>
    </row>
    <row r="528" spans="1:12" hidden="1">
      <c r="A528" s="213">
        <v>41101140</v>
      </c>
      <c r="B528" s="151" t="s">
        <v>790</v>
      </c>
      <c r="C528" s="151" t="s">
        <v>639</v>
      </c>
      <c r="D528" s="151" t="s">
        <v>640</v>
      </c>
      <c r="E528" s="151" t="s">
        <v>841</v>
      </c>
      <c r="F528" s="213">
        <v>400</v>
      </c>
      <c r="G528" s="151">
        <v>29</v>
      </c>
      <c r="H528" s="151">
        <v>22</v>
      </c>
      <c r="I528" s="151">
        <v>638</v>
      </c>
      <c r="J528" s="151">
        <v>26</v>
      </c>
      <c r="K528" s="151">
        <v>754</v>
      </c>
      <c r="L528" s="151"/>
    </row>
    <row r="529" spans="1:12" hidden="1">
      <c r="A529" s="213">
        <v>41101141</v>
      </c>
      <c r="B529" s="151" t="s">
        <v>791</v>
      </c>
      <c r="C529" s="220" t="s">
        <v>639</v>
      </c>
      <c r="D529" s="151" t="s">
        <v>640</v>
      </c>
      <c r="E529" s="151" t="s">
        <v>841</v>
      </c>
      <c r="F529" s="213">
        <v>405</v>
      </c>
      <c r="G529" s="151">
        <v>29</v>
      </c>
      <c r="H529" s="151">
        <v>22</v>
      </c>
      <c r="I529" s="151">
        <v>638</v>
      </c>
      <c r="J529" s="151">
        <v>26</v>
      </c>
      <c r="K529" s="151">
        <v>754</v>
      </c>
      <c r="L529" s="220" t="s">
        <v>395</v>
      </c>
    </row>
    <row r="530" spans="1:12" hidden="1">
      <c r="A530" s="213">
        <v>43101141</v>
      </c>
      <c r="B530" s="151" t="s">
        <v>791</v>
      </c>
      <c r="C530" s="151" t="s">
        <v>639</v>
      </c>
      <c r="D530" s="151" t="s">
        <v>640</v>
      </c>
      <c r="E530" s="151" t="s">
        <v>841</v>
      </c>
      <c r="F530" s="213">
        <v>405</v>
      </c>
      <c r="G530" s="151">
        <v>29</v>
      </c>
      <c r="H530" s="151">
        <v>22</v>
      </c>
      <c r="I530" s="151">
        <v>638</v>
      </c>
      <c r="J530" s="151">
        <v>26</v>
      </c>
      <c r="K530" s="151">
        <v>754</v>
      </c>
      <c r="L530" s="151"/>
    </row>
    <row r="531" spans="1:12" hidden="1">
      <c r="A531" s="213">
        <v>41101142</v>
      </c>
      <c r="B531" s="151" t="s">
        <v>846</v>
      </c>
      <c r="C531" s="220" t="s">
        <v>639</v>
      </c>
      <c r="D531" s="151" t="s">
        <v>640</v>
      </c>
      <c r="E531" s="151" t="s">
        <v>841</v>
      </c>
      <c r="F531" s="213">
        <v>410</v>
      </c>
      <c r="G531" s="151">
        <v>29</v>
      </c>
      <c r="H531" s="151">
        <v>22</v>
      </c>
      <c r="I531" s="151">
        <v>638</v>
      </c>
      <c r="J531" s="151">
        <v>26</v>
      </c>
      <c r="K531" s="151">
        <v>754</v>
      </c>
      <c r="L531" s="220" t="s">
        <v>395</v>
      </c>
    </row>
    <row r="532" spans="1:12" hidden="1">
      <c r="A532" s="213">
        <v>41101143</v>
      </c>
      <c r="B532" s="151" t="s">
        <v>847</v>
      </c>
      <c r="C532" s="220" t="s">
        <v>639</v>
      </c>
      <c r="D532" s="151" t="s">
        <v>640</v>
      </c>
      <c r="E532" s="151" t="s">
        <v>841</v>
      </c>
      <c r="F532" s="213">
        <v>415</v>
      </c>
      <c r="G532" s="151">
        <v>29</v>
      </c>
      <c r="H532" s="151">
        <v>22</v>
      </c>
      <c r="I532" s="151">
        <v>638</v>
      </c>
      <c r="J532" s="151">
        <v>26</v>
      </c>
      <c r="K532" s="151">
        <v>754</v>
      </c>
      <c r="L532" s="220" t="s">
        <v>395</v>
      </c>
    </row>
    <row r="533" spans="1:12" hidden="1">
      <c r="A533" s="213">
        <v>41101144</v>
      </c>
      <c r="B533" s="151" t="s">
        <v>848</v>
      </c>
      <c r="C533" s="220" t="s">
        <v>639</v>
      </c>
      <c r="D533" s="151" t="s">
        <v>640</v>
      </c>
      <c r="E533" s="151" t="s">
        <v>841</v>
      </c>
      <c r="F533" s="213">
        <v>420</v>
      </c>
      <c r="G533" s="151">
        <v>29</v>
      </c>
      <c r="H533" s="151">
        <v>22</v>
      </c>
      <c r="I533" s="151">
        <v>638</v>
      </c>
      <c r="J533" s="151">
        <v>26</v>
      </c>
      <c r="K533" s="151">
        <v>754</v>
      </c>
      <c r="L533" s="220" t="s">
        <v>395</v>
      </c>
    </row>
    <row r="534" spans="1:12" hidden="1">
      <c r="A534" s="213">
        <v>41101145</v>
      </c>
      <c r="B534" s="151" t="s">
        <v>849</v>
      </c>
      <c r="C534" s="220" t="s">
        <v>639</v>
      </c>
      <c r="D534" s="151" t="s">
        <v>640</v>
      </c>
      <c r="E534" s="151" t="s">
        <v>841</v>
      </c>
      <c r="F534" s="213">
        <v>425</v>
      </c>
      <c r="G534" s="151">
        <v>29</v>
      </c>
      <c r="H534" s="151">
        <v>22</v>
      </c>
      <c r="I534" s="151">
        <v>638</v>
      </c>
      <c r="J534" s="151">
        <v>26</v>
      </c>
      <c r="K534" s="151">
        <v>754</v>
      </c>
      <c r="L534" s="220" t="s">
        <v>395</v>
      </c>
    </row>
    <row r="535" spans="1:12" hidden="1">
      <c r="A535" s="213">
        <v>41101146</v>
      </c>
      <c r="B535" s="151" t="s">
        <v>850</v>
      </c>
      <c r="C535" s="220" t="s">
        <v>639</v>
      </c>
      <c r="D535" s="151" t="s">
        <v>640</v>
      </c>
      <c r="E535" s="151" t="s">
        <v>841</v>
      </c>
      <c r="F535" s="213">
        <v>430</v>
      </c>
      <c r="G535" s="151">
        <v>29</v>
      </c>
      <c r="H535" s="151">
        <v>22</v>
      </c>
      <c r="I535" s="151">
        <v>638</v>
      </c>
      <c r="J535" s="151">
        <v>26</v>
      </c>
      <c r="K535" s="151">
        <v>754</v>
      </c>
      <c r="L535" s="220" t="s">
        <v>395</v>
      </c>
    </row>
    <row r="536" spans="1:12" hidden="1">
      <c r="A536" s="213">
        <v>41101539</v>
      </c>
      <c r="B536" s="151" t="s">
        <v>788</v>
      </c>
      <c r="C536" s="151" t="s">
        <v>639</v>
      </c>
      <c r="D536" s="151" t="s">
        <v>640</v>
      </c>
      <c r="E536" s="151" t="s">
        <v>851</v>
      </c>
      <c r="F536" s="213">
        <v>395</v>
      </c>
      <c r="G536" s="151">
        <v>29</v>
      </c>
      <c r="H536" s="151">
        <v>22</v>
      </c>
      <c r="I536" s="151">
        <v>638</v>
      </c>
      <c r="J536" s="151">
        <v>26</v>
      </c>
      <c r="K536" s="151">
        <v>754</v>
      </c>
      <c r="L536" s="151"/>
    </row>
    <row r="537" spans="1:12" hidden="1">
      <c r="A537" s="213">
        <v>41102132</v>
      </c>
      <c r="B537" s="151" t="s">
        <v>852</v>
      </c>
      <c r="C537" s="220" t="s">
        <v>639</v>
      </c>
      <c r="D537" s="151" t="s">
        <v>640</v>
      </c>
      <c r="E537" s="151" t="s">
        <v>841</v>
      </c>
      <c r="F537" s="213">
        <v>360</v>
      </c>
      <c r="G537" s="151">
        <v>29</v>
      </c>
      <c r="H537" s="151">
        <v>22</v>
      </c>
      <c r="I537" s="151">
        <v>638</v>
      </c>
      <c r="J537" s="151">
        <v>26</v>
      </c>
      <c r="K537" s="151">
        <v>754</v>
      </c>
      <c r="L537" s="220" t="s">
        <v>395</v>
      </c>
    </row>
    <row r="538" spans="1:12" hidden="1">
      <c r="A538" s="213">
        <v>41102133</v>
      </c>
      <c r="B538" s="151" t="s">
        <v>853</v>
      </c>
      <c r="C538" s="220" t="s">
        <v>639</v>
      </c>
      <c r="D538" s="151" t="s">
        <v>640</v>
      </c>
      <c r="E538" s="151" t="s">
        <v>841</v>
      </c>
      <c r="F538" s="213">
        <v>365</v>
      </c>
      <c r="G538" s="151">
        <v>29</v>
      </c>
      <c r="H538" s="151">
        <v>22</v>
      </c>
      <c r="I538" s="151">
        <v>638</v>
      </c>
      <c r="J538" s="151">
        <v>26</v>
      </c>
      <c r="K538" s="151">
        <v>754</v>
      </c>
      <c r="L538" s="220" t="s">
        <v>395</v>
      </c>
    </row>
    <row r="539" spans="1:12" hidden="1">
      <c r="A539" s="213">
        <v>41102134</v>
      </c>
      <c r="B539" s="151" t="s">
        <v>854</v>
      </c>
      <c r="C539" s="220" t="s">
        <v>639</v>
      </c>
      <c r="D539" s="151" t="s">
        <v>640</v>
      </c>
      <c r="E539" s="151" t="s">
        <v>841</v>
      </c>
      <c r="F539" s="213">
        <v>370</v>
      </c>
      <c r="G539" s="151">
        <v>29</v>
      </c>
      <c r="H539" s="151">
        <v>22</v>
      </c>
      <c r="I539" s="151">
        <v>638</v>
      </c>
      <c r="J539" s="151">
        <v>26</v>
      </c>
      <c r="K539" s="151">
        <v>754</v>
      </c>
      <c r="L539" s="220" t="s">
        <v>395</v>
      </c>
    </row>
    <row r="540" spans="1:12" hidden="1">
      <c r="A540" s="213">
        <v>41102135</v>
      </c>
      <c r="B540" s="151" t="s">
        <v>855</v>
      </c>
      <c r="C540" s="220" t="s">
        <v>639</v>
      </c>
      <c r="D540" s="151" t="s">
        <v>640</v>
      </c>
      <c r="E540" s="151" t="s">
        <v>841</v>
      </c>
      <c r="F540" s="213">
        <v>375</v>
      </c>
      <c r="G540" s="151">
        <v>29</v>
      </c>
      <c r="H540" s="151">
        <v>22</v>
      </c>
      <c r="I540" s="151">
        <v>638</v>
      </c>
      <c r="J540" s="151">
        <v>26</v>
      </c>
      <c r="K540" s="151">
        <v>754</v>
      </c>
      <c r="L540" s="220" t="s">
        <v>395</v>
      </c>
    </row>
    <row r="541" spans="1:12" hidden="1">
      <c r="A541" s="213">
        <v>41102136</v>
      </c>
      <c r="B541" s="151" t="s">
        <v>856</v>
      </c>
      <c r="C541" s="151" t="s">
        <v>639</v>
      </c>
      <c r="D541" s="151" t="s">
        <v>640</v>
      </c>
      <c r="E541" s="151" t="s">
        <v>841</v>
      </c>
      <c r="F541" s="213">
        <v>380</v>
      </c>
      <c r="G541" s="151">
        <v>29</v>
      </c>
      <c r="H541" s="151">
        <v>22</v>
      </c>
      <c r="I541" s="151">
        <v>638</v>
      </c>
      <c r="J541" s="151">
        <v>26</v>
      </c>
      <c r="K541" s="151">
        <v>754</v>
      </c>
      <c r="L541" s="151"/>
    </row>
    <row r="542" spans="1:12" hidden="1">
      <c r="A542" s="213">
        <v>41102137</v>
      </c>
      <c r="B542" s="151" t="s">
        <v>857</v>
      </c>
      <c r="C542" s="151" t="s">
        <v>639</v>
      </c>
      <c r="D542" s="151" t="s">
        <v>640</v>
      </c>
      <c r="E542" s="151" t="s">
        <v>841</v>
      </c>
      <c r="F542" s="213">
        <v>385</v>
      </c>
      <c r="G542" s="151">
        <v>29</v>
      </c>
      <c r="H542" s="151">
        <v>22</v>
      </c>
      <c r="I542" s="151">
        <v>638</v>
      </c>
      <c r="J542" s="151">
        <v>26</v>
      </c>
      <c r="K542" s="151">
        <v>754</v>
      </c>
      <c r="L542" s="151"/>
    </row>
    <row r="543" spans="1:12" hidden="1">
      <c r="A543" s="213">
        <v>41102138</v>
      </c>
      <c r="B543" s="151" t="s">
        <v>858</v>
      </c>
      <c r="C543" s="151" t="s">
        <v>639</v>
      </c>
      <c r="D543" s="151" t="s">
        <v>640</v>
      </c>
      <c r="E543" s="151" t="s">
        <v>841</v>
      </c>
      <c r="F543" s="213">
        <v>390</v>
      </c>
      <c r="G543" s="151">
        <v>29</v>
      </c>
      <c r="H543" s="151">
        <v>22</v>
      </c>
      <c r="I543" s="151">
        <v>638</v>
      </c>
      <c r="J543" s="151">
        <v>26</v>
      </c>
      <c r="K543" s="151">
        <v>754</v>
      </c>
      <c r="L543" s="151"/>
    </row>
    <row r="544" spans="1:12" hidden="1">
      <c r="A544" s="213">
        <v>41102139</v>
      </c>
      <c r="B544" s="151" t="s">
        <v>859</v>
      </c>
      <c r="C544" s="151" t="s">
        <v>639</v>
      </c>
      <c r="D544" s="151" t="s">
        <v>640</v>
      </c>
      <c r="E544" s="151" t="s">
        <v>841</v>
      </c>
      <c r="F544" s="213">
        <v>395</v>
      </c>
      <c r="G544" s="151">
        <v>29</v>
      </c>
      <c r="H544" s="151">
        <v>22</v>
      </c>
      <c r="I544" s="151">
        <v>638</v>
      </c>
      <c r="J544" s="151">
        <v>26</v>
      </c>
      <c r="K544" s="151">
        <v>754</v>
      </c>
      <c r="L544" s="151"/>
    </row>
    <row r="545" spans="1:12" hidden="1">
      <c r="A545" s="213">
        <v>41102140</v>
      </c>
      <c r="B545" s="151" t="s">
        <v>860</v>
      </c>
      <c r="C545" s="220" t="s">
        <v>639</v>
      </c>
      <c r="D545" s="151" t="s">
        <v>640</v>
      </c>
      <c r="E545" s="151" t="s">
        <v>841</v>
      </c>
      <c r="F545" s="213">
        <v>400</v>
      </c>
      <c r="G545" s="151">
        <v>29</v>
      </c>
      <c r="H545" s="151">
        <v>22</v>
      </c>
      <c r="I545" s="151">
        <v>638</v>
      </c>
      <c r="J545" s="151">
        <v>26</v>
      </c>
      <c r="K545" s="151">
        <v>754</v>
      </c>
      <c r="L545" s="220" t="s">
        <v>395</v>
      </c>
    </row>
    <row r="546" spans="1:12" hidden="1">
      <c r="A546" s="213">
        <v>41102141</v>
      </c>
      <c r="B546" s="151" t="s">
        <v>861</v>
      </c>
      <c r="C546" s="220" t="s">
        <v>639</v>
      </c>
      <c r="D546" s="151" t="s">
        <v>640</v>
      </c>
      <c r="E546" s="151" t="s">
        <v>841</v>
      </c>
      <c r="F546" s="213">
        <v>405</v>
      </c>
      <c r="G546" s="151">
        <v>29</v>
      </c>
      <c r="H546" s="151">
        <v>22</v>
      </c>
      <c r="I546" s="151">
        <v>638</v>
      </c>
      <c r="J546" s="151">
        <v>26</v>
      </c>
      <c r="K546" s="151">
        <v>754</v>
      </c>
      <c r="L546" s="220" t="s">
        <v>395</v>
      </c>
    </row>
    <row r="547" spans="1:12" hidden="1">
      <c r="A547" s="213">
        <v>41102142</v>
      </c>
      <c r="B547" s="151" t="s">
        <v>862</v>
      </c>
      <c r="C547" s="220" t="s">
        <v>639</v>
      </c>
      <c r="D547" s="151" t="s">
        <v>640</v>
      </c>
      <c r="E547" s="151" t="s">
        <v>841</v>
      </c>
      <c r="F547" s="213">
        <v>410</v>
      </c>
      <c r="G547" s="151">
        <v>29</v>
      </c>
      <c r="H547" s="151">
        <v>22</v>
      </c>
      <c r="I547" s="151">
        <v>638</v>
      </c>
      <c r="J547" s="151">
        <v>26</v>
      </c>
      <c r="K547" s="151">
        <v>754</v>
      </c>
      <c r="L547" s="220" t="s">
        <v>395</v>
      </c>
    </row>
    <row r="548" spans="1:12" hidden="1">
      <c r="A548" s="213">
        <v>41102143</v>
      </c>
      <c r="B548" s="151" t="s">
        <v>863</v>
      </c>
      <c r="C548" s="220" t="s">
        <v>639</v>
      </c>
      <c r="D548" s="151" t="s">
        <v>640</v>
      </c>
      <c r="E548" s="151" t="s">
        <v>841</v>
      </c>
      <c r="F548" s="213">
        <v>415</v>
      </c>
      <c r="G548" s="151">
        <v>29</v>
      </c>
      <c r="H548" s="151">
        <v>22</v>
      </c>
      <c r="I548" s="151">
        <v>638</v>
      </c>
      <c r="J548" s="151">
        <v>26</v>
      </c>
      <c r="K548" s="151">
        <v>754</v>
      </c>
      <c r="L548" s="220" t="s">
        <v>395</v>
      </c>
    </row>
    <row r="549" spans="1:12" hidden="1">
      <c r="A549" s="213">
        <v>41102144</v>
      </c>
      <c r="B549" s="151" t="s">
        <v>864</v>
      </c>
      <c r="C549" s="220" t="s">
        <v>639</v>
      </c>
      <c r="D549" s="151" t="s">
        <v>640</v>
      </c>
      <c r="E549" s="151" t="s">
        <v>841</v>
      </c>
      <c r="F549" s="213">
        <v>420</v>
      </c>
      <c r="G549" s="151">
        <v>29</v>
      </c>
      <c r="H549" s="151">
        <v>22</v>
      </c>
      <c r="I549" s="151">
        <v>638</v>
      </c>
      <c r="J549" s="151">
        <v>26</v>
      </c>
      <c r="K549" s="151">
        <v>754</v>
      </c>
      <c r="L549" s="220" t="s">
        <v>395</v>
      </c>
    </row>
    <row r="550" spans="1:12" hidden="1">
      <c r="A550" s="213">
        <v>41102145</v>
      </c>
      <c r="B550" s="151" t="s">
        <v>865</v>
      </c>
      <c r="C550" s="220" t="s">
        <v>639</v>
      </c>
      <c r="D550" s="151" t="s">
        <v>640</v>
      </c>
      <c r="E550" s="151" t="s">
        <v>841</v>
      </c>
      <c r="F550" s="213">
        <v>425</v>
      </c>
      <c r="G550" s="151">
        <v>29</v>
      </c>
      <c r="H550" s="151">
        <v>22</v>
      </c>
      <c r="I550" s="151">
        <v>638</v>
      </c>
      <c r="J550" s="151">
        <v>26</v>
      </c>
      <c r="K550" s="151">
        <v>754</v>
      </c>
      <c r="L550" s="220" t="s">
        <v>395</v>
      </c>
    </row>
    <row r="551" spans="1:12" hidden="1">
      <c r="A551" s="213">
        <v>41102146</v>
      </c>
      <c r="B551" s="151" t="s">
        <v>866</v>
      </c>
      <c r="C551" s="220" t="s">
        <v>639</v>
      </c>
      <c r="D551" s="151" t="s">
        <v>640</v>
      </c>
      <c r="E551" s="151" t="s">
        <v>841</v>
      </c>
      <c r="F551" s="213">
        <v>430</v>
      </c>
      <c r="G551" s="151">
        <v>29</v>
      </c>
      <c r="H551" s="151">
        <v>22</v>
      </c>
      <c r="I551" s="151">
        <v>638</v>
      </c>
      <c r="J551" s="151">
        <v>26</v>
      </c>
      <c r="K551" s="151">
        <v>754</v>
      </c>
      <c r="L551" s="220" t="s">
        <v>395</v>
      </c>
    </row>
    <row r="552" spans="1:12" hidden="1">
      <c r="A552" s="213">
        <v>42101126</v>
      </c>
      <c r="B552" s="151" t="s">
        <v>867</v>
      </c>
      <c r="C552" s="220" t="s">
        <v>410</v>
      </c>
      <c r="D552" s="151" t="s">
        <v>411</v>
      </c>
      <c r="E552" s="151" t="s">
        <v>841</v>
      </c>
      <c r="F552" s="213">
        <v>330</v>
      </c>
      <c r="G552" s="151">
        <v>29</v>
      </c>
      <c r="H552" s="151">
        <v>22</v>
      </c>
      <c r="I552" s="151">
        <v>638</v>
      </c>
      <c r="J552" s="151">
        <v>26</v>
      </c>
      <c r="K552" s="151">
        <v>754</v>
      </c>
      <c r="L552" s="220" t="s">
        <v>395</v>
      </c>
    </row>
    <row r="553" spans="1:12" hidden="1">
      <c r="A553" s="213">
        <v>42101127</v>
      </c>
      <c r="B553" s="151" t="s">
        <v>868</v>
      </c>
      <c r="C553" s="220" t="s">
        <v>410</v>
      </c>
      <c r="D553" s="151" t="s">
        <v>411</v>
      </c>
      <c r="E553" s="151" t="s">
        <v>841</v>
      </c>
      <c r="F553" s="213">
        <v>335</v>
      </c>
      <c r="G553" s="151">
        <v>29</v>
      </c>
      <c r="H553" s="151">
        <v>22</v>
      </c>
      <c r="I553" s="151">
        <v>638</v>
      </c>
      <c r="J553" s="151">
        <v>26</v>
      </c>
      <c r="K553" s="151">
        <v>754</v>
      </c>
      <c r="L553" s="220" t="s">
        <v>395</v>
      </c>
    </row>
    <row r="554" spans="1:12" hidden="1">
      <c r="A554" s="213">
        <v>42101128</v>
      </c>
      <c r="B554" s="151" t="s">
        <v>869</v>
      </c>
      <c r="C554" s="220" t="s">
        <v>410</v>
      </c>
      <c r="D554" s="151" t="s">
        <v>411</v>
      </c>
      <c r="E554" s="151" t="s">
        <v>841</v>
      </c>
      <c r="F554" s="213">
        <v>340</v>
      </c>
      <c r="G554" s="151">
        <v>29</v>
      </c>
      <c r="H554" s="151">
        <v>22</v>
      </c>
      <c r="I554" s="151">
        <v>638</v>
      </c>
      <c r="J554" s="151">
        <v>26</v>
      </c>
      <c r="K554" s="151">
        <v>754</v>
      </c>
      <c r="L554" s="220" t="s">
        <v>395</v>
      </c>
    </row>
    <row r="555" spans="1:12" hidden="1">
      <c r="A555" s="213">
        <v>42101129</v>
      </c>
      <c r="B555" s="151" t="s">
        <v>870</v>
      </c>
      <c r="C555" s="220" t="s">
        <v>410</v>
      </c>
      <c r="D555" s="151" t="s">
        <v>411</v>
      </c>
      <c r="E555" s="151" t="s">
        <v>841</v>
      </c>
      <c r="F555" s="213">
        <v>345</v>
      </c>
      <c r="G555" s="151">
        <v>29</v>
      </c>
      <c r="H555" s="151">
        <v>22</v>
      </c>
      <c r="I555" s="151">
        <v>638</v>
      </c>
      <c r="J555" s="151">
        <v>26</v>
      </c>
      <c r="K555" s="151">
        <v>754</v>
      </c>
      <c r="L555" s="220" t="s">
        <v>395</v>
      </c>
    </row>
    <row r="556" spans="1:12" hidden="1">
      <c r="A556" s="213">
        <v>42101130</v>
      </c>
      <c r="B556" s="151" t="s">
        <v>871</v>
      </c>
      <c r="C556" s="220" t="s">
        <v>410</v>
      </c>
      <c r="D556" s="151" t="s">
        <v>411</v>
      </c>
      <c r="E556" s="151" t="s">
        <v>841</v>
      </c>
      <c r="F556" s="213">
        <v>350</v>
      </c>
      <c r="G556" s="151">
        <v>29</v>
      </c>
      <c r="H556" s="151">
        <v>22</v>
      </c>
      <c r="I556" s="151">
        <v>638</v>
      </c>
      <c r="J556" s="151">
        <v>26</v>
      </c>
      <c r="K556" s="151">
        <v>754</v>
      </c>
      <c r="L556" s="220" t="s">
        <v>395</v>
      </c>
    </row>
    <row r="557" spans="1:12" hidden="1">
      <c r="A557" s="213">
        <v>42101131</v>
      </c>
      <c r="B557" s="151" t="s">
        <v>872</v>
      </c>
      <c r="C557" s="220" t="s">
        <v>410</v>
      </c>
      <c r="D557" s="151" t="s">
        <v>411</v>
      </c>
      <c r="E557" s="151" t="s">
        <v>841</v>
      </c>
      <c r="F557" s="213">
        <v>355</v>
      </c>
      <c r="G557" s="151">
        <v>29</v>
      </c>
      <c r="H557" s="151">
        <v>22</v>
      </c>
      <c r="I557" s="151">
        <v>638</v>
      </c>
      <c r="J557" s="151">
        <v>26</v>
      </c>
      <c r="K557" s="151">
        <v>754</v>
      </c>
      <c r="L557" s="220" t="s">
        <v>395</v>
      </c>
    </row>
    <row r="558" spans="1:12" hidden="1">
      <c r="A558" s="213">
        <v>42101132</v>
      </c>
      <c r="B558" s="151" t="s">
        <v>416</v>
      </c>
      <c r="C558" s="220" t="s">
        <v>410</v>
      </c>
      <c r="D558" s="151" t="s">
        <v>411</v>
      </c>
      <c r="E558" s="151" t="s">
        <v>841</v>
      </c>
      <c r="F558" s="213">
        <v>360</v>
      </c>
      <c r="G558" s="151">
        <v>29</v>
      </c>
      <c r="H558" s="151">
        <v>22</v>
      </c>
      <c r="I558" s="151">
        <v>638</v>
      </c>
      <c r="J558" s="151">
        <v>26</v>
      </c>
      <c r="K558" s="151">
        <v>754</v>
      </c>
      <c r="L558" s="220" t="s">
        <v>395</v>
      </c>
    </row>
    <row r="559" spans="1:12" hidden="1">
      <c r="A559" s="213">
        <v>42101133</v>
      </c>
      <c r="B559" s="151" t="s">
        <v>873</v>
      </c>
      <c r="C559" s="220" t="s">
        <v>410</v>
      </c>
      <c r="D559" s="151" t="s">
        <v>411</v>
      </c>
      <c r="E559" s="151" t="s">
        <v>841</v>
      </c>
      <c r="F559" s="213">
        <v>365</v>
      </c>
      <c r="G559" s="151">
        <v>29</v>
      </c>
      <c r="H559" s="151">
        <v>22</v>
      </c>
      <c r="I559" s="151">
        <v>638</v>
      </c>
      <c r="J559" s="151">
        <v>26</v>
      </c>
      <c r="K559" s="151">
        <v>754</v>
      </c>
      <c r="L559" s="220" t="s">
        <v>395</v>
      </c>
    </row>
    <row r="560" spans="1:12" hidden="1">
      <c r="A560" s="213">
        <v>42101134</v>
      </c>
      <c r="B560" s="151" t="s">
        <v>874</v>
      </c>
      <c r="C560" s="220" t="s">
        <v>410</v>
      </c>
      <c r="D560" s="151" t="s">
        <v>411</v>
      </c>
      <c r="E560" s="151" t="s">
        <v>841</v>
      </c>
      <c r="F560" s="213">
        <v>370</v>
      </c>
      <c r="G560" s="151">
        <v>29</v>
      </c>
      <c r="H560" s="151">
        <v>22</v>
      </c>
      <c r="I560" s="151">
        <v>638</v>
      </c>
      <c r="J560" s="151">
        <v>26</v>
      </c>
      <c r="K560" s="151">
        <v>754</v>
      </c>
      <c r="L560" s="220" t="s">
        <v>395</v>
      </c>
    </row>
    <row r="561" spans="1:12" hidden="1">
      <c r="A561" s="213">
        <v>42101135</v>
      </c>
      <c r="B561" s="151" t="s">
        <v>875</v>
      </c>
      <c r="C561" s="220" t="s">
        <v>410</v>
      </c>
      <c r="D561" s="151" t="s">
        <v>411</v>
      </c>
      <c r="E561" s="151" t="s">
        <v>841</v>
      </c>
      <c r="F561" s="213">
        <v>375</v>
      </c>
      <c r="G561" s="151">
        <v>29</v>
      </c>
      <c r="H561" s="151">
        <v>22</v>
      </c>
      <c r="I561" s="151">
        <v>638</v>
      </c>
      <c r="J561" s="151">
        <v>26</v>
      </c>
      <c r="K561" s="151">
        <v>754</v>
      </c>
      <c r="L561" s="220" t="s">
        <v>395</v>
      </c>
    </row>
    <row r="562" spans="1:12" hidden="1">
      <c r="A562" s="213">
        <v>42101136</v>
      </c>
      <c r="B562" s="151" t="s">
        <v>876</v>
      </c>
      <c r="C562" s="220" t="s">
        <v>410</v>
      </c>
      <c r="D562" s="151" t="s">
        <v>411</v>
      </c>
      <c r="E562" s="151" t="s">
        <v>841</v>
      </c>
      <c r="F562" s="213">
        <v>380</v>
      </c>
      <c r="G562" s="151">
        <v>29</v>
      </c>
      <c r="H562" s="151">
        <v>22</v>
      </c>
      <c r="I562" s="151">
        <v>638</v>
      </c>
      <c r="J562" s="151">
        <v>26</v>
      </c>
      <c r="K562" s="151">
        <v>754</v>
      </c>
      <c r="L562" s="220" t="s">
        <v>395</v>
      </c>
    </row>
    <row r="563" spans="1:12" hidden="1">
      <c r="A563" s="213">
        <v>42101137</v>
      </c>
      <c r="B563" s="151" t="s">
        <v>877</v>
      </c>
      <c r="C563" s="220" t="s">
        <v>410</v>
      </c>
      <c r="D563" s="151" t="s">
        <v>411</v>
      </c>
      <c r="E563" s="151" t="s">
        <v>841</v>
      </c>
      <c r="F563" s="213">
        <v>385</v>
      </c>
      <c r="G563" s="151">
        <v>29</v>
      </c>
      <c r="H563" s="151">
        <v>22</v>
      </c>
      <c r="I563" s="151">
        <v>638</v>
      </c>
      <c r="J563" s="151">
        <v>26</v>
      </c>
      <c r="K563" s="151">
        <v>754</v>
      </c>
      <c r="L563" s="220" t="s">
        <v>395</v>
      </c>
    </row>
    <row r="564" spans="1:12" hidden="1">
      <c r="A564" s="213">
        <v>42101138</v>
      </c>
      <c r="B564" s="151" t="s">
        <v>878</v>
      </c>
      <c r="C564" s="220" t="s">
        <v>410</v>
      </c>
      <c r="D564" s="151" t="s">
        <v>411</v>
      </c>
      <c r="E564" s="151" t="s">
        <v>841</v>
      </c>
      <c r="F564" s="213">
        <v>390</v>
      </c>
      <c r="G564" s="151">
        <v>29</v>
      </c>
      <c r="H564" s="151">
        <v>22</v>
      </c>
      <c r="I564" s="151">
        <v>638</v>
      </c>
      <c r="J564" s="151">
        <v>26</v>
      </c>
      <c r="K564" s="151">
        <v>754</v>
      </c>
      <c r="L564" s="220" t="s">
        <v>395</v>
      </c>
    </row>
    <row r="565" spans="1:12" hidden="1">
      <c r="A565" s="213">
        <v>42101139</v>
      </c>
      <c r="B565" s="151" t="s">
        <v>879</v>
      </c>
      <c r="C565" s="220" t="s">
        <v>410</v>
      </c>
      <c r="D565" s="151" t="s">
        <v>411</v>
      </c>
      <c r="E565" s="151" t="s">
        <v>841</v>
      </c>
      <c r="F565" s="213">
        <v>395</v>
      </c>
      <c r="G565" s="151">
        <v>29</v>
      </c>
      <c r="H565" s="151">
        <v>22</v>
      </c>
      <c r="I565" s="151">
        <v>638</v>
      </c>
      <c r="J565" s="151">
        <v>26</v>
      </c>
      <c r="K565" s="151">
        <v>754</v>
      </c>
      <c r="L565" s="220" t="s">
        <v>395</v>
      </c>
    </row>
    <row r="566" spans="1:12" hidden="1">
      <c r="A566" s="213">
        <v>42101140</v>
      </c>
      <c r="B566" s="151" t="s">
        <v>880</v>
      </c>
      <c r="C566" s="220" t="s">
        <v>410</v>
      </c>
      <c r="D566" s="151" t="s">
        <v>411</v>
      </c>
      <c r="E566" s="151" t="s">
        <v>841</v>
      </c>
      <c r="F566" s="213">
        <v>400</v>
      </c>
      <c r="G566" s="151">
        <v>29</v>
      </c>
      <c r="H566" s="151">
        <v>22</v>
      </c>
      <c r="I566" s="151">
        <v>638</v>
      </c>
      <c r="J566" s="151">
        <v>26</v>
      </c>
      <c r="K566" s="151">
        <v>754</v>
      </c>
      <c r="L566" s="220" t="s">
        <v>395</v>
      </c>
    </row>
    <row r="567" spans="1:12" hidden="1">
      <c r="A567" s="213">
        <v>42102126</v>
      </c>
      <c r="B567" s="151" t="s">
        <v>881</v>
      </c>
      <c r="C567" s="220" t="s">
        <v>410</v>
      </c>
      <c r="D567" s="151" t="s">
        <v>411</v>
      </c>
      <c r="E567" s="151" t="s">
        <v>841</v>
      </c>
      <c r="F567" s="213">
        <v>330</v>
      </c>
      <c r="G567" s="151">
        <v>29</v>
      </c>
      <c r="H567" s="151">
        <v>22</v>
      </c>
      <c r="I567" s="151">
        <v>638</v>
      </c>
      <c r="J567" s="151">
        <v>26</v>
      </c>
      <c r="K567" s="151">
        <v>754</v>
      </c>
      <c r="L567" s="220" t="s">
        <v>395</v>
      </c>
    </row>
    <row r="568" spans="1:12" hidden="1">
      <c r="A568" s="213">
        <v>42102127</v>
      </c>
      <c r="B568" s="151" t="s">
        <v>882</v>
      </c>
      <c r="C568" s="220" t="s">
        <v>410</v>
      </c>
      <c r="D568" s="151" t="s">
        <v>411</v>
      </c>
      <c r="E568" s="151" t="s">
        <v>841</v>
      </c>
      <c r="F568" s="213">
        <v>335</v>
      </c>
      <c r="G568" s="151">
        <v>29</v>
      </c>
      <c r="H568" s="151">
        <v>22</v>
      </c>
      <c r="I568" s="151">
        <v>638</v>
      </c>
      <c r="J568" s="151">
        <v>26</v>
      </c>
      <c r="K568" s="151">
        <v>754</v>
      </c>
      <c r="L568" s="220" t="s">
        <v>395</v>
      </c>
    </row>
    <row r="569" spans="1:12" hidden="1">
      <c r="A569" s="213">
        <v>42102128</v>
      </c>
      <c r="B569" s="151" t="s">
        <v>883</v>
      </c>
      <c r="C569" s="220" t="s">
        <v>410</v>
      </c>
      <c r="D569" s="151" t="s">
        <v>411</v>
      </c>
      <c r="E569" s="151" t="s">
        <v>841</v>
      </c>
      <c r="F569" s="213">
        <v>340</v>
      </c>
      <c r="G569" s="151">
        <v>29</v>
      </c>
      <c r="H569" s="151">
        <v>22</v>
      </c>
      <c r="I569" s="151">
        <v>638</v>
      </c>
      <c r="J569" s="151">
        <v>26</v>
      </c>
      <c r="K569" s="151">
        <v>754</v>
      </c>
      <c r="L569" s="220" t="s">
        <v>395</v>
      </c>
    </row>
    <row r="570" spans="1:12" hidden="1">
      <c r="A570" s="213">
        <v>42102129</v>
      </c>
      <c r="B570" s="151" t="s">
        <v>884</v>
      </c>
      <c r="C570" s="220" t="s">
        <v>410</v>
      </c>
      <c r="D570" s="151" t="s">
        <v>411</v>
      </c>
      <c r="E570" s="151" t="s">
        <v>841</v>
      </c>
      <c r="F570" s="213">
        <v>345</v>
      </c>
      <c r="G570" s="151">
        <v>29</v>
      </c>
      <c r="H570" s="151">
        <v>22</v>
      </c>
      <c r="I570" s="151">
        <v>638</v>
      </c>
      <c r="J570" s="151">
        <v>26</v>
      </c>
      <c r="K570" s="151">
        <v>754</v>
      </c>
      <c r="L570" s="220" t="s">
        <v>395</v>
      </c>
    </row>
    <row r="571" spans="1:12" hidden="1">
      <c r="A571" s="213">
        <v>42102130</v>
      </c>
      <c r="B571" s="151" t="s">
        <v>885</v>
      </c>
      <c r="C571" s="220" t="s">
        <v>410</v>
      </c>
      <c r="D571" s="151" t="s">
        <v>411</v>
      </c>
      <c r="E571" s="151" t="s">
        <v>841</v>
      </c>
      <c r="F571" s="213">
        <v>350</v>
      </c>
      <c r="G571" s="151">
        <v>29</v>
      </c>
      <c r="H571" s="151">
        <v>22</v>
      </c>
      <c r="I571" s="151">
        <v>638</v>
      </c>
      <c r="J571" s="151">
        <v>26</v>
      </c>
      <c r="K571" s="151">
        <v>754</v>
      </c>
      <c r="L571" s="220" t="s">
        <v>395</v>
      </c>
    </row>
    <row r="572" spans="1:12" hidden="1">
      <c r="A572" s="213">
        <v>42102131</v>
      </c>
      <c r="B572" s="151" t="s">
        <v>886</v>
      </c>
      <c r="C572" s="220" t="s">
        <v>410</v>
      </c>
      <c r="D572" s="151" t="s">
        <v>411</v>
      </c>
      <c r="E572" s="151" t="s">
        <v>841</v>
      </c>
      <c r="F572" s="213">
        <v>355</v>
      </c>
      <c r="G572" s="151">
        <v>29</v>
      </c>
      <c r="H572" s="151">
        <v>22</v>
      </c>
      <c r="I572" s="151">
        <v>638</v>
      </c>
      <c r="J572" s="151">
        <v>26</v>
      </c>
      <c r="K572" s="151">
        <v>754</v>
      </c>
      <c r="L572" s="220" t="s">
        <v>395</v>
      </c>
    </row>
    <row r="573" spans="1:12" hidden="1">
      <c r="A573" s="213">
        <v>42102132</v>
      </c>
      <c r="B573" s="151" t="s">
        <v>887</v>
      </c>
      <c r="C573" s="220" t="s">
        <v>410</v>
      </c>
      <c r="D573" s="151" t="s">
        <v>411</v>
      </c>
      <c r="E573" s="151" t="s">
        <v>841</v>
      </c>
      <c r="F573" s="213">
        <v>360</v>
      </c>
      <c r="G573" s="151">
        <v>29</v>
      </c>
      <c r="H573" s="151">
        <v>22</v>
      </c>
      <c r="I573" s="151">
        <v>638</v>
      </c>
      <c r="J573" s="151">
        <v>26</v>
      </c>
      <c r="K573" s="151">
        <v>754</v>
      </c>
      <c r="L573" s="220" t="s">
        <v>395</v>
      </c>
    </row>
    <row r="574" spans="1:12" hidden="1">
      <c r="A574" s="213">
        <v>42102133</v>
      </c>
      <c r="B574" s="151" t="s">
        <v>888</v>
      </c>
      <c r="C574" s="220" t="s">
        <v>410</v>
      </c>
      <c r="D574" s="151" t="s">
        <v>411</v>
      </c>
      <c r="E574" s="151" t="s">
        <v>841</v>
      </c>
      <c r="F574" s="213">
        <v>365</v>
      </c>
      <c r="G574" s="151">
        <v>29</v>
      </c>
      <c r="H574" s="151">
        <v>22</v>
      </c>
      <c r="I574" s="151">
        <v>638</v>
      </c>
      <c r="J574" s="151">
        <v>26</v>
      </c>
      <c r="K574" s="151">
        <v>754</v>
      </c>
      <c r="L574" s="220" t="s">
        <v>395</v>
      </c>
    </row>
    <row r="575" spans="1:12" hidden="1">
      <c r="A575" s="213">
        <v>42102134</v>
      </c>
      <c r="B575" s="151" t="s">
        <v>889</v>
      </c>
      <c r="C575" s="220" t="s">
        <v>410</v>
      </c>
      <c r="D575" s="151" t="s">
        <v>411</v>
      </c>
      <c r="E575" s="151" t="s">
        <v>841</v>
      </c>
      <c r="F575" s="213">
        <v>370</v>
      </c>
      <c r="G575" s="151">
        <v>29</v>
      </c>
      <c r="H575" s="151">
        <v>22</v>
      </c>
      <c r="I575" s="151">
        <v>638</v>
      </c>
      <c r="J575" s="151">
        <v>26</v>
      </c>
      <c r="K575" s="151">
        <v>754</v>
      </c>
      <c r="L575" s="220" t="s">
        <v>395</v>
      </c>
    </row>
    <row r="576" spans="1:12" hidden="1">
      <c r="A576" s="213">
        <v>42102135</v>
      </c>
      <c r="B576" s="151" t="s">
        <v>890</v>
      </c>
      <c r="C576" s="220" t="s">
        <v>410</v>
      </c>
      <c r="D576" s="151" t="s">
        <v>411</v>
      </c>
      <c r="E576" s="151" t="s">
        <v>841</v>
      </c>
      <c r="F576" s="213">
        <v>375</v>
      </c>
      <c r="G576" s="151">
        <v>29</v>
      </c>
      <c r="H576" s="151">
        <v>22</v>
      </c>
      <c r="I576" s="151">
        <v>638</v>
      </c>
      <c r="J576" s="151">
        <v>26</v>
      </c>
      <c r="K576" s="151">
        <v>754</v>
      </c>
      <c r="L576" s="220" t="s">
        <v>395</v>
      </c>
    </row>
    <row r="577" spans="1:12" hidden="1">
      <c r="A577" s="213">
        <v>42102136</v>
      </c>
      <c r="B577" s="151" t="s">
        <v>891</v>
      </c>
      <c r="C577" s="220" t="s">
        <v>410</v>
      </c>
      <c r="D577" s="151" t="s">
        <v>411</v>
      </c>
      <c r="E577" s="151" t="s">
        <v>841</v>
      </c>
      <c r="F577" s="213">
        <v>380</v>
      </c>
      <c r="G577" s="151">
        <v>29</v>
      </c>
      <c r="H577" s="151">
        <v>22</v>
      </c>
      <c r="I577" s="151">
        <v>638</v>
      </c>
      <c r="J577" s="151">
        <v>26</v>
      </c>
      <c r="K577" s="151">
        <v>754</v>
      </c>
      <c r="L577" s="220" t="s">
        <v>395</v>
      </c>
    </row>
    <row r="578" spans="1:12" hidden="1">
      <c r="A578" s="213">
        <v>42102137</v>
      </c>
      <c r="B578" s="151" t="s">
        <v>892</v>
      </c>
      <c r="C578" s="220" t="s">
        <v>410</v>
      </c>
      <c r="D578" s="151" t="s">
        <v>411</v>
      </c>
      <c r="E578" s="151" t="s">
        <v>841</v>
      </c>
      <c r="F578" s="213">
        <v>385</v>
      </c>
      <c r="G578" s="151">
        <v>29</v>
      </c>
      <c r="H578" s="151">
        <v>22</v>
      </c>
      <c r="I578" s="151">
        <v>638</v>
      </c>
      <c r="J578" s="151">
        <v>26</v>
      </c>
      <c r="K578" s="151">
        <v>754</v>
      </c>
      <c r="L578" s="220" t="s">
        <v>395</v>
      </c>
    </row>
    <row r="579" spans="1:12" hidden="1">
      <c r="A579" s="213">
        <v>42102138</v>
      </c>
      <c r="B579" s="151" t="s">
        <v>893</v>
      </c>
      <c r="C579" s="220" t="s">
        <v>410</v>
      </c>
      <c r="D579" s="151" t="s">
        <v>411</v>
      </c>
      <c r="E579" s="151" t="s">
        <v>841</v>
      </c>
      <c r="F579" s="213">
        <v>390</v>
      </c>
      <c r="G579" s="151">
        <v>29</v>
      </c>
      <c r="H579" s="151">
        <v>22</v>
      </c>
      <c r="I579" s="151">
        <v>638</v>
      </c>
      <c r="J579" s="151">
        <v>26</v>
      </c>
      <c r="K579" s="151">
        <v>754</v>
      </c>
      <c r="L579" s="220" t="s">
        <v>395</v>
      </c>
    </row>
    <row r="580" spans="1:12" hidden="1">
      <c r="A580" s="213">
        <v>42102139</v>
      </c>
      <c r="B580" s="151" t="s">
        <v>894</v>
      </c>
      <c r="C580" s="220" t="s">
        <v>410</v>
      </c>
      <c r="D580" s="151" t="s">
        <v>411</v>
      </c>
      <c r="E580" s="151" t="s">
        <v>841</v>
      </c>
      <c r="F580" s="213">
        <v>395</v>
      </c>
      <c r="G580" s="151">
        <v>29</v>
      </c>
      <c r="H580" s="151">
        <v>22</v>
      </c>
      <c r="I580" s="151">
        <v>638</v>
      </c>
      <c r="J580" s="151">
        <v>26</v>
      </c>
      <c r="K580" s="151">
        <v>754</v>
      </c>
      <c r="L580" s="220" t="s">
        <v>395</v>
      </c>
    </row>
    <row r="581" spans="1:12" hidden="1">
      <c r="A581" s="213">
        <v>42102140</v>
      </c>
      <c r="B581" s="151" t="s">
        <v>895</v>
      </c>
      <c r="C581" s="220" t="s">
        <v>410</v>
      </c>
      <c r="D581" s="151" t="s">
        <v>411</v>
      </c>
      <c r="E581" s="151" t="s">
        <v>841</v>
      </c>
      <c r="F581" s="213">
        <v>400</v>
      </c>
      <c r="G581" s="151">
        <v>29</v>
      </c>
      <c r="H581" s="151">
        <v>22</v>
      </c>
      <c r="I581" s="151">
        <v>638</v>
      </c>
      <c r="J581" s="151">
        <v>26</v>
      </c>
      <c r="K581" s="151">
        <v>754</v>
      </c>
      <c r="L581" s="220" t="s">
        <v>395</v>
      </c>
    </row>
    <row r="582" spans="1:12" hidden="1">
      <c r="A582" s="213">
        <v>41201119</v>
      </c>
      <c r="B582" s="151" t="s">
        <v>896</v>
      </c>
      <c r="C582" s="220" t="s">
        <v>552</v>
      </c>
      <c r="D582" s="151" t="s">
        <v>553</v>
      </c>
      <c r="E582" s="151" t="s">
        <v>841</v>
      </c>
      <c r="F582" s="213">
        <v>295</v>
      </c>
      <c r="G582" s="151">
        <v>32</v>
      </c>
      <c r="H582" s="151">
        <v>26</v>
      </c>
      <c r="I582" s="151">
        <v>832</v>
      </c>
      <c r="J582" s="151">
        <v>30</v>
      </c>
      <c r="K582" s="151">
        <v>960</v>
      </c>
      <c r="L582" s="220" t="s">
        <v>395</v>
      </c>
    </row>
    <row r="583" spans="1:12" hidden="1">
      <c r="A583" s="213">
        <v>41201120</v>
      </c>
      <c r="B583" s="151" t="s">
        <v>897</v>
      </c>
      <c r="C583" s="220" t="s">
        <v>552</v>
      </c>
      <c r="D583" s="151" t="s">
        <v>553</v>
      </c>
      <c r="E583" s="151" t="s">
        <v>841</v>
      </c>
      <c r="F583" s="213">
        <v>300</v>
      </c>
      <c r="G583" s="151">
        <v>32</v>
      </c>
      <c r="H583" s="151">
        <v>26</v>
      </c>
      <c r="I583" s="151">
        <v>832</v>
      </c>
      <c r="J583" s="151">
        <v>30</v>
      </c>
      <c r="K583" s="151">
        <v>960</v>
      </c>
      <c r="L583" s="220" t="s">
        <v>395</v>
      </c>
    </row>
    <row r="584" spans="1:12" hidden="1">
      <c r="A584" s="213">
        <v>41201121</v>
      </c>
      <c r="B584" s="151" t="s">
        <v>557</v>
      </c>
      <c r="C584" s="220" t="s">
        <v>552</v>
      </c>
      <c r="D584" s="151" t="s">
        <v>553</v>
      </c>
      <c r="E584" s="151" t="s">
        <v>841</v>
      </c>
      <c r="F584" s="213">
        <v>305</v>
      </c>
      <c r="G584" s="151">
        <v>32</v>
      </c>
      <c r="H584" s="151">
        <v>26</v>
      </c>
      <c r="I584" s="151">
        <v>832</v>
      </c>
      <c r="J584" s="151">
        <v>30</v>
      </c>
      <c r="K584" s="151">
        <v>960</v>
      </c>
      <c r="L584" s="220" t="s">
        <v>395</v>
      </c>
    </row>
    <row r="585" spans="1:12" hidden="1">
      <c r="A585" s="213">
        <v>41201122</v>
      </c>
      <c r="B585" s="151" t="s">
        <v>558</v>
      </c>
      <c r="C585" s="151" t="s">
        <v>552</v>
      </c>
      <c r="D585" s="151" t="s">
        <v>553</v>
      </c>
      <c r="E585" s="151" t="s">
        <v>841</v>
      </c>
      <c r="F585" s="213">
        <v>310</v>
      </c>
      <c r="G585" s="151">
        <v>32</v>
      </c>
      <c r="H585" s="151">
        <v>26</v>
      </c>
      <c r="I585" s="151">
        <v>832</v>
      </c>
      <c r="J585" s="151">
        <v>30</v>
      </c>
      <c r="K585" s="151">
        <v>960</v>
      </c>
      <c r="L585" s="151"/>
    </row>
    <row r="586" spans="1:12" hidden="1">
      <c r="A586" s="213">
        <v>41201123</v>
      </c>
      <c r="B586" s="151" t="s">
        <v>898</v>
      </c>
      <c r="C586" s="151" t="s">
        <v>552</v>
      </c>
      <c r="D586" s="151" t="s">
        <v>553</v>
      </c>
      <c r="E586" s="151" t="s">
        <v>841</v>
      </c>
      <c r="F586" s="213">
        <v>315</v>
      </c>
      <c r="G586" s="151">
        <v>32</v>
      </c>
      <c r="H586" s="151">
        <v>26</v>
      </c>
      <c r="I586" s="151">
        <v>832</v>
      </c>
      <c r="J586" s="151">
        <v>30</v>
      </c>
      <c r="K586" s="151">
        <v>960</v>
      </c>
      <c r="L586" s="151"/>
    </row>
    <row r="587" spans="1:12" hidden="1">
      <c r="A587" s="213">
        <v>43209123</v>
      </c>
      <c r="B587" s="151" t="s">
        <v>899</v>
      </c>
      <c r="C587" s="151" t="s">
        <v>552</v>
      </c>
      <c r="D587" s="151" t="s">
        <v>553</v>
      </c>
      <c r="E587" s="151" t="s">
        <v>841</v>
      </c>
      <c r="F587" s="213">
        <v>315</v>
      </c>
      <c r="G587" s="151">
        <v>32</v>
      </c>
      <c r="H587" s="151">
        <v>26</v>
      </c>
      <c r="I587" s="151">
        <v>832</v>
      </c>
      <c r="J587" s="151">
        <v>30</v>
      </c>
      <c r="K587" s="151">
        <v>960</v>
      </c>
      <c r="L587" s="151"/>
    </row>
    <row r="588" spans="1:12" hidden="1">
      <c r="A588" s="213">
        <v>41201124</v>
      </c>
      <c r="B588" s="151" t="s">
        <v>900</v>
      </c>
      <c r="C588" s="151" t="s">
        <v>552</v>
      </c>
      <c r="D588" s="151" t="s">
        <v>553</v>
      </c>
      <c r="E588" s="151" t="s">
        <v>841</v>
      </c>
      <c r="F588" s="213">
        <v>320</v>
      </c>
      <c r="G588" s="151">
        <v>32</v>
      </c>
      <c r="H588" s="151">
        <v>26</v>
      </c>
      <c r="I588" s="151">
        <v>832</v>
      </c>
      <c r="J588" s="151">
        <v>30</v>
      </c>
      <c r="K588" s="151">
        <v>960</v>
      </c>
      <c r="L588" s="151"/>
    </row>
    <row r="589" spans="1:12" hidden="1">
      <c r="A589" s="213">
        <v>43209124</v>
      </c>
      <c r="B589" s="151" t="s">
        <v>901</v>
      </c>
      <c r="C589" s="151" t="s">
        <v>552</v>
      </c>
      <c r="D589" s="151" t="s">
        <v>553</v>
      </c>
      <c r="E589" s="151" t="s">
        <v>841</v>
      </c>
      <c r="F589" s="213">
        <v>320</v>
      </c>
      <c r="G589" s="151">
        <v>32</v>
      </c>
      <c r="H589" s="151">
        <v>26</v>
      </c>
      <c r="I589" s="151">
        <v>832</v>
      </c>
      <c r="J589" s="151">
        <v>30</v>
      </c>
      <c r="K589" s="151">
        <v>960</v>
      </c>
      <c r="L589" s="151"/>
    </row>
    <row r="590" spans="1:12" hidden="1">
      <c r="A590" s="213">
        <v>41201125</v>
      </c>
      <c r="B590" s="151" t="s">
        <v>902</v>
      </c>
      <c r="C590" s="220" t="s">
        <v>552</v>
      </c>
      <c r="D590" s="151" t="s">
        <v>553</v>
      </c>
      <c r="E590" s="151" t="s">
        <v>841</v>
      </c>
      <c r="F590" s="213">
        <v>325</v>
      </c>
      <c r="G590" s="151">
        <v>32</v>
      </c>
      <c r="H590" s="151">
        <v>26</v>
      </c>
      <c r="I590" s="151">
        <v>832</v>
      </c>
      <c r="J590" s="151">
        <v>30</v>
      </c>
      <c r="K590" s="151">
        <v>960</v>
      </c>
      <c r="L590" s="220" t="s">
        <v>395</v>
      </c>
    </row>
    <row r="591" spans="1:12" hidden="1">
      <c r="A591" s="213">
        <v>41201126</v>
      </c>
      <c r="B591" s="151" t="s">
        <v>903</v>
      </c>
      <c r="C591" s="220" t="s">
        <v>552</v>
      </c>
      <c r="D591" s="151" t="s">
        <v>553</v>
      </c>
      <c r="E591" s="151" t="s">
        <v>841</v>
      </c>
      <c r="F591" s="213">
        <v>330</v>
      </c>
      <c r="G591" s="151">
        <v>32</v>
      </c>
      <c r="H591" s="151">
        <v>26</v>
      </c>
      <c r="I591" s="151">
        <v>832</v>
      </c>
      <c r="J591" s="151">
        <v>30</v>
      </c>
      <c r="K591" s="151">
        <v>960</v>
      </c>
      <c r="L591" s="220" t="s">
        <v>395</v>
      </c>
    </row>
    <row r="592" spans="1:12" hidden="1">
      <c r="A592" s="213">
        <v>41201127</v>
      </c>
      <c r="B592" s="151" t="s">
        <v>904</v>
      </c>
      <c r="C592" s="220" t="s">
        <v>552</v>
      </c>
      <c r="D592" s="151" t="s">
        <v>553</v>
      </c>
      <c r="E592" s="151" t="s">
        <v>841</v>
      </c>
      <c r="F592" s="213">
        <v>335</v>
      </c>
      <c r="G592" s="151">
        <v>32</v>
      </c>
      <c r="H592" s="151">
        <v>26</v>
      </c>
      <c r="I592" s="151">
        <v>832</v>
      </c>
      <c r="J592" s="151">
        <v>30</v>
      </c>
      <c r="K592" s="151">
        <v>960</v>
      </c>
      <c r="L592" s="220" t="s">
        <v>395</v>
      </c>
    </row>
    <row r="593" spans="1:12" hidden="1">
      <c r="A593" s="213">
        <v>41201128</v>
      </c>
      <c r="B593" s="151" t="s">
        <v>905</v>
      </c>
      <c r="C593" s="220" t="s">
        <v>552</v>
      </c>
      <c r="D593" s="151" t="s">
        <v>553</v>
      </c>
      <c r="E593" s="151" t="s">
        <v>841</v>
      </c>
      <c r="F593" s="213">
        <v>340</v>
      </c>
      <c r="G593" s="151">
        <v>32</v>
      </c>
      <c r="H593" s="151">
        <v>26</v>
      </c>
      <c r="I593" s="151">
        <v>832</v>
      </c>
      <c r="J593" s="151">
        <v>30</v>
      </c>
      <c r="K593" s="151">
        <v>960</v>
      </c>
      <c r="L593" s="220" t="s">
        <v>395</v>
      </c>
    </row>
    <row r="594" spans="1:12" hidden="1">
      <c r="A594" s="213">
        <v>41201129</v>
      </c>
      <c r="B594" s="151" t="s">
        <v>906</v>
      </c>
      <c r="C594" s="220" t="s">
        <v>552</v>
      </c>
      <c r="D594" s="151" t="s">
        <v>553</v>
      </c>
      <c r="E594" s="151" t="s">
        <v>841</v>
      </c>
      <c r="F594" s="213">
        <v>345</v>
      </c>
      <c r="G594" s="151">
        <v>32</v>
      </c>
      <c r="H594" s="151">
        <v>26</v>
      </c>
      <c r="I594" s="151">
        <v>832</v>
      </c>
      <c r="J594" s="151">
        <v>30</v>
      </c>
      <c r="K594" s="151">
        <v>960</v>
      </c>
      <c r="L594" s="220" t="s">
        <v>395</v>
      </c>
    </row>
    <row r="595" spans="1:12" hidden="1">
      <c r="A595" s="213">
        <v>41201130</v>
      </c>
      <c r="B595" s="151" t="s">
        <v>907</v>
      </c>
      <c r="C595" s="220" t="s">
        <v>552</v>
      </c>
      <c r="D595" s="151" t="s">
        <v>553</v>
      </c>
      <c r="E595" s="151" t="s">
        <v>841</v>
      </c>
      <c r="F595" s="213">
        <v>350</v>
      </c>
      <c r="G595" s="151">
        <v>32</v>
      </c>
      <c r="H595" s="151">
        <v>26</v>
      </c>
      <c r="I595" s="151">
        <v>832</v>
      </c>
      <c r="J595" s="151">
        <v>30</v>
      </c>
      <c r="K595" s="151">
        <v>960</v>
      </c>
      <c r="L595" s="220" t="s">
        <v>395</v>
      </c>
    </row>
    <row r="596" spans="1:12" hidden="1">
      <c r="A596" s="213">
        <v>41201131</v>
      </c>
      <c r="B596" s="151" t="s">
        <v>908</v>
      </c>
      <c r="C596" s="220" t="s">
        <v>552</v>
      </c>
      <c r="D596" s="151" t="s">
        <v>553</v>
      </c>
      <c r="E596" s="151" t="s">
        <v>841</v>
      </c>
      <c r="F596" s="213">
        <v>355</v>
      </c>
      <c r="G596" s="151">
        <v>32</v>
      </c>
      <c r="H596" s="151">
        <v>26</v>
      </c>
      <c r="I596" s="151">
        <v>832</v>
      </c>
      <c r="J596" s="151">
        <v>30</v>
      </c>
      <c r="K596" s="151">
        <v>960</v>
      </c>
      <c r="L596" s="220" t="s">
        <v>395</v>
      </c>
    </row>
    <row r="597" spans="1:12" hidden="1">
      <c r="A597" s="213">
        <v>41201132</v>
      </c>
      <c r="B597" s="151" t="s">
        <v>909</v>
      </c>
      <c r="C597" s="220" t="s">
        <v>552</v>
      </c>
      <c r="D597" s="151" t="s">
        <v>553</v>
      </c>
      <c r="E597" s="151" t="s">
        <v>841</v>
      </c>
      <c r="F597" s="213">
        <v>360</v>
      </c>
      <c r="G597" s="151">
        <v>32</v>
      </c>
      <c r="H597" s="151">
        <v>26</v>
      </c>
      <c r="I597" s="151">
        <v>832</v>
      </c>
      <c r="J597" s="151">
        <v>30</v>
      </c>
      <c r="K597" s="151">
        <v>960</v>
      </c>
      <c r="L597" s="220" t="s">
        <v>395</v>
      </c>
    </row>
    <row r="598" spans="1:12" hidden="1">
      <c r="A598" s="213">
        <v>41201133</v>
      </c>
      <c r="B598" s="151" t="s">
        <v>910</v>
      </c>
      <c r="C598" s="220" t="s">
        <v>552</v>
      </c>
      <c r="D598" s="151" t="s">
        <v>553</v>
      </c>
      <c r="E598" s="151" t="s">
        <v>841</v>
      </c>
      <c r="F598" s="213">
        <v>365</v>
      </c>
      <c r="G598" s="151">
        <v>32</v>
      </c>
      <c r="H598" s="151">
        <v>26</v>
      </c>
      <c r="I598" s="151">
        <v>832</v>
      </c>
      <c r="J598" s="151">
        <v>30</v>
      </c>
      <c r="K598" s="151">
        <v>960</v>
      </c>
      <c r="L598" s="220" t="s">
        <v>395</v>
      </c>
    </row>
    <row r="599" spans="1:12" hidden="1">
      <c r="A599" s="213">
        <v>41202119</v>
      </c>
      <c r="B599" s="151" t="s">
        <v>896</v>
      </c>
      <c r="C599" s="220" t="s">
        <v>552</v>
      </c>
      <c r="D599" s="151" t="s">
        <v>553</v>
      </c>
      <c r="E599" s="151" t="s">
        <v>841</v>
      </c>
      <c r="F599" s="213">
        <v>295</v>
      </c>
      <c r="G599" s="151">
        <v>32</v>
      </c>
      <c r="H599" s="151">
        <v>26</v>
      </c>
      <c r="I599" s="151">
        <v>832</v>
      </c>
      <c r="J599" s="151">
        <v>30</v>
      </c>
      <c r="K599" s="151">
        <v>960</v>
      </c>
      <c r="L599" s="220" t="s">
        <v>395</v>
      </c>
    </row>
    <row r="600" spans="1:12" hidden="1">
      <c r="A600" s="213">
        <v>41202120</v>
      </c>
      <c r="B600" s="151" t="s">
        <v>897</v>
      </c>
      <c r="C600" s="220" t="s">
        <v>552</v>
      </c>
      <c r="D600" s="151" t="s">
        <v>553</v>
      </c>
      <c r="E600" s="151" t="s">
        <v>841</v>
      </c>
      <c r="F600" s="213">
        <v>300</v>
      </c>
      <c r="G600" s="151">
        <v>32</v>
      </c>
      <c r="H600" s="151">
        <v>26</v>
      </c>
      <c r="I600" s="151">
        <v>832</v>
      </c>
      <c r="J600" s="151">
        <v>30</v>
      </c>
      <c r="K600" s="151">
        <v>960</v>
      </c>
      <c r="L600" s="220" t="s">
        <v>395</v>
      </c>
    </row>
    <row r="601" spans="1:12" hidden="1">
      <c r="A601" s="213">
        <v>41202121</v>
      </c>
      <c r="B601" s="151" t="s">
        <v>557</v>
      </c>
      <c r="C601" s="220" t="s">
        <v>552</v>
      </c>
      <c r="D601" s="151" t="s">
        <v>553</v>
      </c>
      <c r="E601" s="151" t="s">
        <v>841</v>
      </c>
      <c r="F601" s="213">
        <v>305</v>
      </c>
      <c r="G601" s="151">
        <v>32</v>
      </c>
      <c r="H601" s="151">
        <v>26</v>
      </c>
      <c r="I601" s="151">
        <v>832</v>
      </c>
      <c r="J601" s="151">
        <v>30</v>
      </c>
      <c r="K601" s="151">
        <v>960</v>
      </c>
      <c r="L601" s="220" t="s">
        <v>395</v>
      </c>
    </row>
    <row r="602" spans="1:12" hidden="1">
      <c r="A602" s="213">
        <v>41202122</v>
      </c>
      <c r="B602" s="151" t="s">
        <v>558</v>
      </c>
      <c r="C602" s="151" t="s">
        <v>552</v>
      </c>
      <c r="D602" s="151" t="s">
        <v>553</v>
      </c>
      <c r="E602" s="151" t="s">
        <v>841</v>
      </c>
      <c r="F602" s="213">
        <v>310</v>
      </c>
      <c r="G602" s="151">
        <v>32</v>
      </c>
      <c r="H602" s="151">
        <v>26</v>
      </c>
      <c r="I602" s="151">
        <v>832</v>
      </c>
      <c r="J602" s="151">
        <v>30</v>
      </c>
      <c r="K602" s="151">
        <v>960</v>
      </c>
      <c r="L602" s="151"/>
    </row>
    <row r="603" spans="1:12" hidden="1">
      <c r="A603" s="213">
        <v>43205122</v>
      </c>
      <c r="B603" s="151" t="s">
        <v>558</v>
      </c>
      <c r="C603" s="151" t="s">
        <v>552</v>
      </c>
      <c r="D603" s="151" t="s">
        <v>553</v>
      </c>
      <c r="E603" s="151" t="s">
        <v>841</v>
      </c>
      <c r="F603" s="213">
        <v>310</v>
      </c>
      <c r="G603" s="151">
        <v>32</v>
      </c>
      <c r="H603" s="151">
        <v>26</v>
      </c>
      <c r="I603" s="151">
        <v>832</v>
      </c>
      <c r="J603" s="151">
        <v>30</v>
      </c>
      <c r="K603" s="151">
        <v>960</v>
      </c>
      <c r="L603" s="151"/>
    </row>
    <row r="604" spans="1:12" hidden="1">
      <c r="A604" s="213">
        <v>41202123</v>
      </c>
      <c r="B604" s="151" t="s">
        <v>898</v>
      </c>
      <c r="C604" s="151" t="s">
        <v>552</v>
      </c>
      <c r="D604" s="151" t="s">
        <v>553</v>
      </c>
      <c r="E604" s="151" t="s">
        <v>841</v>
      </c>
      <c r="F604" s="213">
        <v>315</v>
      </c>
      <c r="G604" s="151">
        <v>32</v>
      </c>
      <c r="H604" s="151">
        <v>26</v>
      </c>
      <c r="I604" s="151">
        <v>832</v>
      </c>
      <c r="J604" s="151">
        <v>30</v>
      </c>
      <c r="K604" s="151">
        <v>960</v>
      </c>
      <c r="L604" s="151"/>
    </row>
    <row r="605" spans="1:12" hidden="1">
      <c r="A605" s="213">
        <v>41202124</v>
      </c>
      <c r="B605" s="151" t="s">
        <v>900</v>
      </c>
      <c r="C605" s="151" t="s">
        <v>552</v>
      </c>
      <c r="D605" s="151" t="s">
        <v>553</v>
      </c>
      <c r="E605" s="151" t="s">
        <v>841</v>
      </c>
      <c r="F605" s="213">
        <v>320</v>
      </c>
      <c r="G605" s="151">
        <v>32</v>
      </c>
      <c r="H605" s="151">
        <v>26</v>
      </c>
      <c r="I605" s="151">
        <v>832</v>
      </c>
      <c r="J605" s="151">
        <v>30</v>
      </c>
      <c r="K605" s="151">
        <v>960</v>
      </c>
      <c r="L605" s="151"/>
    </row>
    <row r="606" spans="1:12" hidden="1">
      <c r="A606" s="213">
        <v>41202125</v>
      </c>
      <c r="B606" s="151" t="s">
        <v>902</v>
      </c>
      <c r="C606" s="220" t="s">
        <v>552</v>
      </c>
      <c r="D606" s="151" t="s">
        <v>553</v>
      </c>
      <c r="E606" s="151" t="s">
        <v>841</v>
      </c>
      <c r="F606" s="213">
        <v>325</v>
      </c>
      <c r="G606" s="151">
        <v>32</v>
      </c>
      <c r="H606" s="151">
        <v>26</v>
      </c>
      <c r="I606" s="151">
        <v>832</v>
      </c>
      <c r="J606" s="151">
        <v>30</v>
      </c>
      <c r="K606" s="151">
        <v>960</v>
      </c>
      <c r="L606" s="220" t="s">
        <v>395</v>
      </c>
    </row>
    <row r="607" spans="1:12" hidden="1">
      <c r="A607" s="213">
        <v>41202126</v>
      </c>
      <c r="B607" s="151" t="s">
        <v>903</v>
      </c>
      <c r="C607" s="220" t="s">
        <v>552</v>
      </c>
      <c r="D607" s="151" t="s">
        <v>553</v>
      </c>
      <c r="E607" s="151" t="s">
        <v>841</v>
      </c>
      <c r="F607" s="213">
        <v>330</v>
      </c>
      <c r="G607" s="151">
        <v>32</v>
      </c>
      <c r="H607" s="151">
        <v>26</v>
      </c>
      <c r="I607" s="151">
        <v>832</v>
      </c>
      <c r="J607" s="151">
        <v>30</v>
      </c>
      <c r="K607" s="151">
        <v>960</v>
      </c>
      <c r="L607" s="220" t="s">
        <v>395</v>
      </c>
    </row>
    <row r="608" spans="1:12" hidden="1">
      <c r="A608" s="213">
        <v>41202127</v>
      </c>
      <c r="B608" s="151" t="s">
        <v>904</v>
      </c>
      <c r="C608" s="220" t="s">
        <v>552</v>
      </c>
      <c r="D608" s="151" t="s">
        <v>553</v>
      </c>
      <c r="E608" s="151" t="s">
        <v>841</v>
      </c>
      <c r="F608" s="213">
        <v>335</v>
      </c>
      <c r="G608" s="151">
        <v>32</v>
      </c>
      <c r="H608" s="151">
        <v>26</v>
      </c>
      <c r="I608" s="151">
        <v>832</v>
      </c>
      <c r="J608" s="151">
        <v>30</v>
      </c>
      <c r="K608" s="151">
        <v>960</v>
      </c>
      <c r="L608" s="220" t="s">
        <v>395</v>
      </c>
    </row>
    <row r="609" spans="1:12" hidden="1">
      <c r="A609" s="213">
        <v>41202128</v>
      </c>
      <c r="B609" s="151" t="s">
        <v>905</v>
      </c>
      <c r="C609" s="220" t="s">
        <v>552</v>
      </c>
      <c r="D609" s="151" t="s">
        <v>553</v>
      </c>
      <c r="E609" s="151" t="s">
        <v>841</v>
      </c>
      <c r="F609" s="213">
        <v>340</v>
      </c>
      <c r="G609" s="151">
        <v>32</v>
      </c>
      <c r="H609" s="151">
        <v>26</v>
      </c>
      <c r="I609" s="151">
        <v>832</v>
      </c>
      <c r="J609" s="151">
        <v>30</v>
      </c>
      <c r="K609" s="151">
        <v>960</v>
      </c>
      <c r="L609" s="220" t="s">
        <v>395</v>
      </c>
    </row>
    <row r="610" spans="1:12" hidden="1">
      <c r="A610" s="213">
        <v>41202129</v>
      </c>
      <c r="B610" s="151" t="s">
        <v>906</v>
      </c>
      <c r="C610" s="220" t="s">
        <v>552</v>
      </c>
      <c r="D610" s="151" t="s">
        <v>553</v>
      </c>
      <c r="E610" s="151" t="s">
        <v>841</v>
      </c>
      <c r="F610" s="213">
        <v>345</v>
      </c>
      <c r="G610" s="151">
        <v>32</v>
      </c>
      <c r="H610" s="151">
        <v>26</v>
      </c>
      <c r="I610" s="151">
        <v>832</v>
      </c>
      <c r="J610" s="151">
        <v>30</v>
      </c>
      <c r="K610" s="151">
        <v>960</v>
      </c>
      <c r="L610" s="220" t="s">
        <v>395</v>
      </c>
    </row>
    <row r="611" spans="1:12" hidden="1">
      <c r="A611" s="213">
        <v>41202130</v>
      </c>
      <c r="B611" s="151" t="s">
        <v>907</v>
      </c>
      <c r="C611" s="220" t="s">
        <v>552</v>
      </c>
      <c r="D611" s="151" t="s">
        <v>553</v>
      </c>
      <c r="E611" s="151" t="s">
        <v>841</v>
      </c>
      <c r="F611" s="213">
        <v>350</v>
      </c>
      <c r="G611" s="151">
        <v>32</v>
      </c>
      <c r="H611" s="151">
        <v>26</v>
      </c>
      <c r="I611" s="151">
        <v>832</v>
      </c>
      <c r="J611" s="151">
        <v>30</v>
      </c>
      <c r="K611" s="151">
        <v>960</v>
      </c>
      <c r="L611" s="220" t="s">
        <v>395</v>
      </c>
    </row>
    <row r="612" spans="1:12" hidden="1">
      <c r="A612" s="213">
        <v>41202131</v>
      </c>
      <c r="B612" s="151" t="s">
        <v>908</v>
      </c>
      <c r="C612" s="220" t="s">
        <v>552</v>
      </c>
      <c r="D612" s="151" t="s">
        <v>553</v>
      </c>
      <c r="E612" s="151" t="s">
        <v>841</v>
      </c>
      <c r="F612" s="213">
        <v>355</v>
      </c>
      <c r="G612" s="151">
        <v>32</v>
      </c>
      <c r="H612" s="151">
        <v>26</v>
      </c>
      <c r="I612" s="151">
        <v>832</v>
      </c>
      <c r="J612" s="151">
        <v>30</v>
      </c>
      <c r="K612" s="151">
        <v>960</v>
      </c>
      <c r="L612" s="220" t="s">
        <v>395</v>
      </c>
    </row>
    <row r="613" spans="1:12" hidden="1">
      <c r="A613" s="213">
        <v>41202132</v>
      </c>
      <c r="B613" s="151" t="s">
        <v>909</v>
      </c>
      <c r="C613" s="220" t="s">
        <v>552</v>
      </c>
      <c r="D613" s="151" t="s">
        <v>553</v>
      </c>
      <c r="E613" s="151" t="s">
        <v>841</v>
      </c>
      <c r="F613" s="213">
        <v>360</v>
      </c>
      <c r="G613" s="151">
        <v>32</v>
      </c>
      <c r="H613" s="151">
        <v>26</v>
      </c>
      <c r="I613" s="151">
        <v>832</v>
      </c>
      <c r="J613" s="151">
        <v>30</v>
      </c>
      <c r="K613" s="151">
        <v>960</v>
      </c>
      <c r="L613" s="220" t="s">
        <v>395</v>
      </c>
    </row>
    <row r="614" spans="1:12" hidden="1">
      <c r="A614" s="213">
        <v>41202133</v>
      </c>
      <c r="B614" s="151" t="s">
        <v>910</v>
      </c>
      <c r="C614" s="220" t="s">
        <v>552</v>
      </c>
      <c r="D614" s="151" t="s">
        <v>553</v>
      </c>
      <c r="E614" s="151" t="s">
        <v>841</v>
      </c>
      <c r="F614" s="213">
        <v>365</v>
      </c>
      <c r="G614" s="151">
        <v>32</v>
      </c>
      <c r="H614" s="151">
        <v>26</v>
      </c>
      <c r="I614" s="151">
        <v>832</v>
      </c>
      <c r="J614" s="151">
        <v>30</v>
      </c>
      <c r="K614" s="151">
        <v>960</v>
      </c>
      <c r="L614" s="220" t="s">
        <v>395</v>
      </c>
    </row>
    <row r="615" spans="1:12" hidden="1">
      <c r="A615" s="213">
        <v>41202523</v>
      </c>
      <c r="B615" s="151" t="s">
        <v>898</v>
      </c>
      <c r="C615" s="151" t="s">
        <v>552</v>
      </c>
      <c r="D615" s="151" t="s">
        <v>553</v>
      </c>
      <c r="E615" s="151" t="s">
        <v>851</v>
      </c>
      <c r="F615" s="213">
        <v>315</v>
      </c>
      <c r="G615" s="151">
        <v>32</v>
      </c>
      <c r="H615" s="151">
        <v>26</v>
      </c>
      <c r="I615" s="151">
        <v>832</v>
      </c>
      <c r="J615" s="151">
        <v>30</v>
      </c>
      <c r="K615" s="151">
        <v>960</v>
      </c>
      <c r="L615" s="151"/>
    </row>
    <row r="616" spans="1:12" hidden="1">
      <c r="A616" s="213">
        <v>43101132</v>
      </c>
      <c r="B616" s="151" t="s">
        <v>840</v>
      </c>
      <c r="C616" s="151" t="s">
        <v>639</v>
      </c>
      <c r="D616" s="151" t="s">
        <v>640</v>
      </c>
      <c r="E616" s="151" t="s">
        <v>841</v>
      </c>
      <c r="F616" s="213">
        <v>360</v>
      </c>
      <c r="G616" s="151">
        <v>29</v>
      </c>
      <c r="H616" s="151">
        <v>22</v>
      </c>
      <c r="I616" s="151">
        <v>638</v>
      </c>
      <c r="J616" s="151">
        <v>26</v>
      </c>
      <c r="K616" s="151">
        <v>754</v>
      </c>
      <c r="L616" s="151"/>
    </row>
    <row r="617" spans="1:12" hidden="1">
      <c r="A617" s="213">
        <v>43101133</v>
      </c>
      <c r="B617" s="151" t="s">
        <v>842</v>
      </c>
      <c r="C617" s="151" t="s">
        <v>639</v>
      </c>
      <c r="D617" s="151" t="s">
        <v>640</v>
      </c>
      <c r="E617" s="151" t="s">
        <v>841</v>
      </c>
      <c r="F617" s="213">
        <v>365</v>
      </c>
      <c r="G617" s="151">
        <v>29</v>
      </c>
      <c r="H617" s="151">
        <v>22</v>
      </c>
      <c r="I617" s="151">
        <v>638</v>
      </c>
      <c r="J617" s="151">
        <v>26</v>
      </c>
      <c r="K617" s="151">
        <v>754</v>
      </c>
      <c r="L617" s="151"/>
    </row>
    <row r="618" spans="1:12" hidden="1">
      <c r="A618" s="213">
        <v>43101134</v>
      </c>
      <c r="B618" s="151" t="s">
        <v>843</v>
      </c>
      <c r="C618" s="151" t="s">
        <v>639</v>
      </c>
      <c r="D618" s="151" t="s">
        <v>640</v>
      </c>
      <c r="E618" s="151" t="s">
        <v>841</v>
      </c>
      <c r="F618" s="213">
        <v>370</v>
      </c>
      <c r="G618" s="151">
        <v>29</v>
      </c>
      <c r="H618" s="151">
        <v>22</v>
      </c>
      <c r="I618" s="151">
        <v>638</v>
      </c>
      <c r="J618" s="151">
        <v>26</v>
      </c>
      <c r="K618" s="151">
        <v>754</v>
      </c>
      <c r="L618" s="151"/>
    </row>
    <row r="619" spans="1:12" hidden="1">
      <c r="A619" s="213">
        <v>43101135</v>
      </c>
      <c r="B619" s="151" t="s">
        <v>844</v>
      </c>
      <c r="C619" s="151" t="s">
        <v>639</v>
      </c>
      <c r="D619" s="151" t="s">
        <v>640</v>
      </c>
      <c r="E619" s="151" t="s">
        <v>841</v>
      </c>
      <c r="F619" s="213">
        <v>375</v>
      </c>
      <c r="G619" s="151">
        <v>29</v>
      </c>
      <c r="H619" s="151">
        <v>22</v>
      </c>
      <c r="I619" s="151">
        <v>638</v>
      </c>
      <c r="J619" s="151">
        <v>26</v>
      </c>
      <c r="K619" s="151">
        <v>754</v>
      </c>
      <c r="L619" s="151"/>
    </row>
    <row r="620" spans="1:12" hidden="1">
      <c r="A620" s="213">
        <v>43101136</v>
      </c>
      <c r="B620" s="151" t="s">
        <v>845</v>
      </c>
      <c r="C620" s="151" t="s">
        <v>639</v>
      </c>
      <c r="D620" s="151" t="s">
        <v>640</v>
      </c>
      <c r="E620" s="151" t="s">
        <v>841</v>
      </c>
      <c r="F620" s="213">
        <v>380</v>
      </c>
      <c r="G620" s="151">
        <v>29</v>
      </c>
      <c r="H620" s="151">
        <v>22</v>
      </c>
      <c r="I620" s="151">
        <v>638</v>
      </c>
      <c r="J620" s="151">
        <v>26</v>
      </c>
      <c r="K620" s="151">
        <v>754</v>
      </c>
      <c r="L620" s="151"/>
    </row>
    <row r="621" spans="1:12" hidden="1">
      <c r="A621" s="213">
        <v>47103136</v>
      </c>
      <c r="B621" s="151" t="s">
        <v>845</v>
      </c>
      <c r="C621" s="220" t="s">
        <v>639</v>
      </c>
      <c r="D621" s="151" t="s">
        <v>640</v>
      </c>
      <c r="E621" s="151" t="s">
        <v>841</v>
      </c>
      <c r="F621" s="213">
        <v>380</v>
      </c>
      <c r="G621" s="151">
        <v>29</v>
      </c>
      <c r="H621" s="151">
        <v>22</v>
      </c>
      <c r="I621" s="151">
        <v>638</v>
      </c>
      <c r="J621" s="151">
        <v>26</v>
      </c>
      <c r="K621" s="151">
        <v>754</v>
      </c>
      <c r="L621" s="220" t="s">
        <v>395</v>
      </c>
    </row>
    <row r="622" spans="1:12" hidden="1">
      <c r="A622" s="213">
        <v>43101137</v>
      </c>
      <c r="B622" s="151" t="s">
        <v>792</v>
      </c>
      <c r="C622" s="151" t="s">
        <v>639</v>
      </c>
      <c r="D622" s="151" t="s">
        <v>640</v>
      </c>
      <c r="E622" s="151" t="s">
        <v>841</v>
      </c>
      <c r="F622" s="213">
        <v>385</v>
      </c>
      <c r="G622" s="151">
        <v>29</v>
      </c>
      <c r="H622" s="151">
        <v>22</v>
      </c>
      <c r="I622" s="151">
        <v>638</v>
      </c>
      <c r="J622" s="151">
        <v>26</v>
      </c>
      <c r="K622" s="151">
        <v>754</v>
      </c>
      <c r="L622" s="151"/>
    </row>
    <row r="623" spans="1:12" hidden="1">
      <c r="A623" s="213">
        <v>43101138</v>
      </c>
      <c r="B623" s="151" t="s">
        <v>789</v>
      </c>
      <c r="C623" s="151" t="s">
        <v>639</v>
      </c>
      <c r="D623" s="151" t="s">
        <v>640</v>
      </c>
      <c r="E623" s="151" t="s">
        <v>841</v>
      </c>
      <c r="F623" s="213">
        <v>390</v>
      </c>
      <c r="G623" s="151">
        <v>29</v>
      </c>
      <c r="H623" s="151">
        <v>22</v>
      </c>
      <c r="I623" s="151">
        <v>638</v>
      </c>
      <c r="J623" s="151">
        <v>26</v>
      </c>
      <c r="K623" s="151">
        <v>754</v>
      </c>
      <c r="L623" s="151"/>
    </row>
    <row r="624" spans="1:12" hidden="1">
      <c r="A624" s="213">
        <v>43101139</v>
      </c>
      <c r="B624" s="151" t="s">
        <v>788</v>
      </c>
      <c r="C624" s="151" t="s">
        <v>639</v>
      </c>
      <c r="D624" s="151" t="s">
        <v>640</v>
      </c>
      <c r="E624" s="151" t="s">
        <v>841</v>
      </c>
      <c r="F624" s="213">
        <v>395</v>
      </c>
      <c r="G624" s="151">
        <v>29</v>
      </c>
      <c r="H624" s="151">
        <v>22</v>
      </c>
      <c r="I624" s="151">
        <v>638</v>
      </c>
      <c r="J624" s="151">
        <v>26</v>
      </c>
      <c r="K624" s="151">
        <v>754</v>
      </c>
      <c r="L624" s="151"/>
    </row>
    <row r="625" spans="1:12" hidden="1">
      <c r="A625" s="213">
        <v>43104139</v>
      </c>
      <c r="B625" s="151" t="s">
        <v>788</v>
      </c>
      <c r="C625" s="151" t="s">
        <v>639</v>
      </c>
      <c r="D625" s="151" t="s">
        <v>640</v>
      </c>
      <c r="E625" s="151" t="s">
        <v>841</v>
      </c>
      <c r="F625" s="213">
        <v>395</v>
      </c>
      <c r="G625" s="151">
        <v>29</v>
      </c>
      <c r="H625" s="151">
        <v>22</v>
      </c>
      <c r="I625" s="151">
        <v>638</v>
      </c>
      <c r="J625" s="151">
        <v>26</v>
      </c>
      <c r="K625" s="151">
        <v>754</v>
      </c>
      <c r="L625" s="151"/>
    </row>
    <row r="626" spans="1:12" hidden="1">
      <c r="A626" s="213">
        <v>43105139</v>
      </c>
      <c r="B626" s="151" t="s">
        <v>911</v>
      </c>
      <c r="C626" s="151" t="s">
        <v>639</v>
      </c>
      <c r="D626" s="151" t="s">
        <v>640</v>
      </c>
      <c r="E626" s="151" t="s">
        <v>841</v>
      </c>
      <c r="F626" s="213">
        <v>395</v>
      </c>
      <c r="G626" s="151">
        <v>29</v>
      </c>
      <c r="H626" s="151">
        <v>22</v>
      </c>
      <c r="I626" s="151">
        <v>638</v>
      </c>
      <c r="J626" s="151">
        <v>26</v>
      </c>
      <c r="K626" s="151">
        <v>754</v>
      </c>
      <c r="L626" s="151"/>
    </row>
    <row r="627" spans="1:12" hidden="1">
      <c r="A627" s="213">
        <v>43105140</v>
      </c>
      <c r="B627" s="151" t="s">
        <v>912</v>
      </c>
      <c r="C627" s="151" t="s">
        <v>639</v>
      </c>
      <c r="D627" s="151" t="s">
        <v>640</v>
      </c>
      <c r="E627" s="151" t="s">
        <v>841</v>
      </c>
      <c r="F627" s="213">
        <v>400</v>
      </c>
      <c r="G627" s="151">
        <v>29</v>
      </c>
      <c r="H627" s="151">
        <v>22</v>
      </c>
      <c r="I627" s="151">
        <v>638</v>
      </c>
      <c r="J627" s="151">
        <v>26</v>
      </c>
      <c r="K627" s="151">
        <v>754</v>
      </c>
      <c r="L627" s="151"/>
    </row>
    <row r="628" spans="1:12" hidden="1">
      <c r="A628" s="213">
        <v>43101140</v>
      </c>
      <c r="B628" s="151" t="s">
        <v>790</v>
      </c>
      <c r="C628" s="151" t="s">
        <v>639</v>
      </c>
      <c r="D628" s="151" t="s">
        <v>640</v>
      </c>
      <c r="E628" s="151" t="s">
        <v>841</v>
      </c>
      <c r="F628" s="213">
        <v>400</v>
      </c>
      <c r="G628" s="151">
        <v>29</v>
      </c>
      <c r="H628" s="151">
        <v>22</v>
      </c>
      <c r="I628" s="151">
        <v>638</v>
      </c>
      <c r="J628" s="151">
        <v>26</v>
      </c>
      <c r="K628" s="151">
        <v>754</v>
      </c>
      <c r="L628" s="151"/>
    </row>
    <row r="629" spans="1:12" hidden="1">
      <c r="A629" s="213">
        <v>43104140</v>
      </c>
      <c r="B629" s="151" t="s">
        <v>790</v>
      </c>
      <c r="C629" s="151" t="s">
        <v>639</v>
      </c>
      <c r="D629" s="151" t="s">
        <v>640</v>
      </c>
      <c r="E629" s="151" t="s">
        <v>841</v>
      </c>
      <c r="F629" s="213">
        <v>400</v>
      </c>
      <c r="G629" s="151">
        <v>29</v>
      </c>
      <c r="H629" s="151">
        <v>22</v>
      </c>
      <c r="I629" s="151">
        <v>638</v>
      </c>
      <c r="J629" s="151">
        <v>26</v>
      </c>
      <c r="K629" s="151">
        <v>754</v>
      </c>
      <c r="L629" s="151"/>
    </row>
    <row r="630" spans="1:12" hidden="1">
      <c r="A630" s="213">
        <v>43103140</v>
      </c>
      <c r="B630" s="151" t="s">
        <v>790</v>
      </c>
      <c r="C630" s="151" t="s">
        <v>639</v>
      </c>
      <c r="D630" s="151" t="s">
        <v>640</v>
      </c>
      <c r="E630" s="151" t="s">
        <v>841</v>
      </c>
      <c r="F630" s="213">
        <v>400</v>
      </c>
      <c r="G630" s="151">
        <v>29</v>
      </c>
      <c r="H630" s="151">
        <v>22</v>
      </c>
      <c r="I630" s="151">
        <v>638</v>
      </c>
      <c r="J630" s="151">
        <v>26</v>
      </c>
      <c r="K630" s="151">
        <v>754</v>
      </c>
      <c r="L630" s="151"/>
    </row>
    <row r="631" spans="1:12" hidden="1">
      <c r="A631" s="213">
        <v>43107540</v>
      </c>
      <c r="B631" s="151" t="s">
        <v>913</v>
      </c>
      <c r="C631" s="151" t="s">
        <v>639</v>
      </c>
      <c r="D631" s="151" t="s">
        <v>640</v>
      </c>
      <c r="E631" s="151" t="s">
        <v>841</v>
      </c>
      <c r="F631" s="213">
        <v>400</v>
      </c>
      <c r="G631" s="151">
        <v>29</v>
      </c>
      <c r="H631" s="151">
        <v>22</v>
      </c>
      <c r="I631" s="151">
        <v>638</v>
      </c>
      <c r="J631" s="151">
        <v>26</v>
      </c>
      <c r="K631" s="151">
        <v>754</v>
      </c>
      <c r="L631" s="151"/>
    </row>
    <row r="632" spans="1:12" hidden="1">
      <c r="A632" s="213">
        <v>43107140</v>
      </c>
      <c r="B632" s="151" t="s">
        <v>913</v>
      </c>
      <c r="C632" s="151" t="s">
        <v>639</v>
      </c>
      <c r="D632" s="151" t="s">
        <v>640</v>
      </c>
      <c r="E632" s="151" t="s">
        <v>841</v>
      </c>
      <c r="F632" s="213">
        <v>400</v>
      </c>
      <c r="G632" s="151">
        <v>29</v>
      </c>
      <c r="H632" s="151">
        <v>22</v>
      </c>
      <c r="I632" s="151">
        <v>638</v>
      </c>
      <c r="J632" s="151">
        <v>26</v>
      </c>
      <c r="K632" s="151">
        <v>754</v>
      </c>
      <c r="L632" s="151"/>
    </row>
    <row r="633" spans="1:12" hidden="1">
      <c r="A633" s="213">
        <v>47102140</v>
      </c>
      <c r="B633" s="151" t="s">
        <v>914</v>
      </c>
      <c r="C633" s="151" t="s">
        <v>639</v>
      </c>
      <c r="D633" s="151" t="s">
        <v>640</v>
      </c>
      <c r="E633" s="151" t="s">
        <v>841</v>
      </c>
      <c r="F633" s="213">
        <v>400</v>
      </c>
      <c r="G633" s="151">
        <v>29</v>
      </c>
      <c r="H633" s="151">
        <v>22</v>
      </c>
      <c r="I633" s="151">
        <v>638</v>
      </c>
      <c r="J633" s="151">
        <v>26</v>
      </c>
      <c r="K633" s="151">
        <v>754</v>
      </c>
      <c r="L633" s="151"/>
    </row>
    <row r="634" spans="1:12" hidden="1">
      <c r="A634" s="213">
        <v>43101142</v>
      </c>
      <c r="B634" s="151" t="s">
        <v>846</v>
      </c>
      <c r="C634" s="220" t="s">
        <v>639</v>
      </c>
      <c r="D634" s="151" t="s">
        <v>640</v>
      </c>
      <c r="E634" s="151" t="s">
        <v>841</v>
      </c>
      <c r="F634" s="213">
        <v>410</v>
      </c>
      <c r="G634" s="151">
        <v>29</v>
      </c>
      <c r="H634" s="151">
        <v>22</v>
      </c>
      <c r="I634" s="151">
        <v>638</v>
      </c>
      <c r="J634" s="151">
        <v>26</v>
      </c>
      <c r="K634" s="151">
        <v>754</v>
      </c>
      <c r="L634" s="220" t="s">
        <v>395</v>
      </c>
    </row>
    <row r="635" spans="1:12" hidden="1">
      <c r="A635" s="213">
        <v>43101143</v>
      </c>
      <c r="B635" s="151" t="s">
        <v>847</v>
      </c>
      <c r="C635" s="220" t="s">
        <v>639</v>
      </c>
      <c r="D635" s="151" t="s">
        <v>640</v>
      </c>
      <c r="E635" s="151" t="s">
        <v>841</v>
      </c>
      <c r="F635" s="213">
        <v>415</v>
      </c>
      <c r="G635" s="151">
        <v>29</v>
      </c>
      <c r="H635" s="151">
        <v>22</v>
      </c>
      <c r="I635" s="151">
        <v>638</v>
      </c>
      <c r="J635" s="151">
        <v>26</v>
      </c>
      <c r="K635" s="151">
        <v>754</v>
      </c>
      <c r="L635" s="220" t="s">
        <v>395</v>
      </c>
    </row>
    <row r="636" spans="1:12" hidden="1">
      <c r="A636" s="213">
        <v>43101144</v>
      </c>
      <c r="B636" s="151" t="s">
        <v>848</v>
      </c>
      <c r="C636" s="220" t="s">
        <v>639</v>
      </c>
      <c r="D636" s="151" t="s">
        <v>640</v>
      </c>
      <c r="E636" s="151" t="s">
        <v>841</v>
      </c>
      <c r="F636" s="213">
        <v>420</v>
      </c>
      <c r="G636" s="151">
        <v>29</v>
      </c>
      <c r="H636" s="151">
        <v>22</v>
      </c>
      <c r="I636" s="151">
        <v>638</v>
      </c>
      <c r="J636" s="151">
        <v>26</v>
      </c>
      <c r="K636" s="151">
        <v>754</v>
      </c>
      <c r="L636" s="220" t="s">
        <v>395</v>
      </c>
    </row>
    <row r="637" spans="1:12" hidden="1">
      <c r="A637" s="213">
        <v>43101145</v>
      </c>
      <c r="B637" s="151" t="s">
        <v>849</v>
      </c>
      <c r="C637" s="220" t="s">
        <v>639</v>
      </c>
      <c r="D637" s="151" t="s">
        <v>640</v>
      </c>
      <c r="E637" s="151" t="s">
        <v>841</v>
      </c>
      <c r="F637" s="213">
        <v>425</v>
      </c>
      <c r="G637" s="151">
        <v>29</v>
      </c>
      <c r="H637" s="151">
        <v>22</v>
      </c>
      <c r="I637" s="151">
        <v>638</v>
      </c>
      <c r="J637" s="151">
        <v>26</v>
      </c>
      <c r="K637" s="151">
        <v>754</v>
      </c>
      <c r="L637" s="220" t="s">
        <v>395</v>
      </c>
    </row>
    <row r="638" spans="1:12" hidden="1">
      <c r="A638" s="213">
        <v>43101146</v>
      </c>
      <c r="B638" s="151" t="s">
        <v>850</v>
      </c>
      <c r="C638" s="220" t="s">
        <v>639</v>
      </c>
      <c r="D638" s="151" t="s">
        <v>640</v>
      </c>
      <c r="E638" s="151" t="s">
        <v>841</v>
      </c>
      <c r="F638" s="213">
        <v>430</v>
      </c>
      <c r="G638" s="151">
        <v>29</v>
      </c>
      <c r="H638" s="151">
        <v>22</v>
      </c>
      <c r="I638" s="151">
        <v>638</v>
      </c>
      <c r="J638" s="151">
        <v>26</v>
      </c>
      <c r="K638" s="151">
        <v>754</v>
      </c>
      <c r="L638" s="220" t="s">
        <v>395</v>
      </c>
    </row>
    <row r="639" spans="1:12" hidden="1">
      <c r="A639" s="213">
        <v>43101537</v>
      </c>
      <c r="B639" s="151" t="s">
        <v>792</v>
      </c>
      <c r="C639" s="220" t="s">
        <v>639</v>
      </c>
      <c r="D639" s="151" t="s">
        <v>640</v>
      </c>
      <c r="E639" s="151" t="s">
        <v>851</v>
      </c>
      <c r="F639" s="213">
        <v>385</v>
      </c>
      <c r="G639" s="151">
        <v>29</v>
      </c>
      <c r="H639" s="151">
        <v>22</v>
      </c>
      <c r="I639" s="151">
        <v>638</v>
      </c>
      <c r="J639" s="151">
        <v>26</v>
      </c>
      <c r="K639" s="151">
        <v>754</v>
      </c>
      <c r="L639" s="220" t="s">
        <v>395</v>
      </c>
    </row>
    <row r="640" spans="1:12" hidden="1">
      <c r="A640" s="213">
        <v>43101538</v>
      </c>
      <c r="B640" s="151" t="s">
        <v>789</v>
      </c>
      <c r="C640" s="151" t="s">
        <v>639</v>
      </c>
      <c r="D640" s="151" t="s">
        <v>640</v>
      </c>
      <c r="E640" s="151" t="s">
        <v>851</v>
      </c>
      <c r="F640" s="213">
        <v>390</v>
      </c>
      <c r="G640" s="151">
        <v>29</v>
      </c>
      <c r="H640" s="151">
        <v>22</v>
      </c>
      <c r="I640" s="151">
        <v>638</v>
      </c>
      <c r="J640" s="151">
        <v>26</v>
      </c>
      <c r="K640" s="151">
        <v>754</v>
      </c>
      <c r="L640" s="151"/>
    </row>
    <row r="641" spans="1:12" hidden="1">
      <c r="A641" s="213">
        <v>43101539</v>
      </c>
      <c r="B641" s="151" t="s">
        <v>788</v>
      </c>
      <c r="C641" s="151" t="s">
        <v>639</v>
      </c>
      <c r="D641" s="151" t="s">
        <v>640</v>
      </c>
      <c r="E641" s="151" t="s">
        <v>851</v>
      </c>
      <c r="F641" s="213">
        <v>395</v>
      </c>
      <c r="G641" s="151">
        <v>29</v>
      </c>
      <c r="H641" s="151">
        <v>22</v>
      </c>
      <c r="I641" s="151">
        <v>638</v>
      </c>
      <c r="J641" s="151">
        <v>26</v>
      </c>
      <c r="K641" s="151">
        <v>754</v>
      </c>
      <c r="L641" s="151"/>
    </row>
    <row r="642" spans="1:12" hidden="1">
      <c r="A642" s="213">
        <v>43102132</v>
      </c>
      <c r="B642" s="151" t="s">
        <v>852</v>
      </c>
      <c r="C642" s="220" t="s">
        <v>639</v>
      </c>
      <c r="D642" s="151" t="s">
        <v>640</v>
      </c>
      <c r="E642" s="151" t="s">
        <v>841</v>
      </c>
      <c r="F642" s="213">
        <v>360</v>
      </c>
      <c r="G642" s="151">
        <v>29</v>
      </c>
      <c r="H642" s="151">
        <v>22</v>
      </c>
      <c r="I642" s="151">
        <v>638</v>
      </c>
      <c r="J642" s="151">
        <v>26</v>
      </c>
      <c r="K642" s="151">
        <v>754</v>
      </c>
      <c r="L642" s="220" t="s">
        <v>395</v>
      </c>
    </row>
    <row r="643" spans="1:12" hidden="1">
      <c r="A643" s="213">
        <v>43102133</v>
      </c>
      <c r="B643" s="151" t="s">
        <v>853</v>
      </c>
      <c r="C643" s="220" t="s">
        <v>639</v>
      </c>
      <c r="D643" s="151" t="s">
        <v>640</v>
      </c>
      <c r="E643" s="151" t="s">
        <v>841</v>
      </c>
      <c r="F643" s="213">
        <v>365</v>
      </c>
      <c r="G643" s="151">
        <v>29</v>
      </c>
      <c r="H643" s="151">
        <v>22</v>
      </c>
      <c r="I643" s="151">
        <v>638</v>
      </c>
      <c r="J643" s="151">
        <v>26</v>
      </c>
      <c r="K643" s="151">
        <v>754</v>
      </c>
      <c r="L643" s="220" t="s">
        <v>395</v>
      </c>
    </row>
    <row r="644" spans="1:12" hidden="1">
      <c r="A644" s="213">
        <v>43102134</v>
      </c>
      <c r="B644" s="151" t="s">
        <v>854</v>
      </c>
      <c r="C644" s="220" t="s">
        <v>639</v>
      </c>
      <c r="D644" s="151" t="s">
        <v>640</v>
      </c>
      <c r="E644" s="151" t="s">
        <v>841</v>
      </c>
      <c r="F644" s="213">
        <v>370</v>
      </c>
      <c r="G644" s="151">
        <v>29</v>
      </c>
      <c r="H644" s="151">
        <v>22</v>
      </c>
      <c r="I644" s="151">
        <v>638</v>
      </c>
      <c r="J644" s="151">
        <v>26</v>
      </c>
      <c r="K644" s="151">
        <v>754</v>
      </c>
      <c r="L644" s="220" t="s">
        <v>395</v>
      </c>
    </row>
    <row r="645" spans="1:12" hidden="1">
      <c r="A645" s="213">
        <v>43102135</v>
      </c>
      <c r="B645" s="151" t="s">
        <v>855</v>
      </c>
      <c r="C645" s="220" t="s">
        <v>639</v>
      </c>
      <c r="D645" s="151" t="s">
        <v>640</v>
      </c>
      <c r="E645" s="151" t="s">
        <v>841</v>
      </c>
      <c r="F645" s="213">
        <v>375</v>
      </c>
      <c r="G645" s="151">
        <v>29</v>
      </c>
      <c r="H645" s="151">
        <v>22</v>
      </c>
      <c r="I645" s="151">
        <v>638</v>
      </c>
      <c r="J645" s="151">
        <v>26</v>
      </c>
      <c r="K645" s="151">
        <v>754</v>
      </c>
      <c r="L645" s="220" t="s">
        <v>395</v>
      </c>
    </row>
    <row r="646" spans="1:12" hidden="1">
      <c r="A646" s="213">
        <v>43102136</v>
      </c>
      <c r="B646" s="151" t="s">
        <v>856</v>
      </c>
      <c r="C646" s="220" t="s">
        <v>639</v>
      </c>
      <c r="D646" s="151" t="s">
        <v>640</v>
      </c>
      <c r="E646" s="151" t="s">
        <v>841</v>
      </c>
      <c r="F646" s="213">
        <v>380</v>
      </c>
      <c r="G646" s="151">
        <v>29</v>
      </c>
      <c r="H646" s="151">
        <v>22</v>
      </c>
      <c r="I646" s="151">
        <v>638</v>
      </c>
      <c r="J646" s="151">
        <v>26</v>
      </c>
      <c r="K646" s="151">
        <v>754</v>
      </c>
      <c r="L646" s="220" t="s">
        <v>395</v>
      </c>
    </row>
    <row r="647" spans="1:12" hidden="1">
      <c r="A647" s="213">
        <v>43102137</v>
      </c>
      <c r="B647" s="151" t="s">
        <v>857</v>
      </c>
      <c r="C647" s="220" t="s">
        <v>639</v>
      </c>
      <c r="D647" s="151" t="s">
        <v>640</v>
      </c>
      <c r="E647" s="151" t="s">
        <v>841</v>
      </c>
      <c r="F647" s="213">
        <v>385</v>
      </c>
      <c r="G647" s="151">
        <v>29</v>
      </c>
      <c r="H647" s="151">
        <v>22</v>
      </c>
      <c r="I647" s="151">
        <v>638</v>
      </c>
      <c r="J647" s="151">
        <v>26</v>
      </c>
      <c r="K647" s="151">
        <v>754</v>
      </c>
      <c r="L647" s="220" t="s">
        <v>395</v>
      </c>
    </row>
    <row r="648" spans="1:12" hidden="1">
      <c r="A648" s="213">
        <v>43102138</v>
      </c>
      <c r="B648" s="151" t="s">
        <v>858</v>
      </c>
      <c r="C648" s="151" t="s">
        <v>639</v>
      </c>
      <c r="D648" s="151" t="s">
        <v>640</v>
      </c>
      <c r="E648" s="151" t="s">
        <v>841</v>
      </c>
      <c r="F648" s="213">
        <v>390</v>
      </c>
      <c r="G648" s="151">
        <v>29</v>
      </c>
      <c r="H648" s="151">
        <v>22</v>
      </c>
      <c r="I648" s="151">
        <v>638</v>
      </c>
      <c r="J648" s="151">
        <v>26</v>
      </c>
      <c r="K648" s="151">
        <v>754</v>
      </c>
      <c r="L648" s="151"/>
    </row>
    <row r="649" spans="1:12" hidden="1">
      <c r="A649" s="213">
        <v>43102139</v>
      </c>
      <c r="B649" s="151" t="s">
        <v>859</v>
      </c>
      <c r="C649" s="151" t="s">
        <v>639</v>
      </c>
      <c r="D649" s="151" t="s">
        <v>640</v>
      </c>
      <c r="E649" s="151" t="s">
        <v>841</v>
      </c>
      <c r="F649" s="213">
        <v>395</v>
      </c>
      <c r="G649" s="151">
        <v>29</v>
      </c>
      <c r="H649" s="151">
        <v>22</v>
      </c>
      <c r="I649" s="151">
        <v>638</v>
      </c>
      <c r="J649" s="151">
        <v>26</v>
      </c>
      <c r="K649" s="151">
        <v>754</v>
      </c>
      <c r="L649" s="151"/>
    </row>
    <row r="650" spans="1:12" hidden="1">
      <c r="A650" s="213">
        <v>43105138</v>
      </c>
      <c r="B650" s="151" t="s">
        <v>915</v>
      </c>
      <c r="C650" s="220" t="s">
        <v>639</v>
      </c>
      <c r="D650" s="151" t="s">
        <v>640</v>
      </c>
      <c r="E650" s="151" t="s">
        <v>841</v>
      </c>
      <c r="F650" s="213">
        <v>395</v>
      </c>
      <c r="G650" s="151">
        <v>29</v>
      </c>
      <c r="H650" s="151">
        <v>22</v>
      </c>
      <c r="I650" s="151">
        <v>638</v>
      </c>
      <c r="J650" s="151">
        <v>26</v>
      </c>
      <c r="K650" s="151">
        <v>754</v>
      </c>
      <c r="L650" s="220" t="s">
        <v>395</v>
      </c>
    </row>
    <row r="651" spans="1:12" hidden="1">
      <c r="A651" s="213">
        <v>43103139</v>
      </c>
      <c r="B651" s="151" t="s">
        <v>916</v>
      </c>
      <c r="C651" s="151" t="s">
        <v>639</v>
      </c>
      <c r="D651" s="151" t="s">
        <v>640</v>
      </c>
      <c r="E651" s="151" t="s">
        <v>841</v>
      </c>
      <c r="F651" s="213">
        <v>395</v>
      </c>
      <c r="G651" s="151">
        <v>29</v>
      </c>
      <c r="H651" s="151">
        <v>22</v>
      </c>
      <c r="I651" s="151">
        <v>638</v>
      </c>
      <c r="J651" s="151">
        <v>26</v>
      </c>
      <c r="K651" s="151">
        <v>754</v>
      </c>
      <c r="L651" s="151"/>
    </row>
    <row r="652" spans="1:12" hidden="1">
      <c r="A652" s="213">
        <v>43106139</v>
      </c>
      <c r="B652" s="151" t="s">
        <v>916</v>
      </c>
      <c r="C652" s="151" t="s">
        <v>639</v>
      </c>
      <c r="D652" s="151" t="s">
        <v>640</v>
      </c>
      <c r="E652" s="151" t="s">
        <v>841</v>
      </c>
      <c r="F652" s="213">
        <v>395</v>
      </c>
      <c r="G652" s="151">
        <v>29</v>
      </c>
      <c r="H652" s="151">
        <v>22</v>
      </c>
      <c r="I652" s="151">
        <v>638</v>
      </c>
      <c r="J652" s="151">
        <v>26</v>
      </c>
      <c r="K652" s="151">
        <v>754</v>
      </c>
      <c r="L652" s="151"/>
    </row>
    <row r="653" spans="1:12" hidden="1">
      <c r="A653" s="213">
        <v>43103137</v>
      </c>
      <c r="B653" s="151" t="s">
        <v>917</v>
      </c>
      <c r="C653" s="151" t="s">
        <v>639</v>
      </c>
      <c r="D653" s="151" t="s">
        <v>640</v>
      </c>
      <c r="E653" s="151" t="s">
        <v>841</v>
      </c>
      <c r="F653" s="213">
        <v>385</v>
      </c>
      <c r="G653" s="151">
        <v>29</v>
      </c>
      <c r="H653" s="151">
        <v>22</v>
      </c>
      <c r="I653" s="151">
        <v>638</v>
      </c>
      <c r="J653" s="151">
        <v>26</v>
      </c>
      <c r="K653" s="151">
        <v>754</v>
      </c>
      <c r="L653" s="151"/>
    </row>
    <row r="654" spans="1:12" hidden="1">
      <c r="A654" s="213">
        <v>47103139</v>
      </c>
      <c r="B654" s="151" t="s">
        <v>914</v>
      </c>
      <c r="C654" s="151" t="s">
        <v>639</v>
      </c>
      <c r="D654" s="151" t="s">
        <v>640</v>
      </c>
      <c r="E654" s="151" t="s">
        <v>841</v>
      </c>
      <c r="F654" s="213">
        <v>395</v>
      </c>
      <c r="G654" s="151">
        <v>29</v>
      </c>
      <c r="H654" s="151">
        <v>22</v>
      </c>
      <c r="I654" s="151">
        <v>638</v>
      </c>
      <c r="J654" s="151">
        <v>26</v>
      </c>
      <c r="K654" s="151">
        <v>754</v>
      </c>
      <c r="L654" s="151"/>
    </row>
    <row r="655" spans="1:12" hidden="1">
      <c r="A655" s="213">
        <v>47102139</v>
      </c>
      <c r="B655" s="151" t="s">
        <v>914</v>
      </c>
      <c r="C655" s="151" t="s">
        <v>639</v>
      </c>
      <c r="D655" s="151" t="s">
        <v>640</v>
      </c>
      <c r="E655" s="151" t="s">
        <v>841</v>
      </c>
      <c r="F655" s="213">
        <v>395</v>
      </c>
      <c r="G655" s="151">
        <v>29</v>
      </c>
      <c r="H655" s="151">
        <v>22</v>
      </c>
      <c r="I655" s="151">
        <v>638</v>
      </c>
      <c r="J655" s="151">
        <v>26</v>
      </c>
      <c r="K655" s="151">
        <v>754</v>
      </c>
      <c r="L655" s="151"/>
    </row>
    <row r="656" spans="1:12" hidden="1">
      <c r="A656" s="213">
        <v>47103140</v>
      </c>
      <c r="B656" s="151" t="s">
        <v>914</v>
      </c>
      <c r="C656" s="151" t="s">
        <v>639</v>
      </c>
      <c r="D656" s="151" t="s">
        <v>640</v>
      </c>
      <c r="E656" s="151" t="s">
        <v>841</v>
      </c>
      <c r="F656" s="213">
        <v>400</v>
      </c>
      <c r="G656" s="151">
        <v>29</v>
      </c>
      <c r="H656" s="151">
        <v>22</v>
      </c>
      <c r="I656" s="151">
        <v>638</v>
      </c>
      <c r="J656" s="151">
        <v>26</v>
      </c>
      <c r="K656" s="151">
        <v>754</v>
      </c>
      <c r="L656" s="151"/>
    </row>
    <row r="657" spans="1:12" hidden="1">
      <c r="A657" s="213">
        <v>43104142</v>
      </c>
      <c r="B657" s="151" t="s">
        <v>914</v>
      </c>
      <c r="C657" s="220" t="s">
        <v>639</v>
      </c>
      <c r="D657" s="151" t="s">
        <v>640</v>
      </c>
      <c r="E657" s="151" t="s">
        <v>841</v>
      </c>
      <c r="F657" s="213">
        <v>400</v>
      </c>
      <c r="G657" s="151">
        <v>29</v>
      </c>
      <c r="H657" s="151">
        <v>22</v>
      </c>
      <c r="I657" s="151">
        <v>638</v>
      </c>
      <c r="J657" s="151">
        <v>26</v>
      </c>
      <c r="K657" s="151">
        <v>754</v>
      </c>
      <c r="L657" s="220" t="s">
        <v>395</v>
      </c>
    </row>
    <row r="658" spans="1:12" hidden="1">
      <c r="A658" s="213">
        <v>43102140</v>
      </c>
      <c r="B658" s="151" t="s">
        <v>860</v>
      </c>
      <c r="C658" s="151" t="s">
        <v>639</v>
      </c>
      <c r="D658" s="151" t="s">
        <v>640</v>
      </c>
      <c r="E658" s="151" t="s">
        <v>841</v>
      </c>
      <c r="F658" s="213">
        <v>400</v>
      </c>
      <c r="G658" s="151">
        <v>29</v>
      </c>
      <c r="H658" s="151">
        <v>22</v>
      </c>
      <c r="I658" s="151">
        <v>638</v>
      </c>
      <c r="J658" s="151">
        <v>26</v>
      </c>
      <c r="K658" s="151">
        <v>754</v>
      </c>
      <c r="L658" s="151"/>
    </row>
    <row r="659" spans="1:12" hidden="1">
      <c r="A659" s="213">
        <v>43106140</v>
      </c>
      <c r="B659" s="151" t="s">
        <v>918</v>
      </c>
      <c r="C659" s="151" t="s">
        <v>639</v>
      </c>
      <c r="D659" s="151" t="s">
        <v>640</v>
      </c>
      <c r="E659" s="151" t="s">
        <v>841</v>
      </c>
      <c r="F659" s="213">
        <v>400</v>
      </c>
      <c r="G659" s="151">
        <v>29</v>
      </c>
      <c r="H659" s="151">
        <v>22</v>
      </c>
      <c r="I659" s="151">
        <v>638</v>
      </c>
      <c r="J659" s="151">
        <v>26</v>
      </c>
      <c r="K659" s="151">
        <v>754</v>
      </c>
      <c r="L659" s="151"/>
    </row>
    <row r="660" spans="1:12" hidden="1">
      <c r="A660" s="213">
        <v>43106540</v>
      </c>
      <c r="B660" s="151" t="s">
        <v>918</v>
      </c>
      <c r="C660" s="151" t="s">
        <v>639</v>
      </c>
      <c r="D660" s="151" t="s">
        <v>640</v>
      </c>
      <c r="E660" s="151" t="s">
        <v>841</v>
      </c>
      <c r="F660" s="213">
        <v>400</v>
      </c>
      <c r="G660" s="151">
        <v>29</v>
      </c>
      <c r="H660" s="151">
        <v>22</v>
      </c>
      <c r="I660" s="151">
        <v>638</v>
      </c>
      <c r="J660" s="151">
        <v>26</v>
      </c>
      <c r="K660" s="151">
        <v>754</v>
      </c>
      <c r="L660" s="151"/>
    </row>
    <row r="661" spans="1:12" hidden="1">
      <c r="A661" s="213">
        <v>43102141</v>
      </c>
      <c r="B661" s="151" t="s">
        <v>861</v>
      </c>
      <c r="C661" s="220" t="s">
        <v>639</v>
      </c>
      <c r="D661" s="151" t="s">
        <v>640</v>
      </c>
      <c r="E661" s="151" t="s">
        <v>841</v>
      </c>
      <c r="F661" s="213">
        <v>405</v>
      </c>
      <c r="G661" s="151">
        <v>29</v>
      </c>
      <c r="H661" s="151">
        <v>22</v>
      </c>
      <c r="I661" s="151">
        <v>638</v>
      </c>
      <c r="J661" s="151">
        <v>26</v>
      </c>
      <c r="K661" s="151">
        <v>754</v>
      </c>
      <c r="L661" s="220" t="s">
        <v>395</v>
      </c>
    </row>
    <row r="662" spans="1:12" hidden="1">
      <c r="A662" s="213">
        <v>43104141</v>
      </c>
      <c r="B662" s="151" t="s">
        <v>919</v>
      </c>
      <c r="C662" s="151" t="s">
        <v>639</v>
      </c>
      <c r="D662" s="151" t="s">
        <v>640</v>
      </c>
      <c r="E662" s="151" t="s">
        <v>841</v>
      </c>
      <c r="F662" s="213">
        <v>405</v>
      </c>
      <c r="G662" s="151">
        <v>29</v>
      </c>
      <c r="H662" s="151">
        <v>22</v>
      </c>
      <c r="I662" s="151">
        <v>638</v>
      </c>
      <c r="J662" s="151">
        <v>26</v>
      </c>
      <c r="K662" s="151">
        <v>754</v>
      </c>
      <c r="L662" s="151"/>
    </row>
    <row r="663" spans="1:12" hidden="1">
      <c r="A663" s="229">
        <v>43106142</v>
      </c>
      <c r="B663" s="230" t="s">
        <v>914</v>
      </c>
      <c r="C663" s="220" t="s">
        <v>639</v>
      </c>
      <c r="D663" s="151" t="s">
        <v>640</v>
      </c>
      <c r="E663" s="151" t="s">
        <v>841</v>
      </c>
      <c r="F663" s="231">
        <v>410</v>
      </c>
      <c r="G663" s="151">
        <v>29</v>
      </c>
      <c r="H663" s="151">
        <v>22</v>
      </c>
      <c r="I663" s="151">
        <v>638</v>
      </c>
      <c r="J663" s="151">
        <v>26</v>
      </c>
      <c r="K663" s="151">
        <v>754</v>
      </c>
      <c r="L663" s="220" t="s">
        <v>395</v>
      </c>
    </row>
    <row r="664" spans="1:12" hidden="1">
      <c r="A664" s="229">
        <v>43106141</v>
      </c>
      <c r="B664" s="230" t="s">
        <v>914</v>
      </c>
      <c r="C664" s="151" t="s">
        <v>639</v>
      </c>
      <c r="D664" s="151" t="s">
        <v>640</v>
      </c>
      <c r="E664" s="151" t="s">
        <v>841</v>
      </c>
      <c r="F664" s="231">
        <v>405</v>
      </c>
      <c r="G664" s="151">
        <v>29</v>
      </c>
      <c r="H664" s="151">
        <v>22</v>
      </c>
      <c r="I664" s="151">
        <v>638</v>
      </c>
      <c r="J664" s="151">
        <v>26</v>
      </c>
      <c r="K664" s="151">
        <v>754</v>
      </c>
      <c r="L664" s="151"/>
    </row>
    <row r="665" spans="1:12" hidden="1">
      <c r="A665" s="213">
        <v>43102142</v>
      </c>
      <c r="B665" s="151" t="s">
        <v>862</v>
      </c>
      <c r="C665" s="220" t="s">
        <v>639</v>
      </c>
      <c r="D665" s="151" t="s">
        <v>640</v>
      </c>
      <c r="E665" s="151" t="s">
        <v>841</v>
      </c>
      <c r="F665" s="213">
        <v>410</v>
      </c>
      <c r="G665" s="151">
        <v>29</v>
      </c>
      <c r="H665" s="151">
        <v>22</v>
      </c>
      <c r="I665" s="151">
        <v>638</v>
      </c>
      <c r="J665" s="151">
        <v>26</v>
      </c>
      <c r="K665" s="151">
        <v>754</v>
      </c>
      <c r="L665" s="220" t="s">
        <v>395</v>
      </c>
    </row>
    <row r="666" spans="1:12" hidden="1">
      <c r="A666" s="213">
        <v>43102143</v>
      </c>
      <c r="B666" s="151" t="s">
        <v>863</v>
      </c>
      <c r="C666" s="220" t="s">
        <v>639</v>
      </c>
      <c r="D666" s="151" t="s">
        <v>640</v>
      </c>
      <c r="E666" s="151" t="s">
        <v>841</v>
      </c>
      <c r="F666" s="213">
        <v>415</v>
      </c>
      <c r="G666" s="151">
        <v>29</v>
      </c>
      <c r="H666" s="151">
        <v>22</v>
      </c>
      <c r="I666" s="151">
        <v>638</v>
      </c>
      <c r="J666" s="151">
        <v>26</v>
      </c>
      <c r="K666" s="151">
        <v>754</v>
      </c>
      <c r="L666" s="220" t="s">
        <v>395</v>
      </c>
    </row>
    <row r="667" spans="1:12" hidden="1">
      <c r="A667" s="213">
        <v>43102144</v>
      </c>
      <c r="B667" s="151" t="s">
        <v>864</v>
      </c>
      <c r="C667" s="220" t="s">
        <v>639</v>
      </c>
      <c r="D667" s="151" t="s">
        <v>640</v>
      </c>
      <c r="E667" s="151" t="s">
        <v>841</v>
      </c>
      <c r="F667" s="213">
        <v>420</v>
      </c>
      <c r="G667" s="151">
        <v>29</v>
      </c>
      <c r="H667" s="151">
        <v>22</v>
      </c>
      <c r="I667" s="151">
        <v>638</v>
      </c>
      <c r="J667" s="151">
        <v>26</v>
      </c>
      <c r="K667" s="151">
        <v>754</v>
      </c>
      <c r="L667" s="220" t="s">
        <v>395</v>
      </c>
    </row>
    <row r="668" spans="1:12" hidden="1">
      <c r="A668" s="213">
        <v>43102145</v>
      </c>
      <c r="B668" s="151" t="s">
        <v>865</v>
      </c>
      <c r="C668" s="220" t="s">
        <v>639</v>
      </c>
      <c r="D668" s="151" t="s">
        <v>640</v>
      </c>
      <c r="E668" s="151" t="s">
        <v>841</v>
      </c>
      <c r="F668" s="213">
        <v>425</v>
      </c>
      <c r="G668" s="151">
        <v>29</v>
      </c>
      <c r="H668" s="151">
        <v>22</v>
      </c>
      <c r="I668" s="151">
        <v>638</v>
      </c>
      <c r="J668" s="151">
        <v>26</v>
      </c>
      <c r="K668" s="151">
        <v>754</v>
      </c>
      <c r="L668" s="220" t="s">
        <v>395</v>
      </c>
    </row>
    <row r="669" spans="1:12" hidden="1">
      <c r="A669" s="213">
        <v>43102146</v>
      </c>
      <c r="B669" s="151" t="s">
        <v>866</v>
      </c>
      <c r="C669" s="220" t="s">
        <v>639</v>
      </c>
      <c r="D669" s="151" t="s">
        <v>640</v>
      </c>
      <c r="E669" s="151" t="s">
        <v>841</v>
      </c>
      <c r="F669" s="213">
        <v>430</v>
      </c>
      <c r="G669" s="151">
        <v>29</v>
      </c>
      <c r="H669" s="151">
        <v>22</v>
      </c>
      <c r="I669" s="151">
        <v>638</v>
      </c>
      <c r="J669" s="151">
        <v>26</v>
      </c>
      <c r="K669" s="151">
        <v>754</v>
      </c>
      <c r="L669" s="220" t="s">
        <v>395</v>
      </c>
    </row>
    <row r="670" spans="1:12" hidden="1">
      <c r="A670" s="213">
        <v>30380659</v>
      </c>
      <c r="B670" s="151" t="s">
        <v>920</v>
      </c>
      <c r="C670" s="151" t="s">
        <v>921</v>
      </c>
      <c r="D670" s="151" t="s">
        <v>640</v>
      </c>
      <c r="E670" s="213" t="s">
        <v>922</v>
      </c>
      <c r="F670" s="213">
        <v>415</v>
      </c>
      <c r="G670" s="151">
        <v>29</v>
      </c>
      <c r="H670" s="151">
        <v>22</v>
      </c>
      <c r="I670" s="151">
        <v>638</v>
      </c>
      <c r="J670" s="151">
        <v>24</v>
      </c>
      <c r="K670" s="151">
        <v>696</v>
      </c>
      <c r="L670" s="151"/>
    </row>
    <row r="671" spans="1:12" hidden="1">
      <c r="A671" s="213">
        <v>30380660</v>
      </c>
      <c r="B671" s="151" t="s">
        <v>920</v>
      </c>
      <c r="C671" s="151" t="s">
        <v>921</v>
      </c>
      <c r="D671" s="151" t="s">
        <v>640</v>
      </c>
      <c r="E671" s="213" t="s">
        <v>922</v>
      </c>
      <c r="F671" s="213">
        <v>420</v>
      </c>
      <c r="G671" s="151">
        <v>29</v>
      </c>
      <c r="H671" s="151">
        <v>22</v>
      </c>
      <c r="I671" s="151">
        <v>638</v>
      </c>
      <c r="J671" s="151">
        <v>24</v>
      </c>
      <c r="K671" s="151">
        <v>696</v>
      </c>
      <c r="L671" s="151"/>
    </row>
    <row r="672" spans="1:12" hidden="1">
      <c r="A672" s="213">
        <v>30384561</v>
      </c>
      <c r="B672" s="213" t="s">
        <v>923</v>
      </c>
      <c r="C672" s="151" t="s">
        <v>921</v>
      </c>
      <c r="D672" s="151" t="s">
        <v>640</v>
      </c>
      <c r="E672" s="213" t="s">
        <v>922</v>
      </c>
      <c r="F672" s="213">
        <v>425</v>
      </c>
      <c r="G672" s="151">
        <v>29</v>
      </c>
      <c r="H672" s="151">
        <v>22</v>
      </c>
      <c r="I672" s="151">
        <v>638</v>
      </c>
      <c r="J672" s="151">
        <v>24</v>
      </c>
      <c r="K672" s="151">
        <v>696</v>
      </c>
      <c r="L672" s="151"/>
    </row>
    <row r="673" spans="1:12" hidden="1">
      <c r="A673" s="213">
        <v>30384562</v>
      </c>
      <c r="B673" s="213" t="s">
        <v>923</v>
      </c>
      <c r="C673" s="151" t="s">
        <v>921</v>
      </c>
      <c r="D673" s="151" t="s">
        <v>640</v>
      </c>
      <c r="E673" s="213" t="s">
        <v>922</v>
      </c>
      <c r="F673" s="213">
        <v>430</v>
      </c>
      <c r="G673" s="151">
        <v>29</v>
      </c>
      <c r="H673" s="151">
        <v>22</v>
      </c>
      <c r="I673" s="151">
        <v>638</v>
      </c>
      <c r="J673" s="151">
        <v>24</v>
      </c>
      <c r="K673" s="151">
        <v>696</v>
      </c>
      <c r="L673" s="151"/>
    </row>
    <row r="674" spans="1:12" hidden="1">
      <c r="A674" s="213">
        <v>30380760</v>
      </c>
      <c r="B674" s="151" t="s">
        <v>924</v>
      </c>
      <c r="C674" s="151" t="s">
        <v>921</v>
      </c>
      <c r="D674" s="151" t="s">
        <v>640</v>
      </c>
      <c r="E674" s="213" t="s">
        <v>922</v>
      </c>
      <c r="F674" s="213">
        <v>420</v>
      </c>
      <c r="G674" s="151">
        <v>29</v>
      </c>
      <c r="H674" s="151">
        <v>22</v>
      </c>
      <c r="I674" s="151">
        <v>638</v>
      </c>
      <c r="J674" s="151">
        <v>24</v>
      </c>
      <c r="K674" s="151">
        <v>696</v>
      </c>
      <c r="L674" s="151"/>
    </row>
    <row r="675" spans="1:12" hidden="1">
      <c r="A675" s="213">
        <v>30380661</v>
      </c>
      <c r="B675" s="151" t="s">
        <v>924</v>
      </c>
      <c r="C675" s="151" t="s">
        <v>921</v>
      </c>
      <c r="D675" s="151" t="s">
        <v>640</v>
      </c>
      <c r="E675" s="213" t="s">
        <v>922</v>
      </c>
      <c r="F675" s="213">
        <v>425</v>
      </c>
      <c r="G675" s="151">
        <v>29</v>
      </c>
      <c r="H675" s="151">
        <v>22</v>
      </c>
      <c r="I675" s="151">
        <v>638</v>
      </c>
      <c r="J675" s="151">
        <v>24</v>
      </c>
      <c r="K675" s="151">
        <v>696</v>
      </c>
      <c r="L675" s="151"/>
    </row>
    <row r="676" spans="1:12" hidden="1">
      <c r="A676" s="213">
        <v>30381461</v>
      </c>
      <c r="B676" s="151" t="s">
        <v>925</v>
      </c>
      <c r="C676" s="151" t="s">
        <v>921</v>
      </c>
      <c r="D676" s="151" t="s">
        <v>640</v>
      </c>
      <c r="E676" s="213" t="s">
        <v>922</v>
      </c>
      <c r="F676" s="213">
        <v>425</v>
      </c>
      <c r="G676" s="151">
        <v>29</v>
      </c>
      <c r="H676" s="151">
        <v>22</v>
      </c>
      <c r="I676" s="151">
        <v>638</v>
      </c>
      <c r="J676" s="151">
        <v>24</v>
      </c>
      <c r="K676" s="151">
        <v>696</v>
      </c>
      <c r="L676" s="151"/>
    </row>
    <row r="677" spans="1:12" hidden="1">
      <c r="A677" s="213">
        <v>30384059</v>
      </c>
      <c r="B677" s="151" t="s">
        <v>926</v>
      </c>
      <c r="C677" s="151" t="s">
        <v>927</v>
      </c>
      <c r="D677" s="151" t="s">
        <v>640</v>
      </c>
      <c r="E677" s="213" t="s">
        <v>922</v>
      </c>
      <c r="F677" s="213">
        <v>415</v>
      </c>
      <c r="G677" s="151">
        <v>29</v>
      </c>
      <c r="H677" s="151">
        <v>22</v>
      </c>
      <c r="I677" s="151">
        <v>638</v>
      </c>
      <c r="J677" s="151">
        <v>24</v>
      </c>
      <c r="K677" s="151">
        <v>696</v>
      </c>
      <c r="L677" s="151"/>
    </row>
    <row r="678" spans="1:12" hidden="1">
      <c r="A678" s="213">
        <v>30384058</v>
      </c>
      <c r="B678" s="151" t="s">
        <v>926</v>
      </c>
      <c r="C678" s="151" t="s">
        <v>927</v>
      </c>
      <c r="D678" s="151" t="s">
        <v>640</v>
      </c>
      <c r="E678" s="213" t="s">
        <v>922</v>
      </c>
      <c r="F678" s="213">
        <v>410</v>
      </c>
      <c r="G678" s="151">
        <v>29</v>
      </c>
      <c r="H678" s="151">
        <v>22</v>
      </c>
      <c r="I678" s="151">
        <v>638</v>
      </c>
      <c r="J678" s="151">
        <v>24</v>
      </c>
      <c r="K678" s="151">
        <v>696</v>
      </c>
      <c r="L678" s="151"/>
    </row>
    <row r="679" spans="1:12" hidden="1">
      <c r="A679" s="213">
        <v>30380662</v>
      </c>
      <c r="B679" s="151" t="s">
        <v>924</v>
      </c>
      <c r="C679" s="151" t="s">
        <v>921</v>
      </c>
      <c r="D679" s="151" t="s">
        <v>640</v>
      </c>
      <c r="E679" s="213" t="s">
        <v>922</v>
      </c>
      <c r="F679" s="213">
        <v>430</v>
      </c>
      <c r="G679" s="151">
        <v>29</v>
      </c>
      <c r="H679" s="151">
        <v>22</v>
      </c>
      <c r="I679" s="151">
        <v>638</v>
      </c>
      <c r="J679" s="151">
        <v>24</v>
      </c>
      <c r="K679" s="151">
        <v>696</v>
      </c>
      <c r="L679" s="151"/>
    </row>
    <row r="680" spans="1:12" hidden="1">
      <c r="A680" s="213">
        <v>30380761</v>
      </c>
      <c r="B680" s="151" t="s">
        <v>924</v>
      </c>
      <c r="C680" s="151" t="s">
        <v>921</v>
      </c>
      <c r="D680" s="151" t="s">
        <v>640</v>
      </c>
      <c r="E680" s="213" t="s">
        <v>922</v>
      </c>
      <c r="F680" s="213">
        <v>425</v>
      </c>
      <c r="G680" s="151">
        <v>29</v>
      </c>
      <c r="H680" s="151">
        <v>22</v>
      </c>
      <c r="I680" s="151">
        <v>638</v>
      </c>
      <c r="J680" s="151">
        <v>24</v>
      </c>
      <c r="K680" s="151">
        <v>696</v>
      </c>
      <c r="L680" s="151"/>
    </row>
    <row r="681" spans="1:12" hidden="1">
      <c r="A681" s="213">
        <v>30381260</v>
      </c>
      <c r="B681" s="151" t="s">
        <v>928</v>
      </c>
      <c r="C681" s="151" t="s">
        <v>929</v>
      </c>
      <c r="D681" s="151" t="s">
        <v>640</v>
      </c>
      <c r="E681" s="213" t="s">
        <v>922</v>
      </c>
      <c r="F681" s="213">
        <v>420</v>
      </c>
      <c r="G681" s="151">
        <v>29</v>
      </c>
      <c r="H681" s="151">
        <v>22</v>
      </c>
      <c r="I681" s="151">
        <v>638</v>
      </c>
      <c r="J681" s="151">
        <v>22</v>
      </c>
      <c r="K681" s="151">
        <v>638</v>
      </c>
      <c r="L681" s="151"/>
    </row>
    <row r="682" spans="1:12" hidden="1">
      <c r="A682" s="213">
        <v>30381259</v>
      </c>
      <c r="B682" s="151" t="s">
        <v>928</v>
      </c>
      <c r="C682" s="151" t="s">
        <v>929</v>
      </c>
      <c r="D682" s="151" t="s">
        <v>640</v>
      </c>
      <c r="E682" s="213" t="s">
        <v>922</v>
      </c>
      <c r="F682" s="213">
        <v>415</v>
      </c>
      <c r="G682" s="151">
        <v>29</v>
      </c>
      <c r="H682" s="151">
        <v>22</v>
      </c>
      <c r="I682" s="151">
        <v>638</v>
      </c>
      <c r="J682" s="151">
        <v>22</v>
      </c>
      <c r="K682" s="151">
        <v>638</v>
      </c>
      <c r="L682" s="151"/>
    </row>
    <row r="683" spans="1:12" hidden="1">
      <c r="A683" s="213">
        <v>30381258</v>
      </c>
      <c r="B683" s="151" t="s">
        <v>928</v>
      </c>
      <c r="C683" s="151" t="s">
        <v>929</v>
      </c>
      <c r="D683" s="151" t="s">
        <v>640</v>
      </c>
      <c r="E683" s="213" t="s">
        <v>922</v>
      </c>
      <c r="F683" s="213">
        <v>415</v>
      </c>
      <c r="G683" s="151">
        <v>29</v>
      </c>
      <c r="H683" s="151">
        <v>22</v>
      </c>
      <c r="I683" s="151">
        <v>638</v>
      </c>
      <c r="J683" s="151">
        <v>22</v>
      </c>
      <c r="K683" s="151">
        <v>638</v>
      </c>
      <c r="L683" s="151"/>
    </row>
    <row r="684" spans="1:12" hidden="1">
      <c r="A684" s="222">
        <v>30381261</v>
      </c>
      <c r="B684" s="151" t="s">
        <v>928</v>
      </c>
      <c r="C684" s="220" t="s">
        <v>929</v>
      </c>
      <c r="D684" s="151" t="s">
        <v>640</v>
      </c>
      <c r="E684" s="213" t="s">
        <v>922</v>
      </c>
      <c r="F684" s="213">
        <v>425</v>
      </c>
      <c r="G684" s="151">
        <v>29</v>
      </c>
      <c r="H684" s="151">
        <v>22</v>
      </c>
      <c r="I684" s="151">
        <v>638</v>
      </c>
      <c r="J684" s="151">
        <v>22</v>
      </c>
      <c r="K684" s="151">
        <v>638</v>
      </c>
      <c r="L684" s="220" t="s">
        <v>395</v>
      </c>
    </row>
    <row r="685" spans="1:12" hidden="1">
      <c r="A685" s="222">
        <v>30384260</v>
      </c>
      <c r="B685" s="151" t="s">
        <v>928</v>
      </c>
      <c r="C685" s="220" t="s">
        <v>929</v>
      </c>
      <c r="D685" s="151" t="s">
        <v>640</v>
      </c>
      <c r="E685" s="213" t="s">
        <v>922</v>
      </c>
      <c r="F685" s="213">
        <v>420</v>
      </c>
      <c r="G685" s="151">
        <v>29</v>
      </c>
      <c r="H685" s="151">
        <v>22</v>
      </c>
      <c r="I685" s="151">
        <v>638</v>
      </c>
      <c r="J685" s="151">
        <v>22</v>
      </c>
      <c r="K685" s="151">
        <v>638</v>
      </c>
      <c r="L685" s="220" t="s">
        <v>395</v>
      </c>
    </row>
    <row r="686" spans="1:12" hidden="1">
      <c r="A686" s="222">
        <v>30384261</v>
      </c>
      <c r="B686" s="151" t="s">
        <v>928</v>
      </c>
      <c r="C686" s="220" t="s">
        <v>929</v>
      </c>
      <c r="D686" s="151" t="s">
        <v>640</v>
      </c>
      <c r="E686" s="213" t="s">
        <v>922</v>
      </c>
      <c r="F686" s="213">
        <v>425</v>
      </c>
      <c r="G686" s="151">
        <v>29</v>
      </c>
      <c r="H686" s="151">
        <v>22</v>
      </c>
      <c r="I686" s="151">
        <v>638</v>
      </c>
      <c r="J686" s="151">
        <v>22</v>
      </c>
      <c r="K686" s="151">
        <v>638</v>
      </c>
      <c r="L686" s="220" t="s">
        <v>395</v>
      </c>
    </row>
    <row r="687" spans="1:12" hidden="1">
      <c r="A687" s="213">
        <v>46101142</v>
      </c>
      <c r="B687" s="151" t="s">
        <v>930</v>
      </c>
      <c r="C687" s="220" t="s">
        <v>921</v>
      </c>
      <c r="D687" s="151" t="s">
        <v>640</v>
      </c>
      <c r="E687" s="151" t="s">
        <v>841</v>
      </c>
      <c r="F687" s="213">
        <v>410</v>
      </c>
      <c r="G687" s="151">
        <v>29</v>
      </c>
      <c r="H687" s="151">
        <v>22</v>
      </c>
      <c r="I687" s="151">
        <v>638</v>
      </c>
      <c r="J687" s="151">
        <v>24</v>
      </c>
      <c r="K687" s="151">
        <v>696</v>
      </c>
      <c r="L687" s="220" t="s">
        <v>395</v>
      </c>
    </row>
    <row r="688" spans="1:12" hidden="1">
      <c r="A688" s="213">
        <v>46101143</v>
      </c>
      <c r="B688" s="151" t="s">
        <v>931</v>
      </c>
      <c r="C688" s="151" t="s">
        <v>921</v>
      </c>
      <c r="D688" s="151" t="s">
        <v>640</v>
      </c>
      <c r="E688" s="151" t="s">
        <v>841</v>
      </c>
      <c r="F688" s="213">
        <v>415</v>
      </c>
      <c r="G688" s="151">
        <v>29</v>
      </c>
      <c r="H688" s="151">
        <v>22</v>
      </c>
      <c r="I688" s="151">
        <v>638</v>
      </c>
      <c r="J688" s="151">
        <v>24</v>
      </c>
      <c r="K688" s="151">
        <v>696</v>
      </c>
      <c r="L688" s="151"/>
    </row>
    <row r="689" spans="1:12" hidden="1">
      <c r="A689" s="213">
        <v>46105143</v>
      </c>
      <c r="B689" s="151" t="s">
        <v>931</v>
      </c>
      <c r="C689" s="151" t="s">
        <v>921</v>
      </c>
      <c r="D689" s="151" t="s">
        <v>640</v>
      </c>
      <c r="E689" s="151" t="s">
        <v>841</v>
      </c>
      <c r="F689" s="213">
        <v>415</v>
      </c>
      <c r="G689" s="151">
        <v>29</v>
      </c>
      <c r="H689" s="151">
        <v>22</v>
      </c>
      <c r="I689" s="151">
        <v>638</v>
      </c>
      <c r="J689" s="151">
        <v>24</v>
      </c>
      <c r="K689" s="151">
        <v>696</v>
      </c>
      <c r="L689" s="151"/>
    </row>
    <row r="690" spans="1:12" hidden="1">
      <c r="A690" s="213">
        <v>46101343</v>
      </c>
      <c r="B690" s="151" t="s">
        <v>931</v>
      </c>
      <c r="C690" s="220" t="s">
        <v>921</v>
      </c>
      <c r="D690" s="151" t="s">
        <v>640</v>
      </c>
      <c r="E690" s="151" t="s">
        <v>841</v>
      </c>
      <c r="F690" s="213">
        <v>415</v>
      </c>
      <c r="G690" s="151">
        <v>29</v>
      </c>
      <c r="H690" s="151">
        <v>22</v>
      </c>
      <c r="I690" s="151">
        <v>638</v>
      </c>
      <c r="J690" s="151">
        <v>24</v>
      </c>
      <c r="K690" s="151">
        <v>696</v>
      </c>
      <c r="L690" s="220" t="s">
        <v>395</v>
      </c>
    </row>
    <row r="691" spans="1:12" hidden="1">
      <c r="A691" s="213">
        <v>46104143</v>
      </c>
      <c r="B691" s="151" t="s">
        <v>931</v>
      </c>
      <c r="C691" s="151" t="s">
        <v>921</v>
      </c>
      <c r="D691" s="151" t="s">
        <v>640</v>
      </c>
      <c r="E691" s="151" t="s">
        <v>841</v>
      </c>
      <c r="F691" s="213">
        <v>415</v>
      </c>
      <c r="G691" s="151">
        <v>29</v>
      </c>
      <c r="H691" s="151">
        <v>22</v>
      </c>
      <c r="I691" s="151">
        <v>638</v>
      </c>
      <c r="J691" s="151">
        <v>24</v>
      </c>
      <c r="K691" s="151">
        <v>696</v>
      </c>
      <c r="L691" s="151"/>
    </row>
    <row r="692" spans="1:12" hidden="1">
      <c r="A692" s="213">
        <v>46101144</v>
      </c>
      <c r="B692" s="151" t="s">
        <v>932</v>
      </c>
      <c r="C692" s="151" t="s">
        <v>921</v>
      </c>
      <c r="D692" s="151" t="s">
        <v>640</v>
      </c>
      <c r="E692" s="151" t="s">
        <v>841</v>
      </c>
      <c r="F692" s="213">
        <v>420</v>
      </c>
      <c r="G692" s="151">
        <v>29</v>
      </c>
      <c r="H692" s="151">
        <v>22</v>
      </c>
      <c r="I692" s="151">
        <v>638</v>
      </c>
      <c r="J692" s="151">
        <v>24</v>
      </c>
      <c r="K692" s="151">
        <v>696</v>
      </c>
      <c r="L692" s="151"/>
    </row>
    <row r="693" spans="1:12" hidden="1">
      <c r="A693" s="213">
        <v>46105144</v>
      </c>
      <c r="B693" s="151" t="s">
        <v>932</v>
      </c>
      <c r="C693" s="151" t="s">
        <v>921</v>
      </c>
      <c r="D693" s="151" t="s">
        <v>640</v>
      </c>
      <c r="E693" s="151" t="s">
        <v>841</v>
      </c>
      <c r="F693" s="213">
        <v>420</v>
      </c>
      <c r="G693" s="151">
        <v>29</v>
      </c>
      <c r="H693" s="151">
        <v>22</v>
      </c>
      <c r="I693" s="151">
        <v>638</v>
      </c>
      <c r="J693" s="151">
        <v>24</v>
      </c>
      <c r="K693" s="151">
        <v>696</v>
      </c>
      <c r="L693" s="151"/>
    </row>
    <row r="694" spans="1:12" hidden="1">
      <c r="A694" s="213">
        <v>46104144</v>
      </c>
      <c r="B694" s="151" t="s">
        <v>932</v>
      </c>
      <c r="C694" s="151" t="s">
        <v>921</v>
      </c>
      <c r="D694" s="151" t="s">
        <v>640</v>
      </c>
      <c r="E694" s="151" t="s">
        <v>841</v>
      </c>
      <c r="F694" s="213">
        <v>420</v>
      </c>
      <c r="G694" s="151">
        <v>29</v>
      </c>
      <c r="H694" s="151">
        <v>22</v>
      </c>
      <c r="I694" s="151">
        <v>638</v>
      </c>
      <c r="J694" s="151">
        <v>24</v>
      </c>
      <c r="K694" s="151">
        <v>696</v>
      </c>
      <c r="L694" s="151"/>
    </row>
    <row r="695" spans="1:12" hidden="1">
      <c r="A695" s="213">
        <v>46104544</v>
      </c>
      <c r="B695" s="151" t="s">
        <v>932</v>
      </c>
      <c r="C695" s="151" t="s">
        <v>921</v>
      </c>
      <c r="D695" s="151" t="s">
        <v>640</v>
      </c>
      <c r="E695" s="151" t="s">
        <v>841</v>
      </c>
      <c r="F695" s="213">
        <v>420</v>
      </c>
      <c r="G695" s="151">
        <v>29</v>
      </c>
      <c r="H695" s="151">
        <v>22</v>
      </c>
      <c r="I695" s="151">
        <v>638</v>
      </c>
      <c r="J695" s="151">
        <v>24</v>
      </c>
      <c r="K695" s="151">
        <v>696</v>
      </c>
      <c r="L695" s="151"/>
    </row>
    <row r="696" spans="1:12" hidden="1">
      <c r="A696" s="213">
        <v>46101344</v>
      </c>
      <c r="B696" s="151" t="s">
        <v>932</v>
      </c>
      <c r="C696" s="220" t="s">
        <v>921</v>
      </c>
      <c r="D696" s="151" t="s">
        <v>640</v>
      </c>
      <c r="E696" s="151" t="s">
        <v>841</v>
      </c>
      <c r="F696" s="213">
        <v>420</v>
      </c>
      <c r="G696" s="151">
        <v>29</v>
      </c>
      <c r="H696" s="151">
        <v>22</v>
      </c>
      <c r="I696" s="151">
        <v>638</v>
      </c>
      <c r="J696" s="151">
        <v>24</v>
      </c>
      <c r="K696" s="151">
        <v>696</v>
      </c>
      <c r="L696" s="220" t="s">
        <v>395</v>
      </c>
    </row>
    <row r="697" spans="1:12" hidden="1">
      <c r="A697" s="213">
        <v>46103144</v>
      </c>
      <c r="B697" s="151" t="s">
        <v>932</v>
      </c>
      <c r="C697" s="151" t="s">
        <v>921</v>
      </c>
      <c r="D697" s="151" t="s">
        <v>640</v>
      </c>
      <c r="E697" s="151" t="s">
        <v>841</v>
      </c>
      <c r="F697" s="213">
        <v>420</v>
      </c>
      <c r="G697" s="151">
        <v>29</v>
      </c>
      <c r="H697" s="151">
        <v>22</v>
      </c>
      <c r="I697" s="151">
        <v>638</v>
      </c>
      <c r="J697" s="151">
        <v>24</v>
      </c>
      <c r="K697" s="151">
        <v>696</v>
      </c>
      <c r="L697" s="151"/>
    </row>
    <row r="698" spans="1:12" hidden="1">
      <c r="A698" s="213">
        <v>46103145</v>
      </c>
      <c r="B698" s="151" t="s">
        <v>933</v>
      </c>
      <c r="C698" s="151" t="s">
        <v>921</v>
      </c>
      <c r="D698" s="151" t="s">
        <v>640</v>
      </c>
      <c r="E698" s="151" t="s">
        <v>841</v>
      </c>
      <c r="F698" s="213">
        <v>425</v>
      </c>
      <c r="G698" s="151">
        <v>29</v>
      </c>
      <c r="H698" s="151">
        <v>22</v>
      </c>
      <c r="I698" s="151">
        <v>638</v>
      </c>
      <c r="J698" s="151">
        <v>24</v>
      </c>
      <c r="K698" s="151">
        <v>696</v>
      </c>
      <c r="L698" s="151"/>
    </row>
    <row r="699" spans="1:12" hidden="1">
      <c r="A699" s="213">
        <v>46101145</v>
      </c>
      <c r="B699" s="151" t="s">
        <v>933</v>
      </c>
      <c r="C699" s="151" t="s">
        <v>921</v>
      </c>
      <c r="D699" s="151" t="s">
        <v>640</v>
      </c>
      <c r="E699" s="151" t="s">
        <v>841</v>
      </c>
      <c r="F699" s="213">
        <v>425</v>
      </c>
      <c r="G699" s="151">
        <v>29</v>
      </c>
      <c r="H699" s="151">
        <v>22</v>
      </c>
      <c r="I699" s="151">
        <v>638</v>
      </c>
      <c r="J699" s="151">
        <v>24</v>
      </c>
      <c r="K699" s="151">
        <v>696</v>
      </c>
      <c r="L699" s="151"/>
    </row>
    <row r="700" spans="1:12" hidden="1">
      <c r="A700" s="213">
        <v>46104145</v>
      </c>
      <c r="B700" s="151" t="s">
        <v>933</v>
      </c>
      <c r="C700" s="151" t="s">
        <v>921</v>
      </c>
      <c r="D700" s="151" t="s">
        <v>640</v>
      </c>
      <c r="E700" s="151" t="s">
        <v>841</v>
      </c>
      <c r="F700" s="213">
        <v>425</v>
      </c>
      <c r="G700" s="151">
        <v>29</v>
      </c>
      <c r="H700" s="151">
        <v>22</v>
      </c>
      <c r="I700" s="151">
        <v>638</v>
      </c>
      <c r="J700" s="151">
        <v>24</v>
      </c>
      <c r="K700" s="151">
        <v>696</v>
      </c>
      <c r="L700" s="151"/>
    </row>
    <row r="701" spans="1:12" hidden="1">
      <c r="A701" s="213">
        <v>46104140</v>
      </c>
      <c r="B701" s="151" t="s">
        <v>934</v>
      </c>
      <c r="C701" s="220" t="s">
        <v>921</v>
      </c>
      <c r="D701" s="151" t="s">
        <v>640</v>
      </c>
      <c r="E701" s="151" t="s">
        <v>841</v>
      </c>
      <c r="F701" s="213">
        <v>400</v>
      </c>
      <c r="G701" s="151">
        <v>29</v>
      </c>
      <c r="H701" s="151">
        <v>22</v>
      </c>
      <c r="I701" s="151">
        <v>638</v>
      </c>
      <c r="J701" s="151">
        <v>24</v>
      </c>
      <c r="K701" s="151">
        <v>696</v>
      </c>
      <c r="L701" s="220" t="s">
        <v>395</v>
      </c>
    </row>
    <row r="702" spans="1:12" hidden="1">
      <c r="A702" s="213">
        <v>46105142</v>
      </c>
      <c r="B702" s="151" t="s">
        <v>935</v>
      </c>
      <c r="C702" s="220" t="s">
        <v>921</v>
      </c>
      <c r="D702" s="151" t="s">
        <v>640</v>
      </c>
      <c r="E702" s="151" t="s">
        <v>841</v>
      </c>
      <c r="F702" s="213">
        <v>410</v>
      </c>
      <c r="G702" s="151">
        <v>29</v>
      </c>
      <c r="H702" s="151">
        <v>22</v>
      </c>
      <c r="I702" s="151">
        <v>638</v>
      </c>
      <c r="J702" s="151">
        <v>24</v>
      </c>
      <c r="K702" s="151">
        <v>696</v>
      </c>
      <c r="L702" s="220" t="s">
        <v>395</v>
      </c>
    </row>
    <row r="703" spans="1:12" hidden="1">
      <c r="A703" s="232">
        <v>46106144</v>
      </c>
      <c r="B703" s="151" t="s">
        <v>936</v>
      </c>
      <c r="C703" s="151" t="s">
        <v>921</v>
      </c>
      <c r="D703" s="151" t="s">
        <v>640</v>
      </c>
      <c r="E703" s="151" t="s">
        <v>841</v>
      </c>
      <c r="F703" s="213">
        <v>420</v>
      </c>
      <c r="G703" s="151">
        <v>29</v>
      </c>
      <c r="H703" s="151">
        <v>22</v>
      </c>
      <c r="I703" s="151">
        <v>638</v>
      </c>
      <c r="J703" s="151">
        <v>24</v>
      </c>
      <c r="K703" s="151">
        <v>696</v>
      </c>
      <c r="L703" s="151"/>
    </row>
    <row r="704" spans="1:12" hidden="1">
      <c r="A704" s="230">
        <v>46112145</v>
      </c>
      <c r="B704" s="151" t="s">
        <v>937</v>
      </c>
      <c r="C704" s="151" t="s">
        <v>921</v>
      </c>
      <c r="D704" s="151" t="s">
        <v>640</v>
      </c>
      <c r="E704" s="151" t="s">
        <v>841</v>
      </c>
      <c r="F704" s="233">
        <v>425</v>
      </c>
      <c r="G704" s="151">
        <v>29</v>
      </c>
      <c r="H704" s="151">
        <v>22</v>
      </c>
      <c r="I704" s="151">
        <v>638</v>
      </c>
      <c r="J704" s="151">
        <v>24</v>
      </c>
      <c r="K704" s="151">
        <v>696</v>
      </c>
      <c r="L704" s="151"/>
    </row>
    <row r="705" spans="1:12" hidden="1">
      <c r="A705" s="230">
        <v>46112146</v>
      </c>
      <c r="B705" s="151" t="s">
        <v>937</v>
      </c>
      <c r="C705" s="151" t="s">
        <v>921</v>
      </c>
      <c r="D705" s="151" t="s">
        <v>640</v>
      </c>
      <c r="E705" s="151" t="s">
        <v>841</v>
      </c>
      <c r="F705" s="233">
        <v>430</v>
      </c>
      <c r="G705" s="151">
        <v>29</v>
      </c>
      <c r="H705" s="151">
        <v>22</v>
      </c>
      <c r="I705" s="151">
        <v>638</v>
      </c>
      <c r="J705" s="151">
        <v>24</v>
      </c>
      <c r="K705" s="151">
        <v>696</v>
      </c>
      <c r="L705" s="151"/>
    </row>
    <row r="706" spans="1:12" hidden="1">
      <c r="A706" s="230">
        <v>46112144</v>
      </c>
      <c r="B706" s="151" t="s">
        <v>937</v>
      </c>
      <c r="C706" s="151" t="s">
        <v>921</v>
      </c>
      <c r="D706" s="151" t="s">
        <v>640</v>
      </c>
      <c r="E706" s="151" t="s">
        <v>841</v>
      </c>
      <c r="F706" s="233">
        <v>420</v>
      </c>
      <c r="G706" s="151">
        <v>29</v>
      </c>
      <c r="H706" s="151">
        <v>22</v>
      </c>
      <c r="I706" s="151">
        <v>638</v>
      </c>
      <c r="J706" s="151">
        <v>24</v>
      </c>
      <c r="K706" s="151">
        <v>696</v>
      </c>
      <c r="L706" s="151"/>
    </row>
    <row r="707" spans="1:12" hidden="1">
      <c r="A707" s="234">
        <v>46113145</v>
      </c>
      <c r="B707" s="235" t="s">
        <v>938</v>
      </c>
      <c r="C707" s="151" t="s">
        <v>921</v>
      </c>
      <c r="D707" s="223" t="s">
        <v>640</v>
      </c>
      <c r="E707" s="223" t="s">
        <v>841</v>
      </c>
      <c r="F707" s="235">
        <v>425</v>
      </c>
      <c r="G707" s="151">
        <v>29</v>
      </c>
      <c r="H707" s="151">
        <v>22</v>
      </c>
      <c r="I707" s="151">
        <v>638</v>
      </c>
      <c r="J707" s="151">
        <v>24</v>
      </c>
      <c r="K707" s="151">
        <v>696</v>
      </c>
      <c r="L707" s="151"/>
    </row>
    <row r="708" spans="1:12" hidden="1">
      <c r="A708" s="234">
        <v>46113146</v>
      </c>
      <c r="B708" s="235" t="s">
        <v>938</v>
      </c>
      <c r="C708" s="151" t="s">
        <v>921</v>
      </c>
      <c r="D708" s="223" t="s">
        <v>640</v>
      </c>
      <c r="E708" s="223" t="s">
        <v>841</v>
      </c>
      <c r="F708" s="235">
        <v>430</v>
      </c>
      <c r="G708" s="151">
        <v>29</v>
      </c>
      <c r="H708" s="151">
        <v>22</v>
      </c>
      <c r="I708" s="151">
        <v>638</v>
      </c>
      <c r="J708" s="151">
        <v>24</v>
      </c>
      <c r="K708" s="151">
        <v>696</v>
      </c>
      <c r="L708" s="151"/>
    </row>
    <row r="709" spans="1:12" hidden="1">
      <c r="A709" s="234">
        <v>46113144</v>
      </c>
      <c r="B709" s="235" t="s">
        <v>938</v>
      </c>
      <c r="C709" s="151" t="s">
        <v>921</v>
      </c>
      <c r="D709" s="223" t="s">
        <v>640</v>
      </c>
      <c r="E709" s="223" t="s">
        <v>841</v>
      </c>
      <c r="F709" s="235">
        <v>420</v>
      </c>
      <c r="G709" s="151">
        <v>29</v>
      </c>
      <c r="H709" s="151">
        <v>22</v>
      </c>
      <c r="I709" s="151">
        <v>638</v>
      </c>
      <c r="J709" s="151">
        <v>24</v>
      </c>
      <c r="K709" s="151">
        <v>696</v>
      </c>
      <c r="L709" s="151"/>
    </row>
    <row r="710" spans="1:12" s="215" customFormat="1" hidden="1">
      <c r="A710" s="234">
        <v>46114145</v>
      </c>
      <c r="B710" s="235" t="s">
        <v>938</v>
      </c>
      <c r="C710" s="151" t="s">
        <v>921</v>
      </c>
      <c r="D710" s="223" t="s">
        <v>640</v>
      </c>
      <c r="E710" s="223" t="s">
        <v>841</v>
      </c>
      <c r="F710" s="235">
        <v>425</v>
      </c>
      <c r="G710" s="236">
        <v>29</v>
      </c>
      <c r="H710" s="151">
        <v>22</v>
      </c>
      <c r="I710" s="151">
        <v>638</v>
      </c>
      <c r="J710" s="151">
        <v>24</v>
      </c>
      <c r="K710" s="151">
        <v>696</v>
      </c>
      <c r="L710" s="151"/>
    </row>
    <row r="711" spans="1:12" s="215" customFormat="1" hidden="1">
      <c r="A711" s="234">
        <v>46114146</v>
      </c>
      <c r="B711" s="235" t="s">
        <v>938</v>
      </c>
      <c r="C711" s="151" t="s">
        <v>921</v>
      </c>
      <c r="D711" s="223" t="s">
        <v>640</v>
      </c>
      <c r="E711" s="223" t="s">
        <v>841</v>
      </c>
      <c r="F711" s="235">
        <v>430</v>
      </c>
      <c r="G711" s="236">
        <v>29</v>
      </c>
      <c r="H711" s="151">
        <v>22</v>
      </c>
      <c r="I711" s="151">
        <v>638</v>
      </c>
      <c r="J711" s="151">
        <v>24</v>
      </c>
      <c r="K711" s="151">
        <v>696</v>
      </c>
      <c r="L711" s="151"/>
    </row>
    <row r="712" spans="1:12" s="215" customFormat="1" hidden="1">
      <c r="A712" s="230">
        <v>46106143</v>
      </c>
      <c r="B712" s="151" t="s">
        <v>937</v>
      </c>
      <c r="C712" s="220" t="s">
        <v>921</v>
      </c>
      <c r="D712" s="151" t="s">
        <v>640</v>
      </c>
      <c r="E712" s="151" t="s">
        <v>841</v>
      </c>
      <c r="F712" s="233">
        <v>415</v>
      </c>
      <c r="G712" s="151">
        <v>29</v>
      </c>
      <c r="H712" s="151">
        <v>22</v>
      </c>
      <c r="I712" s="151">
        <v>638</v>
      </c>
      <c r="J712" s="151">
        <v>24</v>
      </c>
      <c r="K712" s="151">
        <v>696</v>
      </c>
      <c r="L712" s="220" t="s">
        <v>395</v>
      </c>
    </row>
    <row r="713" spans="1:12" s="215" customFormat="1" hidden="1">
      <c r="A713" s="230">
        <v>46111144</v>
      </c>
      <c r="B713" s="213" t="s">
        <v>938</v>
      </c>
      <c r="C713" s="151" t="s">
        <v>921</v>
      </c>
      <c r="D713" s="213" t="s">
        <v>640</v>
      </c>
      <c r="E713" s="213" t="s">
        <v>922</v>
      </c>
      <c r="F713" s="233">
        <v>420</v>
      </c>
      <c r="G713" s="151">
        <v>29</v>
      </c>
      <c r="H713" s="151">
        <v>22</v>
      </c>
      <c r="I713" s="151">
        <v>638</v>
      </c>
      <c r="J713" s="151">
        <v>24</v>
      </c>
      <c r="K713" s="151">
        <v>696</v>
      </c>
      <c r="L713" s="213"/>
    </row>
    <row r="714" spans="1:12" s="215" customFormat="1" hidden="1">
      <c r="A714" s="230">
        <v>46111145</v>
      </c>
      <c r="B714" s="213" t="s">
        <v>938</v>
      </c>
      <c r="C714" s="151" t="s">
        <v>921</v>
      </c>
      <c r="D714" s="213" t="s">
        <v>640</v>
      </c>
      <c r="E714" s="213" t="s">
        <v>922</v>
      </c>
      <c r="F714" s="233">
        <v>425</v>
      </c>
      <c r="G714" s="151">
        <v>29</v>
      </c>
      <c r="H714" s="151">
        <v>22</v>
      </c>
      <c r="I714" s="151">
        <v>638</v>
      </c>
      <c r="J714" s="151">
        <v>24</v>
      </c>
      <c r="K714" s="151">
        <v>696</v>
      </c>
      <c r="L714" s="213"/>
    </row>
    <row r="715" spans="1:12" s="215" customFormat="1" hidden="1">
      <c r="A715" s="230">
        <v>46111146</v>
      </c>
      <c r="B715" s="213" t="s">
        <v>938</v>
      </c>
      <c r="C715" s="151" t="s">
        <v>921</v>
      </c>
      <c r="D715" s="213" t="s">
        <v>640</v>
      </c>
      <c r="E715" s="213" t="s">
        <v>922</v>
      </c>
      <c r="F715" s="233">
        <v>430</v>
      </c>
      <c r="G715" s="151">
        <v>29</v>
      </c>
      <c r="H715" s="151">
        <v>22</v>
      </c>
      <c r="I715" s="151">
        <v>638</v>
      </c>
      <c r="J715" s="151">
        <v>24</v>
      </c>
      <c r="K715" s="151">
        <v>696</v>
      </c>
      <c r="L715" s="213"/>
    </row>
    <row r="716" spans="1:12" s="215" customFormat="1" hidden="1">
      <c r="A716" s="230">
        <v>46112143</v>
      </c>
      <c r="B716" s="213" t="s">
        <v>938</v>
      </c>
      <c r="C716" s="220" t="s">
        <v>921</v>
      </c>
      <c r="D716" s="213" t="s">
        <v>640</v>
      </c>
      <c r="E716" s="213" t="s">
        <v>922</v>
      </c>
      <c r="F716" s="233">
        <v>415</v>
      </c>
      <c r="G716" s="151">
        <v>29</v>
      </c>
      <c r="H716" s="151">
        <v>22</v>
      </c>
      <c r="I716" s="151">
        <v>638</v>
      </c>
      <c r="J716" s="151">
        <v>24</v>
      </c>
      <c r="K716" s="151">
        <v>696</v>
      </c>
      <c r="L716" s="220" t="s">
        <v>395</v>
      </c>
    </row>
    <row r="717" spans="1:12" s="215" customFormat="1" hidden="1">
      <c r="A717" s="237">
        <v>46111545</v>
      </c>
      <c r="B717" s="238" t="s">
        <v>938</v>
      </c>
      <c r="C717" s="151" t="s">
        <v>921</v>
      </c>
      <c r="D717" s="213" t="s">
        <v>640</v>
      </c>
      <c r="E717" s="213" t="s">
        <v>922</v>
      </c>
      <c r="F717" s="233">
        <v>425</v>
      </c>
      <c r="G717" s="151">
        <v>29</v>
      </c>
      <c r="H717" s="151">
        <v>22</v>
      </c>
      <c r="I717" s="151">
        <v>638</v>
      </c>
      <c r="J717" s="151">
        <v>24</v>
      </c>
      <c r="K717" s="151">
        <v>696</v>
      </c>
      <c r="L717" s="213"/>
    </row>
    <row r="718" spans="1:12" s="215" customFormat="1" hidden="1">
      <c r="A718" s="237">
        <v>46109144</v>
      </c>
      <c r="B718" s="230" t="s">
        <v>938</v>
      </c>
      <c r="C718" s="151" t="s">
        <v>921</v>
      </c>
      <c r="D718" s="213" t="s">
        <v>640</v>
      </c>
      <c r="E718" s="213" t="s">
        <v>922</v>
      </c>
      <c r="F718" s="233">
        <v>420</v>
      </c>
      <c r="G718" s="151">
        <v>29</v>
      </c>
      <c r="H718" s="151">
        <v>22</v>
      </c>
      <c r="I718" s="151">
        <v>638</v>
      </c>
      <c r="J718" s="151">
        <v>24</v>
      </c>
      <c r="K718" s="151">
        <v>696</v>
      </c>
      <c r="L718" s="213"/>
    </row>
    <row r="719" spans="1:12" s="215" customFormat="1" hidden="1">
      <c r="A719" s="237">
        <v>46109546</v>
      </c>
      <c r="B719" s="230" t="s">
        <v>938</v>
      </c>
      <c r="C719" s="151" t="s">
        <v>921</v>
      </c>
      <c r="D719" s="213" t="s">
        <v>640</v>
      </c>
      <c r="E719" s="213" t="s">
        <v>922</v>
      </c>
      <c r="F719" s="233">
        <v>430</v>
      </c>
      <c r="G719" s="151">
        <v>29</v>
      </c>
      <c r="H719" s="151">
        <v>22</v>
      </c>
      <c r="I719" s="151">
        <v>638</v>
      </c>
      <c r="J719" s="151">
        <v>24</v>
      </c>
      <c r="K719" s="151">
        <v>696</v>
      </c>
      <c r="L719" s="213"/>
    </row>
    <row r="720" spans="1:12" s="215" customFormat="1" hidden="1">
      <c r="A720" s="237">
        <v>46111546</v>
      </c>
      <c r="B720" s="230" t="s">
        <v>938</v>
      </c>
      <c r="C720" s="151" t="s">
        <v>921</v>
      </c>
      <c r="D720" s="213" t="s">
        <v>640</v>
      </c>
      <c r="E720" s="213" t="s">
        <v>922</v>
      </c>
      <c r="F720" s="233">
        <v>430</v>
      </c>
      <c r="G720" s="151">
        <v>29</v>
      </c>
      <c r="H720" s="151">
        <v>22</v>
      </c>
      <c r="I720" s="151">
        <v>638</v>
      </c>
      <c r="J720" s="151">
        <v>24</v>
      </c>
      <c r="K720" s="151">
        <v>696</v>
      </c>
      <c r="L720" s="213"/>
    </row>
    <row r="721" spans="1:12" s="215" customFormat="1" hidden="1">
      <c r="A721" s="237">
        <v>46111143</v>
      </c>
      <c r="B721" s="230" t="s">
        <v>938</v>
      </c>
      <c r="C721" s="220" t="s">
        <v>921</v>
      </c>
      <c r="D721" s="213" t="s">
        <v>640</v>
      </c>
      <c r="E721" s="213" t="s">
        <v>922</v>
      </c>
      <c r="F721" s="233">
        <v>415</v>
      </c>
      <c r="G721" s="151">
        <v>29</v>
      </c>
      <c r="H721" s="151">
        <v>22</v>
      </c>
      <c r="I721" s="151">
        <v>638</v>
      </c>
      <c r="J721" s="151">
        <v>24</v>
      </c>
      <c r="K721" s="151">
        <v>696</v>
      </c>
      <c r="L721" s="220" t="s">
        <v>395</v>
      </c>
    </row>
    <row r="722" spans="1:12" s="215" customFormat="1" hidden="1">
      <c r="A722" s="213">
        <v>46106142</v>
      </c>
      <c r="B722" s="230" t="s">
        <v>938</v>
      </c>
      <c r="C722" s="220" t="s">
        <v>921</v>
      </c>
      <c r="D722" s="213" t="s">
        <v>640</v>
      </c>
      <c r="E722" s="213" t="s">
        <v>922</v>
      </c>
      <c r="F722" s="213">
        <v>410</v>
      </c>
      <c r="G722" s="239">
        <v>29</v>
      </c>
      <c r="H722" s="151">
        <v>22</v>
      </c>
      <c r="I722" s="151">
        <v>638</v>
      </c>
      <c r="J722" s="151">
        <v>24</v>
      </c>
      <c r="K722" s="151">
        <v>696</v>
      </c>
      <c r="L722" s="220" t="s">
        <v>395</v>
      </c>
    </row>
    <row r="723" spans="1:12" hidden="1">
      <c r="A723" s="213">
        <v>46106141</v>
      </c>
      <c r="B723" s="230" t="s">
        <v>938</v>
      </c>
      <c r="C723" s="220" t="s">
        <v>921</v>
      </c>
      <c r="D723" s="213" t="s">
        <v>640</v>
      </c>
      <c r="E723" s="213" t="s">
        <v>922</v>
      </c>
      <c r="F723" s="213">
        <v>405</v>
      </c>
      <c r="G723" s="239">
        <v>29</v>
      </c>
      <c r="H723" s="151">
        <v>22</v>
      </c>
      <c r="I723" s="151">
        <v>638</v>
      </c>
      <c r="J723" s="151">
        <v>24</v>
      </c>
      <c r="K723" s="151">
        <v>696</v>
      </c>
      <c r="L723" s="220" t="s">
        <v>395</v>
      </c>
    </row>
    <row r="724" spans="1:12" hidden="1">
      <c r="A724" s="237">
        <v>46109143</v>
      </c>
      <c r="B724" s="230" t="s">
        <v>938</v>
      </c>
      <c r="C724" s="220" t="s">
        <v>921</v>
      </c>
      <c r="D724" s="213" t="s">
        <v>640</v>
      </c>
      <c r="E724" s="213" t="s">
        <v>922</v>
      </c>
      <c r="F724" s="233">
        <v>415</v>
      </c>
      <c r="G724" s="151">
        <v>29</v>
      </c>
      <c r="H724" s="151">
        <v>22</v>
      </c>
      <c r="I724" s="151">
        <v>638</v>
      </c>
      <c r="J724" s="151">
        <v>24</v>
      </c>
      <c r="K724" s="151">
        <v>696</v>
      </c>
      <c r="L724" s="220" t="s">
        <v>395</v>
      </c>
    </row>
    <row r="725" spans="1:12" hidden="1">
      <c r="A725" s="237">
        <v>46109545</v>
      </c>
      <c r="B725" s="230" t="s">
        <v>938</v>
      </c>
      <c r="C725" s="151" t="s">
        <v>921</v>
      </c>
      <c r="D725" s="213" t="s">
        <v>640</v>
      </c>
      <c r="E725" s="213" t="s">
        <v>922</v>
      </c>
      <c r="F725" s="233">
        <v>425</v>
      </c>
      <c r="G725" s="151">
        <v>29</v>
      </c>
      <c r="H725" s="151">
        <v>22</v>
      </c>
      <c r="I725" s="151">
        <v>638</v>
      </c>
      <c r="J725" s="151">
        <v>24</v>
      </c>
      <c r="K725" s="151">
        <v>696</v>
      </c>
      <c r="L725" s="213"/>
    </row>
    <row r="726" spans="1:12" hidden="1">
      <c r="A726" s="213">
        <v>46105145</v>
      </c>
      <c r="B726" s="151" t="s">
        <v>933</v>
      </c>
      <c r="C726" s="151" t="s">
        <v>921</v>
      </c>
      <c r="D726" s="151" t="s">
        <v>640</v>
      </c>
      <c r="E726" s="151" t="s">
        <v>841</v>
      </c>
      <c r="F726" s="213">
        <v>425</v>
      </c>
      <c r="G726" s="151">
        <v>29</v>
      </c>
      <c r="H726" s="151">
        <v>22</v>
      </c>
      <c r="I726" s="151">
        <v>638</v>
      </c>
      <c r="J726" s="151">
        <v>24</v>
      </c>
      <c r="K726" s="151">
        <v>696</v>
      </c>
      <c r="L726" s="151"/>
    </row>
    <row r="727" spans="1:12" hidden="1">
      <c r="A727" s="213">
        <v>46104146</v>
      </c>
      <c r="B727" s="151" t="s">
        <v>939</v>
      </c>
      <c r="C727" s="151" t="s">
        <v>921</v>
      </c>
      <c r="D727" s="151" t="s">
        <v>640</v>
      </c>
      <c r="E727" s="151" t="s">
        <v>841</v>
      </c>
      <c r="F727" s="213">
        <v>430</v>
      </c>
      <c r="G727" s="151">
        <v>29</v>
      </c>
      <c r="H727" s="151">
        <v>22</v>
      </c>
      <c r="I727" s="151">
        <v>638</v>
      </c>
      <c r="J727" s="151">
        <v>24</v>
      </c>
      <c r="K727" s="151">
        <v>696</v>
      </c>
      <c r="L727" s="151"/>
    </row>
    <row r="728" spans="1:12" hidden="1">
      <c r="A728" s="213">
        <v>46104147</v>
      </c>
      <c r="B728" s="151" t="s">
        <v>940</v>
      </c>
      <c r="C728" s="151" t="s">
        <v>921</v>
      </c>
      <c r="D728" s="151" t="s">
        <v>640</v>
      </c>
      <c r="E728" s="151" t="s">
        <v>841</v>
      </c>
      <c r="F728" s="213">
        <v>435</v>
      </c>
      <c r="G728" s="151">
        <v>29</v>
      </c>
      <c r="H728" s="151">
        <v>22</v>
      </c>
      <c r="I728" s="151">
        <v>638</v>
      </c>
      <c r="J728" s="151">
        <v>24</v>
      </c>
      <c r="K728" s="151">
        <v>696</v>
      </c>
      <c r="L728" s="151"/>
    </row>
    <row r="729" spans="1:12" hidden="1">
      <c r="A729" s="213">
        <v>46104545</v>
      </c>
      <c r="B729" s="151" t="s">
        <v>933</v>
      </c>
      <c r="C729" s="151" t="s">
        <v>921</v>
      </c>
      <c r="D729" s="151" t="s">
        <v>640</v>
      </c>
      <c r="E729" s="151" t="s">
        <v>841</v>
      </c>
      <c r="F729" s="213">
        <v>425</v>
      </c>
      <c r="G729" s="151">
        <v>29</v>
      </c>
      <c r="H729" s="151">
        <v>22</v>
      </c>
      <c r="I729" s="151">
        <v>638</v>
      </c>
      <c r="J729" s="151">
        <v>24</v>
      </c>
      <c r="K729" s="151">
        <v>696</v>
      </c>
      <c r="L729" s="151"/>
    </row>
    <row r="730" spans="1:12" hidden="1">
      <c r="A730" s="213">
        <v>46104546</v>
      </c>
      <c r="B730" s="151" t="s">
        <v>939</v>
      </c>
      <c r="C730" s="151" t="s">
        <v>921</v>
      </c>
      <c r="D730" s="151" t="s">
        <v>640</v>
      </c>
      <c r="E730" s="151" t="s">
        <v>841</v>
      </c>
      <c r="F730" s="213">
        <v>430</v>
      </c>
      <c r="G730" s="151">
        <v>29</v>
      </c>
      <c r="H730" s="151">
        <v>22</v>
      </c>
      <c r="I730" s="151">
        <v>638</v>
      </c>
      <c r="J730" s="151">
        <v>24</v>
      </c>
      <c r="K730" s="151">
        <v>696</v>
      </c>
      <c r="L730" s="151"/>
    </row>
    <row r="731" spans="1:12" hidden="1">
      <c r="A731" s="213">
        <v>46106145</v>
      </c>
      <c r="B731" s="151" t="s">
        <v>933</v>
      </c>
      <c r="C731" s="151" t="s">
        <v>921</v>
      </c>
      <c r="D731" s="151" t="s">
        <v>640</v>
      </c>
      <c r="E731" s="151" t="s">
        <v>841</v>
      </c>
      <c r="F731" s="213">
        <v>425</v>
      </c>
      <c r="G731" s="151">
        <v>29</v>
      </c>
      <c r="H731" s="151">
        <v>22</v>
      </c>
      <c r="I731" s="151">
        <v>638</v>
      </c>
      <c r="J731" s="151">
        <v>24</v>
      </c>
      <c r="K731" s="151">
        <v>696</v>
      </c>
      <c r="L731" s="151"/>
    </row>
    <row r="732" spans="1:12" hidden="1">
      <c r="A732" s="213">
        <v>46106146</v>
      </c>
      <c r="B732" s="151" t="s">
        <v>939</v>
      </c>
      <c r="C732" s="151" t="s">
        <v>921</v>
      </c>
      <c r="D732" s="151" t="s">
        <v>640</v>
      </c>
      <c r="E732" s="151" t="s">
        <v>841</v>
      </c>
      <c r="F732" s="213">
        <v>430</v>
      </c>
      <c r="G732" s="151">
        <v>29</v>
      </c>
      <c r="H732" s="151">
        <v>22</v>
      </c>
      <c r="I732" s="151">
        <v>638</v>
      </c>
      <c r="J732" s="151">
        <v>24</v>
      </c>
      <c r="K732" s="151">
        <v>696</v>
      </c>
      <c r="L732" s="151"/>
    </row>
    <row r="733" spans="1:12" hidden="1">
      <c r="A733" s="213">
        <v>44101126</v>
      </c>
      <c r="B733" s="151" t="s">
        <v>867</v>
      </c>
      <c r="C733" s="220" t="s">
        <v>410</v>
      </c>
      <c r="D733" s="151" t="s">
        <v>411</v>
      </c>
      <c r="E733" s="151" t="s">
        <v>841</v>
      </c>
      <c r="F733" s="213">
        <v>330</v>
      </c>
      <c r="G733" s="151">
        <v>29</v>
      </c>
      <c r="H733" s="151">
        <v>22</v>
      </c>
      <c r="I733" s="151">
        <v>638</v>
      </c>
      <c r="J733" s="151">
        <v>26</v>
      </c>
      <c r="K733" s="151">
        <v>754</v>
      </c>
      <c r="L733" s="220" t="s">
        <v>395</v>
      </c>
    </row>
    <row r="734" spans="1:12" hidden="1">
      <c r="A734" s="213">
        <v>44101127</v>
      </c>
      <c r="B734" s="151" t="s">
        <v>868</v>
      </c>
      <c r="C734" s="220" t="s">
        <v>410</v>
      </c>
      <c r="D734" s="151" t="s">
        <v>411</v>
      </c>
      <c r="E734" s="151" t="s">
        <v>841</v>
      </c>
      <c r="F734" s="213">
        <v>335</v>
      </c>
      <c r="G734" s="151">
        <v>29</v>
      </c>
      <c r="H734" s="151">
        <v>22</v>
      </c>
      <c r="I734" s="151">
        <v>638</v>
      </c>
      <c r="J734" s="151">
        <v>26</v>
      </c>
      <c r="K734" s="151">
        <v>754</v>
      </c>
      <c r="L734" s="220" t="s">
        <v>395</v>
      </c>
    </row>
    <row r="735" spans="1:12" hidden="1">
      <c r="A735" s="213">
        <v>44101128</v>
      </c>
      <c r="B735" s="151" t="s">
        <v>869</v>
      </c>
      <c r="C735" s="220" t="s">
        <v>410</v>
      </c>
      <c r="D735" s="151" t="s">
        <v>411</v>
      </c>
      <c r="E735" s="151" t="s">
        <v>841</v>
      </c>
      <c r="F735" s="213">
        <v>340</v>
      </c>
      <c r="G735" s="151">
        <v>29</v>
      </c>
      <c r="H735" s="151">
        <v>22</v>
      </c>
      <c r="I735" s="151">
        <v>638</v>
      </c>
      <c r="J735" s="151">
        <v>26</v>
      </c>
      <c r="K735" s="151">
        <v>754</v>
      </c>
      <c r="L735" s="220" t="s">
        <v>395</v>
      </c>
    </row>
    <row r="736" spans="1:12" hidden="1">
      <c r="A736" s="213">
        <v>44101129</v>
      </c>
      <c r="B736" s="151" t="s">
        <v>870</v>
      </c>
      <c r="C736" s="220" t="s">
        <v>410</v>
      </c>
      <c r="D736" s="151" t="s">
        <v>411</v>
      </c>
      <c r="E736" s="151" t="s">
        <v>841</v>
      </c>
      <c r="F736" s="213">
        <v>345</v>
      </c>
      <c r="G736" s="151">
        <v>29</v>
      </c>
      <c r="H736" s="151">
        <v>22</v>
      </c>
      <c r="I736" s="151">
        <v>638</v>
      </c>
      <c r="J736" s="151">
        <v>26</v>
      </c>
      <c r="K736" s="151">
        <v>754</v>
      </c>
      <c r="L736" s="220" t="s">
        <v>395</v>
      </c>
    </row>
    <row r="737" spans="1:12" hidden="1">
      <c r="A737" s="213">
        <v>44101130</v>
      </c>
      <c r="B737" s="151" t="s">
        <v>871</v>
      </c>
      <c r="C737" s="220" t="s">
        <v>410</v>
      </c>
      <c r="D737" s="151" t="s">
        <v>411</v>
      </c>
      <c r="E737" s="151" t="s">
        <v>841</v>
      </c>
      <c r="F737" s="213">
        <v>350</v>
      </c>
      <c r="G737" s="151">
        <v>29</v>
      </c>
      <c r="H737" s="151">
        <v>22</v>
      </c>
      <c r="I737" s="151">
        <v>638</v>
      </c>
      <c r="J737" s="151">
        <v>26</v>
      </c>
      <c r="K737" s="151">
        <v>754</v>
      </c>
      <c r="L737" s="220" t="s">
        <v>395</v>
      </c>
    </row>
    <row r="738" spans="1:12" hidden="1">
      <c r="A738" s="213">
        <v>44101131</v>
      </c>
      <c r="B738" s="151" t="s">
        <v>872</v>
      </c>
      <c r="C738" s="151" t="s">
        <v>410</v>
      </c>
      <c r="D738" s="151" t="s">
        <v>411</v>
      </c>
      <c r="E738" s="151" t="s">
        <v>841</v>
      </c>
      <c r="F738" s="213">
        <v>355</v>
      </c>
      <c r="G738" s="151">
        <v>29</v>
      </c>
      <c r="H738" s="151">
        <v>22</v>
      </c>
      <c r="I738" s="151">
        <v>638</v>
      </c>
      <c r="J738" s="151">
        <v>26</v>
      </c>
      <c r="K738" s="151">
        <v>754</v>
      </c>
      <c r="L738" s="151"/>
    </row>
    <row r="739" spans="1:12" hidden="1">
      <c r="A739" s="213">
        <v>44101132</v>
      </c>
      <c r="B739" s="151" t="s">
        <v>941</v>
      </c>
      <c r="C739" s="151" t="s">
        <v>410</v>
      </c>
      <c r="D739" s="151" t="s">
        <v>411</v>
      </c>
      <c r="E739" s="151" t="s">
        <v>841</v>
      </c>
      <c r="F739" s="213">
        <v>360</v>
      </c>
      <c r="G739" s="151">
        <v>29</v>
      </c>
      <c r="H739" s="151">
        <v>22</v>
      </c>
      <c r="I739" s="151">
        <v>638</v>
      </c>
      <c r="J739" s="151">
        <v>26</v>
      </c>
      <c r="K739" s="151">
        <v>754</v>
      </c>
      <c r="L739" s="151"/>
    </row>
    <row r="740" spans="1:12" hidden="1">
      <c r="A740" s="213">
        <v>44103132</v>
      </c>
      <c r="B740" s="151" t="s">
        <v>941</v>
      </c>
      <c r="C740" s="151" t="s">
        <v>410</v>
      </c>
      <c r="D740" s="151" t="s">
        <v>411</v>
      </c>
      <c r="E740" s="151" t="s">
        <v>841</v>
      </c>
      <c r="F740" s="213">
        <v>360</v>
      </c>
      <c r="G740" s="151">
        <v>29</v>
      </c>
      <c r="H740" s="151">
        <v>22</v>
      </c>
      <c r="I740" s="151">
        <v>638</v>
      </c>
      <c r="J740" s="151">
        <v>26</v>
      </c>
      <c r="K740" s="151">
        <v>754</v>
      </c>
      <c r="L740" s="151"/>
    </row>
    <row r="741" spans="1:12" hidden="1">
      <c r="A741" s="213">
        <v>44103133</v>
      </c>
      <c r="B741" s="151" t="s">
        <v>873</v>
      </c>
      <c r="C741" s="151" t="s">
        <v>410</v>
      </c>
      <c r="D741" s="151" t="s">
        <v>411</v>
      </c>
      <c r="E741" s="151" t="s">
        <v>841</v>
      </c>
      <c r="F741" s="213">
        <v>365</v>
      </c>
      <c r="G741" s="151">
        <v>29</v>
      </c>
      <c r="H741" s="151">
        <v>22</v>
      </c>
      <c r="I741" s="151">
        <v>638</v>
      </c>
      <c r="J741" s="151">
        <v>26</v>
      </c>
      <c r="K741" s="151">
        <v>754</v>
      </c>
      <c r="L741" s="151"/>
    </row>
    <row r="742" spans="1:12" hidden="1">
      <c r="A742" s="213">
        <v>44101133</v>
      </c>
      <c r="B742" s="151" t="s">
        <v>873</v>
      </c>
      <c r="C742" s="151" t="s">
        <v>410</v>
      </c>
      <c r="D742" s="151" t="s">
        <v>411</v>
      </c>
      <c r="E742" s="151" t="s">
        <v>841</v>
      </c>
      <c r="F742" s="213">
        <v>365</v>
      </c>
      <c r="G742" s="151">
        <v>29</v>
      </c>
      <c r="H742" s="151">
        <v>22</v>
      </c>
      <c r="I742" s="151">
        <v>638</v>
      </c>
      <c r="J742" s="151">
        <v>26</v>
      </c>
      <c r="K742" s="151">
        <v>754</v>
      </c>
      <c r="L742" s="151"/>
    </row>
    <row r="743" spans="1:12" hidden="1">
      <c r="A743" s="213">
        <v>44101135</v>
      </c>
      <c r="B743" s="151" t="s">
        <v>875</v>
      </c>
      <c r="C743" s="220" t="s">
        <v>410</v>
      </c>
      <c r="D743" s="151" t="s">
        <v>411</v>
      </c>
      <c r="E743" s="151" t="s">
        <v>841</v>
      </c>
      <c r="F743" s="213">
        <v>375</v>
      </c>
      <c r="G743" s="151">
        <v>29</v>
      </c>
      <c r="H743" s="151">
        <v>22</v>
      </c>
      <c r="I743" s="151">
        <v>638</v>
      </c>
      <c r="J743" s="151">
        <v>26</v>
      </c>
      <c r="K743" s="151">
        <v>754</v>
      </c>
      <c r="L743" s="220" t="s">
        <v>395</v>
      </c>
    </row>
    <row r="744" spans="1:12" hidden="1">
      <c r="A744" s="213">
        <v>44101136</v>
      </c>
      <c r="B744" s="151" t="s">
        <v>876</v>
      </c>
      <c r="C744" s="220" t="s">
        <v>410</v>
      </c>
      <c r="D744" s="151" t="s">
        <v>411</v>
      </c>
      <c r="E744" s="151" t="s">
        <v>841</v>
      </c>
      <c r="F744" s="213">
        <v>380</v>
      </c>
      <c r="G744" s="151">
        <v>29</v>
      </c>
      <c r="H744" s="151">
        <v>22</v>
      </c>
      <c r="I744" s="151">
        <v>638</v>
      </c>
      <c r="J744" s="151">
        <v>26</v>
      </c>
      <c r="K744" s="151">
        <v>754</v>
      </c>
      <c r="L744" s="220" t="s">
        <v>395</v>
      </c>
    </row>
    <row r="745" spans="1:12" hidden="1">
      <c r="A745" s="213">
        <v>44101137</v>
      </c>
      <c r="B745" s="151" t="s">
        <v>877</v>
      </c>
      <c r="C745" s="220" t="s">
        <v>410</v>
      </c>
      <c r="D745" s="151" t="s">
        <v>411</v>
      </c>
      <c r="E745" s="151" t="s">
        <v>841</v>
      </c>
      <c r="F745" s="213">
        <v>385</v>
      </c>
      <c r="G745" s="151">
        <v>29</v>
      </c>
      <c r="H745" s="151">
        <v>22</v>
      </c>
      <c r="I745" s="151">
        <v>638</v>
      </c>
      <c r="J745" s="151">
        <v>26</v>
      </c>
      <c r="K745" s="151">
        <v>754</v>
      </c>
      <c r="L745" s="220" t="s">
        <v>395</v>
      </c>
    </row>
    <row r="746" spans="1:12" hidden="1">
      <c r="A746" s="213">
        <v>44101138</v>
      </c>
      <c r="B746" s="151" t="s">
        <v>878</v>
      </c>
      <c r="C746" s="220" t="s">
        <v>410</v>
      </c>
      <c r="D746" s="151" t="s">
        <v>411</v>
      </c>
      <c r="E746" s="151" t="s">
        <v>841</v>
      </c>
      <c r="F746" s="213">
        <v>390</v>
      </c>
      <c r="G746" s="151">
        <v>29</v>
      </c>
      <c r="H746" s="151">
        <v>22</v>
      </c>
      <c r="I746" s="151">
        <v>638</v>
      </c>
      <c r="J746" s="151">
        <v>26</v>
      </c>
      <c r="K746" s="151">
        <v>754</v>
      </c>
      <c r="L746" s="220" t="s">
        <v>395</v>
      </c>
    </row>
    <row r="747" spans="1:12" hidden="1">
      <c r="A747" s="213">
        <v>44101139</v>
      </c>
      <c r="B747" s="151" t="s">
        <v>879</v>
      </c>
      <c r="C747" s="220" t="s">
        <v>410</v>
      </c>
      <c r="D747" s="151" t="s">
        <v>411</v>
      </c>
      <c r="E747" s="151" t="s">
        <v>841</v>
      </c>
      <c r="F747" s="213">
        <v>395</v>
      </c>
      <c r="G747" s="151">
        <v>29</v>
      </c>
      <c r="H747" s="151">
        <v>22</v>
      </c>
      <c r="I747" s="151">
        <v>638</v>
      </c>
      <c r="J747" s="151">
        <v>26</v>
      </c>
      <c r="K747" s="151">
        <v>754</v>
      </c>
      <c r="L747" s="220" t="s">
        <v>395</v>
      </c>
    </row>
    <row r="748" spans="1:12" hidden="1">
      <c r="A748" s="213">
        <v>44101140</v>
      </c>
      <c r="B748" s="151" t="s">
        <v>880</v>
      </c>
      <c r="C748" s="220" t="s">
        <v>410</v>
      </c>
      <c r="D748" s="151" t="s">
        <v>411</v>
      </c>
      <c r="E748" s="151" t="s">
        <v>841</v>
      </c>
      <c r="F748" s="213">
        <v>400</v>
      </c>
      <c r="G748" s="151">
        <v>29</v>
      </c>
      <c r="H748" s="151">
        <v>22</v>
      </c>
      <c r="I748" s="151">
        <v>638</v>
      </c>
      <c r="J748" s="151">
        <v>26</v>
      </c>
      <c r="K748" s="151">
        <v>754</v>
      </c>
      <c r="L748" s="220" t="s">
        <v>395</v>
      </c>
    </row>
    <row r="749" spans="1:12" hidden="1">
      <c r="A749" s="213">
        <v>44101532</v>
      </c>
      <c r="B749" s="151" t="s">
        <v>416</v>
      </c>
      <c r="C749" s="151" t="s">
        <v>410</v>
      </c>
      <c r="D749" s="151" t="s">
        <v>411</v>
      </c>
      <c r="E749" s="151" t="s">
        <v>851</v>
      </c>
      <c r="F749" s="213">
        <v>360</v>
      </c>
      <c r="G749" s="151">
        <v>29</v>
      </c>
      <c r="H749" s="151">
        <v>22</v>
      </c>
      <c r="I749" s="151">
        <v>638</v>
      </c>
      <c r="J749" s="151">
        <v>26</v>
      </c>
      <c r="K749" s="151">
        <v>754</v>
      </c>
      <c r="L749" s="151"/>
    </row>
    <row r="750" spans="1:12" hidden="1">
      <c r="A750" s="213">
        <v>44101533</v>
      </c>
      <c r="B750" s="151" t="s">
        <v>873</v>
      </c>
      <c r="C750" s="151" t="s">
        <v>410</v>
      </c>
      <c r="D750" s="151" t="s">
        <v>411</v>
      </c>
      <c r="E750" s="151" t="s">
        <v>851</v>
      </c>
      <c r="F750" s="213">
        <v>365</v>
      </c>
      <c r="G750" s="151">
        <v>29</v>
      </c>
      <c r="H750" s="151">
        <v>22</v>
      </c>
      <c r="I750" s="151">
        <v>638</v>
      </c>
      <c r="J750" s="151">
        <v>26</v>
      </c>
      <c r="K750" s="151">
        <v>754</v>
      </c>
      <c r="L750" s="151"/>
    </row>
    <row r="751" spans="1:12" hidden="1">
      <c r="A751" s="213">
        <v>44103131</v>
      </c>
      <c r="B751" s="151" t="s">
        <v>942</v>
      </c>
      <c r="C751" s="151" t="s">
        <v>410</v>
      </c>
      <c r="D751" s="151" t="s">
        <v>411</v>
      </c>
      <c r="E751" s="151" t="s">
        <v>851</v>
      </c>
      <c r="F751" s="213">
        <v>355</v>
      </c>
      <c r="G751" s="151">
        <v>29</v>
      </c>
      <c r="H751" s="151">
        <v>22</v>
      </c>
      <c r="I751" s="151">
        <v>638</v>
      </c>
      <c r="J751" s="151">
        <v>26</v>
      </c>
      <c r="K751" s="151">
        <v>754</v>
      </c>
      <c r="L751" s="151"/>
    </row>
    <row r="752" spans="1:12" hidden="1">
      <c r="A752" s="213">
        <v>44102127</v>
      </c>
      <c r="B752" s="151" t="s">
        <v>882</v>
      </c>
      <c r="C752" s="220" t="s">
        <v>410</v>
      </c>
      <c r="D752" s="151" t="s">
        <v>411</v>
      </c>
      <c r="E752" s="151" t="s">
        <v>841</v>
      </c>
      <c r="F752" s="213">
        <v>335</v>
      </c>
      <c r="G752" s="151">
        <v>29</v>
      </c>
      <c r="H752" s="151">
        <v>22</v>
      </c>
      <c r="I752" s="151">
        <v>638</v>
      </c>
      <c r="J752" s="151">
        <v>26</v>
      </c>
      <c r="K752" s="151">
        <v>754</v>
      </c>
      <c r="L752" s="220" t="s">
        <v>395</v>
      </c>
    </row>
    <row r="753" spans="1:12" hidden="1">
      <c r="A753" s="213">
        <v>44102128</v>
      </c>
      <c r="B753" s="151" t="s">
        <v>883</v>
      </c>
      <c r="C753" s="220" t="s">
        <v>410</v>
      </c>
      <c r="D753" s="151" t="s">
        <v>411</v>
      </c>
      <c r="E753" s="151" t="s">
        <v>841</v>
      </c>
      <c r="F753" s="213">
        <v>340</v>
      </c>
      <c r="G753" s="151">
        <v>29</v>
      </c>
      <c r="H753" s="151">
        <v>22</v>
      </c>
      <c r="I753" s="151">
        <v>638</v>
      </c>
      <c r="J753" s="151">
        <v>26</v>
      </c>
      <c r="K753" s="151">
        <v>754</v>
      </c>
      <c r="L753" s="220" t="s">
        <v>395</v>
      </c>
    </row>
    <row r="754" spans="1:12" hidden="1">
      <c r="A754" s="213">
        <v>44102129</v>
      </c>
      <c r="B754" s="151" t="s">
        <v>884</v>
      </c>
      <c r="C754" s="220" t="s">
        <v>410</v>
      </c>
      <c r="D754" s="151" t="s">
        <v>411</v>
      </c>
      <c r="E754" s="151" t="s">
        <v>841</v>
      </c>
      <c r="F754" s="213">
        <v>345</v>
      </c>
      <c r="G754" s="151">
        <v>29</v>
      </c>
      <c r="H754" s="151">
        <v>22</v>
      </c>
      <c r="I754" s="151">
        <v>638</v>
      </c>
      <c r="J754" s="151">
        <v>26</v>
      </c>
      <c r="K754" s="151">
        <v>754</v>
      </c>
      <c r="L754" s="220" t="s">
        <v>395</v>
      </c>
    </row>
    <row r="755" spans="1:12" hidden="1">
      <c r="A755" s="213">
        <v>44102130</v>
      </c>
      <c r="B755" s="151" t="s">
        <v>885</v>
      </c>
      <c r="C755" s="220" t="s">
        <v>410</v>
      </c>
      <c r="D755" s="151" t="s">
        <v>411</v>
      </c>
      <c r="E755" s="151" t="s">
        <v>841</v>
      </c>
      <c r="F755" s="213">
        <v>350</v>
      </c>
      <c r="G755" s="151">
        <v>29</v>
      </c>
      <c r="H755" s="151">
        <v>22</v>
      </c>
      <c r="I755" s="151">
        <v>638</v>
      </c>
      <c r="J755" s="151">
        <v>26</v>
      </c>
      <c r="K755" s="151">
        <v>754</v>
      </c>
      <c r="L755" s="220" t="s">
        <v>395</v>
      </c>
    </row>
    <row r="756" spans="1:12" hidden="1">
      <c r="A756" s="213">
        <v>44102131</v>
      </c>
      <c r="B756" s="151" t="s">
        <v>886</v>
      </c>
      <c r="C756" s="220" t="s">
        <v>410</v>
      </c>
      <c r="D756" s="151" t="s">
        <v>411</v>
      </c>
      <c r="E756" s="151" t="s">
        <v>841</v>
      </c>
      <c r="F756" s="213">
        <v>355</v>
      </c>
      <c r="G756" s="151">
        <v>29</v>
      </c>
      <c r="H756" s="151">
        <v>22</v>
      </c>
      <c r="I756" s="151">
        <v>638</v>
      </c>
      <c r="J756" s="151">
        <v>26</v>
      </c>
      <c r="K756" s="151">
        <v>754</v>
      </c>
      <c r="L756" s="220" t="s">
        <v>395</v>
      </c>
    </row>
    <row r="757" spans="1:12" hidden="1">
      <c r="A757" s="213">
        <v>44102132</v>
      </c>
      <c r="B757" s="151" t="s">
        <v>887</v>
      </c>
      <c r="C757" s="220" t="s">
        <v>410</v>
      </c>
      <c r="D757" s="151" t="s">
        <v>411</v>
      </c>
      <c r="E757" s="151" t="s">
        <v>841</v>
      </c>
      <c r="F757" s="213">
        <v>360</v>
      </c>
      <c r="G757" s="151">
        <v>29</v>
      </c>
      <c r="H757" s="151">
        <v>22</v>
      </c>
      <c r="I757" s="151">
        <v>638</v>
      </c>
      <c r="J757" s="151">
        <v>26</v>
      </c>
      <c r="K757" s="151">
        <v>754</v>
      </c>
      <c r="L757" s="220" t="s">
        <v>395</v>
      </c>
    </row>
    <row r="758" spans="1:12" hidden="1">
      <c r="A758" s="213">
        <v>44102133</v>
      </c>
      <c r="B758" s="151" t="s">
        <v>888</v>
      </c>
      <c r="C758" s="220" t="s">
        <v>410</v>
      </c>
      <c r="D758" s="151" t="s">
        <v>411</v>
      </c>
      <c r="E758" s="151" t="s">
        <v>841</v>
      </c>
      <c r="F758" s="213">
        <v>365</v>
      </c>
      <c r="G758" s="151">
        <v>29</v>
      </c>
      <c r="H758" s="151">
        <v>22</v>
      </c>
      <c r="I758" s="151">
        <v>638</v>
      </c>
      <c r="J758" s="151">
        <v>26</v>
      </c>
      <c r="K758" s="151">
        <v>754</v>
      </c>
      <c r="L758" s="220" t="s">
        <v>395</v>
      </c>
    </row>
    <row r="759" spans="1:12" hidden="1">
      <c r="A759" s="213">
        <v>44102134</v>
      </c>
      <c r="B759" s="151" t="s">
        <v>889</v>
      </c>
      <c r="C759" s="220" t="s">
        <v>410</v>
      </c>
      <c r="D759" s="151" t="s">
        <v>411</v>
      </c>
      <c r="E759" s="151" t="s">
        <v>841</v>
      </c>
      <c r="F759" s="213">
        <v>370</v>
      </c>
      <c r="G759" s="151">
        <v>29</v>
      </c>
      <c r="H759" s="151">
        <v>22</v>
      </c>
      <c r="I759" s="151">
        <v>638</v>
      </c>
      <c r="J759" s="151">
        <v>26</v>
      </c>
      <c r="K759" s="151">
        <v>754</v>
      </c>
      <c r="L759" s="220" t="s">
        <v>395</v>
      </c>
    </row>
    <row r="760" spans="1:12" hidden="1">
      <c r="A760" s="213">
        <v>44102135</v>
      </c>
      <c r="B760" s="151" t="s">
        <v>890</v>
      </c>
      <c r="C760" s="220" t="s">
        <v>410</v>
      </c>
      <c r="D760" s="151" t="s">
        <v>411</v>
      </c>
      <c r="E760" s="151" t="s">
        <v>841</v>
      </c>
      <c r="F760" s="213">
        <v>375</v>
      </c>
      <c r="G760" s="151">
        <v>29</v>
      </c>
      <c r="H760" s="151">
        <v>22</v>
      </c>
      <c r="I760" s="151">
        <v>638</v>
      </c>
      <c r="J760" s="151">
        <v>26</v>
      </c>
      <c r="K760" s="151">
        <v>754</v>
      </c>
      <c r="L760" s="220" t="s">
        <v>395</v>
      </c>
    </row>
    <row r="761" spans="1:12" hidden="1">
      <c r="A761" s="213">
        <v>44102136</v>
      </c>
      <c r="B761" s="151" t="s">
        <v>891</v>
      </c>
      <c r="C761" s="220" t="s">
        <v>410</v>
      </c>
      <c r="D761" s="151" t="s">
        <v>411</v>
      </c>
      <c r="E761" s="151" t="s">
        <v>841</v>
      </c>
      <c r="F761" s="213">
        <v>380</v>
      </c>
      <c r="G761" s="151">
        <v>29</v>
      </c>
      <c r="H761" s="151">
        <v>22</v>
      </c>
      <c r="I761" s="151">
        <v>638</v>
      </c>
      <c r="J761" s="151">
        <v>26</v>
      </c>
      <c r="K761" s="151">
        <v>754</v>
      </c>
      <c r="L761" s="220" t="s">
        <v>395</v>
      </c>
    </row>
    <row r="762" spans="1:12" hidden="1">
      <c r="A762" s="213">
        <v>44102137</v>
      </c>
      <c r="B762" s="151" t="s">
        <v>892</v>
      </c>
      <c r="C762" s="220" t="s">
        <v>410</v>
      </c>
      <c r="D762" s="151" t="s">
        <v>411</v>
      </c>
      <c r="E762" s="151" t="s">
        <v>841</v>
      </c>
      <c r="F762" s="213">
        <v>385</v>
      </c>
      <c r="G762" s="151">
        <v>29</v>
      </c>
      <c r="H762" s="151">
        <v>22</v>
      </c>
      <c r="I762" s="151">
        <v>638</v>
      </c>
      <c r="J762" s="151">
        <v>26</v>
      </c>
      <c r="K762" s="151">
        <v>754</v>
      </c>
      <c r="L762" s="220" t="s">
        <v>395</v>
      </c>
    </row>
    <row r="763" spans="1:12" hidden="1">
      <c r="A763" s="213">
        <v>44102138</v>
      </c>
      <c r="B763" s="151" t="s">
        <v>893</v>
      </c>
      <c r="C763" s="220" t="s">
        <v>410</v>
      </c>
      <c r="D763" s="151" t="s">
        <v>411</v>
      </c>
      <c r="E763" s="151" t="s">
        <v>841</v>
      </c>
      <c r="F763" s="213">
        <v>390</v>
      </c>
      <c r="G763" s="151">
        <v>29</v>
      </c>
      <c r="H763" s="151">
        <v>22</v>
      </c>
      <c r="I763" s="151">
        <v>638</v>
      </c>
      <c r="J763" s="151">
        <v>26</v>
      </c>
      <c r="K763" s="151">
        <v>754</v>
      </c>
      <c r="L763" s="220" t="s">
        <v>395</v>
      </c>
    </row>
    <row r="764" spans="1:12" hidden="1">
      <c r="A764" s="213">
        <v>44102139</v>
      </c>
      <c r="B764" s="151" t="s">
        <v>894</v>
      </c>
      <c r="C764" s="220" t="s">
        <v>410</v>
      </c>
      <c r="D764" s="151" t="s">
        <v>411</v>
      </c>
      <c r="E764" s="151" t="s">
        <v>841</v>
      </c>
      <c r="F764" s="213">
        <v>395</v>
      </c>
      <c r="G764" s="151">
        <v>29</v>
      </c>
      <c r="H764" s="151">
        <v>22</v>
      </c>
      <c r="I764" s="151">
        <v>638</v>
      </c>
      <c r="J764" s="151">
        <v>26</v>
      </c>
      <c r="K764" s="151">
        <v>754</v>
      </c>
      <c r="L764" s="220" t="s">
        <v>395</v>
      </c>
    </row>
    <row r="765" spans="1:12" hidden="1">
      <c r="A765" s="213">
        <v>43201119</v>
      </c>
      <c r="B765" s="151" t="s">
        <v>896</v>
      </c>
      <c r="C765" s="220" t="s">
        <v>552</v>
      </c>
      <c r="D765" s="151" t="s">
        <v>553</v>
      </c>
      <c r="E765" s="151" t="s">
        <v>841</v>
      </c>
      <c r="F765" s="213">
        <v>295</v>
      </c>
      <c r="G765" s="151">
        <v>32</v>
      </c>
      <c r="H765" s="151">
        <v>26</v>
      </c>
      <c r="I765" s="151">
        <v>832</v>
      </c>
      <c r="J765" s="151">
        <v>30</v>
      </c>
      <c r="K765" s="151">
        <v>960</v>
      </c>
      <c r="L765" s="220" t="s">
        <v>395</v>
      </c>
    </row>
    <row r="766" spans="1:12" hidden="1">
      <c r="A766" s="213">
        <v>43201120</v>
      </c>
      <c r="B766" s="151" t="s">
        <v>897</v>
      </c>
      <c r="C766" s="220" t="s">
        <v>552</v>
      </c>
      <c r="D766" s="151" t="s">
        <v>553</v>
      </c>
      <c r="E766" s="151" t="s">
        <v>841</v>
      </c>
      <c r="F766" s="213">
        <v>300</v>
      </c>
      <c r="G766" s="151">
        <v>32</v>
      </c>
      <c r="H766" s="151">
        <v>26</v>
      </c>
      <c r="I766" s="151">
        <v>832</v>
      </c>
      <c r="J766" s="151">
        <v>30</v>
      </c>
      <c r="K766" s="151">
        <v>960</v>
      </c>
      <c r="L766" s="220" t="s">
        <v>395</v>
      </c>
    </row>
    <row r="767" spans="1:12" hidden="1">
      <c r="A767" s="213">
        <v>43201121</v>
      </c>
      <c r="B767" s="151" t="s">
        <v>557</v>
      </c>
      <c r="C767" s="220" t="s">
        <v>552</v>
      </c>
      <c r="D767" s="151" t="s">
        <v>553</v>
      </c>
      <c r="E767" s="151" t="s">
        <v>841</v>
      </c>
      <c r="F767" s="213">
        <v>305</v>
      </c>
      <c r="G767" s="151">
        <v>32</v>
      </c>
      <c r="H767" s="151">
        <v>26</v>
      </c>
      <c r="I767" s="151">
        <v>832</v>
      </c>
      <c r="J767" s="151">
        <v>30</v>
      </c>
      <c r="K767" s="151">
        <v>960</v>
      </c>
      <c r="L767" s="220" t="s">
        <v>395</v>
      </c>
    </row>
    <row r="768" spans="1:12" hidden="1">
      <c r="A768" s="213">
        <v>43201122</v>
      </c>
      <c r="B768" s="151" t="s">
        <v>558</v>
      </c>
      <c r="C768" s="220" t="s">
        <v>552</v>
      </c>
      <c r="D768" s="151" t="s">
        <v>553</v>
      </c>
      <c r="E768" s="151" t="s">
        <v>841</v>
      </c>
      <c r="F768" s="213">
        <v>310</v>
      </c>
      <c r="G768" s="151">
        <v>32</v>
      </c>
      <c r="H768" s="151">
        <v>26</v>
      </c>
      <c r="I768" s="151">
        <v>832</v>
      </c>
      <c r="J768" s="151">
        <v>30</v>
      </c>
      <c r="K768" s="151">
        <v>960</v>
      </c>
      <c r="L768" s="220" t="s">
        <v>395</v>
      </c>
    </row>
    <row r="769" spans="1:12" hidden="1">
      <c r="A769" s="213">
        <v>43201123</v>
      </c>
      <c r="B769" s="151" t="s">
        <v>898</v>
      </c>
      <c r="C769" s="220" t="s">
        <v>552</v>
      </c>
      <c r="D769" s="151" t="s">
        <v>553</v>
      </c>
      <c r="E769" s="151" t="s">
        <v>841</v>
      </c>
      <c r="F769" s="213">
        <v>315</v>
      </c>
      <c r="G769" s="151">
        <v>32</v>
      </c>
      <c r="H769" s="151">
        <v>26</v>
      </c>
      <c r="I769" s="151">
        <v>832</v>
      </c>
      <c r="J769" s="151">
        <v>30</v>
      </c>
      <c r="K769" s="151">
        <v>960</v>
      </c>
      <c r="L769" s="220" t="s">
        <v>395</v>
      </c>
    </row>
    <row r="770" spans="1:12" hidden="1">
      <c r="A770" s="213">
        <v>43201124</v>
      </c>
      <c r="B770" s="151" t="s">
        <v>900</v>
      </c>
      <c r="C770" s="220" t="s">
        <v>552</v>
      </c>
      <c r="D770" s="151" t="s">
        <v>553</v>
      </c>
      <c r="E770" s="151" t="s">
        <v>841</v>
      </c>
      <c r="F770" s="213">
        <v>320</v>
      </c>
      <c r="G770" s="151">
        <v>32</v>
      </c>
      <c r="H770" s="151">
        <v>26</v>
      </c>
      <c r="I770" s="151">
        <v>832</v>
      </c>
      <c r="J770" s="151">
        <v>30</v>
      </c>
      <c r="K770" s="151">
        <v>960</v>
      </c>
      <c r="L770" s="220" t="s">
        <v>395</v>
      </c>
    </row>
    <row r="771" spans="1:12" hidden="1">
      <c r="A771" s="213">
        <v>43201125</v>
      </c>
      <c r="B771" s="151" t="s">
        <v>902</v>
      </c>
      <c r="C771" s="220" t="s">
        <v>552</v>
      </c>
      <c r="D771" s="151" t="s">
        <v>553</v>
      </c>
      <c r="E771" s="151" t="s">
        <v>841</v>
      </c>
      <c r="F771" s="213">
        <v>325</v>
      </c>
      <c r="G771" s="151">
        <v>32</v>
      </c>
      <c r="H771" s="151">
        <v>26</v>
      </c>
      <c r="I771" s="151">
        <v>832</v>
      </c>
      <c r="J771" s="151">
        <v>30</v>
      </c>
      <c r="K771" s="151">
        <v>960</v>
      </c>
      <c r="L771" s="220" t="s">
        <v>395</v>
      </c>
    </row>
    <row r="772" spans="1:12" hidden="1">
      <c r="A772" s="213">
        <v>43201126</v>
      </c>
      <c r="B772" s="151" t="s">
        <v>903</v>
      </c>
      <c r="C772" s="220" t="s">
        <v>552</v>
      </c>
      <c r="D772" s="151" t="s">
        <v>553</v>
      </c>
      <c r="E772" s="151" t="s">
        <v>841</v>
      </c>
      <c r="F772" s="213">
        <v>330</v>
      </c>
      <c r="G772" s="151">
        <v>32</v>
      </c>
      <c r="H772" s="151">
        <v>26</v>
      </c>
      <c r="I772" s="151">
        <v>832</v>
      </c>
      <c r="J772" s="151">
        <v>30</v>
      </c>
      <c r="K772" s="151">
        <v>960</v>
      </c>
      <c r="L772" s="220" t="s">
        <v>395</v>
      </c>
    </row>
    <row r="773" spans="1:12" hidden="1">
      <c r="A773" s="213">
        <v>43201127</v>
      </c>
      <c r="B773" s="151" t="s">
        <v>904</v>
      </c>
      <c r="C773" s="220" t="s">
        <v>552</v>
      </c>
      <c r="D773" s="151" t="s">
        <v>553</v>
      </c>
      <c r="E773" s="151" t="s">
        <v>841</v>
      </c>
      <c r="F773" s="213">
        <v>335</v>
      </c>
      <c r="G773" s="151">
        <v>32</v>
      </c>
      <c r="H773" s="151">
        <v>26</v>
      </c>
      <c r="I773" s="151">
        <v>832</v>
      </c>
      <c r="J773" s="151">
        <v>30</v>
      </c>
      <c r="K773" s="151">
        <v>960</v>
      </c>
      <c r="L773" s="220" t="s">
        <v>395</v>
      </c>
    </row>
    <row r="774" spans="1:12" hidden="1">
      <c r="A774" s="213">
        <v>43201128</v>
      </c>
      <c r="B774" s="151" t="s">
        <v>905</v>
      </c>
      <c r="C774" s="220" t="s">
        <v>552</v>
      </c>
      <c r="D774" s="151" t="s">
        <v>553</v>
      </c>
      <c r="E774" s="151" t="s">
        <v>841</v>
      </c>
      <c r="F774" s="213">
        <v>340</v>
      </c>
      <c r="G774" s="151">
        <v>32</v>
      </c>
      <c r="H774" s="151">
        <v>26</v>
      </c>
      <c r="I774" s="151">
        <v>832</v>
      </c>
      <c r="J774" s="151">
        <v>30</v>
      </c>
      <c r="K774" s="151">
        <v>960</v>
      </c>
      <c r="L774" s="220" t="s">
        <v>395</v>
      </c>
    </row>
    <row r="775" spans="1:12" hidden="1">
      <c r="A775" s="213">
        <v>43201129</v>
      </c>
      <c r="B775" s="151" t="s">
        <v>906</v>
      </c>
      <c r="C775" s="220" t="s">
        <v>552</v>
      </c>
      <c r="D775" s="151" t="s">
        <v>553</v>
      </c>
      <c r="E775" s="151" t="s">
        <v>841</v>
      </c>
      <c r="F775" s="213">
        <v>345</v>
      </c>
      <c r="G775" s="151">
        <v>32</v>
      </c>
      <c r="H775" s="151">
        <v>26</v>
      </c>
      <c r="I775" s="151">
        <v>832</v>
      </c>
      <c r="J775" s="151">
        <v>30</v>
      </c>
      <c r="K775" s="151">
        <v>960</v>
      </c>
      <c r="L775" s="220" t="s">
        <v>395</v>
      </c>
    </row>
    <row r="776" spans="1:12" hidden="1">
      <c r="A776" s="213">
        <v>43201130</v>
      </c>
      <c r="B776" s="151" t="s">
        <v>907</v>
      </c>
      <c r="C776" s="220" t="s">
        <v>552</v>
      </c>
      <c r="D776" s="151" t="s">
        <v>553</v>
      </c>
      <c r="E776" s="151" t="s">
        <v>841</v>
      </c>
      <c r="F776" s="213">
        <v>350</v>
      </c>
      <c r="G776" s="151">
        <v>32</v>
      </c>
      <c r="H776" s="151">
        <v>26</v>
      </c>
      <c r="I776" s="151">
        <v>832</v>
      </c>
      <c r="J776" s="151">
        <v>30</v>
      </c>
      <c r="K776" s="151">
        <v>960</v>
      </c>
      <c r="L776" s="220" t="s">
        <v>395</v>
      </c>
    </row>
    <row r="777" spans="1:12" hidden="1">
      <c r="A777" s="213">
        <v>43201131</v>
      </c>
      <c r="B777" s="151" t="s">
        <v>908</v>
      </c>
      <c r="C777" s="220" t="s">
        <v>552</v>
      </c>
      <c r="D777" s="151" t="s">
        <v>553</v>
      </c>
      <c r="E777" s="151" t="s">
        <v>841</v>
      </c>
      <c r="F777" s="213">
        <v>355</v>
      </c>
      <c r="G777" s="151">
        <v>32</v>
      </c>
      <c r="H777" s="151">
        <v>26</v>
      </c>
      <c r="I777" s="151">
        <v>832</v>
      </c>
      <c r="J777" s="151">
        <v>30</v>
      </c>
      <c r="K777" s="151">
        <v>960</v>
      </c>
      <c r="L777" s="220" t="s">
        <v>395</v>
      </c>
    </row>
    <row r="778" spans="1:12" hidden="1">
      <c r="A778" s="213">
        <v>43201132</v>
      </c>
      <c r="B778" s="151" t="s">
        <v>909</v>
      </c>
      <c r="C778" s="220" t="s">
        <v>552</v>
      </c>
      <c r="D778" s="151" t="s">
        <v>553</v>
      </c>
      <c r="E778" s="151" t="s">
        <v>841</v>
      </c>
      <c r="F778" s="213">
        <v>360</v>
      </c>
      <c r="G778" s="151">
        <v>32</v>
      </c>
      <c r="H778" s="151">
        <v>26</v>
      </c>
      <c r="I778" s="151">
        <v>832</v>
      </c>
      <c r="J778" s="151">
        <v>30</v>
      </c>
      <c r="K778" s="151">
        <v>960</v>
      </c>
      <c r="L778" s="220" t="s">
        <v>395</v>
      </c>
    </row>
    <row r="779" spans="1:12" hidden="1">
      <c r="A779" s="213">
        <v>43201133</v>
      </c>
      <c r="B779" s="151" t="s">
        <v>910</v>
      </c>
      <c r="C779" s="220" t="s">
        <v>552</v>
      </c>
      <c r="D779" s="151" t="s">
        <v>553</v>
      </c>
      <c r="E779" s="151" t="s">
        <v>841</v>
      </c>
      <c r="F779" s="213">
        <v>365</v>
      </c>
      <c r="G779" s="151">
        <v>32</v>
      </c>
      <c r="H779" s="151">
        <v>26</v>
      </c>
      <c r="I779" s="151">
        <v>832</v>
      </c>
      <c r="J779" s="151">
        <v>30</v>
      </c>
      <c r="K779" s="151">
        <v>960</v>
      </c>
      <c r="L779" s="220" t="s">
        <v>395</v>
      </c>
    </row>
    <row r="780" spans="1:12" hidden="1">
      <c r="A780" s="213">
        <v>43211123</v>
      </c>
      <c r="B780" s="151" t="s">
        <v>943</v>
      </c>
      <c r="C780" s="151" t="s">
        <v>552</v>
      </c>
      <c r="D780" s="151" t="s">
        <v>553</v>
      </c>
      <c r="E780" s="151" t="s">
        <v>851</v>
      </c>
      <c r="F780" s="213">
        <v>315</v>
      </c>
      <c r="G780" s="151">
        <v>32</v>
      </c>
      <c r="H780" s="151">
        <v>26</v>
      </c>
      <c r="I780" s="151">
        <v>832</v>
      </c>
      <c r="J780" s="151">
        <v>30</v>
      </c>
      <c r="K780" s="151">
        <v>960</v>
      </c>
      <c r="L780" s="151"/>
    </row>
    <row r="781" spans="1:12" hidden="1">
      <c r="A781" s="213">
        <v>43212124</v>
      </c>
      <c r="B781" s="151" t="s">
        <v>943</v>
      </c>
      <c r="C781" s="151" t="s">
        <v>552</v>
      </c>
      <c r="D781" s="151" t="s">
        <v>553</v>
      </c>
      <c r="E781" s="151" t="s">
        <v>851</v>
      </c>
      <c r="F781" s="213">
        <v>320</v>
      </c>
      <c r="G781" s="151">
        <v>32</v>
      </c>
      <c r="H781" s="151">
        <v>26</v>
      </c>
      <c r="I781" s="151">
        <v>832</v>
      </c>
      <c r="J781" s="151">
        <v>30</v>
      </c>
      <c r="K781" s="151">
        <v>960</v>
      </c>
      <c r="L781" s="151"/>
    </row>
    <row r="782" spans="1:12" hidden="1">
      <c r="A782" s="213">
        <v>43212524</v>
      </c>
      <c r="B782" s="151" t="s">
        <v>943</v>
      </c>
      <c r="C782" s="151" t="s">
        <v>552</v>
      </c>
      <c r="D782" s="151" t="s">
        <v>553</v>
      </c>
      <c r="E782" s="151" t="s">
        <v>851</v>
      </c>
      <c r="F782" s="213">
        <v>320</v>
      </c>
      <c r="G782" s="151">
        <v>32</v>
      </c>
      <c r="H782" s="151">
        <v>26</v>
      </c>
      <c r="I782" s="151">
        <v>832</v>
      </c>
      <c r="J782" s="151">
        <v>30</v>
      </c>
      <c r="K782" s="151">
        <v>960</v>
      </c>
      <c r="L782" s="151"/>
    </row>
    <row r="783" spans="1:12" hidden="1">
      <c r="A783" s="213">
        <v>43209524</v>
      </c>
      <c r="B783" s="151" t="s">
        <v>943</v>
      </c>
      <c r="C783" s="151" t="s">
        <v>552</v>
      </c>
      <c r="D783" s="151" t="s">
        <v>553</v>
      </c>
      <c r="E783" s="151" t="s">
        <v>851</v>
      </c>
      <c r="F783" s="213">
        <v>320</v>
      </c>
      <c r="G783" s="151">
        <v>32</v>
      </c>
      <c r="H783" s="151">
        <v>26</v>
      </c>
      <c r="I783" s="151">
        <v>832</v>
      </c>
      <c r="J783" s="151">
        <v>30</v>
      </c>
      <c r="K783" s="151">
        <v>960</v>
      </c>
      <c r="L783" s="151"/>
    </row>
    <row r="784" spans="1:12" hidden="1">
      <c r="A784" s="213">
        <v>43211126</v>
      </c>
      <c r="B784" s="151" t="s">
        <v>943</v>
      </c>
      <c r="C784" s="151" t="s">
        <v>552</v>
      </c>
      <c r="D784" s="151" t="s">
        <v>553</v>
      </c>
      <c r="E784" s="151" t="s">
        <v>851</v>
      </c>
      <c r="F784" s="213">
        <v>320</v>
      </c>
      <c r="G784" s="151">
        <v>32</v>
      </c>
      <c r="H784" s="151">
        <v>26</v>
      </c>
      <c r="I784" s="151">
        <v>832</v>
      </c>
      <c r="J784" s="151">
        <v>30</v>
      </c>
      <c r="K784" s="151">
        <v>960</v>
      </c>
      <c r="L784" s="151"/>
    </row>
    <row r="785" spans="1:12" hidden="1">
      <c r="A785" s="213">
        <v>43215124</v>
      </c>
      <c r="B785" s="151" t="s">
        <v>943</v>
      </c>
      <c r="C785" s="151" t="s">
        <v>552</v>
      </c>
      <c r="D785" s="151" t="s">
        <v>553</v>
      </c>
      <c r="E785" s="151" t="s">
        <v>851</v>
      </c>
      <c r="F785" s="213">
        <v>320</v>
      </c>
      <c r="G785" s="151">
        <v>32</v>
      </c>
      <c r="H785" s="151">
        <v>26</v>
      </c>
      <c r="I785" s="151">
        <v>832</v>
      </c>
      <c r="J785" s="151">
        <v>30</v>
      </c>
      <c r="K785" s="151">
        <v>960</v>
      </c>
      <c r="L785" s="151"/>
    </row>
    <row r="786" spans="1:12" hidden="1">
      <c r="A786" s="213">
        <v>43212123</v>
      </c>
      <c r="B786" s="151" t="s">
        <v>943</v>
      </c>
      <c r="C786" s="151" t="s">
        <v>552</v>
      </c>
      <c r="D786" s="151" t="s">
        <v>553</v>
      </c>
      <c r="E786" s="151" t="s">
        <v>851</v>
      </c>
      <c r="F786" s="213">
        <v>315</v>
      </c>
      <c r="G786" s="151">
        <v>32</v>
      </c>
      <c r="H786" s="151">
        <v>26</v>
      </c>
      <c r="I786" s="151">
        <v>832</v>
      </c>
      <c r="J786" s="151">
        <v>30</v>
      </c>
      <c r="K786" s="151">
        <v>960</v>
      </c>
      <c r="L786" s="151"/>
    </row>
    <row r="787" spans="1:12" hidden="1">
      <c r="A787" s="213">
        <v>43215123</v>
      </c>
      <c r="B787" s="151" t="s">
        <v>943</v>
      </c>
      <c r="C787" s="151" t="s">
        <v>552</v>
      </c>
      <c r="D787" s="151" t="s">
        <v>553</v>
      </c>
      <c r="E787" s="151" t="s">
        <v>851</v>
      </c>
      <c r="F787" s="213">
        <v>315</v>
      </c>
      <c r="G787" s="151">
        <v>32</v>
      </c>
      <c r="H787" s="151">
        <v>26</v>
      </c>
      <c r="I787" s="151">
        <v>832</v>
      </c>
      <c r="J787" s="151">
        <v>30</v>
      </c>
      <c r="K787" s="151">
        <v>960</v>
      </c>
      <c r="L787" s="151"/>
    </row>
    <row r="788" spans="1:12" hidden="1">
      <c r="A788" s="213">
        <v>43215126</v>
      </c>
      <c r="B788" s="151" t="s">
        <v>943</v>
      </c>
      <c r="C788" s="151" t="s">
        <v>552</v>
      </c>
      <c r="D788" s="151" t="s">
        <v>553</v>
      </c>
      <c r="E788" s="151" t="s">
        <v>851</v>
      </c>
      <c r="F788" s="213">
        <v>330</v>
      </c>
      <c r="G788" s="151">
        <v>32</v>
      </c>
      <c r="H788" s="151">
        <v>26</v>
      </c>
      <c r="I788" s="151">
        <v>832</v>
      </c>
      <c r="J788" s="151">
        <v>30</v>
      </c>
      <c r="K788" s="151">
        <v>960</v>
      </c>
      <c r="L788" s="151"/>
    </row>
    <row r="789" spans="1:12" hidden="1">
      <c r="A789" s="213">
        <v>43215127</v>
      </c>
      <c r="B789" s="151" t="s">
        <v>943</v>
      </c>
      <c r="C789" s="151" t="s">
        <v>552</v>
      </c>
      <c r="D789" s="151" t="s">
        <v>553</v>
      </c>
      <c r="E789" s="151" t="s">
        <v>851</v>
      </c>
      <c r="F789" s="213">
        <v>335</v>
      </c>
      <c r="G789" s="151">
        <v>32</v>
      </c>
      <c r="H789" s="151">
        <v>26</v>
      </c>
      <c r="I789" s="151">
        <v>832</v>
      </c>
      <c r="J789" s="151">
        <v>30</v>
      </c>
      <c r="K789" s="151">
        <v>960</v>
      </c>
      <c r="L789" s="151"/>
    </row>
    <row r="790" spans="1:12" hidden="1">
      <c r="A790" s="213">
        <v>43201523</v>
      </c>
      <c r="B790" s="151" t="s">
        <v>898</v>
      </c>
      <c r="C790" s="220" t="s">
        <v>552</v>
      </c>
      <c r="D790" s="151" t="s">
        <v>553</v>
      </c>
      <c r="E790" s="151" t="s">
        <v>851</v>
      </c>
      <c r="F790" s="213">
        <v>315</v>
      </c>
      <c r="G790" s="151">
        <v>32</v>
      </c>
      <c r="H790" s="151">
        <v>26</v>
      </c>
      <c r="I790" s="151">
        <v>832</v>
      </c>
      <c r="J790" s="151">
        <v>30</v>
      </c>
      <c r="K790" s="151">
        <v>960</v>
      </c>
      <c r="L790" s="220" t="s">
        <v>395</v>
      </c>
    </row>
    <row r="791" spans="1:12" hidden="1">
      <c r="A791" s="213">
        <v>43202119</v>
      </c>
      <c r="B791" s="151" t="s">
        <v>896</v>
      </c>
      <c r="C791" s="220" t="s">
        <v>552</v>
      </c>
      <c r="D791" s="151" t="s">
        <v>553</v>
      </c>
      <c r="E791" s="151" t="s">
        <v>841</v>
      </c>
      <c r="F791" s="213">
        <v>295</v>
      </c>
      <c r="G791" s="151">
        <v>32</v>
      </c>
      <c r="H791" s="151">
        <v>26</v>
      </c>
      <c r="I791" s="151">
        <v>832</v>
      </c>
      <c r="J791" s="151">
        <v>30</v>
      </c>
      <c r="K791" s="151">
        <v>960</v>
      </c>
      <c r="L791" s="220" t="s">
        <v>395</v>
      </c>
    </row>
    <row r="792" spans="1:12" hidden="1">
      <c r="A792" s="213">
        <v>43202120</v>
      </c>
      <c r="B792" s="151" t="s">
        <v>897</v>
      </c>
      <c r="C792" s="220" t="s">
        <v>552</v>
      </c>
      <c r="D792" s="151" t="s">
        <v>553</v>
      </c>
      <c r="E792" s="151" t="s">
        <v>841</v>
      </c>
      <c r="F792" s="213">
        <v>300</v>
      </c>
      <c r="G792" s="151">
        <v>32</v>
      </c>
      <c r="H792" s="151">
        <v>26</v>
      </c>
      <c r="I792" s="151">
        <v>832</v>
      </c>
      <c r="J792" s="151">
        <v>30</v>
      </c>
      <c r="K792" s="151">
        <v>960</v>
      </c>
      <c r="L792" s="220" t="s">
        <v>395</v>
      </c>
    </row>
    <row r="793" spans="1:12" hidden="1">
      <c r="A793" s="213">
        <v>43202121</v>
      </c>
      <c r="B793" s="151" t="s">
        <v>557</v>
      </c>
      <c r="C793" s="220" t="s">
        <v>552</v>
      </c>
      <c r="D793" s="151" t="s">
        <v>553</v>
      </c>
      <c r="E793" s="151" t="s">
        <v>841</v>
      </c>
      <c r="F793" s="213">
        <v>305</v>
      </c>
      <c r="G793" s="151">
        <v>32</v>
      </c>
      <c r="H793" s="151">
        <v>26</v>
      </c>
      <c r="I793" s="151">
        <v>832</v>
      </c>
      <c r="J793" s="151">
        <v>30</v>
      </c>
      <c r="K793" s="151">
        <v>960</v>
      </c>
      <c r="L793" s="220" t="s">
        <v>395</v>
      </c>
    </row>
    <row r="794" spans="1:12" hidden="1">
      <c r="A794" s="213">
        <v>43202122</v>
      </c>
      <c r="B794" s="151" t="s">
        <v>558</v>
      </c>
      <c r="C794" s="151" t="s">
        <v>552</v>
      </c>
      <c r="D794" s="151" t="s">
        <v>553</v>
      </c>
      <c r="E794" s="151" t="s">
        <v>841</v>
      </c>
      <c r="F794" s="213">
        <v>310</v>
      </c>
      <c r="G794" s="151">
        <v>32</v>
      </c>
      <c r="H794" s="151">
        <v>26</v>
      </c>
      <c r="I794" s="151">
        <v>832</v>
      </c>
      <c r="J794" s="151">
        <v>30</v>
      </c>
      <c r="K794" s="151">
        <v>960</v>
      </c>
      <c r="L794" s="151"/>
    </row>
    <row r="795" spans="1:12" hidden="1">
      <c r="A795" s="213">
        <v>43202123</v>
      </c>
      <c r="B795" s="151" t="s">
        <v>898</v>
      </c>
      <c r="C795" s="151" t="s">
        <v>552</v>
      </c>
      <c r="D795" s="151" t="s">
        <v>553</v>
      </c>
      <c r="E795" s="151" t="s">
        <v>841</v>
      </c>
      <c r="F795" s="213">
        <v>315</v>
      </c>
      <c r="G795" s="151">
        <v>32</v>
      </c>
      <c r="H795" s="151">
        <v>26</v>
      </c>
      <c r="I795" s="151">
        <v>832</v>
      </c>
      <c r="J795" s="151">
        <v>30</v>
      </c>
      <c r="K795" s="151">
        <v>960</v>
      </c>
      <c r="L795" s="151"/>
    </row>
    <row r="796" spans="1:12" hidden="1">
      <c r="A796" s="213">
        <v>43207123</v>
      </c>
      <c r="B796" s="151" t="s">
        <v>898</v>
      </c>
      <c r="C796" s="151" t="s">
        <v>552</v>
      </c>
      <c r="D796" s="151" t="s">
        <v>553</v>
      </c>
      <c r="E796" s="151" t="s">
        <v>841</v>
      </c>
      <c r="F796" s="213">
        <v>315</v>
      </c>
      <c r="G796" s="151">
        <v>32</v>
      </c>
      <c r="H796" s="151">
        <v>26</v>
      </c>
      <c r="I796" s="151">
        <v>832</v>
      </c>
      <c r="J796" s="151">
        <v>30</v>
      </c>
      <c r="K796" s="151">
        <v>960</v>
      </c>
      <c r="L796" s="151"/>
    </row>
    <row r="797" spans="1:12" hidden="1">
      <c r="A797" s="213">
        <v>43202124</v>
      </c>
      <c r="B797" s="151" t="s">
        <v>900</v>
      </c>
      <c r="C797" s="151" t="s">
        <v>552</v>
      </c>
      <c r="D797" s="151" t="s">
        <v>553</v>
      </c>
      <c r="E797" s="151" t="s">
        <v>841</v>
      </c>
      <c r="F797" s="213">
        <v>320</v>
      </c>
      <c r="G797" s="151">
        <v>32</v>
      </c>
      <c r="H797" s="151">
        <v>26</v>
      </c>
      <c r="I797" s="151">
        <v>832</v>
      </c>
      <c r="J797" s="151">
        <v>30</v>
      </c>
      <c r="K797" s="151">
        <v>960</v>
      </c>
      <c r="L797" s="151"/>
    </row>
    <row r="798" spans="1:12" hidden="1">
      <c r="A798" s="213">
        <v>43211124</v>
      </c>
      <c r="B798" s="151" t="s">
        <v>900</v>
      </c>
      <c r="C798" s="151" t="s">
        <v>552</v>
      </c>
      <c r="D798" s="151" t="s">
        <v>553</v>
      </c>
      <c r="E798" s="151" t="s">
        <v>841</v>
      </c>
      <c r="F798" s="213">
        <v>320</v>
      </c>
      <c r="G798" s="151">
        <v>32</v>
      </c>
      <c r="H798" s="151">
        <v>26</v>
      </c>
      <c r="I798" s="151">
        <v>832</v>
      </c>
      <c r="J798" s="151">
        <v>30</v>
      </c>
      <c r="K798" s="151">
        <v>960</v>
      </c>
      <c r="L798" s="151"/>
    </row>
    <row r="799" spans="1:12" hidden="1">
      <c r="A799" s="213">
        <v>43207124</v>
      </c>
      <c r="B799" s="151" t="s">
        <v>900</v>
      </c>
      <c r="C799" s="151" t="s">
        <v>552</v>
      </c>
      <c r="D799" s="151" t="s">
        <v>553</v>
      </c>
      <c r="E799" s="151" t="s">
        <v>841</v>
      </c>
      <c r="F799" s="213">
        <v>320</v>
      </c>
      <c r="G799" s="151">
        <v>32</v>
      </c>
      <c r="H799" s="151">
        <v>26</v>
      </c>
      <c r="I799" s="151">
        <v>832</v>
      </c>
      <c r="J799" s="151">
        <v>30</v>
      </c>
      <c r="K799" s="151">
        <v>960</v>
      </c>
      <c r="L799" s="151"/>
    </row>
    <row r="800" spans="1:12" hidden="1">
      <c r="A800" s="213">
        <v>43205123</v>
      </c>
      <c r="B800" s="151" t="s">
        <v>899</v>
      </c>
      <c r="C800" s="151" t="s">
        <v>552</v>
      </c>
      <c r="D800" s="151" t="s">
        <v>553</v>
      </c>
      <c r="E800" s="151" t="s">
        <v>841</v>
      </c>
      <c r="F800" s="213">
        <v>315</v>
      </c>
      <c r="G800" s="151">
        <v>32</v>
      </c>
      <c r="H800" s="151">
        <v>26</v>
      </c>
      <c r="I800" s="151">
        <v>832</v>
      </c>
      <c r="J800" s="151">
        <v>30</v>
      </c>
      <c r="K800" s="151">
        <v>960</v>
      </c>
      <c r="L800" s="151"/>
    </row>
    <row r="801" spans="1:12" hidden="1">
      <c r="A801" s="213">
        <v>43205124</v>
      </c>
      <c r="B801" s="151" t="s">
        <v>901</v>
      </c>
      <c r="C801" s="151" t="s">
        <v>552</v>
      </c>
      <c r="D801" s="151" t="s">
        <v>553</v>
      </c>
      <c r="E801" s="151" t="s">
        <v>841</v>
      </c>
      <c r="F801" s="213">
        <v>320</v>
      </c>
      <c r="G801" s="151">
        <v>32</v>
      </c>
      <c r="H801" s="151">
        <v>26</v>
      </c>
      <c r="I801" s="151">
        <v>832</v>
      </c>
      <c r="J801" s="151">
        <v>30</v>
      </c>
      <c r="K801" s="151">
        <v>960</v>
      </c>
      <c r="L801" s="151"/>
    </row>
    <row r="802" spans="1:12" hidden="1">
      <c r="A802" s="213">
        <v>47203123</v>
      </c>
      <c r="B802" s="151" t="s">
        <v>898</v>
      </c>
      <c r="C802" s="151" t="s">
        <v>552</v>
      </c>
      <c r="D802" s="151" t="s">
        <v>553</v>
      </c>
      <c r="E802" s="151" t="s">
        <v>841</v>
      </c>
      <c r="F802" s="213">
        <v>315</v>
      </c>
      <c r="G802" s="151">
        <v>32</v>
      </c>
      <c r="H802" s="151">
        <v>26</v>
      </c>
      <c r="I802" s="151">
        <v>832</v>
      </c>
      <c r="J802" s="151">
        <v>30</v>
      </c>
      <c r="K802" s="151">
        <v>960</v>
      </c>
      <c r="L802" s="151"/>
    </row>
    <row r="803" spans="1:12" hidden="1">
      <c r="A803" s="213">
        <v>47203124</v>
      </c>
      <c r="B803" s="151" t="s">
        <v>900</v>
      </c>
      <c r="C803" s="151" t="s">
        <v>552</v>
      </c>
      <c r="D803" s="151" t="s">
        <v>553</v>
      </c>
      <c r="E803" s="151" t="s">
        <v>841</v>
      </c>
      <c r="F803" s="213">
        <v>320</v>
      </c>
      <c r="G803" s="151">
        <v>32</v>
      </c>
      <c r="H803" s="151">
        <v>26</v>
      </c>
      <c r="I803" s="151">
        <v>832</v>
      </c>
      <c r="J803" s="151">
        <v>30</v>
      </c>
      <c r="K803" s="151">
        <v>960</v>
      </c>
      <c r="L803" s="151"/>
    </row>
    <row r="804" spans="1:12" hidden="1">
      <c r="A804" s="213">
        <v>43207524</v>
      </c>
      <c r="B804" s="151" t="s">
        <v>943</v>
      </c>
      <c r="C804" s="151" t="s">
        <v>552</v>
      </c>
      <c r="D804" s="151" t="s">
        <v>553</v>
      </c>
      <c r="E804" s="151" t="s">
        <v>841</v>
      </c>
      <c r="F804" s="213">
        <v>320</v>
      </c>
      <c r="G804" s="151">
        <v>32</v>
      </c>
      <c r="H804" s="151">
        <v>26</v>
      </c>
      <c r="I804" s="151">
        <v>832</v>
      </c>
      <c r="J804" s="151">
        <v>30</v>
      </c>
      <c r="K804" s="151">
        <v>960</v>
      </c>
      <c r="L804" s="151"/>
    </row>
    <row r="805" spans="1:12" hidden="1">
      <c r="A805" s="213">
        <v>43211524</v>
      </c>
      <c r="B805" s="151" t="s">
        <v>943</v>
      </c>
      <c r="C805" s="151" t="s">
        <v>552</v>
      </c>
      <c r="D805" s="151" t="s">
        <v>553</v>
      </c>
      <c r="E805" s="151" t="s">
        <v>841</v>
      </c>
      <c r="F805" s="213">
        <v>320</v>
      </c>
      <c r="G805" s="151">
        <v>32</v>
      </c>
      <c r="H805" s="151">
        <v>26</v>
      </c>
      <c r="I805" s="151">
        <v>832</v>
      </c>
      <c r="J805" s="151">
        <v>30</v>
      </c>
      <c r="K805" s="151">
        <v>960</v>
      </c>
      <c r="L805" s="151"/>
    </row>
    <row r="806" spans="1:12" hidden="1">
      <c r="A806" s="213">
        <v>43207523</v>
      </c>
      <c r="B806" s="151" t="s">
        <v>943</v>
      </c>
      <c r="C806" s="151" t="s">
        <v>552</v>
      </c>
      <c r="D806" s="151" t="s">
        <v>553</v>
      </c>
      <c r="E806" s="151" t="s">
        <v>841</v>
      </c>
      <c r="F806" s="213">
        <v>315</v>
      </c>
      <c r="G806" s="151">
        <v>32</v>
      </c>
      <c r="H806" s="151">
        <v>26</v>
      </c>
      <c r="I806" s="151">
        <v>832</v>
      </c>
      <c r="J806" s="151">
        <v>30</v>
      </c>
      <c r="K806" s="151">
        <v>960</v>
      </c>
      <c r="L806" s="151"/>
    </row>
    <row r="807" spans="1:12" hidden="1">
      <c r="A807" s="213">
        <v>43207126</v>
      </c>
      <c r="B807" s="151" t="s">
        <v>943</v>
      </c>
      <c r="C807" s="151" t="s">
        <v>552</v>
      </c>
      <c r="D807" s="151" t="s">
        <v>553</v>
      </c>
      <c r="E807" s="151" t="s">
        <v>841</v>
      </c>
      <c r="F807" s="213">
        <v>330</v>
      </c>
      <c r="G807" s="151">
        <v>32</v>
      </c>
      <c r="H807" s="151">
        <v>26</v>
      </c>
      <c r="I807" s="151">
        <v>832</v>
      </c>
      <c r="J807" s="151">
        <v>30</v>
      </c>
      <c r="K807" s="151">
        <v>960</v>
      </c>
      <c r="L807" s="151"/>
    </row>
    <row r="808" spans="1:12" hidden="1">
      <c r="A808" s="213">
        <v>43207125</v>
      </c>
      <c r="B808" s="151" t="s">
        <v>943</v>
      </c>
      <c r="C808" s="151" t="s">
        <v>552</v>
      </c>
      <c r="D808" s="151" t="s">
        <v>553</v>
      </c>
      <c r="E808" s="151" t="s">
        <v>841</v>
      </c>
      <c r="F808" s="213">
        <v>325</v>
      </c>
      <c r="G808" s="151">
        <v>32</v>
      </c>
      <c r="H808" s="151">
        <v>26</v>
      </c>
      <c r="I808" s="151">
        <v>832</v>
      </c>
      <c r="J808" s="151">
        <v>30</v>
      </c>
      <c r="K808" s="151">
        <v>960</v>
      </c>
      <c r="L808" s="151"/>
    </row>
    <row r="809" spans="1:12" s="240" customFormat="1" hidden="1">
      <c r="A809" s="213">
        <v>43207122</v>
      </c>
      <c r="B809" s="151" t="s">
        <v>943</v>
      </c>
      <c r="C809" s="151" t="s">
        <v>552</v>
      </c>
      <c r="D809" s="151" t="s">
        <v>553</v>
      </c>
      <c r="E809" s="151" t="s">
        <v>841</v>
      </c>
      <c r="F809" s="213">
        <v>310</v>
      </c>
      <c r="G809" s="151">
        <v>32</v>
      </c>
      <c r="H809" s="151">
        <v>26</v>
      </c>
      <c r="I809" s="151">
        <v>832</v>
      </c>
      <c r="J809" s="151">
        <v>30</v>
      </c>
      <c r="K809" s="151">
        <v>960</v>
      </c>
      <c r="L809" s="151"/>
    </row>
    <row r="810" spans="1:12" hidden="1">
      <c r="A810" s="213">
        <v>43202126</v>
      </c>
      <c r="B810" s="151" t="s">
        <v>903</v>
      </c>
      <c r="C810" s="220" t="s">
        <v>552</v>
      </c>
      <c r="D810" s="151" t="s">
        <v>553</v>
      </c>
      <c r="E810" s="151" t="s">
        <v>841</v>
      </c>
      <c r="F810" s="213">
        <v>330</v>
      </c>
      <c r="G810" s="151">
        <v>32</v>
      </c>
      <c r="H810" s="151">
        <v>26</v>
      </c>
      <c r="I810" s="151">
        <v>832</v>
      </c>
      <c r="J810" s="151">
        <v>30</v>
      </c>
      <c r="K810" s="151">
        <v>960</v>
      </c>
      <c r="L810" s="220" t="s">
        <v>395</v>
      </c>
    </row>
    <row r="811" spans="1:12" hidden="1">
      <c r="A811" s="213">
        <v>43208126</v>
      </c>
      <c r="B811" s="151" t="s">
        <v>539</v>
      </c>
      <c r="C811" s="151" t="s">
        <v>527</v>
      </c>
      <c r="D811" s="151" t="s">
        <v>528</v>
      </c>
      <c r="E811" s="151" t="s">
        <v>841</v>
      </c>
      <c r="F811" s="213">
        <v>330</v>
      </c>
      <c r="G811" s="151">
        <v>32</v>
      </c>
      <c r="H811" s="151">
        <v>26</v>
      </c>
      <c r="I811" s="151">
        <v>832</v>
      </c>
      <c r="J811" s="151">
        <v>30</v>
      </c>
      <c r="K811" s="151">
        <v>960</v>
      </c>
      <c r="L811" s="151"/>
    </row>
    <row r="812" spans="1:12" hidden="1">
      <c r="A812" s="222">
        <v>46207127</v>
      </c>
      <c r="B812" s="234" t="s">
        <v>944</v>
      </c>
      <c r="C812" s="151" t="s">
        <v>945</v>
      </c>
      <c r="D812" s="223" t="s">
        <v>553</v>
      </c>
      <c r="E812" s="223" t="s">
        <v>528</v>
      </c>
      <c r="F812" s="222">
        <v>335</v>
      </c>
      <c r="G812" s="223">
        <v>26</v>
      </c>
      <c r="H812" s="223">
        <v>24</v>
      </c>
      <c r="I812" s="223">
        <v>624</v>
      </c>
      <c r="J812" s="223">
        <v>32</v>
      </c>
      <c r="K812" s="223">
        <v>832</v>
      </c>
      <c r="L812" s="223"/>
    </row>
    <row r="813" spans="1:12" hidden="1">
      <c r="A813" s="213">
        <v>43202127</v>
      </c>
      <c r="B813" s="151" t="s">
        <v>904</v>
      </c>
      <c r="C813" s="220" t="s">
        <v>552</v>
      </c>
      <c r="D813" s="151" t="s">
        <v>553</v>
      </c>
      <c r="E813" s="151" t="s">
        <v>841</v>
      </c>
      <c r="F813" s="213">
        <v>335</v>
      </c>
      <c r="G813" s="151">
        <v>32</v>
      </c>
      <c r="H813" s="151">
        <v>26</v>
      </c>
      <c r="I813" s="151">
        <v>832</v>
      </c>
      <c r="J813" s="151">
        <v>30</v>
      </c>
      <c r="K813" s="151">
        <v>960</v>
      </c>
      <c r="L813" s="220" t="s">
        <v>395</v>
      </c>
    </row>
    <row r="814" spans="1:12" hidden="1">
      <c r="A814" s="213">
        <v>43202128</v>
      </c>
      <c r="B814" s="151" t="s">
        <v>905</v>
      </c>
      <c r="C814" s="220" t="s">
        <v>552</v>
      </c>
      <c r="D814" s="151" t="s">
        <v>553</v>
      </c>
      <c r="E814" s="151" t="s">
        <v>841</v>
      </c>
      <c r="F814" s="213">
        <v>340</v>
      </c>
      <c r="G814" s="151">
        <v>32</v>
      </c>
      <c r="H814" s="151">
        <v>26</v>
      </c>
      <c r="I814" s="151">
        <v>832</v>
      </c>
      <c r="J814" s="151">
        <v>30</v>
      </c>
      <c r="K814" s="151">
        <v>960</v>
      </c>
      <c r="L814" s="220" t="s">
        <v>395</v>
      </c>
    </row>
    <row r="815" spans="1:12" hidden="1">
      <c r="A815" s="213">
        <v>43202129</v>
      </c>
      <c r="B815" s="151" t="s">
        <v>906</v>
      </c>
      <c r="C815" s="220" t="s">
        <v>552</v>
      </c>
      <c r="D815" s="151" t="s">
        <v>553</v>
      </c>
      <c r="E815" s="151" t="s">
        <v>841</v>
      </c>
      <c r="F815" s="213">
        <v>345</v>
      </c>
      <c r="G815" s="151">
        <v>32</v>
      </c>
      <c r="H815" s="151">
        <v>26</v>
      </c>
      <c r="I815" s="151">
        <v>832</v>
      </c>
      <c r="J815" s="151">
        <v>30</v>
      </c>
      <c r="K815" s="151">
        <v>960</v>
      </c>
      <c r="L815" s="220" t="s">
        <v>395</v>
      </c>
    </row>
    <row r="816" spans="1:12" hidden="1">
      <c r="A816" s="213">
        <v>43202130</v>
      </c>
      <c r="B816" s="151" t="s">
        <v>907</v>
      </c>
      <c r="C816" s="220" t="s">
        <v>552</v>
      </c>
      <c r="D816" s="151" t="s">
        <v>553</v>
      </c>
      <c r="E816" s="151" t="s">
        <v>841</v>
      </c>
      <c r="F816" s="213">
        <v>350</v>
      </c>
      <c r="G816" s="151">
        <v>32</v>
      </c>
      <c r="H816" s="151">
        <v>26</v>
      </c>
      <c r="I816" s="151">
        <v>832</v>
      </c>
      <c r="J816" s="151">
        <v>30</v>
      </c>
      <c r="K816" s="151">
        <v>960</v>
      </c>
      <c r="L816" s="220" t="s">
        <v>395</v>
      </c>
    </row>
    <row r="817" spans="1:12" hidden="1">
      <c r="A817" s="213">
        <v>43202131</v>
      </c>
      <c r="B817" s="151" t="s">
        <v>908</v>
      </c>
      <c r="C817" s="220" t="s">
        <v>552</v>
      </c>
      <c r="D817" s="151" t="s">
        <v>553</v>
      </c>
      <c r="E817" s="151" t="s">
        <v>841</v>
      </c>
      <c r="F817" s="213">
        <v>355</v>
      </c>
      <c r="G817" s="151">
        <v>32</v>
      </c>
      <c r="H817" s="151">
        <v>26</v>
      </c>
      <c r="I817" s="151">
        <v>832</v>
      </c>
      <c r="J817" s="151">
        <v>30</v>
      </c>
      <c r="K817" s="151">
        <v>960</v>
      </c>
      <c r="L817" s="220" t="s">
        <v>395</v>
      </c>
    </row>
    <row r="818" spans="1:12" hidden="1">
      <c r="A818" s="213">
        <v>43202132</v>
      </c>
      <c r="B818" s="151" t="s">
        <v>909</v>
      </c>
      <c r="C818" s="220" t="s">
        <v>552</v>
      </c>
      <c r="D818" s="151" t="s">
        <v>553</v>
      </c>
      <c r="E818" s="151" t="s">
        <v>841</v>
      </c>
      <c r="F818" s="213">
        <v>360</v>
      </c>
      <c r="G818" s="151">
        <v>32</v>
      </c>
      <c r="H818" s="151">
        <v>26</v>
      </c>
      <c r="I818" s="151">
        <v>832</v>
      </c>
      <c r="J818" s="151">
        <v>30</v>
      </c>
      <c r="K818" s="151">
        <v>960</v>
      </c>
      <c r="L818" s="220" t="s">
        <v>395</v>
      </c>
    </row>
    <row r="819" spans="1:12" hidden="1">
      <c r="A819" s="213">
        <v>43202133</v>
      </c>
      <c r="B819" s="151" t="s">
        <v>910</v>
      </c>
      <c r="C819" s="220" t="s">
        <v>552</v>
      </c>
      <c r="D819" s="151" t="s">
        <v>553</v>
      </c>
      <c r="E819" s="151" t="s">
        <v>841</v>
      </c>
      <c r="F819" s="213">
        <v>365</v>
      </c>
      <c r="G819" s="151">
        <v>32</v>
      </c>
      <c r="H819" s="151">
        <v>26</v>
      </c>
      <c r="I819" s="151">
        <v>832</v>
      </c>
      <c r="J819" s="151">
        <v>30</v>
      </c>
      <c r="K819" s="151">
        <v>960</v>
      </c>
      <c r="L819" s="220" t="s">
        <v>395</v>
      </c>
    </row>
    <row r="820" spans="1:12" hidden="1">
      <c r="A820" s="213">
        <v>43202522</v>
      </c>
      <c r="B820" s="151" t="s">
        <v>558</v>
      </c>
      <c r="C820" s="220" t="s">
        <v>552</v>
      </c>
      <c r="D820" s="151" t="s">
        <v>553</v>
      </c>
      <c r="E820" s="151" t="s">
        <v>851</v>
      </c>
      <c r="F820" s="213">
        <v>310</v>
      </c>
      <c r="G820" s="151">
        <v>32</v>
      </c>
      <c r="H820" s="151">
        <v>26</v>
      </c>
      <c r="I820" s="151">
        <v>832</v>
      </c>
      <c r="J820" s="151">
        <v>30</v>
      </c>
      <c r="K820" s="151">
        <v>960</v>
      </c>
      <c r="L820" s="220" t="s">
        <v>395</v>
      </c>
    </row>
    <row r="821" spans="1:12" hidden="1">
      <c r="A821" s="213">
        <v>43202523</v>
      </c>
      <c r="B821" s="151" t="s">
        <v>898</v>
      </c>
      <c r="C821" s="151" t="s">
        <v>552</v>
      </c>
      <c r="D821" s="151" t="s">
        <v>553</v>
      </c>
      <c r="E821" s="151" t="s">
        <v>851</v>
      </c>
      <c r="F821" s="213">
        <v>315</v>
      </c>
      <c r="G821" s="151">
        <v>32</v>
      </c>
      <c r="H821" s="151">
        <v>26</v>
      </c>
      <c r="I821" s="151">
        <v>832</v>
      </c>
      <c r="J821" s="151">
        <v>30</v>
      </c>
      <c r="K821" s="151">
        <v>960</v>
      </c>
      <c r="L821" s="151"/>
    </row>
    <row r="822" spans="1:12" hidden="1">
      <c r="A822" s="213">
        <v>43202524</v>
      </c>
      <c r="B822" s="151" t="s">
        <v>900</v>
      </c>
      <c r="C822" s="220" t="s">
        <v>552</v>
      </c>
      <c r="D822" s="151" t="s">
        <v>553</v>
      </c>
      <c r="E822" s="151" t="s">
        <v>851</v>
      </c>
      <c r="F822" s="213">
        <v>320</v>
      </c>
      <c r="G822" s="151">
        <v>32</v>
      </c>
      <c r="H822" s="151">
        <v>26</v>
      </c>
      <c r="I822" s="151">
        <v>832</v>
      </c>
      <c r="J822" s="151">
        <v>30</v>
      </c>
      <c r="K822" s="151">
        <v>960</v>
      </c>
      <c r="L822" s="220" t="s">
        <v>395</v>
      </c>
    </row>
    <row r="823" spans="1:12" hidden="1">
      <c r="A823" s="213">
        <v>43203119</v>
      </c>
      <c r="B823" s="151" t="s">
        <v>535</v>
      </c>
      <c r="C823" s="220" t="s">
        <v>527</v>
      </c>
      <c r="D823" s="151" t="s">
        <v>528</v>
      </c>
      <c r="E823" s="151" t="s">
        <v>841</v>
      </c>
      <c r="F823" s="213">
        <v>295</v>
      </c>
      <c r="G823" s="151">
        <v>32</v>
      </c>
      <c r="H823" s="151">
        <v>26</v>
      </c>
      <c r="I823" s="151">
        <v>832</v>
      </c>
      <c r="J823" s="151">
        <v>30</v>
      </c>
      <c r="K823" s="151">
        <v>960</v>
      </c>
      <c r="L823" s="220" t="s">
        <v>395</v>
      </c>
    </row>
    <row r="824" spans="1:12" hidden="1">
      <c r="A824" s="213">
        <v>43203120</v>
      </c>
      <c r="B824" s="151" t="s">
        <v>526</v>
      </c>
      <c r="C824" s="220" t="s">
        <v>527</v>
      </c>
      <c r="D824" s="151" t="s">
        <v>528</v>
      </c>
      <c r="E824" s="151" t="s">
        <v>841</v>
      </c>
      <c r="F824" s="213">
        <v>300</v>
      </c>
      <c r="G824" s="151">
        <v>32</v>
      </c>
      <c r="H824" s="151">
        <v>26</v>
      </c>
      <c r="I824" s="151">
        <v>832</v>
      </c>
      <c r="J824" s="151">
        <v>30</v>
      </c>
      <c r="K824" s="151">
        <v>960</v>
      </c>
      <c r="L824" s="220" t="s">
        <v>395</v>
      </c>
    </row>
    <row r="825" spans="1:12" hidden="1">
      <c r="A825" s="213">
        <v>43203121</v>
      </c>
      <c r="B825" s="151" t="s">
        <v>529</v>
      </c>
      <c r="C825" s="220" t="s">
        <v>527</v>
      </c>
      <c r="D825" s="151" t="s">
        <v>528</v>
      </c>
      <c r="E825" s="151" t="s">
        <v>841</v>
      </c>
      <c r="F825" s="213">
        <v>305</v>
      </c>
      <c r="G825" s="151">
        <v>32</v>
      </c>
      <c r="H825" s="151">
        <v>26</v>
      </c>
      <c r="I825" s="151">
        <v>832</v>
      </c>
      <c r="J825" s="151">
        <v>30</v>
      </c>
      <c r="K825" s="151">
        <v>960</v>
      </c>
      <c r="L825" s="220" t="s">
        <v>395</v>
      </c>
    </row>
    <row r="826" spans="1:12" hidden="1">
      <c r="A826" s="213">
        <v>43203122</v>
      </c>
      <c r="B826" s="151" t="s">
        <v>530</v>
      </c>
      <c r="C826" s="220" t="s">
        <v>527</v>
      </c>
      <c r="D826" s="151" t="s">
        <v>528</v>
      </c>
      <c r="E826" s="151" t="s">
        <v>841</v>
      </c>
      <c r="F826" s="213">
        <v>310</v>
      </c>
      <c r="G826" s="151">
        <v>32</v>
      </c>
      <c r="H826" s="151">
        <v>26</v>
      </c>
      <c r="I826" s="151">
        <v>832</v>
      </c>
      <c r="J826" s="151">
        <v>30</v>
      </c>
      <c r="K826" s="151">
        <v>960</v>
      </c>
      <c r="L826" s="220" t="s">
        <v>395</v>
      </c>
    </row>
    <row r="827" spans="1:12" hidden="1">
      <c r="A827" s="213">
        <v>43203123</v>
      </c>
      <c r="B827" s="151" t="s">
        <v>531</v>
      </c>
      <c r="C827" s="220" t="s">
        <v>527</v>
      </c>
      <c r="D827" s="151" t="s">
        <v>528</v>
      </c>
      <c r="E827" s="151" t="s">
        <v>841</v>
      </c>
      <c r="F827" s="213">
        <v>315</v>
      </c>
      <c r="G827" s="151">
        <v>32</v>
      </c>
      <c r="H827" s="151">
        <v>26</v>
      </c>
      <c r="I827" s="151">
        <v>832</v>
      </c>
      <c r="J827" s="151">
        <v>30</v>
      </c>
      <c r="K827" s="151">
        <v>960</v>
      </c>
      <c r="L827" s="220" t="s">
        <v>395</v>
      </c>
    </row>
    <row r="828" spans="1:12" hidden="1">
      <c r="A828" s="213">
        <v>43203124</v>
      </c>
      <c r="B828" s="151" t="s">
        <v>532</v>
      </c>
      <c r="C828" s="220" t="s">
        <v>527</v>
      </c>
      <c r="D828" s="151" t="s">
        <v>528</v>
      </c>
      <c r="E828" s="151" t="s">
        <v>841</v>
      </c>
      <c r="F828" s="213">
        <v>320</v>
      </c>
      <c r="G828" s="151">
        <v>32</v>
      </c>
      <c r="H828" s="151">
        <v>26</v>
      </c>
      <c r="I828" s="151">
        <v>832</v>
      </c>
      <c r="J828" s="151">
        <v>30</v>
      </c>
      <c r="K828" s="151">
        <v>960</v>
      </c>
      <c r="L828" s="220" t="s">
        <v>395</v>
      </c>
    </row>
    <row r="829" spans="1:12" hidden="1">
      <c r="A829" s="213">
        <v>43203125</v>
      </c>
      <c r="B829" s="151" t="s">
        <v>533</v>
      </c>
      <c r="C829" s="220" t="s">
        <v>527</v>
      </c>
      <c r="D829" s="151" t="s">
        <v>528</v>
      </c>
      <c r="E829" s="151" t="s">
        <v>841</v>
      </c>
      <c r="F829" s="213">
        <v>325</v>
      </c>
      <c r="G829" s="151">
        <v>32</v>
      </c>
      <c r="H829" s="151">
        <v>26</v>
      </c>
      <c r="I829" s="151">
        <v>832</v>
      </c>
      <c r="J829" s="151">
        <v>30</v>
      </c>
      <c r="K829" s="151">
        <v>960</v>
      </c>
      <c r="L829" s="220" t="s">
        <v>395</v>
      </c>
    </row>
    <row r="830" spans="1:12" hidden="1">
      <c r="A830" s="213">
        <v>43208125</v>
      </c>
      <c r="B830" s="151" t="s">
        <v>533</v>
      </c>
      <c r="C830" s="151" t="s">
        <v>527</v>
      </c>
      <c r="D830" s="151" t="s">
        <v>528</v>
      </c>
      <c r="E830" s="151" t="s">
        <v>841</v>
      </c>
      <c r="F830" s="213">
        <v>325</v>
      </c>
      <c r="G830" s="151">
        <v>32</v>
      </c>
      <c r="H830" s="151">
        <v>26</v>
      </c>
      <c r="I830" s="151">
        <v>832</v>
      </c>
      <c r="J830" s="151">
        <v>30</v>
      </c>
      <c r="K830" s="151">
        <v>960</v>
      </c>
      <c r="L830" s="151"/>
    </row>
    <row r="831" spans="1:12" hidden="1">
      <c r="A831" s="213">
        <v>47204125</v>
      </c>
      <c r="B831" s="151" t="s">
        <v>533</v>
      </c>
      <c r="C831" s="151" t="s">
        <v>527</v>
      </c>
      <c r="D831" s="151" t="s">
        <v>528</v>
      </c>
      <c r="E831" s="151" t="s">
        <v>841</v>
      </c>
      <c r="F831" s="213">
        <v>325</v>
      </c>
      <c r="G831" s="151">
        <v>32</v>
      </c>
      <c r="H831" s="151">
        <v>26</v>
      </c>
      <c r="I831" s="151">
        <v>832</v>
      </c>
      <c r="J831" s="151">
        <v>30</v>
      </c>
      <c r="K831" s="151">
        <v>960</v>
      </c>
      <c r="L831" s="151"/>
    </row>
    <row r="832" spans="1:12" hidden="1">
      <c r="A832" s="213">
        <v>47204126</v>
      </c>
      <c r="B832" s="151" t="s">
        <v>539</v>
      </c>
      <c r="C832" s="151" t="s">
        <v>527</v>
      </c>
      <c r="D832" s="151" t="s">
        <v>528</v>
      </c>
      <c r="E832" s="151" t="s">
        <v>841</v>
      </c>
      <c r="F832" s="213">
        <v>330</v>
      </c>
      <c r="G832" s="151">
        <v>32</v>
      </c>
      <c r="H832" s="151">
        <v>26</v>
      </c>
      <c r="I832" s="151">
        <v>832</v>
      </c>
      <c r="J832" s="151">
        <v>30</v>
      </c>
      <c r="K832" s="151">
        <v>960</v>
      </c>
      <c r="L832" s="151"/>
    </row>
    <row r="833" spans="1:12" hidden="1">
      <c r="A833" s="213">
        <v>43203126</v>
      </c>
      <c r="B833" s="151" t="s">
        <v>539</v>
      </c>
      <c r="C833" s="220" t="s">
        <v>527</v>
      </c>
      <c r="D833" s="151" t="s">
        <v>528</v>
      </c>
      <c r="E833" s="151" t="s">
        <v>841</v>
      </c>
      <c r="F833" s="213">
        <v>330</v>
      </c>
      <c r="G833" s="151">
        <v>32</v>
      </c>
      <c r="H833" s="151">
        <v>26</v>
      </c>
      <c r="I833" s="151">
        <v>832</v>
      </c>
      <c r="J833" s="151">
        <v>30</v>
      </c>
      <c r="K833" s="151">
        <v>960</v>
      </c>
      <c r="L833" s="220" t="s">
        <v>395</v>
      </c>
    </row>
    <row r="834" spans="1:12" hidden="1">
      <c r="A834" s="213">
        <v>43210126</v>
      </c>
      <c r="B834" s="151" t="s">
        <v>539</v>
      </c>
      <c r="C834" s="151" t="s">
        <v>527</v>
      </c>
      <c r="D834" s="151" t="s">
        <v>528</v>
      </c>
      <c r="E834" s="151" t="s">
        <v>841</v>
      </c>
      <c r="F834" s="213">
        <v>330</v>
      </c>
      <c r="G834" s="151">
        <v>32</v>
      </c>
      <c r="H834" s="151">
        <v>26</v>
      </c>
      <c r="I834" s="151">
        <v>832</v>
      </c>
      <c r="J834" s="151">
        <v>30</v>
      </c>
      <c r="K834" s="151">
        <v>960</v>
      </c>
      <c r="L834" s="151"/>
    </row>
    <row r="835" spans="1:12" hidden="1">
      <c r="A835" s="213">
        <v>43203127</v>
      </c>
      <c r="B835" s="151" t="s">
        <v>540</v>
      </c>
      <c r="C835" s="220" t="s">
        <v>527</v>
      </c>
      <c r="D835" s="151" t="s">
        <v>528</v>
      </c>
      <c r="E835" s="151" t="s">
        <v>841</v>
      </c>
      <c r="F835" s="213">
        <v>335</v>
      </c>
      <c r="G835" s="151">
        <v>32</v>
      </c>
      <c r="H835" s="151">
        <v>26</v>
      </c>
      <c r="I835" s="151">
        <v>832</v>
      </c>
      <c r="J835" s="151">
        <v>30</v>
      </c>
      <c r="K835" s="151">
        <v>960</v>
      </c>
      <c r="L835" s="220" t="s">
        <v>395</v>
      </c>
    </row>
    <row r="836" spans="1:12" hidden="1">
      <c r="A836" s="213">
        <v>43203128</v>
      </c>
      <c r="B836" s="151" t="s">
        <v>541</v>
      </c>
      <c r="C836" s="220" t="s">
        <v>527</v>
      </c>
      <c r="D836" s="151" t="s">
        <v>528</v>
      </c>
      <c r="E836" s="151" t="s">
        <v>841</v>
      </c>
      <c r="F836" s="213">
        <v>340</v>
      </c>
      <c r="G836" s="151">
        <v>32</v>
      </c>
      <c r="H836" s="151">
        <v>26</v>
      </c>
      <c r="I836" s="151">
        <v>832</v>
      </c>
      <c r="J836" s="151">
        <v>30</v>
      </c>
      <c r="K836" s="151">
        <v>960</v>
      </c>
      <c r="L836" s="220" t="s">
        <v>395</v>
      </c>
    </row>
    <row r="837" spans="1:12" hidden="1">
      <c r="A837" s="213">
        <v>43203129</v>
      </c>
      <c r="B837" s="151" t="s">
        <v>542</v>
      </c>
      <c r="C837" s="220" t="s">
        <v>527</v>
      </c>
      <c r="D837" s="151" t="s">
        <v>528</v>
      </c>
      <c r="E837" s="151" t="s">
        <v>841</v>
      </c>
      <c r="F837" s="213">
        <v>345</v>
      </c>
      <c r="G837" s="151">
        <v>32</v>
      </c>
      <c r="H837" s="151">
        <v>26</v>
      </c>
      <c r="I837" s="151">
        <v>832</v>
      </c>
      <c r="J837" s="151">
        <v>30</v>
      </c>
      <c r="K837" s="151">
        <v>960</v>
      </c>
      <c r="L837" s="220" t="s">
        <v>395</v>
      </c>
    </row>
    <row r="838" spans="1:12" hidden="1">
      <c r="A838" s="213">
        <v>43203130</v>
      </c>
      <c r="B838" s="151" t="s">
        <v>543</v>
      </c>
      <c r="C838" s="220" t="s">
        <v>527</v>
      </c>
      <c r="D838" s="151" t="s">
        <v>528</v>
      </c>
      <c r="E838" s="151" t="s">
        <v>841</v>
      </c>
      <c r="F838" s="213">
        <v>350</v>
      </c>
      <c r="G838" s="151">
        <v>32</v>
      </c>
      <c r="H838" s="151">
        <v>26</v>
      </c>
      <c r="I838" s="151">
        <v>832</v>
      </c>
      <c r="J838" s="151">
        <v>30</v>
      </c>
      <c r="K838" s="151">
        <v>960</v>
      </c>
      <c r="L838" s="220" t="s">
        <v>395</v>
      </c>
    </row>
    <row r="839" spans="1:12" hidden="1">
      <c r="A839" s="213">
        <v>43203131</v>
      </c>
      <c r="B839" s="151" t="s">
        <v>544</v>
      </c>
      <c r="C839" s="220" t="s">
        <v>527</v>
      </c>
      <c r="D839" s="151" t="s">
        <v>528</v>
      </c>
      <c r="E839" s="151" t="s">
        <v>841</v>
      </c>
      <c r="F839" s="213">
        <v>355</v>
      </c>
      <c r="G839" s="151">
        <v>32</v>
      </c>
      <c r="H839" s="151">
        <v>26</v>
      </c>
      <c r="I839" s="151">
        <v>832</v>
      </c>
      <c r="J839" s="151">
        <v>30</v>
      </c>
      <c r="K839" s="151">
        <v>960</v>
      </c>
      <c r="L839" s="220" t="s">
        <v>395</v>
      </c>
    </row>
    <row r="840" spans="1:12" hidden="1">
      <c r="A840" s="213">
        <v>43203132</v>
      </c>
      <c r="B840" s="151" t="s">
        <v>946</v>
      </c>
      <c r="C840" s="220" t="s">
        <v>527</v>
      </c>
      <c r="D840" s="151" t="s">
        <v>528</v>
      </c>
      <c r="E840" s="151" t="s">
        <v>841</v>
      </c>
      <c r="F840" s="213">
        <v>360</v>
      </c>
      <c r="G840" s="151">
        <v>32</v>
      </c>
      <c r="H840" s="151">
        <v>26</v>
      </c>
      <c r="I840" s="151">
        <v>832</v>
      </c>
      <c r="J840" s="151">
        <v>30</v>
      </c>
      <c r="K840" s="151">
        <v>960</v>
      </c>
      <c r="L840" s="220" t="s">
        <v>395</v>
      </c>
    </row>
    <row r="841" spans="1:12" hidden="1">
      <c r="A841" s="213">
        <v>43203133</v>
      </c>
      <c r="B841" s="151" t="s">
        <v>947</v>
      </c>
      <c r="C841" s="220" t="s">
        <v>527</v>
      </c>
      <c r="D841" s="151" t="s">
        <v>528</v>
      </c>
      <c r="E841" s="151" t="s">
        <v>841</v>
      </c>
      <c r="F841" s="213">
        <v>365</v>
      </c>
      <c r="G841" s="151">
        <v>32</v>
      </c>
      <c r="H841" s="151">
        <v>26</v>
      </c>
      <c r="I841" s="151">
        <v>832</v>
      </c>
      <c r="J841" s="151">
        <v>30</v>
      </c>
      <c r="K841" s="151">
        <v>960</v>
      </c>
      <c r="L841" s="220" t="s">
        <v>395</v>
      </c>
    </row>
    <row r="842" spans="1:12" hidden="1">
      <c r="A842" s="213">
        <v>43204119</v>
      </c>
      <c r="B842" s="151" t="s">
        <v>535</v>
      </c>
      <c r="C842" s="220" t="s">
        <v>527</v>
      </c>
      <c r="D842" s="151" t="s">
        <v>528</v>
      </c>
      <c r="E842" s="151" t="s">
        <v>841</v>
      </c>
      <c r="F842" s="213">
        <v>295</v>
      </c>
      <c r="G842" s="151">
        <v>32</v>
      </c>
      <c r="H842" s="151">
        <v>26</v>
      </c>
      <c r="I842" s="151">
        <v>832</v>
      </c>
      <c r="J842" s="151">
        <v>30</v>
      </c>
      <c r="K842" s="151">
        <v>960</v>
      </c>
      <c r="L842" s="220" t="s">
        <v>395</v>
      </c>
    </row>
    <row r="843" spans="1:12" hidden="1">
      <c r="A843" s="213">
        <v>43204120</v>
      </c>
      <c r="B843" s="151" t="s">
        <v>526</v>
      </c>
      <c r="C843" s="220" t="s">
        <v>527</v>
      </c>
      <c r="D843" s="151" t="s">
        <v>528</v>
      </c>
      <c r="E843" s="151" t="s">
        <v>841</v>
      </c>
      <c r="F843" s="213">
        <v>300</v>
      </c>
      <c r="G843" s="151">
        <v>32</v>
      </c>
      <c r="H843" s="151">
        <v>26</v>
      </c>
      <c r="I843" s="151">
        <v>832</v>
      </c>
      <c r="J843" s="151">
        <v>30</v>
      </c>
      <c r="K843" s="151">
        <v>960</v>
      </c>
      <c r="L843" s="220" t="s">
        <v>395</v>
      </c>
    </row>
    <row r="844" spans="1:12" hidden="1">
      <c r="A844" s="213">
        <v>43204121</v>
      </c>
      <c r="B844" s="151" t="s">
        <v>529</v>
      </c>
      <c r="C844" s="220" t="s">
        <v>527</v>
      </c>
      <c r="D844" s="151" t="s">
        <v>528</v>
      </c>
      <c r="E844" s="151" t="s">
        <v>841</v>
      </c>
      <c r="F844" s="213">
        <v>305</v>
      </c>
      <c r="G844" s="151">
        <v>32</v>
      </c>
      <c r="H844" s="151">
        <v>26</v>
      </c>
      <c r="I844" s="151">
        <v>832</v>
      </c>
      <c r="J844" s="151">
        <v>30</v>
      </c>
      <c r="K844" s="151">
        <v>960</v>
      </c>
      <c r="L844" s="220" t="s">
        <v>395</v>
      </c>
    </row>
    <row r="845" spans="1:12" hidden="1">
      <c r="A845" s="213">
        <v>43204122</v>
      </c>
      <c r="B845" s="151" t="s">
        <v>530</v>
      </c>
      <c r="C845" s="151" t="s">
        <v>527</v>
      </c>
      <c r="D845" s="151" t="s">
        <v>528</v>
      </c>
      <c r="E845" s="151" t="s">
        <v>841</v>
      </c>
      <c r="F845" s="213">
        <v>310</v>
      </c>
      <c r="G845" s="151">
        <v>32</v>
      </c>
      <c r="H845" s="151">
        <v>26</v>
      </c>
      <c r="I845" s="151">
        <v>832</v>
      </c>
      <c r="J845" s="151">
        <v>30</v>
      </c>
      <c r="K845" s="151">
        <v>960</v>
      </c>
      <c r="L845" s="151"/>
    </row>
    <row r="846" spans="1:12" hidden="1">
      <c r="A846" s="213">
        <v>43204123</v>
      </c>
      <c r="B846" s="151" t="s">
        <v>531</v>
      </c>
      <c r="C846" s="151" t="s">
        <v>527</v>
      </c>
      <c r="D846" s="151" t="s">
        <v>528</v>
      </c>
      <c r="E846" s="151" t="s">
        <v>841</v>
      </c>
      <c r="F846" s="213">
        <v>315</v>
      </c>
      <c r="G846" s="151">
        <v>32</v>
      </c>
      <c r="H846" s="151">
        <v>26</v>
      </c>
      <c r="I846" s="151">
        <v>832</v>
      </c>
      <c r="J846" s="151">
        <v>30</v>
      </c>
      <c r="K846" s="151">
        <v>960</v>
      </c>
      <c r="L846" s="151"/>
    </row>
    <row r="847" spans="1:12" hidden="1">
      <c r="A847" s="213">
        <v>43204124</v>
      </c>
      <c r="B847" s="151" t="s">
        <v>532</v>
      </c>
      <c r="C847" s="151" t="s">
        <v>527</v>
      </c>
      <c r="D847" s="151" t="s">
        <v>528</v>
      </c>
      <c r="E847" s="151" t="s">
        <v>841</v>
      </c>
      <c r="F847" s="213">
        <v>320</v>
      </c>
      <c r="G847" s="151">
        <v>32</v>
      </c>
      <c r="H847" s="151">
        <v>26</v>
      </c>
      <c r="I847" s="151">
        <v>832</v>
      </c>
      <c r="J847" s="151">
        <v>30</v>
      </c>
      <c r="K847" s="151">
        <v>960</v>
      </c>
      <c r="L847" s="151"/>
    </row>
    <row r="848" spans="1:12" hidden="1">
      <c r="A848" s="213">
        <v>47204124</v>
      </c>
      <c r="B848" s="151" t="s">
        <v>532</v>
      </c>
      <c r="C848" s="151" t="s">
        <v>527</v>
      </c>
      <c r="D848" s="151" t="s">
        <v>528</v>
      </c>
      <c r="E848" s="151" t="s">
        <v>841</v>
      </c>
      <c r="F848" s="213">
        <v>320</v>
      </c>
      <c r="G848" s="151">
        <v>32</v>
      </c>
      <c r="H848" s="151">
        <v>26</v>
      </c>
      <c r="I848" s="151">
        <v>832</v>
      </c>
      <c r="J848" s="151">
        <v>30</v>
      </c>
      <c r="K848" s="151">
        <v>960</v>
      </c>
      <c r="L848" s="151"/>
    </row>
    <row r="849" spans="1:12" hidden="1">
      <c r="A849" s="213">
        <v>43204125</v>
      </c>
      <c r="B849" s="151" t="s">
        <v>533</v>
      </c>
      <c r="C849" s="151" t="s">
        <v>527</v>
      </c>
      <c r="D849" s="151" t="s">
        <v>528</v>
      </c>
      <c r="E849" s="151" t="s">
        <v>841</v>
      </c>
      <c r="F849" s="213">
        <v>325</v>
      </c>
      <c r="G849" s="151">
        <v>32</v>
      </c>
      <c r="H849" s="151">
        <v>26</v>
      </c>
      <c r="I849" s="151">
        <v>832</v>
      </c>
      <c r="J849" s="151">
        <v>30</v>
      </c>
      <c r="K849" s="151">
        <v>960</v>
      </c>
      <c r="L849" s="151"/>
    </row>
    <row r="850" spans="1:12" hidden="1">
      <c r="A850" s="213">
        <v>43204126</v>
      </c>
      <c r="B850" s="151" t="s">
        <v>539</v>
      </c>
      <c r="C850" s="151" t="s">
        <v>527</v>
      </c>
      <c r="D850" s="151" t="s">
        <v>528</v>
      </c>
      <c r="E850" s="151" t="s">
        <v>841</v>
      </c>
      <c r="F850" s="213">
        <v>330</v>
      </c>
      <c r="G850" s="151">
        <v>32</v>
      </c>
      <c r="H850" s="151">
        <v>26</v>
      </c>
      <c r="I850" s="151">
        <v>832</v>
      </c>
      <c r="J850" s="151">
        <v>30</v>
      </c>
      <c r="K850" s="151">
        <v>960</v>
      </c>
      <c r="L850" s="151"/>
    </row>
    <row r="851" spans="1:12" hidden="1">
      <c r="A851" s="213">
        <v>43204127</v>
      </c>
      <c r="B851" s="151" t="s">
        <v>540</v>
      </c>
      <c r="C851" s="220" t="s">
        <v>527</v>
      </c>
      <c r="D851" s="151" t="s">
        <v>528</v>
      </c>
      <c r="E851" s="151" t="s">
        <v>841</v>
      </c>
      <c r="F851" s="213">
        <v>335</v>
      </c>
      <c r="G851" s="151">
        <v>32</v>
      </c>
      <c r="H851" s="151">
        <v>26</v>
      </c>
      <c r="I851" s="151">
        <v>832</v>
      </c>
      <c r="J851" s="151">
        <v>30</v>
      </c>
      <c r="K851" s="151">
        <v>960</v>
      </c>
      <c r="L851" s="220" t="s">
        <v>395</v>
      </c>
    </row>
    <row r="852" spans="1:12" hidden="1">
      <c r="A852" s="213">
        <v>43204128</v>
      </c>
      <c r="B852" s="151" t="s">
        <v>541</v>
      </c>
      <c r="C852" s="220" t="s">
        <v>527</v>
      </c>
      <c r="D852" s="151" t="s">
        <v>528</v>
      </c>
      <c r="E852" s="151" t="s">
        <v>841</v>
      </c>
      <c r="F852" s="213">
        <v>340</v>
      </c>
      <c r="G852" s="151">
        <v>32</v>
      </c>
      <c r="H852" s="151">
        <v>26</v>
      </c>
      <c r="I852" s="151">
        <v>832</v>
      </c>
      <c r="J852" s="151">
        <v>30</v>
      </c>
      <c r="K852" s="151">
        <v>960</v>
      </c>
      <c r="L852" s="220" t="s">
        <v>395</v>
      </c>
    </row>
    <row r="853" spans="1:12" hidden="1">
      <c r="A853" s="213">
        <v>43208128</v>
      </c>
      <c r="B853" s="151" t="s">
        <v>541</v>
      </c>
      <c r="C853" s="151" t="s">
        <v>527</v>
      </c>
      <c r="D853" s="151" t="s">
        <v>528</v>
      </c>
      <c r="E853" s="151" t="s">
        <v>841</v>
      </c>
      <c r="F853" s="213">
        <v>340</v>
      </c>
      <c r="G853" s="151">
        <v>32</v>
      </c>
      <c r="H853" s="151">
        <v>26</v>
      </c>
      <c r="I853" s="151">
        <v>832</v>
      </c>
      <c r="J853" s="151">
        <v>30</v>
      </c>
      <c r="K853" s="151">
        <v>960</v>
      </c>
      <c r="L853" s="151"/>
    </row>
    <row r="854" spans="1:12" hidden="1">
      <c r="A854" s="213">
        <v>43208124</v>
      </c>
      <c r="B854" s="151" t="s">
        <v>532</v>
      </c>
      <c r="C854" s="151" t="s">
        <v>527</v>
      </c>
      <c r="D854" s="151" t="s">
        <v>528</v>
      </c>
      <c r="E854" s="151" t="s">
        <v>841</v>
      </c>
      <c r="F854" s="213">
        <v>320</v>
      </c>
      <c r="G854" s="151">
        <v>32</v>
      </c>
      <c r="H854" s="151">
        <v>26</v>
      </c>
      <c r="I854" s="151">
        <v>832</v>
      </c>
      <c r="J854" s="151">
        <v>30</v>
      </c>
      <c r="K854" s="151">
        <v>960</v>
      </c>
      <c r="L854" s="151"/>
    </row>
    <row r="855" spans="1:12" hidden="1">
      <c r="A855" s="213">
        <v>43204129</v>
      </c>
      <c r="B855" s="151" t="s">
        <v>542</v>
      </c>
      <c r="C855" s="220" t="s">
        <v>527</v>
      </c>
      <c r="D855" s="151" t="s">
        <v>528</v>
      </c>
      <c r="E855" s="151" t="s">
        <v>841</v>
      </c>
      <c r="F855" s="213">
        <v>345</v>
      </c>
      <c r="G855" s="151">
        <v>32</v>
      </c>
      <c r="H855" s="151">
        <v>26</v>
      </c>
      <c r="I855" s="151">
        <v>832</v>
      </c>
      <c r="J855" s="151">
        <v>30</v>
      </c>
      <c r="K855" s="151">
        <v>960</v>
      </c>
      <c r="L855" s="220" t="s">
        <v>395</v>
      </c>
    </row>
    <row r="856" spans="1:12" hidden="1">
      <c r="A856" s="213">
        <v>43204130</v>
      </c>
      <c r="B856" s="151" t="s">
        <v>543</v>
      </c>
      <c r="C856" s="220" t="s">
        <v>527</v>
      </c>
      <c r="D856" s="151" t="s">
        <v>528</v>
      </c>
      <c r="E856" s="151" t="s">
        <v>841</v>
      </c>
      <c r="F856" s="213">
        <v>350</v>
      </c>
      <c r="G856" s="151">
        <v>32</v>
      </c>
      <c r="H856" s="151">
        <v>26</v>
      </c>
      <c r="I856" s="151">
        <v>832</v>
      </c>
      <c r="J856" s="151">
        <v>30</v>
      </c>
      <c r="K856" s="151">
        <v>960</v>
      </c>
      <c r="L856" s="220" t="s">
        <v>395</v>
      </c>
    </row>
    <row r="857" spans="1:12" hidden="1">
      <c r="A857" s="213">
        <v>43204131</v>
      </c>
      <c r="B857" s="151" t="s">
        <v>544</v>
      </c>
      <c r="C857" s="220" t="s">
        <v>527</v>
      </c>
      <c r="D857" s="151" t="s">
        <v>528</v>
      </c>
      <c r="E857" s="151" t="s">
        <v>841</v>
      </c>
      <c r="F857" s="213">
        <v>355</v>
      </c>
      <c r="G857" s="151">
        <v>32</v>
      </c>
      <c r="H857" s="151">
        <v>26</v>
      </c>
      <c r="I857" s="151">
        <v>832</v>
      </c>
      <c r="J857" s="151">
        <v>30</v>
      </c>
      <c r="K857" s="151">
        <v>960</v>
      </c>
      <c r="L857" s="220" t="s">
        <v>395</v>
      </c>
    </row>
    <row r="858" spans="1:12" hidden="1">
      <c r="A858" s="213">
        <v>43204132</v>
      </c>
      <c r="B858" s="151" t="s">
        <v>946</v>
      </c>
      <c r="C858" s="220" t="s">
        <v>527</v>
      </c>
      <c r="D858" s="151" t="s">
        <v>528</v>
      </c>
      <c r="E858" s="151" t="s">
        <v>841</v>
      </c>
      <c r="F858" s="213">
        <v>360</v>
      </c>
      <c r="G858" s="151">
        <v>32</v>
      </c>
      <c r="H858" s="151">
        <v>26</v>
      </c>
      <c r="I858" s="151">
        <v>832</v>
      </c>
      <c r="J858" s="151">
        <v>30</v>
      </c>
      <c r="K858" s="151">
        <v>960</v>
      </c>
      <c r="L858" s="220" t="s">
        <v>395</v>
      </c>
    </row>
    <row r="859" spans="1:12" hidden="1">
      <c r="A859" s="213">
        <v>43204133</v>
      </c>
      <c r="B859" s="151" t="s">
        <v>947</v>
      </c>
      <c r="C859" s="220" t="s">
        <v>527</v>
      </c>
      <c r="D859" s="151" t="s">
        <v>528</v>
      </c>
      <c r="E859" s="151" t="s">
        <v>841</v>
      </c>
      <c r="F859" s="213">
        <v>365</v>
      </c>
      <c r="G859" s="151">
        <v>32</v>
      </c>
      <c r="H859" s="151">
        <v>26</v>
      </c>
      <c r="I859" s="151">
        <v>832</v>
      </c>
      <c r="J859" s="151">
        <v>30</v>
      </c>
      <c r="K859" s="151">
        <v>960</v>
      </c>
      <c r="L859" s="220" t="s">
        <v>395</v>
      </c>
    </row>
    <row r="860" spans="1:12" hidden="1">
      <c r="A860" s="213">
        <v>43204523</v>
      </c>
      <c r="B860" s="151" t="s">
        <v>531</v>
      </c>
      <c r="C860" s="220" t="s">
        <v>527</v>
      </c>
      <c r="D860" s="151" t="s">
        <v>528</v>
      </c>
      <c r="E860" s="151" t="s">
        <v>851</v>
      </c>
      <c r="F860" s="213">
        <v>315</v>
      </c>
      <c r="G860" s="151">
        <v>32</v>
      </c>
      <c r="H860" s="151">
        <v>26</v>
      </c>
      <c r="I860" s="151">
        <v>832</v>
      </c>
      <c r="J860" s="151">
        <v>30</v>
      </c>
      <c r="K860" s="151">
        <v>960</v>
      </c>
      <c r="L860" s="220" t="s">
        <v>395</v>
      </c>
    </row>
    <row r="861" spans="1:12" hidden="1">
      <c r="A861" s="213">
        <v>45201127</v>
      </c>
      <c r="B861" s="151" t="s">
        <v>692</v>
      </c>
      <c r="C861" s="151" t="s">
        <v>691</v>
      </c>
      <c r="D861" s="151" t="s">
        <v>553</v>
      </c>
      <c r="E861" s="151" t="s">
        <v>528</v>
      </c>
      <c r="F861" s="213">
        <v>335</v>
      </c>
      <c r="G861" s="151">
        <v>32</v>
      </c>
      <c r="H861" s="151">
        <v>24</v>
      </c>
      <c r="I861" s="151">
        <v>768</v>
      </c>
      <c r="J861" s="151">
        <v>28</v>
      </c>
      <c r="K861" s="151">
        <v>896</v>
      </c>
      <c r="L861" s="151"/>
    </row>
    <row r="862" spans="1:12" hidden="1">
      <c r="A862" s="213">
        <v>45201129</v>
      </c>
      <c r="B862" s="151" t="s">
        <v>698</v>
      </c>
      <c r="C862" s="220" t="s">
        <v>691</v>
      </c>
      <c r="D862" s="151" t="s">
        <v>553</v>
      </c>
      <c r="E862" s="151" t="s">
        <v>528</v>
      </c>
      <c r="F862" s="213">
        <v>345</v>
      </c>
      <c r="G862" s="151">
        <v>32</v>
      </c>
      <c r="H862" s="151">
        <v>24</v>
      </c>
      <c r="I862" s="151">
        <v>768</v>
      </c>
      <c r="J862" s="151">
        <v>28</v>
      </c>
      <c r="K862" s="151">
        <v>896</v>
      </c>
      <c r="L862" s="220" t="s">
        <v>395</v>
      </c>
    </row>
    <row r="863" spans="1:12" hidden="1">
      <c r="A863" s="213">
        <v>30375408</v>
      </c>
      <c r="B863" s="151" t="s">
        <v>948</v>
      </c>
      <c r="C863" s="151" t="s">
        <v>691</v>
      </c>
      <c r="D863" s="151" t="s">
        <v>553</v>
      </c>
      <c r="E863" s="151" t="s">
        <v>528</v>
      </c>
      <c r="F863" s="213">
        <v>335</v>
      </c>
      <c r="G863" s="151">
        <v>32</v>
      </c>
      <c r="H863" s="151">
        <v>24</v>
      </c>
      <c r="I863" s="151">
        <v>768</v>
      </c>
      <c r="J863" s="151">
        <v>28</v>
      </c>
      <c r="K863" s="151">
        <v>896</v>
      </c>
      <c r="L863" s="151"/>
    </row>
    <row r="864" spans="1:12" hidden="1">
      <c r="A864" s="213">
        <v>30375409</v>
      </c>
      <c r="B864" s="151" t="s">
        <v>949</v>
      </c>
      <c r="C864" s="151" t="s">
        <v>691</v>
      </c>
      <c r="D864" s="151" t="s">
        <v>553</v>
      </c>
      <c r="E864" s="151" t="s">
        <v>528</v>
      </c>
      <c r="F864" s="213">
        <v>340</v>
      </c>
      <c r="G864" s="151">
        <v>32</v>
      </c>
      <c r="H864" s="151">
        <v>24</v>
      </c>
      <c r="I864" s="151">
        <v>768</v>
      </c>
      <c r="J864" s="151">
        <v>28</v>
      </c>
      <c r="K864" s="151">
        <v>896</v>
      </c>
      <c r="L864" s="151"/>
    </row>
    <row r="865" spans="1:12" hidden="1">
      <c r="A865" s="224">
        <v>30376709</v>
      </c>
      <c r="B865" s="224" t="s">
        <v>950</v>
      </c>
      <c r="C865" s="151" t="s">
        <v>691</v>
      </c>
      <c r="D865" s="151" t="s">
        <v>553</v>
      </c>
      <c r="E865" s="151" t="s">
        <v>528</v>
      </c>
      <c r="F865" s="213">
        <v>340</v>
      </c>
      <c r="G865" s="151">
        <v>32</v>
      </c>
      <c r="H865" s="151">
        <v>24</v>
      </c>
      <c r="I865" s="151">
        <v>768</v>
      </c>
      <c r="J865" s="151">
        <v>28</v>
      </c>
      <c r="K865" s="151">
        <v>896</v>
      </c>
      <c r="L865" s="151"/>
    </row>
    <row r="866" spans="1:12" hidden="1">
      <c r="A866" s="224">
        <v>30376809</v>
      </c>
      <c r="B866" s="224" t="s">
        <v>951</v>
      </c>
      <c r="C866" s="151" t="s">
        <v>691</v>
      </c>
      <c r="D866" s="151" t="s">
        <v>553</v>
      </c>
      <c r="E866" s="151" t="s">
        <v>528</v>
      </c>
      <c r="F866" s="213">
        <v>340</v>
      </c>
      <c r="G866" s="151">
        <v>32</v>
      </c>
      <c r="H866" s="151">
        <v>24</v>
      </c>
      <c r="I866" s="151">
        <v>768</v>
      </c>
      <c r="J866" s="151">
        <v>28</v>
      </c>
      <c r="K866" s="151">
        <v>896</v>
      </c>
      <c r="L866" s="151"/>
    </row>
    <row r="867" spans="1:12" hidden="1">
      <c r="A867" s="226">
        <v>30375509</v>
      </c>
      <c r="B867" s="227" t="s">
        <v>952</v>
      </c>
      <c r="C867" s="151" t="s">
        <v>691</v>
      </c>
      <c r="D867" s="151" t="s">
        <v>553</v>
      </c>
      <c r="E867" s="151" t="s">
        <v>528</v>
      </c>
      <c r="F867" s="213">
        <v>340</v>
      </c>
      <c r="G867" s="151">
        <v>32</v>
      </c>
      <c r="H867" s="151">
        <v>24</v>
      </c>
      <c r="I867" s="151">
        <v>768</v>
      </c>
      <c r="J867" s="151">
        <v>28</v>
      </c>
      <c r="K867" s="151">
        <v>896</v>
      </c>
      <c r="L867" s="151"/>
    </row>
    <row r="868" spans="1:12" hidden="1">
      <c r="A868" s="213">
        <v>30375508</v>
      </c>
      <c r="B868" s="151" t="s">
        <v>952</v>
      </c>
      <c r="C868" s="151" t="s">
        <v>691</v>
      </c>
      <c r="D868" s="151" t="s">
        <v>553</v>
      </c>
      <c r="E868" s="151" t="s">
        <v>528</v>
      </c>
      <c r="F868" s="213">
        <v>335</v>
      </c>
      <c r="G868" s="151">
        <v>32</v>
      </c>
      <c r="H868" s="151">
        <v>24</v>
      </c>
      <c r="I868" s="151">
        <v>768</v>
      </c>
      <c r="J868" s="151">
        <v>28</v>
      </c>
      <c r="K868" s="151">
        <v>896</v>
      </c>
      <c r="L868" s="151"/>
    </row>
    <row r="869" spans="1:12" hidden="1">
      <c r="A869" s="213">
        <v>30375708</v>
      </c>
      <c r="B869" s="151" t="s">
        <v>953</v>
      </c>
      <c r="C869" s="151" t="s">
        <v>691</v>
      </c>
      <c r="D869" s="151" t="s">
        <v>553</v>
      </c>
      <c r="E869" s="151" t="s">
        <v>528</v>
      </c>
      <c r="F869" s="213">
        <v>335</v>
      </c>
      <c r="G869" s="151">
        <v>32</v>
      </c>
      <c r="H869" s="151">
        <v>24</v>
      </c>
      <c r="I869" s="151">
        <v>768</v>
      </c>
      <c r="J869" s="151">
        <v>28</v>
      </c>
      <c r="K869" s="151">
        <v>896</v>
      </c>
      <c r="L869" s="151"/>
    </row>
    <row r="870" spans="1:12" hidden="1">
      <c r="A870" s="213">
        <v>30375709</v>
      </c>
      <c r="B870" s="151" t="s">
        <v>953</v>
      </c>
      <c r="C870" s="151" t="s">
        <v>691</v>
      </c>
      <c r="D870" s="151" t="s">
        <v>553</v>
      </c>
      <c r="E870" s="151" t="s">
        <v>528</v>
      </c>
      <c r="F870" s="213">
        <v>340</v>
      </c>
      <c r="G870" s="151">
        <v>32</v>
      </c>
      <c r="H870" s="151">
        <v>24</v>
      </c>
      <c r="I870" s="151">
        <v>768</v>
      </c>
      <c r="J870" s="151">
        <v>28</v>
      </c>
      <c r="K870" s="151">
        <v>896</v>
      </c>
      <c r="L870" s="151"/>
    </row>
    <row r="871" spans="1:12" hidden="1">
      <c r="A871" s="213">
        <v>30376008</v>
      </c>
      <c r="B871" s="151" t="s">
        <v>954</v>
      </c>
      <c r="C871" s="151" t="s">
        <v>691</v>
      </c>
      <c r="D871" s="151" t="s">
        <v>553</v>
      </c>
      <c r="E871" s="151" t="s">
        <v>528</v>
      </c>
      <c r="F871" s="213">
        <v>335</v>
      </c>
      <c r="G871" s="151">
        <v>32</v>
      </c>
      <c r="H871" s="151">
        <v>26</v>
      </c>
      <c r="I871" s="151">
        <v>832</v>
      </c>
      <c r="J871" s="151">
        <v>28</v>
      </c>
      <c r="K871" s="151">
        <v>896</v>
      </c>
      <c r="L871" s="151"/>
    </row>
    <row r="872" spans="1:12" hidden="1">
      <c r="A872" s="213">
        <v>30376009</v>
      </c>
      <c r="B872" s="151" t="s">
        <v>954</v>
      </c>
      <c r="C872" s="151" t="s">
        <v>691</v>
      </c>
      <c r="D872" s="151" t="s">
        <v>553</v>
      </c>
      <c r="E872" s="151" t="s">
        <v>528</v>
      </c>
      <c r="F872" s="213">
        <v>340</v>
      </c>
      <c r="G872" s="151">
        <v>32</v>
      </c>
      <c r="H872" s="151">
        <v>26</v>
      </c>
      <c r="I872" s="151">
        <v>832</v>
      </c>
      <c r="J872" s="151">
        <v>28</v>
      </c>
      <c r="K872" s="151">
        <v>896</v>
      </c>
      <c r="L872" s="151"/>
    </row>
    <row r="873" spans="1:12" hidden="1">
      <c r="A873" s="213">
        <v>30376309</v>
      </c>
      <c r="B873" s="151" t="s">
        <v>955</v>
      </c>
      <c r="C873" s="151" t="s">
        <v>691</v>
      </c>
      <c r="D873" s="151" t="s">
        <v>553</v>
      </c>
      <c r="E873" s="151" t="s">
        <v>528</v>
      </c>
      <c r="F873" s="213">
        <v>340</v>
      </c>
      <c r="G873" s="151">
        <v>32</v>
      </c>
      <c r="H873" s="151">
        <v>26</v>
      </c>
      <c r="I873" s="151">
        <v>832</v>
      </c>
      <c r="J873" s="151">
        <v>28</v>
      </c>
      <c r="K873" s="151">
        <v>896</v>
      </c>
      <c r="L873" s="151"/>
    </row>
    <row r="874" spans="1:12" hidden="1">
      <c r="A874" s="241">
        <v>30370910</v>
      </c>
      <c r="B874" s="220" t="s">
        <v>956</v>
      </c>
      <c r="C874" s="220" t="s">
        <v>631</v>
      </c>
      <c r="D874" s="151" t="s">
        <v>553</v>
      </c>
      <c r="E874" s="151" t="s">
        <v>528</v>
      </c>
      <c r="F874" s="213">
        <v>345</v>
      </c>
      <c r="G874" s="151">
        <v>32</v>
      </c>
      <c r="H874" s="151">
        <v>26</v>
      </c>
      <c r="I874" s="151">
        <v>832</v>
      </c>
      <c r="J874" s="151">
        <v>28</v>
      </c>
      <c r="K874" s="151">
        <v>896</v>
      </c>
      <c r="L874" s="151"/>
    </row>
    <row r="875" spans="1:12" hidden="1">
      <c r="A875" s="213">
        <v>30370911</v>
      </c>
      <c r="B875" s="151" t="s">
        <v>957</v>
      </c>
      <c r="C875" s="151" t="s">
        <v>631</v>
      </c>
      <c r="D875" s="151" t="s">
        <v>528</v>
      </c>
      <c r="E875" s="151" t="s">
        <v>528</v>
      </c>
      <c r="F875" s="213">
        <v>350</v>
      </c>
      <c r="G875" s="151">
        <v>32</v>
      </c>
      <c r="H875" s="151">
        <v>26</v>
      </c>
      <c r="I875" s="151">
        <v>832</v>
      </c>
      <c r="J875" s="151">
        <v>28</v>
      </c>
      <c r="K875" s="151">
        <v>896</v>
      </c>
      <c r="L875" s="151"/>
    </row>
    <row r="876" spans="1:12" hidden="1">
      <c r="A876" s="213">
        <v>30375909</v>
      </c>
      <c r="B876" s="151" t="s">
        <v>956</v>
      </c>
      <c r="C876" s="151" t="s">
        <v>691</v>
      </c>
      <c r="D876" s="151" t="s">
        <v>553</v>
      </c>
      <c r="E876" s="151" t="s">
        <v>528</v>
      </c>
      <c r="F876" s="213">
        <v>340</v>
      </c>
      <c r="G876" s="151">
        <v>32</v>
      </c>
      <c r="H876" s="151">
        <v>26</v>
      </c>
      <c r="I876" s="151">
        <v>832</v>
      </c>
      <c r="J876" s="151">
        <v>28</v>
      </c>
      <c r="K876" s="151">
        <v>896</v>
      </c>
      <c r="L876" s="151"/>
    </row>
    <row r="877" spans="1:12" hidden="1">
      <c r="A877" s="213" t="s">
        <v>958</v>
      </c>
      <c r="B877" s="151" t="s">
        <v>956</v>
      </c>
      <c r="C877" s="151" t="s">
        <v>691</v>
      </c>
      <c r="D877" s="151" t="s">
        <v>553</v>
      </c>
      <c r="E877" s="151" t="s">
        <v>528</v>
      </c>
      <c r="F877" s="213">
        <v>340</v>
      </c>
      <c r="G877" s="151">
        <v>32</v>
      </c>
      <c r="H877" s="151">
        <v>26</v>
      </c>
      <c r="I877" s="151">
        <v>832</v>
      </c>
      <c r="J877" s="151">
        <v>28</v>
      </c>
      <c r="K877" s="151">
        <v>896</v>
      </c>
      <c r="L877" s="151"/>
    </row>
    <row r="878" spans="1:12" hidden="1">
      <c r="A878" s="213">
        <v>30368516</v>
      </c>
      <c r="B878" s="151" t="s">
        <v>959</v>
      </c>
      <c r="C878" s="151" t="s">
        <v>960</v>
      </c>
      <c r="D878" s="151" t="s">
        <v>553</v>
      </c>
      <c r="E878" s="151" t="s">
        <v>528</v>
      </c>
      <c r="F878" s="213">
        <v>375</v>
      </c>
      <c r="G878" s="151">
        <v>32</v>
      </c>
      <c r="H878" s="151">
        <v>24</v>
      </c>
      <c r="I878" s="151">
        <v>768</v>
      </c>
      <c r="J878" s="151">
        <v>28</v>
      </c>
      <c r="K878" s="151">
        <v>896</v>
      </c>
      <c r="L878" s="151"/>
    </row>
    <row r="879" spans="1:12" hidden="1">
      <c r="A879" s="213">
        <v>30368517</v>
      </c>
      <c r="B879" s="151" t="s">
        <v>959</v>
      </c>
      <c r="C879" s="151" t="s">
        <v>960</v>
      </c>
      <c r="D879" s="151" t="s">
        <v>553</v>
      </c>
      <c r="E879" s="151" t="s">
        <v>528</v>
      </c>
      <c r="F879" s="213">
        <v>380</v>
      </c>
      <c r="G879" s="151">
        <v>32</v>
      </c>
      <c r="H879" s="151">
        <v>24</v>
      </c>
      <c r="I879" s="151">
        <v>768</v>
      </c>
      <c r="J879" s="151">
        <v>28</v>
      </c>
      <c r="K879" s="151">
        <v>896</v>
      </c>
      <c r="L879" s="151"/>
    </row>
    <row r="880" spans="1:12" hidden="1">
      <c r="A880" s="213">
        <v>30368817</v>
      </c>
      <c r="B880" s="151" t="s">
        <v>961</v>
      </c>
      <c r="C880" s="151" t="s">
        <v>960</v>
      </c>
      <c r="D880" s="151" t="s">
        <v>553</v>
      </c>
      <c r="E880" s="151" t="s">
        <v>528</v>
      </c>
      <c r="F880" s="213">
        <v>380</v>
      </c>
      <c r="G880" s="151">
        <v>32</v>
      </c>
      <c r="H880" s="151">
        <v>24</v>
      </c>
      <c r="I880" s="151">
        <v>768</v>
      </c>
      <c r="J880" s="151">
        <v>28</v>
      </c>
      <c r="K880" s="151">
        <v>896</v>
      </c>
      <c r="L880" s="151"/>
    </row>
    <row r="881" spans="1:12" hidden="1">
      <c r="A881" s="215">
        <v>30369116</v>
      </c>
      <c r="B881" s="227" t="s">
        <v>962</v>
      </c>
      <c r="C881" s="151" t="s">
        <v>960</v>
      </c>
      <c r="D881" s="151" t="s">
        <v>553</v>
      </c>
      <c r="E881" s="151" t="s">
        <v>528</v>
      </c>
      <c r="F881" s="213">
        <v>375</v>
      </c>
      <c r="G881" s="151">
        <v>32</v>
      </c>
      <c r="H881" s="151">
        <v>24</v>
      </c>
      <c r="I881" s="151">
        <v>768</v>
      </c>
      <c r="J881" s="151">
        <v>28</v>
      </c>
      <c r="K881" s="151">
        <v>896</v>
      </c>
      <c r="L881" s="151"/>
    </row>
    <row r="882" spans="1:12" hidden="1">
      <c r="A882" s="213">
        <v>30369117</v>
      </c>
      <c r="B882" s="227" t="s">
        <v>962</v>
      </c>
      <c r="C882" s="151" t="s">
        <v>960</v>
      </c>
      <c r="D882" s="151" t="s">
        <v>553</v>
      </c>
      <c r="E882" s="151" t="s">
        <v>528</v>
      </c>
      <c r="F882" s="213">
        <v>380</v>
      </c>
      <c r="G882" s="151">
        <v>32</v>
      </c>
      <c r="H882" s="151">
        <v>24</v>
      </c>
      <c r="I882" s="151">
        <v>768</v>
      </c>
      <c r="J882" s="151">
        <v>28</v>
      </c>
      <c r="K882" s="151">
        <v>896</v>
      </c>
      <c r="L882" s="151"/>
    </row>
    <row r="883" spans="1:12" hidden="1">
      <c r="A883" s="226">
        <v>30369217</v>
      </c>
      <c r="B883" s="227" t="s">
        <v>963</v>
      </c>
      <c r="C883" s="151" t="s">
        <v>960</v>
      </c>
      <c r="D883" s="151" t="s">
        <v>553</v>
      </c>
      <c r="E883" s="151" t="s">
        <v>528</v>
      </c>
      <c r="F883" s="213">
        <v>380</v>
      </c>
      <c r="G883" s="151">
        <v>32</v>
      </c>
      <c r="H883" s="151">
        <v>24</v>
      </c>
      <c r="I883" s="151">
        <v>768</v>
      </c>
      <c r="J883" s="151">
        <v>28</v>
      </c>
      <c r="K883" s="151">
        <v>896</v>
      </c>
      <c r="L883" s="151"/>
    </row>
    <row r="884" spans="1:12" hidden="1">
      <c r="A884" s="213">
        <v>30369516</v>
      </c>
      <c r="B884" s="213" t="s">
        <v>964</v>
      </c>
      <c r="C884" s="151" t="s">
        <v>960</v>
      </c>
      <c r="D884" s="151" t="s">
        <v>553</v>
      </c>
      <c r="E884" s="151" t="s">
        <v>528</v>
      </c>
      <c r="F884" s="213">
        <v>375</v>
      </c>
      <c r="G884" s="151">
        <v>32</v>
      </c>
      <c r="H884" s="151">
        <v>24</v>
      </c>
      <c r="I884" s="151">
        <v>768</v>
      </c>
      <c r="J884" s="151">
        <v>28</v>
      </c>
      <c r="K884" s="151">
        <v>896</v>
      </c>
      <c r="L884" s="151"/>
    </row>
    <row r="885" spans="1:12" hidden="1">
      <c r="A885" s="213">
        <v>30369517</v>
      </c>
      <c r="B885" s="213" t="s">
        <v>964</v>
      </c>
      <c r="C885" s="151" t="s">
        <v>960</v>
      </c>
      <c r="D885" s="151" t="s">
        <v>553</v>
      </c>
      <c r="E885" s="151" t="s">
        <v>528</v>
      </c>
      <c r="F885" s="213">
        <v>380</v>
      </c>
      <c r="G885" s="151">
        <v>32</v>
      </c>
      <c r="H885" s="151">
        <v>24</v>
      </c>
      <c r="I885" s="151">
        <v>768</v>
      </c>
      <c r="J885" s="151">
        <v>28</v>
      </c>
      <c r="K885" s="151">
        <v>896</v>
      </c>
      <c r="L885" s="151"/>
    </row>
    <row r="886" spans="1:12" hidden="1">
      <c r="A886" s="242">
        <v>30371611</v>
      </c>
      <c r="B886" s="227" t="s">
        <v>965</v>
      </c>
      <c r="C886" s="151" t="s">
        <v>631</v>
      </c>
      <c r="D886" s="223" t="s">
        <v>528</v>
      </c>
      <c r="E886" s="223" t="s">
        <v>528</v>
      </c>
      <c r="F886" s="213">
        <v>350</v>
      </c>
      <c r="G886" s="151">
        <v>32</v>
      </c>
      <c r="H886" s="151">
        <v>26</v>
      </c>
      <c r="I886" s="151">
        <v>832</v>
      </c>
      <c r="J886" s="151">
        <v>28</v>
      </c>
      <c r="K886" s="151">
        <v>896</v>
      </c>
      <c r="L886" s="151"/>
    </row>
    <row r="887" spans="1:12" hidden="1">
      <c r="A887" s="213">
        <v>30372211</v>
      </c>
      <c r="B887" s="151" t="s">
        <v>966</v>
      </c>
      <c r="C887" s="151" t="s">
        <v>631</v>
      </c>
      <c r="D887" s="223" t="s">
        <v>528</v>
      </c>
      <c r="E887" s="223" t="s">
        <v>528</v>
      </c>
      <c r="F887" s="213">
        <v>350</v>
      </c>
      <c r="G887" s="151">
        <v>32</v>
      </c>
      <c r="H887" s="151">
        <v>26</v>
      </c>
      <c r="I887" s="151">
        <v>832</v>
      </c>
      <c r="J887" s="151">
        <v>28</v>
      </c>
      <c r="K887" s="151">
        <v>896</v>
      </c>
      <c r="L887" s="151"/>
    </row>
    <row r="888" spans="1:12" hidden="1">
      <c r="A888" s="213">
        <v>49404140</v>
      </c>
      <c r="B888" s="151" t="s">
        <v>967</v>
      </c>
      <c r="C888" s="151" t="s">
        <v>967</v>
      </c>
      <c r="D888" s="223" t="s">
        <v>528</v>
      </c>
      <c r="E888" s="223" t="s">
        <v>528</v>
      </c>
      <c r="F888" s="213">
        <v>400</v>
      </c>
      <c r="G888" s="151">
        <v>32</v>
      </c>
      <c r="H888" s="151">
        <v>24</v>
      </c>
      <c r="I888" s="151">
        <v>768</v>
      </c>
      <c r="J888" s="151">
        <v>24</v>
      </c>
      <c r="K888" s="151">
        <v>768</v>
      </c>
      <c r="L888" s="151"/>
    </row>
    <row r="889" spans="1:12" hidden="1">
      <c r="A889" s="213">
        <v>49404138</v>
      </c>
      <c r="B889" s="151" t="s">
        <v>967</v>
      </c>
      <c r="C889" s="151" t="s">
        <v>967</v>
      </c>
      <c r="D889" s="223" t="s">
        <v>528</v>
      </c>
      <c r="E889" s="223" t="s">
        <v>528</v>
      </c>
      <c r="F889" s="213">
        <v>390</v>
      </c>
      <c r="G889" s="151">
        <v>32</v>
      </c>
      <c r="H889" s="151">
        <v>24</v>
      </c>
      <c r="I889" s="151">
        <v>768</v>
      </c>
      <c r="J889" s="151">
        <v>24</v>
      </c>
      <c r="K889" s="151">
        <v>768</v>
      </c>
      <c r="L889" s="151"/>
    </row>
    <row r="890" spans="1:12" hidden="1">
      <c r="A890" s="243">
        <v>30385558</v>
      </c>
      <c r="B890" s="244" t="s">
        <v>968</v>
      </c>
      <c r="C890" s="151" t="s">
        <v>967</v>
      </c>
      <c r="D890" s="223" t="s">
        <v>528</v>
      </c>
      <c r="E890" s="223" t="s">
        <v>528</v>
      </c>
      <c r="F890" s="213">
        <v>410</v>
      </c>
      <c r="G890" s="151">
        <v>32</v>
      </c>
      <c r="H890" s="151">
        <v>24</v>
      </c>
      <c r="I890" s="151">
        <v>768</v>
      </c>
      <c r="J890" s="151">
        <v>24</v>
      </c>
      <c r="K890" s="151">
        <v>768</v>
      </c>
      <c r="L890" s="151"/>
    </row>
    <row r="891" spans="1:12" hidden="1">
      <c r="A891" s="242">
        <v>30372156</v>
      </c>
      <c r="B891" s="244" t="s">
        <v>969</v>
      </c>
      <c r="C891" s="151" t="s">
        <v>970</v>
      </c>
      <c r="D891" s="223" t="s">
        <v>528</v>
      </c>
      <c r="E891" s="223" t="s">
        <v>528</v>
      </c>
      <c r="F891" s="213">
        <v>400</v>
      </c>
      <c r="G891" s="151">
        <v>32</v>
      </c>
      <c r="H891" s="151">
        <v>24</v>
      </c>
      <c r="I891" s="151">
        <v>768</v>
      </c>
      <c r="J891" s="151">
        <v>24</v>
      </c>
      <c r="K891" s="151">
        <v>768</v>
      </c>
      <c r="L891" s="151"/>
    </row>
    <row r="892" spans="1:12" hidden="1">
      <c r="A892" s="242">
        <v>30372157</v>
      </c>
      <c r="B892" s="244" t="s">
        <v>969</v>
      </c>
      <c r="C892" s="151" t="s">
        <v>970</v>
      </c>
      <c r="D892" s="223" t="s">
        <v>528</v>
      </c>
      <c r="E892" s="223" t="s">
        <v>528</v>
      </c>
      <c r="F892" s="213">
        <v>405</v>
      </c>
      <c r="G892" s="151">
        <v>32</v>
      </c>
      <c r="H892" s="151">
        <v>24</v>
      </c>
      <c r="I892" s="151">
        <v>768</v>
      </c>
      <c r="J892" s="151">
        <v>24</v>
      </c>
      <c r="K892" s="151">
        <v>768</v>
      </c>
      <c r="L892" s="151"/>
    </row>
    <row r="893" spans="1:12" hidden="1">
      <c r="A893" s="242" t="s">
        <v>971</v>
      </c>
      <c r="B893" s="244" t="s">
        <v>969</v>
      </c>
      <c r="C893" s="151" t="s">
        <v>970</v>
      </c>
      <c r="D893" s="223" t="s">
        <v>528</v>
      </c>
      <c r="E893" s="223" t="s">
        <v>528</v>
      </c>
      <c r="F893" s="213">
        <v>410</v>
      </c>
      <c r="G893" s="151">
        <v>32</v>
      </c>
      <c r="H893" s="151">
        <v>24</v>
      </c>
      <c r="I893" s="151">
        <v>768</v>
      </c>
      <c r="J893" s="151">
        <v>24</v>
      </c>
      <c r="K893" s="151">
        <v>768</v>
      </c>
      <c r="L893" s="151"/>
    </row>
    <row r="894" spans="1:12" hidden="1">
      <c r="A894" s="245">
        <v>30390156</v>
      </c>
      <c r="B894" s="244" t="s">
        <v>972</v>
      </c>
      <c r="C894" s="151" t="s">
        <v>973</v>
      </c>
      <c r="D894" s="151" t="s">
        <v>553</v>
      </c>
      <c r="E894" s="151" t="s">
        <v>528</v>
      </c>
      <c r="F894" s="213">
        <v>400</v>
      </c>
      <c r="G894" s="151">
        <v>32</v>
      </c>
      <c r="H894" s="151">
        <v>24</v>
      </c>
      <c r="I894" s="151">
        <v>768</v>
      </c>
      <c r="J894" s="151">
        <v>24</v>
      </c>
      <c r="K894" s="151">
        <v>768</v>
      </c>
      <c r="L894" s="151"/>
    </row>
    <row r="895" spans="1:12" hidden="1">
      <c r="A895" s="222">
        <v>30390155</v>
      </c>
      <c r="B895" s="213" t="s">
        <v>972</v>
      </c>
      <c r="C895" s="151" t="s">
        <v>973</v>
      </c>
      <c r="D895" s="213" t="s">
        <v>553</v>
      </c>
      <c r="E895" s="213" t="s">
        <v>528</v>
      </c>
      <c r="F895" s="213">
        <v>395</v>
      </c>
      <c r="G895" s="151">
        <v>32</v>
      </c>
      <c r="H895" s="151">
        <v>24</v>
      </c>
      <c r="I895" s="151">
        <v>768</v>
      </c>
      <c r="J895" s="151">
        <v>24</v>
      </c>
      <c r="K895" s="151">
        <v>768</v>
      </c>
      <c r="L895" s="151"/>
    </row>
    <row r="896" spans="1:12" hidden="1">
      <c r="A896" s="222" t="s">
        <v>974</v>
      </c>
      <c r="B896" s="213" t="s">
        <v>972</v>
      </c>
      <c r="C896" s="151" t="s">
        <v>973</v>
      </c>
      <c r="D896" s="213" t="s">
        <v>553</v>
      </c>
      <c r="E896" s="213" t="s">
        <v>528</v>
      </c>
      <c r="F896" s="213">
        <v>395</v>
      </c>
      <c r="G896" s="151">
        <v>32</v>
      </c>
      <c r="H896" s="151">
        <v>24</v>
      </c>
      <c r="I896" s="151">
        <v>768</v>
      </c>
      <c r="J896" s="151">
        <v>24</v>
      </c>
      <c r="K896" s="151">
        <v>768</v>
      </c>
      <c r="L896" s="151"/>
    </row>
    <row r="897" spans="1:12" hidden="1">
      <c r="A897" s="222">
        <v>30390455</v>
      </c>
      <c r="B897" s="213" t="s">
        <v>975</v>
      </c>
      <c r="C897" s="151" t="s">
        <v>973</v>
      </c>
      <c r="D897" s="213" t="s">
        <v>553</v>
      </c>
      <c r="E897" s="213" t="s">
        <v>528</v>
      </c>
      <c r="F897" s="213">
        <v>395</v>
      </c>
      <c r="G897" s="151">
        <v>32</v>
      </c>
      <c r="H897" s="151">
        <v>24</v>
      </c>
      <c r="I897" s="151">
        <v>768</v>
      </c>
      <c r="J897" s="151">
        <v>24</v>
      </c>
      <c r="K897" s="151">
        <v>768</v>
      </c>
      <c r="L897" s="151"/>
    </row>
    <row r="898" spans="1:12" hidden="1">
      <c r="A898" s="222" t="s">
        <v>976</v>
      </c>
      <c r="B898" s="213" t="s">
        <v>975</v>
      </c>
      <c r="C898" s="151" t="s">
        <v>973</v>
      </c>
      <c r="D898" s="213" t="s">
        <v>553</v>
      </c>
      <c r="E898" s="213" t="s">
        <v>528</v>
      </c>
      <c r="F898" s="213">
        <v>395</v>
      </c>
      <c r="G898" s="151">
        <v>32</v>
      </c>
      <c r="H898" s="151">
        <v>24</v>
      </c>
      <c r="I898" s="151">
        <v>768</v>
      </c>
      <c r="J898" s="151">
        <v>24</v>
      </c>
      <c r="K898" s="151">
        <v>768</v>
      </c>
      <c r="L898" s="151"/>
    </row>
    <row r="899" spans="1:12" hidden="1">
      <c r="A899" s="222">
        <v>30390456</v>
      </c>
      <c r="B899" s="213" t="s">
        <v>975</v>
      </c>
      <c r="C899" s="151" t="s">
        <v>973</v>
      </c>
      <c r="D899" s="213" t="s">
        <v>553</v>
      </c>
      <c r="E899" s="213" t="s">
        <v>528</v>
      </c>
      <c r="F899" s="213">
        <v>400</v>
      </c>
      <c r="G899" s="151">
        <v>32</v>
      </c>
      <c r="H899" s="151">
        <v>24</v>
      </c>
      <c r="I899" s="151">
        <v>768</v>
      </c>
      <c r="J899" s="151">
        <v>24</v>
      </c>
      <c r="K899" s="151">
        <v>768</v>
      </c>
      <c r="L899" s="151"/>
    </row>
    <row r="900" spans="1:12" hidden="1">
      <c r="A900" s="222" t="s">
        <v>977</v>
      </c>
      <c r="B900" s="213" t="s">
        <v>975</v>
      </c>
      <c r="C900" s="151" t="s">
        <v>973</v>
      </c>
      <c r="D900" s="213" t="s">
        <v>553</v>
      </c>
      <c r="E900" s="213" t="s">
        <v>528</v>
      </c>
      <c r="F900" s="213">
        <v>400</v>
      </c>
      <c r="G900" s="151">
        <v>32</v>
      </c>
      <c r="H900" s="151">
        <v>24</v>
      </c>
      <c r="I900" s="151">
        <v>768</v>
      </c>
      <c r="J900" s="151">
        <v>24</v>
      </c>
      <c r="K900" s="151">
        <v>768</v>
      </c>
      <c r="L900" s="151"/>
    </row>
    <row r="901" spans="1:12" hidden="1">
      <c r="A901" s="222" t="s">
        <v>978</v>
      </c>
      <c r="B901" s="213" t="s">
        <v>975</v>
      </c>
      <c r="C901" s="151" t="s">
        <v>973</v>
      </c>
      <c r="D901" s="213" t="s">
        <v>553</v>
      </c>
      <c r="E901" s="213" t="s">
        <v>528</v>
      </c>
      <c r="F901" s="213">
        <v>400</v>
      </c>
      <c r="G901" s="151">
        <v>32</v>
      </c>
      <c r="H901" s="151">
        <v>24</v>
      </c>
      <c r="I901" s="151">
        <v>768</v>
      </c>
      <c r="J901" s="151">
        <v>24</v>
      </c>
      <c r="K901" s="151">
        <v>768</v>
      </c>
      <c r="L901" s="151"/>
    </row>
    <row r="902" spans="1:12" hidden="1">
      <c r="A902" s="213" t="s">
        <v>979</v>
      </c>
      <c r="B902" s="213" t="s">
        <v>972</v>
      </c>
      <c r="C902" s="151" t="s">
        <v>973</v>
      </c>
      <c r="D902" s="213" t="s">
        <v>553</v>
      </c>
      <c r="E902" s="213" t="s">
        <v>528</v>
      </c>
      <c r="F902" s="213">
        <v>400</v>
      </c>
      <c r="G902" s="151">
        <v>32</v>
      </c>
      <c r="H902" s="151">
        <v>24</v>
      </c>
      <c r="I902" s="151">
        <v>768</v>
      </c>
      <c r="J902" s="151">
        <v>24</v>
      </c>
      <c r="K902" s="151">
        <v>768</v>
      </c>
      <c r="L902" s="151"/>
    </row>
    <row r="903" spans="1:12" hidden="1">
      <c r="A903" s="243">
        <v>30390256</v>
      </c>
      <c r="B903" s="243" t="s">
        <v>980</v>
      </c>
      <c r="C903" s="151" t="s">
        <v>980</v>
      </c>
      <c r="D903" s="151" t="s">
        <v>553</v>
      </c>
      <c r="E903" s="151" t="s">
        <v>528</v>
      </c>
      <c r="F903" s="213">
        <v>400</v>
      </c>
      <c r="G903" s="151">
        <v>26</v>
      </c>
      <c r="H903" s="151">
        <v>24</v>
      </c>
      <c r="I903" s="151">
        <v>624</v>
      </c>
      <c r="J903" s="151">
        <v>28</v>
      </c>
      <c r="K903" s="151">
        <v>728</v>
      </c>
      <c r="L903" s="151"/>
    </row>
    <row r="904" spans="1:12" hidden="1">
      <c r="A904" s="243">
        <v>30390255</v>
      </c>
      <c r="B904" s="243" t="s">
        <v>981</v>
      </c>
      <c r="C904" s="151" t="s">
        <v>981</v>
      </c>
      <c r="D904" s="151" t="s">
        <v>553</v>
      </c>
      <c r="E904" s="151" t="s">
        <v>528</v>
      </c>
      <c r="F904" s="213">
        <v>395</v>
      </c>
      <c r="G904" s="151">
        <v>26</v>
      </c>
      <c r="H904" s="151">
        <v>24</v>
      </c>
      <c r="I904" s="151">
        <v>624</v>
      </c>
      <c r="J904" s="151">
        <v>28</v>
      </c>
      <c r="K904" s="151">
        <v>728</v>
      </c>
      <c r="L904" s="151"/>
    </row>
    <row r="905" spans="1:12" hidden="1">
      <c r="A905" s="243">
        <v>49402138</v>
      </c>
      <c r="B905" s="243" t="s">
        <v>982</v>
      </c>
      <c r="C905" s="220" t="s">
        <v>983</v>
      </c>
      <c r="D905" s="151" t="s">
        <v>553</v>
      </c>
      <c r="E905" s="151" t="s">
        <v>528</v>
      </c>
      <c r="F905" s="213">
        <v>390</v>
      </c>
      <c r="G905" s="151">
        <v>26</v>
      </c>
      <c r="H905" s="151">
        <v>24</v>
      </c>
      <c r="I905" s="151">
        <v>624</v>
      </c>
      <c r="J905" s="151">
        <v>28</v>
      </c>
      <c r="K905" s="151">
        <v>728</v>
      </c>
      <c r="L905" s="220" t="s">
        <v>395</v>
      </c>
    </row>
    <row r="906" spans="1:12" hidden="1">
      <c r="A906" s="243">
        <v>49402139</v>
      </c>
      <c r="B906" s="230" t="s">
        <v>982</v>
      </c>
      <c r="C906" s="151" t="s">
        <v>981</v>
      </c>
      <c r="D906" s="151" t="s">
        <v>553</v>
      </c>
      <c r="E906" s="151" t="s">
        <v>528</v>
      </c>
      <c r="F906" s="213">
        <v>395</v>
      </c>
      <c r="G906" s="151">
        <v>26</v>
      </c>
      <c r="H906" s="151">
        <v>24</v>
      </c>
      <c r="I906" s="151">
        <v>624</v>
      </c>
      <c r="J906" s="151">
        <v>28</v>
      </c>
      <c r="K906" s="151">
        <v>728</v>
      </c>
      <c r="L906" s="151"/>
    </row>
    <row r="907" spans="1:12" hidden="1">
      <c r="A907" s="213">
        <v>30390555</v>
      </c>
      <c r="B907" s="151" t="s">
        <v>984</v>
      </c>
      <c r="C907" s="151" t="s">
        <v>985</v>
      </c>
      <c r="D907" s="151" t="s">
        <v>553</v>
      </c>
      <c r="E907" s="151" t="s">
        <v>528</v>
      </c>
      <c r="F907" s="213">
        <v>395</v>
      </c>
      <c r="G907" s="151">
        <v>32</v>
      </c>
      <c r="H907" s="151">
        <v>24</v>
      </c>
      <c r="I907" s="151">
        <v>768</v>
      </c>
      <c r="J907" s="151">
        <v>24</v>
      </c>
      <c r="K907" s="151">
        <v>768</v>
      </c>
      <c r="L907" s="151"/>
    </row>
    <row r="908" spans="1:12" hidden="1">
      <c r="A908" s="213">
        <v>30390556</v>
      </c>
      <c r="B908" s="151" t="s">
        <v>984</v>
      </c>
      <c r="C908" s="151" t="s">
        <v>985</v>
      </c>
      <c r="D908" s="151" t="s">
        <v>553</v>
      </c>
      <c r="E908" s="151" t="s">
        <v>528</v>
      </c>
      <c r="F908" s="213">
        <v>400</v>
      </c>
      <c r="G908" s="151">
        <v>32</v>
      </c>
      <c r="H908" s="151">
        <v>24</v>
      </c>
      <c r="I908" s="151">
        <v>768</v>
      </c>
      <c r="J908" s="151">
        <v>24</v>
      </c>
      <c r="K908" s="151">
        <v>768</v>
      </c>
      <c r="L908" s="151"/>
    </row>
    <row r="909" spans="1:12" hidden="1">
      <c r="A909" s="226">
        <v>30396955</v>
      </c>
      <c r="B909" s="227" t="s">
        <v>985</v>
      </c>
      <c r="C909" s="151" t="s">
        <v>985</v>
      </c>
      <c r="D909" s="227" t="s">
        <v>553</v>
      </c>
      <c r="E909" s="151" t="s">
        <v>528</v>
      </c>
      <c r="F909" s="213">
        <v>395</v>
      </c>
      <c r="G909" s="151">
        <v>32</v>
      </c>
      <c r="H909" s="151">
        <v>24</v>
      </c>
      <c r="I909" s="151">
        <v>768</v>
      </c>
      <c r="J909" s="151">
        <v>24</v>
      </c>
      <c r="K909" s="151">
        <v>768</v>
      </c>
      <c r="L909" s="151"/>
    </row>
    <row r="910" spans="1:12" hidden="1">
      <c r="A910" s="213">
        <v>30396956</v>
      </c>
      <c r="B910" s="227" t="s">
        <v>985</v>
      </c>
      <c r="C910" s="151" t="s">
        <v>985</v>
      </c>
      <c r="D910" s="151" t="s">
        <v>553</v>
      </c>
      <c r="E910" s="151" t="s">
        <v>528</v>
      </c>
      <c r="F910" s="213">
        <v>400</v>
      </c>
      <c r="G910" s="151">
        <v>32</v>
      </c>
      <c r="H910" s="151">
        <v>24</v>
      </c>
      <c r="I910" s="151">
        <v>768</v>
      </c>
      <c r="J910" s="151">
        <v>24</v>
      </c>
      <c r="K910" s="151">
        <v>768</v>
      </c>
      <c r="L910" s="151"/>
    </row>
    <row r="911" spans="1:12" hidden="1">
      <c r="A911" s="213">
        <v>49201131</v>
      </c>
      <c r="B911" s="227" t="s">
        <v>986</v>
      </c>
      <c r="C911" s="151" t="s">
        <v>986</v>
      </c>
      <c r="D911" s="151" t="s">
        <v>553</v>
      </c>
      <c r="E911" s="151" t="s">
        <v>528</v>
      </c>
      <c r="F911" s="213">
        <v>355</v>
      </c>
      <c r="G911" s="151">
        <v>32</v>
      </c>
      <c r="H911" s="151">
        <v>24</v>
      </c>
      <c r="I911" s="151">
        <v>768</v>
      </c>
      <c r="J911" s="151">
        <v>26</v>
      </c>
      <c r="K911" s="151">
        <v>832</v>
      </c>
      <c r="L911" s="151"/>
    </row>
    <row r="912" spans="1:12" hidden="1">
      <c r="A912" s="213">
        <v>49201132</v>
      </c>
      <c r="B912" s="227" t="s">
        <v>986</v>
      </c>
      <c r="C912" s="151" t="s">
        <v>986</v>
      </c>
      <c r="D912" s="151" t="s">
        <v>553</v>
      </c>
      <c r="E912" s="151" t="s">
        <v>528</v>
      </c>
      <c r="F912" s="213">
        <v>360</v>
      </c>
      <c r="G912" s="151">
        <v>32</v>
      </c>
      <c r="H912" s="151">
        <v>24</v>
      </c>
      <c r="I912" s="151">
        <v>768</v>
      </c>
      <c r="J912" s="151">
        <v>26</v>
      </c>
      <c r="K912" s="151">
        <v>832</v>
      </c>
      <c r="L912" s="151"/>
    </row>
    <row r="913" spans="1:12" hidden="1">
      <c r="A913" s="213">
        <v>49201130</v>
      </c>
      <c r="B913" s="227" t="s">
        <v>986</v>
      </c>
      <c r="C913" s="151" t="s">
        <v>986</v>
      </c>
      <c r="D913" s="151" t="s">
        <v>553</v>
      </c>
      <c r="E913" s="151" t="s">
        <v>528</v>
      </c>
      <c r="F913" s="213">
        <v>350</v>
      </c>
      <c r="G913" s="151">
        <v>32</v>
      </c>
      <c r="H913" s="151">
        <v>24</v>
      </c>
      <c r="I913" s="151">
        <v>768</v>
      </c>
      <c r="J913" s="151">
        <v>26</v>
      </c>
      <c r="K913" s="151">
        <v>832</v>
      </c>
      <c r="L913" s="151"/>
    </row>
    <row r="914" spans="1:12" hidden="1">
      <c r="A914" s="213">
        <v>49203132</v>
      </c>
      <c r="B914" s="227" t="s">
        <v>986</v>
      </c>
      <c r="C914" s="151" t="s">
        <v>986</v>
      </c>
      <c r="D914" s="151" t="s">
        <v>553</v>
      </c>
      <c r="E914" s="151" t="s">
        <v>528</v>
      </c>
      <c r="F914" s="213">
        <v>360</v>
      </c>
      <c r="G914" s="151">
        <v>32</v>
      </c>
      <c r="H914" s="151">
        <v>24</v>
      </c>
      <c r="I914" s="151">
        <v>768</v>
      </c>
      <c r="J914" s="151">
        <v>26</v>
      </c>
      <c r="K914" s="151">
        <v>832</v>
      </c>
      <c r="L914" s="151"/>
    </row>
    <row r="915" spans="1:12" hidden="1">
      <c r="A915" s="213">
        <v>49401138</v>
      </c>
      <c r="B915" s="227" t="s">
        <v>987</v>
      </c>
      <c r="C915" s="151" t="s">
        <v>985</v>
      </c>
      <c r="D915" s="151" t="s">
        <v>553</v>
      </c>
      <c r="E915" s="151" t="s">
        <v>528</v>
      </c>
      <c r="F915" s="213">
        <v>390</v>
      </c>
      <c r="G915" s="151">
        <v>32</v>
      </c>
      <c r="H915" s="151">
        <v>24</v>
      </c>
      <c r="I915" s="151">
        <v>768</v>
      </c>
      <c r="J915" s="151">
        <v>24</v>
      </c>
      <c r="K915" s="151">
        <v>768</v>
      </c>
      <c r="L915" s="151"/>
    </row>
    <row r="916" spans="1:12" hidden="1">
      <c r="A916" s="213">
        <v>49401139</v>
      </c>
      <c r="B916" s="227" t="s">
        <v>987</v>
      </c>
      <c r="C916" s="151" t="s">
        <v>985</v>
      </c>
      <c r="D916" s="151" t="s">
        <v>553</v>
      </c>
      <c r="E916" s="151" t="s">
        <v>528</v>
      </c>
      <c r="F916" s="213">
        <v>395</v>
      </c>
      <c r="G916" s="151">
        <v>32</v>
      </c>
      <c r="H916" s="151">
        <v>24</v>
      </c>
      <c r="I916" s="151">
        <v>768</v>
      </c>
      <c r="J916" s="151">
        <v>24</v>
      </c>
      <c r="K916" s="151">
        <v>768</v>
      </c>
      <c r="L916" s="151"/>
    </row>
    <row r="917" spans="1:12" hidden="1">
      <c r="A917" s="213">
        <v>49401140</v>
      </c>
      <c r="B917" s="227" t="s">
        <v>987</v>
      </c>
      <c r="C917" s="151" t="s">
        <v>985</v>
      </c>
      <c r="D917" s="151" t="s">
        <v>553</v>
      </c>
      <c r="E917" s="151" t="s">
        <v>528</v>
      </c>
      <c r="F917" s="213">
        <v>400</v>
      </c>
      <c r="G917" s="151">
        <v>32</v>
      </c>
      <c r="H917" s="151">
        <v>24</v>
      </c>
      <c r="I917" s="151">
        <v>768</v>
      </c>
      <c r="J917" s="151">
        <v>24</v>
      </c>
      <c r="K917" s="151">
        <v>768</v>
      </c>
      <c r="L917" s="151"/>
    </row>
    <row r="918" spans="1:12" hidden="1">
      <c r="A918" s="237">
        <v>49401135</v>
      </c>
      <c r="B918" s="227" t="s">
        <v>987</v>
      </c>
      <c r="C918" s="220" t="s">
        <v>985</v>
      </c>
      <c r="D918" s="151" t="s">
        <v>553</v>
      </c>
      <c r="E918" s="151" t="s">
        <v>528</v>
      </c>
      <c r="F918" s="213">
        <v>375</v>
      </c>
      <c r="G918" s="151">
        <v>32</v>
      </c>
      <c r="H918" s="151">
        <v>24</v>
      </c>
      <c r="I918" s="151">
        <v>768</v>
      </c>
      <c r="J918" s="151">
        <v>24</v>
      </c>
      <c r="K918" s="151">
        <v>768</v>
      </c>
      <c r="L918" s="220" t="s">
        <v>395</v>
      </c>
    </row>
    <row r="919" spans="1:12" hidden="1">
      <c r="A919" s="213">
        <v>49401137</v>
      </c>
      <c r="B919" s="230" t="s">
        <v>987</v>
      </c>
      <c r="C919" s="151" t="s">
        <v>985</v>
      </c>
      <c r="D919" s="151" t="s">
        <v>553</v>
      </c>
      <c r="E919" s="151" t="s">
        <v>528</v>
      </c>
      <c r="F919" s="213">
        <v>385</v>
      </c>
      <c r="G919" s="151">
        <v>32</v>
      </c>
      <c r="H919" s="151">
        <v>24</v>
      </c>
      <c r="I919" s="151">
        <v>768</v>
      </c>
      <c r="J919" s="151">
        <v>24</v>
      </c>
      <c r="K919" s="151">
        <v>768</v>
      </c>
      <c r="L919" s="151"/>
    </row>
    <row r="920" spans="1:12" hidden="1">
      <c r="A920" s="213">
        <v>49401136</v>
      </c>
      <c r="B920" s="230" t="s">
        <v>988</v>
      </c>
      <c r="C920" s="220" t="s">
        <v>989</v>
      </c>
      <c r="D920" s="151" t="s">
        <v>553</v>
      </c>
      <c r="E920" s="151" t="s">
        <v>528</v>
      </c>
      <c r="F920" s="213">
        <v>380</v>
      </c>
      <c r="G920" s="151">
        <v>32</v>
      </c>
      <c r="H920" s="151">
        <v>24</v>
      </c>
      <c r="I920" s="151">
        <v>768</v>
      </c>
      <c r="J920" s="151">
        <v>24</v>
      </c>
      <c r="K920" s="151">
        <v>768</v>
      </c>
      <c r="L920" s="220" t="s">
        <v>395</v>
      </c>
    </row>
    <row r="921" spans="1:12" hidden="1">
      <c r="A921" s="222">
        <v>30396066</v>
      </c>
      <c r="B921" s="223" t="s">
        <v>990</v>
      </c>
      <c r="C921" s="151" t="s">
        <v>991</v>
      </c>
      <c r="D921" s="223" t="s">
        <v>992</v>
      </c>
      <c r="E921" s="223" t="s">
        <v>922</v>
      </c>
      <c r="F921" s="222">
        <v>450</v>
      </c>
      <c r="G921" s="223">
        <v>29</v>
      </c>
      <c r="H921" s="223">
        <v>22</v>
      </c>
      <c r="I921" s="223">
        <v>638</v>
      </c>
      <c r="J921" s="223">
        <v>22</v>
      </c>
      <c r="K921" s="223">
        <v>638</v>
      </c>
      <c r="L921" s="151"/>
    </row>
    <row r="922" spans="1:12" hidden="1">
      <c r="A922" s="222">
        <v>30396067</v>
      </c>
      <c r="B922" s="223" t="s">
        <v>990</v>
      </c>
      <c r="C922" s="151" t="s">
        <v>991</v>
      </c>
      <c r="D922" s="223" t="s">
        <v>992</v>
      </c>
      <c r="E922" s="223" t="s">
        <v>922</v>
      </c>
      <c r="F922" s="222">
        <v>455</v>
      </c>
      <c r="G922" s="223">
        <v>29</v>
      </c>
      <c r="H922" s="223">
        <v>22</v>
      </c>
      <c r="I922" s="223">
        <v>638</v>
      </c>
      <c r="J922" s="223">
        <v>22</v>
      </c>
      <c r="K922" s="223">
        <v>638</v>
      </c>
      <c r="L922" s="151"/>
    </row>
    <row r="923" spans="1:12" hidden="1">
      <c r="A923" s="222">
        <v>30396566</v>
      </c>
      <c r="B923" s="223" t="s">
        <v>993</v>
      </c>
      <c r="C923" s="151" t="s">
        <v>991</v>
      </c>
      <c r="D923" s="223" t="s">
        <v>992</v>
      </c>
      <c r="E923" s="223" t="s">
        <v>922</v>
      </c>
      <c r="F923" s="222">
        <v>450</v>
      </c>
      <c r="G923" s="223">
        <v>29</v>
      </c>
      <c r="H923" s="223">
        <v>22</v>
      </c>
      <c r="I923" s="223">
        <v>638</v>
      </c>
      <c r="J923" s="223">
        <v>22</v>
      </c>
      <c r="K923" s="223">
        <v>638</v>
      </c>
      <c r="L923" s="151"/>
    </row>
    <row r="924" spans="1:12" hidden="1">
      <c r="A924" s="222">
        <v>30396567</v>
      </c>
      <c r="B924" s="223" t="s">
        <v>993</v>
      </c>
      <c r="C924" s="151" t="s">
        <v>991</v>
      </c>
      <c r="D924" s="223" t="s">
        <v>992</v>
      </c>
      <c r="E924" s="223" t="s">
        <v>922</v>
      </c>
      <c r="F924" s="222">
        <v>455</v>
      </c>
      <c r="G924" s="223">
        <v>29</v>
      </c>
      <c r="H924" s="223">
        <v>22</v>
      </c>
      <c r="I924" s="223">
        <v>638</v>
      </c>
      <c r="J924" s="223">
        <v>22</v>
      </c>
      <c r="K924" s="223">
        <v>638</v>
      </c>
      <c r="L924" s="151"/>
    </row>
    <row r="925" spans="1:12" hidden="1">
      <c r="A925" s="213">
        <v>30396568</v>
      </c>
      <c r="B925" s="213" t="s">
        <v>993</v>
      </c>
      <c r="C925" s="151" t="s">
        <v>991</v>
      </c>
      <c r="D925" s="223" t="s">
        <v>992</v>
      </c>
      <c r="E925" s="223" t="s">
        <v>922</v>
      </c>
      <c r="F925" s="213">
        <v>460</v>
      </c>
      <c r="G925" s="223">
        <v>29</v>
      </c>
      <c r="H925" s="223">
        <v>22</v>
      </c>
      <c r="I925" s="223">
        <v>638</v>
      </c>
      <c r="J925" s="223">
        <v>22</v>
      </c>
      <c r="K925" s="223">
        <v>638</v>
      </c>
      <c r="L925" s="151"/>
    </row>
    <row r="926" spans="1:12" hidden="1">
      <c r="A926" s="222">
        <v>30397271</v>
      </c>
      <c r="B926" s="223" t="s">
        <v>994</v>
      </c>
      <c r="C926" s="151" t="s">
        <v>995</v>
      </c>
      <c r="D926" s="223" t="s">
        <v>992</v>
      </c>
      <c r="E926" s="223" t="s">
        <v>922</v>
      </c>
      <c r="F926" s="213">
        <v>475</v>
      </c>
      <c r="G926" s="223">
        <v>29</v>
      </c>
      <c r="H926" s="223">
        <v>20</v>
      </c>
      <c r="I926" s="223">
        <v>580</v>
      </c>
      <c r="J926" s="223">
        <v>22</v>
      </c>
      <c r="K926" s="223">
        <v>638</v>
      </c>
      <c r="L926" s="151"/>
    </row>
    <row r="927" spans="1:12" hidden="1">
      <c r="A927" s="222">
        <v>30397270</v>
      </c>
      <c r="B927" s="223" t="s">
        <v>994</v>
      </c>
      <c r="C927" s="151" t="s">
        <v>995</v>
      </c>
      <c r="D927" s="223" t="s">
        <v>992</v>
      </c>
      <c r="E927" s="223" t="s">
        <v>922</v>
      </c>
      <c r="F927" s="213">
        <v>470</v>
      </c>
      <c r="G927" s="223">
        <v>29</v>
      </c>
      <c r="H927" s="223">
        <v>20</v>
      </c>
      <c r="I927" s="223">
        <v>580</v>
      </c>
      <c r="J927" s="223">
        <v>22</v>
      </c>
      <c r="K927" s="223">
        <v>638</v>
      </c>
      <c r="L927" s="151"/>
    </row>
    <row r="928" spans="1:12" hidden="1">
      <c r="A928" s="226">
        <v>30397272</v>
      </c>
      <c r="B928" s="226" t="s">
        <v>994</v>
      </c>
      <c r="C928" s="151" t="s">
        <v>995</v>
      </c>
      <c r="D928" s="223" t="s">
        <v>992</v>
      </c>
      <c r="E928" s="223" t="s">
        <v>922</v>
      </c>
      <c r="F928" s="213">
        <v>480</v>
      </c>
      <c r="G928" s="223">
        <v>29</v>
      </c>
      <c r="H928" s="223">
        <v>20</v>
      </c>
      <c r="I928" s="223">
        <v>580</v>
      </c>
      <c r="J928" s="223">
        <v>22</v>
      </c>
      <c r="K928" s="223">
        <v>638</v>
      </c>
      <c r="L928" s="151"/>
    </row>
    <row r="929" spans="1:12" hidden="1">
      <c r="A929" s="226">
        <v>12005559</v>
      </c>
      <c r="B929" s="226" t="s">
        <v>994</v>
      </c>
      <c r="C929" s="151" t="s">
        <v>995</v>
      </c>
      <c r="D929" s="223" t="s">
        <v>992</v>
      </c>
      <c r="E929" s="223" t="s">
        <v>922</v>
      </c>
      <c r="F929" s="213">
        <v>475</v>
      </c>
      <c r="G929" s="246">
        <v>30</v>
      </c>
      <c r="H929" s="223">
        <v>20</v>
      </c>
      <c r="I929" s="223">
        <v>600</v>
      </c>
      <c r="J929" s="223">
        <v>20</v>
      </c>
      <c r="K929" s="223">
        <v>600</v>
      </c>
      <c r="L929" s="151"/>
    </row>
    <row r="930" spans="1:12" hidden="1">
      <c r="A930" s="226">
        <v>12005560</v>
      </c>
      <c r="B930" s="226" t="s">
        <v>994</v>
      </c>
      <c r="C930" s="151" t="s">
        <v>995</v>
      </c>
      <c r="D930" s="223" t="s">
        <v>992</v>
      </c>
      <c r="E930" s="223" t="s">
        <v>922</v>
      </c>
      <c r="F930" s="213">
        <v>470</v>
      </c>
      <c r="G930" s="246">
        <v>30</v>
      </c>
      <c r="H930" s="223">
        <v>20</v>
      </c>
      <c r="I930" s="223">
        <v>600</v>
      </c>
      <c r="J930" s="223">
        <v>20</v>
      </c>
      <c r="K930" s="223">
        <v>600</v>
      </c>
      <c r="L930" s="151"/>
    </row>
    <row r="931" spans="1:12">
      <c r="A931" s="243">
        <v>12005833</v>
      </c>
      <c r="B931" s="224" t="s">
        <v>996</v>
      </c>
      <c r="C931" s="151" t="s">
        <v>995</v>
      </c>
      <c r="D931" s="222" t="s">
        <v>992</v>
      </c>
      <c r="E931" s="222" t="s">
        <v>922</v>
      </c>
      <c r="F931" s="226">
        <v>475</v>
      </c>
      <c r="G931" s="419">
        <v>30</v>
      </c>
      <c r="H931" s="225" t="s">
        <v>997</v>
      </c>
      <c r="I931" s="225" t="s">
        <v>998</v>
      </c>
      <c r="J931" s="225" t="s">
        <v>997</v>
      </c>
      <c r="K931" s="225" t="s">
        <v>998</v>
      </c>
      <c r="L931" s="151"/>
    </row>
    <row r="932" spans="1:12" hidden="1">
      <c r="A932" s="243">
        <v>12005832</v>
      </c>
      <c r="B932" s="224" t="s">
        <v>996</v>
      </c>
      <c r="C932" s="151" t="s">
        <v>995</v>
      </c>
      <c r="D932" s="222" t="s">
        <v>992</v>
      </c>
      <c r="E932" s="222" t="s">
        <v>922</v>
      </c>
      <c r="F932" s="213">
        <v>480</v>
      </c>
      <c r="G932" s="225" t="s">
        <v>802</v>
      </c>
      <c r="H932" s="225" t="s">
        <v>997</v>
      </c>
      <c r="I932" s="225" t="s">
        <v>998</v>
      </c>
      <c r="J932" s="225" t="s">
        <v>997</v>
      </c>
      <c r="K932" s="225" t="s">
        <v>998</v>
      </c>
      <c r="L932" s="151"/>
    </row>
    <row r="933" spans="1:12" hidden="1">
      <c r="A933" s="226">
        <v>30397371</v>
      </c>
      <c r="B933" s="226" t="s">
        <v>999</v>
      </c>
      <c r="C933" s="151" t="s">
        <v>1000</v>
      </c>
      <c r="D933" s="247" t="s">
        <v>992</v>
      </c>
      <c r="E933" s="247" t="s">
        <v>922</v>
      </c>
      <c r="F933" s="226">
        <v>475</v>
      </c>
      <c r="G933" s="247">
        <v>29</v>
      </c>
      <c r="H933" s="247">
        <v>20</v>
      </c>
      <c r="I933" s="247">
        <v>580</v>
      </c>
      <c r="J933" s="247">
        <v>21</v>
      </c>
      <c r="K933" s="247">
        <v>609</v>
      </c>
      <c r="L933" s="151"/>
    </row>
    <row r="934" spans="1:12" hidden="1">
      <c r="A934" s="226">
        <v>49302153</v>
      </c>
      <c r="B934" s="226" t="s">
        <v>1001</v>
      </c>
      <c r="C934" s="151" t="s">
        <v>1002</v>
      </c>
      <c r="D934" s="247" t="s">
        <v>1003</v>
      </c>
      <c r="E934" s="222" t="s">
        <v>922</v>
      </c>
      <c r="F934" s="233">
        <v>465</v>
      </c>
      <c r="G934" s="223">
        <v>29</v>
      </c>
      <c r="H934" s="223">
        <v>20</v>
      </c>
      <c r="I934" s="223">
        <v>580</v>
      </c>
      <c r="J934" s="223">
        <v>22</v>
      </c>
      <c r="K934" s="223">
        <v>638</v>
      </c>
      <c r="L934" s="151"/>
    </row>
    <row r="935" spans="1:12" s="240" customFormat="1" hidden="1">
      <c r="A935" s="226">
        <v>49301154</v>
      </c>
      <c r="B935" s="226" t="s">
        <v>1001</v>
      </c>
      <c r="C935" s="151" t="s">
        <v>1002</v>
      </c>
      <c r="D935" s="247" t="s">
        <v>1003</v>
      </c>
      <c r="E935" s="222" t="s">
        <v>922</v>
      </c>
      <c r="F935" s="233">
        <v>470</v>
      </c>
      <c r="G935" s="223">
        <v>29</v>
      </c>
      <c r="H935" s="223">
        <v>20</v>
      </c>
      <c r="I935" s="223">
        <v>580</v>
      </c>
      <c r="J935" s="223">
        <v>22</v>
      </c>
      <c r="K935" s="223">
        <v>638</v>
      </c>
      <c r="L935" s="151"/>
    </row>
    <row r="936" spans="1:12" s="240" customFormat="1" hidden="1">
      <c r="A936" s="226">
        <v>49301153</v>
      </c>
      <c r="B936" s="226" t="s">
        <v>1001</v>
      </c>
      <c r="C936" s="151" t="s">
        <v>1002</v>
      </c>
      <c r="D936" s="247" t="s">
        <v>1003</v>
      </c>
      <c r="E936" s="222" t="s">
        <v>922</v>
      </c>
      <c r="F936" s="233">
        <v>465</v>
      </c>
      <c r="G936" s="223">
        <v>29</v>
      </c>
      <c r="H936" s="223">
        <v>20</v>
      </c>
      <c r="I936" s="223">
        <v>580</v>
      </c>
      <c r="J936" s="223">
        <v>22</v>
      </c>
      <c r="K936" s="223">
        <v>638</v>
      </c>
      <c r="L936" s="151"/>
    </row>
    <row r="937" spans="1:12" s="240" customFormat="1" hidden="1">
      <c r="A937" s="248">
        <v>49301152</v>
      </c>
      <c r="B937" s="226" t="s">
        <v>1001</v>
      </c>
      <c r="C937" s="151" t="s">
        <v>1002</v>
      </c>
      <c r="D937" s="247" t="s">
        <v>1003</v>
      </c>
      <c r="E937" s="222" t="s">
        <v>922</v>
      </c>
      <c r="F937" s="233">
        <v>460</v>
      </c>
      <c r="G937" s="223">
        <v>29</v>
      </c>
      <c r="H937" s="223">
        <v>20</v>
      </c>
      <c r="I937" s="223">
        <v>580</v>
      </c>
      <c r="J937" s="223">
        <v>22</v>
      </c>
      <c r="K937" s="223">
        <v>638</v>
      </c>
      <c r="L937" s="151"/>
    </row>
    <row r="938" spans="1:12" s="240" customFormat="1" hidden="1">
      <c r="A938" s="237">
        <v>49302154</v>
      </c>
      <c r="B938" s="230" t="s">
        <v>1004</v>
      </c>
      <c r="C938" s="151" t="s">
        <v>1002</v>
      </c>
      <c r="D938" s="247" t="s">
        <v>1003</v>
      </c>
      <c r="E938" s="222" t="s">
        <v>922</v>
      </c>
      <c r="F938" s="233">
        <v>470</v>
      </c>
      <c r="G938" s="223">
        <v>29</v>
      </c>
      <c r="H938" s="223">
        <v>20</v>
      </c>
      <c r="I938" s="223">
        <v>580</v>
      </c>
      <c r="J938" s="223">
        <v>22</v>
      </c>
      <c r="K938" s="223">
        <v>638</v>
      </c>
      <c r="L938" s="151"/>
    </row>
    <row r="939" spans="1:12" s="240" customFormat="1" hidden="1">
      <c r="A939" s="237">
        <v>49302155</v>
      </c>
      <c r="B939" s="230" t="s">
        <v>1004</v>
      </c>
      <c r="C939" s="151" t="s">
        <v>1002</v>
      </c>
      <c r="D939" s="247" t="s">
        <v>1003</v>
      </c>
      <c r="E939" s="222" t="s">
        <v>922</v>
      </c>
      <c r="F939" s="233">
        <v>475</v>
      </c>
      <c r="G939" s="223">
        <v>29</v>
      </c>
      <c r="H939" s="223">
        <v>20</v>
      </c>
      <c r="I939" s="223">
        <v>580</v>
      </c>
      <c r="J939" s="223">
        <v>22</v>
      </c>
      <c r="K939" s="223">
        <v>638</v>
      </c>
      <c r="L939" s="151"/>
    </row>
    <row r="940" spans="1:12" hidden="1">
      <c r="A940" s="249">
        <v>49301155</v>
      </c>
      <c r="B940" s="250" t="s">
        <v>1001</v>
      </c>
      <c r="C940" s="151" t="s">
        <v>1002</v>
      </c>
      <c r="D940" s="247" t="s">
        <v>1003</v>
      </c>
      <c r="E940" s="222" t="s">
        <v>922</v>
      </c>
      <c r="F940" s="233">
        <v>475</v>
      </c>
      <c r="G940" s="223">
        <v>29</v>
      </c>
      <c r="H940" s="223">
        <v>20</v>
      </c>
      <c r="I940" s="223">
        <v>580</v>
      </c>
      <c r="J940" s="223">
        <v>22</v>
      </c>
      <c r="K940" s="223">
        <v>638</v>
      </c>
      <c r="L940" s="151"/>
    </row>
    <row r="941" spans="1:12" hidden="1">
      <c r="A941" s="249">
        <v>49304158</v>
      </c>
      <c r="B941" s="250" t="s">
        <v>1005</v>
      </c>
      <c r="C941" s="151" t="s">
        <v>1002</v>
      </c>
      <c r="D941" s="247" t="s">
        <v>1003</v>
      </c>
      <c r="E941" s="222" t="s">
        <v>922</v>
      </c>
      <c r="F941" s="233">
        <v>490</v>
      </c>
      <c r="G941" s="223">
        <v>29</v>
      </c>
      <c r="H941" s="223">
        <v>20</v>
      </c>
      <c r="I941" s="223">
        <v>580</v>
      </c>
      <c r="J941" s="223">
        <v>22</v>
      </c>
      <c r="K941" s="223">
        <v>638</v>
      </c>
      <c r="L941" s="151"/>
    </row>
    <row r="942" spans="1:12" hidden="1">
      <c r="A942" s="249">
        <v>49304154</v>
      </c>
      <c r="B942" s="250" t="s">
        <v>1005</v>
      </c>
      <c r="C942" s="151" t="s">
        <v>1002</v>
      </c>
      <c r="D942" s="247" t="s">
        <v>1003</v>
      </c>
      <c r="E942" s="222" t="s">
        <v>922</v>
      </c>
      <c r="F942" s="233">
        <v>470</v>
      </c>
      <c r="G942" s="223">
        <v>29</v>
      </c>
      <c r="H942" s="223">
        <v>20</v>
      </c>
      <c r="I942" s="223">
        <v>580</v>
      </c>
      <c r="J942" s="223">
        <v>22</v>
      </c>
      <c r="K942" s="223">
        <v>638</v>
      </c>
      <c r="L942" s="151"/>
    </row>
    <row r="943" spans="1:12" hidden="1">
      <c r="A943" s="249">
        <v>49304155</v>
      </c>
      <c r="B943" s="250" t="s">
        <v>1005</v>
      </c>
      <c r="C943" s="151" t="s">
        <v>1002</v>
      </c>
      <c r="D943" s="247" t="s">
        <v>1003</v>
      </c>
      <c r="E943" s="222" t="s">
        <v>922</v>
      </c>
      <c r="F943" s="233">
        <v>475</v>
      </c>
      <c r="G943" s="223">
        <v>29</v>
      </c>
      <c r="H943" s="223">
        <v>20</v>
      </c>
      <c r="I943" s="223">
        <v>580</v>
      </c>
      <c r="J943" s="223">
        <v>22</v>
      </c>
      <c r="K943" s="223">
        <v>638</v>
      </c>
      <c r="L943" s="151"/>
    </row>
    <row r="944" spans="1:12" hidden="1">
      <c r="A944" s="226">
        <v>49302156</v>
      </c>
      <c r="B944" s="226" t="s">
        <v>1006</v>
      </c>
      <c r="C944" s="151" t="s">
        <v>1002</v>
      </c>
      <c r="D944" s="247" t="s">
        <v>1003</v>
      </c>
      <c r="E944" s="222" t="s">
        <v>922</v>
      </c>
      <c r="F944" s="213">
        <v>480</v>
      </c>
      <c r="G944" s="223">
        <v>29</v>
      </c>
      <c r="H944" s="223">
        <v>20</v>
      </c>
      <c r="I944" s="223">
        <v>580</v>
      </c>
      <c r="J944" s="223">
        <v>22</v>
      </c>
      <c r="K944" s="223">
        <v>638</v>
      </c>
      <c r="L944" s="151"/>
    </row>
    <row r="945" spans="1:12">
      <c r="A945" s="226">
        <v>49301156</v>
      </c>
      <c r="B945" s="226" t="s">
        <v>1006</v>
      </c>
      <c r="C945" s="151" t="s">
        <v>1002</v>
      </c>
      <c r="D945" s="247" t="s">
        <v>1003</v>
      </c>
      <c r="E945" s="222" t="s">
        <v>922</v>
      </c>
      <c r="F945" s="213">
        <v>480</v>
      </c>
      <c r="G945" s="223">
        <v>29</v>
      </c>
      <c r="H945" s="223">
        <v>20</v>
      </c>
      <c r="I945" s="223">
        <v>580</v>
      </c>
      <c r="J945" s="223">
        <v>22</v>
      </c>
      <c r="K945" s="223">
        <v>638</v>
      </c>
      <c r="L945" s="151"/>
    </row>
    <row r="946" spans="1:12" hidden="1">
      <c r="A946" s="213">
        <v>30397372</v>
      </c>
      <c r="B946" s="213" t="s">
        <v>999</v>
      </c>
      <c r="C946" s="151" t="s">
        <v>1000</v>
      </c>
      <c r="D946" s="223" t="s">
        <v>992</v>
      </c>
      <c r="E946" s="223" t="s">
        <v>922</v>
      </c>
      <c r="F946" s="213">
        <v>480</v>
      </c>
      <c r="G946" s="223">
        <v>29</v>
      </c>
      <c r="H946" s="223">
        <v>20</v>
      </c>
      <c r="I946" s="223">
        <v>580</v>
      </c>
      <c r="J946" s="223">
        <v>21</v>
      </c>
      <c r="K946" s="223">
        <v>609</v>
      </c>
      <c r="L946" s="151"/>
    </row>
    <row r="947" spans="1:12" hidden="1">
      <c r="A947" s="251">
        <v>30397572</v>
      </c>
      <c r="B947" s="251" t="s">
        <v>1007</v>
      </c>
      <c r="C947" s="151" t="s">
        <v>995</v>
      </c>
      <c r="D947" s="223" t="s">
        <v>992</v>
      </c>
      <c r="E947" s="223" t="s">
        <v>922</v>
      </c>
      <c r="F947" s="213">
        <v>480</v>
      </c>
      <c r="G947" s="223">
        <v>29</v>
      </c>
      <c r="H947" s="223">
        <v>20</v>
      </c>
      <c r="I947" s="223">
        <v>580</v>
      </c>
      <c r="J947" s="223">
        <v>22</v>
      </c>
      <c r="K947" s="223">
        <v>638</v>
      </c>
      <c r="L947" s="151"/>
    </row>
    <row r="948" spans="1:12" hidden="1">
      <c r="A948" s="251">
        <v>30397571</v>
      </c>
      <c r="B948" s="251" t="s">
        <v>1007</v>
      </c>
      <c r="C948" s="151" t="s">
        <v>995</v>
      </c>
      <c r="D948" s="223" t="s">
        <v>992</v>
      </c>
      <c r="E948" s="223" t="s">
        <v>922</v>
      </c>
      <c r="F948" s="213">
        <v>475</v>
      </c>
      <c r="G948" s="223">
        <v>29</v>
      </c>
      <c r="H948" s="223">
        <v>20</v>
      </c>
      <c r="I948" s="223">
        <v>580</v>
      </c>
      <c r="J948" s="223">
        <v>22</v>
      </c>
      <c r="K948" s="223">
        <v>638</v>
      </c>
      <c r="L948" s="151"/>
    </row>
    <row r="949" spans="1:12" hidden="1">
      <c r="A949" s="213">
        <v>30390371</v>
      </c>
      <c r="B949" s="213" t="s">
        <v>1008</v>
      </c>
      <c r="C949" s="151" t="s">
        <v>995</v>
      </c>
      <c r="D949" s="222" t="s">
        <v>992</v>
      </c>
      <c r="E949" s="222" t="s">
        <v>922</v>
      </c>
      <c r="F949" s="213">
        <v>475</v>
      </c>
      <c r="G949" s="223">
        <v>29</v>
      </c>
      <c r="H949" s="223">
        <v>20</v>
      </c>
      <c r="I949" s="223">
        <v>580</v>
      </c>
      <c r="J949" s="223">
        <v>22</v>
      </c>
      <c r="K949" s="223">
        <v>638</v>
      </c>
      <c r="L949" s="151"/>
    </row>
    <row r="950" spans="1:12" hidden="1">
      <c r="A950" s="213">
        <v>30390372</v>
      </c>
      <c r="B950" s="213" t="s">
        <v>1008</v>
      </c>
      <c r="C950" s="151" t="s">
        <v>995</v>
      </c>
      <c r="D950" s="222" t="s">
        <v>992</v>
      </c>
      <c r="E950" s="222" t="s">
        <v>922</v>
      </c>
      <c r="F950" s="213">
        <v>480</v>
      </c>
      <c r="G950" s="223">
        <v>29</v>
      </c>
      <c r="H950" s="223">
        <v>20</v>
      </c>
      <c r="I950" s="223">
        <v>580</v>
      </c>
      <c r="J950" s="223">
        <v>22</v>
      </c>
      <c r="K950" s="223">
        <v>638</v>
      </c>
      <c r="L950" s="151"/>
    </row>
    <row r="951" spans="1:12" hidden="1">
      <c r="A951" s="251">
        <v>30397472</v>
      </c>
      <c r="B951" s="251" t="s">
        <v>1009</v>
      </c>
      <c r="C951" s="151" t="s">
        <v>1002</v>
      </c>
      <c r="D951" s="247" t="s">
        <v>992</v>
      </c>
      <c r="E951" s="247" t="s">
        <v>922</v>
      </c>
      <c r="F951" s="251">
        <v>480</v>
      </c>
      <c r="G951" s="223">
        <v>29</v>
      </c>
      <c r="H951" s="223">
        <v>20</v>
      </c>
      <c r="I951" s="223">
        <v>580</v>
      </c>
      <c r="J951" s="223">
        <v>21</v>
      </c>
      <c r="K951" s="151">
        <v>609</v>
      </c>
      <c r="L951" s="223"/>
    </row>
    <row r="952" spans="1:12" hidden="1">
      <c r="A952" s="251">
        <v>30397471</v>
      </c>
      <c r="B952" s="251" t="s">
        <v>1009</v>
      </c>
      <c r="C952" s="151" t="s">
        <v>1002</v>
      </c>
      <c r="D952" s="223" t="s">
        <v>992</v>
      </c>
      <c r="E952" s="223" t="s">
        <v>922</v>
      </c>
      <c r="F952" s="222">
        <v>475</v>
      </c>
      <c r="G952" s="223">
        <v>29</v>
      </c>
      <c r="H952" s="223">
        <v>20</v>
      </c>
      <c r="I952" s="223">
        <v>580</v>
      </c>
      <c r="J952" s="223">
        <v>21</v>
      </c>
      <c r="K952" s="151">
        <v>609</v>
      </c>
      <c r="L952" s="223"/>
    </row>
    <row r="953" spans="1:12" hidden="1">
      <c r="A953" s="251">
        <v>30397816</v>
      </c>
      <c r="B953" s="251" t="s">
        <v>1010</v>
      </c>
      <c r="C953" s="151" t="s">
        <v>995</v>
      </c>
      <c r="D953" s="223" t="s">
        <v>992</v>
      </c>
      <c r="E953" s="223" t="s">
        <v>922</v>
      </c>
      <c r="F953" s="222">
        <v>475</v>
      </c>
      <c r="G953" s="223">
        <v>29</v>
      </c>
      <c r="H953" s="223">
        <v>20</v>
      </c>
      <c r="I953" s="223">
        <v>580</v>
      </c>
      <c r="J953" s="223">
        <v>22</v>
      </c>
      <c r="K953" s="223">
        <v>638</v>
      </c>
      <c r="L953" s="223"/>
    </row>
    <row r="954" spans="1:12" hidden="1">
      <c r="A954" s="213">
        <v>30397871</v>
      </c>
      <c r="B954" s="251" t="s">
        <v>1010</v>
      </c>
      <c r="C954" s="151" t="s">
        <v>995</v>
      </c>
      <c r="D954" s="223" t="s">
        <v>992</v>
      </c>
      <c r="E954" s="223" t="s">
        <v>922</v>
      </c>
      <c r="F954" s="222">
        <v>475</v>
      </c>
      <c r="G954" s="223">
        <v>29</v>
      </c>
      <c r="H954" s="223">
        <v>20</v>
      </c>
      <c r="I954" s="223">
        <v>580</v>
      </c>
      <c r="J954" s="223">
        <v>22</v>
      </c>
      <c r="K954" s="223">
        <v>638</v>
      </c>
      <c r="L954" s="223"/>
    </row>
    <row r="955" spans="1:12" hidden="1">
      <c r="A955" s="213">
        <v>30397872</v>
      </c>
      <c r="B955" s="251" t="s">
        <v>1010</v>
      </c>
      <c r="C955" s="151" t="s">
        <v>995</v>
      </c>
      <c r="D955" s="223" t="s">
        <v>992</v>
      </c>
      <c r="E955" s="223" t="s">
        <v>922</v>
      </c>
      <c r="F955" s="222">
        <v>480</v>
      </c>
      <c r="G955" s="223">
        <v>29</v>
      </c>
      <c r="H955" s="223">
        <v>20</v>
      </c>
      <c r="I955" s="223">
        <v>580</v>
      </c>
      <c r="J955" s="223">
        <v>22</v>
      </c>
      <c r="K955" s="223">
        <v>638</v>
      </c>
      <c r="L955" s="223"/>
    </row>
    <row r="956" spans="1:12" hidden="1">
      <c r="A956" s="222">
        <v>30368618</v>
      </c>
      <c r="B956" s="223" t="s">
        <v>1011</v>
      </c>
      <c r="C956" s="151" t="s">
        <v>1011</v>
      </c>
      <c r="D956" s="223" t="s">
        <v>528</v>
      </c>
      <c r="E956" s="223" t="s">
        <v>528</v>
      </c>
      <c r="F956" s="222">
        <v>385</v>
      </c>
      <c r="G956" s="223">
        <v>32</v>
      </c>
      <c r="H956" s="223">
        <v>24</v>
      </c>
      <c r="I956" s="223">
        <v>768</v>
      </c>
      <c r="J956" s="223">
        <v>28</v>
      </c>
      <c r="K956" s="223">
        <v>896</v>
      </c>
      <c r="L956" s="151"/>
    </row>
    <row r="957" spans="1:12" hidden="1">
      <c r="A957" s="213">
        <v>30368619</v>
      </c>
      <c r="B957" s="151" t="s">
        <v>1011</v>
      </c>
      <c r="C957" s="151" t="s">
        <v>1011</v>
      </c>
      <c r="D957" s="151" t="s">
        <v>528</v>
      </c>
      <c r="E957" s="151" t="s">
        <v>528</v>
      </c>
      <c r="F957" s="213">
        <v>390</v>
      </c>
      <c r="G957" s="151">
        <v>32</v>
      </c>
      <c r="H957" s="151">
        <v>24</v>
      </c>
      <c r="I957" s="151">
        <v>768</v>
      </c>
      <c r="J957" s="151">
        <v>28</v>
      </c>
      <c r="K957" s="151">
        <v>896</v>
      </c>
      <c r="L957" s="151"/>
    </row>
    <row r="958" spans="1:12" hidden="1">
      <c r="A958" s="213">
        <v>46202128</v>
      </c>
      <c r="B958" s="151" t="s">
        <v>949</v>
      </c>
      <c r="C958" s="151" t="s">
        <v>691</v>
      </c>
      <c r="D958" s="151" t="s">
        <v>553</v>
      </c>
      <c r="E958" s="151" t="s">
        <v>528</v>
      </c>
      <c r="F958" s="213">
        <v>340</v>
      </c>
      <c r="G958" s="151">
        <v>32</v>
      </c>
      <c r="H958" s="151">
        <v>24</v>
      </c>
      <c r="I958" s="151">
        <v>768</v>
      </c>
      <c r="J958" s="151">
        <v>28</v>
      </c>
      <c r="K958" s="151">
        <v>896</v>
      </c>
      <c r="L958" s="151"/>
    </row>
    <row r="959" spans="1:12" hidden="1">
      <c r="A959" s="230">
        <v>46219127</v>
      </c>
      <c r="B959" s="151" t="s">
        <v>1012</v>
      </c>
      <c r="C959" s="151" t="s">
        <v>691</v>
      </c>
      <c r="D959" s="151" t="s">
        <v>553</v>
      </c>
      <c r="E959" s="151" t="s">
        <v>528</v>
      </c>
      <c r="F959" s="213">
        <v>335</v>
      </c>
      <c r="G959" s="151">
        <v>32</v>
      </c>
      <c r="H959" s="151">
        <v>24</v>
      </c>
      <c r="I959" s="151">
        <v>768</v>
      </c>
      <c r="J959" s="151">
        <v>28</v>
      </c>
      <c r="K959" s="151">
        <v>896</v>
      </c>
      <c r="L959" s="151"/>
    </row>
    <row r="960" spans="1:12" hidden="1">
      <c r="A960" s="230">
        <v>46211131</v>
      </c>
      <c r="B960" s="151" t="s">
        <v>1013</v>
      </c>
      <c r="C960" s="220" t="s">
        <v>691</v>
      </c>
      <c r="D960" s="151" t="s">
        <v>553</v>
      </c>
      <c r="E960" s="151" t="s">
        <v>528</v>
      </c>
      <c r="F960" s="213">
        <v>355</v>
      </c>
      <c r="G960" s="151">
        <v>32</v>
      </c>
      <c r="H960" s="151">
        <v>24</v>
      </c>
      <c r="I960" s="151">
        <v>768</v>
      </c>
      <c r="J960" s="151">
        <v>28</v>
      </c>
      <c r="K960" s="151">
        <v>896</v>
      </c>
      <c r="L960" s="220" t="s">
        <v>395</v>
      </c>
    </row>
    <row r="961" spans="1:12" hidden="1">
      <c r="A961" s="237">
        <v>46218127</v>
      </c>
      <c r="B961" s="151" t="s">
        <v>1012</v>
      </c>
      <c r="C961" s="151" t="s">
        <v>691</v>
      </c>
      <c r="D961" s="151" t="s">
        <v>553</v>
      </c>
      <c r="E961" s="151" t="s">
        <v>528</v>
      </c>
      <c r="F961" s="213">
        <v>335</v>
      </c>
      <c r="G961" s="151">
        <v>32</v>
      </c>
      <c r="H961" s="151">
        <v>24</v>
      </c>
      <c r="I961" s="151">
        <v>768</v>
      </c>
      <c r="J961" s="151">
        <v>28</v>
      </c>
      <c r="K961" s="151">
        <v>896</v>
      </c>
      <c r="L961" s="151"/>
    </row>
    <row r="962" spans="1:12" hidden="1">
      <c r="A962" s="213">
        <v>46203128</v>
      </c>
      <c r="B962" s="151" t="s">
        <v>1014</v>
      </c>
      <c r="C962" s="151" t="s">
        <v>945</v>
      </c>
      <c r="D962" s="151" t="s">
        <v>553</v>
      </c>
      <c r="E962" s="151" t="s">
        <v>528</v>
      </c>
      <c r="F962" s="213">
        <v>340</v>
      </c>
      <c r="G962" s="151">
        <v>26</v>
      </c>
      <c r="H962" s="151">
        <v>24</v>
      </c>
      <c r="I962" s="151">
        <v>624</v>
      </c>
      <c r="J962" s="151">
        <v>32</v>
      </c>
      <c r="K962" s="151">
        <v>832</v>
      </c>
      <c r="L962" s="151"/>
    </row>
    <row r="963" spans="1:12" hidden="1">
      <c r="A963" s="213">
        <v>46213128</v>
      </c>
      <c r="B963" s="151" t="s">
        <v>1014</v>
      </c>
      <c r="C963" s="151" t="s">
        <v>945</v>
      </c>
      <c r="D963" s="151" t="s">
        <v>553</v>
      </c>
      <c r="E963" s="151" t="s">
        <v>528</v>
      </c>
      <c r="F963" s="213">
        <v>340</v>
      </c>
      <c r="G963" s="151">
        <v>26</v>
      </c>
      <c r="H963" s="151">
        <v>24</v>
      </c>
      <c r="I963" s="151">
        <v>624</v>
      </c>
      <c r="J963" s="151">
        <v>32</v>
      </c>
      <c r="K963" s="151">
        <v>832</v>
      </c>
      <c r="L963" s="151"/>
    </row>
    <row r="964" spans="1:12" hidden="1">
      <c r="A964" s="213">
        <v>46207128</v>
      </c>
      <c r="B964" s="151" t="s">
        <v>1014</v>
      </c>
      <c r="C964" s="151" t="s">
        <v>945</v>
      </c>
      <c r="D964" s="151" t="s">
        <v>553</v>
      </c>
      <c r="E964" s="151" t="s">
        <v>528</v>
      </c>
      <c r="F964" s="213">
        <v>340</v>
      </c>
      <c r="G964" s="151">
        <v>26</v>
      </c>
      <c r="H964" s="151">
        <v>24</v>
      </c>
      <c r="I964" s="151">
        <v>624</v>
      </c>
      <c r="J964" s="151">
        <v>32</v>
      </c>
      <c r="K964" s="151">
        <v>832</v>
      </c>
      <c r="L964" s="151"/>
    </row>
    <row r="965" spans="1:12" hidden="1">
      <c r="A965" s="213">
        <v>46209128</v>
      </c>
      <c r="B965" s="151" t="s">
        <v>1014</v>
      </c>
      <c r="C965" s="151" t="s">
        <v>945</v>
      </c>
      <c r="D965" s="151" t="s">
        <v>553</v>
      </c>
      <c r="E965" s="151" t="s">
        <v>528</v>
      </c>
      <c r="F965" s="213">
        <v>340</v>
      </c>
      <c r="G965" s="151">
        <v>26</v>
      </c>
      <c r="H965" s="151">
        <v>24</v>
      </c>
      <c r="I965" s="151">
        <v>624</v>
      </c>
      <c r="J965" s="151">
        <v>32</v>
      </c>
      <c r="K965" s="151">
        <v>832</v>
      </c>
      <c r="L965" s="151"/>
    </row>
    <row r="966" spans="1:12" hidden="1">
      <c r="A966" s="213">
        <v>46209528</v>
      </c>
      <c r="B966" s="151" t="s">
        <v>1014</v>
      </c>
      <c r="C966" s="151" t="s">
        <v>945</v>
      </c>
      <c r="D966" s="151" t="s">
        <v>553</v>
      </c>
      <c r="E966" s="151" t="s">
        <v>528</v>
      </c>
      <c r="F966" s="213">
        <v>340</v>
      </c>
      <c r="G966" s="151">
        <v>26</v>
      </c>
      <c r="H966" s="151">
        <v>24</v>
      </c>
      <c r="I966" s="151">
        <v>624</v>
      </c>
      <c r="J966" s="151">
        <v>32</v>
      </c>
      <c r="K966" s="151">
        <v>832</v>
      </c>
      <c r="L966" s="151"/>
    </row>
    <row r="967" spans="1:12" hidden="1">
      <c r="A967" s="213">
        <v>46207130</v>
      </c>
      <c r="B967" s="151" t="s">
        <v>1015</v>
      </c>
      <c r="C967" s="151" t="s">
        <v>945</v>
      </c>
      <c r="D967" s="151" t="s">
        <v>553</v>
      </c>
      <c r="E967" s="151" t="s">
        <v>528</v>
      </c>
      <c r="F967" s="213">
        <v>350</v>
      </c>
      <c r="G967" s="151">
        <v>26</v>
      </c>
      <c r="H967" s="151">
        <v>24</v>
      </c>
      <c r="I967" s="151">
        <v>624</v>
      </c>
      <c r="J967" s="151">
        <v>32</v>
      </c>
      <c r="K967" s="151">
        <v>832</v>
      </c>
      <c r="L967" s="151"/>
    </row>
    <row r="968" spans="1:12" hidden="1">
      <c r="A968" s="213">
        <v>46223128</v>
      </c>
      <c r="B968" s="151" t="s">
        <v>1014</v>
      </c>
      <c r="C968" s="151" t="s">
        <v>945</v>
      </c>
      <c r="D968" s="151" t="s">
        <v>553</v>
      </c>
      <c r="E968" s="151" t="s">
        <v>528</v>
      </c>
      <c r="F968" s="213">
        <v>340</v>
      </c>
      <c r="G968" s="151">
        <v>26</v>
      </c>
      <c r="H968" s="151">
        <v>24</v>
      </c>
      <c r="I968" s="151">
        <v>624</v>
      </c>
      <c r="J968" s="151">
        <v>32</v>
      </c>
      <c r="K968" s="151">
        <v>832</v>
      </c>
      <c r="L968" s="151"/>
    </row>
    <row r="969" spans="1:12" hidden="1">
      <c r="A969" s="213">
        <v>46221128</v>
      </c>
      <c r="B969" s="151" t="s">
        <v>1014</v>
      </c>
      <c r="C969" s="151" t="s">
        <v>945</v>
      </c>
      <c r="D969" s="151" t="s">
        <v>553</v>
      </c>
      <c r="E969" s="151" t="s">
        <v>528</v>
      </c>
      <c r="F969" s="213">
        <v>340</v>
      </c>
      <c r="G969" s="151">
        <v>26</v>
      </c>
      <c r="H969" s="151">
        <v>24</v>
      </c>
      <c r="I969" s="151">
        <v>624</v>
      </c>
      <c r="J969" s="151">
        <v>32</v>
      </c>
      <c r="K969" s="151">
        <v>832</v>
      </c>
      <c r="L969" s="151"/>
    </row>
    <row r="970" spans="1:12" hidden="1">
      <c r="A970" s="213">
        <v>46221127</v>
      </c>
      <c r="B970" s="213" t="s">
        <v>1016</v>
      </c>
      <c r="C970" s="151" t="s">
        <v>945</v>
      </c>
      <c r="D970" s="213" t="s">
        <v>553</v>
      </c>
      <c r="E970" s="213" t="s">
        <v>528</v>
      </c>
      <c r="F970" s="213">
        <v>335</v>
      </c>
      <c r="G970" s="151">
        <v>26</v>
      </c>
      <c r="H970" s="151">
        <v>24</v>
      </c>
      <c r="I970" s="151">
        <v>624</v>
      </c>
      <c r="J970" s="151">
        <v>32</v>
      </c>
      <c r="K970" s="151">
        <v>832</v>
      </c>
      <c r="L970" s="151"/>
    </row>
    <row r="971" spans="1:12" hidden="1">
      <c r="A971" s="213">
        <v>46224128</v>
      </c>
      <c r="B971" s="213" t="s">
        <v>1014</v>
      </c>
      <c r="C971" s="151" t="s">
        <v>945</v>
      </c>
      <c r="D971" s="213" t="s">
        <v>553</v>
      </c>
      <c r="E971" s="213" t="s">
        <v>528</v>
      </c>
      <c r="F971" s="213">
        <v>340</v>
      </c>
      <c r="G971" s="151">
        <v>26</v>
      </c>
      <c r="H971" s="151">
        <v>24</v>
      </c>
      <c r="I971" s="151">
        <v>624</v>
      </c>
      <c r="J971" s="151">
        <v>32</v>
      </c>
      <c r="K971" s="151">
        <v>832</v>
      </c>
      <c r="L971" s="151"/>
    </row>
    <row r="972" spans="1:12" hidden="1">
      <c r="A972" s="213">
        <v>49202132</v>
      </c>
      <c r="B972" s="213" t="s">
        <v>1017</v>
      </c>
      <c r="C972" s="151" t="s">
        <v>1018</v>
      </c>
      <c r="D972" s="213" t="s">
        <v>553</v>
      </c>
      <c r="E972" s="213" t="s">
        <v>528</v>
      </c>
      <c r="F972" s="213">
        <v>360</v>
      </c>
      <c r="G972" s="151">
        <v>26</v>
      </c>
      <c r="H972" s="151">
        <v>24</v>
      </c>
      <c r="I972" s="151">
        <v>624</v>
      </c>
      <c r="J972" s="151">
        <v>28</v>
      </c>
      <c r="K972" s="151">
        <v>728</v>
      </c>
      <c r="L972" s="220"/>
    </row>
    <row r="973" spans="1:12" s="240" customFormat="1" hidden="1">
      <c r="A973" s="213">
        <v>49204132</v>
      </c>
      <c r="B973" s="213" t="s">
        <v>1017</v>
      </c>
      <c r="C973" s="151" t="s">
        <v>1018</v>
      </c>
      <c r="D973" s="213" t="s">
        <v>553</v>
      </c>
      <c r="E973" s="213" t="s">
        <v>528</v>
      </c>
      <c r="F973" s="213">
        <v>360</v>
      </c>
      <c r="G973" s="151">
        <v>26</v>
      </c>
      <c r="H973" s="151">
        <v>24</v>
      </c>
      <c r="I973" s="151">
        <v>624</v>
      </c>
      <c r="J973" s="151">
        <v>28</v>
      </c>
      <c r="K973" s="151">
        <v>728</v>
      </c>
      <c r="L973" s="220"/>
    </row>
    <row r="974" spans="1:12" s="240" customFormat="1" hidden="1">
      <c r="A974" s="213">
        <v>46221126</v>
      </c>
      <c r="B974" s="213" t="s">
        <v>1019</v>
      </c>
      <c r="C974" s="220" t="s">
        <v>945</v>
      </c>
      <c r="D974" s="213" t="s">
        <v>553</v>
      </c>
      <c r="E974" s="213" t="s">
        <v>528</v>
      </c>
      <c r="F974" s="213">
        <v>330</v>
      </c>
      <c r="G974" s="151">
        <v>26</v>
      </c>
      <c r="H974" s="151">
        <v>24</v>
      </c>
      <c r="I974" s="151">
        <v>624</v>
      </c>
      <c r="J974" s="151">
        <v>32</v>
      </c>
      <c r="K974" s="151">
        <v>832</v>
      </c>
      <c r="L974" s="220" t="s">
        <v>395</v>
      </c>
    </row>
    <row r="975" spans="1:12" s="240" customFormat="1" hidden="1">
      <c r="A975" s="213">
        <v>46209127</v>
      </c>
      <c r="B975" s="222" t="s">
        <v>944</v>
      </c>
      <c r="C975" s="220" t="s">
        <v>945</v>
      </c>
      <c r="D975" s="151" t="s">
        <v>553</v>
      </c>
      <c r="E975" s="151" t="s">
        <v>528</v>
      </c>
      <c r="F975" s="213">
        <v>335</v>
      </c>
      <c r="G975" s="151">
        <v>26</v>
      </c>
      <c r="H975" s="151">
        <v>24</v>
      </c>
      <c r="I975" s="151">
        <v>624</v>
      </c>
      <c r="J975" s="151">
        <v>32</v>
      </c>
      <c r="K975" s="151">
        <v>832</v>
      </c>
      <c r="L975" s="220" t="s">
        <v>395</v>
      </c>
    </row>
    <row r="976" spans="1:12" s="240" customFormat="1" hidden="1">
      <c r="A976" s="213">
        <v>46213127</v>
      </c>
      <c r="B976" s="222" t="s">
        <v>944</v>
      </c>
      <c r="C976" s="151" t="s">
        <v>945</v>
      </c>
      <c r="D976" s="151" t="s">
        <v>553</v>
      </c>
      <c r="E976" s="151" t="s">
        <v>528</v>
      </c>
      <c r="F976" s="213">
        <v>335</v>
      </c>
      <c r="G976" s="151">
        <v>26</v>
      </c>
      <c r="H976" s="151">
        <v>24</v>
      </c>
      <c r="I976" s="151">
        <v>624</v>
      </c>
      <c r="J976" s="151">
        <v>32</v>
      </c>
      <c r="K976" s="151">
        <v>832</v>
      </c>
      <c r="L976" s="151"/>
    </row>
    <row r="977" spans="1:12" s="240" customFormat="1" hidden="1">
      <c r="A977" s="232">
        <v>46213130</v>
      </c>
      <c r="B977" s="222" t="s">
        <v>1020</v>
      </c>
      <c r="C977" s="220" t="s">
        <v>945</v>
      </c>
      <c r="D977" s="151" t="s">
        <v>553</v>
      </c>
      <c r="E977" s="151" t="s">
        <v>528</v>
      </c>
      <c r="F977" s="213">
        <v>350</v>
      </c>
      <c r="G977" s="151">
        <v>26</v>
      </c>
      <c r="H977" s="151">
        <v>24</v>
      </c>
      <c r="I977" s="151">
        <v>624</v>
      </c>
      <c r="J977" s="151">
        <v>32</v>
      </c>
      <c r="K977" s="151">
        <v>832</v>
      </c>
      <c r="L977" s="220" t="s">
        <v>395</v>
      </c>
    </row>
    <row r="978" spans="1:12" s="240" customFormat="1" hidden="1">
      <c r="A978" s="230">
        <v>46209130</v>
      </c>
      <c r="B978" s="222" t="s">
        <v>1020</v>
      </c>
      <c r="C978" s="220" t="s">
        <v>945</v>
      </c>
      <c r="D978" s="151" t="s">
        <v>553</v>
      </c>
      <c r="E978" s="151" t="s">
        <v>528</v>
      </c>
      <c r="F978" s="213">
        <v>350</v>
      </c>
      <c r="G978" s="151">
        <v>26</v>
      </c>
      <c r="H978" s="151">
        <v>24</v>
      </c>
      <c r="I978" s="151">
        <v>624</v>
      </c>
      <c r="J978" s="151">
        <v>32</v>
      </c>
      <c r="K978" s="151">
        <v>832</v>
      </c>
      <c r="L978" s="220" t="s">
        <v>395</v>
      </c>
    </row>
    <row r="979" spans="1:12" s="240" customFormat="1" hidden="1">
      <c r="A979" s="226">
        <v>46224126</v>
      </c>
      <c r="B979" s="250" t="s">
        <v>1019</v>
      </c>
      <c r="C979" s="220" t="s">
        <v>945</v>
      </c>
      <c r="D979" s="151" t="s">
        <v>553</v>
      </c>
      <c r="E979" s="151" t="s">
        <v>528</v>
      </c>
      <c r="F979" s="213">
        <v>330</v>
      </c>
      <c r="G979" s="151">
        <v>26</v>
      </c>
      <c r="H979" s="151">
        <v>24</v>
      </c>
      <c r="I979" s="151">
        <v>624</v>
      </c>
      <c r="J979" s="151">
        <v>32</v>
      </c>
      <c r="K979" s="151">
        <v>832</v>
      </c>
      <c r="L979" s="220" t="s">
        <v>395</v>
      </c>
    </row>
    <row r="980" spans="1:12" hidden="1">
      <c r="A980" s="213">
        <v>46223130</v>
      </c>
      <c r="B980" s="250" t="s">
        <v>1015</v>
      </c>
      <c r="C980" s="220" t="s">
        <v>945</v>
      </c>
      <c r="D980" s="151" t="s">
        <v>553</v>
      </c>
      <c r="E980" s="151" t="s">
        <v>528</v>
      </c>
      <c r="F980" s="213">
        <v>350</v>
      </c>
      <c r="G980" s="151">
        <v>26</v>
      </c>
      <c r="H980" s="151">
        <v>24</v>
      </c>
      <c r="I980" s="151">
        <v>624</v>
      </c>
      <c r="J980" s="151">
        <v>32</v>
      </c>
      <c r="K980" s="151">
        <v>832</v>
      </c>
      <c r="L980" s="220" t="s">
        <v>395</v>
      </c>
    </row>
    <row r="981" spans="1:12" hidden="1">
      <c r="A981" s="213">
        <v>46224127</v>
      </c>
      <c r="B981" s="250" t="s">
        <v>1016</v>
      </c>
      <c r="C981" s="220" t="s">
        <v>945</v>
      </c>
      <c r="D981" s="151" t="s">
        <v>553</v>
      </c>
      <c r="E981" s="151" t="s">
        <v>528</v>
      </c>
      <c r="F981" s="213">
        <v>335</v>
      </c>
      <c r="G981" s="151">
        <v>26</v>
      </c>
      <c r="H981" s="151">
        <v>24</v>
      </c>
      <c r="I981" s="151">
        <v>624</v>
      </c>
      <c r="J981" s="151">
        <v>32</v>
      </c>
      <c r="K981" s="151">
        <v>832</v>
      </c>
      <c r="L981" s="220" t="s">
        <v>395</v>
      </c>
    </row>
    <row r="982" spans="1:12" hidden="1">
      <c r="A982" s="213">
        <v>30375809</v>
      </c>
      <c r="B982" s="151" t="s">
        <v>1021</v>
      </c>
      <c r="C982" s="151" t="s">
        <v>702</v>
      </c>
      <c r="D982" s="151" t="s">
        <v>553</v>
      </c>
      <c r="E982" s="151" t="s">
        <v>528</v>
      </c>
      <c r="F982" s="213">
        <v>340</v>
      </c>
      <c r="G982" s="151">
        <v>26</v>
      </c>
      <c r="H982" s="151">
        <v>26</v>
      </c>
      <c r="I982" s="151">
        <v>676</v>
      </c>
      <c r="J982" s="151">
        <v>28</v>
      </c>
      <c r="K982" s="151">
        <v>728</v>
      </c>
      <c r="L982" s="151"/>
    </row>
    <row r="983" spans="1:12" hidden="1">
      <c r="A983" s="213">
        <v>30375810</v>
      </c>
      <c r="B983" s="227" t="s">
        <v>701</v>
      </c>
      <c r="C983" s="151" t="s">
        <v>702</v>
      </c>
      <c r="D983" s="151" t="s">
        <v>553</v>
      </c>
      <c r="E983" s="151" t="s">
        <v>528</v>
      </c>
      <c r="F983" s="213">
        <v>345</v>
      </c>
      <c r="G983" s="151">
        <v>26</v>
      </c>
      <c r="H983" s="151">
        <v>26</v>
      </c>
      <c r="I983" s="151">
        <v>676</v>
      </c>
      <c r="J983" s="151">
        <v>28</v>
      </c>
      <c r="K983" s="151">
        <v>728</v>
      </c>
      <c r="L983" s="151"/>
    </row>
    <row r="984" spans="1:12" hidden="1">
      <c r="A984" s="213">
        <v>30376508</v>
      </c>
      <c r="B984" s="213" t="s">
        <v>701</v>
      </c>
      <c r="C984" s="151" t="s">
        <v>702</v>
      </c>
      <c r="D984" s="151" t="s">
        <v>553</v>
      </c>
      <c r="E984" s="151" t="s">
        <v>528</v>
      </c>
      <c r="F984" s="213">
        <v>335</v>
      </c>
      <c r="G984" s="151">
        <v>26</v>
      </c>
      <c r="H984" s="151">
        <v>26</v>
      </c>
      <c r="I984" s="151">
        <v>676</v>
      </c>
      <c r="J984" s="151">
        <v>28</v>
      </c>
      <c r="K984" s="151">
        <v>728</v>
      </c>
      <c r="L984" s="151"/>
    </row>
    <row r="985" spans="1:12" hidden="1">
      <c r="A985" s="213">
        <v>30376509</v>
      </c>
      <c r="B985" s="213" t="s">
        <v>701</v>
      </c>
      <c r="C985" s="151" t="s">
        <v>702</v>
      </c>
      <c r="D985" s="151" t="s">
        <v>553</v>
      </c>
      <c r="E985" s="151" t="s">
        <v>528</v>
      </c>
      <c r="F985" s="213">
        <v>340</v>
      </c>
      <c r="G985" s="151">
        <v>26</v>
      </c>
      <c r="H985" s="151">
        <v>26</v>
      </c>
      <c r="I985" s="151">
        <v>676</v>
      </c>
      <c r="J985" s="151">
        <v>28</v>
      </c>
      <c r="K985" s="151">
        <v>728</v>
      </c>
      <c r="L985" s="151"/>
    </row>
    <row r="986" spans="1:12" hidden="1">
      <c r="A986" s="213">
        <v>30375807</v>
      </c>
      <c r="B986" s="213" t="s">
        <v>701</v>
      </c>
      <c r="C986" s="151" t="s">
        <v>702</v>
      </c>
      <c r="D986" s="151" t="s">
        <v>553</v>
      </c>
      <c r="E986" s="151" t="s">
        <v>528</v>
      </c>
      <c r="F986" s="213">
        <v>330</v>
      </c>
      <c r="G986" s="151">
        <v>26</v>
      </c>
      <c r="H986" s="151">
        <v>26</v>
      </c>
      <c r="I986" s="151">
        <v>676</v>
      </c>
      <c r="J986" s="151">
        <v>28</v>
      </c>
      <c r="K986" s="151">
        <v>728</v>
      </c>
      <c r="L986" s="151"/>
    </row>
    <row r="987" spans="1:12" hidden="1">
      <c r="A987" s="213">
        <v>30375811</v>
      </c>
      <c r="B987" s="213" t="s">
        <v>701</v>
      </c>
      <c r="C987" s="151" t="s">
        <v>702</v>
      </c>
      <c r="D987" s="151" t="s">
        <v>553</v>
      </c>
      <c r="E987" s="151" t="s">
        <v>528</v>
      </c>
      <c r="F987" s="213">
        <v>350</v>
      </c>
      <c r="G987" s="151">
        <v>26</v>
      </c>
      <c r="H987" s="151">
        <v>26</v>
      </c>
      <c r="I987" s="151">
        <v>676</v>
      </c>
      <c r="J987" s="151">
        <v>28</v>
      </c>
      <c r="K987" s="151">
        <v>728</v>
      </c>
      <c r="L987" s="151"/>
    </row>
    <row r="988" spans="1:12" hidden="1">
      <c r="A988" s="213">
        <v>46202127</v>
      </c>
      <c r="B988" s="220" t="s">
        <v>1022</v>
      </c>
      <c r="C988" s="220" t="s">
        <v>691</v>
      </c>
      <c r="D988" s="151" t="s">
        <v>553</v>
      </c>
      <c r="E988" s="151" t="s">
        <v>528</v>
      </c>
      <c r="F988" s="213">
        <v>335</v>
      </c>
      <c r="G988" s="151">
        <v>32</v>
      </c>
      <c r="H988" s="151">
        <v>24</v>
      </c>
      <c r="I988" s="151">
        <v>768</v>
      </c>
      <c r="J988" s="151">
        <v>28</v>
      </c>
      <c r="K988" s="151">
        <v>896</v>
      </c>
      <c r="L988" s="151"/>
    </row>
    <row r="989" spans="1:12" hidden="1">
      <c r="A989" s="213">
        <v>46206127</v>
      </c>
      <c r="B989" s="151" t="s">
        <v>948</v>
      </c>
      <c r="C989" s="151" t="s">
        <v>691</v>
      </c>
      <c r="D989" s="151" t="s">
        <v>553</v>
      </c>
      <c r="E989" s="151" t="s">
        <v>528</v>
      </c>
      <c r="F989" s="213">
        <v>335</v>
      </c>
      <c r="G989" s="151">
        <v>32</v>
      </c>
      <c r="H989" s="151">
        <v>24</v>
      </c>
      <c r="I989" s="151">
        <v>768</v>
      </c>
      <c r="J989" s="151">
        <v>28</v>
      </c>
      <c r="K989" s="151">
        <v>896</v>
      </c>
      <c r="L989" s="151"/>
    </row>
    <row r="990" spans="1:12" hidden="1">
      <c r="A990" s="237">
        <v>46216528</v>
      </c>
      <c r="B990" s="151" t="s">
        <v>948</v>
      </c>
      <c r="C990" s="151" t="s">
        <v>691</v>
      </c>
      <c r="D990" s="151" t="s">
        <v>553</v>
      </c>
      <c r="E990" s="151" t="s">
        <v>528</v>
      </c>
      <c r="F990" s="213">
        <v>340</v>
      </c>
      <c r="G990" s="151">
        <v>32</v>
      </c>
      <c r="H990" s="151">
        <v>24</v>
      </c>
      <c r="I990" s="151">
        <v>768</v>
      </c>
      <c r="J990" s="151">
        <v>28</v>
      </c>
      <c r="K990" s="151">
        <v>896</v>
      </c>
      <c r="L990" s="151"/>
    </row>
    <row r="991" spans="1:12" hidden="1">
      <c r="A991" s="235">
        <v>46108146</v>
      </c>
      <c r="B991" s="235" t="s">
        <v>1023</v>
      </c>
      <c r="C991" s="151" t="s">
        <v>921</v>
      </c>
      <c r="D991" s="223" t="s">
        <v>640</v>
      </c>
      <c r="E991" s="151" t="s">
        <v>841</v>
      </c>
      <c r="F991" s="222">
        <v>430</v>
      </c>
      <c r="G991" s="223">
        <v>29</v>
      </c>
      <c r="H991" s="223">
        <v>22</v>
      </c>
      <c r="I991" s="223">
        <v>638</v>
      </c>
      <c r="J991" s="223">
        <v>24</v>
      </c>
      <c r="K991" s="223">
        <v>696</v>
      </c>
      <c r="L991" s="223"/>
    </row>
    <row r="992" spans="1:12" hidden="1">
      <c r="A992" s="252">
        <v>46108145</v>
      </c>
      <c r="B992" s="235" t="s">
        <v>1023</v>
      </c>
      <c r="C992" s="151" t="s">
        <v>921</v>
      </c>
      <c r="D992" s="223" t="s">
        <v>640</v>
      </c>
      <c r="E992" s="151" t="s">
        <v>841</v>
      </c>
      <c r="F992" s="233">
        <v>425</v>
      </c>
      <c r="G992" s="223">
        <v>29</v>
      </c>
      <c r="H992" s="223">
        <v>22</v>
      </c>
      <c r="I992" s="223">
        <v>638</v>
      </c>
      <c r="J992" s="223">
        <v>24</v>
      </c>
      <c r="K992" s="223">
        <v>696</v>
      </c>
      <c r="L992" s="223"/>
    </row>
    <row r="993" spans="1:12" hidden="1">
      <c r="A993" s="252">
        <v>46110146</v>
      </c>
      <c r="B993" s="235" t="s">
        <v>1023</v>
      </c>
      <c r="C993" s="151" t="s">
        <v>921</v>
      </c>
      <c r="D993" s="223" t="s">
        <v>640</v>
      </c>
      <c r="E993" s="151" t="s">
        <v>841</v>
      </c>
      <c r="F993" s="233">
        <v>430</v>
      </c>
      <c r="G993" s="223">
        <v>29</v>
      </c>
      <c r="H993" s="223">
        <v>22</v>
      </c>
      <c r="I993" s="223">
        <v>638</v>
      </c>
      <c r="J993" s="223">
        <v>24</v>
      </c>
      <c r="K993" s="223">
        <v>696</v>
      </c>
      <c r="L993" s="223"/>
    </row>
    <row r="994" spans="1:12" hidden="1">
      <c r="A994" s="252">
        <v>46110145</v>
      </c>
      <c r="B994" s="235" t="s">
        <v>1023</v>
      </c>
      <c r="C994" s="151" t="s">
        <v>921</v>
      </c>
      <c r="D994" s="223" t="s">
        <v>640</v>
      </c>
      <c r="E994" s="151" t="s">
        <v>841</v>
      </c>
      <c r="F994" s="233">
        <v>425</v>
      </c>
      <c r="G994" s="223">
        <v>29</v>
      </c>
      <c r="H994" s="223">
        <v>22</v>
      </c>
      <c r="I994" s="223">
        <v>638</v>
      </c>
      <c r="J994" s="223">
        <v>24</v>
      </c>
      <c r="K994" s="223">
        <v>696</v>
      </c>
      <c r="L994" s="223"/>
    </row>
    <row r="995" spans="1:12" hidden="1">
      <c r="A995" s="230">
        <v>46109146</v>
      </c>
      <c r="B995" s="235" t="s">
        <v>1023</v>
      </c>
      <c r="C995" s="151" t="s">
        <v>921</v>
      </c>
      <c r="D995" s="223" t="s">
        <v>640</v>
      </c>
      <c r="E995" s="151" t="s">
        <v>841</v>
      </c>
      <c r="F995" s="233">
        <v>430</v>
      </c>
      <c r="G995" s="223">
        <v>29</v>
      </c>
      <c r="H995" s="223">
        <v>22</v>
      </c>
      <c r="I995" s="223">
        <v>638</v>
      </c>
      <c r="J995" s="223">
        <v>24</v>
      </c>
      <c r="K995" s="223">
        <v>696</v>
      </c>
      <c r="L995" s="223"/>
    </row>
    <row r="996" spans="1:12" hidden="1">
      <c r="A996" s="230">
        <v>46109145</v>
      </c>
      <c r="B996" s="235" t="s">
        <v>1023</v>
      </c>
      <c r="C996" s="151" t="s">
        <v>921</v>
      </c>
      <c r="D996" s="223" t="s">
        <v>640</v>
      </c>
      <c r="E996" s="151" t="s">
        <v>841</v>
      </c>
      <c r="F996" s="233">
        <v>425</v>
      </c>
      <c r="G996" s="223">
        <v>29</v>
      </c>
      <c r="H996" s="223">
        <v>22</v>
      </c>
      <c r="I996" s="223">
        <v>638</v>
      </c>
      <c r="J996" s="223">
        <v>24</v>
      </c>
      <c r="K996" s="223">
        <v>696</v>
      </c>
      <c r="L996" s="223"/>
    </row>
    <row r="997" spans="1:12" hidden="1">
      <c r="A997" s="230">
        <v>46110144</v>
      </c>
      <c r="B997" s="235" t="s">
        <v>1023</v>
      </c>
      <c r="C997" s="220" t="s">
        <v>921</v>
      </c>
      <c r="D997" s="223" t="s">
        <v>640</v>
      </c>
      <c r="E997" s="151" t="s">
        <v>841</v>
      </c>
      <c r="F997" s="233">
        <v>420</v>
      </c>
      <c r="G997" s="223">
        <v>29</v>
      </c>
      <c r="H997" s="223">
        <v>22</v>
      </c>
      <c r="I997" s="223">
        <v>638</v>
      </c>
      <c r="J997" s="223">
        <v>24</v>
      </c>
      <c r="K997" s="223">
        <v>696</v>
      </c>
      <c r="L997" s="220" t="s">
        <v>395</v>
      </c>
    </row>
    <row r="998" spans="1:12" hidden="1">
      <c r="A998" s="213">
        <v>46205130</v>
      </c>
      <c r="B998" s="151" t="s">
        <v>1024</v>
      </c>
      <c r="C998" s="151" t="s">
        <v>631</v>
      </c>
      <c r="D998" s="151" t="s">
        <v>528</v>
      </c>
      <c r="E998" s="151" t="s">
        <v>528</v>
      </c>
      <c r="F998" s="213">
        <v>350</v>
      </c>
      <c r="G998" s="151">
        <v>32</v>
      </c>
      <c r="H998" s="151">
        <v>26</v>
      </c>
      <c r="I998" s="151">
        <v>832</v>
      </c>
      <c r="J998" s="151">
        <v>28</v>
      </c>
      <c r="K998" s="151">
        <v>896</v>
      </c>
      <c r="L998" s="151"/>
    </row>
    <row r="999" spans="1:12" hidden="1">
      <c r="A999" s="213">
        <v>46205530</v>
      </c>
      <c r="B999" s="151" t="s">
        <v>1024</v>
      </c>
      <c r="C999" s="220" t="s">
        <v>631</v>
      </c>
      <c r="D999" s="151" t="s">
        <v>528</v>
      </c>
      <c r="E999" s="151" t="s">
        <v>528</v>
      </c>
      <c r="F999" s="213">
        <v>350</v>
      </c>
      <c r="G999" s="151">
        <v>32</v>
      </c>
      <c r="H999" s="151">
        <v>26</v>
      </c>
      <c r="I999" s="151">
        <v>832</v>
      </c>
      <c r="J999" s="151">
        <v>28</v>
      </c>
      <c r="K999" s="151">
        <v>896</v>
      </c>
      <c r="L999" s="220" t="s">
        <v>395</v>
      </c>
    </row>
    <row r="1000" spans="1:12" hidden="1">
      <c r="A1000" s="213">
        <v>46225126</v>
      </c>
      <c r="B1000" s="230" t="s">
        <v>637</v>
      </c>
      <c r="C1000" s="151" t="s">
        <v>631</v>
      </c>
      <c r="D1000" s="151" t="s">
        <v>528</v>
      </c>
      <c r="E1000" s="151" t="s">
        <v>528</v>
      </c>
      <c r="F1000" s="213">
        <v>330</v>
      </c>
      <c r="G1000" s="151">
        <v>32</v>
      </c>
      <c r="H1000" s="151">
        <v>26</v>
      </c>
      <c r="I1000" s="151">
        <v>832</v>
      </c>
      <c r="J1000" s="151">
        <v>28</v>
      </c>
      <c r="K1000" s="151">
        <v>896</v>
      </c>
      <c r="L1000" s="151"/>
    </row>
    <row r="1001" spans="1:12" hidden="1">
      <c r="A1001" s="213">
        <v>46225128</v>
      </c>
      <c r="B1001" s="230" t="s">
        <v>637</v>
      </c>
      <c r="C1001" s="151" t="s">
        <v>631</v>
      </c>
      <c r="D1001" s="151" t="s">
        <v>528</v>
      </c>
      <c r="E1001" s="151" t="s">
        <v>528</v>
      </c>
      <c r="F1001" s="213">
        <v>340</v>
      </c>
      <c r="G1001" s="151">
        <v>32</v>
      </c>
      <c r="H1001" s="151">
        <v>26</v>
      </c>
      <c r="I1001" s="151">
        <v>832</v>
      </c>
      <c r="J1001" s="151">
        <v>28</v>
      </c>
      <c r="K1001" s="151">
        <v>896</v>
      </c>
      <c r="L1001" s="151"/>
    </row>
    <row r="1002" spans="1:12" hidden="1">
      <c r="A1002" s="213">
        <v>46225129</v>
      </c>
      <c r="B1002" s="151" t="s">
        <v>630</v>
      </c>
      <c r="C1002" s="151" t="s">
        <v>631</v>
      </c>
      <c r="D1002" s="151" t="s">
        <v>528</v>
      </c>
      <c r="E1002" s="151" t="s">
        <v>528</v>
      </c>
      <c r="F1002" s="213">
        <v>345</v>
      </c>
      <c r="G1002" s="151">
        <v>32</v>
      </c>
      <c r="H1002" s="151">
        <v>26</v>
      </c>
      <c r="I1002" s="151">
        <v>832</v>
      </c>
      <c r="J1002" s="151">
        <v>28</v>
      </c>
      <c r="K1002" s="151">
        <v>896</v>
      </c>
      <c r="L1002" s="151"/>
    </row>
    <row r="1003" spans="1:12" hidden="1">
      <c r="A1003" s="213">
        <v>46225130</v>
      </c>
      <c r="B1003" s="151" t="s">
        <v>1024</v>
      </c>
      <c r="C1003" s="151" t="s">
        <v>631</v>
      </c>
      <c r="D1003" s="151" t="s">
        <v>528</v>
      </c>
      <c r="E1003" s="151" t="s">
        <v>528</v>
      </c>
      <c r="F1003" s="213">
        <v>350</v>
      </c>
      <c r="G1003" s="151">
        <v>32</v>
      </c>
      <c r="H1003" s="151">
        <v>26</v>
      </c>
      <c r="I1003" s="151">
        <v>832</v>
      </c>
      <c r="J1003" s="151">
        <v>28</v>
      </c>
      <c r="K1003" s="151">
        <v>896</v>
      </c>
      <c r="L1003" s="151"/>
    </row>
    <row r="1004" spans="1:12" hidden="1">
      <c r="A1004" s="213">
        <v>45201126</v>
      </c>
      <c r="B1004" s="151" t="s">
        <v>690</v>
      </c>
      <c r="C1004" s="151" t="s">
        <v>691</v>
      </c>
      <c r="D1004" s="151" t="s">
        <v>553</v>
      </c>
      <c r="E1004" s="151" t="s">
        <v>528</v>
      </c>
      <c r="F1004" s="213">
        <v>330</v>
      </c>
      <c r="G1004" s="151">
        <v>32</v>
      </c>
      <c r="H1004" s="151">
        <v>24</v>
      </c>
      <c r="I1004" s="151">
        <v>768</v>
      </c>
      <c r="J1004" s="151">
        <v>28</v>
      </c>
      <c r="K1004" s="151">
        <v>896</v>
      </c>
      <c r="L1004" s="151"/>
    </row>
    <row r="1005" spans="1:12" hidden="1">
      <c r="A1005" s="213">
        <v>46202126</v>
      </c>
      <c r="B1005" s="151" t="s">
        <v>1025</v>
      </c>
      <c r="C1005" s="151" t="s">
        <v>691</v>
      </c>
      <c r="D1005" s="151" t="s">
        <v>553</v>
      </c>
      <c r="E1005" s="151" t="s">
        <v>528</v>
      </c>
      <c r="F1005" s="213">
        <v>330</v>
      </c>
      <c r="G1005" s="151">
        <v>32</v>
      </c>
      <c r="H1005" s="151">
        <v>24</v>
      </c>
      <c r="I1005" s="151">
        <v>768</v>
      </c>
      <c r="J1005" s="151">
        <v>28</v>
      </c>
      <c r="K1005" s="151">
        <v>896</v>
      </c>
      <c r="L1005" s="151"/>
    </row>
    <row r="1006" spans="1:12" s="215" customFormat="1" hidden="1">
      <c r="A1006" s="213">
        <v>46201128</v>
      </c>
      <c r="B1006" s="151" t="s">
        <v>695</v>
      </c>
      <c r="C1006" s="151" t="s">
        <v>691</v>
      </c>
      <c r="D1006" s="151" t="s">
        <v>553</v>
      </c>
      <c r="E1006" s="151" t="s">
        <v>528</v>
      </c>
      <c r="F1006" s="213">
        <v>340</v>
      </c>
      <c r="G1006" s="151">
        <v>32</v>
      </c>
      <c r="H1006" s="151">
        <v>24</v>
      </c>
      <c r="I1006" s="151">
        <v>768</v>
      </c>
      <c r="J1006" s="151">
        <v>28</v>
      </c>
      <c r="K1006" s="151">
        <v>896</v>
      </c>
      <c r="L1006" s="151"/>
    </row>
    <row r="1007" spans="1:12" s="215" customFormat="1" hidden="1">
      <c r="A1007" s="213">
        <v>46212127</v>
      </c>
      <c r="B1007" s="151" t="s">
        <v>1026</v>
      </c>
      <c r="C1007" s="220" t="s">
        <v>1027</v>
      </c>
      <c r="D1007" s="151" t="s">
        <v>553</v>
      </c>
      <c r="E1007" s="151" t="s">
        <v>528</v>
      </c>
      <c r="F1007" s="213">
        <v>335</v>
      </c>
      <c r="G1007" s="151">
        <v>26</v>
      </c>
      <c r="H1007" s="151">
        <v>26</v>
      </c>
      <c r="I1007" s="151">
        <v>676</v>
      </c>
      <c r="J1007" s="151">
        <v>32</v>
      </c>
      <c r="K1007" s="151">
        <v>832</v>
      </c>
      <c r="L1007" s="220" t="s">
        <v>395</v>
      </c>
    </row>
    <row r="1008" spans="1:12" s="215" customFormat="1" hidden="1">
      <c r="A1008" s="213">
        <v>46212128</v>
      </c>
      <c r="B1008" s="151" t="s">
        <v>1028</v>
      </c>
      <c r="C1008" s="151" t="s">
        <v>1027</v>
      </c>
      <c r="D1008" s="151" t="s">
        <v>553</v>
      </c>
      <c r="E1008" s="151" t="s">
        <v>528</v>
      </c>
      <c r="F1008" s="213">
        <v>340</v>
      </c>
      <c r="G1008" s="151">
        <v>26</v>
      </c>
      <c r="H1008" s="151">
        <v>26</v>
      </c>
      <c r="I1008" s="151">
        <v>676</v>
      </c>
      <c r="J1008" s="151">
        <v>32</v>
      </c>
      <c r="K1008" s="151">
        <v>832</v>
      </c>
      <c r="L1008" s="151"/>
    </row>
    <row r="1009" spans="1:12" s="215" customFormat="1" hidden="1">
      <c r="A1009" s="230">
        <v>46222128</v>
      </c>
      <c r="B1009" s="213" t="s">
        <v>1029</v>
      </c>
      <c r="C1009" s="151" t="s">
        <v>1027</v>
      </c>
      <c r="D1009" s="151" t="s">
        <v>553</v>
      </c>
      <c r="E1009" s="151" t="s">
        <v>528</v>
      </c>
      <c r="F1009" s="213">
        <v>340</v>
      </c>
      <c r="G1009" s="151">
        <v>26</v>
      </c>
      <c r="H1009" s="151">
        <v>26</v>
      </c>
      <c r="I1009" s="151">
        <v>676</v>
      </c>
      <c r="J1009" s="151">
        <v>32</v>
      </c>
      <c r="K1009" s="151">
        <v>832</v>
      </c>
      <c r="L1009" s="151"/>
    </row>
    <row r="1010" spans="1:12" s="215" customFormat="1" hidden="1">
      <c r="A1010" s="213">
        <v>46212528</v>
      </c>
      <c r="B1010" s="151" t="s">
        <v>1030</v>
      </c>
      <c r="C1010" s="220" t="s">
        <v>1027</v>
      </c>
      <c r="D1010" s="151" t="s">
        <v>553</v>
      </c>
      <c r="E1010" s="151" t="s">
        <v>528</v>
      </c>
      <c r="F1010" s="213">
        <v>340</v>
      </c>
      <c r="G1010" s="151">
        <v>26</v>
      </c>
      <c r="H1010" s="151">
        <v>26</v>
      </c>
      <c r="I1010" s="151">
        <v>676</v>
      </c>
      <c r="J1010" s="151">
        <v>32</v>
      </c>
      <c r="K1010" s="151">
        <v>832</v>
      </c>
      <c r="L1010" s="220" t="s">
        <v>395</v>
      </c>
    </row>
    <row r="1011" spans="1:12" s="215" customFormat="1" hidden="1">
      <c r="A1011" s="237">
        <v>46220528</v>
      </c>
      <c r="B1011" s="213" t="s">
        <v>1029</v>
      </c>
      <c r="C1011" s="151" t="s">
        <v>1027</v>
      </c>
      <c r="D1011" s="151" t="s">
        <v>553</v>
      </c>
      <c r="E1011" s="151" t="s">
        <v>528</v>
      </c>
      <c r="F1011" s="213">
        <v>340</v>
      </c>
      <c r="G1011" s="151">
        <v>26</v>
      </c>
      <c r="H1011" s="151">
        <v>26</v>
      </c>
      <c r="I1011" s="151">
        <v>676</v>
      </c>
      <c r="J1011" s="151">
        <v>32</v>
      </c>
      <c r="K1011" s="151">
        <v>832</v>
      </c>
      <c r="L1011" s="151"/>
    </row>
    <row r="1012" spans="1:12" s="215" customFormat="1" hidden="1">
      <c r="A1012" s="230">
        <v>46220128</v>
      </c>
      <c r="B1012" s="213" t="s">
        <v>1029</v>
      </c>
      <c r="C1012" s="151" t="s">
        <v>1027</v>
      </c>
      <c r="D1012" s="151" t="s">
        <v>553</v>
      </c>
      <c r="E1012" s="151" t="s">
        <v>528</v>
      </c>
      <c r="F1012" s="213">
        <v>340</v>
      </c>
      <c r="G1012" s="151">
        <v>26</v>
      </c>
      <c r="H1012" s="151">
        <v>26</v>
      </c>
      <c r="I1012" s="151">
        <v>676</v>
      </c>
      <c r="J1012" s="151">
        <v>32</v>
      </c>
      <c r="K1012" s="151">
        <v>832</v>
      </c>
      <c r="L1012" s="151"/>
    </row>
    <row r="1013" spans="1:12" s="215" customFormat="1" hidden="1">
      <c r="A1013" s="237">
        <v>46220127</v>
      </c>
      <c r="B1013" s="213" t="s">
        <v>1031</v>
      </c>
      <c r="C1013" s="220" t="s">
        <v>1027</v>
      </c>
      <c r="D1013" s="151" t="s">
        <v>553</v>
      </c>
      <c r="E1013" s="151" t="s">
        <v>528</v>
      </c>
      <c r="F1013" s="213">
        <v>335</v>
      </c>
      <c r="G1013" s="151">
        <v>26</v>
      </c>
      <c r="H1013" s="151">
        <v>26</v>
      </c>
      <c r="I1013" s="151">
        <v>676</v>
      </c>
      <c r="J1013" s="151">
        <v>32</v>
      </c>
      <c r="K1013" s="151">
        <v>832</v>
      </c>
      <c r="L1013" s="220" t="s">
        <v>395</v>
      </c>
    </row>
    <row r="1014" spans="1:12" s="215" customFormat="1" hidden="1">
      <c r="A1014" s="213">
        <v>46226128</v>
      </c>
      <c r="B1014" s="213" t="s">
        <v>1029</v>
      </c>
      <c r="C1014" s="220" t="s">
        <v>1027</v>
      </c>
      <c r="D1014" s="151" t="s">
        <v>553</v>
      </c>
      <c r="E1014" s="151" t="s">
        <v>528</v>
      </c>
      <c r="F1014" s="213">
        <v>340</v>
      </c>
      <c r="G1014" s="151">
        <v>26</v>
      </c>
      <c r="H1014" s="151">
        <v>26</v>
      </c>
      <c r="I1014" s="151">
        <v>676</v>
      </c>
      <c r="J1014" s="151">
        <v>32</v>
      </c>
      <c r="K1014" s="151">
        <v>832</v>
      </c>
      <c r="L1014" s="220" t="s">
        <v>395</v>
      </c>
    </row>
    <row r="1015" spans="1:12" s="215" customFormat="1" hidden="1">
      <c r="A1015" s="213">
        <v>46222126</v>
      </c>
      <c r="B1015" s="230" t="s">
        <v>1032</v>
      </c>
      <c r="C1015" s="220" t="s">
        <v>1027</v>
      </c>
      <c r="D1015" s="151" t="s">
        <v>553</v>
      </c>
      <c r="E1015" s="151" t="s">
        <v>528</v>
      </c>
      <c r="F1015" s="213">
        <v>330</v>
      </c>
      <c r="G1015" s="151">
        <v>26</v>
      </c>
      <c r="H1015" s="151">
        <v>26</v>
      </c>
      <c r="I1015" s="151">
        <v>676</v>
      </c>
      <c r="J1015" s="151">
        <v>32</v>
      </c>
      <c r="K1015" s="151">
        <v>832</v>
      </c>
      <c r="L1015" s="220" t="s">
        <v>395</v>
      </c>
    </row>
    <row r="1016" spans="1:12" s="215" customFormat="1" hidden="1">
      <c r="A1016" s="213">
        <v>46222127</v>
      </c>
      <c r="B1016" s="230" t="s">
        <v>1033</v>
      </c>
      <c r="C1016" s="220" t="s">
        <v>1027</v>
      </c>
      <c r="D1016" s="151" t="s">
        <v>553</v>
      </c>
      <c r="E1016" s="151" t="s">
        <v>528</v>
      </c>
      <c r="F1016" s="213">
        <v>335</v>
      </c>
      <c r="G1016" s="151">
        <v>26</v>
      </c>
      <c r="H1016" s="151">
        <v>26</v>
      </c>
      <c r="I1016" s="151">
        <v>676</v>
      </c>
      <c r="J1016" s="151">
        <v>32</v>
      </c>
      <c r="K1016" s="151">
        <v>832</v>
      </c>
      <c r="L1016" s="220" t="s">
        <v>395</v>
      </c>
    </row>
    <row r="1017" spans="1:12" s="215" customFormat="1" hidden="1">
      <c r="A1017" s="213">
        <v>46206528</v>
      </c>
      <c r="B1017" s="151" t="s">
        <v>949</v>
      </c>
      <c r="C1017" s="151" t="s">
        <v>691</v>
      </c>
      <c r="D1017" s="151" t="s">
        <v>553</v>
      </c>
      <c r="E1017" s="151" t="s">
        <v>528</v>
      </c>
      <c r="F1017" s="213">
        <v>340</v>
      </c>
      <c r="G1017" s="151">
        <v>32</v>
      </c>
      <c r="H1017" s="151">
        <v>24</v>
      </c>
      <c r="I1017" s="151">
        <v>768</v>
      </c>
      <c r="J1017" s="151">
        <v>28</v>
      </c>
      <c r="K1017" s="151">
        <v>896</v>
      </c>
      <c r="L1017" s="151"/>
    </row>
    <row r="1018" spans="1:12" s="215" customFormat="1" hidden="1">
      <c r="A1018" s="213">
        <v>46206128</v>
      </c>
      <c r="B1018" s="151" t="s">
        <v>948</v>
      </c>
      <c r="C1018" s="151" t="s">
        <v>691</v>
      </c>
      <c r="D1018" s="151" t="s">
        <v>553</v>
      </c>
      <c r="E1018" s="151" t="s">
        <v>528</v>
      </c>
      <c r="F1018" s="213">
        <v>340</v>
      </c>
      <c r="G1018" s="151">
        <v>32</v>
      </c>
      <c r="H1018" s="151">
        <v>24</v>
      </c>
      <c r="I1018" s="151">
        <v>768</v>
      </c>
      <c r="J1018" s="151">
        <v>28</v>
      </c>
      <c r="K1018" s="151">
        <v>896</v>
      </c>
      <c r="L1018" s="151"/>
    </row>
    <row r="1019" spans="1:12" s="215" customFormat="1" hidden="1">
      <c r="A1019" s="213">
        <v>46206126</v>
      </c>
      <c r="B1019" s="151" t="s">
        <v>948</v>
      </c>
      <c r="C1019" s="151" t="s">
        <v>691</v>
      </c>
      <c r="D1019" s="151" t="s">
        <v>553</v>
      </c>
      <c r="E1019" s="151" t="s">
        <v>528</v>
      </c>
      <c r="F1019" s="213">
        <v>330</v>
      </c>
      <c r="G1019" s="151">
        <v>32</v>
      </c>
      <c r="H1019" s="151">
        <v>24</v>
      </c>
      <c r="I1019" s="151">
        <v>768</v>
      </c>
      <c r="J1019" s="151">
        <v>28</v>
      </c>
      <c r="K1019" s="151">
        <v>896</v>
      </c>
      <c r="L1019" s="151"/>
    </row>
    <row r="1020" spans="1:12" s="215" customFormat="1" hidden="1">
      <c r="A1020" s="253">
        <v>46206130</v>
      </c>
      <c r="B1020" s="151" t="s">
        <v>948</v>
      </c>
      <c r="C1020" s="220" t="s">
        <v>691</v>
      </c>
      <c r="D1020" s="151" t="s">
        <v>553</v>
      </c>
      <c r="E1020" s="151" t="s">
        <v>528</v>
      </c>
      <c r="F1020" s="213">
        <v>350</v>
      </c>
      <c r="G1020" s="151">
        <v>32</v>
      </c>
      <c r="H1020" s="151">
        <v>24</v>
      </c>
      <c r="I1020" s="151">
        <v>768</v>
      </c>
      <c r="J1020" s="151">
        <v>28</v>
      </c>
      <c r="K1020" s="151">
        <v>896</v>
      </c>
      <c r="L1020" s="220" t="s">
        <v>395</v>
      </c>
    </row>
    <row r="1021" spans="1:12" s="215" customFormat="1" hidden="1">
      <c r="A1021" s="213">
        <v>46208127</v>
      </c>
      <c r="B1021" s="213" t="s">
        <v>948</v>
      </c>
      <c r="C1021" s="151" t="s">
        <v>691</v>
      </c>
      <c r="D1021" s="151" t="s">
        <v>553</v>
      </c>
      <c r="E1021" s="151" t="s">
        <v>528</v>
      </c>
      <c r="F1021" s="213">
        <v>335</v>
      </c>
      <c r="G1021" s="151">
        <v>32</v>
      </c>
      <c r="H1021" s="151">
        <v>24</v>
      </c>
      <c r="I1021" s="151">
        <v>768</v>
      </c>
      <c r="J1021" s="151">
        <v>28</v>
      </c>
      <c r="K1021" s="151">
        <v>896</v>
      </c>
      <c r="L1021" s="151"/>
    </row>
    <row r="1022" spans="1:12" s="215" customFormat="1" hidden="1">
      <c r="A1022" s="213">
        <v>46208128</v>
      </c>
      <c r="B1022" s="151" t="s">
        <v>948</v>
      </c>
      <c r="C1022" s="151" t="s">
        <v>691</v>
      </c>
      <c r="D1022" s="151" t="s">
        <v>553</v>
      </c>
      <c r="E1022" s="151" t="s">
        <v>528</v>
      </c>
      <c r="F1022" s="213">
        <v>340</v>
      </c>
      <c r="G1022" s="151">
        <v>32</v>
      </c>
      <c r="H1022" s="151">
        <v>24</v>
      </c>
      <c r="I1022" s="151">
        <v>768</v>
      </c>
      <c r="J1022" s="151">
        <v>28</v>
      </c>
      <c r="K1022" s="151">
        <v>896</v>
      </c>
      <c r="L1022" s="151"/>
    </row>
    <row r="1023" spans="1:12" s="215" customFormat="1" hidden="1">
      <c r="A1023" s="213">
        <v>46208528</v>
      </c>
      <c r="B1023" s="151" t="s">
        <v>948</v>
      </c>
      <c r="C1023" s="151" t="s">
        <v>691</v>
      </c>
      <c r="D1023" s="151" t="s">
        <v>553</v>
      </c>
      <c r="E1023" s="151" t="s">
        <v>528</v>
      </c>
      <c r="F1023" s="213">
        <v>340</v>
      </c>
      <c r="G1023" s="151">
        <v>32</v>
      </c>
      <c r="H1023" s="151">
        <v>24</v>
      </c>
      <c r="I1023" s="151">
        <v>768</v>
      </c>
      <c r="J1023" s="151">
        <v>28</v>
      </c>
      <c r="K1023" s="151">
        <v>896</v>
      </c>
      <c r="L1023" s="151"/>
    </row>
    <row r="1024" spans="1:12" s="215" customFormat="1" hidden="1">
      <c r="A1024" s="213">
        <v>46208130</v>
      </c>
      <c r="B1024" s="213" t="s">
        <v>948</v>
      </c>
      <c r="C1024" s="220" t="s">
        <v>691</v>
      </c>
      <c r="D1024" s="213" t="s">
        <v>553</v>
      </c>
      <c r="E1024" s="213" t="s">
        <v>528</v>
      </c>
      <c r="F1024" s="213">
        <v>350</v>
      </c>
      <c r="G1024" s="239">
        <v>32</v>
      </c>
      <c r="H1024" s="239">
        <v>24</v>
      </c>
      <c r="I1024" s="239">
        <v>768</v>
      </c>
      <c r="J1024" s="239">
        <v>28</v>
      </c>
      <c r="K1024" s="239">
        <v>896</v>
      </c>
      <c r="L1024" s="220" t="s">
        <v>395</v>
      </c>
    </row>
    <row r="1025" spans="1:12" s="215" customFormat="1" hidden="1">
      <c r="A1025" s="213">
        <v>46208131</v>
      </c>
      <c r="B1025" s="213" t="s">
        <v>948</v>
      </c>
      <c r="C1025" s="220" t="s">
        <v>691</v>
      </c>
      <c r="D1025" s="213" t="s">
        <v>553</v>
      </c>
      <c r="E1025" s="213" t="s">
        <v>528</v>
      </c>
      <c r="F1025" s="213">
        <v>355</v>
      </c>
      <c r="G1025" s="239">
        <v>32</v>
      </c>
      <c r="H1025" s="239">
        <v>24</v>
      </c>
      <c r="I1025" s="239">
        <v>768</v>
      </c>
      <c r="J1025" s="239">
        <v>28</v>
      </c>
      <c r="K1025" s="239">
        <v>896</v>
      </c>
      <c r="L1025" s="220" t="s">
        <v>395</v>
      </c>
    </row>
    <row r="1026" spans="1:12" s="215" customFormat="1" hidden="1">
      <c r="A1026" s="230">
        <v>46210128</v>
      </c>
      <c r="B1026" s="213" t="s">
        <v>948</v>
      </c>
      <c r="C1026" s="151" t="s">
        <v>691</v>
      </c>
      <c r="D1026" s="213" t="s">
        <v>553</v>
      </c>
      <c r="E1026" s="213" t="s">
        <v>528</v>
      </c>
      <c r="F1026" s="231">
        <v>340</v>
      </c>
      <c r="G1026" s="239">
        <v>32</v>
      </c>
      <c r="H1026" s="239">
        <v>24</v>
      </c>
      <c r="I1026" s="239">
        <v>768</v>
      </c>
      <c r="J1026" s="239">
        <v>28</v>
      </c>
      <c r="K1026" s="239">
        <v>896</v>
      </c>
      <c r="L1026" s="213"/>
    </row>
    <row r="1027" spans="1:12" s="215" customFormat="1" hidden="1">
      <c r="A1027" s="230">
        <v>46210528</v>
      </c>
      <c r="B1027" s="213" t="s">
        <v>948</v>
      </c>
      <c r="C1027" s="151" t="s">
        <v>691</v>
      </c>
      <c r="D1027" s="213" t="s">
        <v>553</v>
      </c>
      <c r="E1027" s="213" t="s">
        <v>528</v>
      </c>
      <c r="F1027" s="231">
        <v>340</v>
      </c>
      <c r="G1027" s="239">
        <v>32</v>
      </c>
      <c r="H1027" s="239">
        <v>24</v>
      </c>
      <c r="I1027" s="239">
        <v>768</v>
      </c>
      <c r="J1027" s="239">
        <v>28</v>
      </c>
      <c r="K1027" s="239">
        <v>896</v>
      </c>
      <c r="L1027" s="213"/>
    </row>
    <row r="1028" spans="1:12" s="215" customFormat="1" hidden="1">
      <c r="A1028" s="230">
        <v>46211528</v>
      </c>
      <c r="B1028" s="213" t="s">
        <v>948</v>
      </c>
      <c r="C1028" s="151" t="s">
        <v>691</v>
      </c>
      <c r="D1028" s="213" t="s">
        <v>553</v>
      </c>
      <c r="E1028" s="213" t="s">
        <v>528</v>
      </c>
      <c r="F1028" s="231">
        <v>340</v>
      </c>
      <c r="G1028" s="239">
        <v>32</v>
      </c>
      <c r="H1028" s="239">
        <v>24</v>
      </c>
      <c r="I1028" s="239">
        <v>768</v>
      </c>
      <c r="J1028" s="239">
        <v>28</v>
      </c>
      <c r="K1028" s="239">
        <v>896</v>
      </c>
      <c r="L1028" s="213"/>
    </row>
    <row r="1029" spans="1:12" s="215" customFormat="1" hidden="1">
      <c r="A1029" s="230">
        <v>46210127</v>
      </c>
      <c r="B1029" s="213" t="s">
        <v>948</v>
      </c>
      <c r="C1029" s="151" t="s">
        <v>691</v>
      </c>
      <c r="D1029" s="213" t="s">
        <v>553</v>
      </c>
      <c r="E1029" s="213" t="s">
        <v>528</v>
      </c>
      <c r="F1029" s="231">
        <v>335</v>
      </c>
      <c r="G1029" s="239">
        <v>32</v>
      </c>
      <c r="H1029" s="239">
        <v>24</v>
      </c>
      <c r="I1029" s="239">
        <v>768</v>
      </c>
      <c r="J1029" s="239">
        <v>28</v>
      </c>
      <c r="K1029" s="239">
        <v>896</v>
      </c>
      <c r="L1029" s="213"/>
    </row>
    <row r="1030" spans="1:12" s="215" customFormat="1" hidden="1">
      <c r="A1030" s="230">
        <v>46211127</v>
      </c>
      <c r="B1030" s="213" t="s">
        <v>948</v>
      </c>
      <c r="C1030" s="151" t="s">
        <v>691</v>
      </c>
      <c r="D1030" s="213" t="s">
        <v>553</v>
      </c>
      <c r="E1030" s="213" t="s">
        <v>528</v>
      </c>
      <c r="F1030" s="231">
        <v>335</v>
      </c>
      <c r="G1030" s="239">
        <v>32</v>
      </c>
      <c r="H1030" s="239">
        <v>24</v>
      </c>
      <c r="I1030" s="239">
        <v>768</v>
      </c>
      <c r="J1030" s="239">
        <v>28</v>
      </c>
      <c r="K1030" s="239">
        <v>896</v>
      </c>
      <c r="L1030" s="213"/>
    </row>
    <row r="1031" spans="1:12" s="215" customFormat="1" hidden="1">
      <c r="A1031" s="254">
        <v>46211128</v>
      </c>
      <c r="B1031" s="213" t="s">
        <v>948</v>
      </c>
      <c r="C1031" s="151" t="s">
        <v>691</v>
      </c>
      <c r="D1031" s="213" t="s">
        <v>553</v>
      </c>
      <c r="E1031" s="213" t="s">
        <v>528</v>
      </c>
      <c r="F1031" s="231">
        <v>340</v>
      </c>
      <c r="G1031" s="239">
        <v>32</v>
      </c>
      <c r="H1031" s="239">
        <v>24</v>
      </c>
      <c r="I1031" s="239">
        <v>768</v>
      </c>
      <c r="J1031" s="239">
        <v>28</v>
      </c>
      <c r="K1031" s="239">
        <v>896</v>
      </c>
      <c r="L1031" s="213"/>
    </row>
    <row r="1032" spans="1:12" s="215" customFormat="1" hidden="1">
      <c r="A1032" s="254">
        <v>46211526</v>
      </c>
      <c r="B1032" s="213" t="s">
        <v>948</v>
      </c>
      <c r="C1032" s="220" t="s">
        <v>691</v>
      </c>
      <c r="D1032" s="213" t="s">
        <v>553</v>
      </c>
      <c r="E1032" s="213" t="s">
        <v>528</v>
      </c>
      <c r="F1032" s="233">
        <v>330</v>
      </c>
      <c r="G1032" s="239">
        <v>32</v>
      </c>
      <c r="H1032" s="239">
        <v>24</v>
      </c>
      <c r="I1032" s="239">
        <v>768</v>
      </c>
      <c r="J1032" s="239">
        <v>28</v>
      </c>
      <c r="K1032" s="239">
        <v>896</v>
      </c>
      <c r="L1032" s="220" t="s">
        <v>395</v>
      </c>
    </row>
    <row r="1033" spans="1:12" s="215" customFormat="1" hidden="1">
      <c r="A1033" s="254">
        <v>46211126</v>
      </c>
      <c r="B1033" s="213" t="s">
        <v>948</v>
      </c>
      <c r="C1033" s="220" t="s">
        <v>691</v>
      </c>
      <c r="D1033" s="213" t="s">
        <v>553</v>
      </c>
      <c r="E1033" s="213" t="s">
        <v>528</v>
      </c>
      <c r="F1033" s="233">
        <v>330</v>
      </c>
      <c r="G1033" s="239">
        <v>32</v>
      </c>
      <c r="H1033" s="239">
        <v>24</v>
      </c>
      <c r="I1033" s="239">
        <v>768</v>
      </c>
      <c r="J1033" s="239">
        <v>28</v>
      </c>
      <c r="K1033" s="239">
        <v>896</v>
      </c>
      <c r="L1033" s="220" t="s">
        <v>395</v>
      </c>
    </row>
    <row r="1034" spans="1:12" s="215" customFormat="1" hidden="1">
      <c r="A1034" s="254">
        <v>46219126</v>
      </c>
      <c r="B1034" s="213" t="s">
        <v>948</v>
      </c>
      <c r="C1034" s="151" t="s">
        <v>691</v>
      </c>
      <c r="D1034" s="213" t="s">
        <v>553</v>
      </c>
      <c r="E1034" s="213" t="s">
        <v>528</v>
      </c>
      <c r="F1034" s="233">
        <v>330</v>
      </c>
      <c r="G1034" s="239">
        <v>32</v>
      </c>
      <c r="H1034" s="239">
        <v>24</v>
      </c>
      <c r="I1034" s="239">
        <v>768</v>
      </c>
      <c r="J1034" s="239">
        <v>28</v>
      </c>
      <c r="K1034" s="239">
        <v>896</v>
      </c>
      <c r="L1034" s="213"/>
    </row>
    <row r="1035" spans="1:12" s="215" customFormat="1" hidden="1">
      <c r="A1035" s="213">
        <v>46216130</v>
      </c>
      <c r="B1035" s="230" t="s">
        <v>948</v>
      </c>
      <c r="C1035" s="220" t="s">
        <v>691</v>
      </c>
      <c r="D1035" s="213" t="s">
        <v>553</v>
      </c>
      <c r="E1035" s="213" t="s">
        <v>528</v>
      </c>
      <c r="F1035" s="213">
        <v>350</v>
      </c>
      <c r="G1035" s="239">
        <v>32</v>
      </c>
      <c r="H1035" s="239">
        <v>24</v>
      </c>
      <c r="I1035" s="239">
        <v>768</v>
      </c>
      <c r="J1035" s="239">
        <v>28</v>
      </c>
      <c r="K1035" s="239">
        <v>896</v>
      </c>
      <c r="L1035" s="220" t="s">
        <v>395</v>
      </c>
    </row>
    <row r="1036" spans="1:12" s="215" customFormat="1" hidden="1">
      <c r="A1036" s="213">
        <v>46217124</v>
      </c>
      <c r="B1036" s="230" t="s">
        <v>948</v>
      </c>
      <c r="C1036" s="151" t="s">
        <v>691</v>
      </c>
      <c r="D1036" s="213" t="s">
        <v>553</v>
      </c>
      <c r="E1036" s="213" t="s">
        <v>528</v>
      </c>
      <c r="F1036" s="213">
        <v>320</v>
      </c>
      <c r="G1036" s="239">
        <v>32</v>
      </c>
      <c r="H1036" s="239">
        <v>24</v>
      </c>
      <c r="I1036" s="239">
        <v>768</v>
      </c>
      <c r="J1036" s="239">
        <v>28</v>
      </c>
      <c r="K1036" s="239">
        <v>896</v>
      </c>
      <c r="L1036" s="213"/>
    </row>
    <row r="1037" spans="1:12" s="215" customFormat="1" hidden="1">
      <c r="A1037" s="213">
        <v>46217125</v>
      </c>
      <c r="B1037" s="230" t="s">
        <v>948</v>
      </c>
      <c r="C1037" s="151" t="s">
        <v>691</v>
      </c>
      <c r="D1037" s="213" t="s">
        <v>553</v>
      </c>
      <c r="E1037" s="213" t="s">
        <v>528</v>
      </c>
      <c r="F1037" s="213">
        <v>325</v>
      </c>
      <c r="G1037" s="239">
        <v>32</v>
      </c>
      <c r="H1037" s="239">
        <v>24</v>
      </c>
      <c r="I1037" s="239">
        <v>768</v>
      </c>
      <c r="J1037" s="239">
        <v>28</v>
      </c>
      <c r="K1037" s="239">
        <v>896</v>
      </c>
      <c r="L1037" s="213"/>
    </row>
    <row r="1038" spans="1:12" s="215" customFormat="1" hidden="1">
      <c r="A1038" s="213">
        <v>46217130</v>
      </c>
      <c r="B1038" s="230" t="s">
        <v>948</v>
      </c>
      <c r="C1038" s="220" t="s">
        <v>691</v>
      </c>
      <c r="D1038" s="213" t="s">
        <v>553</v>
      </c>
      <c r="E1038" s="213" t="s">
        <v>528</v>
      </c>
      <c r="F1038" s="213">
        <v>350</v>
      </c>
      <c r="G1038" s="239">
        <v>32</v>
      </c>
      <c r="H1038" s="239">
        <v>24</v>
      </c>
      <c r="I1038" s="239">
        <v>768</v>
      </c>
      <c r="J1038" s="239">
        <v>28</v>
      </c>
      <c r="K1038" s="239">
        <v>896</v>
      </c>
      <c r="L1038" s="220" t="s">
        <v>395</v>
      </c>
    </row>
    <row r="1039" spans="1:12" s="215" customFormat="1" hidden="1">
      <c r="A1039" s="213">
        <v>46219124</v>
      </c>
      <c r="B1039" s="230" t="s">
        <v>948</v>
      </c>
      <c r="C1039" s="220" t="s">
        <v>691</v>
      </c>
      <c r="D1039" s="213" t="s">
        <v>553</v>
      </c>
      <c r="E1039" s="213" t="s">
        <v>528</v>
      </c>
      <c r="F1039" s="213">
        <v>320</v>
      </c>
      <c r="G1039" s="239">
        <v>32</v>
      </c>
      <c r="H1039" s="239">
        <v>24</v>
      </c>
      <c r="I1039" s="239">
        <v>768</v>
      </c>
      <c r="J1039" s="239">
        <v>28</v>
      </c>
      <c r="K1039" s="239">
        <v>896</v>
      </c>
      <c r="L1039" s="220" t="s">
        <v>395</v>
      </c>
    </row>
    <row r="1040" spans="1:12" s="215" customFormat="1" hidden="1">
      <c r="A1040" s="213">
        <v>46219125</v>
      </c>
      <c r="B1040" s="230" t="s">
        <v>948</v>
      </c>
      <c r="C1040" s="151" t="s">
        <v>691</v>
      </c>
      <c r="D1040" s="213" t="s">
        <v>553</v>
      </c>
      <c r="E1040" s="213" t="s">
        <v>528</v>
      </c>
      <c r="F1040" s="213">
        <v>325</v>
      </c>
      <c r="G1040" s="239">
        <v>32</v>
      </c>
      <c r="H1040" s="239">
        <v>24</v>
      </c>
      <c r="I1040" s="239">
        <v>768</v>
      </c>
      <c r="J1040" s="239">
        <v>28</v>
      </c>
      <c r="K1040" s="239">
        <v>896</v>
      </c>
      <c r="L1040" s="213"/>
    </row>
    <row r="1041" spans="1:12" s="215" customFormat="1" hidden="1">
      <c r="A1041" s="213">
        <v>46219130</v>
      </c>
      <c r="B1041" s="230" t="s">
        <v>948</v>
      </c>
      <c r="C1041" s="220" t="s">
        <v>691</v>
      </c>
      <c r="D1041" s="213" t="s">
        <v>553</v>
      </c>
      <c r="E1041" s="213" t="s">
        <v>528</v>
      </c>
      <c r="F1041" s="213">
        <v>350</v>
      </c>
      <c r="G1041" s="239">
        <v>32</v>
      </c>
      <c r="H1041" s="239">
        <v>24</v>
      </c>
      <c r="I1041" s="239">
        <v>768</v>
      </c>
      <c r="J1041" s="239">
        <v>28</v>
      </c>
      <c r="K1041" s="239">
        <v>896</v>
      </c>
      <c r="L1041" s="220" t="s">
        <v>395</v>
      </c>
    </row>
    <row r="1042" spans="1:12" s="215" customFormat="1" hidden="1">
      <c r="A1042" s="255">
        <v>46217127</v>
      </c>
      <c r="B1042" s="230" t="s">
        <v>948</v>
      </c>
      <c r="C1042" s="151" t="s">
        <v>691</v>
      </c>
      <c r="D1042" s="213" t="s">
        <v>553</v>
      </c>
      <c r="E1042" s="213" t="s">
        <v>528</v>
      </c>
      <c r="F1042" s="213">
        <v>335</v>
      </c>
      <c r="G1042" s="239">
        <v>32</v>
      </c>
      <c r="H1042" s="239">
        <v>24</v>
      </c>
      <c r="I1042" s="239">
        <v>768</v>
      </c>
      <c r="J1042" s="239">
        <v>28</v>
      </c>
      <c r="K1042" s="239">
        <v>896</v>
      </c>
      <c r="L1042" s="213"/>
    </row>
    <row r="1043" spans="1:12" s="215" customFormat="1" hidden="1">
      <c r="A1043" s="254">
        <v>46216127</v>
      </c>
      <c r="B1043" s="213" t="s">
        <v>1034</v>
      </c>
      <c r="C1043" s="151" t="s">
        <v>691</v>
      </c>
      <c r="D1043" s="213" t="s">
        <v>553</v>
      </c>
      <c r="E1043" s="213" t="s">
        <v>528</v>
      </c>
      <c r="F1043" s="231">
        <v>335</v>
      </c>
      <c r="G1043" s="239">
        <v>32</v>
      </c>
      <c r="H1043" s="239">
        <v>24</v>
      </c>
      <c r="I1043" s="239">
        <v>768</v>
      </c>
      <c r="J1043" s="239">
        <v>28</v>
      </c>
      <c r="K1043" s="239">
        <v>896</v>
      </c>
      <c r="L1043" s="213"/>
    </row>
    <row r="1044" spans="1:12" s="215" customFormat="1" hidden="1">
      <c r="A1044" s="254">
        <v>46216126</v>
      </c>
      <c r="B1044" s="213" t="s">
        <v>1035</v>
      </c>
      <c r="C1044" s="220" t="s">
        <v>691</v>
      </c>
      <c r="D1044" s="213" t="s">
        <v>553</v>
      </c>
      <c r="E1044" s="213" t="s">
        <v>528</v>
      </c>
      <c r="F1044" s="231">
        <v>330</v>
      </c>
      <c r="G1044" s="239">
        <v>32</v>
      </c>
      <c r="H1044" s="239">
        <v>24</v>
      </c>
      <c r="I1044" s="239">
        <v>768</v>
      </c>
      <c r="J1044" s="239">
        <v>28</v>
      </c>
      <c r="K1044" s="239">
        <v>896</v>
      </c>
      <c r="L1044" s="220" t="s">
        <v>395</v>
      </c>
    </row>
    <row r="1045" spans="1:12" hidden="1">
      <c r="A1045" s="254">
        <v>46218126</v>
      </c>
      <c r="B1045" s="213" t="s">
        <v>1035</v>
      </c>
      <c r="C1045" s="220" t="s">
        <v>691</v>
      </c>
      <c r="D1045" s="213" t="s">
        <v>553</v>
      </c>
      <c r="E1045" s="213" t="s">
        <v>528</v>
      </c>
      <c r="F1045" s="231">
        <v>330</v>
      </c>
      <c r="G1045" s="239">
        <v>32</v>
      </c>
      <c r="H1045" s="239">
        <v>24</v>
      </c>
      <c r="I1045" s="239">
        <v>768</v>
      </c>
      <c r="J1045" s="239">
        <v>28</v>
      </c>
      <c r="K1045" s="239">
        <v>896</v>
      </c>
      <c r="L1045" s="220" t="s">
        <v>395</v>
      </c>
    </row>
    <row r="1046" spans="1:12" hidden="1">
      <c r="A1046" s="254">
        <v>46218527</v>
      </c>
      <c r="B1046" s="213" t="s">
        <v>1035</v>
      </c>
      <c r="C1046" s="220" t="s">
        <v>691</v>
      </c>
      <c r="D1046" s="213" t="s">
        <v>553</v>
      </c>
      <c r="E1046" s="213" t="s">
        <v>528</v>
      </c>
      <c r="F1046" s="231">
        <v>335</v>
      </c>
      <c r="G1046" s="239">
        <v>32</v>
      </c>
      <c r="H1046" s="239">
        <v>24</v>
      </c>
      <c r="I1046" s="239">
        <v>768</v>
      </c>
      <c r="J1046" s="239">
        <v>28</v>
      </c>
      <c r="K1046" s="239">
        <v>896</v>
      </c>
      <c r="L1046" s="220" t="s">
        <v>395</v>
      </c>
    </row>
    <row r="1047" spans="1:12" hidden="1">
      <c r="A1047" s="213">
        <v>46216125</v>
      </c>
      <c r="B1047" s="213" t="s">
        <v>1035</v>
      </c>
      <c r="C1047" s="220" t="s">
        <v>691</v>
      </c>
      <c r="D1047" s="213" t="s">
        <v>553</v>
      </c>
      <c r="E1047" s="213" t="s">
        <v>528</v>
      </c>
      <c r="F1047" s="213">
        <v>325</v>
      </c>
      <c r="G1047" s="239">
        <v>32</v>
      </c>
      <c r="H1047" s="239">
        <v>24</v>
      </c>
      <c r="I1047" s="239">
        <v>768</v>
      </c>
      <c r="J1047" s="239">
        <v>28</v>
      </c>
      <c r="K1047" s="239">
        <v>896</v>
      </c>
      <c r="L1047" s="220" t="s">
        <v>395</v>
      </c>
    </row>
    <row r="1048" spans="1:12" hidden="1">
      <c r="A1048" s="213">
        <v>46216124</v>
      </c>
      <c r="B1048" s="213" t="s">
        <v>1035</v>
      </c>
      <c r="C1048" s="220" t="s">
        <v>691</v>
      </c>
      <c r="D1048" s="213" t="s">
        <v>553</v>
      </c>
      <c r="E1048" s="213" t="s">
        <v>528</v>
      </c>
      <c r="F1048" s="213">
        <v>320</v>
      </c>
      <c r="G1048" s="239">
        <v>32</v>
      </c>
      <c r="H1048" s="239">
        <v>24</v>
      </c>
      <c r="I1048" s="239">
        <v>768</v>
      </c>
      <c r="J1048" s="239">
        <v>28</v>
      </c>
      <c r="K1048" s="239">
        <v>896</v>
      </c>
      <c r="L1048" s="220" t="s">
        <v>395</v>
      </c>
    </row>
    <row r="1049" spans="1:12" hidden="1">
      <c r="A1049" s="213">
        <v>46217126</v>
      </c>
      <c r="B1049" s="213" t="s">
        <v>948</v>
      </c>
      <c r="C1049" s="151" t="s">
        <v>691</v>
      </c>
      <c r="D1049" s="213" t="s">
        <v>553</v>
      </c>
      <c r="E1049" s="213" t="s">
        <v>528</v>
      </c>
      <c r="F1049" s="213">
        <v>330</v>
      </c>
      <c r="G1049" s="239">
        <v>32</v>
      </c>
      <c r="H1049" s="239">
        <v>24</v>
      </c>
      <c r="I1049" s="239">
        <v>768</v>
      </c>
      <c r="J1049" s="239">
        <v>28</v>
      </c>
      <c r="K1049" s="239">
        <v>896</v>
      </c>
      <c r="L1049" s="213"/>
    </row>
    <row r="1050" spans="1:12" hidden="1">
      <c r="A1050" s="213">
        <v>46217128</v>
      </c>
      <c r="B1050" s="213" t="s">
        <v>1035</v>
      </c>
      <c r="C1050" s="151" t="s">
        <v>691</v>
      </c>
      <c r="D1050" s="213" t="s">
        <v>553</v>
      </c>
      <c r="E1050" s="213" t="s">
        <v>528</v>
      </c>
      <c r="F1050" s="213">
        <v>340</v>
      </c>
      <c r="G1050" s="239">
        <v>32</v>
      </c>
      <c r="H1050" s="239">
        <v>24</v>
      </c>
      <c r="I1050" s="239">
        <v>768</v>
      </c>
      <c r="J1050" s="239">
        <v>28</v>
      </c>
      <c r="K1050" s="239">
        <v>896</v>
      </c>
      <c r="L1050" s="213"/>
    </row>
    <row r="1051" spans="1:12" hidden="1">
      <c r="A1051" s="213">
        <v>46218124</v>
      </c>
      <c r="B1051" s="213" t="s">
        <v>1035</v>
      </c>
      <c r="C1051" s="220" t="s">
        <v>691</v>
      </c>
      <c r="D1051" s="213" t="s">
        <v>553</v>
      </c>
      <c r="E1051" s="213" t="s">
        <v>528</v>
      </c>
      <c r="F1051" s="213">
        <v>320</v>
      </c>
      <c r="G1051" s="239">
        <v>32</v>
      </c>
      <c r="H1051" s="239">
        <v>24</v>
      </c>
      <c r="I1051" s="239">
        <v>768</v>
      </c>
      <c r="J1051" s="239">
        <v>28</v>
      </c>
      <c r="K1051" s="239">
        <v>896</v>
      </c>
      <c r="L1051" s="220" t="s">
        <v>395</v>
      </c>
    </row>
    <row r="1052" spans="1:12" hidden="1">
      <c r="A1052" s="213">
        <v>46218125</v>
      </c>
      <c r="B1052" s="213" t="s">
        <v>1035</v>
      </c>
      <c r="C1052" s="220" t="s">
        <v>691</v>
      </c>
      <c r="D1052" s="213" t="s">
        <v>553</v>
      </c>
      <c r="E1052" s="213" t="s">
        <v>528</v>
      </c>
      <c r="F1052" s="213">
        <v>325</v>
      </c>
      <c r="G1052" s="239">
        <v>32</v>
      </c>
      <c r="H1052" s="239">
        <v>24</v>
      </c>
      <c r="I1052" s="239">
        <v>768</v>
      </c>
      <c r="J1052" s="239">
        <v>28</v>
      </c>
      <c r="K1052" s="239">
        <v>896</v>
      </c>
      <c r="L1052" s="220" t="s">
        <v>395</v>
      </c>
    </row>
    <row r="1053" spans="1:12" hidden="1">
      <c r="A1053" s="230">
        <v>46219128</v>
      </c>
      <c r="B1053" s="213" t="s">
        <v>948</v>
      </c>
      <c r="C1053" s="151" t="s">
        <v>691</v>
      </c>
      <c r="D1053" s="213" t="s">
        <v>553</v>
      </c>
      <c r="E1053" s="213" t="s">
        <v>528</v>
      </c>
      <c r="F1053" s="231">
        <v>340</v>
      </c>
      <c r="G1053" s="239">
        <v>32</v>
      </c>
      <c r="H1053" s="239">
        <v>24</v>
      </c>
      <c r="I1053" s="239">
        <v>768</v>
      </c>
      <c r="J1053" s="239">
        <v>28</v>
      </c>
      <c r="K1053" s="239">
        <v>896</v>
      </c>
      <c r="L1053" s="213"/>
    </row>
    <row r="1054" spans="1:12" hidden="1">
      <c r="A1054" s="252">
        <v>46214127</v>
      </c>
      <c r="B1054" s="252" t="s">
        <v>1034</v>
      </c>
      <c r="C1054" s="151" t="s">
        <v>691</v>
      </c>
      <c r="D1054" s="213" t="s">
        <v>553</v>
      </c>
      <c r="E1054" s="213" t="s">
        <v>528</v>
      </c>
      <c r="F1054" s="231">
        <v>335</v>
      </c>
      <c r="G1054" s="239">
        <v>32</v>
      </c>
      <c r="H1054" s="239">
        <v>24</v>
      </c>
      <c r="I1054" s="239">
        <v>768</v>
      </c>
      <c r="J1054" s="239">
        <v>28</v>
      </c>
      <c r="K1054" s="239">
        <v>896</v>
      </c>
      <c r="L1054" s="213"/>
    </row>
    <row r="1055" spans="1:12" hidden="1">
      <c r="A1055" s="254">
        <v>46218128</v>
      </c>
      <c r="B1055" s="252" t="s">
        <v>1034</v>
      </c>
      <c r="C1055" s="151" t="s">
        <v>691</v>
      </c>
      <c r="D1055" s="213" t="s">
        <v>553</v>
      </c>
      <c r="E1055" s="213" t="s">
        <v>528</v>
      </c>
      <c r="F1055" s="231">
        <v>340</v>
      </c>
      <c r="G1055" s="239">
        <v>32</v>
      </c>
      <c r="H1055" s="239">
        <v>24</v>
      </c>
      <c r="I1055" s="239">
        <v>768</v>
      </c>
      <c r="J1055" s="239">
        <v>28</v>
      </c>
      <c r="K1055" s="239">
        <v>896</v>
      </c>
      <c r="L1055" s="213"/>
    </row>
    <row r="1056" spans="1:12" hidden="1">
      <c r="A1056" s="213">
        <v>30376511</v>
      </c>
      <c r="B1056" s="252" t="s">
        <v>1036</v>
      </c>
      <c r="C1056" s="151" t="s">
        <v>702</v>
      </c>
      <c r="D1056" s="213" t="s">
        <v>553</v>
      </c>
      <c r="E1056" s="213" t="s">
        <v>528</v>
      </c>
      <c r="F1056" s="231">
        <v>350</v>
      </c>
      <c r="G1056" s="239">
        <v>26</v>
      </c>
      <c r="H1056" s="239">
        <v>24</v>
      </c>
      <c r="I1056" s="239">
        <v>624</v>
      </c>
      <c r="J1056" s="239">
        <v>28</v>
      </c>
      <c r="K1056" s="239">
        <v>728</v>
      </c>
      <c r="L1056" s="213"/>
    </row>
    <row r="1057" spans="1:12" hidden="1">
      <c r="A1057" s="230">
        <v>46218528</v>
      </c>
      <c r="B1057" s="252" t="s">
        <v>948</v>
      </c>
      <c r="C1057" s="151" t="s">
        <v>691</v>
      </c>
      <c r="D1057" s="213" t="s">
        <v>553</v>
      </c>
      <c r="E1057" s="213" t="s">
        <v>528</v>
      </c>
      <c r="F1057" s="231">
        <v>340</v>
      </c>
      <c r="G1057" s="239">
        <v>32</v>
      </c>
      <c r="H1057" s="239">
        <v>24</v>
      </c>
      <c r="I1057" s="239">
        <v>768</v>
      </c>
      <c r="J1057" s="239">
        <v>28</v>
      </c>
      <c r="K1057" s="239">
        <v>896</v>
      </c>
      <c r="L1057" s="213"/>
    </row>
    <row r="1058" spans="1:12" hidden="1">
      <c r="A1058" s="254">
        <v>46214128</v>
      </c>
      <c r="B1058" s="151" t="s">
        <v>1037</v>
      </c>
      <c r="C1058" s="151" t="s">
        <v>691</v>
      </c>
      <c r="D1058" s="213" t="s">
        <v>553</v>
      </c>
      <c r="E1058" s="213" t="s">
        <v>528</v>
      </c>
      <c r="F1058" s="231">
        <v>340</v>
      </c>
      <c r="G1058" s="239">
        <v>32</v>
      </c>
      <c r="H1058" s="239">
        <v>24</v>
      </c>
      <c r="I1058" s="239">
        <v>768</v>
      </c>
      <c r="J1058" s="239">
        <v>28</v>
      </c>
      <c r="K1058" s="239">
        <v>896</v>
      </c>
      <c r="L1058" s="213"/>
    </row>
    <row r="1059" spans="1:12" hidden="1">
      <c r="A1059" s="254">
        <v>46214528</v>
      </c>
      <c r="B1059" s="235" t="s">
        <v>1038</v>
      </c>
      <c r="C1059" s="151" t="s">
        <v>691</v>
      </c>
      <c r="D1059" s="213" t="s">
        <v>553</v>
      </c>
      <c r="E1059" s="213" t="s">
        <v>528</v>
      </c>
      <c r="F1059" s="231">
        <v>340</v>
      </c>
      <c r="G1059" s="239">
        <v>32</v>
      </c>
      <c r="H1059" s="239">
        <v>24</v>
      </c>
      <c r="I1059" s="239">
        <v>768</v>
      </c>
      <c r="J1059" s="239">
        <v>28</v>
      </c>
      <c r="K1059" s="239">
        <v>896</v>
      </c>
      <c r="L1059" s="213"/>
    </row>
    <row r="1060" spans="1:12" hidden="1">
      <c r="A1060" s="237">
        <v>46216128</v>
      </c>
      <c r="B1060" s="151" t="s">
        <v>1037</v>
      </c>
      <c r="C1060" s="151" t="s">
        <v>691</v>
      </c>
      <c r="D1060" s="213" t="s">
        <v>553</v>
      </c>
      <c r="E1060" s="213" t="s">
        <v>528</v>
      </c>
      <c r="F1060" s="231">
        <v>340</v>
      </c>
      <c r="G1060" s="239">
        <v>32</v>
      </c>
      <c r="H1060" s="239">
        <v>24</v>
      </c>
      <c r="I1060" s="239">
        <v>768</v>
      </c>
      <c r="J1060" s="239">
        <v>28</v>
      </c>
      <c r="K1060" s="239">
        <v>896</v>
      </c>
      <c r="L1060" s="213"/>
    </row>
    <row r="1061" spans="1:12" hidden="1">
      <c r="A1061" s="215">
        <v>30376609</v>
      </c>
      <c r="B1061" s="151" t="s">
        <v>1037</v>
      </c>
      <c r="C1061" s="151" t="s">
        <v>691</v>
      </c>
      <c r="D1061" s="213" t="s">
        <v>553</v>
      </c>
      <c r="E1061" s="213" t="s">
        <v>528</v>
      </c>
      <c r="F1061" s="231">
        <v>340</v>
      </c>
      <c r="G1061" s="239">
        <v>32</v>
      </c>
      <c r="H1061" s="239">
        <v>24</v>
      </c>
      <c r="I1061" s="239">
        <v>768</v>
      </c>
      <c r="J1061" s="239">
        <v>28</v>
      </c>
      <c r="K1061" s="239">
        <v>896</v>
      </c>
      <c r="L1061" s="213"/>
    </row>
    <row r="1062" spans="1:12" hidden="1">
      <c r="A1062" s="213">
        <v>30376909</v>
      </c>
      <c r="B1062" s="227" t="s">
        <v>1039</v>
      </c>
      <c r="C1062" s="151" t="s">
        <v>691</v>
      </c>
      <c r="D1062" s="213" t="s">
        <v>553</v>
      </c>
      <c r="E1062" s="213" t="s">
        <v>528</v>
      </c>
      <c r="F1062" s="231">
        <v>340</v>
      </c>
      <c r="G1062" s="239">
        <v>32</v>
      </c>
      <c r="H1062" s="239">
        <v>24</v>
      </c>
      <c r="I1062" s="239">
        <v>768</v>
      </c>
      <c r="J1062" s="239">
        <v>28</v>
      </c>
      <c r="K1062" s="239">
        <v>896</v>
      </c>
      <c r="L1062" s="213"/>
    </row>
    <row r="1063" spans="1:12" hidden="1">
      <c r="A1063" s="213">
        <v>45201125</v>
      </c>
      <c r="B1063" s="227" t="s">
        <v>1040</v>
      </c>
      <c r="C1063" s="151" t="s">
        <v>691</v>
      </c>
      <c r="D1063" s="151" t="s">
        <v>553</v>
      </c>
      <c r="E1063" s="151" t="s">
        <v>528</v>
      </c>
      <c r="F1063" s="213">
        <v>325</v>
      </c>
      <c r="G1063" s="151">
        <v>32</v>
      </c>
      <c r="H1063" s="151">
        <v>24</v>
      </c>
      <c r="I1063" s="151">
        <v>768</v>
      </c>
      <c r="J1063" s="151">
        <v>28</v>
      </c>
      <c r="K1063" s="151">
        <v>896</v>
      </c>
      <c r="L1063" s="151"/>
    </row>
    <row r="1064" spans="1:12" hidden="1">
      <c r="A1064" s="213">
        <v>45201128</v>
      </c>
      <c r="B1064" s="151" t="s">
        <v>695</v>
      </c>
      <c r="C1064" s="151" t="s">
        <v>691</v>
      </c>
      <c r="D1064" s="151" t="s">
        <v>553</v>
      </c>
      <c r="E1064" s="151" t="s">
        <v>528</v>
      </c>
      <c r="F1064" s="213">
        <v>340</v>
      </c>
      <c r="G1064" s="151">
        <v>32</v>
      </c>
      <c r="H1064" s="151">
        <v>24</v>
      </c>
      <c r="I1064" s="151">
        <v>768</v>
      </c>
      <c r="J1064" s="151">
        <v>28</v>
      </c>
      <c r="K1064" s="151">
        <v>896</v>
      </c>
      <c r="L1064" s="151"/>
    </row>
    <row r="1065" spans="1:12" hidden="1">
      <c r="A1065" s="213">
        <v>12000809</v>
      </c>
      <c r="B1065" s="151" t="s">
        <v>1041</v>
      </c>
      <c r="C1065" s="151" t="s">
        <v>401</v>
      </c>
      <c r="D1065" s="151" t="s">
        <v>402</v>
      </c>
      <c r="E1065" s="151" t="s">
        <v>390</v>
      </c>
      <c r="F1065" s="213">
        <v>290</v>
      </c>
      <c r="G1065" s="151">
        <v>32</v>
      </c>
      <c r="H1065" s="151">
        <v>26</v>
      </c>
      <c r="I1065" s="151">
        <v>832</v>
      </c>
      <c r="J1065" s="151">
        <v>30</v>
      </c>
      <c r="K1065" s="151">
        <v>960</v>
      </c>
      <c r="L1065" s="151"/>
    </row>
    <row r="1066" spans="1:12" hidden="1">
      <c r="A1066" s="213">
        <v>30330127</v>
      </c>
      <c r="B1066" s="151" t="s">
        <v>1042</v>
      </c>
      <c r="C1066" s="151" t="s">
        <v>1043</v>
      </c>
      <c r="D1066" s="151" t="s">
        <v>390</v>
      </c>
      <c r="E1066" s="151" t="s">
        <v>390</v>
      </c>
      <c r="F1066" s="213">
        <v>280</v>
      </c>
      <c r="G1066" s="151">
        <v>32</v>
      </c>
      <c r="H1066" s="151">
        <v>26</v>
      </c>
      <c r="I1066" s="151">
        <v>832</v>
      </c>
      <c r="J1066" s="151">
        <v>30</v>
      </c>
      <c r="K1066" s="151">
        <v>960</v>
      </c>
      <c r="L1066" s="151"/>
    </row>
    <row r="1067" spans="1:12" hidden="1">
      <c r="A1067" s="213">
        <v>30330128</v>
      </c>
      <c r="B1067" s="151" t="s">
        <v>1044</v>
      </c>
      <c r="C1067" s="151" t="s">
        <v>1043</v>
      </c>
      <c r="D1067" s="151" t="s">
        <v>390</v>
      </c>
      <c r="E1067" s="151" t="s">
        <v>390</v>
      </c>
      <c r="F1067" s="213">
        <v>285</v>
      </c>
      <c r="G1067" s="151">
        <v>32</v>
      </c>
      <c r="H1067" s="151">
        <v>26</v>
      </c>
      <c r="I1067" s="151">
        <v>832</v>
      </c>
      <c r="J1067" s="151">
        <v>30</v>
      </c>
      <c r="K1067" s="151">
        <v>960</v>
      </c>
      <c r="L1067" s="151"/>
    </row>
    <row r="1068" spans="1:12" hidden="1">
      <c r="A1068" s="213">
        <v>30121828</v>
      </c>
      <c r="B1068" s="151" t="s">
        <v>1045</v>
      </c>
      <c r="C1068" s="151" t="s">
        <v>1043</v>
      </c>
      <c r="D1068" s="151" t="s">
        <v>390</v>
      </c>
      <c r="E1068" s="151" t="s">
        <v>390</v>
      </c>
      <c r="F1068" s="213">
        <v>285</v>
      </c>
      <c r="G1068" s="151">
        <v>32</v>
      </c>
      <c r="H1068" s="151">
        <v>26</v>
      </c>
      <c r="I1068" s="151">
        <v>832</v>
      </c>
      <c r="J1068" s="151">
        <v>30</v>
      </c>
      <c r="K1068" s="151">
        <v>960</v>
      </c>
      <c r="L1068" s="151"/>
    </row>
    <row r="1069" spans="1:12" hidden="1">
      <c r="A1069" s="213">
        <v>30320514</v>
      </c>
      <c r="B1069" s="151" t="s">
        <v>1046</v>
      </c>
      <c r="C1069" s="151" t="s">
        <v>471</v>
      </c>
      <c r="D1069" s="151" t="s">
        <v>472</v>
      </c>
      <c r="E1069" s="151" t="s">
        <v>473</v>
      </c>
      <c r="F1069" s="213">
        <v>365</v>
      </c>
      <c r="G1069" s="151">
        <v>29</v>
      </c>
      <c r="H1069" s="151">
        <v>22</v>
      </c>
      <c r="I1069" s="151">
        <v>638</v>
      </c>
      <c r="J1069" s="151">
        <v>26</v>
      </c>
      <c r="K1069" s="151">
        <v>754</v>
      </c>
      <c r="L1069" s="151"/>
    </row>
    <row r="1070" spans="1:12" hidden="1">
      <c r="A1070" s="213">
        <v>30320515</v>
      </c>
      <c r="B1070" s="151" t="s">
        <v>1046</v>
      </c>
      <c r="C1070" s="151" t="s">
        <v>471</v>
      </c>
      <c r="D1070" s="151" t="s">
        <v>472</v>
      </c>
      <c r="E1070" s="151" t="s">
        <v>473</v>
      </c>
      <c r="F1070" s="213">
        <v>370</v>
      </c>
      <c r="G1070" s="151">
        <v>29</v>
      </c>
      <c r="H1070" s="151">
        <v>22</v>
      </c>
      <c r="I1070" s="151">
        <v>638</v>
      </c>
      <c r="J1070" s="151">
        <v>26</v>
      </c>
      <c r="K1070" s="151">
        <v>754</v>
      </c>
      <c r="L1070" s="151"/>
    </row>
    <row r="1071" spans="1:12" hidden="1">
      <c r="A1071" s="213">
        <v>30320516</v>
      </c>
      <c r="B1071" s="151" t="s">
        <v>1046</v>
      </c>
      <c r="C1071" s="151" t="s">
        <v>471</v>
      </c>
      <c r="D1071" s="151" t="s">
        <v>472</v>
      </c>
      <c r="E1071" s="151" t="s">
        <v>473</v>
      </c>
      <c r="F1071" s="213">
        <v>375</v>
      </c>
      <c r="G1071" s="151">
        <v>29</v>
      </c>
      <c r="H1071" s="151">
        <v>22</v>
      </c>
      <c r="I1071" s="151">
        <v>638</v>
      </c>
      <c r="J1071" s="151">
        <v>26</v>
      </c>
      <c r="K1071" s="151">
        <v>754</v>
      </c>
      <c r="L1071" s="151"/>
    </row>
    <row r="1072" spans="1:12" hidden="1">
      <c r="A1072" s="213">
        <v>30341209</v>
      </c>
      <c r="B1072" s="151" t="s">
        <v>1047</v>
      </c>
      <c r="C1072" s="151" t="s">
        <v>388</v>
      </c>
      <c r="D1072" s="151" t="s">
        <v>389</v>
      </c>
      <c r="E1072" s="151" t="s">
        <v>390</v>
      </c>
      <c r="F1072" s="213">
        <v>340</v>
      </c>
      <c r="G1072" s="151">
        <v>29</v>
      </c>
      <c r="H1072" s="151">
        <v>22</v>
      </c>
      <c r="I1072" s="151">
        <v>638</v>
      </c>
      <c r="J1072" s="151">
        <v>26</v>
      </c>
      <c r="K1072" s="151">
        <v>754</v>
      </c>
      <c r="L1072" s="151"/>
    </row>
    <row r="1073" spans="1:12" hidden="1">
      <c r="A1073" s="213">
        <v>30341210</v>
      </c>
      <c r="B1073" s="151" t="s">
        <v>1047</v>
      </c>
      <c r="C1073" s="151" t="s">
        <v>388</v>
      </c>
      <c r="D1073" s="151" t="s">
        <v>389</v>
      </c>
      <c r="E1073" s="151" t="s">
        <v>390</v>
      </c>
      <c r="F1073" s="213">
        <v>345</v>
      </c>
      <c r="G1073" s="151">
        <v>29</v>
      </c>
      <c r="H1073" s="151">
        <v>22</v>
      </c>
      <c r="I1073" s="151">
        <v>638</v>
      </c>
      <c r="J1073" s="151">
        <v>26</v>
      </c>
      <c r="K1073" s="151">
        <v>754</v>
      </c>
      <c r="L1073" s="151"/>
    </row>
    <row r="1074" spans="1:12" hidden="1">
      <c r="A1074" s="213">
        <v>30341211</v>
      </c>
      <c r="B1074" s="151" t="s">
        <v>1047</v>
      </c>
      <c r="C1074" s="151" t="s">
        <v>388</v>
      </c>
      <c r="D1074" s="151" t="s">
        <v>389</v>
      </c>
      <c r="E1074" s="151" t="s">
        <v>390</v>
      </c>
      <c r="F1074" s="213">
        <v>350</v>
      </c>
      <c r="G1074" s="151">
        <v>29</v>
      </c>
      <c r="H1074" s="151">
        <v>22</v>
      </c>
      <c r="I1074" s="151">
        <v>638</v>
      </c>
      <c r="J1074" s="151">
        <v>26</v>
      </c>
      <c r="K1074" s="151">
        <v>754</v>
      </c>
      <c r="L1074" s="151"/>
    </row>
    <row r="1075" spans="1:12" hidden="1">
      <c r="A1075" s="213">
        <v>12002196</v>
      </c>
      <c r="B1075" s="151" t="s">
        <v>413</v>
      </c>
      <c r="C1075" s="151" t="s">
        <v>410</v>
      </c>
      <c r="D1075" s="151" t="s">
        <v>411</v>
      </c>
      <c r="E1075" s="151" t="s">
        <v>412</v>
      </c>
      <c r="F1075" s="213">
        <v>365</v>
      </c>
      <c r="G1075" s="151">
        <v>29</v>
      </c>
      <c r="H1075" s="151">
        <v>22</v>
      </c>
      <c r="I1075" s="151">
        <v>638</v>
      </c>
      <c r="J1075" s="151">
        <v>26</v>
      </c>
      <c r="K1075" s="151">
        <v>754</v>
      </c>
      <c r="L1075" s="151"/>
    </row>
    <row r="1076" spans="1:12" hidden="1">
      <c r="A1076" s="213">
        <v>12002198</v>
      </c>
      <c r="B1076" s="151" t="s">
        <v>415</v>
      </c>
      <c r="C1076" s="151" t="s">
        <v>410</v>
      </c>
      <c r="D1076" s="151" t="s">
        <v>411</v>
      </c>
      <c r="E1076" s="151" t="s">
        <v>412</v>
      </c>
      <c r="F1076" s="213">
        <v>355</v>
      </c>
      <c r="G1076" s="151">
        <v>29</v>
      </c>
      <c r="H1076" s="151">
        <v>22</v>
      </c>
      <c r="I1076" s="151">
        <v>638</v>
      </c>
      <c r="J1076" s="151">
        <v>26</v>
      </c>
      <c r="K1076" s="151">
        <v>754</v>
      </c>
      <c r="L1076" s="151"/>
    </row>
    <row r="1077" spans="1:12" hidden="1">
      <c r="A1077" s="151" t="s">
        <v>1048</v>
      </c>
      <c r="B1077" s="151" t="s">
        <v>468</v>
      </c>
      <c r="C1077" s="151" t="s">
        <v>388</v>
      </c>
      <c r="D1077" s="151" t="s">
        <v>389</v>
      </c>
      <c r="E1077" s="151" t="s">
        <v>390</v>
      </c>
      <c r="F1077" s="213">
        <v>345</v>
      </c>
      <c r="G1077" s="151">
        <v>29</v>
      </c>
      <c r="H1077" s="151">
        <v>22</v>
      </c>
      <c r="I1077" s="151">
        <v>638</v>
      </c>
      <c r="J1077" s="151">
        <v>26</v>
      </c>
      <c r="K1077" s="151">
        <v>754</v>
      </c>
      <c r="L1077" s="151"/>
    </row>
    <row r="1078" spans="1:12" hidden="1">
      <c r="A1078" s="213">
        <v>49403140</v>
      </c>
      <c r="B1078" s="227" t="s">
        <v>1049</v>
      </c>
      <c r="C1078" s="151" t="s">
        <v>973</v>
      </c>
      <c r="D1078" s="151" t="s">
        <v>553</v>
      </c>
      <c r="E1078" s="151" t="s">
        <v>528</v>
      </c>
      <c r="F1078" s="213">
        <v>400</v>
      </c>
      <c r="G1078" s="151">
        <v>32</v>
      </c>
      <c r="H1078" s="151">
        <v>24</v>
      </c>
      <c r="I1078" s="151">
        <v>768</v>
      </c>
      <c r="J1078" s="151">
        <v>24</v>
      </c>
      <c r="K1078" s="151">
        <v>768</v>
      </c>
      <c r="L1078" s="151"/>
    </row>
    <row r="1079" spans="1:12" hidden="1">
      <c r="A1079" s="213">
        <v>49403540</v>
      </c>
      <c r="B1079" s="227" t="s">
        <v>1049</v>
      </c>
      <c r="C1079" s="151" t="s">
        <v>973</v>
      </c>
      <c r="D1079" s="151" t="s">
        <v>553</v>
      </c>
      <c r="E1079" s="151" t="s">
        <v>528</v>
      </c>
      <c r="F1079" s="213">
        <v>400</v>
      </c>
      <c r="G1079" s="151">
        <v>32</v>
      </c>
      <c r="H1079" s="151">
        <v>24</v>
      </c>
      <c r="I1079" s="151">
        <v>768</v>
      </c>
      <c r="J1079" s="151">
        <v>24</v>
      </c>
      <c r="K1079" s="151">
        <v>768</v>
      </c>
      <c r="L1079" s="220"/>
    </row>
    <row r="1080" spans="1:12" hidden="1">
      <c r="A1080" s="213">
        <v>49403139</v>
      </c>
      <c r="B1080" s="227" t="s">
        <v>1049</v>
      </c>
      <c r="C1080" s="151" t="s">
        <v>973</v>
      </c>
      <c r="D1080" s="151" t="s">
        <v>553</v>
      </c>
      <c r="E1080" s="151" t="s">
        <v>528</v>
      </c>
      <c r="F1080" s="213">
        <v>395</v>
      </c>
      <c r="G1080" s="151">
        <v>32</v>
      </c>
      <c r="H1080" s="151">
        <v>24</v>
      </c>
      <c r="I1080" s="151">
        <v>768</v>
      </c>
      <c r="J1080" s="151">
        <v>24</v>
      </c>
      <c r="K1080" s="151">
        <v>768</v>
      </c>
      <c r="L1080" s="151"/>
    </row>
    <row r="1081" spans="1:12" hidden="1">
      <c r="A1081" s="213">
        <v>49403138</v>
      </c>
      <c r="B1081" s="227" t="s">
        <v>1049</v>
      </c>
      <c r="C1081" s="151" t="s">
        <v>973</v>
      </c>
      <c r="D1081" s="151" t="s">
        <v>553</v>
      </c>
      <c r="E1081" s="151" t="s">
        <v>528</v>
      </c>
      <c r="F1081" s="213">
        <v>390</v>
      </c>
      <c r="G1081" s="151">
        <v>32</v>
      </c>
      <c r="H1081" s="151">
        <v>24</v>
      </c>
      <c r="I1081" s="151">
        <v>768</v>
      </c>
      <c r="J1081" s="151">
        <v>24</v>
      </c>
      <c r="K1081" s="151">
        <v>768</v>
      </c>
      <c r="L1081" s="151"/>
    </row>
    <row r="1082" spans="1:12" hidden="1">
      <c r="A1082" s="213">
        <v>49403539</v>
      </c>
      <c r="B1082" s="227" t="s">
        <v>1049</v>
      </c>
      <c r="C1082" s="151" t="s">
        <v>973</v>
      </c>
      <c r="D1082" s="151" t="s">
        <v>553</v>
      </c>
      <c r="E1082" s="151" t="s">
        <v>528</v>
      </c>
      <c r="F1082" s="213">
        <v>395</v>
      </c>
      <c r="G1082" s="151">
        <v>32</v>
      </c>
      <c r="H1082" s="151">
        <v>24</v>
      </c>
      <c r="I1082" s="151">
        <v>768</v>
      </c>
      <c r="J1082" s="151">
        <v>24</v>
      </c>
      <c r="K1082" s="151">
        <v>768</v>
      </c>
      <c r="L1082" s="151"/>
    </row>
    <row r="1083" spans="1:12" hidden="1">
      <c r="A1083" s="213">
        <v>49405140</v>
      </c>
      <c r="B1083" s="227" t="s">
        <v>1049</v>
      </c>
      <c r="C1083" s="151" t="s">
        <v>973</v>
      </c>
      <c r="D1083" s="151" t="s">
        <v>553</v>
      </c>
      <c r="E1083" s="151" t="s">
        <v>528</v>
      </c>
      <c r="F1083" s="213">
        <v>400</v>
      </c>
      <c r="G1083" s="151">
        <v>32</v>
      </c>
      <c r="H1083" s="151">
        <v>24</v>
      </c>
      <c r="I1083" s="151">
        <v>768</v>
      </c>
      <c r="J1083" s="151">
        <v>24</v>
      </c>
      <c r="K1083" s="151">
        <v>768</v>
      </c>
      <c r="L1083" s="151"/>
    </row>
    <row r="1084" spans="1:12" hidden="1">
      <c r="A1084" s="213">
        <v>49405139</v>
      </c>
      <c r="B1084" s="227" t="s">
        <v>1049</v>
      </c>
      <c r="C1084" s="151" t="s">
        <v>973</v>
      </c>
      <c r="D1084" s="151" t="s">
        <v>553</v>
      </c>
      <c r="E1084" s="151" t="s">
        <v>528</v>
      </c>
      <c r="F1084" s="213">
        <v>395</v>
      </c>
      <c r="G1084" s="151">
        <v>32</v>
      </c>
      <c r="H1084" s="151">
        <v>24</v>
      </c>
      <c r="I1084" s="151">
        <v>768</v>
      </c>
      <c r="J1084" s="151">
        <v>24</v>
      </c>
      <c r="K1084" s="151">
        <v>768</v>
      </c>
      <c r="L1084" s="151"/>
    </row>
    <row r="1085" spans="1:12" hidden="1">
      <c r="A1085" s="213">
        <v>49303154</v>
      </c>
      <c r="B1085" s="227" t="s">
        <v>1050</v>
      </c>
      <c r="C1085" s="151" t="s">
        <v>995</v>
      </c>
      <c r="D1085" s="223" t="s">
        <v>992</v>
      </c>
      <c r="E1085" s="223" t="s">
        <v>922</v>
      </c>
      <c r="F1085" s="222">
        <v>470</v>
      </c>
      <c r="G1085" s="223">
        <v>29</v>
      </c>
      <c r="H1085" s="223">
        <v>20</v>
      </c>
      <c r="I1085" s="223">
        <v>580</v>
      </c>
      <c r="J1085" s="223">
        <v>22</v>
      </c>
      <c r="K1085" s="223">
        <v>638</v>
      </c>
      <c r="L1085" s="223"/>
    </row>
    <row r="1086" spans="1:12" hidden="1">
      <c r="A1086" s="213">
        <v>49303153</v>
      </c>
      <c r="B1086" s="227" t="s">
        <v>1050</v>
      </c>
      <c r="C1086" s="151" t="s">
        <v>995</v>
      </c>
      <c r="D1086" s="223" t="s">
        <v>992</v>
      </c>
      <c r="E1086" s="223" t="s">
        <v>922</v>
      </c>
      <c r="F1086" s="222">
        <v>465</v>
      </c>
      <c r="G1086" s="223">
        <v>29</v>
      </c>
      <c r="H1086" s="223">
        <v>20</v>
      </c>
      <c r="I1086" s="223">
        <v>580</v>
      </c>
      <c r="J1086" s="223">
        <v>22</v>
      </c>
      <c r="K1086" s="223">
        <v>638</v>
      </c>
      <c r="L1086" s="223"/>
    </row>
    <row r="1087" spans="1:12" hidden="1">
      <c r="A1087" s="213">
        <v>49303555</v>
      </c>
      <c r="B1087" s="227" t="s">
        <v>1050</v>
      </c>
      <c r="C1087" s="151" t="s">
        <v>995</v>
      </c>
      <c r="D1087" s="223" t="s">
        <v>992</v>
      </c>
      <c r="E1087" s="223" t="s">
        <v>922</v>
      </c>
      <c r="F1087" s="222">
        <v>475</v>
      </c>
      <c r="G1087" s="223">
        <v>29</v>
      </c>
      <c r="H1087" s="223">
        <v>20</v>
      </c>
      <c r="I1087" s="223">
        <v>580</v>
      </c>
      <c r="J1087" s="223">
        <v>22</v>
      </c>
      <c r="K1087" s="223">
        <v>638</v>
      </c>
      <c r="L1087" s="223"/>
    </row>
    <row r="1088" spans="1:12" hidden="1">
      <c r="A1088" s="213">
        <v>49303556</v>
      </c>
      <c r="B1088" s="227" t="s">
        <v>1050</v>
      </c>
      <c r="C1088" s="151" t="s">
        <v>995</v>
      </c>
      <c r="D1088" s="223" t="s">
        <v>992</v>
      </c>
      <c r="E1088" s="223" t="s">
        <v>922</v>
      </c>
      <c r="F1088" s="222">
        <v>480</v>
      </c>
      <c r="G1088" s="223">
        <v>29</v>
      </c>
      <c r="H1088" s="223">
        <v>20</v>
      </c>
      <c r="I1088" s="223">
        <v>580</v>
      </c>
      <c r="J1088" s="223">
        <v>22</v>
      </c>
      <c r="K1088" s="223">
        <v>638</v>
      </c>
      <c r="L1088" s="223"/>
    </row>
    <row r="1089" spans="1:12" hidden="1">
      <c r="A1089" s="213">
        <v>49303554</v>
      </c>
      <c r="B1089" s="227" t="s">
        <v>1050</v>
      </c>
      <c r="C1089" s="151" t="s">
        <v>995</v>
      </c>
      <c r="D1089" s="223" t="s">
        <v>992</v>
      </c>
      <c r="E1089" s="223" t="s">
        <v>922</v>
      </c>
      <c r="F1089" s="222">
        <v>470</v>
      </c>
      <c r="G1089" s="223">
        <v>29</v>
      </c>
      <c r="H1089" s="223">
        <v>20</v>
      </c>
      <c r="I1089" s="223">
        <v>580</v>
      </c>
      <c r="J1089" s="223">
        <v>22</v>
      </c>
      <c r="K1089" s="223">
        <v>638</v>
      </c>
      <c r="L1089" s="223"/>
    </row>
    <row r="1090" spans="1:12" hidden="1">
      <c r="A1090" s="213">
        <v>49303552</v>
      </c>
      <c r="B1090" s="227" t="s">
        <v>1050</v>
      </c>
      <c r="C1090" s="151" t="s">
        <v>995</v>
      </c>
      <c r="D1090" s="223" t="s">
        <v>992</v>
      </c>
      <c r="E1090" s="223" t="s">
        <v>922</v>
      </c>
      <c r="F1090" s="222">
        <v>465</v>
      </c>
      <c r="G1090" s="223">
        <v>29</v>
      </c>
      <c r="H1090" s="223">
        <v>20</v>
      </c>
      <c r="I1090" s="223">
        <v>580</v>
      </c>
      <c r="J1090" s="223">
        <v>22</v>
      </c>
      <c r="K1090" s="223">
        <v>638</v>
      </c>
      <c r="L1090" s="223"/>
    </row>
    <row r="1091" spans="1:12" hidden="1">
      <c r="A1091" s="213">
        <v>49303553</v>
      </c>
      <c r="B1091" s="227" t="s">
        <v>1050</v>
      </c>
      <c r="C1091" s="151" t="s">
        <v>995</v>
      </c>
      <c r="D1091" s="223" t="s">
        <v>992</v>
      </c>
      <c r="E1091" s="223" t="s">
        <v>922</v>
      </c>
      <c r="F1091" s="222">
        <v>460</v>
      </c>
      <c r="G1091" s="223">
        <v>29</v>
      </c>
      <c r="H1091" s="223">
        <v>20</v>
      </c>
      <c r="I1091" s="223">
        <v>580</v>
      </c>
      <c r="J1091" s="223">
        <v>22</v>
      </c>
      <c r="K1091" s="223">
        <v>638</v>
      </c>
      <c r="L1091" s="223"/>
    </row>
    <row r="1092" spans="1:12" hidden="1">
      <c r="A1092" s="213">
        <v>49303155</v>
      </c>
      <c r="B1092" s="151" t="s">
        <v>996</v>
      </c>
      <c r="C1092" s="151" t="s">
        <v>995</v>
      </c>
      <c r="D1092" s="151" t="s">
        <v>992</v>
      </c>
      <c r="E1092" s="151" t="s">
        <v>922</v>
      </c>
      <c r="F1092" s="213">
        <v>475</v>
      </c>
      <c r="G1092" s="151">
        <v>29</v>
      </c>
      <c r="H1092" s="151">
        <v>20</v>
      </c>
      <c r="I1092" s="151">
        <v>580</v>
      </c>
      <c r="J1092" s="223">
        <v>22</v>
      </c>
      <c r="K1092" s="223">
        <v>638</v>
      </c>
      <c r="L1092" s="151"/>
    </row>
    <row r="1093" spans="1:12" hidden="1">
      <c r="A1093" s="213">
        <v>49303156</v>
      </c>
      <c r="B1093" s="151" t="s">
        <v>996</v>
      </c>
      <c r="C1093" s="151" t="s">
        <v>995</v>
      </c>
      <c r="D1093" s="151" t="s">
        <v>992</v>
      </c>
      <c r="E1093" s="151" t="s">
        <v>922</v>
      </c>
      <c r="F1093" s="213">
        <v>480</v>
      </c>
      <c r="G1093" s="151">
        <v>29</v>
      </c>
      <c r="H1093" s="151">
        <v>20</v>
      </c>
      <c r="I1093" s="151">
        <v>580</v>
      </c>
      <c r="J1093" s="223">
        <v>22</v>
      </c>
      <c r="K1093" s="223">
        <v>638</v>
      </c>
      <c r="L1093" s="151"/>
    </row>
    <row r="1094" spans="1:12" hidden="1">
      <c r="A1094" s="213">
        <v>49304156</v>
      </c>
      <c r="B1094" s="151" t="s">
        <v>1006</v>
      </c>
      <c r="C1094" s="151" t="s">
        <v>1002</v>
      </c>
      <c r="D1094" s="151" t="s">
        <v>992</v>
      </c>
      <c r="E1094" s="151" t="s">
        <v>922</v>
      </c>
      <c r="F1094" s="213">
        <v>480</v>
      </c>
      <c r="G1094" s="151">
        <v>29</v>
      </c>
      <c r="H1094" s="151">
        <v>20</v>
      </c>
      <c r="I1094" s="151">
        <v>580</v>
      </c>
      <c r="J1094" s="151">
        <v>20</v>
      </c>
      <c r="K1094" s="151">
        <v>580</v>
      </c>
      <c r="L1094" s="151"/>
    </row>
  </sheetData>
  <autoFilter ref="A1:K1094" xr:uid="{851D221B-F3BB-4BAF-99FC-C1B66B55F0F9}">
    <filterColumn colId="0">
      <filters>
        <filter val="12005833"/>
        <filter val="49301156"/>
      </filters>
    </filterColumn>
  </autoFilter>
  <conditionalFormatting sqref="A1 A1075:A1048576">
    <cfRule type="duplicateValues" dxfId="340" priority="341"/>
  </conditionalFormatting>
  <conditionalFormatting sqref="A1072:A1074 A1055:A1059 A810 A752:A779 A466 A2:A30 A171:A199 A350:A357 A468 A394:A433 A634:A649 A743:A749 A332 A360:A370 A201:A249 A281:A330 A32 A490:A492 A35:A161 A474 A604:A620 A531:A586 A527:A529 A733:A739 A1061:A1067 A268:A279 A628 A833 A813:A829 A622:A624 A661 A665:A669 A471 A849:A852 A499:A525 A855:A860 A590:A602 A588 A835:A847 A790:A795 A254:A255">
    <cfRule type="duplicateValues" dxfId="339" priority="338"/>
  </conditionalFormatting>
  <conditionalFormatting sqref="A162 A165:A166">
    <cfRule type="duplicateValues" dxfId="338" priority="337"/>
  </conditionalFormatting>
  <conditionalFormatting sqref="A335">
    <cfRule type="duplicateValues" dxfId="337" priority="336"/>
  </conditionalFormatting>
  <conditionalFormatting sqref="A436">
    <cfRule type="duplicateValues" dxfId="336" priority="335"/>
  </conditionalFormatting>
  <conditionalFormatting sqref="A442">
    <cfRule type="duplicateValues" dxfId="335" priority="334"/>
  </conditionalFormatting>
  <conditionalFormatting sqref="A446">
    <cfRule type="duplicateValues" dxfId="334" priority="333"/>
  </conditionalFormatting>
  <conditionalFormatting sqref="A450 A452">
    <cfRule type="duplicateValues" dxfId="333" priority="332"/>
  </conditionalFormatting>
  <conditionalFormatting sqref="A448">
    <cfRule type="duplicateValues" dxfId="332" priority="331"/>
  </conditionalFormatting>
  <conditionalFormatting sqref="A434">
    <cfRule type="duplicateValues" dxfId="331" priority="330"/>
  </conditionalFormatting>
  <conditionalFormatting sqref="A167">
    <cfRule type="duplicateValues" dxfId="330" priority="329"/>
  </conditionalFormatting>
  <conditionalFormatting sqref="A164">
    <cfRule type="duplicateValues" dxfId="329" priority="328"/>
  </conditionalFormatting>
  <conditionalFormatting sqref="A455">
    <cfRule type="duplicateValues" dxfId="328" priority="327"/>
  </conditionalFormatting>
  <conditionalFormatting sqref="A449">
    <cfRule type="duplicateValues" dxfId="327" priority="326"/>
  </conditionalFormatting>
  <conditionalFormatting sqref="A169">
    <cfRule type="duplicateValues" dxfId="326" priority="325"/>
  </conditionalFormatting>
  <conditionalFormatting sqref="A168">
    <cfRule type="duplicateValues" dxfId="325" priority="324"/>
  </conditionalFormatting>
  <conditionalFormatting sqref="A163">
    <cfRule type="duplicateValues" dxfId="324" priority="323"/>
  </conditionalFormatting>
  <conditionalFormatting sqref="A371:A372">
    <cfRule type="duplicateValues" dxfId="323" priority="322"/>
  </conditionalFormatting>
  <conditionalFormatting sqref="A630">
    <cfRule type="duplicateValues" dxfId="322" priority="321"/>
  </conditionalFormatting>
  <conditionalFormatting sqref="A741">
    <cfRule type="duplicateValues" dxfId="321" priority="320"/>
  </conditionalFormatting>
  <conditionalFormatting sqref="A456">
    <cfRule type="duplicateValues" dxfId="320" priority="319"/>
  </conditionalFormatting>
  <conditionalFormatting sqref="A459">
    <cfRule type="duplicateValues" dxfId="319" priority="318"/>
  </conditionalFormatting>
  <conditionalFormatting sqref="A458">
    <cfRule type="duplicateValues" dxfId="318" priority="317"/>
  </conditionalFormatting>
  <conditionalFormatting sqref="A460">
    <cfRule type="duplicateValues" dxfId="317" priority="316"/>
  </conditionalFormatting>
  <conditionalFormatting sqref="A461">
    <cfRule type="duplicateValues" dxfId="316" priority="315"/>
  </conditionalFormatting>
  <conditionalFormatting sqref="A331">
    <cfRule type="duplicateValues" dxfId="315" priority="314"/>
  </conditionalFormatting>
  <conditionalFormatting sqref="A358">
    <cfRule type="duplicateValues" dxfId="314" priority="313"/>
  </conditionalFormatting>
  <conditionalFormatting sqref="A200">
    <cfRule type="duplicateValues" dxfId="313" priority="312"/>
  </conditionalFormatting>
  <conditionalFormatting sqref="A280">
    <cfRule type="duplicateValues" dxfId="312" priority="311"/>
  </conditionalFormatting>
  <conditionalFormatting sqref="A31">
    <cfRule type="duplicateValues" dxfId="311" priority="310"/>
  </conditionalFormatting>
  <conditionalFormatting sqref="A467">
    <cfRule type="duplicateValues" dxfId="310" priority="309"/>
  </conditionalFormatting>
  <conditionalFormatting sqref="A475">
    <cfRule type="duplicateValues" dxfId="309" priority="308"/>
  </conditionalFormatting>
  <conditionalFormatting sqref="A33">
    <cfRule type="duplicateValues" dxfId="308" priority="307"/>
  </conditionalFormatting>
  <conditionalFormatting sqref="A750">
    <cfRule type="duplicateValues" dxfId="307" priority="306"/>
  </conditionalFormatting>
  <conditionalFormatting sqref="A651">
    <cfRule type="duplicateValues" dxfId="306" priority="305"/>
  </conditionalFormatting>
  <conditionalFormatting sqref="A751">
    <cfRule type="duplicateValues" dxfId="305" priority="304"/>
  </conditionalFormatting>
  <conditionalFormatting sqref="A801">
    <cfRule type="duplicateValues" dxfId="304" priority="303"/>
  </conditionalFormatting>
  <conditionalFormatting sqref="A797">
    <cfRule type="duplicateValues" dxfId="303" priority="302"/>
  </conditionalFormatting>
  <conditionalFormatting sqref="A740">
    <cfRule type="duplicateValues" dxfId="302" priority="301"/>
  </conditionalFormatting>
  <conditionalFormatting sqref="A658">
    <cfRule type="duplicateValues" dxfId="301" priority="300"/>
  </conditionalFormatting>
  <conditionalFormatting sqref="A800">
    <cfRule type="duplicateValues" dxfId="300" priority="299"/>
  </conditionalFormatting>
  <conditionalFormatting sqref="A340">
    <cfRule type="duplicateValues" dxfId="299" priority="298"/>
  </conditionalFormatting>
  <conditionalFormatting sqref="A342">
    <cfRule type="duplicateValues" dxfId="298" priority="297"/>
  </conditionalFormatting>
  <conditionalFormatting sqref="A338">
    <cfRule type="duplicateValues" dxfId="297" priority="296"/>
  </conditionalFormatting>
  <conditionalFormatting sqref="A861">
    <cfRule type="duplicateValues" dxfId="296" priority="295"/>
  </conditionalFormatting>
  <conditionalFormatting sqref="A336">
    <cfRule type="duplicateValues" dxfId="295" priority="294"/>
  </conditionalFormatting>
  <conditionalFormatting sqref="A333">
    <cfRule type="duplicateValues" dxfId="294" priority="293"/>
  </conditionalFormatting>
  <conditionalFormatting sqref="A454">
    <cfRule type="duplicateValues" dxfId="293" priority="292"/>
  </conditionalFormatting>
  <conditionalFormatting sqref="A435">
    <cfRule type="duplicateValues" dxfId="292" priority="291"/>
  </conditionalFormatting>
  <conditionalFormatting sqref="A437">
    <cfRule type="duplicateValues" dxfId="291" priority="290"/>
  </conditionalFormatting>
  <conditionalFormatting sqref="A473">
    <cfRule type="duplicateValues" dxfId="290" priority="289"/>
  </conditionalFormatting>
  <conditionalFormatting sqref="A476">
    <cfRule type="duplicateValues" dxfId="289" priority="288"/>
  </conditionalFormatting>
  <conditionalFormatting sqref="A742">
    <cfRule type="duplicateValues" dxfId="288" priority="287"/>
  </conditionalFormatting>
  <conditionalFormatting sqref="A603">
    <cfRule type="duplicateValues" dxfId="287" priority="286"/>
  </conditionalFormatting>
  <conditionalFormatting sqref="A994 A949:A952 A996">
    <cfRule type="duplicateValues" dxfId="286" priority="285"/>
  </conditionalFormatting>
  <conditionalFormatting sqref="A1053:A1054">
    <cfRule type="duplicateValues" dxfId="285" priority="284"/>
  </conditionalFormatting>
  <conditionalFormatting sqref="A530">
    <cfRule type="duplicateValues" dxfId="284" priority="283"/>
  </conditionalFormatting>
  <conditionalFormatting sqref="A526">
    <cfRule type="duplicateValues" dxfId="283" priority="282"/>
  </conditionalFormatting>
  <conditionalFormatting sqref="A688 A692">
    <cfRule type="duplicateValues" dxfId="282" priority="281"/>
  </conditionalFormatting>
  <conditionalFormatting sqref="A1060">
    <cfRule type="duplicateValues" dxfId="281" priority="280"/>
  </conditionalFormatting>
  <conditionalFormatting sqref="A382">
    <cfRule type="duplicateValues" dxfId="280" priority="279"/>
  </conditionalFormatting>
  <conditionalFormatting sqref="A862">
    <cfRule type="duplicateValues" dxfId="279" priority="278"/>
  </conditionalFormatting>
  <conditionalFormatting sqref="A978">
    <cfRule type="duplicateValues" dxfId="278" priority="277"/>
  </conditionalFormatting>
  <conditionalFormatting sqref="A653">
    <cfRule type="duplicateValues" dxfId="277" priority="276"/>
  </conditionalFormatting>
  <conditionalFormatting sqref="A472">
    <cfRule type="duplicateValues" dxfId="276" priority="275"/>
  </conditionalFormatting>
  <conditionalFormatting sqref="A480">
    <cfRule type="duplicateValues" dxfId="275" priority="274"/>
  </conditionalFormatting>
  <conditionalFormatting sqref="A487">
    <cfRule type="duplicateValues" dxfId="274" priority="273"/>
  </conditionalFormatting>
  <conditionalFormatting sqref="A481">
    <cfRule type="duplicateValues" dxfId="273" priority="272"/>
  </conditionalFormatting>
  <conditionalFormatting sqref="A656">
    <cfRule type="duplicateValues" dxfId="272" priority="271"/>
  </conditionalFormatting>
  <conditionalFormatting sqref="A953">
    <cfRule type="duplicateValues" dxfId="271" priority="270"/>
  </conditionalFormatting>
  <conditionalFormatting sqref="A385">
    <cfRule type="duplicateValues" dxfId="270" priority="269"/>
  </conditionalFormatting>
  <conditionalFormatting sqref="A389 A391">
    <cfRule type="duplicateValues" dxfId="269" priority="268"/>
  </conditionalFormatting>
  <conditionalFormatting sqref="A256">
    <cfRule type="duplicateValues" dxfId="268" priority="267"/>
  </conditionalFormatting>
  <conditionalFormatting sqref="A479">
    <cfRule type="duplicateValues" dxfId="267" priority="266"/>
  </conditionalFormatting>
  <conditionalFormatting sqref="A697">
    <cfRule type="duplicateValues" dxfId="266" priority="265"/>
  </conditionalFormatting>
  <conditionalFormatting sqref="A696">
    <cfRule type="duplicateValues" dxfId="265" priority="264"/>
  </conditionalFormatting>
  <conditionalFormatting sqref="A690">
    <cfRule type="duplicateValues" dxfId="264" priority="263"/>
  </conditionalFormatting>
  <conditionalFormatting sqref="A439 A441">
    <cfRule type="duplicateValues" dxfId="263" priority="262"/>
  </conditionalFormatting>
  <conditionalFormatting sqref="A386">
    <cfRule type="duplicateValues" dxfId="262" priority="261"/>
  </conditionalFormatting>
  <conditionalFormatting sqref="A670">
    <cfRule type="duplicateValues" dxfId="261" priority="260"/>
  </conditionalFormatting>
  <conditionalFormatting sqref="A671:A674">
    <cfRule type="duplicateValues" dxfId="260" priority="259"/>
  </conditionalFormatting>
  <conditionalFormatting sqref="A864">
    <cfRule type="duplicateValues" dxfId="259" priority="258"/>
  </conditionalFormatting>
  <conditionalFormatting sqref="A867">
    <cfRule type="duplicateValues" dxfId="258" priority="257"/>
  </conditionalFormatting>
  <conditionalFormatting sqref="A863">
    <cfRule type="duplicateValues" dxfId="257" priority="256"/>
  </conditionalFormatting>
  <conditionalFormatting sqref="A451">
    <cfRule type="duplicateValues" dxfId="256" priority="255"/>
  </conditionalFormatting>
  <conditionalFormatting sqref="A457">
    <cfRule type="duplicateValues" dxfId="255" priority="254"/>
  </conditionalFormatting>
  <conditionalFormatting sqref="A337">
    <cfRule type="duplicateValues" dxfId="254" priority="253"/>
  </conditionalFormatting>
  <conditionalFormatting sqref="A440">
    <cfRule type="duplicateValues" dxfId="253" priority="252"/>
  </conditionalFormatting>
  <conditionalFormatting sqref="A438">
    <cfRule type="duplicateValues" dxfId="252" priority="251"/>
  </conditionalFormatting>
  <conditionalFormatting sqref="A374">
    <cfRule type="duplicateValues" dxfId="251" priority="250"/>
  </conditionalFormatting>
  <conditionalFormatting sqref="A262">
    <cfRule type="duplicateValues" dxfId="250" priority="249"/>
  </conditionalFormatting>
  <conditionalFormatting sqref="A687">
    <cfRule type="duplicateValues" dxfId="249" priority="248"/>
  </conditionalFormatting>
  <conditionalFormatting sqref="A654">
    <cfRule type="duplicateValues" dxfId="248" priority="247"/>
  </conditionalFormatting>
  <conditionalFormatting sqref="A694">
    <cfRule type="duplicateValues" dxfId="247" priority="246"/>
  </conditionalFormatting>
  <conditionalFormatting sqref="A695">
    <cfRule type="duplicateValues" dxfId="246" priority="245"/>
  </conditionalFormatting>
  <conditionalFormatting sqref="A699">
    <cfRule type="duplicateValues" dxfId="245" priority="244"/>
  </conditionalFormatting>
  <conditionalFormatting sqref="A701">
    <cfRule type="duplicateValues" dxfId="244" priority="243"/>
  </conditionalFormatting>
  <conditionalFormatting sqref="A729">
    <cfRule type="duplicateValues" dxfId="243" priority="242"/>
  </conditionalFormatting>
  <conditionalFormatting sqref="A625">
    <cfRule type="duplicateValues" dxfId="242" priority="241"/>
  </conditionalFormatting>
  <conditionalFormatting sqref="A629">
    <cfRule type="duplicateValues" dxfId="241" priority="240"/>
  </conditionalFormatting>
  <conditionalFormatting sqref="A675">
    <cfRule type="duplicateValues" dxfId="240" priority="239"/>
  </conditionalFormatting>
  <conditionalFormatting sqref="A388">
    <cfRule type="duplicateValues" dxfId="239" priority="238"/>
  </conditionalFormatting>
  <conditionalFormatting sqref="A680">
    <cfRule type="duplicateValues" dxfId="238" priority="237"/>
  </conditionalFormatting>
  <conditionalFormatting sqref="A477">
    <cfRule type="duplicateValues" dxfId="237" priority="236"/>
  </conditionalFormatting>
  <conditionalFormatting sqref="A868">
    <cfRule type="duplicateValues" dxfId="236" priority="235"/>
  </conditionalFormatting>
  <conditionalFormatting sqref="A257">
    <cfRule type="duplicateValues" dxfId="235" priority="234"/>
  </conditionalFormatting>
  <conditionalFormatting sqref="A259">
    <cfRule type="duplicateValues" dxfId="234" priority="233"/>
  </conditionalFormatting>
  <conditionalFormatting sqref="A263">
    <cfRule type="duplicateValues" dxfId="233" priority="232"/>
  </conditionalFormatting>
  <conditionalFormatting sqref="A727">
    <cfRule type="duplicateValues" dxfId="232" priority="231"/>
  </conditionalFormatting>
  <conditionalFormatting sqref="A730:A732">
    <cfRule type="duplicateValues" dxfId="231" priority="230"/>
  </conditionalFormatting>
  <conditionalFormatting sqref="A359">
    <cfRule type="duplicateValues" dxfId="230" priority="229"/>
  </conditionalFormatting>
  <conditionalFormatting sqref="A34">
    <cfRule type="duplicateValues" dxfId="229" priority="228"/>
  </conditionalFormatting>
  <conditionalFormatting sqref="A631:A633">
    <cfRule type="duplicateValues" dxfId="228" priority="227"/>
  </conditionalFormatting>
  <conditionalFormatting sqref="A447">
    <cfRule type="duplicateValues" dxfId="227" priority="226"/>
  </conditionalFormatting>
  <conditionalFormatting sqref="A445">
    <cfRule type="duplicateValues" dxfId="226" priority="225"/>
  </conditionalFormatting>
  <conditionalFormatting sqref="A453">
    <cfRule type="duplicateValues" dxfId="225" priority="224"/>
  </conditionalFormatting>
  <conditionalFormatting sqref="A803">
    <cfRule type="duplicateValues" dxfId="224" priority="223"/>
  </conditionalFormatting>
  <conditionalFormatting sqref="A679">
    <cfRule type="duplicateValues" dxfId="223" priority="222"/>
  </conditionalFormatting>
  <conditionalFormatting sqref="A869">
    <cfRule type="duplicateValues" dxfId="222" priority="221"/>
  </conditionalFormatting>
  <conditionalFormatting sqref="A870">
    <cfRule type="duplicateValues" dxfId="221" priority="220"/>
  </conditionalFormatting>
  <conditionalFormatting sqref="A376">
    <cfRule type="duplicateValues" dxfId="220" priority="219"/>
  </conditionalFormatting>
  <conditionalFormatting sqref="A378">
    <cfRule type="duplicateValues" dxfId="219" priority="218"/>
  </conditionalFormatting>
  <conditionalFormatting sqref="A655">
    <cfRule type="duplicateValues" dxfId="218" priority="217"/>
  </conditionalFormatting>
  <conditionalFormatting sqref="A802">
    <cfRule type="duplicateValues" dxfId="217" priority="216"/>
  </conditionalFormatting>
  <conditionalFormatting sqref="A831">
    <cfRule type="duplicateValues" dxfId="216" priority="215"/>
  </conditionalFormatting>
  <conditionalFormatting sqref="A832">
    <cfRule type="duplicateValues" dxfId="215" priority="214"/>
  </conditionalFormatting>
  <conditionalFormatting sqref="A830">
    <cfRule type="duplicateValues" dxfId="214" priority="213"/>
  </conditionalFormatting>
  <conditionalFormatting sqref="A811">
    <cfRule type="duplicateValues" dxfId="213" priority="212"/>
  </conditionalFormatting>
  <conditionalFormatting sqref="A955">
    <cfRule type="duplicateValues" dxfId="212" priority="211"/>
  </conditionalFormatting>
  <conditionalFormatting sqref="A799">
    <cfRule type="duplicateValues" dxfId="211" priority="210"/>
  </conditionalFormatting>
  <conditionalFormatting sqref="A621">
    <cfRule type="duplicateValues" dxfId="210" priority="209"/>
  </conditionalFormatting>
  <conditionalFormatting sqref="A691">
    <cfRule type="duplicateValues" dxfId="209" priority="208"/>
  </conditionalFormatting>
  <conditionalFormatting sqref="A662">
    <cfRule type="duplicateValues" dxfId="208" priority="207"/>
  </conditionalFormatting>
  <conditionalFormatting sqref="A693">
    <cfRule type="duplicateValues" dxfId="207" priority="206"/>
  </conditionalFormatting>
  <conditionalFormatting sqref="A726">
    <cfRule type="duplicateValues" dxfId="206" priority="205"/>
  </conditionalFormatting>
  <conditionalFormatting sqref="A689">
    <cfRule type="duplicateValues" dxfId="205" priority="204"/>
  </conditionalFormatting>
  <conditionalFormatting sqref="A972">
    <cfRule type="duplicateValues" dxfId="204" priority="203"/>
  </conditionalFormatting>
  <conditionalFormatting sqref="A392">
    <cfRule type="duplicateValues" dxfId="203" priority="202"/>
  </conditionalFormatting>
  <conditionalFormatting sqref="A681">
    <cfRule type="duplicateValues" dxfId="202" priority="201"/>
  </conditionalFormatting>
  <conditionalFormatting sqref="A878">
    <cfRule type="duplicateValues" dxfId="201" priority="200"/>
  </conditionalFormatting>
  <conditionalFormatting sqref="A443">
    <cfRule type="duplicateValues" dxfId="200" priority="199"/>
  </conditionalFormatting>
  <conditionalFormatting sqref="A444">
    <cfRule type="duplicateValues" dxfId="199" priority="198"/>
  </conditionalFormatting>
  <conditionalFormatting sqref="A462">
    <cfRule type="duplicateValues" dxfId="198" priority="197"/>
  </conditionalFormatting>
  <conditionalFormatting sqref="A390">
    <cfRule type="duplicateValues" dxfId="197" priority="196"/>
  </conditionalFormatting>
  <conditionalFormatting sqref="A393">
    <cfRule type="duplicateValues" dxfId="196" priority="195"/>
  </conditionalFormatting>
  <conditionalFormatting sqref="A339">
    <cfRule type="duplicateValues" dxfId="195" priority="194"/>
  </conditionalFormatting>
  <conditionalFormatting sqref="A343">
    <cfRule type="duplicateValues" dxfId="194" priority="193"/>
  </conditionalFormatting>
  <conditionalFormatting sqref="A469">
    <cfRule type="duplicateValues" dxfId="193" priority="192"/>
  </conditionalFormatting>
  <conditionalFormatting sqref="A470">
    <cfRule type="duplicateValues" dxfId="192" priority="191"/>
  </conditionalFormatting>
  <conditionalFormatting sqref="A483">
    <cfRule type="duplicateValues" dxfId="191" priority="190"/>
  </conditionalFormatting>
  <conditionalFormatting sqref="A484">
    <cfRule type="duplicateValues" dxfId="190" priority="189"/>
  </conditionalFormatting>
  <conditionalFormatting sqref="A485">
    <cfRule type="duplicateValues" dxfId="189" priority="188"/>
  </conditionalFormatting>
  <conditionalFormatting sqref="A486">
    <cfRule type="duplicateValues" dxfId="188" priority="187"/>
  </conditionalFormatting>
  <conditionalFormatting sqref="A463">
    <cfRule type="duplicateValues" dxfId="187" priority="186"/>
  </conditionalFormatting>
  <conditionalFormatting sqref="A464:A465">
    <cfRule type="duplicateValues" dxfId="186" priority="185"/>
  </conditionalFormatting>
  <conditionalFormatting sqref="A626">
    <cfRule type="duplicateValues" dxfId="185" priority="184"/>
  </conditionalFormatting>
  <conditionalFormatting sqref="A627">
    <cfRule type="duplicateValues" dxfId="184" priority="183"/>
  </conditionalFormatting>
  <conditionalFormatting sqref="A377">
    <cfRule type="duplicateValues" dxfId="183" priority="182"/>
  </conditionalFormatting>
  <conditionalFormatting sqref="A375">
    <cfRule type="duplicateValues" dxfId="182" priority="181"/>
  </conditionalFormatting>
  <conditionalFormatting sqref="A379">
    <cfRule type="duplicateValues" dxfId="181" priority="180"/>
  </conditionalFormatting>
  <conditionalFormatting sqref="A876">
    <cfRule type="duplicateValues" dxfId="180" priority="179"/>
  </conditionalFormatting>
  <conditionalFormatting sqref="A682">
    <cfRule type="duplicateValues" dxfId="179" priority="178"/>
  </conditionalFormatting>
  <conditionalFormatting sqref="A341">
    <cfRule type="duplicateValues" dxfId="178" priority="177"/>
  </conditionalFormatting>
  <conditionalFormatting sqref="A383">
    <cfRule type="duplicateValues" dxfId="177" priority="176"/>
  </conditionalFormatting>
  <conditionalFormatting sqref="A384">
    <cfRule type="duplicateValues" dxfId="176" priority="175"/>
  </conditionalFormatting>
  <conditionalFormatting sqref="A387">
    <cfRule type="duplicateValues" dxfId="175" priority="174"/>
  </conditionalFormatting>
  <conditionalFormatting sqref="A334">
    <cfRule type="duplicateValues" dxfId="174" priority="173"/>
  </conditionalFormatting>
  <conditionalFormatting sqref="A260">
    <cfRule type="duplicateValues" dxfId="173" priority="172"/>
  </conditionalFormatting>
  <conditionalFormatting sqref="A258">
    <cfRule type="duplicateValues" dxfId="172" priority="171"/>
  </conditionalFormatting>
  <conditionalFormatting sqref="A676">
    <cfRule type="duplicateValues" dxfId="171" priority="170"/>
  </conditionalFormatting>
  <conditionalFormatting sqref="A796">
    <cfRule type="duplicateValues" dxfId="170" priority="169"/>
  </conditionalFormatting>
  <conditionalFormatting sqref="A988:A989">
    <cfRule type="duplicateValues" dxfId="169" priority="168"/>
  </conditionalFormatting>
  <conditionalFormatting sqref="A659">
    <cfRule type="duplicateValues" dxfId="168" priority="167"/>
  </conditionalFormatting>
  <conditionalFormatting sqref="A660">
    <cfRule type="duplicateValues" dxfId="167" priority="166"/>
  </conditionalFormatting>
  <conditionalFormatting sqref="A652">
    <cfRule type="duplicateValues" dxfId="166" priority="165"/>
  </conditionalFormatting>
  <conditionalFormatting sqref="A877">
    <cfRule type="duplicateValues" dxfId="165" priority="164"/>
  </conditionalFormatting>
  <conditionalFormatting sqref="A872:A873">
    <cfRule type="duplicateValues" dxfId="164" priority="163"/>
  </conditionalFormatting>
  <conditionalFormatting sqref="A871">
    <cfRule type="duplicateValues" dxfId="163" priority="162"/>
  </conditionalFormatting>
  <conditionalFormatting sqref="A874">
    <cfRule type="duplicateValues" dxfId="162" priority="161"/>
  </conditionalFormatting>
  <conditionalFormatting sqref="A875">
    <cfRule type="duplicateValues" dxfId="161" priority="160"/>
  </conditionalFormatting>
  <conditionalFormatting sqref="A948">
    <cfRule type="duplicateValues" dxfId="160" priority="159"/>
  </conditionalFormatting>
  <conditionalFormatting sqref="A848">
    <cfRule type="duplicateValues" dxfId="159" priority="158"/>
  </conditionalFormatting>
  <conditionalFormatting sqref="A261">
    <cfRule type="duplicateValues" dxfId="158" priority="157"/>
  </conditionalFormatting>
  <conditionalFormatting sqref="A979 A981">
    <cfRule type="duplicateValues" dxfId="157" priority="156"/>
  </conditionalFormatting>
  <conditionalFormatting sqref="A1008:A1010 A1012:A1013">
    <cfRule type="duplicateValues" dxfId="156" priority="155"/>
  </conditionalFormatting>
  <conditionalFormatting sqref="A657">
    <cfRule type="duplicateValues" dxfId="155" priority="154"/>
  </conditionalFormatting>
  <conditionalFormatting sqref="A650">
    <cfRule type="duplicateValues" dxfId="154" priority="153"/>
  </conditionalFormatting>
  <conditionalFormatting sqref="A683:A684 A686">
    <cfRule type="duplicateValues" dxfId="153" priority="152"/>
  </conditionalFormatting>
  <conditionalFormatting sqref="A478">
    <cfRule type="duplicateValues" dxfId="152" priority="151"/>
  </conditionalFormatting>
  <conditionalFormatting sqref="A380">
    <cfRule type="duplicateValues" dxfId="151" priority="150"/>
  </conditionalFormatting>
  <conditionalFormatting sqref="A373">
    <cfRule type="duplicateValues" dxfId="150" priority="149"/>
  </conditionalFormatting>
  <conditionalFormatting sqref="A493:A494">
    <cfRule type="duplicateValues" dxfId="149" priority="148"/>
  </conditionalFormatting>
  <conditionalFormatting sqref="A496">
    <cfRule type="duplicateValues" dxfId="148" priority="147"/>
  </conditionalFormatting>
  <conditionalFormatting sqref="A804 A806:A808">
    <cfRule type="duplicateValues" dxfId="147" priority="146"/>
  </conditionalFormatting>
  <conditionalFormatting sqref="A809">
    <cfRule type="duplicateValues" dxfId="146" priority="145"/>
  </conditionalFormatting>
  <conditionalFormatting sqref="A1007">
    <cfRule type="duplicateValues" dxfId="145" priority="144"/>
  </conditionalFormatting>
  <conditionalFormatting sqref="A995">
    <cfRule type="duplicateValues" dxfId="144" priority="143"/>
  </conditionalFormatting>
  <conditionalFormatting sqref="A853">
    <cfRule type="duplicateValues" dxfId="143" priority="142"/>
  </conditionalFormatting>
  <conditionalFormatting sqref="A854">
    <cfRule type="duplicateValues" dxfId="142" priority="141"/>
  </conditionalFormatting>
  <conditionalFormatting sqref="A264">
    <cfRule type="duplicateValues" dxfId="141" priority="140"/>
  </conditionalFormatting>
  <conditionalFormatting sqref="A265">
    <cfRule type="duplicateValues" dxfId="140" priority="139"/>
  </conditionalFormatting>
  <conditionalFormatting sqref="A700">
    <cfRule type="duplicateValues" dxfId="139" priority="138"/>
  </conditionalFormatting>
  <conditionalFormatting sqref="A702:A703">
    <cfRule type="duplicateValues" dxfId="138" priority="137"/>
  </conditionalFormatting>
  <conditionalFormatting sqref="A728">
    <cfRule type="duplicateValues" dxfId="137" priority="136"/>
  </conditionalFormatting>
  <conditionalFormatting sqref="A798">
    <cfRule type="duplicateValues" dxfId="136" priority="135"/>
  </conditionalFormatting>
  <conditionalFormatting sqref="A344">
    <cfRule type="duplicateValues" dxfId="135" priority="134"/>
  </conditionalFormatting>
  <conditionalFormatting sqref="A345 A348">
    <cfRule type="duplicateValues" dxfId="134" priority="133"/>
  </conditionalFormatting>
  <conditionalFormatting sqref="A589">
    <cfRule type="duplicateValues" dxfId="133" priority="132"/>
  </conditionalFormatting>
  <conditionalFormatting sqref="A587">
    <cfRule type="duplicateValues" dxfId="132" priority="131"/>
  </conditionalFormatting>
  <conditionalFormatting sqref="A812">
    <cfRule type="duplicateValues" dxfId="131" priority="130"/>
  </conditionalFormatting>
  <conditionalFormatting sqref="A495">
    <cfRule type="duplicateValues" dxfId="130" priority="129"/>
  </conditionalFormatting>
  <conditionalFormatting sqref="A834">
    <cfRule type="duplicateValues" dxfId="129" priority="128"/>
  </conditionalFormatting>
  <conditionalFormatting sqref="A805">
    <cfRule type="duplicateValues" dxfId="128" priority="127"/>
  </conditionalFormatting>
  <conditionalFormatting sqref="A349">
    <cfRule type="duplicateValues" dxfId="127" priority="126"/>
  </conditionalFormatting>
  <conditionalFormatting sqref="A780:A783">
    <cfRule type="duplicateValues" dxfId="126" priority="125"/>
  </conditionalFormatting>
  <conditionalFormatting sqref="A784:A788">
    <cfRule type="duplicateValues" dxfId="125" priority="124"/>
  </conditionalFormatting>
  <conditionalFormatting sqref="A789">
    <cfRule type="duplicateValues" dxfId="124" priority="123"/>
  </conditionalFormatting>
  <conditionalFormatting sqref="A958:A960 A965">
    <cfRule type="duplicateValues" dxfId="123" priority="122"/>
  </conditionalFormatting>
  <conditionalFormatting sqref="A267">
    <cfRule type="duplicateValues" dxfId="122" priority="121"/>
  </conditionalFormatting>
  <conditionalFormatting sqref="A250">
    <cfRule type="duplicateValues" dxfId="121" priority="120"/>
  </conditionalFormatting>
  <conditionalFormatting sqref="A251">
    <cfRule type="duplicateValues" dxfId="120" priority="119"/>
  </conditionalFormatting>
  <conditionalFormatting sqref="A252">
    <cfRule type="duplicateValues" dxfId="119" priority="118"/>
  </conditionalFormatting>
  <conditionalFormatting sqref="A253">
    <cfRule type="duplicateValues" dxfId="118" priority="117"/>
  </conditionalFormatting>
  <conditionalFormatting sqref="A956">
    <cfRule type="duplicateValues" dxfId="117" priority="116"/>
  </conditionalFormatting>
  <conditionalFormatting sqref="A170">
    <cfRule type="duplicateValues" dxfId="116" priority="115"/>
  </conditionalFormatting>
  <conditionalFormatting sqref="A677:A678">
    <cfRule type="duplicateValues" dxfId="115" priority="114"/>
  </conditionalFormatting>
  <conditionalFormatting sqref="A482">
    <cfRule type="duplicateValues" dxfId="114" priority="113"/>
  </conditionalFormatting>
  <conditionalFormatting sqref="A498">
    <cfRule type="duplicateValues" dxfId="113" priority="112"/>
  </conditionalFormatting>
  <conditionalFormatting sqref="A497">
    <cfRule type="duplicateValues" dxfId="112" priority="111"/>
  </conditionalFormatting>
  <conditionalFormatting sqref="A266">
    <cfRule type="duplicateValues" dxfId="111" priority="110"/>
  </conditionalFormatting>
  <conditionalFormatting sqref="A998">
    <cfRule type="duplicateValues" dxfId="110" priority="109"/>
  </conditionalFormatting>
  <conditionalFormatting sqref="A907:A911 A913:A915">
    <cfRule type="duplicateValues" dxfId="109" priority="108"/>
  </conditionalFormatting>
  <conditionalFormatting sqref="A346:A347">
    <cfRule type="duplicateValues" dxfId="108" priority="107"/>
  </conditionalFormatting>
  <conditionalFormatting sqref="A973:A977">
    <cfRule type="duplicateValues" dxfId="107" priority="106"/>
  </conditionalFormatting>
  <conditionalFormatting sqref="A1021:A1024 A1016:A1017 A1019 A1048 A1033:A1036">
    <cfRule type="duplicateValues" dxfId="106" priority="105"/>
  </conditionalFormatting>
  <conditionalFormatting sqref="A968">
    <cfRule type="duplicateValues" dxfId="105" priority="104"/>
  </conditionalFormatting>
  <conditionalFormatting sqref="A663:A664">
    <cfRule type="duplicateValues" dxfId="104" priority="103"/>
  </conditionalFormatting>
  <conditionalFormatting sqref="A947 A879:A882 A918:A927 A930:A933 A935:A937">
    <cfRule type="duplicateValues" dxfId="103" priority="339"/>
  </conditionalFormatting>
  <conditionalFormatting sqref="A954">
    <cfRule type="duplicateValues" dxfId="102" priority="102"/>
  </conditionalFormatting>
  <conditionalFormatting sqref="A1018">
    <cfRule type="duplicateValues" dxfId="101" priority="101"/>
  </conditionalFormatting>
  <conditionalFormatting sqref="A966:A967">
    <cfRule type="duplicateValues" dxfId="100" priority="100"/>
  </conditionalFormatting>
  <conditionalFormatting sqref="A1020">
    <cfRule type="duplicateValues" dxfId="99" priority="340"/>
  </conditionalFormatting>
  <conditionalFormatting sqref="A997">
    <cfRule type="duplicateValues" dxfId="98" priority="99"/>
  </conditionalFormatting>
  <conditionalFormatting sqref="A1049:A1052">
    <cfRule type="duplicateValues" dxfId="97" priority="98"/>
  </conditionalFormatting>
  <conditionalFormatting sqref="A883:A884">
    <cfRule type="duplicateValues" dxfId="96" priority="97"/>
  </conditionalFormatting>
  <conditionalFormatting sqref="A938">
    <cfRule type="duplicateValues" dxfId="95" priority="96"/>
  </conditionalFormatting>
  <conditionalFormatting sqref="A939:A946">
    <cfRule type="duplicateValues" dxfId="94" priority="95"/>
  </conditionalFormatting>
  <conditionalFormatting sqref="A1044">
    <cfRule type="duplicateValues" dxfId="93" priority="92"/>
  </conditionalFormatting>
  <conditionalFormatting sqref="A1044">
    <cfRule type="duplicateValues" dxfId="92" priority="93"/>
  </conditionalFormatting>
  <conditionalFormatting sqref="A1044">
    <cfRule type="duplicateValues" dxfId="91" priority="94"/>
  </conditionalFormatting>
  <conditionalFormatting sqref="A1045:A1046">
    <cfRule type="duplicateValues" dxfId="90" priority="89"/>
  </conditionalFormatting>
  <conditionalFormatting sqref="A1045:A1046">
    <cfRule type="duplicateValues" dxfId="89" priority="90"/>
  </conditionalFormatting>
  <conditionalFormatting sqref="A1045:A1046">
    <cfRule type="duplicateValues" dxfId="88" priority="91"/>
  </conditionalFormatting>
  <conditionalFormatting sqref="A1043">
    <cfRule type="duplicateValues" dxfId="87" priority="86"/>
  </conditionalFormatting>
  <conditionalFormatting sqref="A1043">
    <cfRule type="duplicateValues" dxfId="86" priority="87"/>
  </conditionalFormatting>
  <conditionalFormatting sqref="A1043">
    <cfRule type="duplicateValues" dxfId="85" priority="88"/>
  </conditionalFormatting>
  <conditionalFormatting sqref="A982:A987">
    <cfRule type="duplicateValues" dxfId="84" priority="84"/>
  </conditionalFormatting>
  <conditionalFormatting sqref="A982:A987">
    <cfRule type="duplicateValues" dxfId="83" priority="83"/>
  </conditionalFormatting>
  <conditionalFormatting sqref="A982:A987">
    <cfRule type="duplicateValues" dxfId="82" priority="85"/>
  </conditionalFormatting>
  <conditionalFormatting sqref="A1002">
    <cfRule type="duplicateValues" dxfId="81" priority="79"/>
  </conditionalFormatting>
  <conditionalFormatting sqref="A1002">
    <cfRule type="duplicateValues" dxfId="80" priority="80"/>
  </conditionalFormatting>
  <conditionalFormatting sqref="A1002">
    <cfRule type="duplicateValues" dxfId="79" priority="81"/>
  </conditionalFormatting>
  <conditionalFormatting sqref="A1002">
    <cfRule type="duplicateValues" dxfId="78" priority="82"/>
  </conditionalFormatting>
  <conditionalFormatting sqref="A1047">
    <cfRule type="duplicateValues" dxfId="77" priority="76"/>
  </conditionalFormatting>
  <conditionalFormatting sqref="A1047">
    <cfRule type="duplicateValues" dxfId="76" priority="77"/>
  </conditionalFormatting>
  <conditionalFormatting sqref="A1047">
    <cfRule type="duplicateValues" dxfId="75" priority="78"/>
  </conditionalFormatting>
  <conditionalFormatting sqref="A1001">
    <cfRule type="duplicateValues" dxfId="74" priority="72"/>
  </conditionalFormatting>
  <conditionalFormatting sqref="A1001">
    <cfRule type="duplicateValues" dxfId="73" priority="73"/>
  </conditionalFormatting>
  <conditionalFormatting sqref="A1001">
    <cfRule type="duplicateValues" dxfId="72" priority="74"/>
  </conditionalFormatting>
  <conditionalFormatting sqref="A1001">
    <cfRule type="duplicateValues" dxfId="71" priority="75"/>
  </conditionalFormatting>
  <conditionalFormatting sqref="A885">
    <cfRule type="duplicateValues" dxfId="70" priority="71"/>
  </conditionalFormatting>
  <conditionalFormatting sqref="A980">
    <cfRule type="duplicateValues" dxfId="69" priority="70"/>
  </conditionalFormatting>
  <conditionalFormatting sqref="A1003">
    <cfRule type="duplicateValues" dxfId="68" priority="69"/>
  </conditionalFormatting>
  <conditionalFormatting sqref="A718:A721 A724:A725">
    <cfRule type="duplicateValues" dxfId="67" priority="68"/>
  </conditionalFormatting>
  <conditionalFormatting sqref="A381">
    <cfRule type="duplicateValues" dxfId="66" priority="67"/>
  </conditionalFormatting>
  <conditionalFormatting sqref="A912">
    <cfRule type="duplicateValues" dxfId="65" priority="64"/>
  </conditionalFormatting>
  <conditionalFormatting sqref="A912">
    <cfRule type="duplicateValues" dxfId="64" priority="65"/>
  </conditionalFormatting>
  <conditionalFormatting sqref="A912">
    <cfRule type="duplicateValues" dxfId="63" priority="66"/>
  </conditionalFormatting>
  <conditionalFormatting sqref="A961">
    <cfRule type="duplicateValues" dxfId="62" priority="61"/>
  </conditionalFormatting>
  <conditionalFormatting sqref="A961">
    <cfRule type="duplicateValues" dxfId="61" priority="62"/>
  </conditionalFormatting>
  <conditionalFormatting sqref="A961">
    <cfRule type="duplicateValues" dxfId="60" priority="63"/>
  </conditionalFormatting>
  <conditionalFormatting sqref="A962:A964">
    <cfRule type="duplicateValues" dxfId="59" priority="58"/>
  </conditionalFormatting>
  <conditionalFormatting sqref="A962:A964">
    <cfRule type="duplicateValues" dxfId="58" priority="59"/>
  </conditionalFormatting>
  <conditionalFormatting sqref="A962:A964">
    <cfRule type="duplicateValues" dxfId="57" priority="60"/>
  </conditionalFormatting>
  <conditionalFormatting sqref="A1037:A1038 A1040:A1042">
    <cfRule type="duplicateValues" dxfId="56" priority="55"/>
  </conditionalFormatting>
  <conditionalFormatting sqref="A1037:A1038">
    <cfRule type="duplicateValues" dxfId="55" priority="56"/>
  </conditionalFormatting>
  <conditionalFormatting sqref="A1037:A1038">
    <cfRule type="duplicateValues" dxfId="54" priority="57"/>
  </conditionalFormatting>
  <conditionalFormatting sqref="B708">
    <cfRule type="containsText" dxfId="53" priority="53" operator="containsText" text="BLK">
      <formula>NOT(ISERROR(SEARCH("BLK",B708)))</formula>
    </cfRule>
  </conditionalFormatting>
  <conditionalFormatting sqref="B707">
    <cfRule type="containsText" dxfId="52" priority="54" operator="containsText" text="BLK">
      <formula>NOT(ISERROR(SEARCH("BLK",B707)))</formula>
    </cfRule>
  </conditionalFormatting>
  <conditionalFormatting sqref="B709">
    <cfRule type="containsText" dxfId="51" priority="52" operator="containsText" text="BLK">
      <formula>NOT(ISERROR(SEARCH("BLK",B709)))</formula>
    </cfRule>
  </conditionalFormatting>
  <conditionalFormatting sqref="B710:B711">
    <cfRule type="containsText" dxfId="50" priority="51" operator="containsText" text="BLK">
      <formula>NOT(ISERROR(SEARCH("BLK",B710)))</formula>
    </cfRule>
  </conditionalFormatting>
  <conditionalFormatting sqref="A1039">
    <cfRule type="duplicateValues" dxfId="49" priority="48"/>
  </conditionalFormatting>
  <conditionalFormatting sqref="A1039">
    <cfRule type="duplicateValues" dxfId="48" priority="49"/>
  </conditionalFormatting>
  <conditionalFormatting sqref="A1039">
    <cfRule type="duplicateValues" dxfId="47" priority="50"/>
  </conditionalFormatting>
  <conditionalFormatting sqref="A1000">
    <cfRule type="duplicateValues" dxfId="46" priority="47"/>
  </conditionalFormatting>
  <conditionalFormatting sqref="A992">
    <cfRule type="duplicateValues" dxfId="45" priority="46"/>
  </conditionalFormatting>
  <conditionalFormatting sqref="A993">
    <cfRule type="duplicateValues" dxfId="44" priority="45"/>
  </conditionalFormatting>
  <conditionalFormatting sqref="A999">
    <cfRule type="duplicateValues" dxfId="43" priority="41"/>
  </conditionalFormatting>
  <conditionalFormatting sqref="A999">
    <cfRule type="duplicateValues" dxfId="42" priority="42"/>
  </conditionalFormatting>
  <conditionalFormatting sqref="A999">
    <cfRule type="duplicateValues" dxfId="41" priority="43"/>
  </conditionalFormatting>
  <conditionalFormatting sqref="A999">
    <cfRule type="duplicateValues" dxfId="40" priority="44"/>
  </conditionalFormatting>
  <conditionalFormatting sqref="A1025:A1031">
    <cfRule type="duplicateValues" dxfId="39" priority="38"/>
  </conditionalFormatting>
  <conditionalFormatting sqref="A1025:A1031">
    <cfRule type="duplicateValues" dxfId="38" priority="39"/>
  </conditionalFormatting>
  <conditionalFormatting sqref="A1025:A1031">
    <cfRule type="duplicateValues" dxfId="37" priority="40"/>
  </conditionalFormatting>
  <conditionalFormatting sqref="A1025:A1031">
    <cfRule type="duplicateValues" dxfId="36" priority="37"/>
  </conditionalFormatting>
  <conditionalFormatting sqref="A1032">
    <cfRule type="duplicateValues" dxfId="35" priority="34"/>
  </conditionalFormatting>
  <conditionalFormatting sqref="A1032">
    <cfRule type="duplicateValues" dxfId="34" priority="35"/>
  </conditionalFormatting>
  <conditionalFormatting sqref="A1032">
    <cfRule type="duplicateValues" dxfId="33" priority="36"/>
  </conditionalFormatting>
  <conditionalFormatting sqref="A1032">
    <cfRule type="duplicateValues" dxfId="32" priority="33"/>
  </conditionalFormatting>
  <conditionalFormatting sqref="A969:A970">
    <cfRule type="duplicateValues" dxfId="31" priority="30"/>
  </conditionalFormatting>
  <conditionalFormatting sqref="A969:A970">
    <cfRule type="duplicateValues" dxfId="30" priority="31"/>
  </conditionalFormatting>
  <conditionalFormatting sqref="A969:A970">
    <cfRule type="duplicateValues" dxfId="29" priority="32"/>
  </conditionalFormatting>
  <conditionalFormatting sqref="A969:A970">
    <cfRule type="duplicateValues" dxfId="28" priority="29"/>
  </conditionalFormatting>
  <conditionalFormatting sqref="A971">
    <cfRule type="duplicateValues" dxfId="27" priority="26"/>
  </conditionalFormatting>
  <conditionalFormatting sqref="A971">
    <cfRule type="duplicateValues" dxfId="26" priority="27"/>
  </conditionalFormatting>
  <conditionalFormatting sqref="A971">
    <cfRule type="duplicateValues" dxfId="25" priority="28"/>
  </conditionalFormatting>
  <conditionalFormatting sqref="A971">
    <cfRule type="duplicateValues" dxfId="24" priority="25"/>
  </conditionalFormatting>
  <conditionalFormatting sqref="A1004:A1006">
    <cfRule type="duplicateValues" dxfId="23" priority="22"/>
  </conditionalFormatting>
  <conditionalFormatting sqref="A1004:A1006">
    <cfRule type="duplicateValues" dxfId="22" priority="23"/>
  </conditionalFormatting>
  <conditionalFormatting sqref="A1004:A1006">
    <cfRule type="duplicateValues" dxfId="21" priority="24"/>
  </conditionalFormatting>
  <conditionalFormatting sqref="A1004:A1006">
    <cfRule type="duplicateValues" dxfId="20" priority="21"/>
  </conditionalFormatting>
  <conditionalFormatting sqref="A916:A917">
    <cfRule type="duplicateValues" dxfId="19" priority="18"/>
  </conditionalFormatting>
  <conditionalFormatting sqref="A916:A917">
    <cfRule type="duplicateValues" dxfId="18" priority="19"/>
  </conditionalFormatting>
  <conditionalFormatting sqref="A916:A917">
    <cfRule type="duplicateValues" dxfId="17" priority="20"/>
  </conditionalFormatting>
  <conditionalFormatting sqref="A916:A917">
    <cfRule type="duplicateValues" dxfId="16" priority="17"/>
  </conditionalFormatting>
  <conditionalFormatting sqref="A990:A991">
    <cfRule type="duplicateValues" dxfId="15" priority="14"/>
  </conditionalFormatting>
  <conditionalFormatting sqref="A990:A991">
    <cfRule type="duplicateValues" dxfId="14" priority="15"/>
  </conditionalFormatting>
  <conditionalFormatting sqref="A990:A991">
    <cfRule type="duplicateValues" dxfId="13" priority="16"/>
  </conditionalFormatting>
  <conditionalFormatting sqref="A990:A991">
    <cfRule type="duplicateValues" dxfId="12" priority="13"/>
  </conditionalFormatting>
  <conditionalFormatting sqref="A889">
    <cfRule type="duplicateValues" dxfId="11" priority="12"/>
  </conditionalFormatting>
  <conditionalFormatting sqref="A890:A891">
    <cfRule type="duplicateValues" dxfId="10" priority="11"/>
  </conditionalFormatting>
  <conditionalFormatting sqref="A886">
    <cfRule type="duplicateValues" dxfId="9" priority="10"/>
  </conditionalFormatting>
  <conditionalFormatting sqref="A887">
    <cfRule type="duplicateValues" dxfId="8" priority="9"/>
  </conditionalFormatting>
  <conditionalFormatting sqref="A1069">
    <cfRule type="duplicateValues" dxfId="7" priority="8"/>
  </conditionalFormatting>
  <conditionalFormatting sqref="A1071">
    <cfRule type="duplicateValues" dxfId="6" priority="7"/>
  </conditionalFormatting>
  <conditionalFormatting sqref="A934">
    <cfRule type="duplicateValues" dxfId="5" priority="6"/>
  </conditionalFormatting>
  <conditionalFormatting sqref="A685">
    <cfRule type="duplicateValues" dxfId="4" priority="5"/>
  </conditionalFormatting>
  <conditionalFormatting sqref="A1070">
    <cfRule type="duplicateValues" dxfId="3" priority="4"/>
  </conditionalFormatting>
  <conditionalFormatting sqref="A1068">
    <cfRule type="duplicateValues" dxfId="2" priority="1"/>
  </conditionalFormatting>
  <conditionalFormatting sqref="A1068">
    <cfRule type="duplicateValues" dxfId="1" priority="2"/>
  </conditionalFormatting>
  <conditionalFormatting sqref="A1068">
    <cfRule type="duplicateValues" dxfId="0" priority="3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Modules</vt:lpstr>
      <vt:lpstr>NEW PO</vt:lpstr>
      <vt:lpstr>Q.HOME</vt:lpstr>
      <vt:lpstr>C&amp;I ESS</vt:lpstr>
      <vt:lpstr>ESS_Item_Code</vt:lpstr>
      <vt:lpstr>Item Master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Angie Lee</dc:creator>
  <cp:lastModifiedBy>Angie Lee</cp:lastModifiedBy>
  <dcterms:created xsi:type="dcterms:W3CDTF">2022-04-19T01:46:48Z</dcterms:created>
  <dcterms:modified xsi:type="dcterms:W3CDTF">2022-05-16T18:53:20Z</dcterms:modified>
</cp:coreProperties>
</file>